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U:\SA_Stuff\SA_WORKING2020\"/>
    </mc:Choice>
  </mc:AlternateContent>
  <xr:revisionPtr revIDLastSave="0" documentId="8_{C692DDAB-9755-4BFE-B868-5D4263ED4AFB}" xr6:coauthVersionLast="47" xr6:coauthVersionMax="47" xr10:uidLastSave="{00000000-0000-0000-0000-000000000000}"/>
  <bookViews>
    <workbookView xWindow="2340" yWindow="2340" windowWidth="19635" windowHeight="17955" tabRatio="744" xr2:uid="{00000000-000D-0000-FFFF-FFFF00000000}"/>
  </bookViews>
  <sheets>
    <sheet name="ImportantDisclosures" sheetId="77" r:id="rId1"/>
    <sheet name="Fin Sum" sheetId="9" r:id="rId2"/>
    <sheet name="Valuation table" sheetId="70" r:id="rId3"/>
    <sheet name="Model" sheetId="7" r:id="rId4"/>
    <sheet name="Segment" sheetId="45" r:id="rId5"/>
    <sheet name="Assumptions" sheetId="8" r:id="rId6"/>
    <sheet name="Vifor Segment" sheetId="57" r:id="rId7"/>
    <sheet name="IndexInformation" sheetId="78" r:id="rId8"/>
    <sheet name="ModPubIndex" sheetId="79" r:id="rId9"/>
  </sheets>
  <externalReferences>
    <externalReference r:id="rId10"/>
    <externalReference r:id="rId11"/>
    <externalReference r:id="rId12"/>
  </externalReferences>
  <definedNames>
    <definedName name="africa">0</definedName>
    <definedName name="africaCountries">#REF!</definedName>
    <definedName name="allRegions">#REF!</definedName>
    <definedName name="americaRegion">#REF!</definedName>
    <definedName name="americas">0.53</definedName>
    <definedName name="americasStates">#REF!</definedName>
    <definedName name="AppVersion">"GEG-1.0"</definedName>
    <definedName name="asiaPacific">0.19</definedName>
    <definedName name="asiaPacificExJapan">0.14</definedName>
    <definedName name="asiaPacificExJapanCountries">#REF!</definedName>
    <definedName name="asiaPacificRegion">#REF!</definedName>
    <definedName name="asiaPacificStates">#REF!</definedName>
    <definedName name="australasia">0.06</definedName>
    <definedName name="BRICS">0.05</definedName>
    <definedName name="centralEasternEurope">0.05</definedName>
    <definedName name="centralEasternEuropeCountries">#REF!</definedName>
    <definedName name="china">0.05</definedName>
    <definedName name="consumerDemandExposure">#REF!</definedName>
    <definedName name="consumersExposure">0.3</definedName>
    <definedName name="countryList">"Country Mapping"</definedName>
    <definedName name="developedEuropeExUK">0.18</definedName>
    <definedName name="developedEuropeExUKCountries">#REF!</definedName>
    <definedName name="domesticAndForeignExposure">#REF!</definedName>
    <definedName name="domesticCostExposure">#REF!</definedName>
    <definedName name="EEMEA">0.05</definedName>
    <definedName name="endDemandExposure">#REF!</definedName>
    <definedName name="esrwsr">'Vifor Segment'!$B$1:$AD$95</definedName>
    <definedName name="europe">0.28</definedName>
    <definedName name="europeRegion">#REF!</definedName>
    <definedName name="europeStates">#REF!</definedName>
    <definedName name="india">0</definedName>
    <definedName name="instructions">#REF!</definedName>
    <definedName name="italy">0</definedName>
    <definedName name="japan">0</definedName>
    <definedName name="latinAmerica">0.05</definedName>
    <definedName name="latinAmericaCountries">#REF!</definedName>
    <definedName name="Linking_1">[1]Charts!$A$912:$D$931</definedName>
    <definedName name="Linking_10">[1]Charts!$A$1313:$H$1318</definedName>
    <definedName name="Linking_100">#REF!</definedName>
    <definedName name="Linking_101">#REF!</definedName>
    <definedName name="Linking_102">#REF!</definedName>
    <definedName name="Linking_103">#REF!</definedName>
    <definedName name="Linking_104">#REF!</definedName>
    <definedName name="Linking_105">#REF!</definedName>
    <definedName name="Linking_106">'Vifor Segment'!$B$1:$AD$95</definedName>
    <definedName name="Linking_107">#REF!</definedName>
    <definedName name="Linking_108">#REF!</definedName>
    <definedName name="Linking_109">#REF!</definedName>
    <definedName name="Linking_11">[1]Charts!$C$1321:$H$1327</definedName>
    <definedName name="Linking_110">#REF!</definedName>
    <definedName name="Linking_111">#REF!</definedName>
    <definedName name="Linking_112">#REF!</definedName>
    <definedName name="Linking_113">#REF!</definedName>
    <definedName name="Linking_114">#REF!</definedName>
    <definedName name="Linking_115">#REF!</definedName>
    <definedName name="Linking_116">#REF!</definedName>
    <definedName name="Linking_117">#REF!</definedName>
    <definedName name="Linking_118">#REF!</definedName>
    <definedName name="Linking_119">#REF!</definedName>
    <definedName name="Linking_12">#REF!</definedName>
    <definedName name="Linking_120">#REF!</definedName>
    <definedName name="Linking_121">#REF!</definedName>
    <definedName name="Linking_122">#REF!</definedName>
    <definedName name="Linking_123">#REF!</definedName>
    <definedName name="Linking_124">#REF!</definedName>
    <definedName name="Linking_125">#REF!</definedName>
    <definedName name="Linking_126">#REF!</definedName>
    <definedName name="Linking_127">#REF!</definedName>
    <definedName name="Linking_128">#REF!</definedName>
    <definedName name="Linking_129">#REF!</definedName>
    <definedName name="Linking_13">#REF!</definedName>
    <definedName name="Linking_130">#REF!</definedName>
    <definedName name="Linking_131">#REF!</definedName>
    <definedName name="Linking_132">#REF!</definedName>
    <definedName name="Linking_133">#REF!</definedName>
    <definedName name="Linking_134">#REF!</definedName>
    <definedName name="Linking_135">#REF!</definedName>
    <definedName name="Linking_136">#REF!</definedName>
    <definedName name="Linking_137">#REF!</definedName>
    <definedName name="Linking_138">#REF!</definedName>
    <definedName name="Linking_139">'Vifor Segment'!#REF!</definedName>
    <definedName name="Linking_14">[1]Charts!$A$967:$F$972</definedName>
    <definedName name="Linking_140">'Vifor Segment'!#REF!</definedName>
    <definedName name="Linking_141">#REF!</definedName>
    <definedName name="Linking_142">#REF!</definedName>
    <definedName name="Linking_143">#REF!</definedName>
    <definedName name="Linking_144">'Vifor Segment'!#REF!</definedName>
    <definedName name="Linking_145">'Fin Sum'!$C$6:$AH$82</definedName>
    <definedName name="Linking_146">#REF!</definedName>
    <definedName name="Linking_147">#REF!</definedName>
    <definedName name="Linking_148">'Vifor Segment'!#REF!</definedName>
    <definedName name="Linking_149">#REF!</definedName>
    <definedName name="Linking_15">#REF!</definedName>
    <definedName name="Linking_150">#REF!</definedName>
    <definedName name="Linking_151">'Vifor Segment'!#REF!</definedName>
    <definedName name="Linking_152">#REF!</definedName>
    <definedName name="Linking_153">#REF!</definedName>
    <definedName name="Linking_154">#REF!</definedName>
    <definedName name="Linking_155">#REF!</definedName>
    <definedName name="Linking_156">#REF!</definedName>
    <definedName name="Linking_157">#REF!</definedName>
    <definedName name="Linking_158">'Fin Sum'!$C$6:$AH$79</definedName>
    <definedName name="Linking_159">'Fin Sum'!$C$6:$AH$78</definedName>
    <definedName name="Linking_16">#REF!</definedName>
    <definedName name="Linking_160">#REF!</definedName>
    <definedName name="Linking_161">#REF!</definedName>
    <definedName name="Linking_162">#REF!</definedName>
    <definedName name="Linking_163">#REF!</definedName>
    <definedName name="Linking_164">#REF!</definedName>
    <definedName name="Linking_165">#REF!</definedName>
    <definedName name="Linking_166">#REF!</definedName>
    <definedName name="Linking_167">#REF!</definedName>
    <definedName name="Linking_168">#REF!</definedName>
    <definedName name="Linking_169">#REF!</definedName>
    <definedName name="Linking_17">#REF!</definedName>
    <definedName name="Linking_170">#REF!</definedName>
    <definedName name="Linking_171">#REF!</definedName>
    <definedName name="Linking_172">#REF!</definedName>
    <definedName name="Linking_173">'Fin Sum'!$C$6:$AI$78</definedName>
    <definedName name="Linking_174">#REF!</definedName>
    <definedName name="Linking_175">#REF!</definedName>
    <definedName name="Linking_176">#REF!</definedName>
    <definedName name="Linking_177">#REF!</definedName>
    <definedName name="Linking_178">#REF!</definedName>
    <definedName name="Linking_179">#REF!</definedName>
    <definedName name="Linking_18">#REF!</definedName>
    <definedName name="Linking_180">#REF!</definedName>
    <definedName name="Linking_181">#REF!</definedName>
    <definedName name="Linking_182">#REF!</definedName>
    <definedName name="Linking_183">#REF!</definedName>
    <definedName name="Linking_184">'Fin Sum'!$C$6:$AI$79</definedName>
    <definedName name="Linking_185">#REF!</definedName>
    <definedName name="Linking_186">#REF!</definedName>
    <definedName name="Linking_187">'Fin Sum'!$C$6:$AJ$78</definedName>
    <definedName name="Linking_188">'Fin Sum'!$C$6:$AJ$65</definedName>
    <definedName name="Linking_189">'Valuation table'!$C$3:$N$32</definedName>
    <definedName name="Linking_19">#REF!</definedName>
    <definedName name="Linking_190">'Valuation table'!$P$3:$S$9</definedName>
    <definedName name="Linking_191">#REF!</definedName>
    <definedName name="Linking_192">#REF!</definedName>
    <definedName name="Linking_193">#REF!</definedName>
    <definedName name="Linking_194">#REF!</definedName>
    <definedName name="Linking_195">#REF!</definedName>
    <definedName name="Linking_196">#REF!</definedName>
    <definedName name="Linking_197">'Valuation table'!$C$3:$M$32</definedName>
    <definedName name="Linking_198">#REF!</definedName>
    <definedName name="Linking_199">#REF!</definedName>
    <definedName name="Linking_2">[1]Charts!$A$1169:$E$1173</definedName>
    <definedName name="Linking_20">'Vifor Segment'!#REF!</definedName>
    <definedName name="Linking_200">#REF!</definedName>
    <definedName name="Linking_201">#REF!</definedName>
    <definedName name="Linking_202">'Fin Sum'!$C$6:$AK$65</definedName>
    <definedName name="Linking_203">#REF!</definedName>
    <definedName name="Linking_21">#REF!</definedName>
    <definedName name="Linking_22">#REF!</definedName>
    <definedName name="Linking_23">#REF!</definedName>
    <definedName name="Linking_24">#REF!</definedName>
    <definedName name="Linking_25" localSheetId="4">'[2]Note tables'!$AN$5:$AT$26</definedName>
    <definedName name="Linking_25">#REF!</definedName>
    <definedName name="Linking_26">'Vifor Segment'!#REF!</definedName>
    <definedName name="Linking_27">#REF!</definedName>
    <definedName name="Linking_28">#REF!</definedName>
    <definedName name="Linking_29">#REF!</definedName>
    <definedName name="Linking_3">[1]Charts!$A$1175:$G$1178</definedName>
    <definedName name="Linking_30">#REF!</definedName>
    <definedName name="Linking_31">#REF!</definedName>
    <definedName name="Linking_32">#REF!</definedName>
    <definedName name="Linking_33">#REF!</definedName>
    <definedName name="Linking_334">'Vifor Segment'!$B$1:$AD$95</definedName>
    <definedName name="Linking_34">#REF!</definedName>
    <definedName name="Linking_35">#REF!</definedName>
    <definedName name="Linking_36">#REF!</definedName>
    <definedName name="Linking_37">#REF!</definedName>
    <definedName name="Linking_38">#REF!</definedName>
    <definedName name="Linking_39">#REF!</definedName>
    <definedName name="Linking_4">[1]Charts!$A$1054:$F$1079</definedName>
    <definedName name="Linking_40">#REF!</definedName>
    <definedName name="Linking_41">#REF!</definedName>
    <definedName name="Linking_42">#REF!</definedName>
    <definedName name="Linking_43">#REF!</definedName>
    <definedName name="Linking_44" localSheetId="4">Segment!#REF!</definedName>
    <definedName name="Linking_44">#REF!</definedName>
    <definedName name="Linking_45" localSheetId="4">Segment!#REF!</definedName>
    <definedName name="Linking_45">#REF!</definedName>
    <definedName name="Linking_46" localSheetId="4">Segment!#REF!</definedName>
    <definedName name="Linking_46">#REF!</definedName>
    <definedName name="Linking_47">#REF!</definedName>
    <definedName name="Linking_48">#REF!</definedName>
    <definedName name="Linking_49">#REF!</definedName>
    <definedName name="Linking_5">[1]Charts!$A$1081:$F$1106</definedName>
    <definedName name="Linking_50">#REF!</definedName>
    <definedName name="Linking_51">#REF!</definedName>
    <definedName name="Linking_52">#REF!</definedName>
    <definedName name="Linking_53">#REF!</definedName>
    <definedName name="Linking_54">#REF!</definedName>
    <definedName name="Linking_55">#REF!</definedName>
    <definedName name="Linking_56">#REF!</definedName>
    <definedName name="Linking_57">#REF!</definedName>
    <definedName name="Linking_58">#REF!</definedName>
    <definedName name="Linking_59">#REF!</definedName>
    <definedName name="Linking_6">[1]Charts!$A$1288:$D$1308</definedName>
    <definedName name="Linking_60">#REF!</definedName>
    <definedName name="Linking_61">#REF!</definedName>
    <definedName name="Linking_62">#REF!</definedName>
    <definedName name="Linking_63">#REF!</definedName>
    <definedName name="Linking_64">#REF!</definedName>
    <definedName name="Linking_65">'Vifor Segment'!$B$95:$AA$95</definedName>
    <definedName name="Linking_66">#REF!</definedName>
    <definedName name="Linking_67">#REF!</definedName>
    <definedName name="Linking_68">#REF!</definedName>
    <definedName name="Linking_69">#REF!</definedName>
    <definedName name="Linking_7">'Fin Sum'!$C$6:$AG$82</definedName>
    <definedName name="Linking_70">#REF!</definedName>
    <definedName name="Linking_71">#REF!</definedName>
    <definedName name="Linking_72">#REF!</definedName>
    <definedName name="Linking_73">#REF!</definedName>
    <definedName name="Linking_74">#REF!</definedName>
    <definedName name="Linking_75">'Vifor Segment'!#REF!</definedName>
    <definedName name="Linking_76">#REF!</definedName>
    <definedName name="Linking_77">'Vifor Segment'!$B$97:$D$128</definedName>
    <definedName name="Linking_78">#REF!</definedName>
    <definedName name="Linking_79">#REF!</definedName>
    <definedName name="Linking_8">#REF!</definedName>
    <definedName name="Linking_80">#REF!</definedName>
    <definedName name="Linking_81">#REF!</definedName>
    <definedName name="Linking_82">#REF!</definedName>
    <definedName name="Linking_83">#REF!</definedName>
    <definedName name="Linking_84">#REF!</definedName>
    <definedName name="Linking_85">#REF!</definedName>
    <definedName name="Linking_86">#REF!</definedName>
    <definedName name="Linking_87">'Vifor Segment'!$B$130:$D$134</definedName>
    <definedName name="Linking_88">#REF!</definedName>
    <definedName name="Linking_89">#REF!</definedName>
    <definedName name="Linking_9">#REF!</definedName>
    <definedName name="Linking_90">#REF!</definedName>
    <definedName name="Linking_91">#REF!</definedName>
    <definedName name="Linking_92">#REF!</definedName>
    <definedName name="Linking_93">#REF!</definedName>
    <definedName name="Linking_94">#REF!</definedName>
    <definedName name="Linking_95">#REF!</definedName>
    <definedName name="Linking_96">#REF!</definedName>
    <definedName name="Linking_97">#REF!</definedName>
    <definedName name="Linking_98">'Vifor Segment'!$B$95:$AD$95</definedName>
    <definedName name="Linking_99">#REF!</definedName>
    <definedName name="Linking_Range_1">#REF!</definedName>
    <definedName name="Linking_Range_12">#REF!</definedName>
    <definedName name="Linking_Range_13">#REF!</definedName>
    <definedName name="Linking_Range_15">'[3]Charts &amp; Tables'!$J$1170:$L$1174</definedName>
    <definedName name="Linking_Range_16">'[3]Charts &amp; Tables'!$J$1170:$K$1174</definedName>
    <definedName name="Linking_Range_2">#REF!</definedName>
    <definedName name="Linking_Range_20">'[3]Charts &amp; Tables'!$AE$136:$AG$141</definedName>
    <definedName name="Linking_Range_21">#REF!</definedName>
    <definedName name="Linking_Range_22">#REF!</definedName>
    <definedName name="Linking_Range_23">#REF!</definedName>
    <definedName name="Linking_Range_24">#REF!</definedName>
    <definedName name="Linking_Range_3">#REF!</definedName>
    <definedName name="Linking_Range_32" localSheetId="4">Segment!$DT$133:$EB$300</definedName>
    <definedName name="Linking_Range_33" localSheetId="4">Segment!$DT$274:$DZ$279</definedName>
    <definedName name="Linking_Range_34" localSheetId="4">Segment!$DT$287:$DZ$294</definedName>
    <definedName name="Linking_Range_35">#REF!</definedName>
    <definedName name="Linking_Range_36">#REF!</definedName>
    <definedName name="Linking_Range_37" localSheetId="4">Segment!$DW$274:$EA$282</definedName>
    <definedName name="Linking_Range_38" localSheetId="4">Segment!$DW$272:$EA$282</definedName>
    <definedName name="Linking_Range_39" localSheetId="4">Segment!$DW$272:$EC$282</definedName>
    <definedName name="Linking_Range_40" localSheetId="4">Segment!$DW$287:$EC$297</definedName>
    <definedName name="Linking_Range_41" localSheetId="4">Segment!#REF!</definedName>
    <definedName name="Linking_Range_42">#REF!</definedName>
    <definedName name="Linking_Range_43">#REF!</definedName>
    <definedName name="Linking_Range_75">#REF!</definedName>
    <definedName name="Linking_Range_80">[1]Charts!$A$864:$C$882</definedName>
    <definedName name="Linking_Range_81">[1]Charts!$A$884:$H$908</definedName>
    <definedName name="Linking_Range_82">[1]Charts!$A$911:$D$931</definedName>
    <definedName name="Linking_Range_83">[1]Charts!$A$884:$H$899</definedName>
    <definedName name="Linking_Range_88">[1]Charts!$A$1227:$H$1263</definedName>
    <definedName name="Linking_Range_89">[1]Charts!$A$1265:$D$1268</definedName>
    <definedName name="lstexchcodes">"Drop Down 22"</definedName>
    <definedName name="middleEast">0</definedName>
    <definedName name="middleEastAfrica">0</definedName>
    <definedName name="middleEastAfricaRegion">#REF!</definedName>
    <definedName name="middleEastAfricaStates">#REF!</definedName>
    <definedName name="NEPS_17">Model!$CY$11</definedName>
    <definedName name="northAmerica">0.48</definedName>
    <definedName name="northAmericaCountries">#REF!</definedName>
    <definedName name="otherAfrica">0</definedName>
    <definedName name="otherAsiaPacific">0.08</definedName>
    <definedName name="otherCentralEasternEurope">0.05</definedName>
    <definedName name="otherDevelopedEurope">0.12</definedName>
    <definedName name="otherLATAM">0.05</definedName>
    <definedName name="proorma">'Vifor Segment'!$B$95:$AD$95</definedName>
    <definedName name="regionalCostExposure">#REF!</definedName>
    <definedName name="rngBRICS">#REF!,#REF!,#REF!,#REF!</definedName>
    <definedName name="rngContinentWiseValue">#REF!</definedName>
    <definedName name="rngCountryWiseValue">#REF!</definedName>
    <definedName name="rngEEMEA">#REF!,#REF!,#REF!,#REF!</definedName>
    <definedName name="rngStateWiseValue">#REF!</definedName>
    <definedName name="rngTotalRegionExposure">1</definedName>
    <definedName name="showVersionCheckMessage">1</definedName>
    <definedName name="socioEconomicRegion">#REF!</definedName>
    <definedName name="socioEconomicRegions">#REF!</definedName>
    <definedName name="spain">0</definedName>
    <definedName name="totalConsumerDemandExposure">1</definedName>
    <definedName name="totalDomesticCostExposure">#REF!</definedName>
    <definedName name="totalDomesticRevenueExposure">#REF!</definedName>
    <definedName name="totalEndDemandRevenueExposure">#REF!</definedName>
    <definedName name="totalRegionCostExposure">#REF!</definedName>
    <definedName name="totalRegionRevenueExposure">#REF!</definedName>
    <definedName name="uk">0.05</definedName>
    <definedName name="ValidDateTable">#REF!</definedName>
  </definedNames>
  <calcPr calcId="191029" calcMode="manual"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D172" i="8" l="1"/>
  <c r="EE172" i="8" s="1"/>
  <c r="EA172" i="8"/>
  <c r="DX211" i="7"/>
  <c r="DX206" i="7"/>
  <c r="DX172" i="8" s="1"/>
  <c r="DW351" i="45"/>
  <c r="DV354" i="45"/>
  <c r="DZ225" i="7" l="1"/>
  <c r="DZ223" i="7"/>
  <c r="AF20" i="57"/>
  <c r="EB135" i="8"/>
  <c r="DY266" i="45"/>
  <c r="DY263" i="45"/>
  <c r="DY254" i="45"/>
  <c r="DY251" i="45"/>
  <c r="DY336" i="45"/>
  <c r="DY316" i="45"/>
  <c r="DY279" i="45"/>
  <c r="DX296" i="45"/>
  <c r="DY165" i="45"/>
  <c r="DY163" i="45"/>
  <c r="DY90" i="45"/>
  <c r="DY97" i="45"/>
  <c r="DZ97" i="45" s="1"/>
  <c r="DZ203" i="7" l="1"/>
  <c r="DZ89" i="7"/>
  <c r="DX2" i="7"/>
  <c r="DY291" i="7"/>
  <c r="DZ291" i="7" s="1"/>
  <c r="EA291" i="7" s="1"/>
  <c r="EB291" i="7" s="1"/>
  <c r="EC291" i="7" s="1"/>
  <c r="ED291" i="7" s="1"/>
  <c r="EE291" i="7" s="1"/>
  <c r="EF291" i="7" s="1"/>
  <c r="EG291" i="7" s="1"/>
  <c r="EH291" i="7" s="1"/>
  <c r="EI291" i="7" s="1"/>
  <c r="EJ291" i="7" s="1"/>
  <c r="EK291" i="7" s="1"/>
  <c r="EL291" i="7" s="1"/>
  <c r="EM291" i="7" s="1"/>
  <c r="EN291" i="7" s="1"/>
  <c r="EO291" i="7" s="1"/>
  <c r="EP291" i="7" s="1"/>
  <c r="EQ291" i="7" s="1"/>
  <c r="ER291" i="7" s="1"/>
  <c r="ES291" i="7" s="1"/>
  <c r="ET291" i="7" s="1"/>
  <c r="EU291" i="7" s="1"/>
  <c r="EV291" i="7" s="1"/>
  <c r="EW291" i="7" s="1"/>
  <c r="EX291" i="7" s="1"/>
  <c r="EY291" i="7" s="1"/>
  <c r="EZ291" i="7" s="1"/>
  <c r="FA291" i="7" s="1"/>
  <c r="DZ275" i="7"/>
  <c r="DX184" i="8"/>
  <c r="DZ211" i="7"/>
  <c r="DZ210" i="7"/>
  <c r="DZ207" i="7"/>
  <c r="DX209" i="7"/>
  <c r="DZ209" i="7" s="1"/>
  <c r="DX208" i="7"/>
  <c r="DZ199" i="7"/>
  <c r="DZ194" i="7"/>
  <c r="DZ191" i="7"/>
  <c r="DX217" i="7"/>
  <c r="DX205" i="7"/>
  <c r="DX202" i="7"/>
  <c r="DX201" i="7"/>
  <c r="DX200" i="7"/>
  <c r="DX198" i="7" s="1"/>
  <c r="DX197" i="7"/>
  <c r="DZ197" i="7" s="1"/>
  <c r="DX196" i="7"/>
  <c r="DZ196" i="7" s="1"/>
  <c r="DX297" i="7"/>
  <c r="DX259" i="7"/>
  <c r="DX247" i="7"/>
  <c r="DX307" i="7"/>
  <c r="DX315" i="7" s="1"/>
  <c r="DX317" i="7" s="1"/>
  <c r="DX281" i="7"/>
  <c r="DX280" i="7" s="1"/>
  <c r="DX263" i="7"/>
  <c r="DX257" i="7"/>
  <c r="DX249" i="7"/>
  <c r="DX240" i="7"/>
  <c r="DX239" i="7" s="1"/>
  <c r="DX234" i="7"/>
  <c r="DX229" i="7"/>
  <c r="DX132" i="8"/>
  <c r="DX117" i="8"/>
  <c r="DX77" i="7" s="1"/>
  <c r="DX87" i="8"/>
  <c r="DX78" i="8"/>
  <c r="DX81" i="8" s="1"/>
  <c r="DX77" i="8"/>
  <c r="DX69" i="8"/>
  <c r="DX72" i="8" s="1"/>
  <c r="DX68" i="8"/>
  <c r="DX63" i="8"/>
  <c r="DX61" i="8"/>
  <c r="DX60" i="8"/>
  <c r="DX55" i="8"/>
  <c r="DX66" i="7" s="1"/>
  <c r="DX65" i="7" s="1"/>
  <c r="DX53" i="8"/>
  <c r="DX47" i="8"/>
  <c r="DX38" i="8"/>
  <c r="DX31" i="8"/>
  <c r="DX27" i="8"/>
  <c r="DX26" i="8"/>
  <c r="DX28" i="8" s="1"/>
  <c r="DX118" i="7"/>
  <c r="DX117" i="7"/>
  <c r="DX94" i="7"/>
  <c r="DX93" i="7"/>
  <c r="DX84" i="7"/>
  <c r="DX83" i="7"/>
  <c r="DX81" i="7"/>
  <c r="DX76" i="7"/>
  <c r="DX71" i="7"/>
  <c r="DX68" i="7"/>
  <c r="DX67" i="7"/>
  <c r="DX64" i="7"/>
  <c r="DX60" i="7"/>
  <c r="DX59" i="7"/>
  <c r="DX38" i="7"/>
  <c r="DX37" i="7"/>
  <c r="DX36" i="7"/>
  <c r="AB8" i="57"/>
  <c r="AB55" i="57"/>
  <c r="AB6" i="57" s="1"/>
  <c r="AB5" i="57"/>
  <c r="AB97" i="57"/>
  <c r="AB87" i="57"/>
  <c r="AB72" i="57"/>
  <c r="AB66" i="57"/>
  <c r="AB57" i="57"/>
  <c r="AB49" i="57"/>
  <c r="AB47" i="57"/>
  <c r="AB44" i="57"/>
  <c r="AB38" i="57"/>
  <c r="AB32" i="57"/>
  <c r="AB29" i="57"/>
  <c r="AB25" i="57"/>
  <c r="AB23" i="57"/>
  <c r="AB20" i="57"/>
  <c r="AB17" i="57"/>
  <c r="AB4" i="57"/>
  <c r="AB3" i="57"/>
  <c r="DX410" i="45"/>
  <c r="DX455" i="45"/>
  <c r="DX404" i="45"/>
  <c r="DX400" i="45"/>
  <c r="DX373" i="45"/>
  <c r="DX370" i="45"/>
  <c r="DX366" i="45"/>
  <c r="DX375" i="45" s="1"/>
  <c r="DX364" i="45"/>
  <c r="DX351" i="45"/>
  <c r="DX352" i="45" s="1"/>
  <c r="DX316" i="45"/>
  <c r="DX299" i="45"/>
  <c r="DX297" i="45"/>
  <c r="DX116" i="45" s="1"/>
  <c r="DX284" i="45"/>
  <c r="DX282" i="45"/>
  <c r="DX269" i="45"/>
  <c r="DX110" i="45" s="1"/>
  <c r="DX263" i="45"/>
  <c r="DX259" i="45"/>
  <c r="DX254" i="45"/>
  <c r="DX251" i="45"/>
  <c r="DX172" i="45"/>
  <c r="DX166" i="45"/>
  <c r="DX165" i="45"/>
  <c r="DX163" i="45"/>
  <c r="DX134" i="45"/>
  <c r="DX115" i="45"/>
  <c r="DX109" i="45"/>
  <c r="DX106" i="45"/>
  <c r="DX232" i="45"/>
  <c r="DX235" i="45" s="1"/>
  <c r="DX248" i="45"/>
  <c r="DX189" i="45"/>
  <c r="DX379" i="45"/>
  <c r="DX395" i="45" l="1"/>
  <c r="DX63" i="7"/>
  <c r="DX401" i="45"/>
  <c r="DX398" i="45"/>
  <c r="DX61" i="45" s="1"/>
  <c r="DX18" i="8"/>
  <c r="DX256" i="7"/>
  <c r="DX391" i="45"/>
  <c r="DX195" i="7"/>
  <c r="DZ195" i="7" s="1"/>
  <c r="DX85" i="7"/>
  <c r="DX75" i="7"/>
  <c r="DX73" i="7" s="1"/>
  <c r="DX105" i="8"/>
  <c r="DX17" i="8" s="1"/>
  <c r="DX58" i="7"/>
  <c r="DX57" i="7" s="1"/>
  <c r="DX181" i="7" s="1"/>
  <c r="DX69" i="7"/>
  <c r="DX116" i="7"/>
  <c r="DX140" i="7" s="1"/>
  <c r="DX35" i="7"/>
  <c r="DX82" i="7"/>
  <c r="DX456" i="45"/>
  <c r="DX445" i="45"/>
  <c r="DX450" i="45"/>
  <c r="DX453" i="45"/>
  <c r="DX63" i="45" s="1"/>
  <c r="DX124" i="45"/>
  <c r="DX265" i="45"/>
  <c r="DX175" i="45"/>
  <c r="DX178" i="45"/>
  <c r="DX382" i="45"/>
  <c r="DX103" i="45"/>
  <c r="DY241" i="7"/>
  <c r="DZ241" i="7" s="1"/>
  <c r="DW404" i="45"/>
  <c r="DW406" i="45" s="1"/>
  <c r="DV406" i="45" s="1"/>
  <c r="DV405" i="45"/>
  <c r="DX4" i="8" l="1"/>
  <c r="DX10" i="8" s="1"/>
  <c r="DX179" i="7"/>
  <c r="DX183" i="7" s="1"/>
  <c r="DX61" i="7"/>
  <c r="DX55" i="7" s="1"/>
  <c r="AB7" i="57"/>
  <c r="DX112" i="45"/>
  <c r="DX118" i="45" s="1"/>
  <c r="DX113" i="45"/>
  <c r="AB9" i="57" l="1"/>
  <c r="AB88" i="57" s="1"/>
  <c r="DX121" i="45"/>
  <c r="DX129" i="45"/>
  <c r="DX357" i="45" s="1"/>
  <c r="DX195" i="45"/>
  <c r="EH73" i="45"/>
  <c r="EK73" i="45" s="1"/>
  <c r="EN73" i="45" s="1"/>
  <c r="EQ73" i="45" s="1"/>
  <c r="ET73" i="45" s="1"/>
  <c r="EW73" i="45" s="1"/>
  <c r="EZ73" i="45" s="1"/>
  <c r="EG73" i="45"/>
  <c r="EJ73" i="45" s="1"/>
  <c r="EM73" i="45" s="1"/>
  <c r="EP73" i="45" s="1"/>
  <c r="ES73" i="45" s="1"/>
  <c r="EV73" i="45" s="1"/>
  <c r="EY73" i="45" s="1"/>
  <c r="EH71" i="45"/>
  <c r="EK71" i="45" s="1"/>
  <c r="EN71" i="45" s="1"/>
  <c r="EQ71" i="45" s="1"/>
  <c r="ET71" i="45" s="1"/>
  <c r="EW71" i="45" s="1"/>
  <c r="EZ71" i="45" s="1"/>
  <c r="EG71" i="45"/>
  <c r="EJ71" i="45" s="1"/>
  <c r="EM71" i="45" s="1"/>
  <c r="EP71" i="45" s="1"/>
  <c r="ES71" i="45" s="1"/>
  <c r="EV71" i="45" s="1"/>
  <c r="EY71" i="45" s="1"/>
  <c r="DU76" i="45"/>
  <c r="DR76" i="45"/>
  <c r="DO76" i="45"/>
  <c r="EG395" i="45"/>
  <c r="EJ395" i="45" s="1"/>
  <c r="EH395" i="45"/>
  <c r="EQ395" i="45"/>
  <c r="ET395" i="45" s="1"/>
  <c r="EV395" i="45" s="1"/>
  <c r="EW395" i="45" s="1"/>
  <c r="EY395" i="45" s="1"/>
  <c r="EZ395" i="45" s="1"/>
  <c r="AB85" i="57" l="1"/>
  <c r="AB81" i="57"/>
  <c r="AB77" i="57"/>
  <c r="DX361" i="45"/>
  <c r="DX6" i="45" l="1"/>
  <c r="DX17" i="45" l="1"/>
  <c r="DX28" i="45" l="1"/>
  <c r="DX60" i="45"/>
  <c r="DX38" i="45" l="1"/>
  <c r="DX44" i="45"/>
  <c r="DX54" i="45" l="1"/>
  <c r="EJ77" i="45" l="1"/>
  <c r="EK77" i="45" s="1"/>
  <c r="EH77" i="45"/>
  <c r="EB398" i="45"/>
  <c r="EE398" i="45" s="1"/>
  <c r="EG398" i="45" s="1"/>
  <c r="EH398" i="45" s="1"/>
  <c r="EJ398" i="45" s="1"/>
  <c r="EK398" i="45" s="1"/>
  <c r="EM398" i="45" s="1"/>
  <c r="EN398" i="45" s="1"/>
  <c r="EP398" i="45" s="1"/>
  <c r="EQ398" i="45" s="1"/>
  <c r="ES398" i="45" s="1"/>
  <c r="ET398" i="45" s="1"/>
  <c r="EV398" i="45" s="1"/>
  <c r="EW398" i="45" s="1"/>
  <c r="EY398" i="45" s="1"/>
  <c r="EZ398" i="45" s="1"/>
  <c r="EM77" i="45" l="1"/>
  <c r="EN77" i="45" s="1"/>
  <c r="FF74" i="45"/>
  <c r="FI73" i="45"/>
  <c r="FL73" i="45" s="1"/>
  <c r="FG72" i="45"/>
  <c r="FH72" i="45" s="1"/>
  <c r="FG71" i="45"/>
  <c r="FH71" i="45" s="1"/>
  <c r="FI71" i="45" s="1"/>
  <c r="FJ71" i="45" s="1"/>
  <c r="FK71" i="45" s="1"/>
  <c r="EP77" i="45" l="1"/>
  <c r="EQ77" i="45" s="1"/>
  <c r="FG74" i="45"/>
  <c r="FI72" i="45"/>
  <c r="FH74" i="45"/>
  <c r="ES77" i="45" l="1"/>
  <c r="ET77" i="45" s="1"/>
  <c r="FI74" i="45"/>
  <c r="FJ72" i="45"/>
  <c r="FJ74" i="45" s="1"/>
  <c r="EV77" i="45" l="1"/>
  <c r="EY77" i="45" s="1"/>
  <c r="EZ77" i="45" s="1"/>
  <c r="EW77" i="45" l="1"/>
  <c r="EA420" i="45" l="1"/>
  <c r="EA432" i="45"/>
  <c r="EG156" i="45" l="1"/>
  <c r="DY158" i="45" l="1"/>
  <c r="EB158" i="45"/>
  <c r="EE158" i="45"/>
  <c r="EG158" i="45" s="1"/>
  <c r="EH158" i="45" s="1"/>
  <c r="EK158" i="45"/>
  <c r="EM158" i="45" s="1"/>
  <c r="EN158" i="45" s="1"/>
  <c r="EP158" i="45" s="1"/>
  <c r="EQ158" i="45" s="1"/>
  <c r="ES158" i="45" s="1"/>
  <c r="ET158" i="45" s="1"/>
  <c r="EV158" i="45" s="1"/>
  <c r="EW158" i="45" s="1"/>
  <c r="EY158" i="45" s="1"/>
  <c r="EZ158" i="45" s="1"/>
  <c r="EE273" i="45"/>
  <c r="EH273" i="45" s="1"/>
  <c r="EQ273" i="45" s="1"/>
  <c r="ET273" i="45" s="1"/>
  <c r="EW273" i="45" s="1"/>
  <c r="EZ273" i="45" s="1"/>
  <c r="ED273" i="45"/>
  <c r="EM273" i="45" s="1"/>
  <c r="ES273" i="45" s="1"/>
  <c r="EV273" i="45" s="1"/>
  <c r="EY273" i="45" s="1"/>
  <c r="DW225" i="7" l="1"/>
  <c r="DU225" i="7"/>
  <c r="EK156" i="45"/>
  <c r="EB156" i="45"/>
  <c r="DY172" i="8" l="1"/>
  <c r="DY206" i="7" s="1"/>
  <c r="EB172" i="8"/>
  <c r="DV197" i="8"/>
  <c r="DX369" i="7"/>
  <c r="DW90" i="7" l="1"/>
  <c r="DV256" i="45" l="1"/>
  <c r="EA361" i="45"/>
  <c r="ED361" i="45" s="1"/>
  <c r="EG361" i="45" s="1"/>
  <c r="EJ361" i="45" s="1"/>
  <c r="EF171" i="8"/>
  <c r="EE171" i="8"/>
  <c r="ED171" i="8"/>
  <c r="EC171" i="8"/>
  <c r="EB171" i="8"/>
  <c r="EA171" i="8"/>
  <c r="DY369" i="7"/>
  <c r="EA369" i="7" s="1"/>
  <c r="EB369" i="7" s="1"/>
  <c r="ED369" i="7" s="1"/>
  <c r="EE369" i="7" s="1"/>
  <c r="DW390" i="7"/>
  <c r="DU390" i="7"/>
  <c r="EB373" i="45"/>
  <c r="ED373" i="45" s="1"/>
  <c r="EE373" i="45" s="1"/>
  <c r="EB372" i="45" l="1"/>
  <c r="EM361" i="45"/>
  <c r="EG373" i="45"/>
  <c r="EH373" i="45" s="1"/>
  <c r="EJ373" i="45" s="1"/>
  <c r="EK373" i="45" s="1"/>
  <c r="EM373" i="45" s="1"/>
  <c r="EN373" i="45" s="1"/>
  <c r="EP373" i="45" s="1"/>
  <c r="EQ373" i="45" s="1"/>
  <c r="ES373" i="45" s="1"/>
  <c r="ET373" i="45" s="1"/>
  <c r="EV373" i="45" s="1"/>
  <c r="EW373" i="45" s="1"/>
  <c r="EY373" i="45" s="1"/>
  <c r="EZ373" i="45" s="1"/>
  <c r="EE372" i="45"/>
  <c r="DW172" i="45"/>
  <c r="AA5" i="57"/>
  <c r="DV378" i="7"/>
  <c r="DV179" i="8"/>
  <c r="DW297" i="7"/>
  <c r="DV297" i="7" s="1"/>
  <c r="DW259" i="7"/>
  <c r="DV259" i="7" s="1"/>
  <c r="DW247" i="7"/>
  <c r="DV247" i="7" s="1"/>
  <c r="DW241" i="7"/>
  <c r="DV241" i="7" s="1"/>
  <c r="DW209" i="7"/>
  <c r="DW203" i="7"/>
  <c r="DW135" i="8"/>
  <c r="DW81" i="7" s="1"/>
  <c r="DW82" i="7" s="1"/>
  <c r="DV362" i="7"/>
  <c r="DV361" i="7"/>
  <c r="DW360" i="7"/>
  <c r="DV360" i="7" s="1"/>
  <c r="DV353" i="7"/>
  <c r="DV347" i="7"/>
  <c r="DV316" i="7"/>
  <c r="DV314" i="7"/>
  <c r="DV313" i="7"/>
  <c r="DV312" i="7"/>
  <c r="DV311" i="7"/>
  <c r="DV310" i="7"/>
  <c r="DV309" i="7"/>
  <c r="DV308" i="7"/>
  <c r="DW307" i="7"/>
  <c r="DW315" i="7" s="1"/>
  <c r="DV315" i="7" s="1"/>
  <c r="DV306" i="7"/>
  <c r="DV305" i="7"/>
  <c r="DV294" i="7"/>
  <c r="DV287" i="7"/>
  <c r="DV282" i="7"/>
  <c r="DW281" i="7"/>
  <c r="DV281" i="7" s="1"/>
  <c r="DV275" i="7"/>
  <c r="DV68" i="8" s="1"/>
  <c r="DV267" i="7"/>
  <c r="DV265" i="7"/>
  <c r="DV264" i="7"/>
  <c r="DW263" i="7"/>
  <c r="DV258" i="7"/>
  <c r="DW257" i="7"/>
  <c r="DV257" i="7" s="1"/>
  <c r="DV252" i="7"/>
  <c r="DV251" i="7"/>
  <c r="DW249" i="7"/>
  <c r="DV249" i="7" s="1"/>
  <c r="DV244" i="7"/>
  <c r="DW240" i="7"/>
  <c r="DV238" i="7"/>
  <c r="DV237" i="7"/>
  <c r="DV236" i="7"/>
  <c r="DV235" i="7"/>
  <c r="DW234" i="7"/>
  <c r="DV232" i="7"/>
  <c r="DV231" i="7"/>
  <c r="DV230" i="7"/>
  <c r="DW229" i="7"/>
  <c r="DV228" i="7"/>
  <c r="DV225" i="7"/>
  <c r="DV223" i="7"/>
  <c r="DW217" i="7"/>
  <c r="DV214" i="7"/>
  <c r="DV210" i="7"/>
  <c r="DV176" i="8" s="1"/>
  <c r="DW207" i="7"/>
  <c r="DV207" i="7" s="1"/>
  <c r="DV206" i="7"/>
  <c r="DW202" i="7"/>
  <c r="DW201" i="7"/>
  <c r="DW200" i="7"/>
  <c r="DV199" i="7"/>
  <c r="DV165" i="8" s="1"/>
  <c r="DW197" i="7"/>
  <c r="DW194" i="7"/>
  <c r="DV194" i="7" s="1"/>
  <c r="DV159" i="8" s="1"/>
  <c r="DW191" i="7"/>
  <c r="DV191" i="7" s="1"/>
  <c r="DV156" i="8" s="1"/>
  <c r="DV189" i="7"/>
  <c r="DV187" i="7"/>
  <c r="DV182" i="7"/>
  <c r="DV180" i="7"/>
  <c r="DV146" i="7"/>
  <c r="DW145" i="7"/>
  <c r="DV139" i="7"/>
  <c r="DV138" i="7"/>
  <c r="DV137" i="7"/>
  <c r="DV136" i="7"/>
  <c r="DV135" i="7"/>
  <c r="DV134" i="7"/>
  <c r="DV133" i="7"/>
  <c r="DV132" i="7"/>
  <c r="DV131" i="7"/>
  <c r="DV130" i="7"/>
  <c r="DV129" i="7"/>
  <c r="DV128" i="7"/>
  <c r="DV127" i="7"/>
  <c r="DV126" i="7"/>
  <c r="DV125" i="7"/>
  <c r="DV124" i="7"/>
  <c r="DV123" i="7"/>
  <c r="DV122" i="7"/>
  <c r="DV121" i="7"/>
  <c r="DV120" i="7"/>
  <c r="DV119" i="7"/>
  <c r="DW118" i="7"/>
  <c r="DW117" i="7"/>
  <c r="DV115" i="7"/>
  <c r="DV114" i="7"/>
  <c r="DV113" i="7"/>
  <c r="DV112" i="7"/>
  <c r="DV111" i="7"/>
  <c r="DV110" i="7"/>
  <c r="DV109" i="7"/>
  <c r="DV108" i="7"/>
  <c r="DV107" i="7"/>
  <c r="DV106" i="7"/>
  <c r="DV105" i="7"/>
  <c r="DV104" i="7"/>
  <c r="DV103" i="7"/>
  <c r="DV102" i="7"/>
  <c r="DV101" i="7"/>
  <c r="DV100" i="7"/>
  <c r="DV99" i="7"/>
  <c r="DV98" i="7"/>
  <c r="DV97" i="7"/>
  <c r="DV96" i="7"/>
  <c r="DV95" i="7"/>
  <c r="DW94" i="7"/>
  <c r="DW93" i="7"/>
  <c r="DV90" i="7"/>
  <c r="DW89" i="7"/>
  <c r="DV89" i="7" s="1"/>
  <c r="DW88" i="7"/>
  <c r="DW87" i="7"/>
  <c r="DW84" i="7"/>
  <c r="DW83" i="7"/>
  <c r="DV80" i="7"/>
  <c r="DV79" i="7"/>
  <c r="DV78" i="7"/>
  <c r="DW76" i="7"/>
  <c r="DW71" i="7"/>
  <c r="DW68" i="7"/>
  <c r="DW67" i="7"/>
  <c r="DW64" i="7"/>
  <c r="DW60" i="7"/>
  <c r="DW59" i="7"/>
  <c r="DV52" i="7"/>
  <c r="DV49" i="7"/>
  <c r="DV48" i="7"/>
  <c r="DV47" i="7"/>
  <c r="DV46" i="7"/>
  <c r="DV44" i="7"/>
  <c r="DW38" i="7"/>
  <c r="DW37" i="7"/>
  <c r="DW36" i="7"/>
  <c r="DW204" i="8"/>
  <c r="DW199" i="8"/>
  <c r="DV199" i="8"/>
  <c r="DV193" i="8"/>
  <c r="DV192" i="8"/>
  <c r="DV191" i="8"/>
  <c r="DW190" i="8"/>
  <c r="DV189" i="8"/>
  <c r="DV188" i="8"/>
  <c r="DV187" i="8"/>
  <c r="DW186" i="8"/>
  <c r="DV185" i="8"/>
  <c r="DV183" i="8"/>
  <c r="DV182" i="8"/>
  <c r="DW181" i="8"/>
  <c r="DW176" i="8"/>
  <c r="DW174" i="8" s="1"/>
  <c r="DW171" i="8"/>
  <c r="DV171" i="8"/>
  <c r="DW164" i="8"/>
  <c r="DV153" i="8"/>
  <c r="DW153" i="8" s="1"/>
  <c r="DV138" i="8"/>
  <c r="DV137" i="8"/>
  <c r="DV131" i="8"/>
  <c r="DW131" i="8" s="1"/>
  <c r="DV130" i="8"/>
  <c r="DW110" i="8"/>
  <c r="DW112" i="8" s="1"/>
  <c r="DV110" i="8"/>
  <c r="DV112" i="8" s="1"/>
  <c r="DW107" i="8"/>
  <c r="DW109" i="8" s="1"/>
  <c r="DV107" i="8"/>
  <c r="DV109" i="8" s="1"/>
  <c r="DW97" i="8"/>
  <c r="DV97" i="8" s="1"/>
  <c r="DV96" i="8"/>
  <c r="DV95" i="8"/>
  <c r="DV94" i="8"/>
  <c r="DV91" i="8"/>
  <c r="DW87" i="8"/>
  <c r="DW90" i="8" s="1"/>
  <c r="DV90" i="8" s="1"/>
  <c r="DV85" i="8"/>
  <c r="DV84" i="8"/>
  <c r="DV87" i="8" s="1"/>
  <c r="DV82" i="8"/>
  <c r="DW78" i="8"/>
  <c r="DW81" i="8" s="1"/>
  <c r="DV81" i="8" s="1"/>
  <c r="DW77" i="8"/>
  <c r="DX79" i="8" s="1"/>
  <c r="DV77" i="8"/>
  <c r="DV76" i="8"/>
  <c r="DV75" i="8"/>
  <c r="DV78" i="8" s="1"/>
  <c r="DV73" i="8"/>
  <c r="DW69" i="8"/>
  <c r="DW72" i="8" s="1"/>
  <c r="DV72" i="8" s="1"/>
  <c r="DW68" i="8"/>
  <c r="DX70" i="8" s="1"/>
  <c r="DV67" i="8"/>
  <c r="DV66" i="8"/>
  <c r="DV69" i="8" s="1"/>
  <c r="DW63" i="8"/>
  <c r="DV63" i="8"/>
  <c r="DW61" i="8"/>
  <c r="DV61" i="8"/>
  <c r="DW60" i="8"/>
  <c r="DV60" i="8"/>
  <c r="DW55" i="8"/>
  <c r="DW66" i="7" s="1"/>
  <c r="DW53" i="8"/>
  <c r="DV50" i="8"/>
  <c r="DW47" i="8"/>
  <c r="DV47" i="8"/>
  <c r="DV43" i="8"/>
  <c r="DV40" i="8"/>
  <c r="DW38" i="8"/>
  <c r="DV38" i="8"/>
  <c r="DV34" i="8"/>
  <c r="DW31" i="8"/>
  <c r="DV23" i="8"/>
  <c r="AA55" i="57"/>
  <c r="Z55" i="57" s="1"/>
  <c r="AA97" i="57"/>
  <c r="Z94" i="57"/>
  <c r="Z84" i="57"/>
  <c r="DV64" i="45" s="1"/>
  <c r="Z80" i="57"/>
  <c r="AA74" i="57"/>
  <c r="AA70" i="57"/>
  <c r="AA68" i="57"/>
  <c r="Z66" i="57"/>
  <c r="Z52" i="57"/>
  <c r="Z8" i="57" s="1"/>
  <c r="AA49" i="57"/>
  <c r="AA47" i="57"/>
  <c r="Z46" i="57"/>
  <c r="AA44" i="57"/>
  <c r="AA38" i="57"/>
  <c r="Z37" i="57"/>
  <c r="AA32" i="57"/>
  <c r="Z31" i="57"/>
  <c r="AA29" i="57"/>
  <c r="AA25" i="57"/>
  <c r="AA23" i="57"/>
  <c r="Z22" i="57"/>
  <c r="AA20" i="57"/>
  <c r="Z19" i="57"/>
  <c r="AA17" i="57"/>
  <c r="DW410" i="45"/>
  <c r="DV410" i="45" s="1"/>
  <c r="DW455" i="45"/>
  <c r="DW45" i="45" s="1"/>
  <c r="DV452" i="45"/>
  <c r="DV62" i="45" s="1"/>
  <c r="DV449" i="45"/>
  <c r="DV29" i="45" s="1"/>
  <c r="DV432" i="45"/>
  <c r="DV431" i="45"/>
  <c r="DV409" i="45"/>
  <c r="DV408" i="45"/>
  <c r="DV397" i="45"/>
  <c r="DV394" i="45"/>
  <c r="DV28" i="45" s="1"/>
  <c r="DW373" i="45"/>
  <c r="DV372" i="45"/>
  <c r="DW370" i="45"/>
  <c r="DV369" i="45"/>
  <c r="DW364" i="45"/>
  <c r="DV363" i="45"/>
  <c r="DW316" i="45"/>
  <c r="DV315" i="45"/>
  <c r="DV294" i="45"/>
  <c r="DW282" i="45"/>
  <c r="DW113" i="45" s="1"/>
  <c r="DV281" i="45"/>
  <c r="DV112" i="45" s="1"/>
  <c r="DW263" i="45"/>
  <c r="DV262" i="45"/>
  <c r="DW254" i="45"/>
  <c r="DV253" i="45"/>
  <c r="DW251" i="45"/>
  <c r="DV250" i="45"/>
  <c r="DV245" i="45"/>
  <c r="DW245" i="45" s="1"/>
  <c r="DV232" i="45"/>
  <c r="DV235" i="45" s="1"/>
  <c r="DV230" i="45"/>
  <c r="DW165" i="45"/>
  <c r="DV164" i="45"/>
  <c r="DW163" i="45"/>
  <c r="DV162" i="45"/>
  <c r="DV158" i="45"/>
  <c r="DV133" i="45"/>
  <c r="DV379" i="45" s="1"/>
  <c r="DV99" i="45"/>
  <c r="DV154" i="8" s="1"/>
  <c r="DV97" i="45"/>
  <c r="DV93" i="45"/>
  <c r="DV91" i="45"/>
  <c r="DV26" i="8" s="1"/>
  <c r="DV89" i="45"/>
  <c r="DV27" i="8" s="1"/>
  <c r="DV87" i="45"/>
  <c r="DV72" i="45"/>
  <c r="DV70" i="45"/>
  <c r="DW62" i="45"/>
  <c r="DW60" i="45"/>
  <c r="DX184" i="7" l="1"/>
  <c r="DV234" i="7"/>
  <c r="DV263" i="7"/>
  <c r="DW39" i="7"/>
  <c r="DV39" i="7" s="1"/>
  <c r="DW239" i="7"/>
  <c r="DW242" i="7" s="1"/>
  <c r="DW195" i="7"/>
  <c r="EH372" i="45"/>
  <c r="EK372" i="45" s="1"/>
  <c r="EN372" i="45" s="1"/>
  <c r="EQ372" i="45" s="1"/>
  <c r="ET372" i="45" s="1"/>
  <c r="EW372" i="45" s="1"/>
  <c r="EZ372" i="45" s="1"/>
  <c r="DV30" i="45"/>
  <c r="DV31" i="45" s="1"/>
  <c r="DV181" i="8"/>
  <c r="DV190" i="8"/>
  <c r="DV259" i="45"/>
  <c r="DW198" i="7"/>
  <c r="EP361" i="45"/>
  <c r="DV189" i="45"/>
  <c r="DV240" i="7"/>
  <c r="DW411" i="45"/>
  <c r="DW18" i="45" s="1"/>
  <c r="DV166" i="45"/>
  <c r="DV28" i="8"/>
  <c r="Z6" i="57"/>
  <c r="DV55" i="8"/>
  <c r="DW86" i="7"/>
  <c r="DW35" i="7"/>
  <c r="DV307" i="7"/>
  <c r="DV186" i="8"/>
  <c r="DW280" i="7"/>
  <c r="DV280" i="7" s="1"/>
  <c r="DW65" i="7"/>
  <c r="DV229" i="7"/>
  <c r="DW317" i="7"/>
  <c r="DV317" i="7" s="1"/>
  <c r="DW179" i="8"/>
  <c r="DW85" i="7"/>
  <c r="DW205" i="7"/>
  <c r="DW256" i="7"/>
  <c r="DV256" i="7" s="1"/>
  <c r="DW117" i="8"/>
  <c r="Z87" i="57"/>
  <c r="DV455" i="45"/>
  <c r="DV45" i="45" s="1"/>
  <c r="DV284" i="45"/>
  <c r="DW232" i="45"/>
  <c r="DV382" i="45"/>
  <c r="DV60" i="45"/>
  <c r="DV66" i="45" s="1"/>
  <c r="DV400" i="45"/>
  <c r="DV366" i="45"/>
  <c r="DW133" i="45"/>
  <c r="DW169" i="45" s="1"/>
  <c r="DW106" i="45"/>
  <c r="DV103" i="45" l="1"/>
  <c r="DV239" i="7"/>
  <c r="DW453" i="45"/>
  <c r="DW63" i="45" s="1"/>
  <c r="DW450" i="45"/>
  <c r="DW445" i="45"/>
  <c r="DW456" i="45"/>
  <c r="ES361" i="45"/>
  <c r="DW18" i="8"/>
  <c r="DW77" i="7"/>
  <c r="DV242" i="7"/>
  <c r="DW63" i="7"/>
  <c r="DW116" i="7"/>
  <c r="DW10" i="7"/>
  <c r="DW91" i="7"/>
  <c r="DV46" i="45"/>
  <c r="DV44" i="45"/>
  <c r="DW189" i="45"/>
  <c r="DW379" i="45"/>
  <c r="DW284" i="45"/>
  <c r="DV6" i="45"/>
  <c r="DV375" i="45"/>
  <c r="FA4" i="7"/>
  <c r="FA2" i="8" s="1"/>
  <c r="FA220" i="8" s="1"/>
  <c r="FA285" i="8" s="1"/>
  <c r="EZ4" i="7"/>
  <c r="EZ2" i="8" s="1"/>
  <c r="EZ220" i="8" s="1"/>
  <c r="EZ285" i="8" s="1"/>
  <c r="EY4" i="7"/>
  <c r="EY442" i="7" s="1"/>
  <c r="FA561" i="7"/>
  <c r="EZ561" i="7"/>
  <c r="EY561" i="7"/>
  <c r="FA488" i="7"/>
  <c r="EZ488" i="7" s="1"/>
  <c r="EY488" i="7"/>
  <c r="EZ487" i="7"/>
  <c r="EZ486" i="7"/>
  <c r="EZ485" i="7"/>
  <c r="EZ484" i="7"/>
  <c r="EZ482" i="7"/>
  <c r="EZ481" i="7"/>
  <c r="EZ480" i="7"/>
  <c r="EZ479" i="7"/>
  <c r="EZ477" i="7"/>
  <c r="EZ476" i="7"/>
  <c r="EZ475" i="7"/>
  <c r="EZ474" i="7"/>
  <c r="EZ473" i="7"/>
  <c r="EZ472" i="7"/>
  <c r="EZ471" i="7"/>
  <c r="EZ470" i="7"/>
  <c r="EZ469" i="7"/>
  <c r="EZ467" i="7"/>
  <c r="EZ466" i="7"/>
  <c r="EZ465" i="7"/>
  <c r="EZ464" i="7"/>
  <c r="EZ459" i="7"/>
  <c r="EZ458" i="7"/>
  <c r="FA457" i="7"/>
  <c r="EZ457" i="7" s="1"/>
  <c r="EY457" i="7"/>
  <c r="EZ456" i="7"/>
  <c r="EZ455" i="7"/>
  <c r="FA454" i="7"/>
  <c r="EY454" i="7"/>
  <c r="EZ439" i="7"/>
  <c r="EZ438" i="7"/>
  <c r="EZ437" i="7"/>
  <c r="EZ434" i="7"/>
  <c r="EZ433" i="7"/>
  <c r="EZ432" i="7"/>
  <c r="EZ429" i="7"/>
  <c r="EZ428" i="7"/>
  <c r="EZ427" i="7"/>
  <c r="EZ424" i="7"/>
  <c r="EZ423" i="7"/>
  <c r="EZ422" i="7"/>
  <c r="EZ419" i="7"/>
  <c r="EZ418" i="7"/>
  <c r="EZ417" i="7"/>
  <c r="EZ414" i="7"/>
  <c r="EZ413" i="7"/>
  <c r="EZ412" i="7"/>
  <c r="EZ409" i="7"/>
  <c r="EZ408" i="7"/>
  <c r="EZ407" i="7"/>
  <c r="EZ403" i="7"/>
  <c r="EY403" i="7"/>
  <c r="FA396" i="7"/>
  <c r="EZ396" i="7" s="1"/>
  <c r="EY396" i="7"/>
  <c r="FA375" i="7"/>
  <c r="FA374" i="7"/>
  <c r="FA373" i="7"/>
  <c r="FA372" i="7"/>
  <c r="FA371" i="7"/>
  <c r="FA370" i="7"/>
  <c r="EZ362" i="7"/>
  <c r="EY362" i="7"/>
  <c r="EZ361" i="7"/>
  <c r="EY361" i="7"/>
  <c r="FA360" i="7"/>
  <c r="EZ360" i="7" s="1"/>
  <c r="EY360" i="7"/>
  <c r="EZ353" i="7"/>
  <c r="EY353" i="7"/>
  <c r="EZ347" i="7"/>
  <c r="EY347" i="7"/>
  <c r="EZ313" i="7"/>
  <c r="EZ312" i="7"/>
  <c r="EZ311" i="7"/>
  <c r="EZ310" i="7"/>
  <c r="EZ309" i="7"/>
  <c r="EZ306" i="7"/>
  <c r="FA281" i="7"/>
  <c r="EZ281" i="7" s="1"/>
  <c r="EY281" i="7"/>
  <c r="FA257" i="7"/>
  <c r="EZ257" i="7" s="1"/>
  <c r="EY257" i="7"/>
  <c r="FA249" i="7"/>
  <c r="EZ249" i="7" s="1"/>
  <c r="EY249" i="7"/>
  <c r="FA240" i="7"/>
  <c r="EZ240" i="7" s="1"/>
  <c r="EY240" i="7"/>
  <c r="EZ237" i="7"/>
  <c r="EZ236" i="7"/>
  <c r="EZ235" i="7"/>
  <c r="EZ232" i="7"/>
  <c r="EZ231" i="7"/>
  <c r="EZ223" i="7"/>
  <c r="FA207" i="7"/>
  <c r="EY207" i="7"/>
  <c r="FA206" i="7"/>
  <c r="EY206" i="7"/>
  <c r="FA203" i="7"/>
  <c r="EY203" i="7"/>
  <c r="FA202" i="7"/>
  <c r="EY202" i="7"/>
  <c r="FA201" i="7"/>
  <c r="EY201" i="7"/>
  <c r="FA200" i="7"/>
  <c r="EY200" i="7"/>
  <c r="FA197" i="7"/>
  <c r="EY197" i="7"/>
  <c r="FA196" i="7"/>
  <c r="EY196" i="7"/>
  <c r="FA194" i="7"/>
  <c r="EY194" i="7"/>
  <c r="FA191" i="7"/>
  <c r="FA39" i="7" s="1"/>
  <c r="EY191" i="7"/>
  <c r="EY39" i="7" s="1"/>
  <c r="EZ189" i="7"/>
  <c r="EZ146" i="7"/>
  <c r="EZ139" i="7"/>
  <c r="EZ138" i="7"/>
  <c r="EZ137" i="7"/>
  <c r="EZ136" i="7"/>
  <c r="EZ135" i="7"/>
  <c r="EZ134" i="7"/>
  <c r="EZ133" i="7"/>
  <c r="EZ132" i="7"/>
  <c r="EZ131" i="7"/>
  <c r="EZ130" i="7"/>
  <c r="EZ129" i="7"/>
  <c r="EZ128" i="7"/>
  <c r="EZ127" i="7"/>
  <c r="EZ126" i="7"/>
  <c r="EZ125" i="7"/>
  <c r="EZ124" i="7"/>
  <c r="EZ123" i="7"/>
  <c r="EZ122" i="7"/>
  <c r="EZ121" i="7"/>
  <c r="EZ120" i="7"/>
  <c r="EZ119" i="7"/>
  <c r="FA118" i="7"/>
  <c r="EY118" i="7"/>
  <c r="FA117" i="7"/>
  <c r="EY117" i="7"/>
  <c r="EZ115" i="7"/>
  <c r="EZ114" i="7"/>
  <c r="EZ113" i="7"/>
  <c r="EZ112" i="7"/>
  <c r="EZ111" i="7"/>
  <c r="EZ110" i="7"/>
  <c r="EZ109" i="7"/>
  <c r="EZ108" i="7"/>
  <c r="EZ107" i="7"/>
  <c r="EZ106" i="7"/>
  <c r="EZ105" i="7"/>
  <c r="EZ104" i="7"/>
  <c r="EZ103" i="7"/>
  <c r="EZ102" i="7"/>
  <c r="EZ101" i="7"/>
  <c r="EZ100" i="7"/>
  <c r="EZ99" i="7"/>
  <c r="EZ98" i="7"/>
  <c r="EZ97" i="7"/>
  <c r="EZ96" i="7"/>
  <c r="EZ95" i="7"/>
  <c r="FA94" i="7"/>
  <c r="EY94" i="7"/>
  <c r="FA93" i="7"/>
  <c r="EY93" i="7"/>
  <c r="EZ89" i="7"/>
  <c r="FA84" i="7"/>
  <c r="EY84" i="7"/>
  <c r="EZ79" i="7"/>
  <c r="EZ78" i="7"/>
  <c r="FA71" i="7"/>
  <c r="EY71" i="7"/>
  <c r="FA68" i="7"/>
  <c r="EY68" i="7"/>
  <c r="FA67" i="7"/>
  <c r="EY67" i="7"/>
  <c r="FA64" i="7"/>
  <c r="EY64" i="7"/>
  <c r="FA60" i="7"/>
  <c r="EY60" i="7"/>
  <c r="FA59" i="7"/>
  <c r="EY59" i="7"/>
  <c r="EZ52" i="7"/>
  <c r="EZ49" i="7"/>
  <c r="EZ48" i="7"/>
  <c r="EZ47" i="7"/>
  <c r="EZ46" i="7"/>
  <c r="EZ44" i="7"/>
  <c r="FA38" i="7"/>
  <c r="EY38" i="7"/>
  <c r="FA37" i="7"/>
  <c r="EY37" i="7"/>
  <c r="FA36" i="7"/>
  <c r="EY36" i="7"/>
  <c r="FA2" i="7"/>
  <c r="EZ2" i="7"/>
  <c r="EY2" i="7"/>
  <c r="EZ293" i="8"/>
  <c r="FA293" i="8" s="1"/>
  <c r="FA204" i="8"/>
  <c r="FA199" i="8"/>
  <c r="EZ199" i="8"/>
  <c r="EY199" i="8"/>
  <c r="EZ193" i="8"/>
  <c r="EZ192" i="8"/>
  <c r="EZ191" i="8"/>
  <c r="FA190" i="8"/>
  <c r="EY190" i="8"/>
  <c r="EZ189" i="8"/>
  <c r="EZ188" i="8"/>
  <c r="EZ187" i="8"/>
  <c r="FA186" i="8"/>
  <c r="EY186" i="8"/>
  <c r="EZ185" i="8"/>
  <c r="EZ183" i="8"/>
  <c r="EZ182" i="8"/>
  <c r="FA181" i="8"/>
  <c r="EY181" i="8"/>
  <c r="EZ176" i="8"/>
  <c r="EY176" i="8"/>
  <c r="EY174" i="8" s="1"/>
  <c r="EZ175" i="8"/>
  <c r="FA171" i="8"/>
  <c r="EZ171" i="8"/>
  <c r="EY171" i="8"/>
  <c r="FA164" i="8"/>
  <c r="EY164" i="8"/>
  <c r="EZ138" i="8"/>
  <c r="EZ137" i="8"/>
  <c r="EZ131" i="8"/>
  <c r="FA131" i="8" s="1"/>
  <c r="EZ130" i="8"/>
  <c r="FA110" i="8"/>
  <c r="FA112" i="8" s="1"/>
  <c r="EZ110" i="8"/>
  <c r="EZ112" i="8" s="1"/>
  <c r="EY110" i="8"/>
  <c r="EY112" i="8" s="1"/>
  <c r="FA107" i="8"/>
  <c r="FA109" i="8" s="1"/>
  <c r="EZ107" i="8"/>
  <c r="EZ109" i="8" s="1"/>
  <c r="EY107" i="8"/>
  <c r="EY109" i="8" s="1"/>
  <c r="FA97" i="8"/>
  <c r="EZ97" i="8" s="1"/>
  <c r="EY97" i="8"/>
  <c r="EZ96" i="8"/>
  <c r="EZ95" i="8"/>
  <c r="EZ94" i="8"/>
  <c r="EZ91" i="8"/>
  <c r="FA87" i="8"/>
  <c r="FA90" i="8" s="1"/>
  <c r="EZ90" i="8" s="1"/>
  <c r="EY87" i="8"/>
  <c r="EY90" i="8" s="1"/>
  <c r="EZ85" i="8"/>
  <c r="EZ84" i="8"/>
  <c r="EZ87" i="8" s="1"/>
  <c r="EZ82" i="8"/>
  <c r="FA78" i="8"/>
  <c r="FA81" i="8" s="1"/>
  <c r="EZ81" i="8" s="1"/>
  <c r="EY78" i="8"/>
  <c r="EY81" i="8" s="1"/>
  <c r="FA77" i="8"/>
  <c r="EZ77" i="8"/>
  <c r="EY77" i="8"/>
  <c r="EZ76" i="8"/>
  <c r="EZ75" i="8"/>
  <c r="EZ78" i="8" s="1"/>
  <c r="EZ73" i="8"/>
  <c r="FA69" i="8"/>
  <c r="FA72" i="8" s="1"/>
  <c r="EZ72" i="8" s="1"/>
  <c r="EY69" i="8"/>
  <c r="EY72" i="8" s="1"/>
  <c r="EZ67" i="8"/>
  <c r="EZ66" i="8"/>
  <c r="EZ69" i="8" s="1"/>
  <c r="FA63" i="8"/>
  <c r="EZ63" i="8"/>
  <c r="EY63" i="8"/>
  <c r="FA61" i="8"/>
  <c r="EZ61" i="8"/>
  <c r="EY61" i="8"/>
  <c r="FA60" i="8"/>
  <c r="EZ60" i="8"/>
  <c r="EY60" i="8"/>
  <c r="FA53" i="8"/>
  <c r="EY53" i="8"/>
  <c r="EZ50" i="8"/>
  <c r="FA47" i="8"/>
  <c r="EZ47" i="8"/>
  <c r="EY47" i="8"/>
  <c r="EZ43" i="8"/>
  <c r="EZ40" i="8"/>
  <c r="FA38" i="8"/>
  <c r="EZ38" i="8"/>
  <c r="EY38" i="8"/>
  <c r="EZ34" i="8"/>
  <c r="FA31" i="8"/>
  <c r="EY31" i="8"/>
  <c r="EZ23" i="8"/>
  <c r="EZ245" i="45"/>
  <c r="FA245" i="45" s="1"/>
  <c r="EZ232" i="45"/>
  <c r="EZ235" i="45" s="1"/>
  <c r="EY232" i="45"/>
  <c r="EY235" i="45" s="1"/>
  <c r="EZ230" i="45"/>
  <c r="EY149" i="7" l="1"/>
  <c r="FA9" i="7"/>
  <c r="FA5" i="45" s="1"/>
  <c r="FA16" i="45" s="1"/>
  <c r="FA178" i="7"/>
  <c r="FA365" i="7"/>
  <c r="FA29" i="7"/>
  <c r="FA340" i="7"/>
  <c r="EY9" i="7"/>
  <c r="EY5" i="45" s="1"/>
  <c r="BC1" i="57" s="1"/>
  <c r="BC83" i="57" s="1"/>
  <c r="EY29" i="7"/>
  <c r="EY2" i="8"/>
  <c r="EY220" i="8" s="1"/>
  <c r="EY285" i="8" s="1"/>
  <c r="EY340" i="7"/>
  <c r="FA40" i="7"/>
  <c r="EZ59" i="7"/>
  <c r="EZ67" i="7"/>
  <c r="EZ84" i="7"/>
  <c r="EY205" i="7"/>
  <c r="EV361" i="45"/>
  <c r="EZ202" i="7"/>
  <c r="EZ168" i="8" s="1"/>
  <c r="FA460" i="7"/>
  <c r="FA490" i="7" s="1"/>
  <c r="FA195" i="7"/>
  <c r="DW75" i="7"/>
  <c r="EZ174" i="8"/>
  <c r="EZ36" i="7"/>
  <c r="DW338" i="7"/>
  <c r="DW11" i="7"/>
  <c r="DW140" i="7"/>
  <c r="DV47" i="45"/>
  <c r="DV54" i="45"/>
  <c r="DV17" i="45"/>
  <c r="DV398" i="45"/>
  <c r="DV61" i="45" s="1"/>
  <c r="DV395" i="45"/>
  <c r="DV391" i="45"/>
  <c r="DV401" i="45"/>
  <c r="EZ39" i="7"/>
  <c r="EZ191" i="7"/>
  <c r="EZ156" i="8" s="1"/>
  <c r="EZ186" i="8"/>
  <c r="EZ206" i="7"/>
  <c r="EZ94" i="7"/>
  <c r="EZ38" i="7"/>
  <c r="FA232" i="45"/>
  <c r="EZ31" i="8"/>
  <c r="EZ181" i="8"/>
  <c r="EZ37" i="7"/>
  <c r="EZ71" i="7"/>
  <c r="EZ117" i="7"/>
  <c r="EZ203" i="7"/>
  <c r="EZ118" i="7"/>
  <c r="EY404" i="7"/>
  <c r="EZ404" i="7" s="1"/>
  <c r="FA235" i="45"/>
  <c r="EZ190" i="8"/>
  <c r="EZ200" i="7"/>
  <c r="EZ166" i="8" s="1"/>
  <c r="EZ93" i="7"/>
  <c r="EZ454" i="7"/>
  <c r="EZ460" i="7" s="1"/>
  <c r="EZ490" i="7" s="1"/>
  <c r="EY460" i="7"/>
  <c r="EY490" i="7" s="1"/>
  <c r="EZ194" i="7"/>
  <c r="EZ159" i="8" s="1"/>
  <c r="FA13" i="8"/>
  <c r="EZ68" i="7"/>
  <c r="EZ79" i="8"/>
  <c r="EZ442" i="7"/>
  <c r="EZ451" i="7"/>
  <c r="EZ365" i="7"/>
  <c r="EZ226" i="7"/>
  <c r="EZ29" i="7"/>
  <c r="EZ149" i="7"/>
  <c r="EZ9" i="7"/>
  <c r="EZ5" i="45" s="1"/>
  <c r="EZ330" i="45" s="1"/>
  <c r="EZ321" i="7"/>
  <c r="EZ340" i="7"/>
  <c r="EZ178" i="7"/>
  <c r="EZ60" i="7"/>
  <c r="FA205" i="7"/>
  <c r="EZ207" i="7"/>
  <c r="EY195" i="7"/>
  <c r="EY40" i="7"/>
  <c r="EZ201" i="7"/>
  <c r="EZ167" i="8" s="1"/>
  <c r="FA442" i="7"/>
  <c r="FA451" i="7"/>
  <c r="FA321" i="7"/>
  <c r="FA149" i="7"/>
  <c r="EZ64" i="7"/>
  <c r="EZ196" i="7"/>
  <c r="EZ161" i="8" s="1"/>
  <c r="FA226" i="7"/>
  <c r="EY178" i="7"/>
  <c r="EZ197" i="7"/>
  <c r="EZ162" i="8" s="1"/>
  <c r="EY226" i="7"/>
  <c r="EY365" i="7"/>
  <c r="EY451" i="7"/>
  <c r="EY321" i="7"/>
  <c r="EZ13" i="8"/>
  <c r="EZ20" i="8"/>
  <c r="FA20" i="8"/>
  <c r="FA334" i="45"/>
  <c r="FA350" i="45" s="1"/>
  <c r="FA330" i="45" l="1"/>
  <c r="FA102" i="45"/>
  <c r="FA356" i="45" s="1"/>
  <c r="FA43" i="45"/>
  <c r="FA69" i="45" s="1"/>
  <c r="FA314" i="45"/>
  <c r="FA4" i="45"/>
  <c r="FA199" i="45"/>
  <c r="FA225" i="45" s="1"/>
  <c r="FA403" i="45"/>
  <c r="BE1" i="57"/>
  <c r="BE83" i="57" s="1"/>
  <c r="FA81" i="45"/>
  <c r="FA59" i="45"/>
  <c r="FA27" i="45"/>
  <c r="FA444" i="45"/>
  <c r="FA378" i="45"/>
  <c r="FA86" i="45"/>
  <c r="EY13" i="8"/>
  <c r="EY20" i="8"/>
  <c r="EY403" i="45"/>
  <c r="EY16" i="45"/>
  <c r="EY314" i="45"/>
  <c r="EY444" i="45"/>
  <c r="EY378" i="45"/>
  <c r="EY27" i="45"/>
  <c r="EY334" i="45"/>
  <c r="EY350" i="45" s="1"/>
  <c r="EZ195" i="7"/>
  <c r="EY102" i="45"/>
  <c r="EY181" i="45" s="1"/>
  <c r="EY81" i="45"/>
  <c r="EY199" i="45"/>
  <c r="EY225" i="45" s="1"/>
  <c r="EY4" i="45"/>
  <c r="EY43" i="45"/>
  <c r="EY69" i="45" s="1"/>
  <c r="EY86" i="45"/>
  <c r="EY330" i="45"/>
  <c r="EY59" i="45"/>
  <c r="EY361" i="45"/>
  <c r="EZ378" i="45"/>
  <c r="BC76" i="57"/>
  <c r="DW73" i="7"/>
  <c r="DV82" i="45"/>
  <c r="DV38" i="45"/>
  <c r="EZ86" i="45"/>
  <c r="EZ43" i="45"/>
  <c r="EZ69" i="45" s="1"/>
  <c r="EZ199" i="45"/>
  <c r="EZ225" i="45" s="1"/>
  <c r="EZ81" i="45"/>
  <c r="EZ40" i="7"/>
  <c r="EZ4" i="45"/>
  <c r="EZ59" i="45"/>
  <c r="BD1" i="57"/>
  <c r="EZ102" i="45"/>
  <c r="EZ16" i="45"/>
  <c r="EZ314" i="45"/>
  <c r="EZ403" i="45"/>
  <c r="EZ444" i="45"/>
  <c r="EZ205" i="7"/>
  <c r="EZ27" i="45"/>
  <c r="EZ334" i="45"/>
  <c r="EZ350" i="45" s="1"/>
  <c r="FA287" i="45"/>
  <c r="FA181" i="45"/>
  <c r="FA136" i="45" l="1"/>
  <c r="FA132" i="45"/>
  <c r="FA272" i="45"/>
  <c r="BE76" i="57"/>
  <c r="EY136" i="45"/>
  <c r="EY356" i="45"/>
  <c r="EY287" i="45"/>
  <c r="EY272" i="45"/>
  <c r="EY132" i="45"/>
  <c r="DW325" i="7"/>
  <c r="DW179" i="7"/>
  <c r="DW69" i="7"/>
  <c r="DV95" i="45"/>
  <c r="EZ287" i="45"/>
  <c r="EZ132" i="45"/>
  <c r="EZ356" i="45"/>
  <c r="EZ136" i="45"/>
  <c r="EZ181" i="45"/>
  <c r="EZ272" i="45"/>
  <c r="BD83" i="57"/>
  <c r="BD76" i="57"/>
  <c r="DW61" i="7" l="1"/>
  <c r="EF90" i="7" l="1"/>
  <c r="EA90" i="7"/>
  <c r="ED90" i="7" s="1"/>
  <c r="EG90" i="7" s="1"/>
  <c r="EJ90" i="7" s="1"/>
  <c r="EE90" i="7" l="1"/>
  <c r="EI90" i="7"/>
  <c r="EL90" i="7" s="1"/>
  <c r="EO90" i="7" s="1"/>
  <c r="ER90" i="7" s="1"/>
  <c r="EU90" i="7" s="1"/>
  <c r="EM90" i="7"/>
  <c r="EP90" i="7" s="1"/>
  <c r="ES90" i="7" s="1"/>
  <c r="EV90" i="7" s="1"/>
  <c r="EY90" i="7" s="1"/>
  <c r="EK90" i="7" l="1"/>
  <c r="EH90" i="7"/>
  <c r="EQ90" i="7"/>
  <c r="EX90" i="7"/>
  <c r="ET90" i="7"/>
  <c r="EN90" i="7"/>
  <c r="EW90" i="7" l="1"/>
  <c r="FA90" i="7"/>
  <c r="EZ90" i="7" s="1"/>
  <c r="EB90" i="7"/>
  <c r="DY410" i="45"/>
  <c r="ED199" i="7" l="1"/>
  <c r="EG199" i="7" l="1"/>
  <c r="EE199" i="7"/>
  <c r="EF199" i="7" s="1"/>
  <c r="EB199" i="7"/>
  <c r="EC199" i="7" s="1"/>
  <c r="EH199" i="7" l="1"/>
  <c r="EI199" i="7" s="1"/>
  <c r="EJ199" i="7"/>
  <c r="EK199" i="7" l="1"/>
  <c r="EL199" i="7" s="1"/>
  <c r="EM199" i="7"/>
  <c r="EP199" i="7" l="1"/>
  <c r="EN199" i="7"/>
  <c r="EO199" i="7" s="1"/>
  <c r="ES199" i="7" l="1"/>
  <c r="EQ199" i="7"/>
  <c r="ER199" i="7" s="1"/>
  <c r="ET199" i="7" l="1"/>
  <c r="EU199" i="7" s="1"/>
  <c r="EV199" i="7"/>
  <c r="EY199" i="7" s="1"/>
  <c r="EZ199" i="7" l="1"/>
  <c r="FA199" i="7" s="1"/>
  <c r="EY198" i="7"/>
  <c r="EW199" i="7"/>
  <c r="EX199" i="7" s="1"/>
  <c r="EZ165" i="8" l="1"/>
  <c r="EZ164" i="8" s="1"/>
  <c r="FA198" i="7"/>
  <c r="EZ198" i="7" s="1"/>
  <c r="EB210" i="7" l="1"/>
  <c r="AI20" i="57" l="1"/>
  <c r="Q6" i="70" l="1"/>
  <c r="DR124" i="45" l="1"/>
  <c r="DO124" i="45"/>
  <c r="DU331" i="45"/>
  <c r="DU335" i="45"/>
  <c r="DV335" i="45" l="1"/>
  <c r="DX336" i="45"/>
  <c r="DU124" i="45"/>
  <c r="DX125" i="45" s="1"/>
  <c r="DV331" i="45"/>
  <c r="EY61" i="45"/>
  <c r="DV351" i="45" l="1"/>
  <c r="DW352" i="45"/>
  <c r="EZ61" i="45"/>
  <c r="EE383" i="45"/>
  <c r="EG383" i="45"/>
  <c r="EE389" i="45"/>
  <c r="DO434" i="45"/>
  <c r="DR434" i="45" s="1"/>
  <c r="DQ434" i="45"/>
  <c r="DT434" i="45" s="1"/>
  <c r="DW434" i="45" s="1"/>
  <c r="DW439" i="45" s="1"/>
  <c r="DO435" i="45"/>
  <c r="DR435" i="45" s="1"/>
  <c r="DQ435" i="45"/>
  <c r="DO436" i="45"/>
  <c r="DR436" i="45" s="1"/>
  <c r="DQ436" i="45"/>
  <c r="DT436" i="45" s="1"/>
  <c r="DW436" i="45" s="1"/>
  <c r="DW441" i="45" s="1"/>
  <c r="DI437" i="45"/>
  <c r="DK437" i="45"/>
  <c r="DL437" i="45"/>
  <c r="DN437" i="45"/>
  <c r="DQ437" i="45" s="1"/>
  <c r="DU352" i="45"/>
  <c r="DT184" i="8"/>
  <c r="DR184" i="8"/>
  <c r="DQ184" i="8"/>
  <c r="DO184" i="8"/>
  <c r="DN184" i="8"/>
  <c r="DL184" i="8"/>
  <c r="DK184" i="8"/>
  <c r="DI184" i="8"/>
  <c r="DH184" i="8"/>
  <c r="DF184" i="8"/>
  <c r="DU184" i="8"/>
  <c r="DU297" i="7"/>
  <c r="DU259" i="7"/>
  <c r="DR247" i="7"/>
  <c r="DR246" i="7"/>
  <c r="DU247" i="7"/>
  <c r="DU209" i="7"/>
  <c r="DV209" i="7" s="1"/>
  <c r="DV175" i="8" s="1"/>
  <c r="DV174" i="8" s="1"/>
  <c r="DU208" i="7"/>
  <c r="DV208" i="7" s="1"/>
  <c r="DU154" i="8"/>
  <c r="DW154" i="8" s="1"/>
  <c r="DW190" i="7" s="1"/>
  <c r="Y49" i="57"/>
  <c r="Y47" i="57"/>
  <c r="Y44" i="57"/>
  <c r="Y38" i="57"/>
  <c r="Y32" i="57"/>
  <c r="Y29" i="57"/>
  <c r="Y25" i="57"/>
  <c r="Y23" i="57"/>
  <c r="Y20" i="57"/>
  <c r="DU316" i="45"/>
  <c r="DU297" i="45"/>
  <c r="DU284" i="45"/>
  <c r="DX285" i="45" s="1"/>
  <c r="DU282" i="45"/>
  <c r="DU263" i="45"/>
  <c r="DU254" i="45"/>
  <c r="DU251" i="45"/>
  <c r="DU172" i="45"/>
  <c r="DU165" i="45"/>
  <c r="DU163" i="45"/>
  <c r="Z25" i="57" l="1"/>
  <c r="AB26" i="57"/>
  <c r="Z49" i="57"/>
  <c r="Z43" i="57" s="1"/>
  <c r="AB50" i="57"/>
  <c r="DV172" i="45"/>
  <c r="DX173" i="45"/>
  <c r="DV175" i="45"/>
  <c r="DV106" i="45"/>
  <c r="DW188" i="7"/>
  <c r="DV296" i="45"/>
  <c r="DW299" i="45"/>
  <c r="DV124" i="45"/>
  <c r="DR245" i="7"/>
  <c r="DO437" i="45"/>
  <c r="EH383" i="45"/>
  <c r="EG389" i="45"/>
  <c r="EJ383" i="45"/>
  <c r="DU435" i="45"/>
  <c r="DX435" i="45" s="1"/>
  <c r="DX440" i="45" s="1"/>
  <c r="DZ436" i="45"/>
  <c r="DU436" i="45"/>
  <c r="DX436" i="45" s="1"/>
  <c r="DX441" i="45" s="1"/>
  <c r="DU434" i="45"/>
  <c r="DX434" i="45" s="1"/>
  <c r="DX439" i="45" s="1"/>
  <c r="DT435" i="45"/>
  <c r="DW435" i="45" s="1"/>
  <c r="DW440" i="45" s="1"/>
  <c r="DZ434" i="45"/>
  <c r="DT437" i="45"/>
  <c r="DW437" i="45" s="1"/>
  <c r="DW442" i="45" s="1"/>
  <c r="Z16" i="57" l="1"/>
  <c r="DW124" i="45"/>
  <c r="DW218" i="7"/>
  <c r="DV178" i="45"/>
  <c r="DV299" i="45"/>
  <c r="DV115" i="45"/>
  <c r="DR437" i="45"/>
  <c r="EK383" i="45"/>
  <c r="EN383" i="45" s="1"/>
  <c r="EM383" i="45"/>
  <c r="EH389" i="45"/>
  <c r="EA435" i="45"/>
  <c r="EA436" i="45"/>
  <c r="EC436" i="45"/>
  <c r="EC434" i="45"/>
  <c r="Z3" i="57" l="1"/>
  <c r="DU437" i="45"/>
  <c r="DX437" i="45" s="1"/>
  <c r="DX442" i="45" s="1"/>
  <c r="EJ389" i="45"/>
  <c r="EQ383" i="45"/>
  <c r="EP383" i="45"/>
  <c r="EA434" i="45"/>
  <c r="DZ435" i="45"/>
  <c r="EF436" i="45"/>
  <c r="ED436" i="45"/>
  <c r="EF434" i="45"/>
  <c r="DZ437" i="45"/>
  <c r="ED435" i="45"/>
  <c r="EA437" i="45" l="1"/>
  <c r="ED437" i="45" s="1"/>
  <c r="EG437" i="45" s="1"/>
  <c r="ES383" i="45"/>
  <c r="EK389" i="45"/>
  <c r="ET383" i="45"/>
  <c r="ED434" i="45"/>
  <c r="EC435" i="45"/>
  <c r="EG435" i="45"/>
  <c r="EI436" i="45"/>
  <c r="EC437" i="45"/>
  <c r="EI434" i="45"/>
  <c r="EG436" i="45"/>
  <c r="EM389" i="45" l="1"/>
  <c r="EV383" i="45"/>
  <c r="EY383" i="45" s="1"/>
  <c r="EG434" i="45"/>
  <c r="EF435" i="45"/>
  <c r="EJ436" i="45"/>
  <c r="EL434" i="45"/>
  <c r="EL436" i="45"/>
  <c r="EF437" i="45"/>
  <c r="EJ437" i="45"/>
  <c r="EJ435" i="45"/>
  <c r="EN389" i="45" l="1"/>
  <c r="EI435" i="45"/>
  <c r="EJ434" i="45"/>
  <c r="EM435" i="45"/>
  <c r="EI437" i="45"/>
  <c r="EO436" i="45"/>
  <c r="EO434" i="45"/>
  <c r="EM436" i="45"/>
  <c r="EM437" i="45"/>
  <c r="EP389" i="45" l="1"/>
  <c r="EM434" i="45"/>
  <c r="EL435" i="45"/>
  <c r="EP436" i="45"/>
  <c r="ER434" i="45"/>
  <c r="EL437" i="45"/>
  <c r="EP437" i="45"/>
  <c r="ER436" i="45"/>
  <c r="EP435" i="45"/>
  <c r="EQ389" i="45" l="1"/>
  <c r="EP434" i="45"/>
  <c r="EO435" i="45"/>
  <c r="ES437" i="45"/>
  <c r="EO437" i="45"/>
  <c r="EU436" i="45"/>
  <c r="ES436" i="45"/>
  <c r="EU434" i="45"/>
  <c r="ES435" i="45"/>
  <c r="ES389" i="45" l="1"/>
  <c r="ER435" i="45"/>
  <c r="ES434" i="45"/>
  <c r="EX434" i="45"/>
  <c r="FA434" i="45" s="1"/>
  <c r="EX436" i="45"/>
  <c r="FA436" i="45" s="1"/>
  <c r="EV435" i="45"/>
  <c r="EY435" i="45" s="1"/>
  <c r="EV436" i="45"/>
  <c r="EY436" i="45" s="1"/>
  <c r="ER437" i="45"/>
  <c r="EV437" i="45"/>
  <c r="EY437" i="45" s="1"/>
  <c r="ET389" i="45" l="1"/>
  <c r="EU435" i="45"/>
  <c r="EV434" i="45"/>
  <c r="EY434" i="45" s="1"/>
  <c r="EU437" i="45"/>
  <c r="EV389" i="45" l="1"/>
  <c r="EX435" i="45"/>
  <c r="FA435" i="45" s="1"/>
  <c r="EX437" i="45"/>
  <c r="FA437" i="45" s="1"/>
  <c r="DL124" i="45" l="1"/>
  <c r="DI124" i="45"/>
  <c r="EM257" i="45"/>
  <c r="EJ256" i="45"/>
  <c r="EK256" i="45" s="1"/>
  <c r="EG256" i="45"/>
  <c r="EH256" i="45" s="1"/>
  <c r="ED256" i="45"/>
  <c r="EE256" i="45" s="1"/>
  <c r="EA256" i="45"/>
  <c r="EB256" i="45" s="1"/>
  <c r="DY256" i="45" l="1"/>
  <c r="EM256" i="45"/>
  <c r="EJ331" i="45" l="1"/>
  <c r="EK331" i="45" s="1"/>
  <c r="EG331" i="45"/>
  <c r="EH331" i="45" s="1"/>
  <c r="ED331" i="45"/>
  <c r="EE331" i="45" s="1"/>
  <c r="EA331" i="45"/>
  <c r="EB331" i="45" s="1"/>
  <c r="DY331" i="45"/>
  <c r="CS509" i="7" l="1"/>
  <c r="CY509" i="7"/>
  <c r="EW146" i="7"/>
  <c r="ET146" i="7"/>
  <c r="EW139" i="7"/>
  <c r="ET139" i="7"/>
  <c r="EW79" i="7"/>
  <c r="EW78" i="7"/>
  <c r="ET79" i="7"/>
  <c r="ET78" i="7"/>
  <c r="EW52" i="7"/>
  <c r="EW49" i="7"/>
  <c r="EW48" i="7"/>
  <c r="EW47" i="7"/>
  <c r="EW46" i="7"/>
  <c r="EW44" i="7"/>
  <c r="ET52" i="7"/>
  <c r="ET49" i="7"/>
  <c r="ET48" i="7"/>
  <c r="ET47" i="7"/>
  <c r="ET46" i="7"/>
  <c r="ET44" i="7"/>
  <c r="EQ52" i="7"/>
  <c r="EQ49" i="7"/>
  <c r="EQ48" i="7"/>
  <c r="EQ47" i="7"/>
  <c r="EQ46" i="7"/>
  <c r="EQ44" i="7"/>
  <c r="DP225" i="7" l="1"/>
  <c r="DS225" i="7"/>
  <c r="DQ203" i="7"/>
  <c r="DT203" i="7"/>
  <c r="DT90" i="7"/>
  <c r="DT93" i="45"/>
  <c r="DT89" i="7" s="1"/>
  <c r="DQ209" i="7"/>
  <c r="DT209" i="7"/>
  <c r="EW293" i="8" l="1"/>
  <c r="EX293" i="8" s="1"/>
  <c r="EX204" i="8"/>
  <c r="EX199" i="8"/>
  <c r="EW199" i="8"/>
  <c r="EV199" i="8"/>
  <c r="EW193" i="8"/>
  <c r="EW192" i="8"/>
  <c r="EW191" i="8"/>
  <c r="EX190" i="8"/>
  <c r="EV190" i="8"/>
  <c r="EW189" i="8"/>
  <c r="EW188" i="8"/>
  <c r="EW187" i="8"/>
  <c r="EX186" i="8"/>
  <c r="EV186" i="8"/>
  <c r="EW185" i="8"/>
  <c r="EW183" i="8"/>
  <c r="EW182" i="8"/>
  <c r="EX181" i="8"/>
  <c r="EV181" i="8"/>
  <c r="EW175" i="8"/>
  <c r="EX171" i="8"/>
  <c r="EW171" i="8"/>
  <c r="EV171" i="8"/>
  <c r="EX164" i="8"/>
  <c r="EV164" i="8"/>
  <c r="EW138" i="8"/>
  <c r="EW137" i="8"/>
  <c r="EW131" i="8"/>
  <c r="EX131" i="8" s="1"/>
  <c r="EW130" i="8"/>
  <c r="EX110" i="8"/>
  <c r="EX112" i="8" s="1"/>
  <c r="EW110" i="8"/>
  <c r="EW112" i="8" s="1"/>
  <c r="EV110" i="8"/>
  <c r="EV112" i="8" s="1"/>
  <c r="EX107" i="8"/>
  <c r="EX109" i="8" s="1"/>
  <c r="EW107" i="8"/>
  <c r="EW109" i="8" s="1"/>
  <c r="EV107" i="8"/>
  <c r="EV109" i="8" s="1"/>
  <c r="EX97" i="8"/>
  <c r="EW97" i="8" s="1"/>
  <c r="EV97" i="8"/>
  <c r="EW96" i="8"/>
  <c r="EW95" i="8"/>
  <c r="EW94" i="8"/>
  <c r="EW91" i="8"/>
  <c r="EX87" i="8"/>
  <c r="EX90" i="8" s="1"/>
  <c r="EW90" i="8" s="1"/>
  <c r="EV87" i="8"/>
  <c r="EV90" i="8" s="1"/>
  <c r="EW85" i="8"/>
  <c r="EW84" i="8"/>
  <c r="EW87" i="8" s="1"/>
  <c r="EW82" i="8"/>
  <c r="EX78" i="8"/>
  <c r="EX81" i="8" s="1"/>
  <c r="EW81" i="8" s="1"/>
  <c r="EV78" i="8"/>
  <c r="EV81" i="8" s="1"/>
  <c r="EX77" i="8"/>
  <c r="EW77" i="8"/>
  <c r="EV77" i="8"/>
  <c r="EW76" i="8"/>
  <c r="EW75" i="8"/>
  <c r="EW78" i="8" s="1"/>
  <c r="EW73" i="8"/>
  <c r="EX69" i="8"/>
  <c r="EX72" i="8" s="1"/>
  <c r="EW72" i="8" s="1"/>
  <c r="EV69" i="8"/>
  <c r="EV72" i="8" s="1"/>
  <c r="EW67" i="8"/>
  <c r="EW66" i="8"/>
  <c r="EW69" i="8" s="1"/>
  <c r="EX63" i="8"/>
  <c r="EW63" i="8"/>
  <c r="EV63" i="8"/>
  <c r="EX61" i="8"/>
  <c r="EW61" i="8"/>
  <c r="EV61" i="8"/>
  <c r="EX60" i="8"/>
  <c r="EW60" i="8"/>
  <c r="EV60" i="8"/>
  <c r="EX53" i="8"/>
  <c r="EV53" i="8"/>
  <c r="EW50" i="8"/>
  <c r="EX47" i="8"/>
  <c r="EW47" i="8"/>
  <c r="EV47" i="8"/>
  <c r="EW43" i="8"/>
  <c r="EW40" i="8"/>
  <c r="EX38" i="8"/>
  <c r="EW38" i="8"/>
  <c r="EV38" i="8"/>
  <c r="EW34" i="8"/>
  <c r="EX31" i="8"/>
  <c r="EV31" i="8"/>
  <c r="EW23" i="8"/>
  <c r="EW245" i="45"/>
  <c r="EX245" i="45" s="1"/>
  <c r="EW232" i="45"/>
  <c r="EW235" i="45" s="1"/>
  <c r="EV232" i="45"/>
  <c r="EV235" i="45" s="1"/>
  <c r="EW230" i="45"/>
  <c r="EX4" i="7"/>
  <c r="EX2" i="8" s="1"/>
  <c r="EW4" i="7"/>
  <c r="EW2" i="8" s="1"/>
  <c r="EW220" i="8" s="1"/>
  <c r="EW285" i="8" s="1"/>
  <c r="EV4" i="7"/>
  <c r="EV2" i="8" s="1"/>
  <c r="EV20" i="8" s="1"/>
  <c r="EX561" i="7"/>
  <c r="EW561" i="7"/>
  <c r="EV561" i="7"/>
  <c r="EX488" i="7"/>
  <c r="EW488" i="7" s="1"/>
  <c r="EV488" i="7"/>
  <c r="EW487" i="7"/>
  <c r="EW486" i="7"/>
  <c r="EW485" i="7"/>
  <c r="EW484" i="7"/>
  <c r="EW482" i="7"/>
  <c r="EW481" i="7"/>
  <c r="EW480" i="7"/>
  <c r="EW479" i="7"/>
  <c r="EW477" i="7"/>
  <c r="EW476" i="7"/>
  <c r="EW475" i="7"/>
  <c r="EW474" i="7"/>
  <c r="EW473" i="7"/>
  <c r="EW472" i="7"/>
  <c r="EW471" i="7"/>
  <c r="EW470" i="7"/>
  <c r="EW469" i="7"/>
  <c r="EW467" i="7"/>
  <c r="EW466" i="7"/>
  <c r="EW465" i="7"/>
  <c r="EW464" i="7"/>
  <c r="EW459" i="7"/>
  <c r="EW458" i="7"/>
  <c r="EX457" i="7"/>
  <c r="EW457" i="7" s="1"/>
  <c r="EV457" i="7"/>
  <c r="EW456" i="7"/>
  <c r="EW455" i="7"/>
  <c r="EX454" i="7"/>
  <c r="EW454" i="7" s="1"/>
  <c r="EV454" i="7"/>
  <c r="EW439" i="7"/>
  <c r="EW438" i="7"/>
  <c r="EW437" i="7"/>
  <c r="EW434" i="7"/>
  <c r="EW433" i="7"/>
  <c r="EW432" i="7"/>
  <c r="EW429" i="7"/>
  <c r="EW428" i="7"/>
  <c r="EW427" i="7"/>
  <c r="EW424" i="7"/>
  <c r="EW423" i="7"/>
  <c r="EW422" i="7"/>
  <c r="EW419" i="7"/>
  <c r="EW418" i="7"/>
  <c r="EW417" i="7"/>
  <c r="EW414" i="7"/>
  <c r="EW413" i="7"/>
  <c r="EW412" i="7"/>
  <c r="EW409" i="7"/>
  <c r="EW408" i="7"/>
  <c r="EW407" i="7"/>
  <c r="EW403" i="7"/>
  <c r="EV403" i="7"/>
  <c r="EX396" i="7"/>
  <c r="EW396" i="7" s="1"/>
  <c r="EV396" i="7"/>
  <c r="EX375" i="7"/>
  <c r="EX374" i="7"/>
  <c r="EX373" i="7"/>
  <c r="EX372" i="7"/>
  <c r="EX371" i="7"/>
  <c r="EX370" i="7"/>
  <c r="EW362" i="7"/>
  <c r="EV362" i="7"/>
  <c r="EW361" i="7"/>
  <c r="EV361" i="7"/>
  <c r="EX360" i="7"/>
  <c r="EW360" i="7" s="1"/>
  <c r="EV360" i="7"/>
  <c r="EW353" i="7"/>
  <c r="EV353" i="7"/>
  <c r="EW347" i="7"/>
  <c r="EV347" i="7"/>
  <c r="EW313" i="7"/>
  <c r="EW312" i="7"/>
  <c r="EW311" i="7"/>
  <c r="EW310" i="7"/>
  <c r="EW309" i="7"/>
  <c r="EW306" i="7"/>
  <c r="EX281" i="7"/>
  <c r="EV281" i="7"/>
  <c r="EX257" i="7"/>
  <c r="EW257" i="7" s="1"/>
  <c r="EV257" i="7"/>
  <c r="EX249" i="7"/>
  <c r="EW249" i="7" s="1"/>
  <c r="EV249" i="7"/>
  <c r="EX240" i="7"/>
  <c r="EW240" i="7" s="1"/>
  <c r="EV240" i="7"/>
  <c r="EW237" i="7"/>
  <c r="EW236" i="7"/>
  <c r="EW235" i="7"/>
  <c r="EW232" i="7"/>
  <c r="EW231" i="7"/>
  <c r="EW223" i="7"/>
  <c r="EX207" i="7"/>
  <c r="EV207" i="7"/>
  <c r="EX206" i="7"/>
  <c r="EV206" i="7"/>
  <c r="EX203" i="7"/>
  <c r="EV203" i="7"/>
  <c r="EX202" i="7"/>
  <c r="EV202" i="7"/>
  <c r="EX201" i="7"/>
  <c r="EV201" i="7"/>
  <c r="EX200" i="7"/>
  <c r="EV200" i="7"/>
  <c r="EX197" i="7"/>
  <c r="EV197" i="7"/>
  <c r="EX196" i="7"/>
  <c r="EV196" i="7"/>
  <c r="EX194" i="7"/>
  <c r="EV194" i="7"/>
  <c r="EX191" i="7"/>
  <c r="EV191" i="7"/>
  <c r="EV39" i="7" s="1"/>
  <c r="EW189" i="7"/>
  <c r="EW138" i="7"/>
  <c r="EW137" i="7"/>
  <c r="EW136" i="7"/>
  <c r="EW135" i="7"/>
  <c r="EW134" i="7"/>
  <c r="EW133" i="7"/>
  <c r="EW132" i="7"/>
  <c r="EW131" i="7"/>
  <c r="EW130" i="7"/>
  <c r="EW129" i="7"/>
  <c r="EW128" i="7"/>
  <c r="EW127" i="7"/>
  <c r="EW126" i="7"/>
  <c r="EW125" i="7"/>
  <c r="EW124" i="7"/>
  <c r="EW123" i="7"/>
  <c r="EW122" i="7"/>
  <c r="EW121" i="7"/>
  <c r="EW120" i="7"/>
  <c r="EW119" i="7"/>
  <c r="EX118" i="7"/>
  <c r="EV118" i="7"/>
  <c r="EX117" i="7"/>
  <c r="EV117" i="7"/>
  <c r="EW115" i="7"/>
  <c r="EW114" i="7"/>
  <c r="EW113" i="7"/>
  <c r="EW112" i="7"/>
  <c r="EW111" i="7"/>
  <c r="EW110" i="7"/>
  <c r="EW109" i="7"/>
  <c r="EW108" i="7"/>
  <c r="EW107" i="7"/>
  <c r="EW106" i="7"/>
  <c r="EW105" i="7"/>
  <c r="EW104" i="7"/>
  <c r="EW103" i="7"/>
  <c r="EW102" i="7"/>
  <c r="EW101" i="7"/>
  <c r="EW100" i="7"/>
  <c r="EW99" i="7"/>
  <c r="EW98" i="7"/>
  <c r="EW97" i="7"/>
  <c r="EW96" i="7"/>
  <c r="EW95" i="7"/>
  <c r="EX94" i="7"/>
  <c r="EV94" i="7"/>
  <c r="EX93" i="7"/>
  <c r="EV93" i="7"/>
  <c r="EW89" i="7"/>
  <c r="EX84" i="7"/>
  <c r="EV84" i="7"/>
  <c r="EX71" i="7"/>
  <c r="EV71" i="7"/>
  <c r="EX68" i="7"/>
  <c r="EV68" i="7"/>
  <c r="EX67" i="7"/>
  <c r="EV67" i="7"/>
  <c r="EX64" i="7"/>
  <c r="EV64" i="7"/>
  <c r="EX60" i="7"/>
  <c r="EV60" i="7"/>
  <c r="EX59" i="7"/>
  <c r="EV59" i="7"/>
  <c r="EX38" i="7"/>
  <c r="EV38" i="7"/>
  <c r="EX37" i="7"/>
  <c r="EV37" i="7"/>
  <c r="EX36" i="7"/>
  <c r="EV36" i="7"/>
  <c r="EX2" i="7"/>
  <c r="EW2" i="7"/>
  <c r="EV2" i="7"/>
  <c r="FA79" i="8" l="1"/>
  <c r="EY79" i="8"/>
  <c r="EX29" i="7"/>
  <c r="EX9" i="7"/>
  <c r="EV460" i="7"/>
  <c r="EV490" i="7" s="1"/>
  <c r="EW460" i="7"/>
  <c r="EW490" i="7" s="1"/>
  <c r="EX178" i="7"/>
  <c r="EX321" i="7"/>
  <c r="EV40" i="7"/>
  <c r="EV195" i="7"/>
  <c r="EV198" i="7"/>
  <c r="EW207" i="7"/>
  <c r="EW68" i="7"/>
  <c r="EW118" i="7"/>
  <c r="EW79" i="8"/>
  <c r="EW29" i="7"/>
  <c r="EW37" i="7"/>
  <c r="EW93" i="7"/>
  <c r="EX235" i="45"/>
  <c r="EW186" i="8"/>
  <c r="EW117" i="7"/>
  <c r="EW191" i="7"/>
  <c r="EW156" i="8" s="1"/>
  <c r="EV404" i="7"/>
  <c r="EW404" i="7" s="1"/>
  <c r="EW442" i="7"/>
  <c r="EW31" i="8"/>
  <c r="EX220" i="8"/>
  <c r="EX285" i="8" s="1"/>
  <c r="EX13" i="8"/>
  <c r="EW36" i="7"/>
  <c r="EW67" i="7"/>
  <c r="EW84" i="7"/>
  <c r="EW94" i="7"/>
  <c r="EX232" i="45"/>
  <c r="EW190" i="8"/>
  <c r="EX39" i="7"/>
  <c r="EW39" i="7" s="1"/>
  <c r="EW181" i="8"/>
  <c r="EW71" i="7"/>
  <c r="EW200" i="7"/>
  <c r="EW166" i="8" s="1"/>
  <c r="EW13" i="8"/>
  <c r="EW60" i="7"/>
  <c r="EW196" i="7"/>
  <c r="EW161" i="8" s="1"/>
  <c r="EW165" i="8"/>
  <c r="EW20" i="8"/>
  <c r="EW64" i="7"/>
  <c r="EW203" i="7"/>
  <c r="EW59" i="7"/>
  <c r="EW194" i="7"/>
  <c r="EW159" i="8" s="1"/>
  <c r="EX205" i="7"/>
  <c r="EV13" i="8"/>
  <c r="EV220" i="8"/>
  <c r="EV285" i="8" s="1"/>
  <c r="EW38" i="7"/>
  <c r="EW197" i="7"/>
  <c r="EW162" i="8" s="1"/>
  <c r="EW201" i="7"/>
  <c r="EW167" i="8" s="1"/>
  <c r="EX20" i="8"/>
  <c r="EW202" i="7"/>
  <c r="EW168" i="8" s="1"/>
  <c r="EV365" i="7"/>
  <c r="EV442" i="7"/>
  <c r="EV340" i="7"/>
  <c r="EV321" i="7"/>
  <c r="EV451" i="7"/>
  <c r="EV149" i="7"/>
  <c r="EW340" i="7"/>
  <c r="EW451" i="7"/>
  <c r="EW365" i="7"/>
  <c r="EW226" i="7"/>
  <c r="EV9" i="7"/>
  <c r="EV5" i="45" s="1"/>
  <c r="AZ1" i="57" s="1"/>
  <c r="AZ76" i="57" s="1"/>
  <c r="EW149" i="7"/>
  <c r="EX195" i="7"/>
  <c r="EW206" i="7"/>
  <c r="EV205" i="7"/>
  <c r="EV226" i="7"/>
  <c r="EW281" i="7"/>
  <c r="EX442" i="7"/>
  <c r="EX451" i="7"/>
  <c r="EX365" i="7"/>
  <c r="EX226" i="7"/>
  <c r="EW9" i="7"/>
  <c r="EW5" i="45" s="1"/>
  <c r="EW59" i="45" s="1"/>
  <c r="EX40" i="7"/>
  <c r="EX149" i="7"/>
  <c r="EV178" i="7"/>
  <c r="EX198" i="7"/>
  <c r="EX340" i="7"/>
  <c r="EV29" i="7"/>
  <c r="EW178" i="7"/>
  <c r="EW321" i="7"/>
  <c r="EX460" i="7"/>
  <c r="EX490" i="7" s="1"/>
  <c r="EW198" i="7" l="1"/>
  <c r="EX5" i="45"/>
  <c r="EX330" i="45" s="1"/>
  <c r="EW195" i="7"/>
  <c r="EW205" i="7"/>
  <c r="EV378" i="45"/>
  <c r="EV59" i="45"/>
  <c r="EV43" i="45"/>
  <c r="EV69" i="45" s="1"/>
  <c r="EV16" i="45"/>
  <c r="EW403" i="45"/>
  <c r="EW81" i="45"/>
  <c r="EW334" i="45"/>
  <c r="EW350" i="45" s="1"/>
  <c r="EW444" i="45"/>
  <c r="EW4" i="45"/>
  <c r="EV199" i="45"/>
  <c r="EV225" i="45" s="1"/>
  <c r="EV81" i="45"/>
  <c r="EV330" i="45"/>
  <c r="EV314" i="45"/>
  <c r="EW314" i="45"/>
  <c r="EV4" i="45"/>
  <c r="EV86" i="45"/>
  <c r="EV403" i="45"/>
  <c r="EV334" i="45"/>
  <c r="EV350" i="45" s="1"/>
  <c r="EW43" i="45"/>
  <c r="EW69" i="45" s="1"/>
  <c r="EW330" i="45"/>
  <c r="EW16" i="45"/>
  <c r="EW102" i="45"/>
  <c r="BA1" i="57"/>
  <c r="EW27" i="45"/>
  <c r="EW86" i="45"/>
  <c r="EW199" i="45"/>
  <c r="EW225" i="45" s="1"/>
  <c r="EW378" i="45"/>
  <c r="EV27" i="45"/>
  <c r="EV102" i="45"/>
  <c r="EV272" i="45" s="1"/>
  <c r="EV444" i="45"/>
  <c r="AZ83" i="57"/>
  <c r="EW164" i="8"/>
  <c r="EW40" i="7"/>
  <c r="EX27" i="45" l="1"/>
  <c r="EX314" i="45"/>
  <c r="EX378" i="45"/>
  <c r="EX81" i="45"/>
  <c r="EX102" i="45"/>
  <c r="EX136" i="45" s="1"/>
  <c r="BB1" i="57"/>
  <c r="BB83" i="57" s="1"/>
  <c r="EX16" i="45"/>
  <c r="EX4" i="45"/>
  <c r="EX86" i="45"/>
  <c r="EX199" i="45"/>
  <c r="EX225" i="45" s="1"/>
  <c r="EX403" i="45"/>
  <c r="EX334" i="45"/>
  <c r="EX350" i="45" s="1"/>
  <c r="EX444" i="45"/>
  <c r="EX43" i="45"/>
  <c r="EX69" i="45" s="1"/>
  <c r="EX59" i="45"/>
  <c r="EV132" i="45"/>
  <c r="EV181" i="45"/>
  <c r="EV356" i="45"/>
  <c r="EV287" i="45"/>
  <c r="BA83" i="57"/>
  <c r="BA76" i="57"/>
  <c r="EW272" i="45"/>
  <c r="EW287" i="45"/>
  <c r="EW136" i="45"/>
  <c r="EW181" i="45"/>
  <c r="EW356" i="45"/>
  <c r="EW132" i="45"/>
  <c r="EV136" i="45"/>
  <c r="EX181" i="45" l="1"/>
  <c r="EX287" i="45"/>
  <c r="EX132" i="45"/>
  <c r="EX272" i="45"/>
  <c r="EX356" i="45"/>
  <c r="BB76" i="57"/>
  <c r="DK330" i="45"/>
  <c r="DJ330" i="45"/>
  <c r="DI330" i="45"/>
  <c r="EB165" i="45"/>
  <c r="EB163" i="45"/>
  <c r="DT296" i="45" l="1"/>
  <c r="DQ354" i="45"/>
  <c r="DO354" i="45"/>
  <c r="DN354" i="45"/>
  <c r="DL354" i="45"/>
  <c r="DK354" i="45"/>
  <c r="DI354" i="45"/>
  <c r="D354" i="45"/>
  <c r="DO83" i="7"/>
  <c r="DO64" i="45"/>
  <c r="DO30" i="45"/>
  <c r="DT354" i="45" l="1"/>
  <c r="DW297" i="45"/>
  <c r="DW116" i="45" s="1"/>
  <c r="EV506" i="7" l="1"/>
  <c r="AF81" i="57"/>
  <c r="AH81" i="57" s="1"/>
  <c r="AI81" i="57" s="1"/>
  <c r="AK81" i="57" s="1"/>
  <c r="AL81" i="57" s="1"/>
  <c r="AN81" i="57" s="1"/>
  <c r="AO81" i="57" s="1"/>
  <c r="AQ81" i="57" s="1"/>
  <c r="AR81" i="57" s="1"/>
  <c r="AT81" i="57" s="1"/>
  <c r="AU81" i="57" s="1"/>
  <c r="AW81" i="57" s="1"/>
  <c r="AX81" i="57" s="1"/>
  <c r="AZ81" i="57" s="1"/>
  <c r="T94" i="57"/>
  <c r="W94" i="57"/>
  <c r="DE63" i="8"/>
  <c r="DF63" i="8"/>
  <c r="DG63" i="8"/>
  <c r="DH63" i="8"/>
  <c r="DI63" i="8"/>
  <c r="DJ63" i="8"/>
  <c r="DK63" i="8"/>
  <c r="DL63" i="8"/>
  <c r="DM63" i="8"/>
  <c r="DN63" i="8"/>
  <c r="DO63" i="8"/>
  <c r="DP63" i="8"/>
  <c r="DQ63" i="8"/>
  <c r="DR63" i="8"/>
  <c r="DS63" i="8"/>
  <c r="DT63" i="8"/>
  <c r="DU63" i="8"/>
  <c r="DY63" i="8"/>
  <c r="DZ63" i="8"/>
  <c r="EA63" i="8"/>
  <c r="EB63" i="8"/>
  <c r="EC63" i="8"/>
  <c r="ED63" i="8"/>
  <c r="EE63" i="8"/>
  <c r="EF63" i="8"/>
  <c r="EG63" i="8"/>
  <c r="EH63" i="8"/>
  <c r="EI63" i="8"/>
  <c r="EJ63" i="8"/>
  <c r="EK63" i="8"/>
  <c r="EL63" i="8"/>
  <c r="EM63" i="8"/>
  <c r="EN63" i="8"/>
  <c r="EO63" i="8"/>
  <c r="EP63" i="8"/>
  <c r="EQ63" i="8"/>
  <c r="ER63" i="8"/>
  <c r="ES63" i="8"/>
  <c r="ET63" i="8"/>
  <c r="EU63" i="8"/>
  <c r="DS87" i="45"/>
  <c r="DS89" i="45"/>
  <c r="DS390" i="7"/>
  <c r="DS378" i="7"/>
  <c r="DT297" i="7"/>
  <c r="DT282" i="7"/>
  <c r="DT259" i="7"/>
  <c r="DT247" i="7"/>
  <c r="DT241" i="7"/>
  <c r="DM99" i="45"/>
  <c r="DS99" i="45"/>
  <c r="DP99" i="45"/>
  <c r="DT4" i="7"/>
  <c r="DT9" i="7" s="1"/>
  <c r="DT2" i="7"/>
  <c r="DS91" i="45"/>
  <c r="S87" i="57"/>
  <c r="DO46" i="45" s="1"/>
  <c r="W84" i="57"/>
  <c r="T84" i="57"/>
  <c r="W80" i="57"/>
  <c r="T80" i="57"/>
  <c r="AC41" i="57"/>
  <c r="AE41" i="57" s="1"/>
  <c r="AF41" i="57" s="1"/>
  <c r="AH41" i="57" s="1"/>
  <c r="AI41" i="57" s="1"/>
  <c r="AK41" i="57" s="1"/>
  <c r="AL41" i="57" s="1"/>
  <c r="AN41" i="57" s="1"/>
  <c r="AO41" i="57" s="1"/>
  <c r="AQ41" i="57" s="1"/>
  <c r="AR41" i="57" s="1"/>
  <c r="AT41" i="57" s="1"/>
  <c r="AU41" i="57" s="1"/>
  <c r="AW41" i="57" s="1"/>
  <c r="AX41" i="57" s="1"/>
  <c r="AZ41" i="57" s="1"/>
  <c r="BA41" i="57" s="1"/>
  <c r="BC41" i="57" s="1"/>
  <c r="BD41" i="57" s="1"/>
  <c r="AH38" i="57"/>
  <c r="AK38" i="57" s="1"/>
  <c r="AL38" i="57" s="1"/>
  <c r="AN38" i="57" s="1"/>
  <c r="AO38" i="57" s="1"/>
  <c r="AQ38" i="57" s="1"/>
  <c r="AR38" i="57" s="1"/>
  <c r="AT38" i="57" s="1"/>
  <c r="AU38" i="57" s="1"/>
  <c r="AW38" i="57" s="1"/>
  <c r="AX38" i="57" s="1"/>
  <c r="AZ38" i="57" s="1"/>
  <c r="BA38" i="57" s="1"/>
  <c r="BC38" i="57" s="1"/>
  <c r="BD38" i="57" s="1"/>
  <c r="AC32" i="57"/>
  <c r="AF32" i="57" s="1"/>
  <c r="AI32" i="57" s="1"/>
  <c r="AK32" i="57" s="1"/>
  <c r="AL32" i="57" s="1"/>
  <c r="AN32" i="57" s="1"/>
  <c r="AO32" i="57" s="1"/>
  <c r="AQ32" i="57" s="1"/>
  <c r="AR32" i="57" s="1"/>
  <c r="AT32" i="57" s="1"/>
  <c r="AU32" i="57" s="1"/>
  <c r="AW32" i="57" s="1"/>
  <c r="AX32" i="57" s="1"/>
  <c r="AZ32" i="57" s="1"/>
  <c r="BA32" i="57" s="1"/>
  <c r="BC32" i="57" s="1"/>
  <c r="BD32" i="57" s="1"/>
  <c r="AF23" i="57"/>
  <c r="AH23" i="57" s="1"/>
  <c r="AI23" i="57" s="1"/>
  <c r="AK23" i="57" s="1"/>
  <c r="AL23" i="57" s="1"/>
  <c r="AN23" i="57" s="1"/>
  <c r="AO23" i="57" s="1"/>
  <c r="AQ23" i="57" s="1"/>
  <c r="AR23" i="57" s="1"/>
  <c r="AT23" i="57" s="1"/>
  <c r="AU23" i="57" s="1"/>
  <c r="AW23" i="57" s="1"/>
  <c r="AX23" i="57" s="1"/>
  <c r="AZ23" i="57" s="1"/>
  <c r="BA23" i="57" s="1"/>
  <c r="BC23" i="57" s="1"/>
  <c r="BD23" i="57" s="1"/>
  <c r="AK20" i="57"/>
  <c r="AL20" i="57" s="1"/>
  <c r="AN20" i="57" s="1"/>
  <c r="AO20" i="57" s="1"/>
  <c r="AQ20" i="57" s="1"/>
  <c r="AR20" i="57" s="1"/>
  <c r="AT20" i="57" s="1"/>
  <c r="AU20" i="57" s="1"/>
  <c r="AW20" i="57" s="1"/>
  <c r="AX20" i="57" s="1"/>
  <c r="AZ20" i="57" s="1"/>
  <c r="BA20" i="57" s="1"/>
  <c r="BC20" i="57" s="1"/>
  <c r="BD20" i="57" s="1"/>
  <c r="S8" i="57"/>
  <c r="W52" i="57"/>
  <c r="T52" i="57"/>
  <c r="T8" i="57" s="1"/>
  <c r="T46" i="57"/>
  <c r="W55" i="57"/>
  <c r="T55" i="57"/>
  <c r="S49" i="57"/>
  <c r="U49" i="57"/>
  <c r="W46" i="57"/>
  <c r="V49" i="57"/>
  <c r="Y50" i="57" s="1"/>
  <c r="X49" i="57"/>
  <c r="AA50" i="57" s="1"/>
  <c r="U38" i="57"/>
  <c r="U32" i="57"/>
  <c r="S32" i="57"/>
  <c r="T37" i="57"/>
  <c r="T31" i="57"/>
  <c r="S34" i="57"/>
  <c r="S35" i="57" s="1"/>
  <c r="W37" i="57"/>
  <c r="Z38" i="57" s="1"/>
  <c r="W31" i="57"/>
  <c r="Z32" i="57" s="1"/>
  <c r="T22" i="57"/>
  <c r="T19" i="57"/>
  <c r="S25" i="57"/>
  <c r="U25" i="57"/>
  <c r="W22" i="57"/>
  <c r="Z23" i="57" s="1"/>
  <c r="W19" i="57"/>
  <c r="Z20" i="57" s="1"/>
  <c r="V25" i="57"/>
  <c r="Y26" i="57" s="1"/>
  <c r="AE26" i="57" s="1"/>
  <c r="AF26" i="57" s="1"/>
  <c r="AH26" i="57" s="1"/>
  <c r="AI26" i="57" s="1"/>
  <c r="AK26" i="57" s="1"/>
  <c r="AL26" i="57" s="1"/>
  <c r="AN26" i="57" s="1"/>
  <c r="AO26" i="57" s="1"/>
  <c r="AQ26" i="57" s="1"/>
  <c r="AR26" i="57" s="1"/>
  <c r="AT26" i="57" s="1"/>
  <c r="AU26" i="57" s="1"/>
  <c r="AW26" i="57" s="1"/>
  <c r="AX26" i="57" s="1"/>
  <c r="AZ26" i="57" s="1"/>
  <c r="BA26" i="57" s="1"/>
  <c r="BC26" i="57" s="1"/>
  <c r="BD26" i="57" s="1"/>
  <c r="X25" i="57"/>
  <c r="AA26" i="57" s="1"/>
  <c r="DL157" i="45"/>
  <c r="DO157" i="45" s="1"/>
  <c r="DP158" i="45"/>
  <c r="DM158" i="45"/>
  <c r="DM157" i="45" s="1"/>
  <c r="DP156" i="45"/>
  <c r="DM156" i="45"/>
  <c r="DM155" i="45" s="1"/>
  <c r="DL155" i="45"/>
  <c r="DR166" i="45"/>
  <c r="DO166" i="45"/>
  <c r="DL166" i="45"/>
  <c r="DT144" i="45"/>
  <c r="DU144" i="45"/>
  <c r="DY144" i="45"/>
  <c r="DJ449" i="45"/>
  <c r="DT455" i="45"/>
  <c r="DR455" i="45"/>
  <c r="DQ455" i="45"/>
  <c r="DO455" i="45"/>
  <c r="DN455" i="45"/>
  <c r="DM452" i="45"/>
  <c r="DM449" i="45"/>
  <c r="DS452" i="45"/>
  <c r="DP452" i="45"/>
  <c r="DP449" i="45"/>
  <c r="DS449" i="45"/>
  <c r="DS431" i="45"/>
  <c r="DJ431" i="45"/>
  <c r="DJ432" i="45"/>
  <c r="DK411" i="45"/>
  <c r="DI411" i="45"/>
  <c r="DI404" i="45"/>
  <c r="DL404" i="45"/>
  <c r="DK404" i="45"/>
  <c r="DN404" i="45"/>
  <c r="DQ404" i="45"/>
  <c r="DO404" i="45"/>
  <c r="DJ406" i="45"/>
  <c r="DJ405" i="45"/>
  <c r="DP406" i="45"/>
  <c r="DJ410" i="45"/>
  <c r="DJ409" i="45"/>
  <c r="DJ408" i="45"/>
  <c r="DM410" i="45"/>
  <c r="DM409" i="45"/>
  <c r="DM408" i="45"/>
  <c r="DP410" i="45"/>
  <c r="DP409" i="45"/>
  <c r="DP408" i="45"/>
  <c r="DS410" i="45"/>
  <c r="DS409" i="45"/>
  <c r="DS408" i="45"/>
  <c r="DS406" i="45"/>
  <c r="DS405" i="45"/>
  <c r="DR404" i="45"/>
  <c r="DT404" i="45"/>
  <c r="DL400" i="45"/>
  <c r="DM397" i="45"/>
  <c r="DM394" i="45"/>
  <c r="DJ394" i="45"/>
  <c r="DS397" i="45"/>
  <c r="DP397" i="45"/>
  <c r="DS394" i="45"/>
  <c r="DP394" i="45"/>
  <c r="DJ72" i="45"/>
  <c r="DM72" i="45"/>
  <c r="DP72" i="45"/>
  <c r="DS72" i="45"/>
  <c r="DS70" i="45"/>
  <c r="DP70" i="45"/>
  <c r="DJ70" i="45"/>
  <c r="DI375" i="45"/>
  <c r="DI398" i="45" s="1"/>
  <c r="DJ372" i="45"/>
  <c r="DM372" i="45"/>
  <c r="DN370" i="45"/>
  <c r="DL370" i="45"/>
  <c r="DJ369" i="45"/>
  <c r="DM369" i="45"/>
  <c r="DI115" i="45"/>
  <c r="DL115" i="45"/>
  <c r="DI112" i="45"/>
  <c r="DI109" i="45"/>
  <c r="DK106" i="45"/>
  <c r="DJ106" i="45"/>
  <c r="DI106" i="45"/>
  <c r="DJ363" i="45"/>
  <c r="DM363" i="45"/>
  <c r="DP363" i="45"/>
  <c r="DP369" i="45"/>
  <c r="DP372" i="45"/>
  <c r="DS372" i="45"/>
  <c r="DV373" i="45" s="1"/>
  <c r="DS369" i="45"/>
  <c r="DV370" i="45" s="1"/>
  <c r="DS363" i="45"/>
  <c r="DV364" i="45" s="1"/>
  <c r="DJ345" i="45"/>
  <c r="DL345" i="45" s="1"/>
  <c r="DM345" i="45" s="1"/>
  <c r="DO345" i="45" s="1"/>
  <c r="DP345" i="45" s="1"/>
  <c r="DR345" i="45" s="1"/>
  <c r="DS345" i="45" s="1"/>
  <c r="DU345" i="45" s="1"/>
  <c r="DJ342" i="45"/>
  <c r="DL342" i="45" s="1"/>
  <c r="DM342" i="45" s="1"/>
  <c r="DO342" i="45" s="1"/>
  <c r="DP342" i="45" s="1"/>
  <c r="DR342" i="45" s="1"/>
  <c r="DS342" i="45" s="1"/>
  <c r="DU342" i="45" s="1"/>
  <c r="DI321" i="45"/>
  <c r="DI318" i="45" s="1"/>
  <c r="DJ322" i="45"/>
  <c r="DL322" i="45" s="1"/>
  <c r="DM322" i="45" s="1"/>
  <c r="DO322" i="45" s="1"/>
  <c r="DJ325" i="45"/>
  <c r="DL325" i="45" s="1"/>
  <c r="DI324" i="45"/>
  <c r="EB294" i="45"/>
  <c r="ED294" i="45" s="1"/>
  <c r="EE294" i="45" s="1"/>
  <c r="EG294" i="45" s="1"/>
  <c r="EH294" i="45" s="1"/>
  <c r="EJ294" i="45" s="1"/>
  <c r="EK294" i="45" s="1"/>
  <c r="EM294" i="45" s="1"/>
  <c r="EN294" i="45" s="1"/>
  <c r="EP294" i="45" s="1"/>
  <c r="EQ294" i="45" s="1"/>
  <c r="ES294" i="45" s="1"/>
  <c r="ET294" i="45" s="1"/>
  <c r="EV294" i="45" s="1"/>
  <c r="DI290" i="45"/>
  <c r="DS294" i="45"/>
  <c r="DP294" i="45"/>
  <c r="DM294" i="45"/>
  <c r="DJ293" i="45"/>
  <c r="DK293" i="45" s="1"/>
  <c r="DJ296" i="45"/>
  <c r="EB316" i="45"/>
  <c r="ED316" i="45" s="1"/>
  <c r="EE316" i="45" s="1"/>
  <c r="EG316" i="45" s="1"/>
  <c r="EH316" i="45" s="1"/>
  <c r="EK316" i="45" s="1"/>
  <c r="EM316" i="45" s="1"/>
  <c r="DI335" i="45"/>
  <c r="DL335" i="45"/>
  <c r="DO335" i="45"/>
  <c r="DR316" i="45"/>
  <c r="DQ316" i="45"/>
  <c r="DO316" i="45"/>
  <c r="DN316" i="45"/>
  <c r="DL316" i="45"/>
  <c r="DJ315" i="45"/>
  <c r="DM315" i="45"/>
  <c r="DJ351" i="45"/>
  <c r="DJ124" i="45" s="1"/>
  <c r="DM351" i="45"/>
  <c r="DM124" i="45" s="1"/>
  <c r="DN124" i="45" s="1"/>
  <c r="DM296" i="45"/>
  <c r="DP351" i="45"/>
  <c r="DP124" i="45" s="1"/>
  <c r="DP315" i="45"/>
  <c r="DP296" i="45"/>
  <c r="DS296" i="45"/>
  <c r="DV297" i="45" s="1"/>
  <c r="DV116" i="45" s="1"/>
  <c r="DS315" i="45"/>
  <c r="DV316" i="45" s="1"/>
  <c r="DS351" i="45"/>
  <c r="DM279" i="45"/>
  <c r="DO279" i="45" s="1"/>
  <c r="DP279" i="45" s="1"/>
  <c r="DR279" i="45" s="1"/>
  <c r="DS279" i="45" s="1"/>
  <c r="DJ278" i="45"/>
  <c r="DK284" i="45"/>
  <c r="DI284" i="45"/>
  <c r="DJ274" i="45"/>
  <c r="DL274" i="45" s="1"/>
  <c r="DM274" i="45" s="1"/>
  <c r="DO274" i="45" s="1"/>
  <c r="DP274" i="45" s="1"/>
  <c r="DI275" i="45"/>
  <c r="DN282" i="45"/>
  <c r="DL282" i="45"/>
  <c r="DJ281" i="45"/>
  <c r="DJ284" i="45" s="1"/>
  <c r="DM281" i="45"/>
  <c r="DP281" i="45"/>
  <c r="DS281" i="45"/>
  <c r="DV282" i="45" s="1"/>
  <c r="DV113" i="45" s="1"/>
  <c r="DJ262" i="45"/>
  <c r="DQ263" i="45"/>
  <c r="DO263" i="45"/>
  <c r="DN263" i="45"/>
  <c r="DL263" i="45"/>
  <c r="DM262" i="45"/>
  <c r="DN254" i="45"/>
  <c r="DL254" i="45"/>
  <c r="DN251" i="45"/>
  <c r="DL251" i="45"/>
  <c r="DQ254" i="45"/>
  <c r="DO254" i="45"/>
  <c r="DQ251" i="45"/>
  <c r="DO251" i="45"/>
  <c r="DI259" i="45"/>
  <c r="DI265" i="45" s="1"/>
  <c r="DL259" i="45"/>
  <c r="DL265" i="45" s="1"/>
  <c r="DJ253" i="45"/>
  <c r="DJ250" i="45"/>
  <c r="DM253" i="45"/>
  <c r="DM250" i="45"/>
  <c r="DW144" i="45" l="1"/>
  <c r="DW153" i="45" s="1"/>
  <c r="DX144" i="45"/>
  <c r="W32" i="57"/>
  <c r="DS124" i="45"/>
  <c r="DV352" i="45"/>
  <c r="DV342" i="45"/>
  <c r="DV345" i="45"/>
  <c r="EW506" i="7"/>
  <c r="EB420" i="45"/>
  <c r="ED420" i="45" s="1"/>
  <c r="EB419" i="45"/>
  <c r="ED419" i="45" s="1"/>
  <c r="DK442" i="45"/>
  <c r="DK439" i="45"/>
  <c r="DK441" i="45"/>
  <c r="DK440" i="45"/>
  <c r="DQ124" i="45"/>
  <c r="DI439" i="45"/>
  <c r="DI440" i="45"/>
  <c r="DI441" i="45"/>
  <c r="DI442" i="45"/>
  <c r="DU279" i="45"/>
  <c r="DV279" i="45" s="1"/>
  <c r="DX279" i="45" s="1"/>
  <c r="EN316" i="45"/>
  <c r="EM332" i="45"/>
  <c r="EM331" i="45" s="1"/>
  <c r="DJ375" i="45"/>
  <c r="DJ391" i="45" s="1"/>
  <c r="W49" i="57"/>
  <c r="T87" i="57"/>
  <c r="BA81" i="57"/>
  <c r="BC81" i="57" s="1"/>
  <c r="T49" i="57"/>
  <c r="T43" i="57" s="1"/>
  <c r="EV61" i="45"/>
  <c r="EW294" i="45"/>
  <c r="EY294" i="45" s="1"/>
  <c r="DP354" i="45"/>
  <c r="DP157" i="45"/>
  <c r="DQ157" i="45" s="1"/>
  <c r="DJ115" i="45"/>
  <c r="DK115" i="45" s="1"/>
  <c r="DJ354" i="45"/>
  <c r="DS354" i="45"/>
  <c r="DM115" i="45"/>
  <c r="DN115" i="45" s="1"/>
  <c r="DM354" i="45"/>
  <c r="DI391" i="45"/>
  <c r="DK445" i="45"/>
  <c r="DN155" i="45"/>
  <c r="DO155" i="45"/>
  <c r="DR155" i="45" s="1"/>
  <c r="DI445" i="45"/>
  <c r="U8" i="57"/>
  <c r="W25" i="57"/>
  <c r="Z26" i="57" s="1"/>
  <c r="T25" i="57"/>
  <c r="DN157" i="45"/>
  <c r="DP155" i="45"/>
  <c r="DS155" i="45" s="1"/>
  <c r="DV155" i="45" s="1"/>
  <c r="DV146" i="45" s="1"/>
  <c r="EB144" i="45"/>
  <c r="EE144" i="45" s="1"/>
  <c r="EH144" i="45" s="1"/>
  <c r="EK144" i="45" s="1"/>
  <c r="EN144" i="45" s="1"/>
  <c r="EQ144" i="45" s="1"/>
  <c r="ET144" i="45" s="1"/>
  <c r="EW144" i="45" s="1"/>
  <c r="EZ144" i="45" s="1"/>
  <c r="DS404" i="45"/>
  <c r="DM455" i="45"/>
  <c r="DS455" i="45"/>
  <c r="DI453" i="45"/>
  <c r="DP455" i="45"/>
  <c r="DI450" i="45"/>
  <c r="DK453" i="45"/>
  <c r="DK450" i="45"/>
  <c r="DJ404" i="45"/>
  <c r="DJ407" i="45" s="1"/>
  <c r="DJ411" i="45" s="1"/>
  <c r="DM400" i="45"/>
  <c r="DN400" i="45" s="1"/>
  <c r="DP404" i="45"/>
  <c r="DL341" i="45"/>
  <c r="DL338" i="45" s="1"/>
  <c r="DI401" i="45"/>
  <c r="DM370" i="45"/>
  <c r="DI395" i="45"/>
  <c r="DJ335" i="45"/>
  <c r="DI327" i="45"/>
  <c r="DI328" i="45" s="1"/>
  <c r="DL321" i="45"/>
  <c r="DJ112" i="45"/>
  <c r="DK112" i="45" s="1"/>
  <c r="DM259" i="45"/>
  <c r="DS316" i="45"/>
  <c r="DM282" i="45"/>
  <c r="DM325" i="45"/>
  <c r="DO325" i="45" s="1"/>
  <c r="DP325" i="45" s="1"/>
  <c r="DR325" i="45" s="1"/>
  <c r="DS325" i="45" s="1"/>
  <c r="DL324" i="45"/>
  <c r="DI341" i="45"/>
  <c r="DI338" i="45" s="1"/>
  <c r="DM335" i="45"/>
  <c r="DS335" i="45"/>
  <c r="DP316" i="45"/>
  <c r="DJ321" i="45"/>
  <c r="DK321" i="45" s="1"/>
  <c r="DK322" i="45" s="1"/>
  <c r="DM263" i="45"/>
  <c r="DJ275" i="45"/>
  <c r="DJ273" i="45" s="1"/>
  <c r="DO341" i="45"/>
  <c r="DO344" i="45"/>
  <c r="DM251" i="45"/>
  <c r="DP335" i="45"/>
  <c r="DQ335" i="45" s="1"/>
  <c r="DO336" i="45"/>
  <c r="DJ290" i="45"/>
  <c r="DK290" i="45" s="1"/>
  <c r="DL344" i="45"/>
  <c r="DM316" i="45"/>
  <c r="DJ324" i="45"/>
  <c r="DI344" i="45"/>
  <c r="DM254" i="45"/>
  <c r="DL336" i="45"/>
  <c r="DO321" i="45"/>
  <c r="DP322" i="45"/>
  <c r="DM321" i="45"/>
  <c r="DI273" i="45"/>
  <c r="DQ274" i="45"/>
  <c r="DR274" i="45"/>
  <c r="DL266" i="45"/>
  <c r="DJ259" i="45"/>
  <c r="EB263" i="45"/>
  <c r="ED263" i="45" s="1"/>
  <c r="EE263" i="45" s="1"/>
  <c r="EG263" i="45" s="1"/>
  <c r="EH263" i="45" s="1"/>
  <c r="EJ263" i="45" s="1"/>
  <c r="EK263" i="45" s="1"/>
  <c r="EM263" i="45" s="1"/>
  <c r="EN263" i="45" s="1"/>
  <c r="EP263" i="45" s="1"/>
  <c r="EQ263" i="45" s="1"/>
  <c r="ES263" i="45" s="1"/>
  <c r="ET263" i="45" s="1"/>
  <c r="EV263" i="45" s="1"/>
  <c r="EW263" i="45" s="1"/>
  <c r="EY263" i="45" s="1"/>
  <c r="EZ263" i="45" s="1"/>
  <c r="DY248" i="45"/>
  <c r="EA248" i="45" s="1"/>
  <c r="EB248" i="45" s="1"/>
  <c r="ED248" i="45" s="1"/>
  <c r="EE248" i="45" s="1"/>
  <c r="EG248" i="45" s="1"/>
  <c r="EH248" i="45" s="1"/>
  <c r="EJ248" i="45" s="1"/>
  <c r="EK248" i="45" s="1"/>
  <c r="EM248" i="45" s="1"/>
  <c r="EN248" i="45" s="1"/>
  <c r="EP248" i="45" s="1"/>
  <c r="EQ248" i="45" s="1"/>
  <c r="ES248" i="45" s="1"/>
  <c r="ET248" i="45" s="1"/>
  <c r="EV248" i="45" s="1"/>
  <c r="EW248" i="45" s="1"/>
  <c r="EY248" i="45" s="1"/>
  <c r="EZ248" i="45" s="1"/>
  <c r="DS268" i="45"/>
  <c r="EB251" i="45"/>
  <c r="DP268" i="45"/>
  <c r="DT263" i="45"/>
  <c r="DR263" i="45"/>
  <c r="DS262" i="45"/>
  <c r="DV263" i="45" s="1"/>
  <c r="DR259" i="45"/>
  <c r="DR265" i="45" s="1"/>
  <c r="DS253" i="45"/>
  <c r="DV254" i="45" s="1"/>
  <c r="EB254" i="45" s="1"/>
  <c r="ED254" i="45" s="1"/>
  <c r="EE254" i="45" s="1"/>
  <c r="EG254" i="45" s="1"/>
  <c r="EH254" i="45" s="1"/>
  <c r="EJ254" i="45" s="1"/>
  <c r="EK254" i="45" s="1"/>
  <c r="EM254" i="45" s="1"/>
  <c r="EN254" i="45" s="1"/>
  <c r="EP254" i="45" s="1"/>
  <c r="EQ254" i="45" s="1"/>
  <c r="ES254" i="45" s="1"/>
  <c r="ET254" i="45" s="1"/>
  <c r="EV254" i="45" s="1"/>
  <c r="EW254" i="45" s="1"/>
  <c r="EY254" i="45" s="1"/>
  <c r="EZ254" i="45" s="1"/>
  <c r="DS250" i="45"/>
  <c r="DV251" i="45" s="1"/>
  <c r="DT254" i="45"/>
  <c r="DR254" i="45"/>
  <c r="DT251" i="45"/>
  <c r="DR251" i="45"/>
  <c r="DO259" i="45"/>
  <c r="DO265" i="45" s="1"/>
  <c r="DO266" i="45" s="1"/>
  <c r="DP253" i="45"/>
  <c r="DP254" i="45" s="1"/>
  <c r="DP250" i="45"/>
  <c r="DP262" i="45"/>
  <c r="DP263" i="45" s="1"/>
  <c r="DM268" i="45"/>
  <c r="DJ268" i="45"/>
  <c r="DJ109" i="45" s="1"/>
  <c r="DK109" i="45" s="1"/>
  <c r="DJ103" i="45"/>
  <c r="DI103" i="45"/>
  <c r="DI118" i="45" s="1"/>
  <c r="DI129" i="45" s="1"/>
  <c r="DK148" i="45"/>
  <c r="DI148" i="45"/>
  <c r="DK146" i="45"/>
  <c r="DI146" i="45"/>
  <c r="DS164" i="45"/>
  <c r="DV165" i="45" s="1"/>
  <c r="DS162" i="45"/>
  <c r="DV163" i="45" s="1"/>
  <c r="DT172" i="45"/>
  <c r="DW173" i="45" s="1"/>
  <c r="DR172" i="45"/>
  <c r="DQ172" i="45"/>
  <c r="DO172" i="45"/>
  <c r="EA162" i="45"/>
  <c r="DV341" i="45" l="1"/>
  <c r="DX342" i="45"/>
  <c r="DX341" i="45" s="1"/>
  <c r="DV344" i="45"/>
  <c r="DX345" i="45"/>
  <c r="DX344" i="45" s="1"/>
  <c r="EA144" i="45"/>
  <c r="ED144" i="45" s="1"/>
  <c r="DY345" i="45"/>
  <c r="EA345" i="45" s="1"/>
  <c r="EB345" i="45" s="1"/>
  <c r="ED345" i="45" s="1"/>
  <c r="EE345" i="45" s="1"/>
  <c r="EG345" i="45" s="1"/>
  <c r="EH345" i="45" s="1"/>
  <c r="EJ345" i="45" s="1"/>
  <c r="EK345" i="45" s="1"/>
  <c r="EM345" i="45" s="1"/>
  <c r="EN345" i="45" s="1"/>
  <c r="EP345" i="45" s="1"/>
  <c r="EQ345" i="45" s="1"/>
  <c r="ES345" i="45" s="1"/>
  <c r="ET345" i="45" s="1"/>
  <c r="EV345" i="45" s="1"/>
  <c r="EW345" i="45" s="1"/>
  <c r="EY345" i="45" s="1"/>
  <c r="EZ345" i="45" s="1"/>
  <c r="DV347" i="45"/>
  <c r="DV348" i="45" s="1"/>
  <c r="DV338" i="45"/>
  <c r="DY342" i="45"/>
  <c r="EA342" i="45" s="1"/>
  <c r="EB342" i="45" s="1"/>
  <c r="ED342" i="45" s="1"/>
  <c r="EE342" i="45" s="1"/>
  <c r="EG342" i="45" s="1"/>
  <c r="EH342" i="45" s="1"/>
  <c r="EJ342" i="45" s="1"/>
  <c r="EK342" i="45" s="1"/>
  <c r="EM342" i="45" s="1"/>
  <c r="EN342" i="45" s="1"/>
  <c r="EP342" i="45" s="1"/>
  <c r="EQ342" i="45" s="1"/>
  <c r="ES342" i="45" s="1"/>
  <c r="ET342" i="45" s="1"/>
  <c r="EV342" i="45" s="1"/>
  <c r="EW342" i="45" s="1"/>
  <c r="EY342" i="45" s="1"/>
  <c r="EZ342" i="45" s="1"/>
  <c r="DS341" i="45"/>
  <c r="DS338" i="45" s="1"/>
  <c r="DV336" i="45"/>
  <c r="EB336" i="45" s="1"/>
  <c r="ED336" i="45" s="1"/>
  <c r="EE336" i="45" s="1"/>
  <c r="EG336" i="45" s="1"/>
  <c r="EH336" i="45" s="1"/>
  <c r="EJ336" i="45" s="1"/>
  <c r="EK336" i="45" s="1"/>
  <c r="EM336" i="45" s="1"/>
  <c r="EN336" i="45" s="1"/>
  <c r="EP336" i="45" s="1"/>
  <c r="EQ336" i="45" s="1"/>
  <c r="ES336" i="45" s="1"/>
  <c r="ET336" i="45" s="1"/>
  <c r="EV336" i="45" s="1"/>
  <c r="EW336" i="45" s="1"/>
  <c r="EY336" i="45" s="1"/>
  <c r="EZ336" i="45" s="1"/>
  <c r="DT124" i="45"/>
  <c r="DW125" i="45" s="1"/>
  <c r="DV125" i="45"/>
  <c r="BD81" i="57"/>
  <c r="EZ294" i="45"/>
  <c r="EZ506" i="7"/>
  <c r="EY506" i="7"/>
  <c r="EE419" i="45"/>
  <c r="EH419" i="45" s="1"/>
  <c r="EK419" i="45" s="1"/>
  <c r="EM419" i="45" s="1"/>
  <c r="EN419" i="45" s="1"/>
  <c r="EP419" i="45" s="1"/>
  <c r="EQ419" i="45" s="1"/>
  <c r="ES419" i="45" s="1"/>
  <c r="ET419" i="45" s="1"/>
  <c r="EV419" i="45" s="1"/>
  <c r="EW419" i="45" s="1"/>
  <c r="EY419" i="45" s="1"/>
  <c r="EE420" i="45"/>
  <c r="EH420" i="45" s="1"/>
  <c r="EK420" i="45" s="1"/>
  <c r="EM420" i="45" s="1"/>
  <c r="EN420" i="45" s="1"/>
  <c r="EP420" i="45" s="1"/>
  <c r="EQ420" i="45" s="1"/>
  <c r="ES420" i="45" s="1"/>
  <c r="ET420" i="45" s="1"/>
  <c r="EV420" i="45" s="1"/>
  <c r="EW420" i="45" s="1"/>
  <c r="EY420" i="45" s="1"/>
  <c r="DJ442" i="45"/>
  <c r="DJ437" i="45" s="1"/>
  <c r="DJ440" i="45"/>
  <c r="DJ435" i="45" s="1"/>
  <c r="DJ441" i="45"/>
  <c r="DJ436" i="45" s="1"/>
  <c r="DJ439" i="45"/>
  <c r="DJ434" i="45" s="1"/>
  <c r="DU325" i="45"/>
  <c r="DU259" i="45"/>
  <c r="DX260" i="45" s="1"/>
  <c r="EP316" i="45"/>
  <c r="EN332" i="45"/>
  <c r="EN331" i="45" s="1"/>
  <c r="DK375" i="45"/>
  <c r="DK398" i="45" s="1"/>
  <c r="DJ395" i="45"/>
  <c r="DJ401" i="45"/>
  <c r="DJ398" i="45"/>
  <c r="DJ341" i="45"/>
  <c r="DJ338" i="45" s="1"/>
  <c r="DK338" i="45" s="1"/>
  <c r="EW61" i="45"/>
  <c r="DK391" i="45"/>
  <c r="DZ144" i="45"/>
  <c r="DJ450" i="45"/>
  <c r="DJ445" i="45"/>
  <c r="DT155" i="45"/>
  <c r="DU155" i="45"/>
  <c r="DX155" i="45" s="1"/>
  <c r="DX146" i="45" s="1"/>
  <c r="DS166" i="45"/>
  <c r="DQ155" i="45"/>
  <c r="EF144" i="45"/>
  <c r="EG144" i="45"/>
  <c r="DM265" i="45"/>
  <c r="DN265" i="45" s="1"/>
  <c r="DN321" i="45"/>
  <c r="DN322" i="45" s="1"/>
  <c r="DJ453" i="45"/>
  <c r="DK335" i="45"/>
  <c r="DJ344" i="45"/>
  <c r="DM336" i="45"/>
  <c r="DK124" i="45"/>
  <c r="DJ118" i="45"/>
  <c r="DJ121" i="45" s="1"/>
  <c r="DJ318" i="45"/>
  <c r="DK318" i="45" s="1"/>
  <c r="DI121" i="45"/>
  <c r="DI357" i="45"/>
  <c r="DO347" i="45"/>
  <c r="DO348" i="45" s="1"/>
  <c r="DM324" i="45"/>
  <c r="DN324" i="45" s="1"/>
  <c r="DK275" i="45"/>
  <c r="DK273" i="45" s="1"/>
  <c r="DM341" i="45"/>
  <c r="DM338" i="45" s="1"/>
  <c r="DN338" i="45" s="1"/>
  <c r="DS336" i="45"/>
  <c r="DM344" i="45"/>
  <c r="DS344" i="45"/>
  <c r="DJ265" i="45"/>
  <c r="DK265" i="45" s="1"/>
  <c r="DN335" i="45"/>
  <c r="DQ336" i="45" s="1"/>
  <c r="DS259" i="45"/>
  <c r="DP259" i="45"/>
  <c r="DQ259" i="45" s="1"/>
  <c r="DP251" i="45"/>
  <c r="DP344" i="45"/>
  <c r="DQ344" i="45" s="1"/>
  <c r="DQ345" i="45" s="1"/>
  <c r="DP336" i="45"/>
  <c r="DP341" i="45"/>
  <c r="DO338" i="45"/>
  <c r="DJ327" i="45"/>
  <c r="DK324" i="45"/>
  <c r="DK325" i="45" s="1"/>
  <c r="DI347" i="45"/>
  <c r="DL347" i="45"/>
  <c r="DR322" i="45"/>
  <c r="DP321" i="45"/>
  <c r="DQ321" i="45" s="1"/>
  <c r="DQ322" i="45" s="1"/>
  <c r="DS274" i="45"/>
  <c r="DS254" i="45"/>
  <c r="EA262" i="45"/>
  <c r="DY253" i="45"/>
  <c r="EB253" i="45" s="1"/>
  <c r="EE253" i="45" s="1"/>
  <c r="EH253" i="45" s="1"/>
  <c r="EK253" i="45" s="1"/>
  <c r="EN253" i="45" s="1"/>
  <c r="EQ253" i="45" s="1"/>
  <c r="ET253" i="45" s="1"/>
  <c r="EW253" i="45" s="1"/>
  <c r="EZ253" i="45" s="1"/>
  <c r="DS263" i="45"/>
  <c r="DY262" i="45"/>
  <c r="EB262" i="45" s="1"/>
  <c r="EE262" i="45" s="1"/>
  <c r="EH262" i="45" s="1"/>
  <c r="EK262" i="45" s="1"/>
  <c r="EN262" i="45" s="1"/>
  <c r="EQ262" i="45" s="1"/>
  <c r="ET262" i="45" s="1"/>
  <c r="EW262" i="45" s="1"/>
  <c r="EZ262" i="45" s="1"/>
  <c r="EE251" i="45"/>
  <c r="EG251" i="45" s="1"/>
  <c r="EH251" i="45" s="1"/>
  <c r="EJ251" i="45" s="1"/>
  <c r="EK251" i="45" s="1"/>
  <c r="EN251" i="45" s="1"/>
  <c r="DS251" i="45"/>
  <c r="DK103" i="45"/>
  <c r="DP172" i="45"/>
  <c r="DS172" i="45"/>
  <c r="DV173" i="45" s="1"/>
  <c r="DY162" i="45"/>
  <c r="EB162" i="45" s="1"/>
  <c r="EC144" i="45" l="1"/>
  <c r="DX347" i="45"/>
  <c r="DX348" i="45" s="1"/>
  <c r="DX338" i="45"/>
  <c r="DY335" i="45"/>
  <c r="DY341" i="45" s="1"/>
  <c r="EB279" i="45"/>
  <c r="EE279" i="45" s="1"/>
  <c r="EG279" i="45" s="1"/>
  <c r="EH279" i="45" s="1"/>
  <c r="EJ279" i="45" s="1"/>
  <c r="EK279" i="45" s="1"/>
  <c r="EM279" i="45" s="1"/>
  <c r="EN279" i="45" s="1"/>
  <c r="EP279" i="45" s="1"/>
  <c r="EQ279" i="45" s="1"/>
  <c r="ES279" i="45" s="1"/>
  <c r="ET279" i="45" s="1"/>
  <c r="EV279" i="45" s="1"/>
  <c r="EW279" i="45" s="1"/>
  <c r="EY279" i="45" s="1"/>
  <c r="EZ279" i="45" s="1"/>
  <c r="DS347" i="45"/>
  <c r="DS348" i="45" s="1"/>
  <c r="DS265" i="45"/>
  <c r="DV265" i="45" s="1"/>
  <c r="DV268" i="45" s="1"/>
  <c r="DV260" i="45"/>
  <c r="DT166" i="45"/>
  <c r="DV167" i="45"/>
  <c r="DV104" i="45" s="1"/>
  <c r="DU146" i="45"/>
  <c r="DX147" i="45" s="1"/>
  <c r="DW155" i="45"/>
  <c r="DU265" i="45"/>
  <c r="DX266" i="45" s="1"/>
  <c r="DW259" i="45"/>
  <c r="DV339" i="45"/>
  <c r="DU324" i="45"/>
  <c r="DV325" i="45"/>
  <c r="EZ420" i="45"/>
  <c r="EZ419" i="45"/>
  <c r="DT274" i="45"/>
  <c r="DU274" i="45"/>
  <c r="EP251" i="45"/>
  <c r="EN257" i="45"/>
  <c r="EN256" i="45" s="1"/>
  <c r="EA250" i="45"/>
  <c r="ED250" i="45" s="1"/>
  <c r="EQ316" i="45"/>
  <c r="EP332" i="45"/>
  <c r="EP331" i="45" s="1"/>
  <c r="EO331" i="45"/>
  <c r="EO332" i="45" s="1"/>
  <c r="DK395" i="45"/>
  <c r="DK401" i="45"/>
  <c r="DK341" i="45"/>
  <c r="DK342" i="45" s="1"/>
  <c r="DJ347" i="45"/>
  <c r="DJ348" i="45" s="1"/>
  <c r="DT259" i="45"/>
  <c r="DK344" i="45"/>
  <c r="DK345" i="45" s="1"/>
  <c r="EJ144" i="45"/>
  <c r="EI144" i="45"/>
  <c r="DK118" i="45"/>
  <c r="DK121" i="45" s="1"/>
  <c r="DJ129" i="45"/>
  <c r="DI361" i="45"/>
  <c r="DN266" i="45"/>
  <c r="DM347" i="45"/>
  <c r="DM348" i="45" s="1"/>
  <c r="DN341" i="45"/>
  <c r="DP265" i="45"/>
  <c r="DP266" i="45" s="1"/>
  <c r="DN344" i="45"/>
  <c r="DN345" i="45" s="1"/>
  <c r="DN336" i="45"/>
  <c r="DM266" i="45"/>
  <c r="DI348" i="45"/>
  <c r="DJ328" i="45"/>
  <c r="DK327" i="45"/>
  <c r="DK328" i="45" s="1"/>
  <c r="DQ341" i="45"/>
  <c r="DP347" i="45"/>
  <c r="DU260" i="45"/>
  <c r="DL348" i="45"/>
  <c r="DP338" i="45"/>
  <c r="DQ338" i="45" s="1"/>
  <c r="DS322" i="45"/>
  <c r="DU322" i="45" s="1"/>
  <c r="DR321" i="45"/>
  <c r="DZ262" i="45"/>
  <c r="DZ263" i="45" s="1"/>
  <c r="EC262" i="45"/>
  <c r="ED262" i="45"/>
  <c r="DY250" i="45"/>
  <c r="EA253" i="45"/>
  <c r="DZ253" i="45"/>
  <c r="DV324" i="45" l="1"/>
  <c r="DX325" i="45"/>
  <c r="DX324" i="45" s="1"/>
  <c r="EB335" i="45"/>
  <c r="EB341" i="45" s="1"/>
  <c r="EB338" i="45" s="1"/>
  <c r="DY344" i="45"/>
  <c r="DY347" i="45" s="1"/>
  <c r="DY348" i="45" s="1"/>
  <c r="DW324" i="45"/>
  <c r="DW325" i="45" s="1"/>
  <c r="DW268" i="45"/>
  <c r="DV195" i="45"/>
  <c r="DV109" i="45"/>
  <c r="DV118" i="45" s="1"/>
  <c r="DV269" i="45"/>
  <c r="DV110" i="45" s="1"/>
  <c r="DW260" i="45"/>
  <c r="DU266" i="45"/>
  <c r="DW265" i="45"/>
  <c r="DW156" i="45"/>
  <c r="DW146" i="45"/>
  <c r="DU321" i="45"/>
  <c r="DU327" i="45" s="1"/>
  <c r="DV322" i="45"/>
  <c r="DY325" i="45"/>
  <c r="EA325" i="45" s="1"/>
  <c r="EB325" i="45" s="1"/>
  <c r="ED325" i="45" s="1"/>
  <c r="EE325" i="45" s="1"/>
  <c r="EG325" i="45" s="1"/>
  <c r="EH325" i="45" s="1"/>
  <c r="EJ325" i="45" s="1"/>
  <c r="EK325" i="45" s="1"/>
  <c r="EM325" i="45" s="1"/>
  <c r="EN325" i="45" s="1"/>
  <c r="EP325" i="45" s="1"/>
  <c r="EQ325" i="45" s="1"/>
  <c r="ES325" i="45" s="1"/>
  <c r="ET325" i="45" s="1"/>
  <c r="EV325" i="45" s="1"/>
  <c r="EW325" i="45" s="1"/>
  <c r="EY325" i="45" s="1"/>
  <c r="EZ325" i="45" s="1"/>
  <c r="DV274" i="45"/>
  <c r="DX274" i="45" s="1"/>
  <c r="DT265" i="45"/>
  <c r="EB266" i="45"/>
  <c r="ED266" i="45" s="1"/>
  <c r="EE266" i="45" s="1"/>
  <c r="EH266" i="45" s="1"/>
  <c r="EK266" i="45" s="1"/>
  <c r="EN266" i="45" s="1"/>
  <c r="EP266" i="45" s="1"/>
  <c r="EQ266" i="45" s="1"/>
  <c r="ES266" i="45" s="1"/>
  <c r="ET266" i="45" s="1"/>
  <c r="EV266" i="45" s="1"/>
  <c r="EW266" i="45" s="1"/>
  <c r="EY266" i="45" s="1"/>
  <c r="EZ266" i="45" s="1"/>
  <c r="EA259" i="45"/>
  <c r="EA260" i="45" s="1"/>
  <c r="EO256" i="45"/>
  <c r="EO257" i="45" s="1"/>
  <c r="EQ251" i="45"/>
  <c r="EP257" i="45"/>
  <c r="EP256" i="45" s="1"/>
  <c r="DZ250" i="45"/>
  <c r="DZ251" i="45" s="1"/>
  <c r="DY259" i="45"/>
  <c r="DZ259" i="45" s="1"/>
  <c r="ES316" i="45"/>
  <c r="EQ332" i="45"/>
  <c r="EQ331" i="45" s="1"/>
  <c r="ER331" i="45" s="1"/>
  <c r="ER332" i="45" s="1"/>
  <c r="DK347" i="45"/>
  <c r="DK348" i="45" s="1"/>
  <c r="EM144" i="45"/>
  <c r="EL144" i="45"/>
  <c r="DJ357" i="45"/>
  <c r="DK129" i="45"/>
  <c r="DN347" i="45"/>
  <c r="DN348" i="45" s="1"/>
  <c r="DY338" i="45"/>
  <c r="DQ347" i="45"/>
  <c r="DQ348" i="45" s="1"/>
  <c r="DP348" i="45"/>
  <c r="DS321" i="45"/>
  <c r="DT321" i="45" s="1"/>
  <c r="DT322" i="45" s="1"/>
  <c r="DZ254" i="45"/>
  <c r="EG262" i="45"/>
  <c r="EF262" i="45"/>
  <c r="EC263" i="45"/>
  <c r="EG250" i="45"/>
  <c r="EB250" i="45"/>
  <c r="EB259" i="45" s="1"/>
  <c r="EC253" i="45"/>
  <c r="EC254" i="45" s="1"/>
  <c r="ED253" i="45"/>
  <c r="ED259" i="45" s="1"/>
  <c r="DV321" i="45" l="1"/>
  <c r="DW321" i="45" s="1"/>
  <c r="DW322" i="45" s="1"/>
  <c r="DX322" i="45"/>
  <c r="DX321" i="45" s="1"/>
  <c r="EB344" i="45"/>
  <c r="EB347" i="45" s="1"/>
  <c r="EF263" i="45"/>
  <c r="EF270" i="45"/>
  <c r="EE335" i="45"/>
  <c r="EH335" i="45" s="1"/>
  <c r="DU318" i="45"/>
  <c r="DW274" i="45"/>
  <c r="DV129" i="45"/>
  <c r="DV357" i="45" s="1"/>
  <c r="DV361" i="45" s="1"/>
  <c r="DV121" i="45"/>
  <c r="DW269" i="45"/>
  <c r="DW110" i="45" s="1"/>
  <c r="DW195" i="45"/>
  <c r="DV318" i="45"/>
  <c r="DV327" i="45"/>
  <c r="DV328" i="45" s="1"/>
  <c r="DW266" i="45"/>
  <c r="DU328" i="45"/>
  <c r="EC259" i="45"/>
  <c r="ES251" i="45"/>
  <c r="EQ257" i="45"/>
  <c r="EQ256" i="45" s="1"/>
  <c r="ER256" i="45" s="1"/>
  <c r="ER257" i="45" s="1"/>
  <c r="ET316" i="45"/>
  <c r="ES332" i="45"/>
  <c r="ES331" i="45" s="1"/>
  <c r="EO144" i="45"/>
  <c r="EP144" i="45"/>
  <c r="DJ361" i="45"/>
  <c r="DK361" i="45" s="1"/>
  <c r="DK357" i="45"/>
  <c r="DY260" i="45"/>
  <c r="DY274" i="45"/>
  <c r="EA274" i="45" s="1"/>
  <c r="DZ260" i="45"/>
  <c r="EJ262" i="45"/>
  <c r="EI262" i="45"/>
  <c r="EI263" i="45" s="1"/>
  <c r="ED260" i="45"/>
  <c r="EE250" i="45"/>
  <c r="EE259" i="45" s="1"/>
  <c r="EF259" i="45" s="1"/>
  <c r="EC250" i="45"/>
  <c r="EC251" i="45" s="1"/>
  <c r="EJ250" i="45"/>
  <c r="EG253" i="45"/>
  <c r="EG259" i="45" s="1"/>
  <c r="EF253" i="45"/>
  <c r="EF254" i="45" s="1"/>
  <c r="DY322" i="45" l="1"/>
  <c r="EA322" i="45" s="1"/>
  <c r="EB322" i="45" s="1"/>
  <c r="ED322" i="45" s="1"/>
  <c r="EE322" i="45" s="1"/>
  <c r="EG322" i="45" s="1"/>
  <c r="EH322" i="45" s="1"/>
  <c r="EJ322" i="45" s="1"/>
  <c r="EK322" i="45" s="1"/>
  <c r="EM322" i="45" s="1"/>
  <c r="EN322" i="45" s="1"/>
  <c r="EP322" i="45" s="1"/>
  <c r="EQ322" i="45" s="1"/>
  <c r="ES322" i="45" s="1"/>
  <c r="ET322" i="45" s="1"/>
  <c r="EV322" i="45" s="1"/>
  <c r="EW322" i="45" s="1"/>
  <c r="EY322" i="45" s="1"/>
  <c r="EZ322" i="45" s="1"/>
  <c r="DX318" i="45"/>
  <c r="DX319" i="45" s="1"/>
  <c r="DX327" i="45"/>
  <c r="DX328" i="45" s="1"/>
  <c r="EE344" i="45"/>
  <c r="EE341" i="45"/>
  <c r="EE338" i="45" s="1"/>
  <c r="DW327" i="45"/>
  <c r="DW328" i="45" s="1"/>
  <c r="DW318" i="45"/>
  <c r="ET251" i="45"/>
  <c r="ES257" i="45"/>
  <c r="ES256" i="45" s="1"/>
  <c r="EV316" i="45"/>
  <c r="ET332" i="45"/>
  <c r="ET331" i="45" s="1"/>
  <c r="EU331" i="45" s="1"/>
  <c r="EU332" i="45" s="1"/>
  <c r="ER144" i="45"/>
  <c r="ES144" i="45"/>
  <c r="EK335" i="45"/>
  <c r="EH341" i="45"/>
  <c r="EH344" i="45"/>
  <c r="DZ274" i="45"/>
  <c r="EB348" i="45"/>
  <c r="EB274" i="45"/>
  <c r="ED274" i="45" s="1"/>
  <c r="EL262" i="45"/>
  <c r="EL263" i="45" s="1"/>
  <c r="EM262" i="45"/>
  <c r="EG260" i="45"/>
  <c r="EB260" i="45"/>
  <c r="EC260" i="45"/>
  <c r="EM250" i="45"/>
  <c r="EH250" i="45"/>
  <c r="EH259" i="45" s="1"/>
  <c r="EI259" i="45" s="1"/>
  <c r="EF250" i="45"/>
  <c r="EI253" i="45"/>
  <c r="EI254" i="45" s="1"/>
  <c r="EJ253" i="45"/>
  <c r="EJ259" i="45" s="1"/>
  <c r="EF251" i="45" l="1"/>
  <c r="EE347" i="45"/>
  <c r="EE348" i="45" s="1"/>
  <c r="EV251" i="45"/>
  <c r="ET257" i="45"/>
  <c r="ET256" i="45" s="1"/>
  <c r="EW316" i="45"/>
  <c r="EV332" i="45"/>
  <c r="EV331" i="45" s="1"/>
  <c r="EU144" i="45"/>
  <c r="EV144" i="45"/>
  <c r="EY144" i="45" s="1"/>
  <c r="EC274" i="45"/>
  <c r="EH347" i="45"/>
  <c r="EH348" i="45" s="1"/>
  <c r="EN335" i="45"/>
  <c r="EK344" i="45"/>
  <c r="EK341" i="45"/>
  <c r="EH338" i="45"/>
  <c r="EE274" i="45"/>
  <c r="EG274" i="45" s="1"/>
  <c r="EO262" i="45"/>
  <c r="EO263" i="45" s="1"/>
  <c r="EP262" i="45"/>
  <c r="EK250" i="45"/>
  <c r="EK259" i="45" s="1"/>
  <c r="EL259" i="45" s="1"/>
  <c r="EI250" i="45"/>
  <c r="EI251" i="45" s="1"/>
  <c r="EJ260" i="45"/>
  <c r="EE260" i="45"/>
  <c r="EF260" i="45"/>
  <c r="EP250" i="45"/>
  <c r="EL253" i="45"/>
  <c r="EL254" i="45" s="1"/>
  <c r="EM253" i="45"/>
  <c r="EM259" i="45" s="1"/>
  <c r="FA144" i="45" l="1"/>
  <c r="FA153" i="45" s="1"/>
  <c r="EW332" i="45"/>
  <c r="EW331" i="45" s="1"/>
  <c r="EX331" i="45" s="1"/>
  <c r="EX332" i="45" s="1"/>
  <c r="EY316" i="45"/>
  <c r="EW251" i="45"/>
  <c r="EV257" i="45"/>
  <c r="EV256" i="45" s="1"/>
  <c r="EU256" i="45"/>
  <c r="EU257" i="45" s="1"/>
  <c r="EX144" i="45"/>
  <c r="EX153" i="45" s="1"/>
  <c r="EK347" i="45"/>
  <c r="EK348" i="45" s="1"/>
  <c r="EQ335" i="45"/>
  <c r="EN341" i="45"/>
  <c r="EN338" i="45" s="1"/>
  <c r="EN344" i="45"/>
  <c r="EK338" i="45"/>
  <c r="EH274" i="45"/>
  <c r="EJ274" i="45" s="1"/>
  <c r="EF274" i="45"/>
  <c r="ES262" i="45"/>
  <c r="ER262" i="45"/>
  <c r="ER263" i="45" s="1"/>
  <c r="EM260" i="45"/>
  <c r="EH260" i="45"/>
  <c r="EI260" i="45"/>
  <c r="ES250" i="45"/>
  <c r="EN250" i="45"/>
  <c r="EN259" i="45" s="1"/>
  <c r="EO259" i="45" s="1"/>
  <c r="EL250" i="45"/>
  <c r="EL251" i="45" s="1"/>
  <c r="EO253" i="45"/>
  <c r="EO254" i="45" s="1"/>
  <c r="EP253" i="45"/>
  <c r="EP259" i="45" s="1"/>
  <c r="EW257" i="45" l="1"/>
  <c r="EW256" i="45" s="1"/>
  <c r="EX256" i="45" s="1"/>
  <c r="EX257" i="45" s="1"/>
  <c r="EY251" i="45"/>
  <c r="EY332" i="45"/>
  <c r="EY331" i="45" s="1"/>
  <c r="EZ316" i="45"/>
  <c r="EZ332" i="45" s="1"/>
  <c r="EZ331" i="45" s="1"/>
  <c r="FA154" i="45"/>
  <c r="EV250" i="45"/>
  <c r="EU262" i="45"/>
  <c r="EU263" i="45" s="1"/>
  <c r="EV262" i="45"/>
  <c r="EY262" i="45" s="1"/>
  <c r="ET335" i="45"/>
  <c r="EW335" i="45" s="1"/>
  <c r="EZ335" i="45" s="1"/>
  <c r="EQ344" i="45"/>
  <c r="EQ341" i="45"/>
  <c r="EI274" i="45"/>
  <c r="EN347" i="45"/>
  <c r="EK274" i="45"/>
  <c r="EM274" i="45" s="1"/>
  <c r="EP260" i="45"/>
  <c r="EQ250" i="45"/>
  <c r="EQ259" i="45" s="1"/>
  <c r="ER259" i="45" s="1"/>
  <c r="EO250" i="45"/>
  <c r="EO251" i="45" s="1"/>
  <c r="EK260" i="45"/>
  <c r="EL260" i="45"/>
  <c r="ES253" i="45"/>
  <c r="ES259" i="45" s="1"/>
  <c r="ER253" i="45"/>
  <c r="ER254" i="45" s="1"/>
  <c r="EY250" i="45" l="1"/>
  <c r="EY257" i="45"/>
  <c r="EY256" i="45" s="1"/>
  <c r="EZ251" i="45"/>
  <c r="EZ257" i="45" s="1"/>
  <c r="EZ256" i="45" s="1"/>
  <c r="FA262" i="45"/>
  <c r="EZ341" i="45"/>
  <c r="EZ344" i="45"/>
  <c r="FA331" i="45"/>
  <c r="FA332" i="45" s="1"/>
  <c r="EX262" i="45"/>
  <c r="EU253" i="45"/>
  <c r="EU254" i="45" s="1"/>
  <c r="EV253" i="45"/>
  <c r="EW344" i="45"/>
  <c r="EW341" i="45"/>
  <c r="EQ347" i="45"/>
  <c r="EQ348" i="45" s="1"/>
  <c r="EQ338" i="45"/>
  <c r="EL274" i="45"/>
  <c r="EN348" i="45"/>
  <c r="ET341" i="45"/>
  <c r="ET338" i="45" s="1"/>
  <c r="ET344" i="45"/>
  <c r="EN274" i="45"/>
  <c r="EP274" i="45" s="1"/>
  <c r="EN260" i="45"/>
  <c r="EO260" i="45"/>
  <c r="ET250" i="45"/>
  <c r="ER250" i="45"/>
  <c r="ER251" i="45" s="1"/>
  <c r="EZ347" i="45" l="1"/>
  <c r="EZ348" i="45" s="1"/>
  <c r="EV259" i="45"/>
  <c r="EY253" i="45"/>
  <c r="FA263" i="45"/>
  <c r="EZ338" i="45"/>
  <c r="FA256" i="45"/>
  <c r="FA257" i="45" s="1"/>
  <c r="EW250" i="45"/>
  <c r="ET259" i="45"/>
  <c r="EU259" i="45" s="1"/>
  <c r="EW347" i="45"/>
  <c r="EW348" i="45" s="1"/>
  <c r="EW338" i="45"/>
  <c r="EW339" i="45" s="1"/>
  <c r="EX253" i="45"/>
  <c r="EX254" i="45" s="1"/>
  <c r="EX263" i="45"/>
  <c r="EO274" i="45"/>
  <c r="ES260" i="45"/>
  <c r="ET347" i="45"/>
  <c r="ET348" i="45" s="1"/>
  <c r="EQ274" i="45"/>
  <c r="ES274" i="45" s="1"/>
  <c r="EQ260" i="45"/>
  <c r="ER260" i="45"/>
  <c r="EU250" i="45"/>
  <c r="EU251" i="45" s="1"/>
  <c r="FA253" i="45" l="1"/>
  <c r="FA254" i="45" s="1"/>
  <c r="EY259" i="45"/>
  <c r="EZ339" i="45"/>
  <c r="EW259" i="45"/>
  <c r="EX259" i="45" s="1"/>
  <c r="EZ250" i="45"/>
  <c r="EX250" i="45"/>
  <c r="EX251" i="45" s="1"/>
  <c r="EV260" i="45"/>
  <c r="ET274" i="45"/>
  <c r="ER274" i="45"/>
  <c r="ET260" i="45"/>
  <c r="EU260" i="45"/>
  <c r="EW260" i="45" l="1"/>
  <c r="EY260" i="45"/>
  <c r="EZ259" i="45"/>
  <c r="FA259" i="45" s="1"/>
  <c r="FA260" i="45" s="1"/>
  <c r="FA250" i="45"/>
  <c r="FA251" i="45" s="1"/>
  <c r="EX260" i="45"/>
  <c r="EU274" i="45"/>
  <c r="EV274" i="45"/>
  <c r="DP164" i="45"/>
  <c r="DP162" i="45"/>
  <c r="DS163" i="45" s="1"/>
  <c r="EZ260" i="45" l="1"/>
  <c r="EW274" i="45"/>
  <c r="DP166" i="45"/>
  <c r="DQ166" i="45" s="1"/>
  <c r="DM164" i="45"/>
  <c r="DM162" i="45"/>
  <c r="DJ164" i="45"/>
  <c r="DJ148" i="45" s="1"/>
  <c r="DJ162" i="45"/>
  <c r="DJ146" i="45" s="1"/>
  <c r="DJ175" i="45"/>
  <c r="DI175" i="45"/>
  <c r="DK154" i="45"/>
  <c r="DK159" i="45"/>
  <c r="DJ159" i="45"/>
  <c r="DI159" i="45"/>
  <c r="DJ138" i="45"/>
  <c r="DL138" i="45" s="1"/>
  <c r="DM138" i="45" s="1"/>
  <c r="DJ137" i="45"/>
  <c r="DL137" i="45" s="1"/>
  <c r="DM137" i="45" s="1"/>
  <c r="DM169" i="45"/>
  <c r="DP169" i="45" s="1"/>
  <c r="DS169" i="45" s="1"/>
  <c r="DV169" i="45" s="1"/>
  <c r="DL169" i="45"/>
  <c r="DO169" i="45" s="1"/>
  <c r="DR169" i="45" s="1"/>
  <c r="DU169" i="45" s="1"/>
  <c r="DX169" i="45" s="1"/>
  <c r="DS158" i="45"/>
  <c r="DM154" i="45"/>
  <c r="DO154" i="45" s="1"/>
  <c r="DP154" i="45" s="1"/>
  <c r="DR154" i="45" s="1"/>
  <c r="DS154" i="45" s="1"/>
  <c r="DL153" i="45"/>
  <c r="EU2" i="7"/>
  <c r="ET2" i="7"/>
  <c r="ES2" i="7"/>
  <c r="ER2" i="7"/>
  <c r="EQ2" i="7"/>
  <c r="EP2" i="7"/>
  <c r="EO2" i="7"/>
  <c r="EN2" i="7"/>
  <c r="EM2" i="7"/>
  <c r="EL2" i="7"/>
  <c r="EK2" i="7"/>
  <c r="EJ2" i="7"/>
  <c r="EI2" i="7"/>
  <c r="EH2" i="7"/>
  <c r="EG2" i="7"/>
  <c r="EF2" i="7"/>
  <c r="EE2" i="7"/>
  <c r="ED2" i="7"/>
  <c r="EC2" i="7"/>
  <c r="EB2" i="7"/>
  <c r="EA2" i="7"/>
  <c r="DZ2" i="7"/>
  <c r="DY2" i="7"/>
  <c r="DS2" i="7"/>
  <c r="DR2" i="7"/>
  <c r="DQ2" i="7"/>
  <c r="DP2" i="7"/>
  <c r="DO2" i="7"/>
  <c r="DN2" i="7"/>
  <c r="DM2" i="7"/>
  <c r="DL2" i="7"/>
  <c r="DK2" i="7"/>
  <c r="DJ2" i="7"/>
  <c r="DI2" i="7"/>
  <c r="DH2" i="7"/>
  <c r="DG2" i="7"/>
  <c r="DF2" i="7"/>
  <c r="DE2" i="7"/>
  <c r="I3" i="9"/>
  <c r="J3" i="9" s="1"/>
  <c r="H5" i="9"/>
  <c r="EX274" i="45" l="1"/>
  <c r="EY274" i="45"/>
  <c r="I5" i="9"/>
  <c r="K3" i="9"/>
  <c r="L3" i="9" s="1"/>
  <c r="J5" i="9"/>
  <c r="DM166" i="45"/>
  <c r="DO153" i="45"/>
  <c r="DR153" i="45" s="1"/>
  <c r="DM153" i="45"/>
  <c r="DP153" i="45" s="1"/>
  <c r="DS153" i="45" s="1"/>
  <c r="DU154" i="45"/>
  <c r="DV154" i="45" l="1"/>
  <c r="EZ274" i="45"/>
  <c r="K5" i="9"/>
  <c r="DU153" i="45"/>
  <c r="L5" i="9"/>
  <c r="W9" i="9"/>
  <c r="X9" i="9"/>
  <c r="Y9" i="9"/>
  <c r="DV153" i="45" l="1"/>
  <c r="DX154" i="45"/>
  <c r="DX153" i="45" s="1"/>
  <c r="DY154" i="45"/>
  <c r="EA154" i="45" s="1"/>
  <c r="EB154" i="45" s="1"/>
  <c r="ED154" i="45" s="1"/>
  <c r="EE154" i="45" s="1"/>
  <c r="EG154" i="45" s="1"/>
  <c r="EH154" i="45" s="1"/>
  <c r="EJ154" i="45" s="1"/>
  <c r="EK154" i="45" s="1"/>
  <c r="EM154" i="45" s="1"/>
  <c r="EN154" i="45" s="1"/>
  <c r="EP154" i="45" s="1"/>
  <c r="EQ154" i="45" s="1"/>
  <c r="ES154" i="45" s="1"/>
  <c r="ET154" i="45" s="1"/>
  <c r="EV154" i="45" s="1"/>
  <c r="EW154" i="45" s="1"/>
  <c r="EY154" i="45" s="1"/>
  <c r="EZ154" i="45" s="1"/>
  <c r="FA274" i="45"/>
  <c r="M5" i="9"/>
  <c r="EA153" i="45" l="1"/>
  <c r="ED153" i="45" s="1"/>
  <c r="EG153" i="45" s="1"/>
  <c r="EJ153" i="45" s="1"/>
  <c r="EM153" i="45" s="1"/>
  <c r="EP153" i="45" s="1"/>
  <c r="ES153" i="45" s="1"/>
  <c r="EV153" i="45" s="1"/>
  <c r="EY153" i="45" s="1"/>
  <c r="DY153" i="45"/>
  <c r="EB153" i="45" s="1"/>
  <c r="EE153" i="45" s="1"/>
  <c r="EH153" i="45" s="1"/>
  <c r="EK153" i="45" s="1"/>
  <c r="EN153" i="45" s="1"/>
  <c r="EQ153" i="45" s="1"/>
  <c r="ET153" i="45" s="1"/>
  <c r="EW153" i="45" s="1"/>
  <c r="EZ153" i="45" s="1"/>
  <c r="W37" i="9"/>
  <c r="X37" i="9"/>
  <c r="Y37" i="9"/>
  <c r="Z37" i="9"/>
  <c r="AA37" i="9"/>
  <c r="AB37" i="9"/>
  <c r="AC37" i="9"/>
  <c r="AD37" i="9"/>
  <c r="AE37" i="9"/>
  <c r="X43" i="9" l="1"/>
  <c r="AA43" i="9"/>
  <c r="W44" i="9"/>
  <c r="X44" i="9"/>
  <c r="Y44" i="9"/>
  <c r="Z44" i="9"/>
  <c r="AA44" i="9"/>
  <c r="AB44" i="9"/>
  <c r="AC44" i="9"/>
  <c r="AD44" i="9"/>
  <c r="AE44" i="9"/>
  <c r="C47" i="9"/>
  <c r="W55" i="9"/>
  <c r="X55" i="9"/>
  <c r="Y55" i="9"/>
  <c r="Z55" i="9"/>
  <c r="AA55" i="9"/>
  <c r="AB55" i="9"/>
  <c r="AC55" i="9"/>
  <c r="AD55" i="9"/>
  <c r="AE55" i="9"/>
  <c r="Z57" i="9"/>
  <c r="AA57" i="9"/>
  <c r="C61" i="9"/>
  <c r="U61" i="9" s="1"/>
  <c r="Y61" i="9"/>
  <c r="Z61" i="9"/>
  <c r="AA61" i="9"/>
  <c r="AB61" i="9"/>
  <c r="AC61" i="9"/>
  <c r="AD61" i="9"/>
  <c r="C62" i="9"/>
  <c r="U62" i="9" s="1"/>
  <c r="Y62" i="9"/>
  <c r="Z62" i="9"/>
  <c r="AA62" i="9"/>
  <c r="AB62" i="9"/>
  <c r="AC62" i="9"/>
  <c r="AD62" i="9"/>
  <c r="C63" i="9"/>
  <c r="U63" i="9" s="1"/>
  <c r="Y63" i="9"/>
  <c r="Z63" i="9"/>
  <c r="AA63" i="9"/>
  <c r="AB63" i="9"/>
  <c r="AC63" i="9"/>
  <c r="AD63" i="9"/>
  <c r="C64" i="9"/>
  <c r="U64" i="9" s="1"/>
  <c r="Y64" i="9"/>
  <c r="Z64" i="9"/>
  <c r="AA64" i="9"/>
  <c r="AB64" i="9"/>
  <c r="AC64" i="9"/>
  <c r="AD64" i="9"/>
  <c r="C65" i="9"/>
  <c r="U65" i="9" s="1"/>
  <c r="Y65" i="9"/>
  <c r="Z65" i="9"/>
  <c r="AA65" i="9"/>
  <c r="AD65" i="9"/>
  <c r="AB65" i="9" l="1"/>
  <c r="AC65" i="9"/>
  <c r="DC41" i="45"/>
  <c r="DD41" i="45"/>
  <c r="DE41" i="45"/>
  <c r="DF41" i="45"/>
  <c r="DG41" i="45"/>
  <c r="DH41" i="45"/>
  <c r="DC38" i="45"/>
  <c r="DD38" i="45"/>
  <c r="DE38" i="45"/>
  <c r="DC39" i="45"/>
  <c r="DD39" i="45"/>
  <c r="DE39" i="45"/>
  <c r="DF38" i="45"/>
  <c r="DG38" i="45"/>
  <c r="DH38" i="45"/>
  <c r="DF39" i="45"/>
  <c r="DG39" i="45"/>
  <c r="DH39" i="45"/>
  <c r="DS130" i="8" l="1"/>
  <c r="DS131" i="8"/>
  <c r="DT131" i="8" s="1"/>
  <c r="DR132" i="8"/>
  <c r="DS93" i="45"/>
  <c r="ET293" i="8"/>
  <c r="EU293" i="8" s="1"/>
  <c r="EU204" i="8"/>
  <c r="EU199" i="8"/>
  <c r="ET199" i="8"/>
  <c r="ES199" i="8"/>
  <c r="ET193" i="8"/>
  <c r="ET192" i="8"/>
  <c r="ET191" i="8"/>
  <c r="EU190" i="8"/>
  <c r="ES190" i="8"/>
  <c r="ET189" i="8"/>
  <c r="ET188" i="8"/>
  <c r="ET187" i="8"/>
  <c r="EU186" i="8"/>
  <c r="ES186" i="8"/>
  <c r="ET185" i="8"/>
  <c r="ET183" i="8"/>
  <c r="ET182" i="8"/>
  <c r="EU181" i="8"/>
  <c r="ES181" i="8"/>
  <c r="EU171" i="8"/>
  <c r="ET171" i="8"/>
  <c r="ES171" i="8"/>
  <c r="EU164" i="8"/>
  <c r="ES164" i="8"/>
  <c r="ET138" i="8"/>
  <c r="ET137" i="8"/>
  <c r="ET131" i="8"/>
  <c r="EU131" i="8" s="1"/>
  <c r="ET130" i="8"/>
  <c r="EU110" i="8"/>
  <c r="EU112" i="8" s="1"/>
  <c r="ET110" i="8"/>
  <c r="ET112" i="8" s="1"/>
  <c r="ES110" i="8"/>
  <c r="ES112" i="8" s="1"/>
  <c r="EU107" i="8"/>
  <c r="EU109" i="8" s="1"/>
  <c r="ET107" i="8"/>
  <c r="ET109" i="8" s="1"/>
  <c r="ES107" i="8"/>
  <c r="ES109" i="8" s="1"/>
  <c r="EU97" i="8"/>
  <c r="ET97" i="8" s="1"/>
  <c r="ES97" i="8"/>
  <c r="ET96" i="8"/>
  <c r="ET95" i="8"/>
  <c r="ET94" i="8"/>
  <c r="ET91" i="8"/>
  <c r="EU87" i="8"/>
  <c r="EU90" i="8" s="1"/>
  <c r="ET90" i="8" s="1"/>
  <c r="ES87" i="8"/>
  <c r="ES90" i="8" s="1"/>
  <c r="ET85" i="8"/>
  <c r="ET84" i="8"/>
  <c r="ET87" i="8" s="1"/>
  <c r="ET82" i="8"/>
  <c r="EU78" i="8"/>
  <c r="EU81" i="8" s="1"/>
  <c r="ET81" i="8" s="1"/>
  <c r="ES78" i="8"/>
  <c r="ES81" i="8" s="1"/>
  <c r="EU77" i="8"/>
  <c r="ET77" i="8"/>
  <c r="ES77" i="8"/>
  <c r="ET76" i="8"/>
  <c r="ET75" i="8"/>
  <c r="ET78" i="8" s="1"/>
  <c r="ET73" i="8"/>
  <c r="EU69" i="8"/>
  <c r="EU72" i="8" s="1"/>
  <c r="ET72" i="8" s="1"/>
  <c r="ES69" i="8"/>
  <c r="ES72" i="8" s="1"/>
  <c r="ET67" i="8"/>
  <c r="ET66" i="8"/>
  <c r="ET69" i="8" s="1"/>
  <c r="EU61" i="8"/>
  <c r="ET61" i="8"/>
  <c r="ES61" i="8"/>
  <c r="EU60" i="8"/>
  <c r="ET60" i="8"/>
  <c r="ES60" i="8"/>
  <c r="EU53" i="8"/>
  <c r="ES53" i="8"/>
  <c r="ET50" i="8"/>
  <c r="EU47" i="8"/>
  <c r="ET47" i="8"/>
  <c r="ES47" i="8"/>
  <c r="ET43" i="8"/>
  <c r="ET40" i="8"/>
  <c r="EU38" i="8"/>
  <c r="ET38" i="8"/>
  <c r="ES38" i="8"/>
  <c r="ET34" i="8"/>
  <c r="EU31" i="8"/>
  <c r="ES31" i="8"/>
  <c r="ET23" i="8"/>
  <c r="DS133" i="45"/>
  <c r="ET230" i="45"/>
  <c r="ES232" i="45"/>
  <c r="ES235" i="45" s="1"/>
  <c r="ET232" i="45"/>
  <c r="EU232" i="45" s="1"/>
  <c r="ET245" i="45"/>
  <c r="EU245" i="45" s="1"/>
  <c r="EU4" i="7"/>
  <c r="EU9" i="7" s="1"/>
  <c r="ET4" i="7"/>
  <c r="ET29" i="7" s="1"/>
  <c r="ES4" i="7"/>
  <c r="ES321" i="7" s="1"/>
  <c r="ES36" i="7"/>
  <c r="EU36" i="7"/>
  <c r="ES37" i="7"/>
  <c r="EU37" i="7"/>
  <c r="ES38" i="7"/>
  <c r="EU38" i="7"/>
  <c r="ES59" i="7"/>
  <c r="EU59" i="7"/>
  <c r="ES60" i="7"/>
  <c r="EU60" i="7"/>
  <c r="ES64" i="7"/>
  <c r="EU64" i="7"/>
  <c r="ES67" i="7"/>
  <c r="EU67" i="7"/>
  <c r="ES68" i="7"/>
  <c r="EU68" i="7"/>
  <c r="ES71" i="7"/>
  <c r="EU71" i="7"/>
  <c r="ES84" i="7"/>
  <c r="EU84" i="7"/>
  <c r="ET89" i="7"/>
  <c r="ES93" i="7"/>
  <c r="EU93" i="7"/>
  <c r="ES94" i="7"/>
  <c r="EU94" i="7"/>
  <c r="ET95" i="7"/>
  <c r="ET96" i="7"/>
  <c r="ET97" i="7"/>
  <c r="ET98" i="7"/>
  <c r="ET99" i="7"/>
  <c r="ET100" i="7"/>
  <c r="ET101" i="7"/>
  <c r="ET102" i="7"/>
  <c r="ET103" i="7"/>
  <c r="ET104" i="7"/>
  <c r="ET105" i="7"/>
  <c r="ET106" i="7"/>
  <c r="ET107" i="7"/>
  <c r="ET108" i="7"/>
  <c r="ET109" i="7"/>
  <c r="ET110" i="7"/>
  <c r="ET111" i="7"/>
  <c r="ET112" i="7"/>
  <c r="ET113" i="7"/>
  <c r="ET114" i="7"/>
  <c r="ET115" i="7"/>
  <c r="ES117" i="7"/>
  <c r="EU117" i="7"/>
  <c r="ES118" i="7"/>
  <c r="EU118" i="7"/>
  <c r="ET119" i="7"/>
  <c r="ET120" i="7"/>
  <c r="ET121" i="7"/>
  <c r="ET122" i="7"/>
  <c r="ET123" i="7"/>
  <c r="ET124" i="7"/>
  <c r="ET125" i="7"/>
  <c r="ET126" i="7"/>
  <c r="ET127" i="7"/>
  <c r="ET128" i="7"/>
  <c r="ET129" i="7"/>
  <c r="ET130" i="7"/>
  <c r="ET131" i="7"/>
  <c r="ET132" i="7"/>
  <c r="ET133" i="7"/>
  <c r="ET134" i="7"/>
  <c r="ET135" i="7"/>
  <c r="ET136" i="7"/>
  <c r="ET137" i="7"/>
  <c r="ET138" i="7"/>
  <c r="ET189" i="7"/>
  <c r="ES191" i="7"/>
  <c r="ES39" i="7" s="1"/>
  <c r="EU191" i="7"/>
  <c r="ES194" i="7"/>
  <c r="EU194" i="7"/>
  <c r="ES196" i="7"/>
  <c r="EU196" i="7"/>
  <c r="ES197" i="7"/>
  <c r="EU197" i="7"/>
  <c r="ES200" i="7"/>
  <c r="EU200" i="7"/>
  <c r="ES201" i="7"/>
  <c r="EU201" i="7"/>
  <c r="ES202" i="7"/>
  <c r="EU202" i="7"/>
  <c r="ES203" i="7"/>
  <c r="EU203" i="7"/>
  <c r="ES206" i="7"/>
  <c r="EU206" i="7"/>
  <c r="ES207" i="7"/>
  <c r="EU207" i="7"/>
  <c r="ET175" i="8"/>
  <c r="ET223" i="7"/>
  <c r="ET231" i="7"/>
  <c r="ET232" i="7"/>
  <c r="ET235" i="7"/>
  <c r="ET236" i="7"/>
  <c r="ET237" i="7"/>
  <c r="ES240" i="7"/>
  <c r="EU240" i="7"/>
  <c r="ES249" i="7"/>
  <c r="EU249" i="7"/>
  <c r="ET249" i="7" s="1"/>
  <c r="ES257" i="7"/>
  <c r="EU257" i="7"/>
  <c r="ES281" i="7"/>
  <c r="EU281" i="7"/>
  <c r="ET281" i="7" s="1"/>
  <c r="ET306" i="7"/>
  <c r="ET309" i="7"/>
  <c r="ET310" i="7"/>
  <c r="ET311" i="7"/>
  <c r="ET312" i="7"/>
  <c r="ET313" i="7"/>
  <c r="ES347" i="7"/>
  <c r="ET347" i="7"/>
  <c r="ES353" i="7"/>
  <c r="ET353" i="7"/>
  <c r="ES360" i="7"/>
  <c r="EU360" i="7"/>
  <c r="ET360" i="7" s="1"/>
  <c r="ES361" i="7"/>
  <c r="ET361" i="7"/>
  <c r="ES362" i="7"/>
  <c r="ET362" i="7"/>
  <c r="EU370" i="7"/>
  <c r="EU371" i="7"/>
  <c r="EU372" i="7"/>
  <c r="EU373" i="7"/>
  <c r="EU374" i="7"/>
  <c r="EU375" i="7"/>
  <c r="ES396" i="7"/>
  <c r="EU396" i="7"/>
  <c r="ET396" i="7" s="1"/>
  <c r="ES403" i="7"/>
  <c r="ET403" i="7"/>
  <c r="ET407" i="7"/>
  <c r="ET408" i="7"/>
  <c r="ET409" i="7"/>
  <c r="ET412" i="7"/>
  <c r="ET413" i="7"/>
  <c r="ET414" i="7"/>
  <c r="ET417" i="7"/>
  <c r="ET418" i="7"/>
  <c r="ET419" i="7"/>
  <c r="ET422" i="7"/>
  <c r="ET423" i="7"/>
  <c r="ET424" i="7"/>
  <c r="ET427" i="7"/>
  <c r="ET428" i="7"/>
  <c r="ET429" i="7"/>
  <c r="ET432" i="7"/>
  <c r="ET433" i="7"/>
  <c r="ET434" i="7"/>
  <c r="ET437" i="7"/>
  <c r="ET438" i="7"/>
  <c r="ET439" i="7"/>
  <c r="ES454" i="7"/>
  <c r="EU454" i="7"/>
  <c r="ET454" i="7" s="1"/>
  <c r="ET455" i="7"/>
  <c r="ET456" i="7"/>
  <c r="ES457" i="7"/>
  <c r="EU457" i="7"/>
  <c r="ET458" i="7"/>
  <c r="ET459" i="7"/>
  <c r="ET464" i="7"/>
  <c r="ET465" i="7"/>
  <c r="ET466" i="7"/>
  <c r="ET467" i="7"/>
  <c r="ET469" i="7"/>
  <c r="ET470" i="7"/>
  <c r="ET471" i="7"/>
  <c r="ET472" i="7"/>
  <c r="ET473" i="7"/>
  <c r="ET474" i="7"/>
  <c r="ET475" i="7"/>
  <c r="ET476" i="7"/>
  <c r="ET477" i="7"/>
  <c r="ET479" i="7"/>
  <c r="ET480" i="7"/>
  <c r="ET481" i="7"/>
  <c r="ET482" i="7"/>
  <c r="ET484" i="7"/>
  <c r="ET485" i="7"/>
  <c r="ET486" i="7"/>
  <c r="ET487" i="7"/>
  <c r="ES488" i="7"/>
  <c r="EU488" i="7"/>
  <c r="ET488" i="7" s="1"/>
  <c r="ES561" i="7"/>
  <c r="ET561" i="7"/>
  <c r="EU561" i="7"/>
  <c r="ED149" i="45"/>
  <c r="EE149" i="45" s="1"/>
  <c r="EE147" i="45"/>
  <c r="ET149" i="7" l="1"/>
  <c r="ET451" i="7"/>
  <c r="ET365" i="7"/>
  <c r="EV79" i="8"/>
  <c r="EX79" i="8"/>
  <c r="EU442" i="7"/>
  <c r="EU340" i="7"/>
  <c r="ET36" i="7"/>
  <c r="ET94" i="7"/>
  <c r="ET340" i="7"/>
  <c r="EU321" i="7"/>
  <c r="ET442" i="7"/>
  <c r="EU451" i="7"/>
  <c r="EU365" i="7"/>
  <c r="EU226" i="7"/>
  <c r="EU149" i="7"/>
  <c r="ET321" i="7"/>
  <c r="ET226" i="7"/>
  <c r="ET178" i="7"/>
  <c r="ET191" i="7"/>
  <c r="ET156" i="8" s="1"/>
  <c r="ET31" i="8"/>
  <c r="ET9" i="7"/>
  <c r="ET5" i="45" s="1"/>
  <c r="ET330" i="45" s="1"/>
  <c r="ET117" i="7"/>
  <c r="ES195" i="7"/>
  <c r="EU205" i="7"/>
  <c r="ET201" i="7"/>
  <c r="ET167" i="8" s="1"/>
  <c r="ET190" i="8"/>
  <c r="ES404" i="7"/>
  <c r="ET404" i="7" s="1"/>
  <c r="EU460" i="7"/>
  <c r="EU490" i="7" s="1"/>
  <c r="ET457" i="7"/>
  <c r="ET460" i="7" s="1"/>
  <c r="ET490" i="7" s="1"/>
  <c r="EH147" i="45"/>
  <c r="EG149" i="45"/>
  <c r="EH149" i="45" s="1"/>
  <c r="ES2" i="8"/>
  <c r="ES220" i="8" s="1"/>
  <c r="ES285" i="8" s="1"/>
  <c r="ET2" i="8"/>
  <c r="ET220" i="8" s="1"/>
  <c r="ET285" i="8" s="1"/>
  <c r="EU5" i="45"/>
  <c r="EU330" i="45" s="1"/>
  <c r="ES340" i="7"/>
  <c r="ET71" i="7"/>
  <c r="EU29" i="7"/>
  <c r="ET118" i="7"/>
  <c r="ET235" i="45"/>
  <c r="EU235" i="45" s="1"/>
  <c r="ET60" i="7"/>
  <c r="ET93" i="7"/>
  <c r="ET181" i="8"/>
  <c r="EU2" i="8"/>
  <c r="EU20" i="8" s="1"/>
  <c r="ES460" i="7"/>
  <c r="ES490" i="7" s="1"/>
  <c r="ET79" i="8"/>
  <c r="ET186" i="8"/>
  <c r="ET84" i="7"/>
  <c r="ET67" i="7"/>
  <c r="ET202" i="7"/>
  <c r="ET168" i="8" s="1"/>
  <c r="ET194" i="7"/>
  <c r="ET159" i="8" s="1"/>
  <c r="EU198" i="7"/>
  <c r="EU195" i="7"/>
  <c r="ET59" i="7"/>
  <c r="ES205" i="7"/>
  <c r="ET38" i="7"/>
  <c r="EJ147" i="45"/>
  <c r="ET200" i="7"/>
  <c r="ET166" i="8" s="1"/>
  <c r="ET206" i="7"/>
  <c r="ET196" i="7"/>
  <c r="ET161" i="8" s="1"/>
  <c r="ET240" i="7"/>
  <c r="EU178" i="7"/>
  <c r="ES149" i="7"/>
  <c r="ES9" i="7"/>
  <c r="ES5" i="45" s="1"/>
  <c r="ES442" i="7"/>
  <c r="ES178" i="7"/>
  <c r="ES451" i="7"/>
  <c r="ES365" i="7"/>
  <c r="ES226" i="7"/>
  <c r="ES29" i="7"/>
  <c r="ET165" i="8"/>
  <c r="ES40" i="7"/>
  <c r="ES198" i="7"/>
  <c r="ET207" i="7"/>
  <c r="ET203" i="7"/>
  <c r="ET197" i="7"/>
  <c r="ET162" i="8" s="1"/>
  <c r="ET68" i="7"/>
  <c r="ET64" i="7"/>
  <c r="ET37" i="7"/>
  <c r="EU40" i="7"/>
  <c r="ET257" i="7"/>
  <c r="EU39" i="7"/>
  <c r="ET39" i="7" s="1"/>
  <c r="ES4" i="45" l="1"/>
  <c r="ES330" i="45"/>
  <c r="EU81" i="45"/>
  <c r="EU4" i="45"/>
  <c r="ET43" i="45"/>
  <c r="ET69" i="45" s="1"/>
  <c r="ET4" i="45"/>
  <c r="AX1" i="57"/>
  <c r="AX76" i="57" s="1"/>
  <c r="ET27" i="45"/>
  <c r="ET199" i="45"/>
  <c r="ET225" i="45" s="1"/>
  <c r="ET16" i="45"/>
  <c r="ET314" i="45"/>
  <c r="ET102" i="45"/>
  <c r="ET132" i="45" s="1"/>
  <c r="ET81" i="45"/>
  <c r="ET59" i="45"/>
  <c r="ET86" i="45"/>
  <c r="ET20" i="8"/>
  <c r="ET403" i="45"/>
  <c r="ES13" i="8"/>
  <c r="ET378" i="45"/>
  <c r="ET444" i="45"/>
  <c r="ET195" i="7"/>
  <c r="EU378" i="45"/>
  <c r="ET334" i="45"/>
  <c r="ET350" i="45" s="1"/>
  <c r="EU16" i="45"/>
  <c r="ET205" i="7"/>
  <c r="AY1" i="57"/>
  <c r="AY76" i="57" s="1"/>
  <c r="ET13" i="8"/>
  <c r="EU403" i="45"/>
  <c r="ES20" i="8"/>
  <c r="EU444" i="45"/>
  <c r="EU86" i="45"/>
  <c r="EU199" i="45"/>
  <c r="EU225" i="45" s="1"/>
  <c r="EU43" i="45"/>
  <c r="EU69" i="45" s="1"/>
  <c r="EU314" i="45"/>
  <c r="EU102" i="45"/>
  <c r="EU334" i="45"/>
  <c r="EU350" i="45" s="1"/>
  <c r="EU59" i="45"/>
  <c r="EU27" i="45"/>
  <c r="AW1" i="57"/>
  <c r="ES16" i="45"/>
  <c r="ES43" i="45"/>
  <c r="ES69" i="45" s="1"/>
  <c r="ES86" i="45"/>
  <c r="ES378" i="45"/>
  <c r="ES403" i="45"/>
  <c r="ES102" i="45"/>
  <c r="ES314" i="45"/>
  <c r="ES334" i="45"/>
  <c r="ES350" i="45" s="1"/>
  <c r="ES27" i="45"/>
  <c r="ES59" i="45"/>
  <c r="ES444" i="45"/>
  <c r="ES81" i="45"/>
  <c r="ES199" i="45"/>
  <c r="ES225" i="45" s="1"/>
  <c r="EU220" i="8"/>
  <c r="EU285" i="8" s="1"/>
  <c r="EU13" i="8"/>
  <c r="ET164" i="8"/>
  <c r="ET198" i="7"/>
  <c r="EK147" i="45"/>
  <c r="EJ149" i="45"/>
  <c r="EK149" i="45" s="1"/>
  <c r="EM147" i="45"/>
  <c r="ET40" i="7"/>
  <c r="AX83" i="57" l="1"/>
  <c r="ET287" i="45"/>
  <c r="ET356" i="45"/>
  <c r="ET181" i="45"/>
  <c r="ET272" i="45"/>
  <c r="ET136" i="45"/>
  <c r="AY83" i="57"/>
  <c r="EU132" i="45"/>
  <c r="EU272" i="45"/>
  <c r="EU287" i="45"/>
  <c r="EU356" i="45"/>
  <c r="EU181" i="45"/>
  <c r="EU136" i="45"/>
  <c r="ES356" i="45"/>
  <c r="ES136" i="45"/>
  <c r="ES272" i="45"/>
  <c r="ES181" i="45"/>
  <c r="ES287" i="45"/>
  <c r="ES132" i="45"/>
  <c r="AW76" i="57"/>
  <c r="AW83" i="57"/>
  <c r="EP147" i="45"/>
  <c r="EN147" i="45"/>
  <c r="EM149" i="45"/>
  <c r="EN149" i="45" s="1"/>
  <c r="ES147" i="45" l="1"/>
  <c r="EV147" i="45" s="1"/>
  <c r="EY147" i="45" s="1"/>
  <c r="EQ147" i="45"/>
  <c r="EP149" i="45"/>
  <c r="EQ149" i="45" s="1"/>
  <c r="EZ147" i="45" l="1"/>
  <c r="EY149" i="45"/>
  <c r="EZ149" i="45" s="1"/>
  <c r="EV149" i="45"/>
  <c r="EW149" i="45" s="1"/>
  <c r="EW147" i="45"/>
  <c r="ES149" i="45"/>
  <c r="ET147" i="45"/>
  <c r="ET149" i="45" l="1"/>
  <c r="Y60" i="57" l="1"/>
  <c r="AB60" i="57" s="1"/>
  <c r="AC72" i="57"/>
  <c r="AF72" i="57" s="1"/>
  <c r="AI72" i="57" s="1"/>
  <c r="AL72" i="57" s="1"/>
  <c r="AO72" i="57" s="1"/>
  <c r="AR72" i="57" s="1"/>
  <c r="AU72" i="57" s="1"/>
  <c r="AX72" i="57" s="1"/>
  <c r="BA72" i="57" s="1"/>
  <c r="BD72" i="57" s="1"/>
  <c r="AC68" i="57"/>
  <c r="AF68" i="57" s="1"/>
  <c r="AI68" i="57" s="1"/>
  <c r="AL68" i="57" s="1"/>
  <c r="AO68" i="57" s="1"/>
  <c r="AR68" i="57" s="1"/>
  <c r="AU68" i="57" s="1"/>
  <c r="AX68" i="57" s="1"/>
  <c r="BA68" i="57" s="1"/>
  <c r="BD68" i="57" s="1"/>
  <c r="AE70" i="57"/>
  <c r="AI105" i="57"/>
  <c r="AF105" i="57"/>
  <c r="DR90" i="7"/>
  <c r="DR89" i="7"/>
  <c r="DR209" i="7"/>
  <c r="DS209" i="7" s="1"/>
  <c r="DR208" i="7"/>
  <c r="DR297" i="7"/>
  <c r="DR259" i="7"/>
  <c r="W8" i="57"/>
  <c r="V8" i="57"/>
  <c r="V50" i="57"/>
  <c r="V40" i="57"/>
  <c r="V41" i="57" l="1"/>
  <c r="V34" i="57"/>
  <c r="AD68" i="57"/>
  <c r="AH70" i="57"/>
  <c r="AK70" i="57" s="1"/>
  <c r="AE49" i="57"/>
  <c r="AE68" i="57"/>
  <c r="AE74" i="57"/>
  <c r="V5" i="57"/>
  <c r="AG68" i="57" l="1"/>
  <c r="AH68" i="57"/>
  <c r="AH74" i="57"/>
  <c r="AN70" i="57"/>
  <c r="AJ68" i="57" l="1"/>
  <c r="AK68" i="57"/>
  <c r="AK74" i="57"/>
  <c r="AQ70" i="57"/>
  <c r="AN74" i="57" l="1"/>
  <c r="AM68" i="57"/>
  <c r="AN68" i="57"/>
  <c r="AT70" i="57"/>
  <c r="AW70" i="57" s="1"/>
  <c r="AZ70" i="57" s="1"/>
  <c r="BC70" i="57" s="1"/>
  <c r="AQ68" i="57" l="1"/>
  <c r="AP68" i="57"/>
  <c r="AQ74" i="57"/>
  <c r="AS68" i="57" l="1"/>
  <c r="AT68" i="57"/>
  <c r="AT74" i="57"/>
  <c r="AW74" i="57" s="1"/>
  <c r="AZ74" i="57" s="1"/>
  <c r="BC74" i="57" s="1"/>
  <c r="AV68" i="57" l="1"/>
  <c r="AW68" i="57"/>
  <c r="AZ68" i="57" s="1"/>
  <c r="BC68" i="57" s="1"/>
  <c r="BE68" i="57" l="1"/>
  <c r="BB68" i="57"/>
  <c r="AY68" i="57"/>
  <c r="DP444" i="7" l="1"/>
  <c r="ED138" i="45"/>
  <c r="EE156" i="45"/>
  <c r="DL393" i="7" l="1"/>
  <c r="DP390" i="7"/>
  <c r="DO87" i="7"/>
  <c r="DQ297" i="7"/>
  <c r="DQ259" i="7"/>
  <c r="DQ247" i="7"/>
  <c r="DQ241" i="7"/>
  <c r="DQ93" i="45"/>
  <c r="DQ89" i="7" s="1"/>
  <c r="DP97" i="45"/>
  <c r="DP91" i="45"/>
  <c r="DP89" i="45"/>
  <c r="DN93" i="45" l="1"/>
  <c r="DL89" i="45"/>
  <c r="DO93" i="45"/>
  <c r="DO89" i="7" l="1"/>
  <c r="DP93" i="45"/>
  <c r="FB49" i="45" l="1"/>
  <c r="Y106" i="57" l="1"/>
  <c r="Z106" i="57" s="1"/>
  <c r="AB106" i="57" s="1"/>
  <c r="Y105" i="57"/>
  <c r="Z105" i="57" s="1"/>
  <c r="AC105" i="57" s="1"/>
  <c r="S111" i="57"/>
  <c r="S108" i="57" s="1"/>
  <c r="AC106" i="57" l="1"/>
  <c r="AE106" i="57" s="1"/>
  <c r="AF106" i="57" s="1"/>
  <c r="AH106" i="57" l="1"/>
  <c r="AI106" i="57" l="1"/>
  <c r="DO199" i="7"/>
  <c r="DO88" i="7" l="1"/>
  <c r="DO209" i="7"/>
  <c r="DP209" i="7" s="1"/>
  <c r="DO203" i="7"/>
  <c r="DO297" i="7"/>
  <c r="DO259" i="7"/>
  <c r="DO247" i="7"/>
  <c r="DO241" i="7"/>
  <c r="DI61" i="45"/>
  <c r="DJ61" i="45"/>
  <c r="DK61" i="45"/>
  <c r="DI63" i="45"/>
  <c r="DJ63" i="45"/>
  <c r="BX83" i="45"/>
  <c r="BW83" i="45"/>
  <c r="BV83" i="45"/>
  <c r="V26" i="57"/>
  <c r="L55" i="57"/>
  <c r="M55" i="57"/>
  <c r="N55" i="57"/>
  <c r="DK382" i="45"/>
  <c r="DJ382" i="45"/>
  <c r="DI382" i="45"/>
  <c r="O55" i="57" l="1"/>
  <c r="DS189" i="7" l="1"/>
  <c r="EB189" i="7"/>
  <c r="EE189" i="7"/>
  <c r="EH189" i="7"/>
  <c r="EK189" i="7"/>
  <c r="EN189" i="7"/>
  <c r="EQ189" i="7"/>
  <c r="BV154" i="8"/>
  <c r="BW154" i="8"/>
  <c r="BY154" i="8"/>
  <c r="BZ154" i="8"/>
  <c r="CB154" i="8"/>
  <c r="CC154" i="8"/>
  <c r="CE154" i="8"/>
  <c r="CF154" i="8"/>
  <c r="CH154" i="8"/>
  <c r="CI154" i="8"/>
  <c r="CK154" i="8"/>
  <c r="CL154" i="8"/>
  <c r="CN154" i="8"/>
  <c r="CO154" i="8"/>
  <c r="CQ154" i="8"/>
  <c r="CR154" i="8"/>
  <c r="CT154" i="8"/>
  <c r="CU154" i="8"/>
  <c r="CW154" i="8"/>
  <c r="CX154" i="8"/>
  <c r="CZ154" i="8"/>
  <c r="DA154" i="8"/>
  <c r="DC154" i="8"/>
  <c r="DD154" i="8"/>
  <c r="DF154" i="8"/>
  <c r="DG154" i="8"/>
  <c r="DF90" i="45"/>
  <c r="DG90" i="45"/>
  <c r="DH90" i="45"/>
  <c r="CA154" i="8" l="1"/>
  <c r="CM154" i="8"/>
  <c r="CS154" i="8"/>
  <c r="CY154" i="8"/>
  <c r="DE154" i="8"/>
  <c r="CG154" i="8"/>
  <c r="CV154" i="8"/>
  <c r="CD154" i="8"/>
  <c r="DB154" i="8"/>
  <c r="CJ154" i="8"/>
  <c r="DH154" i="8"/>
  <c r="BX154" i="8"/>
  <c r="CP154" i="8"/>
  <c r="DN444" i="7"/>
  <c r="DN89" i="7" l="1"/>
  <c r="DN88" i="7"/>
  <c r="DQ87" i="7"/>
  <c r="B88" i="7"/>
  <c r="B87" i="7"/>
  <c r="DK88" i="7"/>
  <c r="DT114" i="8"/>
  <c r="DM220" i="45"/>
  <c r="CY55" i="8" l="1"/>
  <c r="BT154" i="8"/>
  <c r="BS154" i="8"/>
  <c r="BO55" i="8"/>
  <c r="BP55" i="8"/>
  <c r="BQ55" i="8"/>
  <c r="BR55" i="8"/>
  <c r="BS55" i="8"/>
  <c r="BT55" i="8"/>
  <c r="BU55" i="8"/>
  <c r="CK55" i="8"/>
  <c r="DF55" i="8"/>
  <c r="DK55" i="8"/>
  <c r="DN55" i="8"/>
  <c r="BN55" i="8"/>
  <c r="BM55" i="8"/>
  <c r="CK27" i="8"/>
  <c r="DF27" i="8"/>
  <c r="BP26" i="8"/>
  <c r="BQ26" i="8"/>
  <c r="BS26" i="8"/>
  <c r="BT26" i="8"/>
  <c r="BP27" i="8"/>
  <c r="BQ27" i="8"/>
  <c r="BS27" i="8"/>
  <c r="BT27" i="8"/>
  <c r="BN26" i="8"/>
  <c r="BN27" i="8"/>
  <c r="BM27" i="8"/>
  <c r="BM26" i="8"/>
  <c r="CW27" i="8"/>
  <c r="DC27" i="8"/>
  <c r="CZ26" i="8"/>
  <c r="BQ28" i="8" l="1"/>
  <c r="BU154" i="8"/>
  <c r="BS28" i="8"/>
  <c r="DQ55" i="8"/>
  <c r="BP28" i="8"/>
  <c r="CX55" i="8"/>
  <c r="CX27" i="8"/>
  <c r="CY27" i="8" s="1"/>
  <c r="BU26" i="8"/>
  <c r="BT28" i="8"/>
  <c r="BU27" i="8"/>
  <c r="BR26" i="8"/>
  <c r="BR27" i="8"/>
  <c r="CW26" i="8"/>
  <c r="DC26" i="8"/>
  <c r="DC55" i="8"/>
  <c r="CW55" i="8"/>
  <c r="BU28" i="8" l="1"/>
  <c r="BR28" i="8"/>
  <c r="CZ55" i="8"/>
  <c r="CZ27" i="8"/>
  <c r="CW28" i="8"/>
  <c r="DC28" i="8"/>
  <c r="CZ28" i="8" l="1"/>
  <c r="DI97" i="45" l="1"/>
  <c r="DI93" i="45"/>
  <c r="DJ93" i="45" s="1"/>
  <c r="DI91" i="45"/>
  <c r="DI26" i="8" s="1"/>
  <c r="DI89" i="45"/>
  <c r="DN62" i="45"/>
  <c r="DK62" i="45"/>
  <c r="DN60" i="45"/>
  <c r="DK60" i="45"/>
  <c r="R85" i="57"/>
  <c r="P85" i="57" s="1"/>
  <c r="E83" i="57"/>
  <c r="F83" i="57"/>
  <c r="G83" i="57"/>
  <c r="H83" i="57"/>
  <c r="I83" i="57"/>
  <c r="J83" i="57"/>
  <c r="K83" i="57"/>
  <c r="L83" i="57"/>
  <c r="D83" i="57"/>
  <c r="Q81" i="57"/>
  <c r="N81" i="57"/>
  <c r="E76" i="57"/>
  <c r="F76" i="57"/>
  <c r="G76" i="57"/>
  <c r="H76" i="57"/>
  <c r="I76" i="57"/>
  <c r="J76" i="57"/>
  <c r="K76" i="57"/>
  <c r="L76" i="57"/>
  <c r="D76" i="57"/>
  <c r="AK64" i="57"/>
  <c r="AN64" i="57" s="1"/>
  <c r="AI64" i="57"/>
  <c r="AL64" i="57" s="1"/>
  <c r="AO64" i="57" s="1"/>
  <c r="AI61" i="57"/>
  <c r="AK61" i="57" s="1"/>
  <c r="AH49" i="57"/>
  <c r="AI47" i="57"/>
  <c r="AL47" i="57" s="1"/>
  <c r="AH47" i="57"/>
  <c r="AK47" i="57" s="1"/>
  <c r="AE53" i="57"/>
  <c r="AH53" i="57" s="1"/>
  <c r="AC53" i="57"/>
  <c r="AF53" i="57" s="1"/>
  <c r="AI53" i="57" s="1"/>
  <c r="AL53" i="57" s="1"/>
  <c r="AO53" i="57" s="1"/>
  <c r="AR53" i="57" s="1"/>
  <c r="AU53" i="57" s="1"/>
  <c r="AX53" i="57" s="1"/>
  <c r="BA53" i="57" s="1"/>
  <c r="BD53" i="57" s="1"/>
  <c r="X74" i="57"/>
  <c r="X72" i="57"/>
  <c r="X70" i="57"/>
  <c r="X68" i="57"/>
  <c r="Q66" i="57"/>
  <c r="P66" i="57"/>
  <c r="T74" i="57"/>
  <c r="S74" i="57"/>
  <c r="T72" i="57"/>
  <c r="S72" i="57"/>
  <c r="T70" i="57"/>
  <c r="S70" i="57"/>
  <c r="T68" i="57"/>
  <c r="S68" i="57"/>
  <c r="R74" i="57"/>
  <c r="R72" i="57"/>
  <c r="R70" i="57"/>
  <c r="R68" i="57"/>
  <c r="W63" i="57"/>
  <c r="Z63" i="57" s="1"/>
  <c r="V63" i="57"/>
  <c r="Y63" i="57" s="1"/>
  <c r="AB63" i="57" s="1"/>
  <c r="W60" i="57"/>
  <c r="Z60" i="57" s="1"/>
  <c r="AA60" i="57" s="1"/>
  <c r="AC49" i="57"/>
  <c r="U63" i="57"/>
  <c r="U60" i="57"/>
  <c r="Y40" i="57"/>
  <c r="V32" i="57"/>
  <c r="R63" i="57"/>
  <c r="Y34" i="57" l="1"/>
  <c r="Y35" i="57" s="1"/>
  <c r="AE35" i="57" s="1"/>
  <c r="AF35" i="57" s="1"/>
  <c r="AH35" i="57" s="1"/>
  <c r="AI35" i="57" s="1"/>
  <c r="AK35" i="57" s="1"/>
  <c r="AL35" i="57" s="1"/>
  <c r="AN35" i="57" s="1"/>
  <c r="AO35" i="57" s="1"/>
  <c r="AQ35" i="57" s="1"/>
  <c r="AR35" i="57" s="1"/>
  <c r="AT35" i="57" s="1"/>
  <c r="AU35" i="57" s="1"/>
  <c r="AW35" i="57" s="1"/>
  <c r="AX35" i="57" s="1"/>
  <c r="AZ35" i="57" s="1"/>
  <c r="BA35" i="57" s="1"/>
  <c r="BC35" i="57" s="1"/>
  <c r="BD35" i="57" s="1"/>
  <c r="AB40" i="57"/>
  <c r="AB34" i="57" s="1"/>
  <c r="AB35" i="57" s="1"/>
  <c r="AA63" i="57"/>
  <c r="AF49" i="57"/>
  <c r="AG49" i="57" s="1"/>
  <c r="AD49" i="57"/>
  <c r="AL50" i="57"/>
  <c r="AN50" i="57" s="1"/>
  <c r="V35" i="57"/>
  <c r="DJ97" i="45"/>
  <c r="DI88" i="7"/>
  <c r="DM97" i="45"/>
  <c r="DL88" i="7"/>
  <c r="DM89" i="45"/>
  <c r="DL55" i="8"/>
  <c r="DL27" i="8"/>
  <c r="DM91" i="45"/>
  <c r="DM26" i="8" s="1"/>
  <c r="DL26" i="8"/>
  <c r="DM93" i="45"/>
  <c r="DJ89" i="45"/>
  <c r="DI55" i="8"/>
  <c r="DI27" i="8"/>
  <c r="Q85" i="57"/>
  <c r="DK66" i="45"/>
  <c r="DJ91" i="45"/>
  <c r="DJ26" i="8" s="1"/>
  <c r="DK26" i="8" s="1"/>
  <c r="DN66" i="45"/>
  <c r="U70" i="57"/>
  <c r="AK50" i="57"/>
  <c r="AK49" i="57" s="1"/>
  <c r="U72" i="57"/>
  <c r="T66" i="57"/>
  <c r="T6" i="57" s="1"/>
  <c r="U74" i="57"/>
  <c r="AL61" i="57"/>
  <c r="R66" i="57"/>
  <c r="X63" i="57"/>
  <c r="U68" i="57"/>
  <c r="S66" i="57"/>
  <c r="S6" i="57" s="1"/>
  <c r="AR64" i="57"/>
  <c r="AU64" i="57" s="1"/>
  <c r="AX64" i="57" s="1"/>
  <c r="BA64" i="57" s="1"/>
  <c r="BD64" i="57" s="1"/>
  <c r="AQ64" i="57"/>
  <c r="AT64" i="57" s="1"/>
  <c r="AW64" i="57" s="1"/>
  <c r="AZ64" i="57" s="1"/>
  <c r="BC64" i="57" s="1"/>
  <c r="AO47" i="57"/>
  <c r="AR47" i="57" s="1"/>
  <c r="AU47" i="57" s="1"/>
  <c r="AX47" i="57" s="1"/>
  <c r="BA47" i="57" s="1"/>
  <c r="BD47" i="57" s="1"/>
  <c r="AN47" i="57"/>
  <c r="AQ47" i="57" s="1"/>
  <c r="AT47" i="57" s="1"/>
  <c r="AW47" i="57" s="1"/>
  <c r="AZ47" i="57" s="1"/>
  <c r="BC47" i="57" s="1"/>
  <c r="AK53" i="57"/>
  <c r="AN53" i="57" s="1"/>
  <c r="AQ53" i="57" s="1"/>
  <c r="AT53" i="57" s="1"/>
  <c r="AW53" i="57" s="1"/>
  <c r="AZ53" i="57" s="1"/>
  <c r="BC53" i="57" s="1"/>
  <c r="T57" i="57"/>
  <c r="S57" i="57"/>
  <c r="R57" i="57"/>
  <c r="R47" i="57"/>
  <c r="P47" i="57"/>
  <c r="Q46" i="57"/>
  <c r="Q31" i="57"/>
  <c r="R26" i="57"/>
  <c r="P26" i="57"/>
  <c r="R23" i="57"/>
  <c r="P23" i="57"/>
  <c r="R20" i="57"/>
  <c r="P20" i="57"/>
  <c r="Q25" i="57"/>
  <c r="Q22" i="57"/>
  <c r="Q19" i="57"/>
  <c r="R38" i="57"/>
  <c r="R35" i="57"/>
  <c r="P35" i="57"/>
  <c r="R32" i="57"/>
  <c r="P32" i="57"/>
  <c r="Q34" i="57"/>
  <c r="N52" i="57"/>
  <c r="N6" i="57" s="1"/>
  <c r="N46" i="57"/>
  <c r="N37" i="57"/>
  <c r="N34" i="57"/>
  <c r="N31" i="57"/>
  <c r="N25" i="57"/>
  <c r="N22" i="57"/>
  <c r="N19" i="57"/>
  <c r="C13" i="57"/>
  <c r="C12" i="57"/>
  <c r="C7" i="57"/>
  <c r="C6" i="57"/>
  <c r="C5" i="57"/>
  <c r="C9" i="57" s="1"/>
  <c r="C4" i="57"/>
  <c r="C8" i="57" s="1"/>
  <c r="V20" i="57"/>
  <c r="B12" i="57"/>
  <c r="B13" i="57"/>
  <c r="B11" i="57"/>
  <c r="M6" i="57"/>
  <c r="AA64" i="57" l="1"/>
  <c r="U6" i="57"/>
  <c r="AI49" i="57"/>
  <c r="AJ49" i="57" s="1"/>
  <c r="V47" i="57"/>
  <c r="AO50" i="57"/>
  <c r="AR50" i="57" s="1"/>
  <c r="AU50" i="57" s="1"/>
  <c r="AN49" i="57"/>
  <c r="S97" i="57"/>
  <c r="S98" i="57" s="1"/>
  <c r="W43" i="57"/>
  <c r="Z44" i="57" s="1"/>
  <c r="DY93" i="45"/>
  <c r="EB93" i="45" s="1"/>
  <c r="EE93" i="45" s="1"/>
  <c r="EH93" i="45" s="1"/>
  <c r="EK93" i="45" s="1"/>
  <c r="DM88" i="7"/>
  <c r="DL86" i="7"/>
  <c r="DL28" i="8"/>
  <c r="DN26" i="8"/>
  <c r="DI28" i="8"/>
  <c r="DJ55" i="8"/>
  <c r="DJ27" i="8"/>
  <c r="DJ28" i="8" s="1"/>
  <c r="DO55" i="8"/>
  <c r="DO27" i="8"/>
  <c r="DM27" i="8"/>
  <c r="DM28" i="8" s="1"/>
  <c r="DM55" i="8"/>
  <c r="U66" i="57"/>
  <c r="Q20" i="57"/>
  <c r="Q26" i="57"/>
  <c r="Q35" i="57"/>
  <c r="U57" i="57"/>
  <c r="Q47" i="57"/>
  <c r="AN61" i="57"/>
  <c r="AO61" i="57" s="1"/>
  <c r="AQ61" i="57" s="1"/>
  <c r="AR61" i="57" s="1"/>
  <c r="AT61" i="57" s="1"/>
  <c r="AU61" i="57" s="1"/>
  <c r="AW61" i="57" s="1"/>
  <c r="AX61" i="57" s="1"/>
  <c r="AZ61" i="57" s="1"/>
  <c r="BA61" i="57" s="1"/>
  <c r="BC61" i="57" s="1"/>
  <c r="BD61" i="57" s="1"/>
  <c r="Q23" i="57"/>
  <c r="Q32" i="57"/>
  <c r="U47" i="57"/>
  <c r="O6" i="57"/>
  <c r="AL49" i="57" l="1"/>
  <c r="AM49" i="57" s="1"/>
  <c r="AW50" i="57"/>
  <c r="AX50" i="57"/>
  <c r="AT50" i="57"/>
  <c r="AQ50" i="57"/>
  <c r="AQ49" i="57" s="1"/>
  <c r="U23" i="57"/>
  <c r="V23" i="57"/>
  <c r="AC22" i="57"/>
  <c r="AF22" i="57" s="1"/>
  <c r="AI22" i="57" s="1"/>
  <c r="AL22" i="57" s="1"/>
  <c r="AO22" i="57" s="1"/>
  <c r="AR22" i="57" s="1"/>
  <c r="AU22" i="57" s="1"/>
  <c r="AX22" i="57" s="1"/>
  <c r="BA22" i="57" s="1"/>
  <c r="BD22" i="57" s="1"/>
  <c r="S99" i="57"/>
  <c r="V99" i="57" s="1"/>
  <c r="V97" i="57"/>
  <c r="V103" i="57" s="1"/>
  <c r="T97" i="57"/>
  <c r="U97" i="57" s="1"/>
  <c r="DK27" i="8"/>
  <c r="DK28" i="8" s="1"/>
  <c r="DN27" i="8"/>
  <c r="DN28" i="8" s="1"/>
  <c r="DP55" i="8"/>
  <c r="DP27" i="8"/>
  <c r="DQ27" i="8" s="1"/>
  <c r="EN93" i="45"/>
  <c r="EQ93" i="45" s="1"/>
  <c r="ET93" i="45" s="1"/>
  <c r="EW93" i="45" s="1"/>
  <c r="EZ93" i="45" s="1"/>
  <c r="AO49" i="57" l="1"/>
  <c r="AR49" i="57" s="1"/>
  <c r="AU49" i="57" s="1"/>
  <c r="AX49" i="57" s="1"/>
  <c r="BA50" i="57"/>
  <c r="AZ50" i="57"/>
  <c r="AT49" i="57"/>
  <c r="AC46" i="57"/>
  <c r="Y99" i="57"/>
  <c r="AB99" i="57" s="1"/>
  <c r="V110" i="57"/>
  <c r="X47" i="57"/>
  <c r="S100" i="57"/>
  <c r="V100" i="57" s="1"/>
  <c r="Y97" i="57"/>
  <c r="U20" i="57"/>
  <c r="T98" i="57"/>
  <c r="T99" i="57"/>
  <c r="D55" i="45"/>
  <c r="D45" i="45"/>
  <c r="D46" i="45" s="1"/>
  <c r="Y103" i="57" l="1"/>
  <c r="Z97" i="57"/>
  <c r="BD50" i="57"/>
  <c r="BC50" i="57"/>
  <c r="AP49" i="57"/>
  <c r="AS49" i="57"/>
  <c r="BA49" i="57"/>
  <c r="AB103" i="57"/>
  <c r="AV49" i="57"/>
  <c r="AW49" i="57"/>
  <c r="AY49" i="57" s="1"/>
  <c r="AD46" i="57"/>
  <c r="AD47" i="57" s="1"/>
  <c r="AE46" i="57"/>
  <c r="AH46" i="57" s="1"/>
  <c r="AK46" i="57" s="1"/>
  <c r="AF46" i="57"/>
  <c r="Y100" i="57"/>
  <c r="V111" i="57"/>
  <c r="W99" i="57"/>
  <c r="Z99" i="57" s="1"/>
  <c r="AA99" i="57" s="1"/>
  <c r="T110" i="57"/>
  <c r="U98" i="57"/>
  <c r="U109" i="57" s="1"/>
  <c r="T109" i="57"/>
  <c r="Y110" i="57"/>
  <c r="X23" i="57"/>
  <c r="AE22" i="57"/>
  <c r="V98" i="57"/>
  <c r="U99" i="57"/>
  <c r="U110" i="57" s="1"/>
  <c r="AE19" i="57"/>
  <c r="AE97" i="57" s="1"/>
  <c r="AE103" i="57" s="1"/>
  <c r="AC19" i="57"/>
  <c r="AD19" i="57" s="1"/>
  <c r="AD97" i="57" s="1"/>
  <c r="T100" i="57"/>
  <c r="X20" i="57"/>
  <c r="X97" i="57"/>
  <c r="DZ93" i="45"/>
  <c r="Y98" i="57" l="1"/>
  <c r="Y109" i="57" s="1"/>
  <c r="AB100" i="57"/>
  <c r="AB98" i="57" s="1"/>
  <c r="BD49" i="57"/>
  <c r="AZ49" i="57"/>
  <c r="BB49" i="57" s="1"/>
  <c r="BB50" i="57" s="1"/>
  <c r="AY50" i="57"/>
  <c r="AG46" i="57"/>
  <c r="AG47" i="57" s="1"/>
  <c r="X103" i="57"/>
  <c r="W97" i="57"/>
  <c r="W110" i="57" s="1"/>
  <c r="X99" i="57"/>
  <c r="X110" i="57" s="1"/>
  <c r="AI46" i="57"/>
  <c r="W100" i="57"/>
  <c r="Z100" i="57" s="1"/>
  <c r="AA100" i="57" s="1"/>
  <c r="T111" i="57"/>
  <c r="T108" i="57" s="1"/>
  <c r="AC99" i="57"/>
  <c r="V104" i="57"/>
  <c r="V109" i="57"/>
  <c r="V108" i="57" s="1"/>
  <c r="AE99" i="57"/>
  <c r="AB110" i="57"/>
  <c r="Y111" i="57"/>
  <c r="Y108" i="57" s="1"/>
  <c r="AC97" i="57"/>
  <c r="AD22" i="57"/>
  <c r="AD23" i="57" s="1"/>
  <c r="Z110" i="57"/>
  <c r="AD20" i="57"/>
  <c r="AF19" i="57"/>
  <c r="AI19" i="57" s="1"/>
  <c r="AL19" i="57" s="1"/>
  <c r="U100" i="57"/>
  <c r="Y104" i="57"/>
  <c r="EC93" i="45"/>
  <c r="ED93" i="45"/>
  <c r="AN46" i="57"/>
  <c r="AH19" i="57"/>
  <c r="AH97" i="57" s="1"/>
  <c r="AG22" i="57"/>
  <c r="AH22" i="57"/>
  <c r="Z98" i="57" l="1"/>
  <c r="AA98" i="57" s="1"/>
  <c r="BC49" i="57"/>
  <c r="BE49" i="57" s="1"/>
  <c r="BE50" i="57" s="1"/>
  <c r="AG23" i="57"/>
  <c r="W98" i="57"/>
  <c r="W109" i="57" s="1"/>
  <c r="X105" i="57"/>
  <c r="AL46" i="57"/>
  <c r="AJ46" i="57"/>
  <c r="AJ47" i="57" s="1"/>
  <c r="AE110" i="57"/>
  <c r="AH99" i="57"/>
  <c r="AH110" i="57" s="1"/>
  <c r="AF99" i="57"/>
  <c r="AC110" i="57"/>
  <c r="Z111" i="57"/>
  <c r="X100" i="57"/>
  <c r="X111" i="57" s="1"/>
  <c r="W111" i="57"/>
  <c r="AE100" i="57"/>
  <c r="AB111" i="57"/>
  <c r="U111" i="57"/>
  <c r="U108" i="57" s="1"/>
  <c r="AD99" i="57"/>
  <c r="AD110" i="57" s="1"/>
  <c r="AH103" i="57"/>
  <c r="AD103" i="57"/>
  <c r="AC103" i="57"/>
  <c r="AC100" i="57"/>
  <c r="AA103" i="57"/>
  <c r="AG19" i="57"/>
  <c r="AA110" i="57"/>
  <c r="EG93" i="45"/>
  <c r="EF93" i="45"/>
  <c r="AO19" i="57"/>
  <c r="AR19" i="57" s="1"/>
  <c r="AU19" i="57" s="1"/>
  <c r="AX19" i="57" s="1"/>
  <c r="BA19" i="57" s="1"/>
  <c r="BD19" i="57" s="1"/>
  <c r="AQ46" i="57"/>
  <c r="AK19" i="57"/>
  <c r="AM19" i="57" s="1"/>
  <c r="AJ19" i="57"/>
  <c r="AJ97" i="57" s="1"/>
  <c r="AJ22" i="57"/>
  <c r="AJ23" i="57" s="1"/>
  <c r="AK22" i="57"/>
  <c r="W108" i="57" l="1"/>
  <c r="AO46" i="57"/>
  <c r="AM46" i="57"/>
  <c r="AM47" i="57" s="1"/>
  <c r="X106" i="57"/>
  <c r="AE98" i="57"/>
  <c r="AE109" i="57" s="1"/>
  <c r="AE111" i="57"/>
  <c r="AH100" i="57"/>
  <c r="AH111" i="57" s="1"/>
  <c r="AB109" i="57"/>
  <c r="AB108" i="57" s="1"/>
  <c r="AB104" i="57"/>
  <c r="AA106" i="57"/>
  <c r="AA111" i="57"/>
  <c r="AI99" i="57"/>
  <c r="AF100" i="57"/>
  <c r="AI100" i="57" s="1"/>
  <c r="AC111" i="57"/>
  <c r="AA109" i="57"/>
  <c r="Z109" i="57"/>
  <c r="Z108" i="57" s="1"/>
  <c r="AG99" i="57"/>
  <c r="AI97" i="57"/>
  <c r="AG20" i="57"/>
  <c r="AG97" i="57"/>
  <c r="AJ103" i="57" s="1"/>
  <c r="AD100" i="57"/>
  <c r="AC98" i="57"/>
  <c r="AC104" i="57" s="1"/>
  <c r="AA105" i="57"/>
  <c r="AD105" i="57"/>
  <c r="AJ20" i="57"/>
  <c r="EJ93" i="45"/>
  <c r="EI93" i="45"/>
  <c r="AN19" i="57"/>
  <c r="AQ19" i="57" s="1"/>
  <c r="AT19" i="57" s="1"/>
  <c r="AT46" i="57"/>
  <c r="AW46" i="57" s="1"/>
  <c r="AZ46" i="57" s="1"/>
  <c r="BC46" i="57" s="1"/>
  <c r="AM20" i="57"/>
  <c r="AM22" i="57"/>
  <c r="AM23" i="57" s="1"/>
  <c r="AN22" i="57"/>
  <c r="AQ22" i="57" s="1"/>
  <c r="BC43" i="57" l="1"/>
  <c r="AZ43" i="57"/>
  <c r="AW43" i="57"/>
  <c r="AV19" i="57"/>
  <c r="AW19" i="57"/>
  <c r="AZ19" i="57" s="1"/>
  <c r="BC19" i="57" s="1"/>
  <c r="AH98" i="57"/>
  <c r="AH109" i="57" s="1"/>
  <c r="AH108" i="57" s="1"/>
  <c r="AE108" i="57"/>
  <c r="AA108" i="57"/>
  <c r="AE104" i="57"/>
  <c r="AR46" i="57"/>
  <c r="AP46" i="57"/>
  <c r="AP47" i="57" s="1"/>
  <c r="AJ100" i="57"/>
  <c r="AJ111" i="57" s="1"/>
  <c r="AI111" i="57"/>
  <c r="AG110" i="57"/>
  <c r="AG105" i="57"/>
  <c r="AJ99" i="57"/>
  <c r="AI110" i="57"/>
  <c r="AD98" i="57"/>
  <c r="AC109" i="57"/>
  <c r="AC108" i="57" s="1"/>
  <c r="AD106" i="57"/>
  <c r="AD111" i="57"/>
  <c r="AG100" i="57"/>
  <c r="AG111" i="57" s="1"/>
  <c r="AI98" i="57"/>
  <c r="AI109" i="57" s="1"/>
  <c r="AF97" i="57"/>
  <c r="AF110" i="57" s="1"/>
  <c r="AG103" i="57"/>
  <c r="EM93" i="45"/>
  <c r="EL93" i="45"/>
  <c r="AP19" i="57"/>
  <c r="AP20" i="57" s="1"/>
  <c r="AS22" i="57"/>
  <c r="AT22" i="57"/>
  <c r="AP22" i="57"/>
  <c r="AP23" i="57" s="1"/>
  <c r="AS19" i="57"/>
  <c r="BE19" i="57" l="1"/>
  <c r="BC5" i="57"/>
  <c r="BC44" i="57"/>
  <c r="AS20" i="57"/>
  <c r="AZ5" i="57"/>
  <c r="AZ44" i="57"/>
  <c r="BB19" i="57"/>
  <c r="AV20" i="57"/>
  <c r="AS23" i="57"/>
  <c r="AV22" i="57"/>
  <c r="AV23" i="57" s="1"/>
  <c r="AW22" i="57"/>
  <c r="AY19" i="57"/>
  <c r="AY20" i="57" s="1"/>
  <c r="AW5" i="57"/>
  <c r="AH104" i="57"/>
  <c r="AU46" i="57"/>
  <c r="AX46" i="57" s="1"/>
  <c r="BA46" i="57" s="1"/>
  <c r="BD46" i="57" s="1"/>
  <c r="AS46" i="57"/>
  <c r="AS47" i="57" s="1"/>
  <c r="AI108" i="57"/>
  <c r="AJ110" i="57"/>
  <c r="AJ105" i="57"/>
  <c r="AF111" i="57"/>
  <c r="AI103" i="57"/>
  <c r="AJ106" i="57"/>
  <c r="AD104" i="57"/>
  <c r="AD109" i="57"/>
  <c r="AD108" i="57" s="1"/>
  <c r="AG106" i="57"/>
  <c r="AJ98" i="57"/>
  <c r="AJ109" i="57" s="1"/>
  <c r="AF98" i="57"/>
  <c r="AF103" i="57"/>
  <c r="EP93" i="45"/>
  <c r="EO93" i="45"/>
  <c r="BE20" i="57" l="1"/>
  <c r="BC13" i="57"/>
  <c r="BD43" i="57"/>
  <c r="BE46" i="57"/>
  <c r="BB20" i="57"/>
  <c r="BA43" i="57"/>
  <c r="BB46" i="57"/>
  <c r="AY22" i="57"/>
  <c r="AY23" i="57" s="1"/>
  <c r="AZ22" i="57"/>
  <c r="BC22" i="57" s="1"/>
  <c r="AZ13" i="57"/>
  <c r="AX43" i="57"/>
  <c r="AY46" i="57"/>
  <c r="ER93" i="45"/>
  <c r="ES93" i="45"/>
  <c r="AJ108" i="57"/>
  <c r="AV46" i="57"/>
  <c r="AV47" i="57" s="1"/>
  <c r="AI104" i="57"/>
  <c r="AF109" i="57"/>
  <c r="AF108" i="57" s="1"/>
  <c r="AF104" i="57"/>
  <c r="AG98" i="57"/>
  <c r="BE47" i="57" l="1"/>
  <c r="BD44" i="57"/>
  <c r="BD5" i="57"/>
  <c r="BE43" i="57"/>
  <c r="BE22" i="57"/>
  <c r="BB47" i="57"/>
  <c r="BA5" i="57"/>
  <c r="BA44" i="57"/>
  <c r="BB43" i="57"/>
  <c r="BB22" i="57"/>
  <c r="BB23" i="57" s="1"/>
  <c r="EU93" i="45"/>
  <c r="EV93" i="45"/>
  <c r="EY93" i="45" s="1"/>
  <c r="AY47" i="57"/>
  <c r="AX5" i="57"/>
  <c r="AY43" i="57"/>
  <c r="AG104" i="57"/>
  <c r="AG109" i="57"/>
  <c r="AG108" i="57" s="1"/>
  <c r="AJ104" i="57"/>
  <c r="BE23" i="57" l="1"/>
  <c r="FA93" i="45"/>
  <c r="BE44" i="57"/>
  <c r="BD13" i="57"/>
  <c r="BE5" i="57"/>
  <c r="BB44" i="57"/>
  <c r="BA13" i="57"/>
  <c r="BB5" i="57"/>
  <c r="EX93" i="45"/>
  <c r="AY5" i="57"/>
  <c r="BE13" i="57" l="1"/>
  <c r="BB13" i="57"/>
  <c r="DY130" i="8" l="1"/>
  <c r="EB130" i="8"/>
  <c r="EE130" i="8"/>
  <c r="EH130" i="8"/>
  <c r="EK130" i="8"/>
  <c r="EN130" i="8"/>
  <c r="EQ130" i="8"/>
  <c r="DY131" i="8"/>
  <c r="DZ131" i="8" s="1"/>
  <c r="EB131" i="8"/>
  <c r="EC131" i="8" s="1"/>
  <c r="EE131" i="8"/>
  <c r="EF131" i="8" s="1"/>
  <c r="EH131" i="8"/>
  <c r="EI131" i="8" s="1"/>
  <c r="EK131" i="8"/>
  <c r="EL131" i="8" s="1"/>
  <c r="EN131" i="8"/>
  <c r="EO131" i="8" s="1"/>
  <c r="EQ131" i="8"/>
  <c r="ER131" i="8" s="1"/>
  <c r="DP131" i="8"/>
  <c r="DR373" i="45" l="1"/>
  <c r="AC74" i="57" l="1"/>
  <c r="AC70" i="57"/>
  <c r="AF70" i="57" s="1"/>
  <c r="AC63" i="57"/>
  <c r="AF63" i="57" s="1"/>
  <c r="AI63" i="57" s="1"/>
  <c r="AL63" i="57" s="1"/>
  <c r="R60" i="57"/>
  <c r="R40" i="57"/>
  <c r="AI70" i="57" l="1"/>
  <c r="AG70" i="57"/>
  <c r="AD70" i="57"/>
  <c r="AF74" i="57"/>
  <c r="AD74" i="57"/>
  <c r="AC60" i="57"/>
  <c r="AC57" i="57"/>
  <c r="R49" i="57"/>
  <c r="U50" i="57" s="1"/>
  <c r="P55" i="57"/>
  <c r="Q55" i="57"/>
  <c r="AO63" i="57"/>
  <c r="AR63" i="57" s="1"/>
  <c r="AU63" i="57" s="1"/>
  <c r="AX63" i="57" s="1"/>
  <c r="BA63" i="57" s="1"/>
  <c r="BD63" i="57" s="1"/>
  <c r="T50" i="57"/>
  <c r="AC55" i="57" l="1"/>
  <c r="AI74" i="57"/>
  <c r="AG74" i="57"/>
  <c r="AL70" i="57"/>
  <c r="AJ70" i="57"/>
  <c r="AC43" i="57"/>
  <c r="AF60" i="57"/>
  <c r="AF57" i="57"/>
  <c r="AO70" i="57" l="1"/>
  <c r="AM70" i="57"/>
  <c r="AL74" i="57"/>
  <c r="AJ74" i="57"/>
  <c r="AF55" i="57"/>
  <c r="AF43" i="57"/>
  <c r="AI60" i="57"/>
  <c r="AI57" i="57"/>
  <c r="DP214" i="7"/>
  <c r="AO74" i="57" l="1"/>
  <c r="AM74" i="57"/>
  <c r="AR70" i="57"/>
  <c r="AP70" i="57"/>
  <c r="AI55" i="57"/>
  <c r="AI43" i="57"/>
  <c r="AL60" i="57"/>
  <c r="AL57" i="57"/>
  <c r="DM390" i="7"/>
  <c r="DN391" i="7"/>
  <c r="AU70" i="57" l="1"/>
  <c r="AS70" i="57"/>
  <c r="AR74" i="57"/>
  <c r="AP74" i="57"/>
  <c r="AL43" i="57"/>
  <c r="AL55" i="57"/>
  <c r="AO60" i="57"/>
  <c r="AO57" i="57"/>
  <c r="DN203" i="7"/>
  <c r="DN297" i="7"/>
  <c r="DN259" i="7"/>
  <c r="DN247" i="7"/>
  <c r="DN241" i="7"/>
  <c r="AV70" i="57" l="1"/>
  <c r="AX70" i="57"/>
  <c r="BA70" i="57" s="1"/>
  <c r="BD70" i="57" s="1"/>
  <c r="AU74" i="57"/>
  <c r="AS74" i="57"/>
  <c r="AO55" i="57"/>
  <c r="AO43" i="57"/>
  <c r="AR60" i="57"/>
  <c r="AR57" i="57"/>
  <c r="BE70" i="57" l="1"/>
  <c r="BB70" i="57"/>
  <c r="AY70" i="57"/>
  <c r="AV74" i="57"/>
  <c r="AX74" i="57"/>
  <c r="AR55" i="57"/>
  <c r="AU43" i="57"/>
  <c r="AX44" i="57" s="1"/>
  <c r="AR43" i="57"/>
  <c r="AU60" i="57"/>
  <c r="AX60" i="57" s="1"/>
  <c r="BA60" i="57" s="1"/>
  <c r="BD60" i="57" s="1"/>
  <c r="AU57" i="57"/>
  <c r="AY74" i="57" l="1"/>
  <c r="BA74" i="57"/>
  <c r="BD74" i="57" s="1"/>
  <c r="AU55" i="57"/>
  <c r="AX57" i="57"/>
  <c r="AX66" i="57"/>
  <c r="C40" i="45"/>
  <c r="C35" i="45"/>
  <c r="C19" i="45"/>
  <c r="BE74" i="57" l="1"/>
  <c r="BD66" i="57"/>
  <c r="AX55" i="57"/>
  <c r="AX6" i="57" s="1"/>
  <c r="BA57" i="57"/>
  <c r="BB74" i="57"/>
  <c r="BA66" i="57"/>
  <c r="AR5" i="57"/>
  <c r="AL5" i="57"/>
  <c r="AF5" i="57"/>
  <c r="AU5" i="57"/>
  <c r="AX13" i="57" s="1"/>
  <c r="AO5" i="57"/>
  <c r="AI5" i="57"/>
  <c r="BA55" i="57" l="1"/>
  <c r="BA6" i="57" s="1"/>
  <c r="BD57" i="57"/>
  <c r="BD55" i="57" s="1"/>
  <c r="BD6" i="57" s="1"/>
  <c r="AO13" i="57"/>
  <c r="AI13" i="57"/>
  <c r="AU13" i="57"/>
  <c r="AL13" i="57"/>
  <c r="AR13" i="57"/>
  <c r="AF66" i="57"/>
  <c r="AF6" i="57" s="1"/>
  <c r="AI44" i="57"/>
  <c r="AU44" i="57"/>
  <c r="AL44" i="57"/>
  <c r="AO44" i="57"/>
  <c r="AR44" i="57"/>
  <c r="AI66" i="57" l="1"/>
  <c r="AI6" i="57" s="1"/>
  <c r="AL66" i="57" l="1"/>
  <c r="AL6" i="57" s="1"/>
  <c r="AO66" i="57" l="1"/>
  <c r="AO6" i="57" s="1"/>
  <c r="AR66" i="57" l="1"/>
  <c r="AR6" i="57" s="1"/>
  <c r="AU66" i="57" l="1"/>
  <c r="AU6" i="57" s="1"/>
  <c r="EB389" i="45" l="1"/>
  <c r="DU383" i="45"/>
  <c r="DV383" i="45" s="1"/>
  <c r="AC66" i="57" l="1"/>
  <c r="AC6" i="57" s="1"/>
  <c r="AC5" i="57" l="1"/>
  <c r="AF13" i="57" l="1"/>
  <c r="AF44" i="57"/>
  <c r="DH225" i="7" l="1"/>
  <c r="DY110" i="8" l="1"/>
  <c r="DY156" i="45"/>
  <c r="DP149" i="45"/>
  <c r="DN114" i="8" l="1"/>
  <c r="DQ114" i="8" s="1"/>
  <c r="DL389" i="7"/>
  <c r="DL209" i="7"/>
  <c r="DL297" i="7"/>
  <c r="DL282" i="7"/>
  <c r="DL259" i="7"/>
  <c r="DL247" i="7"/>
  <c r="DL241" i="7"/>
  <c r="W66" i="57" l="1"/>
  <c r="W6" i="57" s="1"/>
  <c r="V66" i="57"/>
  <c r="Y72" i="57"/>
  <c r="AA72" i="57" s="1"/>
  <c r="X60" i="57"/>
  <c r="AA61" i="57" s="1"/>
  <c r="Y57" i="57"/>
  <c r="AA57" i="57" s="1"/>
  <c r="V57" i="57"/>
  <c r="V6" i="57" l="1"/>
  <c r="X57" i="57"/>
  <c r="X66" i="57"/>
  <c r="P6" i="57"/>
  <c r="R55" i="57"/>
  <c r="Q6" i="57"/>
  <c r="X61" i="57"/>
  <c r="Y66" i="57"/>
  <c r="AA66" i="57" s="1"/>
  <c r="X50" i="57"/>
  <c r="AD55" i="57" l="1"/>
  <c r="AD72" i="57"/>
  <c r="AE72" i="57"/>
  <c r="AD66" i="57"/>
  <c r="AD43" i="57"/>
  <c r="AD5" i="57"/>
  <c r="Y6" i="57"/>
  <c r="AA6" i="57" s="1"/>
  <c r="R6" i="57"/>
  <c r="AE60" i="57"/>
  <c r="AD60" i="57"/>
  <c r="AD61" i="57" s="1"/>
  <c r="AD63" i="57"/>
  <c r="AD64" i="57" s="1"/>
  <c r="AE63" i="57"/>
  <c r="AD50" i="57"/>
  <c r="AE43" i="57"/>
  <c r="AD57" i="57"/>
  <c r="AE57" i="57"/>
  <c r="AC44" i="57"/>
  <c r="X64" i="57"/>
  <c r="AD6" i="57" l="1"/>
  <c r="AG72" i="57"/>
  <c r="AH72" i="57"/>
  <c r="AE66" i="57"/>
  <c r="AG66" i="57" s="1"/>
  <c r="AE55" i="57"/>
  <c r="AG55" i="57" s="1"/>
  <c r="AG43" i="57"/>
  <c r="AG44" i="57" s="1"/>
  <c r="AE5" i="57"/>
  <c r="AE44" i="57"/>
  <c r="AG57" i="57"/>
  <c r="AH57" i="57"/>
  <c r="AG63" i="57"/>
  <c r="AG64" i="57" s="1"/>
  <c r="AH63" i="57"/>
  <c r="AH60" i="57"/>
  <c r="AG60" i="57"/>
  <c r="AG61" i="57" s="1"/>
  <c r="AG50" i="57"/>
  <c r="AH43" i="57"/>
  <c r="M28" i="57"/>
  <c r="N28" i="57"/>
  <c r="M43" i="57"/>
  <c r="M5" i="57" s="1"/>
  <c r="N43" i="57"/>
  <c r="N5" i="57" s="1"/>
  <c r="AJ72" i="57" l="1"/>
  <c r="AK72" i="57"/>
  <c r="AH66" i="57"/>
  <c r="AJ66" i="57" s="1"/>
  <c r="AE6" i="57"/>
  <c r="AG6" i="57" s="1"/>
  <c r="AG5" i="57"/>
  <c r="AG13" i="57" s="1"/>
  <c r="AE13" i="57"/>
  <c r="AJ43" i="57"/>
  <c r="AJ44" i="57" s="1"/>
  <c r="AH5" i="57"/>
  <c r="AH44" i="57"/>
  <c r="AH55" i="57"/>
  <c r="AK60" i="57"/>
  <c r="AJ60" i="57"/>
  <c r="AJ61" i="57" s="1"/>
  <c r="AK63" i="57"/>
  <c r="AJ63" i="57"/>
  <c r="AJ64" i="57" s="1"/>
  <c r="AJ57" i="57"/>
  <c r="AK57" i="57"/>
  <c r="AK43" i="57"/>
  <c r="AJ50" i="57"/>
  <c r="O5" i="57"/>
  <c r="O43" i="57"/>
  <c r="O28" i="57"/>
  <c r="P43" i="57"/>
  <c r="M4" i="57"/>
  <c r="N4" i="57"/>
  <c r="AM72" i="57" l="1"/>
  <c r="AN72" i="57"/>
  <c r="AK66" i="57"/>
  <c r="AM66" i="57" s="1"/>
  <c r="AJ55" i="57"/>
  <c r="AH6" i="57"/>
  <c r="AJ6" i="57" s="1"/>
  <c r="AJ5" i="57"/>
  <c r="AJ13" i="57" s="1"/>
  <c r="AH13" i="57"/>
  <c r="AM43" i="57"/>
  <c r="AM44" i="57" s="1"/>
  <c r="AK5" i="57"/>
  <c r="AK44" i="57"/>
  <c r="AK55" i="57"/>
  <c r="AN63" i="57"/>
  <c r="AM63" i="57"/>
  <c r="AM64" i="57" s="1"/>
  <c r="AM50" i="57"/>
  <c r="AN43" i="57"/>
  <c r="AN57" i="57"/>
  <c r="AM57" i="57"/>
  <c r="AM60" i="57"/>
  <c r="AM61" i="57" s="1"/>
  <c r="AN60" i="57"/>
  <c r="P5" i="57"/>
  <c r="P13" i="57" s="1"/>
  <c r="P44" i="57"/>
  <c r="O4" i="57"/>
  <c r="AP72" i="57" l="1"/>
  <c r="AQ72" i="57"/>
  <c r="AN66" i="57"/>
  <c r="AP66" i="57" s="1"/>
  <c r="AM5" i="57"/>
  <c r="AM13" i="57" s="1"/>
  <c r="AK13" i="57"/>
  <c r="AM55" i="57"/>
  <c r="AK6" i="57"/>
  <c r="AM6" i="57" s="1"/>
  <c r="AP43" i="57"/>
  <c r="AP44" i="57" s="1"/>
  <c r="AN5" i="57"/>
  <c r="AN44" i="57"/>
  <c r="AN55" i="57"/>
  <c r="AQ43" i="57"/>
  <c r="AP50" i="57"/>
  <c r="AQ63" i="57"/>
  <c r="AP63" i="57"/>
  <c r="AP64" i="57" s="1"/>
  <c r="AP60" i="57"/>
  <c r="AP61" i="57" s="1"/>
  <c r="AQ60" i="57"/>
  <c r="AQ57" i="57"/>
  <c r="AP57" i="57"/>
  <c r="AT72" i="57" l="1"/>
  <c r="AW72" i="57" s="1"/>
  <c r="AZ72" i="57" s="1"/>
  <c r="BC72" i="57" s="1"/>
  <c r="AS72" i="57"/>
  <c r="AQ66" i="57"/>
  <c r="AS66" i="57" s="1"/>
  <c r="AP5" i="57"/>
  <c r="AP13" i="57" s="1"/>
  <c r="AN13" i="57"/>
  <c r="AS43" i="57"/>
  <c r="AS44" i="57" s="1"/>
  <c r="AQ5" i="57"/>
  <c r="AQ44" i="57"/>
  <c r="AP55" i="57"/>
  <c r="AN6" i="57"/>
  <c r="AP6" i="57" s="1"/>
  <c r="AQ55" i="57"/>
  <c r="AS60" i="57"/>
  <c r="AS61" i="57" s="1"/>
  <c r="AT60" i="57"/>
  <c r="AW60" i="57" s="1"/>
  <c r="AZ60" i="57" s="1"/>
  <c r="AT63" i="57"/>
  <c r="AS63" i="57"/>
  <c r="AS64" i="57" s="1"/>
  <c r="AS57" i="57"/>
  <c r="AT57" i="57"/>
  <c r="AW57" i="57" s="1"/>
  <c r="AS50" i="57"/>
  <c r="BB60" i="57" l="1"/>
  <c r="BC60" i="57"/>
  <c r="BE60" i="57" s="1"/>
  <c r="BE72" i="57"/>
  <c r="BC66" i="57"/>
  <c r="BE66" i="57" s="1"/>
  <c r="AY57" i="57"/>
  <c r="AZ57" i="57"/>
  <c r="BC57" i="57" s="1"/>
  <c r="BB72" i="57"/>
  <c r="AZ66" i="57"/>
  <c r="BB66" i="57" s="1"/>
  <c r="AV63" i="57"/>
  <c r="AV64" i="57" s="1"/>
  <c r="AW63" i="57"/>
  <c r="AY60" i="57"/>
  <c r="AY72" i="57"/>
  <c r="AW66" i="57"/>
  <c r="AY66" i="57" s="1"/>
  <c r="AV72" i="57"/>
  <c r="AT66" i="57"/>
  <c r="AV66" i="57" s="1"/>
  <c r="AS55" i="57"/>
  <c r="AQ6" i="57"/>
  <c r="AS6" i="57" s="1"/>
  <c r="AS5" i="57"/>
  <c r="AS13" i="57" s="1"/>
  <c r="AQ13" i="57"/>
  <c r="AV50" i="57"/>
  <c r="AT43" i="57"/>
  <c r="AW44" i="57" s="1"/>
  <c r="AT55" i="57"/>
  <c r="AV60" i="57"/>
  <c r="AV61" i="57" s="1"/>
  <c r="AV57" i="57"/>
  <c r="BB61" i="57" l="1"/>
  <c r="BE61" i="57"/>
  <c r="BE57" i="57"/>
  <c r="AY63" i="57"/>
  <c r="AY64" i="57" s="1"/>
  <c r="AZ63" i="57"/>
  <c r="BB57" i="57"/>
  <c r="AW55" i="57"/>
  <c r="AW6" i="57" s="1"/>
  <c r="AY6" i="57" s="1"/>
  <c r="AY61" i="57"/>
  <c r="AV43" i="57"/>
  <c r="AT5" i="57"/>
  <c r="AW13" i="57" s="1"/>
  <c r="AT44" i="57"/>
  <c r="AV55" i="57"/>
  <c r="AT6" i="57"/>
  <c r="AV6" i="57" s="1"/>
  <c r="BB63" i="57" l="1"/>
  <c r="BB64" i="57" s="1"/>
  <c r="BC63" i="57"/>
  <c r="AY55" i="57"/>
  <c r="AZ55" i="57"/>
  <c r="AV44" i="57"/>
  <c r="AY44" i="57"/>
  <c r="AV5" i="57"/>
  <c r="AT13" i="57"/>
  <c r="BE63" i="57" l="1"/>
  <c r="BE64" i="57" s="1"/>
  <c r="BC55" i="57"/>
  <c r="AZ6" i="57"/>
  <c r="BB6" i="57" s="1"/>
  <c r="BB55" i="57"/>
  <c r="AV13" i="57"/>
  <c r="AY13" i="57"/>
  <c r="BE55" i="57" l="1"/>
  <c r="BC6" i="57"/>
  <c r="BE6" i="57" s="1"/>
  <c r="DC502" i="7" l="1"/>
  <c r="DD502" i="7"/>
  <c r="DM215" i="45"/>
  <c r="DS215" i="45" s="1"/>
  <c r="DR215" i="45"/>
  <c r="DU215" i="45" s="1"/>
  <c r="DL230" i="45"/>
  <c r="DL232" i="45"/>
  <c r="DL235" i="45" s="1"/>
  <c r="DM232" i="45"/>
  <c r="DM235" i="45" s="1"/>
  <c r="DO232" i="45"/>
  <c r="DO235" i="45" s="1"/>
  <c r="DP232" i="45"/>
  <c r="DP235" i="45" s="1"/>
  <c r="DR232" i="45"/>
  <c r="DR235" i="45" s="1"/>
  <c r="DS232" i="45"/>
  <c r="DS235" i="45" s="1"/>
  <c r="DS230" i="45"/>
  <c r="DU221" i="45"/>
  <c r="DU232" i="45"/>
  <c r="DU235" i="45" s="1"/>
  <c r="DW235" i="45" s="1"/>
  <c r="DY169" i="45"/>
  <c r="DY133" i="45"/>
  <c r="DO137" i="45"/>
  <c r="DR137" i="45" s="1"/>
  <c r="DY232" i="45"/>
  <c r="DY235" i="45" s="1"/>
  <c r="DY230" i="45"/>
  <c r="EA134" i="45"/>
  <c r="EA232" i="45"/>
  <c r="EA235" i="45" s="1"/>
  <c r="EB232" i="45"/>
  <c r="EB235" i="45" s="1"/>
  <c r="EB230" i="45"/>
  <c r="ED232" i="45"/>
  <c r="ED235" i="45" s="1"/>
  <c r="EE232" i="45"/>
  <c r="EE235" i="45" s="1"/>
  <c r="EE230" i="45"/>
  <c r="EG232" i="45"/>
  <c r="EG235" i="45" s="1"/>
  <c r="EH232" i="45"/>
  <c r="EH235" i="45" s="1"/>
  <c r="EH230" i="45"/>
  <c r="EJ232" i="45"/>
  <c r="EJ235" i="45" s="1"/>
  <c r="EK232" i="45"/>
  <c r="EK235" i="45" s="1"/>
  <c r="EK230" i="45"/>
  <c r="EM232" i="45"/>
  <c r="EM235" i="45" s="1"/>
  <c r="EN232" i="45"/>
  <c r="EN235" i="45" s="1"/>
  <c r="EN230" i="45"/>
  <c r="EP232" i="45"/>
  <c r="EP235" i="45" s="1"/>
  <c r="EQ232" i="45"/>
  <c r="EQ235" i="45" s="1"/>
  <c r="EQ230" i="45"/>
  <c r="D7" i="45"/>
  <c r="DL424" i="45"/>
  <c r="DL431" i="45"/>
  <c r="DL425" i="45"/>
  <c r="DL429" i="45"/>
  <c r="EA406" i="45"/>
  <c r="ED406" i="45" s="1"/>
  <c r="EG406" i="45" s="1"/>
  <c r="EJ406" i="45" s="1"/>
  <c r="EM406" i="45" s="1"/>
  <c r="EP406" i="45" s="1"/>
  <c r="ES406" i="45" s="1"/>
  <c r="EV406" i="45" s="1"/>
  <c r="EY406" i="45" s="1"/>
  <c r="EA409" i="45"/>
  <c r="ED409" i="45" s="1"/>
  <c r="EG409" i="45" s="1"/>
  <c r="EJ409" i="45" s="1"/>
  <c r="EM409" i="45" s="1"/>
  <c r="EP409" i="45" s="1"/>
  <c r="ES409" i="45" s="1"/>
  <c r="EV409" i="45" s="1"/>
  <c r="EY409" i="45" s="1"/>
  <c r="DM424" i="45"/>
  <c r="DM425" i="45"/>
  <c r="DM432" i="45"/>
  <c r="EA410" i="45"/>
  <c r="ED410" i="45" s="1"/>
  <c r="EG410" i="45" s="1"/>
  <c r="EJ410" i="45" s="1"/>
  <c r="EM410" i="45" s="1"/>
  <c r="EP410" i="45" s="1"/>
  <c r="ES410" i="45" s="1"/>
  <c r="EV410" i="45" s="1"/>
  <c r="EY410" i="45" s="1"/>
  <c r="D8" i="45"/>
  <c r="D9" i="45"/>
  <c r="C12" i="45"/>
  <c r="D12" i="45"/>
  <c r="D13" i="45" s="1"/>
  <c r="C13" i="45"/>
  <c r="D18" i="45"/>
  <c r="D19" i="45"/>
  <c r="D20" i="45"/>
  <c r="C23" i="45"/>
  <c r="D23" i="45"/>
  <c r="D24" i="45" s="1"/>
  <c r="C24" i="45"/>
  <c r="C28" i="45"/>
  <c r="DL379" i="45"/>
  <c r="DL385" i="45" s="1"/>
  <c r="DM379" i="45"/>
  <c r="DM385" i="45" s="1"/>
  <c r="DO379" i="45"/>
  <c r="DP379" i="45"/>
  <c r="DR379" i="45"/>
  <c r="DS379" i="45"/>
  <c r="DV380" i="45" s="1"/>
  <c r="DU379" i="45"/>
  <c r="DX380" i="45" s="1"/>
  <c r="C29" i="45"/>
  <c r="D29" i="45"/>
  <c r="D30" i="45" s="1"/>
  <c r="C30" i="45"/>
  <c r="D39" i="45"/>
  <c r="CW58" i="7"/>
  <c r="CZ58" i="7"/>
  <c r="DC58" i="7"/>
  <c r="CW66" i="7"/>
  <c r="DF66" i="7"/>
  <c r="DN133" i="45"/>
  <c r="DQ133" i="45"/>
  <c r="DQ379" i="45" s="1"/>
  <c r="DT133" i="45"/>
  <c r="DW134" i="45" s="1"/>
  <c r="DL134" i="45"/>
  <c r="DM134" i="45"/>
  <c r="DO134" i="45"/>
  <c r="DP134" i="45"/>
  <c r="DR134" i="45"/>
  <c r="DU134" i="45"/>
  <c r="D138" i="45"/>
  <c r="D146" i="45"/>
  <c r="D148" i="45" s="1"/>
  <c r="D150" i="45" s="1"/>
  <c r="D147" i="45"/>
  <c r="C156" i="45"/>
  <c r="C158" i="45" s="1"/>
  <c r="DL163" i="45"/>
  <c r="DL165" i="45"/>
  <c r="C206" i="45"/>
  <c r="DL209" i="45"/>
  <c r="DO209" i="45" s="1"/>
  <c r="DR209" i="45" s="1"/>
  <c r="DU209" i="45" s="1"/>
  <c r="DM209" i="45"/>
  <c r="DP209" i="45" s="1"/>
  <c r="DS209" i="45" s="1"/>
  <c r="DM212" i="45"/>
  <c r="DP212" i="45" s="1"/>
  <c r="DS212" i="45" s="1"/>
  <c r="DL212" i="45"/>
  <c r="DO212" i="45" s="1"/>
  <c r="DR212" i="45" s="1"/>
  <c r="DU212" i="45" s="1"/>
  <c r="DM245" i="45"/>
  <c r="DN245" i="45" s="1"/>
  <c r="DP245" i="45"/>
  <c r="DQ245" i="45" s="1"/>
  <c r="DS245" i="45"/>
  <c r="DT245" i="45" s="1"/>
  <c r="DY245" i="45"/>
  <c r="DZ245" i="45" s="1"/>
  <c r="EB245" i="45"/>
  <c r="EC245" i="45" s="1"/>
  <c r="EE245" i="45"/>
  <c r="EF245" i="45" s="1"/>
  <c r="EH245" i="45"/>
  <c r="EI245" i="45" s="1"/>
  <c r="EK245" i="45"/>
  <c r="EL245" i="45" s="1"/>
  <c r="EN245" i="45"/>
  <c r="EO245" i="45" s="1"/>
  <c r="EQ245" i="45"/>
  <c r="ER245" i="45" s="1"/>
  <c r="DN274" i="45"/>
  <c r="D351" i="45"/>
  <c r="DL373" i="45"/>
  <c r="DL383" i="45"/>
  <c r="DM383" i="45"/>
  <c r="DS383" i="45"/>
  <c r="DL389" i="45"/>
  <c r="B1" i="8"/>
  <c r="E2" i="8"/>
  <c r="E13" i="8" s="1"/>
  <c r="F2" i="8"/>
  <c r="G2" i="8"/>
  <c r="G13" i="8" s="1"/>
  <c r="H2" i="8"/>
  <c r="H13" i="8" s="1"/>
  <c r="I2" i="8"/>
  <c r="I20" i="8" s="1"/>
  <c r="J2" i="8"/>
  <c r="J220" i="8" s="1"/>
  <c r="K2" i="8"/>
  <c r="K13" i="8" s="1"/>
  <c r="L2" i="8"/>
  <c r="M2" i="8"/>
  <c r="M13" i="8" s="1"/>
  <c r="N2" i="8"/>
  <c r="N13" i="8" s="1"/>
  <c r="O2" i="8"/>
  <c r="O13" i="8" s="1"/>
  <c r="P2" i="8"/>
  <c r="P220" i="8" s="1"/>
  <c r="Q2" i="8"/>
  <c r="Q13" i="8" s="1"/>
  <c r="R2" i="8"/>
  <c r="R220" i="8" s="1"/>
  <c r="S2" i="8"/>
  <c r="S13" i="8" s="1"/>
  <c r="T2" i="8"/>
  <c r="T13" i="8" s="1"/>
  <c r="U2" i="8"/>
  <c r="V2" i="8"/>
  <c r="V220" i="8" s="1"/>
  <c r="W2" i="8"/>
  <c r="W13" i="8" s="1"/>
  <c r="X2" i="8"/>
  <c r="X220" i="8" s="1"/>
  <c r="Y2" i="8"/>
  <c r="Y13" i="8" s="1"/>
  <c r="Z2" i="8"/>
  <c r="Z13" i="8" s="1"/>
  <c r="AA2" i="8"/>
  <c r="AA13" i="8" s="1"/>
  <c r="AB2" i="8"/>
  <c r="AB220" i="8" s="1"/>
  <c r="AC2" i="8"/>
  <c r="AC13" i="8" s="1"/>
  <c r="AD2" i="8"/>
  <c r="AE2" i="8"/>
  <c r="AE13" i="8" s="1"/>
  <c r="AF2" i="8"/>
  <c r="AF13" i="8" s="1"/>
  <c r="AG2" i="8"/>
  <c r="AH2" i="8"/>
  <c r="AH220" i="8" s="1"/>
  <c r="AI2" i="8"/>
  <c r="AI20" i="8" s="1"/>
  <c r="AJ2" i="8"/>
  <c r="AJ220" i="8" s="1"/>
  <c r="AK2" i="8"/>
  <c r="AK13" i="8" s="1"/>
  <c r="AL2" i="8"/>
  <c r="AL13" i="8" s="1"/>
  <c r="AZ104" i="8"/>
  <c r="AX104" i="8"/>
  <c r="AZ105" i="8"/>
  <c r="BB101" i="8"/>
  <c r="BC105" i="8"/>
  <c r="BA105" i="8"/>
  <c r="BD105" i="8"/>
  <c r="BD101" i="8"/>
  <c r="BD102" i="8" s="1"/>
  <c r="BD103" i="8"/>
  <c r="BF105" i="8"/>
  <c r="BE222" i="8"/>
  <c r="BF222" i="8" s="1"/>
  <c r="BF101" i="8" s="1"/>
  <c r="BF102" i="8" s="1"/>
  <c r="BF100" i="8"/>
  <c r="BG105" i="8"/>
  <c r="BG103" i="8"/>
  <c r="BI105" i="8"/>
  <c r="BI17" i="8" s="1"/>
  <c r="BJ105" i="8"/>
  <c r="BJ102" i="8"/>
  <c r="BJ103" i="8"/>
  <c r="BL102" i="8"/>
  <c r="BM105" i="8"/>
  <c r="BM101" i="8"/>
  <c r="BM102" i="8" s="1"/>
  <c r="BM103" i="8"/>
  <c r="BP105" i="8"/>
  <c r="BP103" i="8"/>
  <c r="BR105" i="8"/>
  <c r="BS105" i="8"/>
  <c r="BS103" i="8"/>
  <c r="BU105" i="8"/>
  <c r="BV105" i="8"/>
  <c r="BV104" i="8" s="1"/>
  <c r="BV17" i="8" s="1"/>
  <c r="BX105" i="8"/>
  <c r="BX104" i="8" s="1"/>
  <c r="BX17" i="8" s="1"/>
  <c r="BY105" i="8"/>
  <c r="BY103" i="8"/>
  <c r="BY104" i="8" s="1"/>
  <c r="CB105" i="8"/>
  <c r="CB102" i="8"/>
  <c r="CC102" i="8" s="1"/>
  <c r="CD102" i="8" s="1"/>
  <c r="CB103" i="8"/>
  <c r="CD105" i="8"/>
  <c r="CE105" i="8"/>
  <c r="CH105" i="8"/>
  <c r="CK103" i="8"/>
  <c r="CK104" i="8" s="1"/>
  <c r="CK76" i="7" s="1"/>
  <c r="CN102" i="8"/>
  <c r="CN103" i="8"/>
  <c r="CQ103" i="8"/>
  <c r="CQ104" i="8" s="1"/>
  <c r="CQ76" i="7" s="1"/>
  <c r="CQ105" i="8" s="1"/>
  <c r="CT103" i="8"/>
  <c r="CT104" i="8" s="1"/>
  <c r="CT76" i="7" s="1"/>
  <c r="CT35" i="7" s="1"/>
  <c r="CW103" i="8"/>
  <c r="CW104" i="8" s="1"/>
  <c r="CW76" i="7" s="1"/>
  <c r="CZ105" i="8"/>
  <c r="CZ103" i="8"/>
  <c r="CZ104" i="8" s="1"/>
  <c r="DA102" i="8"/>
  <c r="DB102" i="8" s="1"/>
  <c r="DC103" i="8"/>
  <c r="DC104" i="8" s="1"/>
  <c r="DC76" i="7" s="1"/>
  <c r="DC105" i="8" s="1"/>
  <c r="DF103" i="8"/>
  <c r="DF104" i="8" s="1"/>
  <c r="DF76" i="7" s="1"/>
  <c r="DI103" i="8"/>
  <c r="DI104" i="8" s="1"/>
  <c r="DI76" i="7" s="1"/>
  <c r="DP102" i="8"/>
  <c r="AZ116" i="8"/>
  <c r="AX116" i="8"/>
  <c r="AZ117" i="8"/>
  <c r="BA117" i="8"/>
  <c r="BC117" i="8"/>
  <c r="BD117" i="8"/>
  <c r="BE114" i="8"/>
  <c r="BF114" i="8" s="1"/>
  <c r="BF117" i="8"/>
  <c r="BG117" i="8"/>
  <c r="BI117" i="8"/>
  <c r="BI18" i="8" s="1"/>
  <c r="BJ117" i="8"/>
  <c r="BL117" i="8"/>
  <c r="BM117" i="8"/>
  <c r="BN114" i="8"/>
  <c r="BO114" i="8" s="1"/>
  <c r="BO117" i="8"/>
  <c r="BP117" i="8"/>
  <c r="BQ114" i="8"/>
  <c r="BR114" i="8" s="1"/>
  <c r="BR117" i="8"/>
  <c r="BS117" i="8"/>
  <c r="BT114" i="8"/>
  <c r="BU114" i="8" s="1"/>
  <c r="BU117" i="8"/>
  <c r="BV117" i="8"/>
  <c r="BV116" i="8" s="1"/>
  <c r="BV18" i="8" s="1"/>
  <c r="BX117" i="8"/>
  <c r="CA114" i="8"/>
  <c r="CC114" i="8"/>
  <c r="CD114" i="8" s="1"/>
  <c r="CS114" i="8"/>
  <c r="CV114" i="8"/>
  <c r="E22" i="8"/>
  <c r="G22" i="8"/>
  <c r="H22" i="8"/>
  <c r="J22" i="8"/>
  <c r="K22" i="8"/>
  <c r="M22" i="8"/>
  <c r="N22" i="8"/>
  <c r="P22" i="8"/>
  <c r="Q22" i="8"/>
  <c r="S22" i="8"/>
  <c r="T22" i="8"/>
  <c r="V22" i="8"/>
  <c r="W22" i="8"/>
  <c r="Y22" i="8"/>
  <c r="Z22" i="8"/>
  <c r="AB22" i="8"/>
  <c r="AC22" i="8"/>
  <c r="AE22" i="8"/>
  <c r="AF22" i="8"/>
  <c r="AH22" i="8"/>
  <c r="AI22" i="8"/>
  <c r="AK22" i="8"/>
  <c r="AL22" i="8"/>
  <c r="AN22" i="8"/>
  <c r="AO22" i="8"/>
  <c r="AQ22" i="8"/>
  <c r="AR22" i="8"/>
  <c r="AT22" i="8"/>
  <c r="AU22" i="8"/>
  <c r="AW22" i="8"/>
  <c r="AX22" i="8"/>
  <c r="AZ22" i="8"/>
  <c r="BC22" i="8"/>
  <c r="BD22" i="8"/>
  <c r="BF22" i="8"/>
  <c r="BF37" i="7" s="1"/>
  <c r="BE37" i="7" s="1"/>
  <c r="BH22" i="8"/>
  <c r="BK22" i="8"/>
  <c r="BN22" i="8"/>
  <c r="BQ22" i="8"/>
  <c r="BT22" i="8"/>
  <c r="BW22" i="8"/>
  <c r="BZ22" i="8"/>
  <c r="CC22" i="8"/>
  <c r="CF22" i="8"/>
  <c r="CI22" i="8"/>
  <c r="CL22" i="8"/>
  <c r="CO22" i="8"/>
  <c r="E23" i="8"/>
  <c r="G23" i="8"/>
  <c r="H23" i="8"/>
  <c r="J23" i="8"/>
  <c r="K23" i="8"/>
  <c r="M23" i="8"/>
  <c r="N23" i="8"/>
  <c r="P23" i="8"/>
  <c r="Q23" i="8"/>
  <c r="S23" i="8"/>
  <c r="T23" i="8"/>
  <c r="V23" i="8"/>
  <c r="W23" i="8"/>
  <c r="Y23" i="8"/>
  <c r="Z23" i="8"/>
  <c r="AB23" i="8"/>
  <c r="AC23" i="8"/>
  <c r="AE23" i="8"/>
  <c r="AF23" i="8"/>
  <c r="AH23" i="8"/>
  <c r="AI23" i="8"/>
  <c r="AK23" i="8"/>
  <c r="AL23" i="8"/>
  <c r="AN23" i="8"/>
  <c r="AO23" i="8"/>
  <c r="AQ23" i="8"/>
  <c r="AR23" i="8"/>
  <c r="AT23" i="8"/>
  <c r="AU23" i="8"/>
  <c r="AW23" i="8"/>
  <c r="AX23" i="8"/>
  <c r="AY23" i="8" s="1"/>
  <c r="BB23" i="8"/>
  <c r="BE23" i="8"/>
  <c r="BH23" i="8"/>
  <c r="BK23" i="8"/>
  <c r="BN23" i="8"/>
  <c r="BQ23" i="8"/>
  <c r="BT23" i="8"/>
  <c r="BW23" i="8"/>
  <c r="BZ23" i="8"/>
  <c r="CC23" i="8"/>
  <c r="CF23" i="8"/>
  <c r="CI23" i="8"/>
  <c r="CL23" i="8"/>
  <c r="CO23" i="8"/>
  <c r="CR23" i="8"/>
  <c r="CU23" i="8"/>
  <c r="CX23" i="8"/>
  <c r="DA23" i="8"/>
  <c r="DD23" i="8"/>
  <c r="DG23" i="8"/>
  <c r="DJ23" i="8"/>
  <c r="DM23" i="8"/>
  <c r="DP23" i="8"/>
  <c r="DS23" i="8"/>
  <c r="DY23" i="8"/>
  <c r="EB23" i="8"/>
  <c r="EE23" i="8"/>
  <c r="EH23" i="8"/>
  <c r="EK23" i="8"/>
  <c r="EN23" i="8"/>
  <c r="EQ23" i="8"/>
  <c r="E24" i="8"/>
  <c r="G24" i="8"/>
  <c r="H24" i="8"/>
  <c r="J24" i="8"/>
  <c r="K24" i="8"/>
  <c r="M24" i="8"/>
  <c r="N24" i="8"/>
  <c r="P24" i="8"/>
  <c r="Q24" i="8"/>
  <c r="S24" i="8"/>
  <c r="T24" i="8"/>
  <c r="V24" i="8"/>
  <c r="W24" i="8"/>
  <c r="Y24" i="8"/>
  <c r="Z24" i="8"/>
  <c r="AB24" i="8"/>
  <c r="AC24" i="8"/>
  <c r="AE24" i="8"/>
  <c r="AF24" i="8"/>
  <c r="AH24" i="8"/>
  <c r="AI24" i="8"/>
  <c r="AK24" i="8"/>
  <c r="AL24" i="8"/>
  <c r="AN24" i="8"/>
  <c r="AO24" i="8"/>
  <c r="AQ24" i="8"/>
  <c r="AR24" i="8"/>
  <c r="AT24" i="8"/>
  <c r="AU24" i="8"/>
  <c r="AW24" i="8"/>
  <c r="AX24" i="8"/>
  <c r="AZ24" i="8"/>
  <c r="BC24" i="8"/>
  <c r="BB24" i="8" s="1"/>
  <c r="BE24" i="8"/>
  <c r="BH24" i="8"/>
  <c r="BK24" i="8"/>
  <c r="BN24" i="8"/>
  <c r="BQ24" i="8"/>
  <c r="BT24" i="8"/>
  <c r="BW24" i="8"/>
  <c r="BZ24" i="8"/>
  <c r="CC24" i="8"/>
  <c r="CE24" i="8"/>
  <c r="BD31" i="8"/>
  <c r="E28" i="8"/>
  <c r="F28" i="8"/>
  <c r="AK28" i="8"/>
  <c r="BF31" i="8"/>
  <c r="BG31" i="8"/>
  <c r="BI31" i="8"/>
  <c r="BJ31" i="8"/>
  <c r="BL31" i="8"/>
  <c r="BM31" i="8"/>
  <c r="BO31" i="8"/>
  <c r="BP31" i="8"/>
  <c r="BR31" i="8"/>
  <c r="BS31" i="8"/>
  <c r="BU31" i="8"/>
  <c r="BV31" i="8"/>
  <c r="BX31" i="8"/>
  <c r="BY31" i="8"/>
  <c r="CA31" i="8"/>
  <c r="CB31" i="8"/>
  <c r="CD31" i="8"/>
  <c r="CE31" i="8"/>
  <c r="CG31" i="8"/>
  <c r="CH31" i="8"/>
  <c r="CJ31" i="8"/>
  <c r="CK31" i="8"/>
  <c r="CM31" i="8"/>
  <c r="CN31" i="8"/>
  <c r="CP31" i="8"/>
  <c r="CQ31" i="8"/>
  <c r="CS31" i="8"/>
  <c r="CT31" i="8"/>
  <c r="CV31" i="8"/>
  <c r="CW31" i="8"/>
  <c r="CY31" i="8"/>
  <c r="CZ31" i="8"/>
  <c r="DB31" i="8"/>
  <c r="DC31" i="8"/>
  <c r="DE31" i="8"/>
  <c r="DF31" i="8"/>
  <c r="DH31" i="8"/>
  <c r="DI31" i="8"/>
  <c r="DK31" i="8"/>
  <c r="DL31" i="8"/>
  <c r="DN31" i="8"/>
  <c r="DO31" i="8"/>
  <c r="DQ31" i="8"/>
  <c r="DR31" i="8"/>
  <c r="DT31" i="8"/>
  <c r="DU31" i="8"/>
  <c r="DV31" i="8" s="1"/>
  <c r="DZ31" i="8"/>
  <c r="EA31" i="8"/>
  <c r="EC31" i="8"/>
  <c r="ED31" i="8"/>
  <c r="EF31" i="8"/>
  <c r="EG31" i="8"/>
  <c r="EI31" i="8"/>
  <c r="EJ31" i="8"/>
  <c r="EL31" i="8"/>
  <c r="EM31" i="8"/>
  <c r="EO31" i="8"/>
  <c r="EP31" i="8"/>
  <c r="ER31" i="8"/>
  <c r="F33" i="8"/>
  <c r="I33" i="8"/>
  <c r="L33" i="8"/>
  <c r="O33" i="8"/>
  <c r="R33" i="8"/>
  <c r="U33" i="8"/>
  <c r="X33" i="8"/>
  <c r="AA33" i="8"/>
  <c r="AD33" i="8"/>
  <c r="AG33" i="8"/>
  <c r="AJ33" i="8"/>
  <c r="AM33" i="8"/>
  <c r="AM36" i="8" s="1"/>
  <c r="AY33" i="8"/>
  <c r="AY36" i="8" s="1"/>
  <c r="BA33" i="8"/>
  <c r="BA36" i="8" s="1"/>
  <c r="BC33" i="8"/>
  <c r="BD33" i="8"/>
  <c r="BF33" i="8"/>
  <c r="BG33" i="8"/>
  <c r="BI33" i="8"/>
  <c r="BJ33" i="8"/>
  <c r="BL33" i="8"/>
  <c r="BM33" i="8"/>
  <c r="BO33" i="8"/>
  <c r="BP33" i="8"/>
  <c r="BR33" i="8"/>
  <c r="BS33" i="8"/>
  <c r="BU33" i="8"/>
  <c r="BV33" i="8"/>
  <c r="BY33" i="8"/>
  <c r="CB33" i="8"/>
  <c r="CE33" i="8"/>
  <c r="DB33" i="8"/>
  <c r="DF33" i="8"/>
  <c r="DG33" i="8"/>
  <c r="DH33" i="8"/>
  <c r="F34" i="8"/>
  <c r="I34" i="8"/>
  <c r="L34" i="8"/>
  <c r="O34" i="8"/>
  <c r="R34" i="8"/>
  <c r="U34" i="8"/>
  <c r="X34" i="8"/>
  <c r="AA34" i="8"/>
  <c r="AD34" i="8"/>
  <c r="AG34" i="8"/>
  <c r="AJ34" i="8"/>
  <c r="AM34" i="8"/>
  <c r="AP34" i="8"/>
  <c r="AS34" i="8"/>
  <c r="AV34" i="8"/>
  <c r="AY34" i="8"/>
  <c r="BB34" i="8"/>
  <c r="BE34" i="8"/>
  <c r="BH34" i="8"/>
  <c r="BK34" i="8"/>
  <c r="BN34" i="8"/>
  <c r="BQ34" i="8"/>
  <c r="BT34" i="8"/>
  <c r="BW34" i="8"/>
  <c r="BZ34" i="8"/>
  <c r="CC34" i="8"/>
  <c r="CF34" i="8"/>
  <c r="CI34" i="8"/>
  <c r="CL34" i="8"/>
  <c r="CO34" i="8"/>
  <c r="CR34" i="8"/>
  <c r="CU34" i="8"/>
  <c r="CX34" i="8"/>
  <c r="DA34" i="8"/>
  <c r="DD34" i="8"/>
  <c r="DG34" i="8"/>
  <c r="DJ34" i="8"/>
  <c r="DM34" i="8"/>
  <c r="DP34" i="8"/>
  <c r="DS34" i="8"/>
  <c r="DY34" i="8"/>
  <c r="EB34" i="8"/>
  <c r="EE34" i="8"/>
  <c r="EH34" i="8"/>
  <c r="EK34" i="8"/>
  <c r="EN34" i="8"/>
  <c r="EQ34" i="8"/>
  <c r="AL35" i="8"/>
  <c r="AL37" i="8" s="1"/>
  <c r="AM35" i="8"/>
  <c r="AN35" i="8"/>
  <c r="AO35" i="8"/>
  <c r="AP35" i="8"/>
  <c r="AQ35" i="8"/>
  <c r="AR35" i="8"/>
  <c r="AS35" i="8"/>
  <c r="AT35" i="8"/>
  <c r="AU35" i="8"/>
  <c r="AV35" i="8"/>
  <c r="AW35" i="8"/>
  <c r="AX35" i="8"/>
  <c r="AY35" i="8"/>
  <c r="AZ35" i="8"/>
  <c r="BA35" i="8"/>
  <c r="BB35" i="8"/>
  <c r="BC35" i="8"/>
  <c r="BD35" i="8"/>
  <c r="BE35" i="8"/>
  <c r="BF35" i="8"/>
  <c r="BG35" i="8"/>
  <c r="BH35" i="8"/>
  <c r="BI35" i="8"/>
  <c r="BJ35" i="8"/>
  <c r="BK35" i="8"/>
  <c r="BL35" i="8"/>
  <c r="BM35" i="8"/>
  <c r="BN35" i="8"/>
  <c r="BO35" i="8"/>
  <c r="BP35" i="8"/>
  <c r="BQ35" i="8"/>
  <c r="BR35" i="8"/>
  <c r="BS35" i="8"/>
  <c r="BT35" i="8"/>
  <c r="BU35" i="8"/>
  <c r="BV35" i="8"/>
  <c r="BY35" i="8"/>
  <c r="CB35" i="8"/>
  <c r="CE35" i="8"/>
  <c r="DB35" i="8"/>
  <c r="DF35" i="8"/>
  <c r="DG35" i="8"/>
  <c r="DH35" i="8"/>
  <c r="AL36" i="8"/>
  <c r="AN36" i="8"/>
  <c r="AO36" i="8"/>
  <c r="AP36" i="8"/>
  <c r="AQ36" i="8"/>
  <c r="AR36" i="8"/>
  <c r="AS36" i="8"/>
  <c r="AT36" i="8"/>
  <c r="AU36" i="8"/>
  <c r="AV36" i="8"/>
  <c r="AW36" i="8"/>
  <c r="AX36" i="8"/>
  <c r="AZ36" i="8"/>
  <c r="BA38" i="8"/>
  <c r="BB38" i="8"/>
  <c r="BC38" i="8"/>
  <c r="BD38" i="8"/>
  <c r="BE38" i="8"/>
  <c r="BF38" i="8"/>
  <c r="BG38" i="8"/>
  <c r="BH38" i="8"/>
  <c r="BI38" i="8"/>
  <c r="BJ38" i="8"/>
  <c r="BK38" i="8"/>
  <c r="BL38" i="8"/>
  <c r="BM38" i="8"/>
  <c r="BN38" i="8"/>
  <c r="BO38" i="8"/>
  <c r="BP38" i="8"/>
  <c r="BQ38" i="8"/>
  <c r="BR38" i="8"/>
  <c r="BS38" i="8"/>
  <c r="BT38" i="8"/>
  <c r="BU38" i="8"/>
  <c r="BV38" i="8"/>
  <c r="BW38" i="8"/>
  <c r="BX38" i="8"/>
  <c r="BY38" i="8"/>
  <c r="BZ38" i="8"/>
  <c r="CA38" i="8"/>
  <c r="CB38" i="8"/>
  <c r="CC38" i="8"/>
  <c r="CD38" i="8"/>
  <c r="CE38" i="8"/>
  <c r="CF38" i="8"/>
  <c r="CG38" i="8"/>
  <c r="CH38" i="8"/>
  <c r="CI38" i="8"/>
  <c r="CJ38" i="8"/>
  <c r="CK38" i="8"/>
  <c r="CL38" i="8"/>
  <c r="CM38" i="8"/>
  <c r="CN38" i="8"/>
  <c r="CO38" i="8"/>
  <c r="CP38" i="8"/>
  <c r="CQ38" i="8"/>
  <c r="CR38" i="8"/>
  <c r="CS38" i="8"/>
  <c r="CT38" i="8"/>
  <c r="CU38" i="8"/>
  <c r="CV38" i="8"/>
  <c r="CW38" i="8"/>
  <c r="CX38" i="8"/>
  <c r="CY38" i="8"/>
  <c r="CZ38" i="8"/>
  <c r="DA38" i="8"/>
  <c r="DB38" i="8"/>
  <c r="DC38" i="8"/>
  <c r="DD38" i="8"/>
  <c r="DE38" i="8"/>
  <c r="DF38" i="8"/>
  <c r="DG38" i="8"/>
  <c r="DH38" i="8"/>
  <c r="DI38" i="8"/>
  <c r="DJ38" i="8"/>
  <c r="DK38" i="8"/>
  <c r="DL38" i="8"/>
  <c r="DM38" i="8"/>
  <c r="DN38" i="8"/>
  <c r="DO38" i="8"/>
  <c r="DP38" i="8"/>
  <c r="DQ38" i="8"/>
  <c r="DR38" i="8"/>
  <c r="DS38" i="8"/>
  <c r="DT38" i="8"/>
  <c r="DU38" i="8"/>
  <c r="DY38" i="8"/>
  <c r="DZ38" i="8"/>
  <c r="EA38" i="8"/>
  <c r="EB38" i="8"/>
  <c r="EC38" i="8"/>
  <c r="ED38" i="8"/>
  <c r="EE38" i="8"/>
  <c r="EF38" i="8"/>
  <c r="EG38" i="8"/>
  <c r="EH38" i="8"/>
  <c r="EI38" i="8"/>
  <c r="EJ38" i="8"/>
  <c r="EK38" i="8"/>
  <c r="EL38" i="8"/>
  <c r="EM38" i="8"/>
  <c r="EN38" i="8"/>
  <c r="EO38" i="8"/>
  <c r="EP38" i="8"/>
  <c r="EQ38" i="8"/>
  <c r="ER38" i="8"/>
  <c r="F40" i="8"/>
  <c r="AL40" i="8"/>
  <c r="AN40" i="8"/>
  <c r="AO40" i="8"/>
  <c r="AQ40" i="8"/>
  <c r="AR40" i="8"/>
  <c r="AT40" i="8"/>
  <c r="AU40" i="8"/>
  <c r="AW40" i="8"/>
  <c r="AX40" i="8"/>
  <c r="AZ40" i="8"/>
  <c r="BB40" i="8"/>
  <c r="BE40" i="8"/>
  <c r="BH40" i="8"/>
  <c r="BK40" i="8"/>
  <c r="BN40" i="8"/>
  <c r="BQ40" i="8"/>
  <c r="BT40" i="8"/>
  <c r="BW40" i="8"/>
  <c r="BZ40" i="8"/>
  <c r="CC40" i="8"/>
  <c r="CF40" i="8"/>
  <c r="CI40" i="8"/>
  <c r="CL40" i="8"/>
  <c r="CO40" i="8"/>
  <c r="CR40" i="8"/>
  <c r="CU40" i="8"/>
  <c r="CX40" i="8"/>
  <c r="DA40" i="8"/>
  <c r="DD40" i="8"/>
  <c r="DG40" i="8"/>
  <c r="DJ40" i="8"/>
  <c r="DM40" i="8"/>
  <c r="DP40" i="8"/>
  <c r="DS40" i="8"/>
  <c r="DY40" i="8"/>
  <c r="EB40" i="8"/>
  <c r="EE40" i="8"/>
  <c r="EH40" i="8"/>
  <c r="EK40" i="8"/>
  <c r="EN40" i="8"/>
  <c r="EQ40" i="8"/>
  <c r="F42" i="8"/>
  <c r="I42" i="8"/>
  <c r="I45" i="8" s="1"/>
  <c r="L42" i="8"/>
  <c r="L45" i="8" s="1"/>
  <c r="O42" i="8"/>
  <c r="O45" i="8" s="1"/>
  <c r="R42" i="8"/>
  <c r="R45" i="8" s="1"/>
  <c r="U42" i="8"/>
  <c r="U45" i="8" s="1"/>
  <c r="X42" i="8"/>
  <c r="X45" i="8" s="1"/>
  <c r="AA42" i="8"/>
  <c r="AA45" i="8" s="1"/>
  <c r="AD42" i="8"/>
  <c r="AD45" i="8" s="1"/>
  <c r="AG42" i="8"/>
  <c r="AG45" i="8" s="1"/>
  <c r="AJ42" i="8"/>
  <c r="AJ45" i="8" s="1"/>
  <c r="AM42" i="8"/>
  <c r="AM45" i="8" s="1"/>
  <c r="AP42" i="8"/>
  <c r="AP45" i="8" s="1"/>
  <c r="AS42" i="8"/>
  <c r="AS45" i="8" s="1"/>
  <c r="AV42" i="8"/>
  <c r="AV45" i="8" s="1"/>
  <c r="AY42" i="8"/>
  <c r="AY45" i="8" s="1"/>
  <c r="BA42" i="8"/>
  <c r="BA45" i="8" s="1"/>
  <c r="BC42" i="8"/>
  <c r="BC45" i="8" s="1"/>
  <c r="BD42" i="8"/>
  <c r="BF42" i="8"/>
  <c r="BG42" i="8"/>
  <c r="BI42" i="8"/>
  <c r="BJ42" i="8"/>
  <c r="BL42" i="8"/>
  <c r="BM42" i="8"/>
  <c r="BO42" i="8"/>
  <c r="BP42" i="8"/>
  <c r="BR42" i="8"/>
  <c r="BS42" i="8"/>
  <c r="BU42" i="8"/>
  <c r="BV42" i="8"/>
  <c r="BX42" i="8"/>
  <c r="BY42" i="8"/>
  <c r="CA42" i="8"/>
  <c r="CB42" i="8"/>
  <c r="CD42" i="8"/>
  <c r="CE42" i="8"/>
  <c r="CG42" i="8"/>
  <c r="CH42" i="8"/>
  <c r="CJ42" i="8"/>
  <c r="CK42" i="8"/>
  <c r="CM42" i="8"/>
  <c r="CN42" i="8"/>
  <c r="CP42" i="8"/>
  <c r="CQ42" i="8"/>
  <c r="CS42" i="8"/>
  <c r="CT42" i="8"/>
  <c r="CV42" i="8"/>
  <c r="CW42" i="8"/>
  <c r="CY42" i="8"/>
  <c r="CZ42" i="8"/>
  <c r="DB42" i="8"/>
  <c r="DC42" i="8"/>
  <c r="DE42" i="8"/>
  <c r="F43" i="8"/>
  <c r="I43" i="8"/>
  <c r="L43" i="8"/>
  <c r="O43" i="8"/>
  <c r="R43" i="8"/>
  <c r="U43" i="8"/>
  <c r="X43" i="8"/>
  <c r="AA43" i="8"/>
  <c r="AD43" i="8"/>
  <c r="AG43" i="8"/>
  <c r="AJ43" i="8"/>
  <c r="AM43" i="8"/>
  <c r="AP43" i="8"/>
  <c r="AS43" i="8"/>
  <c r="AV43" i="8"/>
  <c r="AY43" i="8"/>
  <c r="BB43" i="8"/>
  <c r="BE43" i="8"/>
  <c r="BH43" i="8"/>
  <c r="BK43" i="8"/>
  <c r="BN43" i="8"/>
  <c r="BQ43" i="8"/>
  <c r="BT43" i="8"/>
  <c r="BW43" i="8"/>
  <c r="BZ43" i="8"/>
  <c r="CC43" i="8"/>
  <c r="CF43" i="8"/>
  <c r="CI43" i="8"/>
  <c r="CL43" i="8"/>
  <c r="CO43" i="8"/>
  <c r="CR43" i="8"/>
  <c r="CU43" i="8"/>
  <c r="CX43" i="8"/>
  <c r="DA43" i="8"/>
  <c r="DD43" i="8"/>
  <c r="DG43" i="8"/>
  <c r="DJ43" i="8"/>
  <c r="DM43" i="8"/>
  <c r="DP43" i="8"/>
  <c r="DS43" i="8"/>
  <c r="DY43" i="8"/>
  <c r="EB43" i="8"/>
  <c r="EE43" i="8"/>
  <c r="EH43" i="8"/>
  <c r="EK43" i="8"/>
  <c r="EN43" i="8"/>
  <c r="EQ43" i="8"/>
  <c r="BA44" i="8"/>
  <c r="BC44" i="8"/>
  <c r="BC46" i="8" s="1"/>
  <c r="BC49" i="8" s="1"/>
  <c r="BB49" i="8" s="1"/>
  <c r="BD44" i="8"/>
  <c r="BF44" i="8"/>
  <c r="BG44" i="8"/>
  <c r="BI44" i="8"/>
  <c r="BJ44" i="8"/>
  <c r="BL44" i="8"/>
  <c r="BM44" i="8"/>
  <c r="BO44" i="8"/>
  <c r="BP44" i="8"/>
  <c r="BR44" i="8"/>
  <c r="BS44" i="8"/>
  <c r="BU44" i="8"/>
  <c r="BV44" i="8"/>
  <c r="BX44" i="8"/>
  <c r="BY44" i="8"/>
  <c r="CA44" i="8"/>
  <c r="CB44" i="8"/>
  <c r="CD44" i="8"/>
  <c r="CE44" i="8"/>
  <c r="CG44" i="8"/>
  <c r="CH44" i="8"/>
  <c r="CJ44" i="8"/>
  <c r="CK44" i="8"/>
  <c r="CM44" i="8"/>
  <c r="CN44" i="8"/>
  <c r="CP44" i="8"/>
  <c r="CQ44" i="8"/>
  <c r="CS44" i="8"/>
  <c r="CT44" i="8"/>
  <c r="CV44" i="8"/>
  <c r="CW44" i="8"/>
  <c r="CY44" i="8"/>
  <c r="CZ44" i="8"/>
  <c r="DB44" i="8"/>
  <c r="DC44" i="8"/>
  <c r="DE44" i="8"/>
  <c r="H45" i="8"/>
  <c r="J45" i="8"/>
  <c r="K45" i="8"/>
  <c r="M45" i="8"/>
  <c r="N45" i="8"/>
  <c r="P45" i="8"/>
  <c r="Q45" i="8"/>
  <c r="S45" i="8"/>
  <c r="T45" i="8"/>
  <c r="V45" i="8"/>
  <c r="W45" i="8"/>
  <c r="Y45" i="8"/>
  <c r="Z45" i="8"/>
  <c r="AB45" i="8"/>
  <c r="AC45" i="8"/>
  <c r="AE45" i="8"/>
  <c r="AF45" i="8"/>
  <c r="AH45" i="8"/>
  <c r="AI45" i="8"/>
  <c r="AK45" i="8"/>
  <c r="AL45" i="8"/>
  <c r="AN45" i="8"/>
  <c r="AO45" i="8"/>
  <c r="AQ45" i="8"/>
  <c r="AR45" i="8"/>
  <c r="AT45" i="8"/>
  <c r="AU45" i="8"/>
  <c r="AW45" i="8"/>
  <c r="AX45" i="8"/>
  <c r="AZ45" i="8"/>
  <c r="H46" i="8"/>
  <c r="I46" i="8"/>
  <c r="J46" i="8"/>
  <c r="K46" i="8"/>
  <c r="L46" i="8"/>
  <c r="M46" i="8"/>
  <c r="N46" i="8"/>
  <c r="O46" i="8"/>
  <c r="P46" i="8"/>
  <c r="Q46" i="8"/>
  <c r="R46" i="8"/>
  <c r="S46" i="8"/>
  <c r="T46" i="8"/>
  <c r="U46" i="8"/>
  <c r="V46" i="8"/>
  <c r="W46" i="8"/>
  <c r="X46" i="8"/>
  <c r="Y46" i="8"/>
  <c r="Z46" i="8"/>
  <c r="AA46" i="8"/>
  <c r="AB46" i="8"/>
  <c r="AC46" i="8"/>
  <c r="AD46" i="8"/>
  <c r="AE46" i="8"/>
  <c r="AF46" i="8"/>
  <c r="AG46" i="8"/>
  <c r="AH46" i="8"/>
  <c r="AI46" i="8"/>
  <c r="AJ46" i="8"/>
  <c r="AK46" i="8"/>
  <c r="AL46" i="8"/>
  <c r="AM46" i="8"/>
  <c r="AN46" i="8"/>
  <c r="AO46" i="8"/>
  <c r="AP46" i="8"/>
  <c r="AQ46" i="8"/>
  <c r="AR46" i="8"/>
  <c r="AS46" i="8"/>
  <c r="AT46" i="8"/>
  <c r="AU46" i="8"/>
  <c r="AU47" i="8" s="1"/>
  <c r="AV46" i="8"/>
  <c r="AV47" i="8" s="1"/>
  <c r="AW46" i="8"/>
  <c r="AW47" i="8" s="1"/>
  <c r="AX46" i="8"/>
  <c r="AX47" i="8" s="1"/>
  <c r="AY46" i="8"/>
  <c r="AZ46" i="8"/>
  <c r="AZ49" i="8" s="1"/>
  <c r="AY50" i="8"/>
  <c r="BA47" i="8"/>
  <c r="BB47" i="8"/>
  <c r="BC47" i="8"/>
  <c r="BD47" i="8"/>
  <c r="BE47" i="8"/>
  <c r="BF47" i="8"/>
  <c r="BG47" i="8"/>
  <c r="BH47" i="8"/>
  <c r="BI47" i="8"/>
  <c r="BJ47" i="8"/>
  <c r="BK47" i="8"/>
  <c r="BL47" i="8"/>
  <c r="BM47" i="8"/>
  <c r="BN47" i="8"/>
  <c r="BO47" i="8"/>
  <c r="BP47" i="8"/>
  <c r="BQ47" i="8"/>
  <c r="BR47" i="8"/>
  <c r="BS47" i="8"/>
  <c r="BT47" i="8"/>
  <c r="BU47" i="8"/>
  <c r="BV47" i="8"/>
  <c r="BW47" i="8"/>
  <c r="BX47" i="8"/>
  <c r="BY47" i="8"/>
  <c r="BZ47" i="8"/>
  <c r="CA47" i="8"/>
  <c r="CB47" i="8"/>
  <c r="CC47" i="8"/>
  <c r="CD47" i="8"/>
  <c r="CE47" i="8"/>
  <c r="CF47" i="8"/>
  <c r="CG47" i="8"/>
  <c r="CH47" i="8"/>
  <c r="CI47" i="8"/>
  <c r="CJ47" i="8"/>
  <c r="CK47" i="8"/>
  <c r="CL47" i="8"/>
  <c r="CM47" i="8"/>
  <c r="CN47" i="8"/>
  <c r="CO47" i="8"/>
  <c r="CP47" i="8"/>
  <c r="CQ47" i="8"/>
  <c r="CR47" i="8"/>
  <c r="CS47" i="8"/>
  <c r="CT47" i="8"/>
  <c r="CU47" i="8"/>
  <c r="CV47" i="8"/>
  <c r="CW47" i="8"/>
  <c r="CX47" i="8"/>
  <c r="CY47" i="8"/>
  <c r="CZ47" i="8"/>
  <c r="DA47" i="8"/>
  <c r="DB47" i="8"/>
  <c r="DC47" i="8"/>
  <c r="DD47" i="8"/>
  <c r="DE47" i="8"/>
  <c r="DF47" i="8"/>
  <c r="DG47" i="8"/>
  <c r="DH47" i="8"/>
  <c r="DI47" i="8"/>
  <c r="DJ47" i="8"/>
  <c r="DK47" i="8"/>
  <c r="DL47" i="8"/>
  <c r="DM47" i="8"/>
  <c r="DN47" i="8"/>
  <c r="DO47" i="8"/>
  <c r="DP47" i="8"/>
  <c r="DQ47" i="8"/>
  <c r="DR47" i="8"/>
  <c r="DS47" i="8"/>
  <c r="DT47" i="8"/>
  <c r="DU47" i="8"/>
  <c r="DY47" i="8"/>
  <c r="DZ47" i="8"/>
  <c r="EA47" i="8"/>
  <c r="EB47" i="8"/>
  <c r="EC47" i="8"/>
  <c r="ED47" i="8"/>
  <c r="EE47" i="8"/>
  <c r="EF47" i="8"/>
  <c r="EG47" i="8"/>
  <c r="EH47" i="8"/>
  <c r="EI47" i="8"/>
  <c r="EJ47" i="8"/>
  <c r="EK47" i="8"/>
  <c r="EL47" i="8"/>
  <c r="EM47" i="8"/>
  <c r="EN47" i="8"/>
  <c r="EO47" i="8"/>
  <c r="EP47" i="8"/>
  <c r="EQ47" i="8"/>
  <c r="ER47" i="8"/>
  <c r="BB50" i="8"/>
  <c r="BE50" i="8"/>
  <c r="BH50" i="8"/>
  <c r="BK50" i="8"/>
  <c r="BN50" i="8"/>
  <c r="BQ50" i="8"/>
  <c r="BT50" i="8"/>
  <c r="BW50" i="8"/>
  <c r="BZ50" i="8"/>
  <c r="CC50" i="8"/>
  <c r="CF50" i="8"/>
  <c r="CI50" i="8"/>
  <c r="CL50" i="8"/>
  <c r="CO50" i="8"/>
  <c r="CR50" i="8"/>
  <c r="CU50" i="8"/>
  <c r="CX50" i="8"/>
  <c r="DA50" i="8"/>
  <c r="DD50" i="8"/>
  <c r="DG50" i="8"/>
  <c r="DJ50" i="8"/>
  <c r="DM50" i="8"/>
  <c r="DP50" i="8"/>
  <c r="DS50" i="8"/>
  <c r="DY50" i="8"/>
  <c r="EB50" i="8"/>
  <c r="EE50" i="8"/>
  <c r="EH50" i="8"/>
  <c r="EK50" i="8"/>
  <c r="EN50" i="8"/>
  <c r="EQ50" i="8"/>
  <c r="BA53" i="8"/>
  <c r="BC53" i="8"/>
  <c r="BD53" i="8"/>
  <c r="BF53" i="8"/>
  <c r="BG53" i="8"/>
  <c r="BI53" i="8"/>
  <c r="BJ53" i="8"/>
  <c r="BL53" i="8"/>
  <c r="BM53" i="8"/>
  <c r="BO53" i="8"/>
  <c r="BP53" i="8"/>
  <c r="BR53" i="8"/>
  <c r="BS53" i="8"/>
  <c r="BU53" i="8"/>
  <c r="BV53" i="8"/>
  <c r="BX53" i="8"/>
  <c r="BY53" i="8"/>
  <c r="CA53" i="8"/>
  <c r="CB53" i="8"/>
  <c r="CD53" i="8"/>
  <c r="CE53" i="8"/>
  <c r="CG53" i="8"/>
  <c r="CH53" i="8"/>
  <c r="CJ53" i="8"/>
  <c r="CK53" i="8"/>
  <c r="CM53" i="8"/>
  <c r="CN53" i="8"/>
  <c r="CP53" i="8"/>
  <c r="CQ53" i="8"/>
  <c r="CS53" i="8"/>
  <c r="CT53" i="8"/>
  <c r="CV53" i="8"/>
  <c r="CW53" i="8"/>
  <c r="CY53" i="8"/>
  <c r="CZ53" i="8"/>
  <c r="DB53" i="8"/>
  <c r="DC53" i="8"/>
  <c r="DE53" i="8"/>
  <c r="DF53" i="8"/>
  <c r="DH53" i="8"/>
  <c r="DI53" i="8"/>
  <c r="DK53" i="8"/>
  <c r="DL53" i="8"/>
  <c r="DN53" i="8"/>
  <c r="DO53" i="8"/>
  <c r="DQ53" i="8"/>
  <c r="DR53" i="8"/>
  <c r="DT53" i="8"/>
  <c r="DU53" i="8"/>
  <c r="DZ53" i="8"/>
  <c r="EA53" i="8"/>
  <c r="EC53" i="8"/>
  <c r="ED53" i="8"/>
  <c r="EF53" i="8"/>
  <c r="EG53" i="8"/>
  <c r="EI53" i="8"/>
  <c r="EJ53" i="8"/>
  <c r="EL53" i="8"/>
  <c r="EM53" i="8"/>
  <c r="EO53" i="8"/>
  <c r="EP53" i="8"/>
  <c r="ER53" i="8"/>
  <c r="E55" i="8"/>
  <c r="G55" i="8"/>
  <c r="H55" i="8"/>
  <c r="J55" i="8"/>
  <c r="K55" i="8"/>
  <c r="M55" i="8"/>
  <c r="N55" i="8"/>
  <c r="P55" i="8"/>
  <c r="Q55" i="8"/>
  <c r="S55" i="8"/>
  <c r="T55" i="8"/>
  <c r="V55" i="8"/>
  <c r="W55" i="8"/>
  <c r="Y55" i="8"/>
  <c r="Z55" i="8"/>
  <c r="AB55" i="8"/>
  <c r="AC55" i="8"/>
  <c r="AE55" i="8"/>
  <c r="AF55" i="8"/>
  <c r="AH55" i="8"/>
  <c r="AI55" i="8"/>
  <c r="AK55" i="8"/>
  <c r="AL55" i="8"/>
  <c r="AN55" i="8"/>
  <c r="AO55" i="8"/>
  <c r="AQ55" i="8"/>
  <c r="AR55" i="8"/>
  <c r="AT55" i="8"/>
  <c r="AU55" i="8"/>
  <c r="AW55" i="8"/>
  <c r="AX55" i="8"/>
  <c r="AZ55" i="8"/>
  <c r="BB55" i="8"/>
  <c r="BE55" i="8"/>
  <c r="BH55" i="8"/>
  <c r="BK55" i="8"/>
  <c r="BP66" i="7"/>
  <c r="BQ66" i="7" s="1"/>
  <c r="BS66" i="7"/>
  <c r="BD56" i="8"/>
  <c r="BD63" i="8" s="1"/>
  <c r="F57" i="8"/>
  <c r="I57" i="8"/>
  <c r="L57" i="8"/>
  <c r="O57" i="8"/>
  <c r="R57" i="8"/>
  <c r="U57" i="8"/>
  <c r="X57" i="8"/>
  <c r="AA57" i="8"/>
  <c r="AD57" i="8"/>
  <c r="AG57" i="8"/>
  <c r="AJ57" i="8"/>
  <c r="AM57" i="8"/>
  <c r="F58" i="8"/>
  <c r="I58" i="8"/>
  <c r="L58" i="8"/>
  <c r="O58" i="8"/>
  <c r="R58" i="8"/>
  <c r="U58" i="8"/>
  <c r="X58" i="8"/>
  <c r="AA58" i="8"/>
  <c r="AD58" i="8"/>
  <c r="AG58" i="8"/>
  <c r="AJ58" i="8"/>
  <c r="AM58" i="8"/>
  <c r="AP58" i="8"/>
  <c r="AS58" i="8"/>
  <c r="AV58" i="8"/>
  <c r="AY58" i="8"/>
  <c r="AT60" i="8"/>
  <c r="AU60" i="8"/>
  <c r="AV60" i="8"/>
  <c r="AX60" i="8"/>
  <c r="AY60" i="8"/>
  <c r="BA60" i="8"/>
  <c r="BB60" i="8"/>
  <c r="BC60" i="8"/>
  <c r="BD60" i="8"/>
  <c r="BE60" i="8"/>
  <c r="BF60" i="8"/>
  <c r="BG60" i="8"/>
  <c r="BH60" i="8"/>
  <c r="BI60" i="8"/>
  <c r="BJ60" i="8"/>
  <c r="BK60" i="8"/>
  <c r="BL60" i="8"/>
  <c r="BM60" i="8"/>
  <c r="BN60" i="8"/>
  <c r="BO60" i="8"/>
  <c r="BP60" i="8"/>
  <c r="BQ60" i="8"/>
  <c r="BR60" i="8"/>
  <c r="BS60" i="8"/>
  <c r="BT60" i="8"/>
  <c r="BU60" i="8"/>
  <c r="BV60" i="8"/>
  <c r="BW60" i="8"/>
  <c r="BX60" i="8"/>
  <c r="BY60" i="8"/>
  <c r="BZ60" i="8"/>
  <c r="CA60" i="8"/>
  <c r="CB60" i="8"/>
  <c r="CC60" i="8"/>
  <c r="CD60" i="8"/>
  <c r="CE60" i="8"/>
  <c r="CF60" i="8"/>
  <c r="CG60" i="8"/>
  <c r="CH60" i="8"/>
  <c r="CI60" i="8"/>
  <c r="CJ60" i="8"/>
  <c r="CK60" i="8"/>
  <c r="CL60" i="8"/>
  <c r="CM60" i="8"/>
  <c r="CN60" i="8"/>
  <c r="CO60" i="8"/>
  <c r="CP60" i="8"/>
  <c r="CQ60" i="8"/>
  <c r="CR60" i="8"/>
  <c r="CS60" i="8"/>
  <c r="CT60" i="8"/>
  <c r="CU60" i="8"/>
  <c r="CV60" i="8"/>
  <c r="CW60" i="8"/>
  <c r="CX60" i="8"/>
  <c r="CY60" i="8"/>
  <c r="CZ60" i="8"/>
  <c r="DA60" i="8"/>
  <c r="DB60" i="8"/>
  <c r="DC60" i="8"/>
  <c r="DD60" i="8"/>
  <c r="DE60" i="8"/>
  <c r="DF60" i="8"/>
  <c r="DG60" i="8"/>
  <c r="DH60" i="8"/>
  <c r="DI60" i="8"/>
  <c r="DJ60" i="8"/>
  <c r="DK60" i="8"/>
  <c r="DL60" i="8"/>
  <c r="DM60" i="8"/>
  <c r="DN60" i="8"/>
  <c r="DO60" i="8"/>
  <c r="DP60" i="8"/>
  <c r="DQ60" i="8"/>
  <c r="DR60" i="8"/>
  <c r="DS60" i="8"/>
  <c r="DT60" i="8"/>
  <c r="DU60" i="8"/>
  <c r="DY60" i="8"/>
  <c r="DZ60" i="8"/>
  <c r="EA60" i="8"/>
  <c r="EB60" i="8"/>
  <c r="EC60" i="8"/>
  <c r="ED60" i="8"/>
  <c r="EE60" i="8"/>
  <c r="EF60" i="8"/>
  <c r="EG60" i="8"/>
  <c r="EH60" i="8"/>
  <c r="EI60" i="8"/>
  <c r="EJ60" i="8"/>
  <c r="EK60" i="8"/>
  <c r="EL60" i="8"/>
  <c r="EM60" i="8"/>
  <c r="EN60" i="8"/>
  <c r="EO60" i="8"/>
  <c r="EP60" i="8"/>
  <c r="EQ60" i="8"/>
  <c r="ER60" i="8"/>
  <c r="AT61" i="8"/>
  <c r="AU61" i="8"/>
  <c r="AV61" i="8"/>
  <c r="AW61" i="8"/>
  <c r="AX61" i="8"/>
  <c r="AY61" i="8"/>
  <c r="AZ61" i="8"/>
  <c r="BA61" i="8"/>
  <c r="BB61" i="8"/>
  <c r="BC61" i="8"/>
  <c r="BD61" i="8"/>
  <c r="BE61" i="8"/>
  <c r="BF61" i="8"/>
  <c r="BG61" i="8"/>
  <c r="BH61" i="8"/>
  <c r="BI61" i="8"/>
  <c r="BJ61" i="8"/>
  <c r="BK61" i="8"/>
  <c r="BL61" i="8"/>
  <c r="BM61" i="8"/>
  <c r="BN61" i="8"/>
  <c r="BN72" i="7" s="1"/>
  <c r="BO61" i="8"/>
  <c r="BP61" i="8"/>
  <c r="BQ61" i="8"/>
  <c r="BR61" i="8"/>
  <c r="BS61" i="8"/>
  <c r="BT61" i="8"/>
  <c r="BU61" i="8"/>
  <c r="BV61" i="8"/>
  <c r="BW61" i="8"/>
  <c r="BX61" i="8"/>
  <c r="BY61" i="8"/>
  <c r="BZ61" i="8"/>
  <c r="CA61" i="8"/>
  <c r="CB61" i="8"/>
  <c r="CC61" i="8"/>
  <c r="CD61" i="8"/>
  <c r="CE61" i="8"/>
  <c r="CF61" i="8"/>
  <c r="CG61" i="8"/>
  <c r="CH61" i="8"/>
  <c r="CI61" i="8"/>
  <c r="CJ61" i="8"/>
  <c r="CK61" i="8"/>
  <c r="CL61" i="8"/>
  <c r="CM61" i="8"/>
  <c r="CN61" i="8"/>
  <c r="CO61" i="8"/>
  <c r="CP61" i="8"/>
  <c r="CQ61" i="8"/>
  <c r="CR61" i="8"/>
  <c r="CS61" i="8"/>
  <c r="CT61" i="8"/>
  <c r="CU61" i="8"/>
  <c r="CV61" i="8"/>
  <c r="CW61" i="8"/>
  <c r="CX61" i="8"/>
  <c r="CY61" i="8"/>
  <c r="CZ61" i="8"/>
  <c r="DA61" i="8"/>
  <c r="DB61" i="8"/>
  <c r="DC61" i="8"/>
  <c r="DD61" i="8"/>
  <c r="DE61" i="8"/>
  <c r="DF61" i="8"/>
  <c r="DG61" i="8"/>
  <c r="DH61" i="8"/>
  <c r="DI61" i="8"/>
  <c r="DJ61" i="8"/>
  <c r="DK61" i="8"/>
  <c r="DL61" i="8"/>
  <c r="DM61" i="8"/>
  <c r="DN61" i="8"/>
  <c r="DO61" i="8"/>
  <c r="DP61" i="8"/>
  <c r="DQ61" i="8"/>
  <c r="DR61" i="8"/>
  <c r="DS61" i="8"/>
  <c r="DT61" i="8"/>
  <c r="DU61" i="8"/>
  <c r="DY61" i="8"/>
  <c r="DZ61" i="8"/>
  <c r="EA61" i="8"/>
  <c r="EB61" i="8"/>
  <c r="EC61" i="8"/>
  <c r="ED61" i="8"/>
  <c r="EE61" i="8"/>
  <c r="EF61" i="8"/>
  <c r="EG61" i="8"/>
  <c r="EH61" i="8"/>
  <c r="EI61" i="8"/>
  <c r="EJ61" i="8"/>
  <c r="EK61" i="8"/>
  <c r="EL61" i="8"/>
  <c r="EM61" i="8"/>
  <c r="EN61" i="8"/>
  <c r="EO61" i="8"/>
  <c r="EP61" i="8"/>
  <c r="EQ61" i="8"/>
  <c r="ER61" i="8"/>
  <c r="BA63" i="8"/>
  <c r="BA64" i="8" s="1"/>
  <c r="BC63" i="8"/>
  <c r="BE63" i="8"/>
  <c r="BF63" i="8"/>
  <c r="BG63" i="8"/>
  <c r="BH63" i="8"/>
  <c r="BI63" i="8"/>
  <c r="BJ63" i="8"/>
  <c r="BK63" i="8"/>
  <c r="BL63" i="8"/>
  <c r="BM63" i="8"/>
  <c r="BN63" i="8"/>
  <c r="BO63" i="8"/>
  <c r="BP63" i="8"/>
  <c r="BQ63" i="8"/>
  <c r="BR63" i="8"/>
  <c r="BS63" i="8"/>
  <c r="BT63" i="8"/>
  <c r="BU63" i="8"/>
  <c r="BV63" i="8"/>
  <c r="BW63" i="8"/>
  <c r="BX63" i="8"/>
  <c r="BY63" i="8"/>
  <c r="BZ63" i="8"/>
  <c r="CA63" i="8"/>
  <c r="CB63" i="8"/>
  <c r="CC63" i="8"/>
  <c r="CD63" i="8"/>
  <c r="CE63" i="8"/>
  <c r="CF63" i="8"/>
  <c r="CG63" i="8"/>
  <c r="CH63" i="8"/>
  <c r="CI63" i="8"/>
  <c r="CJ63" i="8"/>
  <c r="CK63" i="8"/>
  <c r="CL63" i="8"/>
  <c r="CM63" i="8"/>
  <c r="CN63" i="8"/>
  <c r="CO63" i="8"/>
  <c r="CP63" i="8"/>
  <c r="CQ63" i="8"/>
  <c r="CR63" i="8"/>
  <c r="CS63" i="8"/>
  <c r="CT63" i="8"/>
  <c r="CU63" i="8"/>
  <c r="CV63" i="8"/>
  <c r="CW63" i="8"/>
  <c r="CX63" i="8"/>
  <c r="CY63" i="8"/>
  <c r="CZ63" i="8"/>
  <c r="DA63" i="8"/>
  <c r="DB63" i="8"/>
  <c r="DC63" i="8"/>
  <c r="DD63" i="8"/>
  <c r="E64" i="8"/>
  <c r="G64" i="8"/>
  <c r="H64" i="8"/>
  <c r="J64" i="8"/>
  <c r="K64" i="8"/>
  <c r="M64" i="8"/>
  <c r="N64" i="8"/>
  <c r="P64" i="8"/>
  <c r="Q64" i="8"/>
  <c r="S64" i="8"/>
  <c r="T64" i="8"/>
  <c r="V64" i="8"/>
  <c r="W64" i="8"/>
  <c r="Y64" i="8"/>
  <c r="Z64" i="8"/>
  <c r="AB64" i="8"/>
  <c r="AC64" i="8"/>
  <c r="AE64" i="8"/>
  <c r="AF64" i="8"/>
  <c r="AH64" i="8"/>
  <c r="AI64" i="8"/>
  <c r="AK64" i="8"/>
  <c r="AL64" i="8"/>
  <c r="AN64" i="8"/>
  <c r="AO64" i="8"/>
  <c r="AQ64" i="8"/>
  <c r="BB64" i="8"/>
  <c r="BD64" i="8"/>
  <c r="BF64" i="8"/>
  <c r="BG64" i="8"/>
  <c r="BI64" i="8" s="1"/>
  <c r="BM64" i="8"/>
  <c r="F66" i="8"/>
  <c r="I66" i="8"/>
  <c r="I69" i="8" s="1"/>
  <c r="L66" i="8"/>
  <c r="L69" i="8" s="1"/>
  <c r="O66" i="8"/>
  <c r="O69" i="8" s="1"/>
  <c r="R66" i="8"/>
  <c r="R69" i="8" s="1"/>
  <c r="U66" i="8"/>
  <c r="U69" i="8" s="1"/>
  <c r="X66" i="8"/>
  <c r="X69" i="8" s="1"/>
  <c r="AA66" i="8"/>
  <c r="AA69" i="8" s="1"/>
  <c r="AD66" i="8"/>
  <c r="AD69" i="8" s="1"/>
  <c r="AG66" i="8"/>
  <c r="AG69" i="8" s="1"/>
  <c r="AJ66" i="8"/>
  <c r="AJ69" i="8" s="1"/>
  <c r="AM66" i="8"/>
  <c r="AM69" i="8" s="1"/>
  <c r="BB66" i="8"/>
  <c r="BB69" i="8" s="1"/>
  <c r="BE66" i="8"/>
  <c r="BE69" i="8" s="1"/>
  <c r="BH66" i="8"/>
  <c r="BH69" i="8" s="1"/>
  <c r="BK66" i="8"/>
  <c r="BK69" i="8" s="1"/>
  <c r="BN66" i="8"/>
  <c r="BN69" i="8" s="1"/>
  <c r="BQ66" i="8"/>
  <c r="BQ69" i="8" s="1"/>
  <c r="BT66" i="8"/>
  <c r="BT69" i="8" s="1"/>
  <c r="BW66" i="8"/>
  <c r="BW69" i="8" s="1"/>
  <c r="BZ66" i="8"/>
  <c r="BZ69" i="8" s="1"/>
  <c r="CC66" i="8"/>
  <c r="CC69" i="8" s="1"/>
  <c r="CF66" i="8"/>
  <c r="CF69" i="8" s="1"/>
  <c r="CI66" i="8"/>
  <c r="CI69" i="8" s="1"/>
  <c r="CL66" i="8"/>
  <c r="CL69" i="8" s="1"/>
  <c r="CO66" i="8"/>
  <c r="CO69" i="8" s="1"/>
  <c r="CR66" i="8"/>
  <c r="CR69" i="8" s="1"/>
  <c r="CU66" i="8"/>
  <c r="CU69" i="8" s="1"/>
  <c r="CX66" i="8"/>
  <c r="CX69" i="8" s="1"/>
  <c r="DA66" i="8"/>
  <c r="DA69" i="8" s="1"/>
  <c r="DD66" i="8"/>
  <c r="DD69" i="8" s="1"/>
  <c r="DG66" i="8"/>
  <c r="DG69" i="8" s="1"/>
  <c r="DJ66" i="8"/>
  <c r="DJ69" i="8" s="1"/>
  <c r="DM66" i="8"/>
  <c r="DM69" i="8" s="1"/>
  <c r="DP66" i="8"/>
  <c r="DP69" i="8" s="1"/>
  <c r="DS66" i="8"/>
  <c r="DS69" i="8" s="1"/>
  <c r="DY66" i="8"/>
  <c r="DY69" i="8" s="1"/>
  <c r="EB66" i="8"/>
  <c r="EB69" i="8" s="1"/>
  <c r="EE66" i="8"/>
  <c r="EE69" i="8" s="1"/>
  <c r="EH66" i="8"/>
  <c r="EH69" i="8" s="1"/>
  <c r="EK66" i="8"/>
  <c r="EK69" i="8" s="1"/>
  <c r="EN66" i="8"/>
  <c r="EN69" i="8" s="1"/>
  <c r="EQ66" i="8"/>
  <c r="EQ69" i="8" s="1"/>
  <c r="F67" i="8"/>
  <c r="I67" i="8"/>
  <c r="L67" i="8"/>
  <c r="O67" i="8"/>
  <c r="R67" i="8"/>
  <c r="U67" i="8"/>
  <c r="X67" i="8"/>
  <c r="AA67" i="8"/>
  <c r="AD67" i="8"/>
  <c r="AG67" i="8"/>
  <c r="AJ67" i="8"/>
  <c r="AM67" i="8"/>
  <c r="AP67" i="8"/>
  <c r="AS67" i="8"/>
  <c r="AV67" i="8"/>
  <c r="AY67" i="8"/>
  <c r="BB67" i="8"/>
  <c r="BE67" i="8"/>
  <c r="BH67" i="8"/>
  <c r="BK67" i="8"/>
  <c r="BN67" i="8"/>
  <c r="BQ67" i="8"/>
  <c r="BT67" i="8"/>
  <c r="BW67" i="8"/>
  <c r="BZ67" i="8"/>
  <c r="CC67" i="8"/>
  <c r="CF67" i="8"/>
  <c r="CI67" i="8"/>
  <c r="CL67" i="8"/>
  <c r="CO67" i="8"/>
  <c r="CR67" i="8"/>
  <c r="CU67" i="8"/>
  <c r="CX67" i="8"/>
  <c r="DA67" i="8"/>
  <c r="DD67" i="8"/>
  <c r="DG67" i="8"/>
  <c r="DJ67" i="8"/>
  <c r="DM67" i="8"/>
  <c r="DP67" i="8"/>
  <c r="DS67" i="8"/>
  <c r="DY67" i="8"/>
  <c r="EB67" i="8"/>
  <c r="EE67" i="8"/>
  <c r="EH67" i="8"/>
  <c r="EK67" i="8"/>
  <c r="EN67" i="8"/>
  <c r="EQ67" i="8"/>
  <c r="E68" i="8"/>
  <c r="F68" i="8"/>
  <c r="G68" i="8"/>
  <c r="H68" i="8"/>
  <c r="I68" i="8"/>
  <c r="J68" i="8"/>
  <c r="K68" i="8"/>
  <c r="L68" i="8"/>
  <c r="M68" i="8"/>
  <c r="N68" i="8"/>
  <c r="O68" i="8"/>
  <c r="P68" i="8"/>
  <c r="Q68" i="8"/>
  <c r="R68" i="8"/>
  <c r="S68" i="8"/>
  <c r="T68" i="8"/>
  <c r="U68" i="8"/>
  <c r="V68" i="8"/>
  <c r="W68" i="8"/>
  <c r="X68" i="8"/>
  <c r="Y68" i="8"/>
  <c r="Z68" i="8"/>
  <c r="AA68" i="8"/>
  <c r="AB68" i="8"/>
  <c r="AC68" i="8"/>
  <c r="AD68" i="8"/>
  <c r="AE68" i="8"/>
  <c r="AF68" i="8"/>
  <c r="AG68" i="8"/>
  <c r="AH68" i="8"/>
  <c r="AI68" i="8"/>
  <c r="AJ68" i="8"/>
  <c r="AK68" i="8"/>
  <c r="AL68" i="8"/>
  <c r="AM68" i="8"/>
  <c r="AN68" i="8"/>
  <c r="AO68" i="8"/>
  <c r="AP68" i="8"/>
  <c r="AQ68" i="8"/>
  <c r="AR68" i="8"/>
  <c r="AS68" i="8"/>
  <c r="AT68" i="8"/>
  <c r="AU68" i="8"/>
  <c r="AV68" i="8"/>
  <c r="AW68" i="8"/>
  <c r="AX68" i="8"/>
  <c r="AY68" i="8"/>
  <c r="AZ68" i="8"/>
  <c r="BA68" i="8"/>
  <c r="BB68" i="8"/>
  <c r="BC68" i="8"/>
  <c r="BD68" i="8"/>
  <c r="BE68" i="8"/>
  <c r="BF68" i="8"/>
  <c r="BG68" i="8"/>
  <c r="BH68" i="8"/>
  <c r="BI68" i="8"/>
  <c r="BJ68" i="8"/>
  <c r="BK68" i="8"/>
  <c r="BL68" i="8"/>
  <c r="BM68" i="8"/>
  <c r="BN68" i="8"/>
  <c r="BO68" i="8"/>
  <c r="BP68" i="8"/>
  <c r="BQ68" i="8"/>
  <c r="BR68" i="8"/>
  <c r="BS68" i="8"/>
  <c r="BT68" i="8"/>
  <c r="BU68" i="8"/>
  <c r="BV68" i="8"/>
  <c r="BX68" i="8"/>
  <c r="BY68" i="8"/>
  <c r="CA68" i="8"/>
  <c r="CB68" i="8"/>
  <c r="CD68" i="8"/>
  <c r="CE68" i="8"/>
  <c r="CG68" i="8"/>
  <c r="CH68" i="8"/>
  <c r="CJ68" i="8"/>
  <c r="CK68" i="8"/>
  <c r="CM68" i="8"/>
  <c r="CN68" i="8"/>
  <c r="CP68" i="8"/>
  <c r="CQ68" i="8"/>
  <c r="CS68" i="8"/>
  <c r="CT68" i="8"/>
  <c r="CV68" i="8"/>
  <c r="CW68" i="8"/>
  <c r="CY68" i="8"/>
  <c r="CZ68" i="8"/>
  <c r="DB68" i="8"/>
  <c r="DC68" i="8"/>
  <c r="DE68" i="8"/>
  <c r="DF68" i="8"/>
  <c r="DH68" i="8"/>
  <c r="DI68" i="8"/>
  <c r="DK68" i="8"/>
  <c r="H69" i="8"/>
  <c r="J69" i="8"/>
  <c r="K69" i="8"/>
  <c r="M69" i="8"/>
  <c r="N69" i="8"/>
  <c r="P69" i="8"/>
  <c r="Q69" i="8"/>
  <c r="S69" i="8"/>
  <c r="T69" i="8"/>
  <c r="V69" i="8"/>
  <c r="W69" i="8"/>
  <c r="Y69" i="8"/>
  <c r="Z69" i="8"/>
  <c r="AB69" i="8"/>
  <c r="AC69" i="8"/>
  <c r="AE69" i="8"/>
  <c r="AF69" i="8"/>
  <c r="AH69" i="8"/>
  <c r="AI69" i="8"/>
  <c r="AK69" i="8"/>
  <c r="AL69" i="8"/>
  <c r="AN69" i="8"/>
  <c r="AO69" i="8"/>
  <c r="AP69" i="8"/>
  <c r="AQ69" i="8"/>
  <c r="AR69" i="8"/>
  <c r="AS69" i="8"/>
  <c r="AT69" i="8"/>
  <c r="AU69" i="8"/>
  <c r="AV69" i="8"/>
  <c r="AW69" i="8"/>
  <c r="AX69" i="8"/>
  <c r="AY69" i="8"/>
  <c r="AZ69" i="8"/>
  <c r="BA69" i="8"/>
  <c r="BA72" i="8" s="1"/>
  <c r="BC69" i="8"/>
  <c r="BC72" i="8" s="1"/>
  <c r="BB72" i="8" s="1"/>
  <c r="BD69" i="8"/>
  <c r="BD72" i="8" s="1"/>
  <c r="BF69" i="8"/>
  <c r="BF72" i="8" s="1"/>
  <c r="BE72" i="8" s="1"/>
  <c r="BG69" i="8"/>
  <c r="BG72" i="8" s="1"/>
  <c r="BI69" i="8"/>
  <c r="BI72" i="8" s="1"/>
  <c r="BH72" i="8" s="1"/>
  <c r="BJ69" i="8"/>
  <c r="BJ72" i="8" s="1"/>
  <c r="BL69" i="8"/>
  <c r="BL72" i="8" s="1"/>
  <c r="BK72" i="8" s="1"/>
  <c r="BM69" i="8"/>
  <c r="BM72" i="8" s="1"/>
  <c r="BO69" i="8"/>
  <c r="BO72" i="8" s="1"/>
  <c r="BN72" i="8" s="1"/>
  <c r="BP69" i="8"/>
  <c r="BP72" i="8" s="1"/>
  <c r="BR69" i="8"/>
  <c r="BR72" i="8" s="1"/>
  <c r="BQ72" i="8" s="1"/>
  <c r="BS69" i="8"/>
  <c r="BS72" i="8" s="1"/>
  <c r="BU69" i="8"/>
  <c r="BU72" i="8" s="1"/>
  <c r="BT72" i="8" s="1"/>
  <c r="BV69" i="8"/>
  <c r="BV72" i="8" s="1"/>
  <c r="BX69" i="8"/>
  <c r="BX72" i="8" s="1"/>
  <c r="BW72" i="8" s="1"/>
  <c r="BY69" i="8"/>
  <c r="BY72" i="8" s="1"/>
  <c r="CA69" i="8"/>
  <c r="CA72" i="8" s="1"/>
  <c r="BZ72" i="8" s="1"/>
  <c r="CB69" i="8"/>
  <c r="CB72" i="8" s="1"/>
  <c r="CD69" i="8"/>
  <c r="CD72" i="8" s="1"/>
  <c r="CC72" i="8" s="1"/>
  <c r="CE69" i="8"/>
  <c r="CE72" i="8" s="1"/>
  <c r="CG69" i="8"/>
  <c r="CG72" i="8" s="1"/>
  <c r="CF72" i="8" s="1"/>
  <c r="CH69" i="8"/>
  <c r="CH72" i="8" s="1"/>
  <c r="CJ69" i="8"/>
  <c r="CJ72" i="8" s="1"/>
  <c r="CI72" i="8" s="1"/>
  <c r="CK69" i="8"/>
  <c r="CK72" i="8" s="1"/>
  <c r="CM69" i="8"/>
  <c r="CM72" i="8" s="1"/>
  <c r="CL72" i="8" s="1"/>
  <c r="CN69" i="8"/>
  <c r="CN72" i="8" s="1"/>
  <c r="CP69" i="8"/>
  <c r="CP72" i="8" s="1"/>
  <c r="CO72" i="8" s="1"/>
  <c r="CQ69" i="8"/>
  <c r="CQ72" i="8" s="1"/>
  <c r="CS69" i="8"/>
  <c r="CS72" i="8" s="1"/>
  <c r="CR72" i="8" s="1"/>
  <c r="CT69" i="8"/>
  <c r="CT72" i="8" s="1"/>
  <c r="CV69" i="8"/>
  <c r="CV72" i="8" s="1"/>
  <c r="CU72" i="8" s="1"/>
  <c r="CW69" i="8"/>
  <c r="CW72" i="8" s="1"/>
  <c r="CY69" i="8"/>
  <c r="CY72" i="8" s="1"/>
  <c r="CX72" i="8" s="1"/>
  <c r="CZ69" i="8"/>
  <c r="CZ72" i="8" s="1"/>
  <c r="DB69" i="8"/>
  <c r="DB72" i="8" s="1"/>
  <c r="DA72" i="8" s="1"/>
  <c r="DC69" i="8"/>
  <c r="DC72" i="8" s="1"/>
  <c r="DE69" i="8"/>
  <c r="DE72" i="8" s="1"/>
  <c r="DD72" i="8" s="1"/>
  <c r="DF69" i="8"/>
  <c r="DF72" i="8" s="1"/>
  <c r="DH69" i="8"/>
  <c r="DH72" i="8" s="1"/>
  <c r="DG72" i="8" s="1"/>
  <c r="DI69" i="8"/>
  <c r="DI72" i="8" s="1"/>
  <c r="DK69" i="8"/>
  <c r="DK72" i="8" s="1"/>
  <c r="DJ72" i="8" s="1"/>
  <c r="DL69" i="8"/>
  <c r="DL72" i="8" s="1"/>
  <c r="DN69" i="8"/>
  <c r="DN72" i="8" s="1"/>
  <c r="DM72" i="8" s="1"/>
  <c r="DO69" i="8"/>
  <c r="DO72" i="8" s="1"/>
  <c r="DQ69" i="8"/>
  <c r="DQ72" i="8" s="1"/>
  <c r="DP72" i="8" s="1"/>
  <c r="DR69" i="8"/>
  <c r="DR72" i="8" s="1"/>
  <c r="DT69" i="8"/>
  <c r="DT72" i="8" s="1"/>
  <c r="DS72" i="8" s="1"/>
  <c r="DU69" i="8"/>
  <c r="DU72" i="8" s="1"/>
  <c r="DZ69" i="8"/>
  <c r="DZ72" i="8" s="1"/>
  <c r="DY72" i="8" s="1"/>
  <c r="EA69" i="8"/>
  <c r="EA72" i="8" s="1"/>
  <c r="EC69" i="8"/>
  <c r="EC72" i="8" s="1"/>
  <c r="EB72" i="8" s="1"/>
  <c r="ED69" i="8"/>
  <c r="ED72" i="8" s="1"/>
  <c r="EF69" i="8"/>
  <c r="EF72" i="8" s="1"/>
  <c r="EE72" i="8" s="1"/>
  <c r="EG69" i="8"/>
  <c r="EG72" i="8" s="1"/>
  <c r="EI69" i="8"/>
  <c r="EI72" i="8" s="1"/>
  <c r="EH72" i="8" s="1"/>
  <c r="EJ69" i="8"/>
  <c r="EJ72" i="8" s="1"/>
  <c r="EL69" i="8"/>
  <c r="EL72" i="8" s="1"/>
  <c r="EK72" i="8" s="1"/>
  <c r="EM69" i="8"/>
  <c r="EM72" i="8" s="1"/>
  <c r="EO69" i="8"/>
  <c r="EO72" i="8" s="1"/>
  <c r="EN72" i="8" s="1"/>
  <c r="EP69" i="8"/>
  <c r="EP72" i="8" s="1"/>
  <c r="ER69" i="8"/>
  <c r="ER72" i="8" s="1"/>
  <c r="EQ72" i="8" s="1"/>
  <c r="E73" i="8"/>
  <c r="G73" i="8"/>
  <c r="H73" i="8"/>
  <c r="J73" i="8"/>
  <c r="K73" i="8"/>
  <c r="M73" i="8"/>
  <c r="N73" i="8"/>
  <c r="P73" i="8"/>
  <c r="Q73" i="8"/>
  <c r="S73" i="8"/>
  <c r="T73" i="8"/>
  <c r="V73" i="8"/>
  <c r="W73" i="8"/>
  <c r="Y73" i="8"/>
  <c r="Z73" i="8"/>
  <c r="AB73" i="8"/>
  <c r="AC73" i="8"/>
  <c r="AE73" i="8"/>
  <c r="AF73" i="8"/>
  <c r="AH73" i="8"/>
  <c r="AI73" i="8"/>
  <c r="AK73" i="8"/>
  <c r="AL73" i="8"/>
  <c r="AN73" i="8"/>
  <c r="AO73" i="8"/>
  <c r="AQ73" i="8"/>
  <c r="AR73" i="8"/>
  <c r="AT73" i="8"/>
  <c r="AU73" i="8"/>
  <c r="AW73" i="8"/>
  <c r="AX73" i="8"/>
  <c r="AZ73" i="8"/>
  <c r="BB73" i="8"/>
  <c r="BE73" i="8"/>
  <c r="BH73" i="8"/>
  <c r="BK73" i="8"/>
  <c r="BN73" i="8"/>
  <c r="BQ73" i="8"/>
  <c r="BT73" i="8"/>
  <c r="BW73" i="8"/>
  <c r="BZ73" i="8"/>
  <c r="CC73" i="8"/>
  <c r="CF73" i="8"/>
  <c r="CI73" i="8"/>
  <c r="CL73" i="8"/>
  <c r="CO73" i="8"/>
  <c r="CR73" i="8"/>
  <c r="CU73" i="8"/>
  <c r="CX73" i="8"/>
  <c r="DA73" i="8"/>
  <c r="DD73" i="8"/>
  <c r="DG73" i="8"/>
  <c r="DJ73" i="8"/>
  <c r="DM73" i="8"/>
  <c r="DP73" i="8"/>
  <c r="DS73" i="8"/>
  <c r="DY73" i="8"/>
  <c r="EB73" i="8"/>
  <c r="EE73" i="8"/>
  <c r="EH73" i="8"/>
  <c r="EK73" i="8"/>
  <c r="EN73" i="8"/>
  <c r="EQ73" i="8"/>
  <c r="F75" i="8"/>
  <c r="I75" i="8"/>
  <c r="I78" i="8" s="1"/>
  <c r="L75" i="8"/>
  <c r="L78" i="8" s="1"/>
  <c r="O75" i="8"/>
  <c r="O78" i="8" s="1"/>
  <c r="R75" i="8"/>
  <c r="R78" i="8" s="1"/>
  <c r="U75" i="8"/>
  <c r="U78" i="8" s="1"/>
  <c r="X75" i="8"/>
  <c r="X78" i="8" s="1"/>
  <c r="AA75" i="8"/>
  <c r="AA78" i="8" s="1"/>
  <c r="AD75" i="8"/>
  <c r="AD78" i="8" s="1"/>
  <c r="AG75" i="8"/>
  <c r="AG78" i="8" s="1"/>
  <c r="AJ75" i="8"/>
  <c r="AJ78" i="8" s="1"/>
  <c r="AM75" i="8"/>
  <c r="AM78" i="8" s="1"/>
  <c r="BB75" i="8"/>
  <c r="BB78" i="8" s="1"/>
  <c r="BE75" i="8"/>
  <c r="BE78" i="8" s="1"/>
  <c r="BH75" i="8"/>
  <c r="BH78" i="8" s="1"/>
  <c r="BK75" i="8"/>
  <c r="BK78" i="8" s="1"/>
  <c r="BN75" i="8"/>
  <c r="BN78" i="8" s="1"/>
  <c r="BQ75" i="8"/>
  <c r="BQ78" i="8" s="1"/>
  <c r="BT75" i="8"/>
  <c r="BT78" i="8" s="1"/>
  <c r="BW75" i="8"/>
  <c r="BW78" i="8" s="1"/>
  <c r="BZ75" i="8"/>
  <c r="BZ78" i="8" s="1"/>
  <c r="CC75" i="8"/>
  <c r="CC78" i="8" s="1"/>
  <c r="CF75" i="8"/>
  <c r="CF78" i="8" s="1"/>
  <c r="CI75" i="8"/>
  <c r="CI78" i="8" s="1"/>
  <c r="CL75" i="8"/>
  <c r="CL78" i="8" s="1"/>
  <c r="CO75" i="8"/>
  <c r="CO78" i="8" s="1"/>
  <c r="CR75" i="8"/>
  <c r="CR78" i="8" s="1"/>
  <c r="CU75" i="8"/>
  <c r="CU78" i="8" s="1"/>
  <c r="CX75" i="8"/>
  <c r="CX78" i="8" s="1"/>
  <c r="DA75" i="8"/>
  <c r="DA78" i="8" s="1"/>
  <c r="DD75" i="8"/>
  <c r="DD78" i="8" s="1"/>
  <c r="DG75" i="8"/>
  <c r="DG78" i="8" s="1"/>
  <c r="DJ75" i="8"/>
  <c r="DJ78" i="8" s="1"/>
  <c r="DM75" i="8"/>
  <c r="DM78" i="8" s="1"/>
  <c r="DP75" i="8"/>
  <c r="DP78" i="8" s="1"/>
  <c r="DS75" i="8"/>
  <c r="DS78" i="8" s="1"/>
  <c r="DY75" i="8"/>
  <c r="DY78" i="8" s="1"/>
  <c r="EB75" i="8"/>
  <c r="EB78" i="8" s="1"/>
  <c r="EE75" i="8"/>
  <c r="EE78" i="8" s="1"/>
  <c r="EH75" i="8"/>
  <c r="EH78" i="8" s="1"/>
  <c r="EK75" i="8"/>
  <c r="EK78" i="8" s="1"/>
  <c r="EN75" i="8"/>
  <c r="EN78" i="8" s="1"/>
  <c r="EQ75" i="8"/>
  <c r="EQ78" i="8" s="1"/>
  <c r="F76" i="8"/>
  <c r="I76" i="8"/>
  <c r="L76" i="8"/>
  <c r="O76" i="8"/>
  <c r="R76" i="8"/>
  <c r="U76" i="8"/>
  <c r="X76" i="8"/>
  <c r="AA76" i="8"/>
  <c r="AD76" i="8"/>
  <c r="AG76" i="8"/>
  <c r="AJ76" i="8"/>
  <c r="AM76" i="8"/>
  <c r="AP76" i="8"/>
  <c r="AS76" i="8"/>
  <c r="AV76" i="8"/>
  <c r="AY76" i="8"/>
  <c r="BB76" i="8"/>
  <c r="BE76" i="8"/>
  <c r="BH76" i="8"/>
  <c r="BK76" i="8"/>
  <c r="BN76" i="8"/>
  <c r="BQ76" i="8"/>
  <c r="BT76" i="8"/>
  <c r="BW76" i="8"/>
  <c r="BZ76" i="8"/>
  <c r="CC76" i="8"/>
  <c r="CF76" i="8"/>
  <c r="CI76" i="8"/>
  <c r="CL76" i="8"/>
  <c r="CO76" i="8"/>
  <c r="CR76" i="8"/>
  <c r="CU76" i="8"/>
  <c r="CX76" i="8"/>
  <c r="DA76" i="8"/>
  <c r="DD76" i="8"/>
  <c r="DG76" i="8"/>
  <c r="DJ76" i="8"/>
  <c r="DM76" i="8"/>
  <c r="DP76" i="8"/>
  <c r="DS76" i="8"/>
  <c r="DY76" i="8"/>
  <c r="EB76" i="8"/>
  <c r="EE76" i="8"/>
  <c r="EH76" i="8"/>
  <c r="EK76" i="8"/>
  <c r="EN76" i="8"/>
  <c r="EQ76" i="8"/>
  <c r="E77" i="8"/>
  <c r="F77" i="8"/>
  <c r="G77" i="8"/>
  <c r="H77" i="8"/>
  <c r="I77" i="8"/>
  <c r="J77" i="8"/>
  <c r="K77" i="8"/>
  <c r="L77" i="8"/>
  <c r="M77" i="8"/>
  <c r="N77" i="8"/>
  <c r="O77" i="8"/>
  <c r="P77" i="8"/>
  <c r="Q77" i="8"/>
  <c r="R77" i="8"/>
  <c r="S77" i="8"/>
  <c r="T77" i="8"/>
  <c r="U77" i="8"/>
  <c r="V77" i="8"/>
  <c r="W77" i="8"/>
  <c r="X77" i="8"/>
  <c r="Y77" i="8"/>
  <c r="Z77" i="8"/>
  <c r="AA77" i="8"/>
  <c r="AB77" i="8"/>
  <c r="AC77" i="8"/>
  <c r="AD77" i="8"/>
  <c r="AE77" i="8"/>
  <c r="AF77" i="8"/>
  <c r="AG77" i="8"/>
  <c r="AH77" i="8"/>
  <c r="AI77" i="8"/>
  <c r="AJ77" i="8"/>
  <c r="AK77" i="8"/>
  <c r="AL77" i="8"/>
  <c r="AM77" i="8"/>
  <c r="AN77" i="8"/>
  <c r="AO77" i="8"/>
  <c r="AP77" i="8"/>
  <c r="AQ77" i="8"/>
  <c r="AR77" i="8"/>
  <c r="AS77" i="8"/>
  <c r="AT77" i="8"/>
  <c r="AU77" i="8"/>
  <c r="AV77" i="8"/>
  <c r="AW77" i="8"/>
  <c r="AX77" i="8"/>
  <c r="AY77" i="8"/>
  <c r="AZ77" i="8"/>
  <c r="BA77" i="8"/>
  <c r="BB77" i="8"/>
  <c r="BC77" i="8"/>
  <c r="BD77" i="8"/>
  <c r="BE77" i="8"/>
  <c r="BF77" i="8"/>
  <c r="BG77" i="8"/>
  <c r="BH77" i="8"/>
  <c r="BI77" i="8"/>
  <c r="BJ77" i="8"/>
  <c r="BK77" i="8"/>
  <c r="BL77" i="8"/>
  <c r="BM77" i="8"/>
  <c r="BN77" i="8"/>
  <c r="BO77" i="8"/>
  <c r="BP77" i="8"/>
  <c r="BQ77" i="8"/>
  <c r="BR77" i="8"/>
  <c r="BS77" i="8"/>
  <c r="BT77" i="8"/>
  <c r="BU77" i="8"/>
  <c r="BV77" i="8"/>
  <c r="BW77" i="8"/>
  <c r="BX77" i="8"/>
  <c r="BY77" i="8"/>
  <c r="BZ77" i="8"/>
  <c r="CA77" i="8"/>
  <c r="CB77" i="8"/>
  <c r="CC77" i="8"/>
  <c r="CD77" i="8"/>
  <c r="CE77" i="8"/>
  <c r="CF77" i="8"/>
  <c r="CG77" i="8"/>
  <c r="CH77" i="8"/>
  <c r="CI77" i="8"/>
  <c r="CJ77" i="8"/>
  <c r="CK77" i="8"/>
  <c r="CL77" i="8"/>
  <c r="CM77" i="8"/>
  <c r="CN77" i="8"/>
  <c r="CO77" i="8"/>
  <c r="CP77" i="8"/>
  <c r="CQ77" i="8"/>
  <c r="CR77" i="8"/>
  <c r="CS77" i="8"/>
  <c r="CT77" i="8"/>
  <c r="CU77" i="8"/>
  <c r="CV77" i="8"/>
  <c r="CW77" i="8"/>
  <c r="CX77" i="8"/>
  <c r="CY77" i="8"/>
  <c r="CZ77" i="8"/>
  <c r="DA77" i="8"/>
  <c r="DB77" i="8"/>
  <c r="DC77" i="8"/>
  <c r="DD77" i="8"/>
  <c r="DE77" i="8"/>
  <c r="DF77" i="8"/>
  <c r="DG77" i="8"/>
  <c r="DH77" i="8"/>
  <c r="DI77" i="8"/>
  <c r="DJ77" i="8"/>
  <c r="DK77" i="8"/>
  <c r="DL77" i="8"/>
  <c r="DM77" i="8"/>
  <c r="DN77" i="8"/>
  <c r="DO77" i="8"/>
  <c r="DP77" i="8"/>
  <c r="DQ77" i="8"/>
  <c r="DR77" i="8"/>
  <c r="DS77" i="8"/>
  <c r="DT77" i="8"/>
  <c r="DW79" i="8" s="1"/>
  <c r="DU77" i="8"/>
  <c r="DV79" i="8" s="1"/>
  <c r="DY77" i="8"/>
  <c r="DZ77" i="8"/>
  <c r="EA77" i="8"/>
  <c r="EB77" i="8"/>
  <c r="EC77" i="8"/>
  <c r="ED77" i="8"/>
  <c r="EE77" i="8"/>
  <c r="EF77" i="8"/>
  <c r="EG77" i="8"/>
  <c r="EH77" i="8"/>
  <c r="EI77" i="8"/>
  <c r="EJ77" i="8"/>
  <c r="EK77" i="8"/>
  <c r="EL77" i="8"/>
  <c r="EM77" i="8"/>
  <c r="EN77" i="8"/>
  <c r="EO77" i="8"/>
  <c r="EP77" i="8"/>
  <c r="EQ77" i="8"/>
  <c r="ER77" i="8"/>
  <c r="H78" i="8"/>
  <c r="J78" i="8"/>
  <c r="K78" i="8"/>
  <c r="M78" i="8"/>
  <c r="N78" i="8"/>
  <c r="P78" i="8"/>
  <c r="Q78" i="8"/>
  <c r="S78" i="8"/>
  <c r="T78" i="8"/>
  <c r="V78" i="8"/>
  <c r="W78" i="8"/>
  <c r="Y78" i="8"/>
  <c r="Z78" i="8"/>
  <c r="AB78" i="8"/>
  <c r="AC78" i="8"/>
  <c r="AE78" i="8"/>
  <c r="AF78" i="8"/>
  <c r="AH78" i="8"/>
  <c r="AI78" i="8"/>
  <c r="AK78" i="8"/>
  <c r="AL78" i="8"/>
  <c r="AN78" i="8"/>
  <c r="AO78" i="8"/>
  <c r="AP78" i="8"/>
  <c r="AQ78" i="8"/>
  <c r="AR78" i="8"/>
  <c r="AS78" i="8"/>
  <c r="AT78" i="8"/>
  <c r="AU78" i="8"/>
  <c r="AV78" i="8"/>
  <c r="AW78" i="8"/>
  <c r="AX78" i="8"/>
  <c r="AY78" i="8"/>
  <c r="AZ78" i="8"/>
  <c r="BA78" i="8"/>
  <c r="BA81" i="8" s="1"/>
  <c r="BC78" i="8"/>
  <c r="BC81" i="8" s="1"/>
  <c r="BB81" i="8" s="1"/>
  <c r="BD78" i="8"/>
  <c r="BD81" i="8" s="1"/>
  <c r="BF78" i="8"/>
  <c r="BF81" i="8" s="1"/>
  <c r="BE81" i="8" s="1"/>
  <c r="BG78" i="8"/>
  <c r="BG81" i="8" s="1"/>
  <c r="BI78" i="8"/>
  <c r="BI81" i="8" s="1"/>
  <c r="BH81" i="8" s="1"/>
  <c r="BJ78" i="8"/>
  <c r="BJ81" i="8" s="1"/>
  <c r="BL78" i="8"/>
  <c r="BL81" i="8" s="1"/>
  <c r="BK81" i="8" s="1"/>
  <c r="BM78" i="8"/>
  <c r="BM81" i="8" s="1"/>
  <c r="BO78" i="8"/>
  <c r="BO81" i="8" s="1"/>
  <c r="BN81" i="8" s="1"/>
  <c r="BP78" i="8"/>
  <c r="BP81" i="8" s="1"/>
  <c r="BR78" i="8"/>
  <c r="BR81" i="8" s="1"/>
  <c r="BQ81" i="8" s="1"/>
  <c r="BS78" i="8"/>
  <c r="BS81" i="8" s="1"/>
  <c r="BU78" i="8"/>
  <c r="BU81" i="8" s="1"/>
  <c r="BT81" i="8" s="1"/>
  <c r="BV78" i="8"/>
  <c r="BV81" i="8" s="1"/>
  <c r="BX78" i="8"/>
  <c r="BX81" i="8" s="1"/>
  <c r="BW81" i="8" s="1"/>
  <c r="BY78" i="8"/>
  <c r="BY81" i="8" s="1"/>
  <c r="CA78" i="8"/>
  <c r="CA81" i="8" s="1"/>
  <c r="BZ81" i="8" s="1"/>
  <c r="CB78" i="8"/>
  <c r="CB81" i="8" s="1"/>
  <c r="CD78" i="8"/>
  <c r="CD81" i="8" s="1"/>
  <c r="CC81" i="8" s="1"/>
  <c r="CE78" i="8"/>
  <c r="CE81" i="8" s="1"/>
  <c r="CG78" i="8"/>
  <c r="CG81" i="8" s="1"/>
  <c r="CF81" i="8" s="1"/>
  <c r="CH78" i="8"/>
  <c r="CH81" i="8" s="1"/>
  <c r="CJ78" i="8"/>
  <c r="CJ81" i="8" s="1"/>
  <c r="CI81" i="8" s="1"/>
  <c r="CK78" i="8"/>
  <c r="CK81" i="8" s="1"/>
  <c r="CM78" i="8"/>
  <c r="CM81" i="8" s="1"/>
  <c r="CL81" i="8" s="1"/>
  <c r="CN78" i="8"/>
  <c r="CN81" i="8" s="1"/>
  <c r="CP78" i="8"/>
  <c r="CP81" i="8" s="1"/>
  <c r="CO81" i="8" s="1"/>
  <c r="CQ78" i="8"/>
  <c r="CQ81" i="8" s="1"/>
  <c r="CS78" i="8"/>
  <c r="CS81" i="8" s="1"/>
  <c r="CR81" i="8" s="1"/>
  <c r="CT78" i="8"/>
  <c r="CT81" i="8" s="1"/>
  <c r="CV78" i="8"/>
  <c r="CV81" i="8" s="1"/>
  <c r="CU81" i="8" s="1"/>
  <c r="CW78" i="8"/>
  <c r="CW81" i="8" s="1"/>
  <c r="CY78" i="8"/>
  <c r="CY81" i="8" s="1"/>
  <c r="CX81" i="8" s="1"/>
  <c r="CZ78" i="8"/>
  <c r="CZ81" i="8" s="1"/>
  <c r="DB78" i="8"/>
  <c r="DB81" i="8" s="1"/>
  <c r="DA81" i="8" s="1"/>
  <c r="DC78" i="8"/>
  <c r="DC81" i="8" s="1"/>
  <c r="DE78" i="8"/>
  <c r="DE81" i="8" s="1"/>
  <c r="DD81" i="8" s="1"/>
  <c r="DF78" i="8"/>
  <c r="DF81" i="8" s="1"/>
  <c r="DH78" i="8"/>
  <c r="DH81" i="8" s="1"/>
  <c r="DG81" i="8" s="1"/>
  <c r="DI78" i="8"/>
  <c r="DI81" i="8" s="1"/>
  <c r="DK78" i="8"/>
  <c r="DK81" i="8" s="1"/>
  <c r="DJ81" i="8" s="1"/>
  <c r="DL78" i="8"/>
  <c r="DL81" i="8" s="1"/>
  <c r="DN78" i="8"/>
  <c r="DN81" i="8" s="1"/>
  <c r="DM81" i="8" s="1"/>
  <c r="DO78" i="8"/>
  <c r="DO81" i="8" s="1"/>
  <c r="DQ78" i="8"/>
  <c r="DQ81" i="8" s="1"/>
  <c r="DP81" i="8" s="1"/>
  <c r="DR78" i="8"/>
  <c r="DR81" i="8" s="1"/>
  <c r="DT78" i="8"/>
  <c r="DT81" i="8" s="1"/>
  <c r="DS81" i="8" s="1"/>
  <c r="DU78" i="8"/>
  <c r="DU81" i="8" s="1"/>
  <c r="DZ78" i="8"/>
  <c r="DZ81" i="8" s="1"/>
  <c r="DY81" i="8" s="1"/>
  <c r="EA78" i="8"/>
  <c r="EA81" i="8" s="1"/>
  <c r="EC78" i="8"/>
  <c r="EC81" i="8" s="1"/>
  <c r="EB81" i="8" s="1"/>
  <c r="ED78" i="8"/>
  <c r="ED81" i="8" s="1"/>
  <c r="EF78" i="8"/>
  <c r="EF81" i="8" s="1"/>
  <c r="EE81" i="8" s="1"/>
  <c r="EG78" i="8"/>
  <c r="EG81" i="8" s="1"/>
  <c r="EI78" i="8"/>
  <c r="EI81" i="8" s="1"/>
  <c r="EH81" i="8" s="1"/>
  <c r="EJ78" i="8"/>
  <c r="EJ81" i="8" s="1"/>
  <c r="EL78" i="8"/>
  <c r="EL81" i="8" s="1"/>
  <c r="EK81" i="8" s="1"/>
  <c r="EM78" i="8"/>
  <c r="EM81" i="8" s="1"/>
  <c r="EO78" i="8"/>
  <c r="EO81" i="8" s="1"/>
  <c r="EN81" i="8" s="1"/>
  <c r="EP78" i="8"/>
  <c r="EP81" i="8" s="1"/>
  <c r="ER78" i="8"/>
  <c r="ER81" i="8" s="1"/>
  <c r="EQ81" i="8" s="1"/>
  <c r="E81" i="8"/>
  <c r="F81" i="8"/>
  <c r="G81" i="8"/>
  <c r="H81" i="8"/>
  <c r="I81" i="8"/>
  <c r="J81" i="8"/>
  <c r="K81" i="8"/>
  <c r="L81" i="8"/>
  <c r="M81" i="8"/>
  <c r="N81" i="8"/>
  <c r="O81" i="8"/>
  <c r="P81" i="8"/>
  <c r="Q81" i="8"/>
  <c r="R81" i="8"/>
  <c r="S81" i="8"/>
  <c r="T81" i="8"/>
  <c r="U81" i="8"/>
  <c r="V81" i="8"/>
  <c r="W81" i="8"/>
  <c r="X81" i="8"/>
  <c r="Y81" i="8"/>
  <c r="Z81" i="8"/>
  <c r="AA81" i="8"/>
  <c r="AB81" i="8"/>
  <c r="AC81" i="8"/>
  <c r="AD81" i="8"/>
  <c r="AE81" i="8"/>
  <c r="AF81" i="8"/>
  <c r="AG81" i="8"/>
  <c r="AH81" i="8"/>
  <c r="AI81" i="8"/>
  <c r="AJ81" i="8"/>
  <c r="AK81" i="8"/>
  <c r="AL81" i="8"/>
  <c r="AM81" i="8"/>
  <c r="AN81" i="8"/>
  <c r="AO81" i="8"/>
  <c r="AP81" i="8"/>
  <c r="AQ81" i="8"/>
  <c r="AR81" i="8"/>
  <c r="AS81" i="8"/>
  <c r="AT81" i="8"/>
  <c r="AU81" i="8"/>
  <c r="AV81" i="8"/>
  <c r="AW81" i="8"/>
  <c r="AX81" i="8"/>
  <c r="AY81" i="8"/>
  <c r="AZ81" i="8"/>
  <c r="E82" i="8"/>
  <c r="G82" i="8"/>
  <c r="H82" i="8"/>
  <c r="J82" i="8"/>
  <c r="K82" i="8"/>
  <c r="M82" i="8"/>
  <c r="N82" i="8"/>
  <c r="P82" i="8"/>
  <c r="Q82" i="8"/>
  <c r="S82" i="8"/>
  <c r="T82" i="8"/>
  <c r="V82" i="8"/>
  <c r="W82" i="8"/>
  <c r="Y82" i="8"/>
  <c r="Z82" i="8"/>
  <c r="AB82" i="8"/>
  <c r="AC82" i="8"/>
  <c r="AE82" i="8"/>
  <c r="AF82" i="8"/>
  <c r="AH82" i="8"/>
  <c r="AI82" i="8"/>
  <c r="AK82" i="8"/>
  <c r="AL82" i="8"/>
  <c r="AN82" i="8"/>
  <c r="AO82" i="8"/>
  <c r="AQ82" i="8"/>
  <c r="AR82" i="8"/>
  <c r="AT82" i="8"/>
  <c r="AU82" i="8"/>
  <c r="AW82" i="8"/>
  <c r="AX82" i="8"/>
  <c r="AZ82" i="8"/>
  <c r="BB82" i="8"/>
  <c r="BE82" i="8"/>
  <c r="BH82" i="8"/>
  <c r="BK82" i="8"/>
  <c r="BN82" i="8"/>
  <c r="BQ82" i="8"/>
  <c r="BT82" i="8"/>
  <c r="BW82" i="8"/>
  <c r="BZ82" i="8"/>
  <c r="CC82" i="8"/>
  <c r="CF82" i="8"/>
  <c r="CI82" i="8"/>
  <c r="CL82" i="8"/>
  <c r="CO82" i="8"/>
  <c r="CR82" i="8"/>
  <c r="CU82" i="8"/>
  <c r="CX82" i="8"/>
  <c r="DA82" i="8"/>
  <c r="DD82" i="8"/>
  <c r="DG82" i="8"/>
  <c r="DJ82" i="8"/>
  <c r="DM82" i="8"/>
  <c r="DP82" i="8"/>
  <c r="DS82" i="8"/>
  <c r="DY82" i="8"/>
  <c r="EB82" i="8"/>
  <c r="EE82" i="8"/>
  <c r="EH82" i="8"/>
  <c r="EK82" i="8"/>
  <c r="EN82" i="8"/>
  <c r="EQ82" i="8"/>
  <c r="F84" i="8"/>
  <c r="I84" i="8"/>
  <c r="I87" i="8" s="1"/>
  <c r="L84" i="8"/>
  <c r="L87" i="8" s="1"/>
  <c r="O84" i="8"/>
  <c r="O87" i="8" s="1"/>
  <c r="R84" i="8"/>
  <c r="R87" i="8" s="1"/>
  <c r="U84" i="8"/>
  <c r="U87" i="8" s="1"/>
  <c r="X84" i="8"/>
  <c r="X87" i="8" s="1"/>
  <c r="AA84" i="8"/>
  <c r="AA87" i="8" s="1"/>
  <c r="AD84" i="8"/>
  <c r="AD87" i="8" s="1"/>
  <c r="AG84" i="8"/>
  <c r="AG87" i="8" s="1"/>
  <c r="AJ84" i="8"/>
  <c r="AJ87" i="8" s="1"/>
  <c r="AM84" i="8"/>
  <c r="AM87" i="8" s="1"/>
  <c r="BB84" i="8"/>
  <c r="BB87" i="8" s="1"/>
  <c r="BE84" i="8"/>
  <c r="BE87" i="8" s="1"/>
  <c r="BH84" i="8"/>
  <c r="BH87" i="8" s="1"/>
  <c r="BK84" i="8"/>
  <c r="BK87" i="8" s="1"/>
  <c r="BN84" i="8"/>
  <c r="BN87" i="8" s="1"/>
  <c r="BQ84" i="8"/>
  <c r="BQ87" i="8" s="1"/>
  <c r="BT84" i="8"/>
  <c r="BT87" i="8" s="1"/>
  <c r="BW84" i="8"/>
  <c r="BW87" i="8" s="1"/>
  <c r="BZ84" i="8"/>
  <c r="BZ87" i="8" s="1"/>
  <c r="CC84" i="8"/>
  <c r="CC87" i="8" s="1"/>
  <c r="CF84" i="8"/>
  <c r="CF87" i="8" s="1"/>
  <c r="CI84" i="8"/>
  <c r="CI87" i="8" s="1"/>
  <c r="CL84" i="8"/>
  <c r="CL87" i="8" s="1"/>
  <c r="CO84" i="8"/>
  <c r="CO87" i="8" s="1"/>
  <c r="CR84" i="8"/>
  <c r="CR87" i="8" s="1"/>
  <c r="CU84" i="8"/>
  <c r="CU87" i="8" s="1"/>
  <c r="CX84" i="8"/>
  <c r="CX87" i="8" s="1"/>
  <c r="DA84" i="8"/>
  <c r="DA87" i="8" s="1"/>
  <c r="DD84" i="8"/>
  <c r="DD87" i="8" s="1"/>
  <c r="DG84" i="8"/>
  <c r="DG87" i="8" s="1"/>
  <c r="DJ84" i="8"/>
  <c r="DJ87" i="8" s="1"/>
  <c r="DM84" i="8"/>
  <c r="DM87" i="8" s="1"/>
  <c r="DP84" i="8"/>
  <c r="DP87" i="8" s="1"/>
  <c r="DS84" i="8"/>
  <c r="DS87" i="8" s="1"/>
  <c r="DY84" i="8"/>
  <c r="DY87" i="8" s="1"/>
  <c r="EB84" i="8"/>
  <c r="EB87" i="8" s="1"/>
  <c r="EE84" i="8"/>
  <c r="EE87" i="8" s="1"/>
  <c r="EH84" i="8"/>
  <c r="EH87" i="8" s="1"/>
  <c r="EK84" i="8"/>
  <c r="EK87" i="8" s="1"/>
  <c r="EN84" i="8"/>
  <c r="EN87" i="8" s="1"/>
  <c r="EQ84" i="8"/>
  <c r="EQ87" i="8" s="1"/>
  <c r="F85" i="8"/>
  <c r="I85" i="8"/>
  <c r="L85" i="8"/>
  <c r="O85" i="8"/>
  <c r="R85" i="8"/>
  <c r="U85" i="8"/>
  <c r="X85" i="8"/>
  <c r="AA85" i="8"/>
  <c r="AD85" i="8"/>
  <c r="AG85" i="8"/>
  <c r="AJ85" i="8"/>
  <c r="AM85" i="8"/>
  <c r="AP85" i="8"/>
  <c r="AS85" i="8"/>
  <c r="AV85" i="8"/>
  <c r="AY85" i="8"/>
  <c r="BB85" i="8"/>
  <c r="BE85" i="8"/>
  <c r="BH85" i="8"/>
  <c r="BK85" i="8"/>
  <c r="BN85" i="8"/>
  <c r="BQ85" i="8"/>
  <c r="BT85" i="8"/>
  <c r="BW85" i="8"/>
  <c r="BZ85" i="8"/>
  <c r="CC85" i="8"/>
  <c r="CF85" i="8"/>
  <c r="CI85" i="8"/>
  <c r="CL85" i="8"/>
  <c r="CO85" i="8"/>
  <c r="CR85" i="8"/>
  <c r="CU85" i="8"/>
  <c r="CX85" i="8"/>
  <c r="DA85" i="8"/>
  <c r="DD85" i="8"/>
  <c r="DG85" i="8"/>
  <c r="DJ85" i="8"/>
  <c r="DM85" i="8"/>
  <c r="DP85" i="8"/>
  <c r="DS85" i="8"/>
  <c r="DY85" i="8"/>
  <c r="EB85" i="8"/>
  <c r="EE85" i="8"/>
  <c r="EH85" i="8"/>
  <c r="EK85" i="8"/>
  <c r="EN85" i="8"/>
  <c r="EQ85" i="8"/>
  <c r="H87" i="8"/>
  <c r="J87" i="8"/>
  <c r="K87" i="8"/>
  <c r="M87" i="8"/>
  <c r="N87" i="8"/>
  <c r="P87" i="8"/>
  <c r="Q87" i="8"/>
  <c r="S87" i="8"/>
  <c r="T87" i="8"/>
  <c r="V87" i="8"/>
  <c r="W87" i="8"/>
  <c r="Y87" i="8"/>
  <c r="Z87" i="8"/>
  <c r="AB87" i="8"/>
  <c r="AC87" i="8"/>
  <c r="AE87" i="8"/>
  <c r="AF87" i="8"/>
  <c r="AH87" i="8"/>
  <c r="AI87" i="8"/>
  <c r="AK87" i="8"/>
  <c r="AL87" i="8"/>
  <c r="AN87" i="8"/>
  <c r="AO87" i="8"/>
  <c r="AP87" i="8"/>
  <c r="AQ87" i="8"/>
  <c r="AR87" i="8"/>
  <c r="AS87" i="8"/>
  <c r="AT87" i="8"/>
  <c r="AU87" i="8"/>
  <c r="AV87" i="8"/>
  <c r="AW87" i="8"/>
  <c r="AX87" i="8"/>
  <c r="AY87" i="8"/>
  <c r="AZ87" i="8"/>
  <c r="BA87" i="8"/>
  <c r="BA90" i="8" s="1"/>
  <c r="BC87" i="8"/>
  <c r="BC90" i="8" s="1"/>
  <c r="BB90" i="8" s="1"/>
  <c r="BD87" i="8"/>
  <c r="BD90" i="8" s="1"/>
  <c r="BF87" i="8"/>
  <c r="BF90" i="8" s="1"/>
  <c r="BE90" i="8" s="1"/>
  <c r="BG87" i="8"/>
  <c r="BG90" i="8" s="1"/>
  <c r="BI87" i="8"/>
  <c r="BI90" i="8" s="1"/>
  <c r="BH90" i="8" s="1"/>
  <c r="BJ87" i="8"/>
  <c r="BJ90" i="8" s="1"/>
  <c r="BL87" i="8"/>
  <c r="BL90" i="8" s="1"/>
  <c r="BK90" i="8" s="1"/>
  <c r="BM87" i="8"/>
  <c r="BM90" i="8" s="1"/>
  <c r="BO87" i="8"/>
  <c r="BO90" i="8" s="1"/>
  <c r="BN90" i="8" s="1"/>
  <c r="BP87" i="8"/>
  <c r="BP90" i="8" s="1"/>
  <c r="BR87" i="8"/>
  <c r="BR90" i="8" s="1"/>
  <c r="BQ90" i="8" s="1"/>
  <c r="BS87" i="8"/>
  <c r="BS90" i="8" s="1"/>
  <c r="BU87" i="8"/>
  <c r="BU90" i="8" s="1"/>
  <c r="BT90" i="8" s="1"/>
  <c r="BV87" i="8"/>
  <c r="BV90" i="8" s="1"/>
  <c r="BX87" i="8"/>
  <c r="BX90" i="8" s="1"/>
  <c r="BW90" i="8" s="1"/>
  <c r="BY87" i="8"/>
  <c r="BY90" i="8" s="1"/>
  <c r="CA87" i="8"/>
  <c r="CA90" i="8" s="1"/>
  <c r="BZ90" i="8" s="1"/>
  <c r="CB87" i="8"/>
  <c r="CB90" i="8" s="1"/>
  <c r="CD87" i="8"/>
  <c r="CD90" i="8" s="1"/>
  <c r="CC90" i="8" s="1"/>
  <c r="CE87" i="8"/>
  <c r="CE90" i="8" s="1"/>
  <c r="CG87" i="8"/>
  <c r="CG90" i="8" s="1"/>
  <c r="CF90" i="8" s="1"/>
  <c r="CH87" i="8"/>
  <c r="CH90" i="8" s="1"/>
  <c r="CJ87" i="8"/>
  <c r="CJ90" i="8" s="1"/>
  <c r="CI90" i="8" s="1"/>
  <c r="CK87" i="8"/>
  <c r="CK90" i="8" s="1"/>
  <c r="CM87" i="8"/>
  <c r="CM90" i="8" s="1"/>
  <c r="CL90" i="8" s="1"/>
  <c r="CN87" i="8"/>
  <c r="CN90" i="8" s="1"/>
  <c r="CP87" i="8"/>
  <c r="CP90" i="8" s="1"/>
  <c r="CO90" i="8" s="1"/>
  <c r="CQ87" i="8"/>
  <c r="CQ90" i="8" s="1"/>
  <c r="CS87" i="8"/>
  <c r="CS90" i="8" s="1"/>
  <c r="CR90" i="8" s="1"/>
  <c r="CT87" i="8"/>
  <c r="CT90" i="8" s="1"/>
  <c r="CV87" i="8"/>
  <c r="CV90" i="8" s="1"/>
  <c r="CU90" i="8" s="1"/>
  <c r="CW87" i="8"/>
  <c r="CW90" i="8" s="1"/>
  <c r="CY87" i="8"/>
  <c r="CY90" i="8" s="1"/>
  <c r="CX90" i="8" s="1"/>
  <c r="CZ87" i="8"/>
  <c r="CZ90" i="8" s="1"/>
  <c r="DB87" i="8"/>
  <c r="DB90" i="8" s="1"/>
  <c r="DA90" i="8" s="1"/>
  <c r="DC87" i="8"/>
  <c r="DC90" i="8" s="1"/>
  <c r="DE87" i="8"/>
  <c r="DE90" i="8" s="1"/>
  <c r="DD90" i="8" s="1"/>
  <c r="DF87" i="8"/>
  <c r="DF90" i="8" s="1"/>
  <c r="DH87" i="8"/>
  <c r="DH90" i="8" s="1"/>
  <c r="DG90" i="8" s="1"/>
  <c r="DI87" i="8"/>
  <c r="DI90" i="8" s="1"/>
  <c r="DK87" i="8"/>
  <c r="DK90" i="8" s="1"/>
  <c r="DJ90" i="8" s="1"/>
  <c r="DL87" i="8"/>
  <c r="DL90" i="8" s="1"/>
  <c r="DN87" i="8"/>
  <c r="DN90" i="8" s="1"/>
  <c r="DM90" i="8" s="1"/>
  <c r="DO87" i="8"/>
  <c r="DO90" i="8" s="1"/>
  <c r="DQ87" i="8"/>
  <c r="DQ90" i="8" s="1"/>
  <c r="DP90" i="8" s="1"/>
  <c r="DR87" i="8"/>
  <c r="DR90" i="8" s="1"/>
  <c r="DT87" i="8"/>
  <c r="DT90" i="8" s="1"/>
  <c r="DS90" i="8" s="1"/>
  <c r="DU87" i="8"/>
  <c r="DU90" i="8" s="1"/>
  <c r="DX90" i="8"/>
  <c r="DZ87" i="8"/>
  <c r="DZ90" i="8" s="1"/>
  <c r="DY90" i="8" s="1"/>
  <c r="EA87" i="8"/>
  <c r="EA90" i="8" s="1"/>
  <c r="EC87" i="8"/>
  <c r="EC90" i="8" s="1"/>
  <c r="EB90" i="8" s="1"/>
  <c r="ED87" i="8"/>
  <c r="ED90" i="8" s="1"/>
  <c r="EF87" i="8"/>
  <c r="EF90" i="8" s="1"/>
  <c r="EE90" i="8" s="1"/>
  <c r="EG87" i="8"/>
  <c r="EG90" i="8" s="1"/>
  <c r="EI87" i="8"/>
  <c r="EI90" i="8" s="1"/>
  <c r="EH90" i="8" s="1"/>
  <c r="EJ87" i="8"/>
  <c r="EJ90" i="8" s="1"/>
  <c r="EL87" i="8"/>
  <c r="EL90" i="8" s="1"/>
  <c r="EK90" i="8" s="1"/>
  <c r="EM87" i="8"/>
  <c r="EM90" i="8" s="1"/>
  <c r="EO87" i="8"/>
  <c r="EO90" i="8" s="1"/>
  <c r="EN90" i="8" s="1"/>
  <c r="EP87" i="8"/>
  <c r="EP90" i="8" s="1"/>
  <c r="ER87" i="8"/>
  <c r="ER90" i="8" s="1"/>
  <c r="EQ90" i="8" s="1"/>
  <c r="E91" i="8"/>
  <c r="G91" i="8"/>
  <c r="H91" i="8"/>
  <c r="J91" i="8"/>
  <c r="K91" i="8"/>
  <c r="M91" i="8"/>
  <c r="N91" i="8"/>
  <c r="P91" i="8"/>
  <c r="Q91" i="8"/>
  <c r="S91" i="8"/>
  <c r="T91" i="8"/>
  <c r="V91" i="8"/>
  <c r="W91" i="8"/>
  <c r="Y91" i="8"/>
  <c r="Z91" i="8"/>
  <c r="AB91" i="8"/>
  <c r="AC91" i="8"/>
  <c r="AE91" i="8"/>
  <c r="AF91" i="8"/>
  <c r="AH91" i="8"/>
  <c r="AI91" i="8"/>
  <c r="AK91" i="8"/>
  <c r="AL91" i="8"/>
  <c r="AN91" i="8"/>
  <c r="AO91" i="8"/>
  <c r="AQ91" i="8"/>
  <c r="AR91" i="8"/>
  <c r="AT91" i="8"/>
  <c r="AU91" i="8"/>
  <c r="AW91" i="8"/>
  <c r="AX91" i="8"/>
  <c r="AZ91" i="8"/>
  <c r="BB91" i="8"/>
  <c r="BE91" i="8"/>
  <c r="BH91" i="8"/>
  <c r="BK91" i="8"/>
  <c r="BN91" i="8"/>
  <c r="BQ91" i="8"/>
  <c r="BT91" i="8"/>
  <c r="BW91" i="8"/>
  <c r="BZ91" i="8"/>
  <c r="CC91" i="8"/>
  <c r="CF91" i="8"/>
  <c r="CI91" i="8"/>
  <c r="CL91" i="8"/>
  <c r="CO91" i="8"/>
  <c r="CR91" i="8"/>
  <c r="CU91" i="8"/>
  <c r="CX91" i="8"/>
  <c r="DA91" i="8"/>
  <c r="DD91" i="8"/>
  <c r="DG91" i="8"/>
  <c r="DJ91" i="8"/>
  <c r="DM91" i="8"/>
  <c r="DP91" i="8"/>
  <c r="DS91" i="8"/>
  <c r="DY91" i="8"/>
  <c r="EB91" i="8"/>
  <c r="EE91" i="8"/>
  <c r="EH91" i="8"/>
  <c r="EK91" i="8"/>
  <c r="EN91" i="8"/>
  <c r="EQ91" i="8"/>
  <c r="E94" i="8"/>
  <c r="G94" i="8"/>
  <c r="F94" i="8" s="1"/>
  <c r="H94" i="8"/>
  <c r="J94" i="8"/>
  <c r="I94" i="8" s="1"/>
  <c r="K94" i="8"/>
  <c r="M94" i="8"/>
  <c r="L94" i="8" s="1"/>
  <c r="N94" i="8"/>
  <c r="P94" i="8"/>
  <c r="O94" i="8" s="1"/>
  <c r="Q94" i="8"/>
  <c r="S94" i="8"/>
  <c r="R94" i="8" s="1"/>
  <c r="T94" i="8"/>
  <c r="V94" i="8"/>
  <c r="U94" i="8" s="1"/>
  <c r="W94" i="8"/>
  <c r="Y94" i="8"/>
  <c r="X94" i="8" s="1"/>
  <c r="Z94" i="8"/>
  <c r="AB94" i="8"/>
  <c r="AA94" i="8" s="1"/>
  <c r="AC94" i="8"/>
  <c r="AE94" i="8"/>
  <c r="AD94" i="8" s="1"/>
  <c r="AF94" i="8"/>
  <c r="AH94" i="8"/>
  <c r="AG94" i="8" s="1"/>
  <c r="AI94" i="8"/>
  <c r="AK94" i="8"/>
  <c r="AJ94" i="8" s="1"/>
  <c r="AL94" i="8"/>
  <c r="AN94" i="8"/>
  <c r="AM94" i="8" s="1"/>
  <c r="AO94" i="8"/>
  <c r="AQ94" i="8"/>
  <c r="AP94" i="8" s="1"/>
  <c r="AT94" i="8"/>
  <c r="AS94" i="8" s="1"/>
  <c r="AW94" i="8"/>
  <c r="AV94" i="8" s="1"/>
  <c r="AZ94" i="8"/>
  <c r="AY94" i="8" s="1"/>
  <c r="BB94" i="8"/>
  <c r="BE94" i="8"/>
  <c r="BH94" i="8"/>
  <c r="BK94" i="8"/>
  <c r="BN94" i="8"/>
  <c r="BQ94" i="8"/>
  <c r="BT94" i="8"/>
  <c r="BW94" i="8"/>
  <c r="BZ94" i="8"/>
  <c r="CC94" i="8"/>
  <c r="CF94" i="8"/>
  <c r="CI94" i="8"/>
  <c r="CL94" i="8"/>
  <c r="CO94" i="8"/>
  <c r="CR94" i="8"/>
  <c r="CU94" i="8"/>
  <c r="CX94" i="8"/>
  <c r="DG94" i="8"/>
  <c r="DJ94" i="8"/>
  <c r="DM94" i="8"/>
  <c r="DP94" i="8"/>
  <c r="DS94" i="8"/>
  <c r="DY94" i="8"/>
  <c r="EB94" i="8"/>
  <c r="EE94" i="8"/>
  <c r="EH94" i="8"/>
  <c r="EK94" i="8"/>
  <c r="EN94" i="8"/>
  <c r="EQ94" i="8"/>
  <c r="BB95" i="8"/>
  <c r="BE95" i="8"/>
  <c r="BH95" i="8"/>
  <c r="BK95" i="8"/>
  <c r="BN95" i="8"/>
  <c r="BQ95" i="8"/>
  <c r="BT95" i="8"/>
  <c r="BW95" i="8"/>
  <c r="BZ95" i="8"/>
  <c r="CC95" i="8"/>
  <c r="CF95" i="8"/>
  <c r="CI95" i="8"/>
  <c r="CL95" i="8"/>
  <c r="CO95" i="8"/>
  <c r="CR95" i="8"/>
  <c r="CU95" i="8"/>
  <c r="CX95" i="8"/>
  <c r="DG95" i="8"/>
  <c r="DJ95" i="8"/>
  <c r="DM95" i="8"/>
  <c r="DP95" i="8"/>
  <c r="DS95" i="8"/>
  <c r="DY95" i="8"/>
  <c r="EB95" i="8"/>
  <c r="EE95" i="8"/>
  <c r="EH95" i="8"/>
  <c r="EK95" i="8"/>
  <c r="EN95" i="8"/>
  <c r="EQ95" i="8"/>
  <c r="BB96" i="8"/>
  <c r="BE96" i="8"/>
  <c r="BH96" i="8"/>
  <c r="BK96" i="8"/>
  <c r="BN96" i="8"/>
  <c r="BQ96" i="8"/>
  <c r="BT96" i="8"/>
  <c r="BW96" i="8"/>
  <c r="BZ96" i="8"/>
  <c r="CC96" i="8"/>
  <c r="CF96" i="8"/>
  <c r="CI96" i="8"/>
  <c r="CL96" i="8"/>
  <c r="CO96" i="8"/>
  <c r="CR96" i="8"/>
  <c r="CU96" i="8"/>
  <c r="CX96" i="8"/>
  <c r="DG96" i="8"/>
  <c r="DJ96" i="8"/>
  <c r="DM96" i="8"/>
  <c r="DP96" i="8"/>
  <c r="DS96" i="8"/>
  <c r="DY96" i="8"/>
  <c r="EB96" i="8"/>
  <c r="EE96" i="8"/>
  <c r="EH96" i="8"/>
  <c r="EK96" i="8"/>
  <c r="EN96" i="8"/>
  <c r="EQ96" i="8"/>
  <c r="BA97" i="8"/>
  <c r="BB97" i="8"/>
  <c r="BD97" i="8"/>
  <c r="BF97" i="8"/>
  <c r="BE97" i="8" s="1"/>
  <c r="BG97" i="8"/>
  <c r="BI97" i="8"/>
  <c r="BH97" i="8" s="1"/>
  <c r="BJ97" i="8"/>
  <c r="BL97" i="8"/>
  <c r="BK97" i="8" s="1"/>
  <c r="BM97" i="8"/>
  <c r="BO97" i="8"/>
  <c r="BN97" i="8" s="1"/>
  <c r="BP97" i="8"/>
  <c r="BR97" i="8"/>
  <c r="BQ97" i="8" s="1"/>
  <c r="BS97" i="8"/>
  <c r="BU97" i="8"/>
  <c r="BT97" i="8" s="1"/>
  <c r="BV97" i="8"/>
  <c r="BX97" i="8"/>
  <c r="BW97" i="8" s="1"/>
  <c r="BY97" i="8"/>
  <c r="CA97" i="8"/>
  <c r="BZ97" i="8" s="1"/>
  <c r="CB97" i="8"/>
  <c r="CD97" i="8"/>
  <c r="CC97" i="8" s="1"/>
  <c r="CE97" i="8"/>
  <c r="CG97" i="8"/>
  <c r="CF97" i="8" s="1"/>
  <c r="CH97" i="8"/>
  <c r="CJ97" i="8"/>
  <c r="CI97" i="8" s="1"/>
  <c r="CK97" i="8"/>
  <c r="CM97" i="8"/>
  <c r="CL97" i="8" s="1"/>
  <c r="CN97" i="8"/>
  <c r="CP97" i="8"/>
  <c r="CO97" i="8" s="1"/>
  <c r="CQ97" i="8"/>
  <c r="CS97" i="8"/>
  <c r="CR97" i="8" s="1"/>
  <c r="CT97" i="8"/>
  <c r="CV97" i="8"/>
  <c r="CU97" i="8" s="1"/>
  <c r="CW97" i="8"/>
  <c r="CY97" i="8"/>
  <c r="CX97" i="8" s="1"/>
  <c r="CZ97" i="8"/>
  <c r="DE97" i="8"/>
  <c r="DF97" i="8"/>
  <c r="DH97" i="8"/>
  <c r="DG97" i="8" s="1"/>
  <c r="DI97" i="8"/>
  <c r="DK97" i="8"/>
  <c r="DJ97" i="8" s="1"/>
  <c r="DL97" i="8"/>
  <c r="DN97" i="8"/>
  <c r="DM97" i="8" s="1"/>
  <c r="DO97" i="8"/>
  <c r="DQ97" i="8"/>
  <c r="DP97" i="8" s="1"/>
  <c r="DR97" i="8"/>
  <c r="DT97" i="8"/>
  <c r="DS97" i="8" s="1"/>
  <c r="DU97" i="8"/>
  <c r="DX97" i="8"/>
  <c r="DZ97" i="8"/>
  <c r="DY97" i="8" s="1"/>
  <c r="EA97" i="8"/>
  <c r="EC97" i="8"/>
  <c r="EB97" i="8" s="1"/>
  <c r="ED97" i="8"/>
  <c r="EF97" i="8"/>
  <c r="EE97" i="8" s="1"/>
  <c r="EG97" i="8"/>
  <c r="EI97" i="8"/>
  <c r="EH97" i="8" s="1"/>
  <c r="EJ97" i="8"/>
  <c r="EL97" i="8"/>
  <c r="EK97" i="8" s="1"/>
  <c r="EM97" i="8"/>
  <c r="EO97" i="8"/>
  <c r="EN97" i="8" s="1"/>
  <c r="EP97" i="8"/>
  <c r="ER97" i="8"/>
  <c r="EQ97" i="8" s="1"/>
  <c r="BA100" i="8"/>
  <c r="BC100" i="8"/>
  <c r="BD100" i="8"/>
  <c r="BG100" i="8"/>
  <c r="BI100" i="8"/>
  <c r="BJ100" i="8"/>
  <c r="E101" i="8"/>
  <c r="F101" i="8"/>
  <c r="G101" i="8"/>
  <c r="H101" i="8"/>
  <c r="I101" i="8"/>
  <c r="J101" i="8"/>
  <c r="K101" i="8"/>
  <c r="L101" i="8"/>
  <c r="M101" i="8"/>
  <c r="N101" i="8"/>
  <c r="O101" i="8"/>
  <c r="P101" i="8"/>
  <c r="Q101" i="8"/>
  <c r="R101" i="8"/>
  <c r="S101" i="8"/>
  <c r="T101" i="8"/>
  <c r="U101" i="8"/>
  <c r="V101" i="8"/>
  <c r="W101" i="8"/>
  <c r="X101" i="8"/>
  <c r="Y101" i="8"/>
  <c r="Z101" i="8"/>
  <c r="AA101" i="8"/>
  <c r="AB101" i="8"/>
  <c r="AC101" i="8"/>
  <c r="AD101" i="8"/>
  <c r="AE101" i="8"/>
  <c r="AF101" i="8"/>
  <c r="AG101" i="8"/>
  <c r="AH101" i="8"/>
  <c r="AI101" i="8"/>
  <c r="AJ101" i="8"/>
  <c r="AK101" i="8"/>
  <c r="AL101" i="8"/>
  <c r="AM101" i="8"/>
  <c r="AN101" i="8"/>
  <c r="AO101" i="8"/>
  <c r="AP101" i="8"/>
  <c r="AQ101" i="8"/>
  <c r="AR101" i="8"/>
  <c r="AS101" i="8"/>
  <c r="AT101" i="8"/>
  <c r="AU101" i="8"/>
  <c r="AV101" i="8"/>
  <c r="AW101" i="8"/>
  <c r="AX101" i="8"/>
  <c r="AY101" i="8"/>
  <c r="AZ101" i="8"/>
  <c r="BA101" i="8"/>
  <c r="BC101" i="8"/>
  <c r="BC102" i="8" s="1"/>
  <c r="BW101" i="8"/>
  <c r="BX101" i="8" s="1"/>
  <c r="BY101" i="8" s="1"/>
  <c r="BZ101" i="8" s="1"/>
  <c r="CA101" i="8" s="1"/>
  <c r="CB101" i="8" s="1"/>
  <c r="CC101" i="8" s="1"/>
  <c r="CD101" i="8" s="1"/>
  <c r="CE101" i="8" s="1"/>
  <c r="CF101" i="8" s="1"/>
  <c r="CH101" i="8"/>
  <c r="CI101" i="8" s="1"/>
  <c r="CJ101" i="8" s="1"/>
  <c r="CL101" i="8"/>
  <c r="CO101" i="8"/>
  <c r="CP101" i="8" s="1"/>
  <c r="CQ101" i="8" s="1"/>
  <c r="CR101" i="8" s="1"/>
  <c r="CS101" i="8" s="1"/>
  <c r="CT101" i="8" s="1"/>
  <c r="CU101" i="8" s="1"/>
  <c r="CV101" i="8" s="1"/>
  <c r="CW101" i="8" s="1"/>
  <c r="CX101" i="8" s="1"/>
  <c r="CY101" i="8" s="1"/>
  <c r="CZ101" i="8" s="1"/>
  <c r="DA101" i="8" s="1"/>
  <c r="DB101" i="8" s="1"/>
  <c r="DC101" i="8" s="1"/>
  <c r="DE101" i="8"/>
  <c r="DF101" i="8" s="1"/>
  <c r="DG101" i="8" s="1"/>
  <c r="DH101" i="8" s="1"/>
  <c r="DI101" i="8" s="1"/>
  <c r="DJ101" i="8" s="1"/>
  <c r="DK101" i="8" s="1"/>
  <c r="DL101" i="8" s="1"/>
  <c r="DM101" i="8" s="1"/>
  <c r="DN101" i="8" s="1"/>
  <c r="DO101" i="8" s="1"/>
  <c r="DP101" i="8" s="1"/>
  <c r="DQ101" i="8" s="1"/>
  <c r="DR101" i="8" s="1"/>
  <c r="DS101" i="8" s="1"/>
  <c r="DT101" i="8" s="1"/>
  <c r="DU101" i="8" s="1"/>
  <c r="H103" i="8"/>
  <c r="H104" i="8"/>
  <c r="I103" i="8"/>
  <c r="J104" i="8"/>
  <c r="J103" i="8"/>
  <c r="K103" i="8"/>
  <c r="K104" i="8"/>
  <c r="L103" i="8"/>
  <c r="M104" i="8"/>
  <c r="L104" i="8" s="1"/>
  <c r="M103" i="8"/>
  <c r="N103" i="8"/>
  <c r="N104" i="8"/>
  <c r="O103" i="8"/>
  <c r="P104" i="8"/>
  <c r="O104" i="8" s="1"/>
  <c r="P103" i="8"/>
  <c r="Q103" i="8"/>
  <c r="Q104" i="8"/>
  <c r="R103" i="8"/>
  <c r="S104" i="8"/>
  <c r="R104" i="8" s="1"/>
  <c r="S103" i="8"/>
  <c r="T103" i="8"/>
  <c r="T104" i="8"/>
  <c r="U103" i="8"/>
  <c r="V104" i="8"/>
  <c r="V103" i="8"/>
  <c r="W103" i="8"/>
  <c r="W104" i="8"/>
  <c r="X103" i="8"/>
  <c r="Y104" i="8"/>
  <c r="X104" i="8" s="1"/>
  <c r="Y103" i="8"/>
  <c r="Z103" i="8"/>
  <c r="Z104" i="8"/>
  <c r="AA103" i="8"/>
  <c r="AB104" i="8"/>
  <c r="AA104" i="8" s="1"/>
  <c r="AB103" i="8"/>
  <c r="AC103" i="8"/>
  <c r="AC104" i="8"/>
  <c r="AD103" i="8"/>
  <c r="AE104" i="8"/>
  <c r="AD104" i="8" s="1"/>
  <c r="AE103" i="8"/>
  <c r="AF103" i="8"/>
  <c r="AF104" i="8"/>
  <c r="AG103" i="8"/>
  <c r="AH104" i="8"/>
  <c r="AH103" i="8"/>
  <c r="AI103" i="8"/>
  <c r="AI104" i="8"/>
  <c r="AK103" i="8"/>
  <c r="AK104" i="8"/>
  <c r="AL103" i="8"/>
  <c r="AL104" i="8"/>
  <c r="AN103" i="8"/>
  <c r="AN104" i="8"/>
  <c r="AO103" i="8"/>
  <c r="AO104" i="8"/>
  <c r="AQ103" i="8"/>
  <c r="AQ104" i="8"/>
  <c r="AR103" i="8"/>
  <c r="AR104" i="8"/>
  <c r="AT103" i="8"/>
  <c r="AT104" i="8"/>
  <c r="AU103" i="8"/>
  <c r="AU104" i="8"/>
  <c r="AV103" i="8"/>
  <c r="AW104" i="8"/>
  <c r="AW103" i="8"/>
  <c r="AX103" i="8"/>
  <c r="AY103" i="8"/>
  <c r="AZ103" i="8"/>
  <c r="BI102" i="8"/>
  <c r="CJ102" i="8"/>
  <c r="CP102" i="8"/>
  <c r="CS102" i="8"/>
  <c r="CV102" i="8"/>
  <c r="CY102" i="8"/>
  <c r="DE102" i="8"/>
  <c r="DH102" i="8"/>
  <c r="DK102" i="8"/>
  <c r="DN102" i="8"/>
  <c r="AJ103" i="8"/>
  <c r="AM103" i="8"/>
  <c r="AP103" i="8"/>
  <c r="AS103" i="8"/>
  <c r="BA103" i="8"/>
  <c r="BV103" i="8"/>
  <c r="CE103" i="8"/>
  <c r="CH103" i="8"/>
  <c r="E104" i="8"/>
  <c r="G104" i="8"/>
  <c r="F104" i="8" s="1"/>
  <c r="E105" i="8"/>
  <c r="G105" i="8"/>
  <c r="F105" i="8" s="1"/>
  <c r="H105" i="8"/>
  <c r="J105" i="8"/>
  <c r="I105" i="8" s="1"/>
  <c r="K105" i="8"/>
  <c r="M105" i="8"/>
  <c r="L105" i="8" s="1"/>
  <c r="N105" i="8"/>
  <c r="P105" i="8"/>
  <c r="O105" i="8" s="1"/>
  <c r="Q105" i="8"/>
  <c r="S105" i="8"/>
  <c r="R105" i="8" s="1"/>
  <c r="T105" i="8"/>
  <c r="V105" i="8"/>
  <c r="U105" i="8" s="1"/>
  <c r="W105" i="8"/>
  <c r="Y105" i="8"/>
  <c r="X105" i="8" s="1"/>
  <c r="Z105" i="8"/>
  <c r="AB105" i="8"/>
  <c r="AA105" i="8" s="1"/>
  <c r="AC105" i="8"/>
  <c r="AE105" i="8"/>
  <c r="AD105" i="8" s="1"/>
  <c r="AF105" i="8"/>
  <c r="AH105" i="8"/>
  <c r="AG105" i="8" s="1"/>
  <c r="AI105" i="8"/>
  <c r="AK105" i="8"/>
  <c r="AL105" i="8"/>
  <c r="AN105" i="8"/>
  <c r="AO105" i="8"/>
  <c r="AQ105" i="8"/>
  <c r="AR105" i="8"/>
  <c r="AT105" i="8"/>
  <c r="AU105" i="8"/>
  <c r="AW105" i="8"/>
  <c r="AX105" i="8"/>
  <c r="E107" i="8"/>
  <c r="F107" i="8"/>
  <c r="G107" i="8"/>
  <c r="H107" i="8"/>
  <c r="I107" i="8"/>
  <c r="J107" i="8"/>
  <c r="K107" i="8"/>
  <c r="L107" i="8"/>
  <c r="M107" i="8"/>
  <c r="N107" i="8"/>
  <c r="O107" i="8"/>
  <c r="P107" i="8"/>
  <c r="Q107" i="8"/>
  <c r="R107" i="8"/>
  <c r="S107" i="8"/>
  <c r="T107" i="8"/>
  <c r="U107" i="8"/>
  <c r="V107" i="8"/>
  <c r="W107" i="8"/>
  <c r="X107" i="8"/>
  <c r="Y107" i="8"/>
  <c r="Z107" i="8"/>
  <c r="AA107" i="8"/>
  <c r="AB107" i="8"/>
  <c r="AC107" i="8"/>
  <c r="AD107" i="8"/>
  <c r="AE107" i="8"/>
  <c r="AF107" i="8"/>
  <c r="AG107" i="8"/>
  <c r="AH107" i="8"/>
  <c r="AI107" i="8"/>
  <c r="AJ107" i="8"/>
  <c r="AK107" i="8"/>
  <c r="AL107" i="8"/>
  <c r="AM107" i="8"/>
  <c r="AN107" i="8"/>
  <c r="AO107" i="8"/>
  <c r="AP107" i="8"/>
  <c r="AQ107" i="8"/>
  <c r="AR107" i="8"/>
  <c r="AS107" i="8"/>
  <c r="AT107" i="8"/>
  <c r="AU107" i="8"/>
  <c r="AV107" i="8"/>
  <c r="AW107" i="8"/>
  <c r="AX107" i="8"/>
  <c r="AY107" i="8"/>
  <c r="AZ107" i="8"/>
  <c r="BA107" i="8"/>
  <c r="BA109" i="8" s="1"/>
  <c r="BB107" i="8"/>
  <c r="BB109" i="8" s="1"/>
  <c r="BC107" i="8"/>
  <c r="BC109" i="8" s="1"/>
  <c r="BD107" i="8"/>
  <c r="BD109" i="8" s="1"/>
  <c r="BE107" i="8"/>
  <c r="BE109" i="8" s="1"/>
  <c r="BF107" i="8"/>
  <c r="BF109" i="8" s="1"/>
  <c r="BG107" i="8"/>
  <c r="BG109" i="8" s="1"/>
  <c r="BH107" i="8"/>
  <c r="BH109" i="8" s="1"/>
  <c r="BI107" i="8"/>
  <c r="BI109" i="8" s="1"/>
  <c r="BJ107" i="8"/>
  <c r="BJ109" i="8" s="1"/>
  <c r="BK107" i="8"/>
  <c r="BK109" i="8" s="1"/>
  <c r="BL107" i="8"/>
  <c r="BL109" i="8" s="1"/>
  <c r="BM107" i="8"/>
  <c r="BM109" i="8" s="1"/>
  <c r="BN107" i="8"/>
  <c r="BN109" i="8" s="1"/>
  <c r="BO107" i="8"/>
  <c r="BO109" i="8" s="1"/>
  <c r="BP107" i="8"/>
  <c r="BP109" i="8" s="1"/>
  <c r="BQ107" i="8"/>
  <c r="BQ109" i="8" s="1"/>
  <c r="BR107" i="8"/>
  <c r="BR109" i="8" s="1"/>
  <c r="BS107" i="8"/>
  <c r="BS109" i="8" s="1"/>
  <c r="BT107" i="8"/>
  <c r="BT109" i="8" s="1"/>
  <c r="BU107" i="8"/>
  <c r="BU109" i="8" s="1"/>
  <c r="BV107" i="8"/>
  <c r="BV109" i="8" s="1"/>
  <c r="BW107" i="8"/>
  <c r="BW109" i="8" s="1"/>
  <c r="BX107" i="8"/>
  <c r="BX109" i="8" s="1"/>
  <c r="BY107" i="8"/>
  <c r="BY109" i="8" s="1"/>
  <c r="BZ107" i="8"/>
  <c r="BZ109" i="8" s="1"/>
  <c r="CA107" i="8"/>
  <c r="CA109" i="8" s="1"/>
  <c r="CB107" i="8"/>
  <c r="CB109" i="8" s="1"/>
  <c r="CC107" i="8"/>
  <c r="CC109" i="8" s="1"/>
  <c r="CD107" i="8"/>
  <c r="CD109" i="8" s="1"/>
  <c r="CE107" i="8"/>
  <c r="CE109" i="8" s="1"/>
  <c r="CF107" i="8"/>
  <c r="CF109" i="8" s="1"/>
  <c r="CG107" i="8"/>
  <c r="CG109" i="8" s="1"/>
  <c r="CH107" i="8"/>
  <c r="CH109" i="8" s="1"/>
  <c r="CI107" i="8"/>
  <c r="CI109" i="8" s="1"/>
  <c r="CJ107" i="8"/>
  <c r="CJ109" i="8" s="1"/>
  <c r="CK107" i="8"/>
  <c r="CK109" i="8" s="1"/>
  <c r="CL107" i="8"/>
  <c r="CL109" i="8" s="1"/>
  <c r="CM107" i="8"/>
  <c r="CM109" i="8" s="1"/>
  <c r="CN107" i="8"/>
  <c r="CN109" i="8" s="1"/>
  <c r="CO107" i="8"/>
  <c r="CO109" i="8" s="1"/>
  <c r="CP107" i="8"/>
  <c r="CP109" i="8" s="1"/>
  <c r="CQ107" i="8"/>
  <c r="CQ109" i="8" s="1"/>
  <c r="CR107" i="8"/>
  <c r="CR109" i="8" s="1"/>
  <c r="CS107" i="8"/>
  <c r="CS109" i="8" s="1"/>
  <c r="CT107" i="8"/>
  <c r="CT109" i="8" s="1"/>
  <c r="CU107" i="8"/>
  <c r="CU109" i="8" s="1"/>
  <c r="CV107" i="8"/>
  <c r="CV109" i="8" s="1"/>
  <c r="CW107" i="8"/>
  <c r="CW109" i="8" s="1"/>
  <c r="CX107" i="8"/>
  <c r="CX109" i="8" s="1"/>
  <c r="CY107" i="8"/>
  <c r="CY109" i="8" s="1"/>
  <c r="CZ107" i="8"/>
  <c r="CZ109" i="8" s="1"/>
  <c r="DA107" i="8"/>
  <c r="DA109" i="8" s="1"/>
  <c r="DB107" i="8"/>
  <c r="DB109" i="8" s="1"/>
  <c r="DC107" i="8"/>
  <c r="DC109" i="8" s="1"/>
  <c r="DD107" i="8"/>
  <c r="DD109" i="8" s="1"/>
  <c r="DE107" i="8"/>
  <c r="DE109" i="8" s="1"/>
  <c r="DF107" i="8"/>
  <c r="DF109" i="8" s="1"/>
  <c r="DG107" i="8"/>
  <c r="DG109" i="8" s="1"/>
  <c r="DH107" i="8"/>
  <c r="DH109" i="8" s="1"/>
  <c r="DI107" i="8"/>
  <c r="DI109" i="8" s="1"/>
  <c r="DJ107" i="8"/>
  <c r="DJ109" i="8" s="1"/>
  <c r="DK107" i="8"/>
  <c r="DK109" i="8" s="1"/>
  <c r="DL107" i="8"/>
  <c r="DL109" i="8" s="1"/>
  <c r="DM107" i="8"/>
  <c r="DM109" i="8" s="1"/>
  <c r="DN107" i="8"/>
  <c r="DN109" i="8" s="1"/>
  <c r="DO107" i="8"/>
  <c r="DO109" i="8" s="1"/>
  <c r="DP107" i="8"/>
  <c r="DP109" i="8" s="1"/>
  <c r="DQ107" i="8"/>
  <c r="DQ109" i="8" s="1"/>
  <c r="DR107" i="8"/>
  <c r="DR109" i="8" s="1"/>
  <c r="DS107" i="8"/>
  <c r="DS109" i="8" s="1"/>
  <c r="DT107" i="8"/>
  <c r="DT109" i="8" s="1"/>
  <c r="DU107" i="8"/>
  <c r="DU109" i="8" s="1"/>
  <c r="DX107" i="8"/>
  <c r="DX109" i="8" s="1"/>
  <c r="DY107" i="8"/>
  <c r="DY109" i="8" s="1"/>
  <c r="DZ107" i="8"/>
  <c r="DZ109" i="8" s="1"/>
  <c r="EA107" i="8"/>
  <c r="EA109" i="8" s="1"/>
  <c r="EB107" i="8"/>
  <c r="EB109" i="8" s="1"/>
  <c r="EC107" i="8"/>
  <c r="EC109" i="8" s="1"/>
  <c r="ED107" i="8"/>
  <c r="ED109" i="8" s="1"/>
  <c r="EE107" i="8"/>
  <c r="EE109" i="8" s="1"/>
  <c r="EF107" i="8"/>
  <c r="EF109" i="8" s="1"/>
  <c r="EG107" i="8"/>
  <c r="EG109" i="8" s="1"/>
  <c r="EH107" i="8"/>
  <c r="EH109" i="8" s="1"/>
  <c r="EI107" i="8"/>
  <c r="EI109" i="8" s="1"/>
  <c r="EJ107" i="8"/>
  <c r="EJ109" i="8" s="1"/>
  <c r="EK107" i="8"/>
  <c r="EK109" i="8" s="1"/>
  <c r="EL107" i="8"/>
  <c r="EL109" i="8" s="1"/>
  <c r="EM107" i="8"/>
  <c r="EM109" i="8" s="1"/>
  <c r="EN107" i="8"/>
  <c r="EN109" i="8" s="1"/>
  <c r="EO107" i="8"/>
  <c r="EO109" i="8" s="1"/>
  <c r="EP107" i="8"/>
  <c r="EP109" i="8" s="1"/>
  <c r="EQ107" i="8"/>
  <c r="EQ109" i="8" s="1"/>
  <c r="ER107" i="8"/>
  <c r="ER109" i="8" s="1"/>
  <c r="E110" i="8"/>
  <c r="F110" i="8"/>
  <c r="G110" i="8"/>
  <c r="H110" i="8"/>
  <c r="I110" i="8"/>
  <c r="J110" i="8"/>
  <c r="K110" i="8"/>
  <c r="L110" i="8"/>
  <c r="M110" i="8"/>
  <c r="N110" i="8"/>
  <c r="O110" i="8"/>
  <c r="P110" i="8"/>
  <c r="Q110" i="8"/>
  <c r="R110" i="8"/>
  <c r="S110" i="8"/>
  <c r="T110" i="8"/>
  <c r="U110" i="8"/>
  <c r="V110" i="8"/>
  <c r="W110" i="8"/>
  <c r="X110" i="8"/>
  <c r="Y110" i="8"/>
  <c r="Z110" i="8"/>
  <c r="AA110" i="8"/>
  <c r="AB110" i="8"/>
  <c r="AC110" i="8"/>
  <c r="AD110" i="8"/>
  <c r="AE110" i="8"/>
  <c r="AF110" i="8"/>
  <c r="AG110" i="8"/>
  <c r="AH110" i="8"/>
  <c r="AI110" i="8"/>
  <c r="AJ110" i="8"/>
  <c r="AK110" i="8"/>
  <c r="AL110" i="8"/>
  <c r="AM110" i="8"/>
  <c r="AN110" i="8"/>
  <c r="AO110" i="8"/>
  <c r="AP110" i="8"/>
  <c r="AQ110" i="8"/>
  <c r="AR110" i="8"/>
  <c r="AS110" i="8"/>
  <c r="AT110" i="8"/>
  <c r="AU110" i="8"/>
  <c r="AV110" i="8"/>
  <c r="AW110" i="8"/>
  <c r="AX110" i="8"/>
  <c r="AY110" i="8"/>
  <c r="AZ110" i="8"/>
  <c r="BA110" i="8"/>
  <c r="BA112" i="8" s="1"/>
  <c r="BB110" i="8"/>
  <c r="BB112" i="8" s="1"/>
  <c r="BC110" i="8"/>
  <c r="BC112" i="8" s="1"/>
  <c r="BD110" i="8"/>
  <c r="BD112" i="8" s="1"/>
  <c r="BE110" i="8"/>
  <c r="BE112" i="8" s="1"/>
  <c r="BF110" i="8"/>
  <c r="BF112" i="8" s="1"/>
  <c r="BG110" i="8"/>
  <c r="BG112" i="8" s="1"/>
  <c r="BH110" i="8"/>
  <c r="BH112" i="8" s="1"/>
  <c r="BI110" i="8"/>
  <c r="BI112" i="8" s="1"/>
  <c r="BJ110" i="8"/>
  <c r="BJ112" i="8" s="1"/>
  <c r="BK110" i="8"/>
  <c r="BK112" i="8" s="1"/>
  <c r="BL110" i="8"/>
  <c r="BL112" i="8" s="1"/>
  <c r="BM110" i="8"/>
  <c r="BM112" i="8" s="1"/>
  <c r="BN110" i="8"/>
  <c r="BN112" i="8" s="1"/>
  <c r="BO110" i="8"/>
  <c r="BO112" i="8" s="1"/>
  <c r="BP110" i="8"/>
  <c r="BP112" i="8" s="1"/>
  <c r="BQ110" i="8"/>
  <c r="BQ112" i="8" s="1"/>
  <c r="BR110" i="8"/>
  <c r="BR112" i="8" s="1"/>
  <c r="BS110" i="8"/>
  <c r="BS112" i="8" s="1"/>
  <c r="BT110" i="8"/>
  <c r="BT112" i="8" s="1"/>
  <c r="BU110" i="8"/>
  <c r="BU112" i="8" s="1"/>
  <c r="BV110" i="8"/>
  <c r="BV112" i="8" s="1"/>
  <c r="BW110" i="8"/>
  <c r="BW112" i="8" s="1"/>
  <c r="BX110" i="8"/>
  <c r="BX112" i="8" s="1"/>
  <c r="BY110" i="8"/>
  <c r="BY112" i="8" s="1"/>
  <c r="BZ110" i="8"/>
  <c r="BZ112" i="8" s="1"/>
  <c r="CA110" i="8"/>
  <c r="CA112" i="8" s="1"/>
  <c r="CB110" i="8"/>
  <c r="CB112" i="8" s="1"/>
  <c r="CC110" i="8"/>
  <c r="CC112" i="8" s="1"/>
  <c r="CD110" i="8"/>
  <c r="CD112" i="8" s="1"/>
  <c r="CE110" i="8"/>
  <c r="CE112" i="8" s="1"/>
  <c r="CF110" i="8"/>
  <c r="CF112" i="8" s="1"/>
  <c r="CG110" i="8"/>
  <c r="CG112" i="8" s="1"/>
  <c r="CH110" i="8"/>
  <c r="CH112" i="8" s="1"/>
  <c r="CI110" i="8"/>
  <c r="CI112" i="8" s="1"/>
  <c r="CJ110" i="8"/>
  <c r="CJ112" i="8" s="1"/>
  <c r="CK110" i="8"/>
  <c r="CK112" i="8" s="1"/>
  <c r="CL110" i="8"/>
  <c r="CL112" i="8" s="1"/>
  <c r="CM110" i="8"/>
  <c r="CM112" i="8" s="1"/>
  <c r="CN110" i="8"/>
  <c r="CN112" i="8" s="1"/>
  <c r="CO110" i="8"/>
  <c r="CO112" i="8" s="1"/>
  <c r="CP110" i="8"/>
  <c r="CP112" i="8" s="1"/>
  <c r="CQ110" i="8"/>
  <c r="CQ112" i="8" s="1"/>
  <c r="CR110" i="8"/>
  <c r="CR112" i="8" s="1"/>
  <c r="CS110" i="8"/>
  <c r="CS112" i="8" s="1"/>
  <c r="CT110" i="8"/>
  <c r="CT112" i="8" s="1"/>
  <c r="CU110" i="8"/>
  <c r="CU112" i="8" s="1"/>
  <c r="CV110" i="8"/>
  <c r="CV112" i="8" s="1"/>
  <c r="CW110" i="8"/>
  <c r="CW112" i="8" s="1"/>
  <c r="CX110" i="8"/>
  <c r="CX112" i="8" s="1"/>
  <c r="CY110" i="8"/>
  <c r="CY112" i="8" s="1"/>
  <c r="CZ110" i="8"/>
  <c r="CZ112" i="8" s="1"/>
  <c r="DA110" i="8"/>
  <c r="DA112" i="8" s="1"/>
  <c r="DB110" i="8"/>
  <c r="DB112" i="8" s="1"/>
  <c r="DC110" i="8"/>
  <c r="DD110" i="8"/>
  <c r="DD112" i="8" s="1"/>
  <c r="DF110" i="8"/>
  <c r="DF112" i="8" s="1"/>
  <c r="DG110" i="8"/>
  <c r="DG112" i="8" s="1"/>
  <c r="DH110" i="8"/>
  <c r="DH112" i="8" s="1"/>
  <c r="DI110" i="8"/>
  <c r="DI112" i="8" s="1"/>
  <c r="DJ110" i="8"/>
  <c r="DJ112" i="8" s="1"/>
  <c r="DK110" i="8"/>
  <c r="DK112" i="8" s="1"/>
  <c r="DL110" i="8"/>
  <c r="DL112" i="8" s="1"/>
  <c r="DM110" i="8"/>
  <c r="DM112" i="8" s="1"/>
  <c r="DN110" i="8"/>
  <c r="DN112" i="8" s="1"/>
  <c r="DO110" i="8"/>
  <c r="DO112" i="8" s="1"/>
  <c r="DP110" i="8"/>
  <c r="DP112" i="8" s="1"/>
  <c r="DQ110" i="8"/>
  <c r="DQ112" i="8" s="1"/>
  <c r="DR110" i="8"/>
  <c r="DR112" i="8" s="1"/>
  <c r="DS110" i="8"/>
  <c r="DS112" i="8" s="1"/>
  <c r="DT110" i="8"/>
  <c r="DT112" i="8" s="1"/>
  <c r="DU110" i="8"/>
  <c r="DU112" i="8" s="1"/>
  <c r="DX110" i="8"/>
  <c r="DX112" i="8" s="1"/>
  <c r="DZ110" i="8"/>
  <c r="DZ112" i="8" s="1"/>
  <c r="EA110" i="8"/>
  <c r="EA112" i="8" s="1"/>
  <c r="EB110" i="8"/>
  <c r="EB112" i="8" s="1"/>
  <c r="EC110" i="8"/>
  <c r="EC112" i="8" s="1"/>
  <c r="ED110" i="8"/>
  <c r="ED112" i="8" s="1"/>
  <c r="EE110" i="8"/>
  <c r="EE112" i="8" s="1"/>
  <c r="EF110" i="8"/>
  <c r="EF112" i="8" s="1"/>
  <c r="EG110" i="8"/>
  <c r="EG112" i="8" s="1"/>
  <c r="EH110" i="8"/>
  <c r="EH112" i="8" s="1"/>
  <c r="EI110" i="8"/>
  <c r="EI112" i="8" s="1"/>
  <c r="EJ110" i="8"/>
  <c r="EJ112" i="8" s="1"/>
  <c r="EK110" i="8"/>
  <c r="EK112" i="8" s="1"/>
  <c r="EL110" i="8"/>
  <c r="EL112" i="8" s="1"/>
  <c r="EM110" i="8"/>
  <c r="EM112" i="8" s="1"/>
  <c r="EN110" i="8"/>
  <c r="EN112" i="8" s="1"/>
  <c r="EO110" i="8"/>
  <c r="EO112" i="8" s="1"/>
  <c r="EP110" i="8"/>
  <c r="EP112" i="8" s="1"/>
  <c r="EQ110" i="8"/>
  <c r="EQ112" i="8" s="1"/>
  <c r="ER110" i="8"/>
  <c r="ER112" i="8" s="1"/>
  <c r="DE112" i="8"/>
  <c r="DY112" i="8"/>
  <c r="H114" i="8"/>
  <c r="I114" i="8"/>
  <c r="J114" i="8"/>
  <c r="K114" i="8"/>
  <c r="L114" i="8"/>
  <c r="M114" i="8"/>
  <c r="N114" i="8"/>
  <c r="O114" i="8"/>
  <c r="P114" i="8"/>
  <c r="Q114" i="8"/>
  <c r="R114" i="8"/>
  <c r="S114" i="8"/>
  <c r="T114" i="8"/>
  <c r="U114" i="8"/>
  <c r="V114" i="8"/>
  <c r="W114" i="8"/>
  <c r="X114" i="8"/>
  <c r="Y114" i="8"/>
  <c r="Z114" i="8"/>
  <c r="AA114" i="8"/>
  <c r="AB114" i="8"/>
  <c r="AC114" i="8"/>
  <c r="AD114" i="8"/>
  <c r="AE114" i="8"/>
  <c r="AF114" i="8"/>
  <c r="AG114" i="8"/>
  <c r="AH114" i="8"/>
  <c r="AI114" i="8"/>
  <c r="AJ114" i="8"/>
  <c r="AK114" i="8"/>
  <c r="AL114" i="8"/>
  <c r="AM114" i="8"/>
  <c r="AN114" i="8"/>
  <c r="AO114" i="8"/>
  <c r="AP114" i="8"/>
  <c r="AQ114" i="8"/>
  <c r="AR114" i="8"/>
  <c r="AS114" i="8"/>
  <c r="AT114" i="8"/>
  <c r="AU114" i="8"/>
  <c r="AV114" i="8"/>
  <c r="AW114" i="8"/>
  <c r="AX114" i="8"/>
  <c r="AY114" i="8"/>
  <c r="AZ114" i="8"/>
  <c r="BK114" i="8"/>
  <c r="CI114" i="8"/>
  <c r="CO114" i="8"/>
  <c r="DB114" i="8"/>
  <c r="DE114" i="8"/>
  <c r="DH114" i="8"/>
  <c r="DK114" i="8"/>
  <c r="E116" i="8"/>
  <c r="G116" i="8"/>
  <c r="F116" i="8" s="1"/>
  <c r="H116" i="8"/>
  <c r="J116" i="8"/>
  <c r="I116" i="8" s="1"/>
  <c r="K116" i="8"/>
  <c r="M116" i="8"/>
  <c r="L116" i="8" s="1"/>
  <c r="N116" i="8"/>
  <c r="P116" i="8"/>
  <c r="O116" i="8" s="1"/>
  <c r="Q116" i="8"/>
  <c r="S116" i="8"/>
  <c r="R116" i="8" s="1"/>
  <c r="T116" i="8"/>
  <c r="V116" i="8"/>
  <c r="U116" i="8" s="1"/>
  <c r="W116" i="8"/>
  <c r="Y116" i="8"/>
  <c r="X116" i="8" s="1"/>
  <c r="Z116" i="8"/>
  <c r="AB116" i="8"/>
  <c r="AA116" i="8" s="1"/>
  <c r="AC116" i="8"/>
  <c r="AE116" i="8"/>
  <c r="AD116" i="8" s="1"/>
  <c r="AF116" i="8"/>
  <c r="AH116" i="8"/>
  <c r="AG116" i="8" s="1"/>
  <c r="AI116" i="8"/>
  <c r="AK116" i="8"/>
  <c r="AL116" i="8"/>
  <c r="AN116" i="8"/>
  <c r="AO116" i="8"/>
  <c r="AQ116" i="8"/>
  <c r="AR116" i="8"/>
  <c r="AT116" i="8"/>
  <c r="AU116" i="8"/>
  <c r="AW116" i="8"/>
  <c r="E117" i="8"/>
  <c r="G117" i="8"/>
  <c r="F117" i="8" s="1"/>
  <c r="H117" i="8"/>
  <c r="J117" i="8"/>
  <c r="I117" i="8" s="1"/>
  <c r="K117" i="8"/>
  <c r="M117" i="8"/>
  <c r="L117" i="8" s="1"/>
  <c r="N117" i="8"/>
  <c r="P117" i="8"/>
  <c r="O117" i="8" s="1"/>
  <c r="Q117" i="8"/>
  <c r="S117" i="8"/>
  <c r="R117" i="8" s="1"/>
  <c r="T117" i="8"/>
  <c r="V117" i="8"/>
  <c r="U117" i="8" s="1"/>
  <c r="W117" i="8"/>
  <c r="Y117" i="8"/>
  <c r="X117" i="8" s="1"/>
  <c r="Z117" i="8"/>
  <c r="AB117" i="8"/>
  <c r="AA117" i="8" s="1"/>
  <c r="AC117" i="8"/>
  <c r="AE117" i="8"/>
  <c r="AD117" i="8" s="1"/>
  <c r="AF117" i="8"/>
  <c r="AH117" i="8"/>
  <c r="AG117" i="8" s="1"/>
  <c r="AI117" i="8"/>
  <c r="AK117" i="8"/>
  <c r="AL117" i="8"/>
  <c r="AN117" i="8"/>
  <c r="AO117" i="8"/>
  <c r="AQ117" i="8"/>
  <c r="AR117" i="8"/>
  <c r="AT117" i="8"/>
  <c r="AU117" i="8"/>
  <c r="AW117" i="8"/>
  <c r="AX117" i="8"/>
  <c r="E122" i="8"/>
  <c r="F122" i="8"/>
  <c r="G122" i="8"/>
  <c r="H122" i="8"/>
  <c r="I122" i="8"/>
  <c r="J122" i="8"/>
  <c r="K122" i="8"/>
  <c r="L122" i="8"/>
  <c r="M122" i="8"/>
  <c r="N122" i="8"/>
  <c r="O122" i="8"/>
  <c r="P122" i="8"/>
  <c r="Q122" i="8"/>
  <c r="R122" i="8"/>
  <c r="S122" i="8"/>
  <c r="T122" i="8"/>
  <c r="U122" i="8"/>
  <c r="V122" i="8"/>
  <c r="W122" i="8"/>
  <c r="X122" i="8"/>
  <c r="Y122" i="8"/>
  <c r="Z122" i="8"/>
  <c r="AA122" i="8"/>
  <c r="AB122" i="8"/>
  <c r="AC122" i="8"/>
  <c r="AD122" i="8"/>
  <c r="AE122" i="8"/>
  <c r="AF122" i="8"/>
  <c r="AG122" i="8"/>
  <c r="AH122" i="8"/>
  <c r="AI122" i="8"/>
  <c r="AJ122" i="8"/>
  <c r="AK122" i="8"/>
  <c r="AL122" i="8"/>
  <c r="BN122" i="8"/>
  <c r="BA125" i="8"/>
  <c r="BA127" i="8" s="1"/>
  <c r="BA123" i="8" s="1"/>
  <c r="BC125" i="8"/>
  <c r="BC127" i="8" s="1"/>
  <c r="BG125" i="8"/>
  <c r="BG127" i="8" s="1"/>
  <c r="BG123" i="8" s="1"/>
  <c r="BI125" i="8"/>
  <c r="BI127" i="8" s="1"/>
  <c r="BJ125" i="8"/>
  <c r="BJ127" i="8" s="1"/>
  <c r="BJ123" i="8" s="1"/>
  <c r="BM125" i="8"/>
  <c r="BM123" i="8" s="1"/>
  <c r="BN124" i="8"/>
  <c r="BO124" i="8" s="1"/>
  <c r="BO443" i="7" s="1"/>
  <c r="BO125" i="8"/>
  <c r="BP125" i="8"/>
  <c r="BT124" i="8"/>
  <c r="BU124" i="8" s="1"/>
  <c r="BU443" i="7" s="1"/>
  <c r="F124" i="8"/>
  <c r="I124" i="8"/>
  <c r="L124" i="8"/>
  <c r="O124" i="8"/>
  <c r="R124" i="8"/>
  <c r="U124" i="8"/>
  <c r="X124" i="8"/>
  <c r="AA124" i="8"/>
  <c r="AD124" i="8"/>
  <c r="AG124" i="8"/>
  <c r="AJ124" i="8"/>
  <c r="AM124" i="8"/>
  <c r="AP124" i="8"/>
  <c r="AS124" i="8"/>
  <c r="AV124" i="8"/>
  <c r="AY124" i="8"/>
  <c r="AY443" i="7" s="1"/>
  <c r="BK124" i="8"/>
  <c r="BK443" i="7" s="1"/>
  <c r="BL125" i="8"/>
  <c r="F127" i="8"/>
  <c r="I127" i="8"/>
  <c r="L127" i="8"/>
  <c r="O127" i="8"/>
  <c r="R127" i="8"/>
  <c r="U127" i="8"/>
  <c r="X127" i="8"/>
  <c r="AA127" i="8"/>
  <c r="AD127" i="8"/>
  <c r="AG127" i="8"/>
  <c r="AJ127" i="8"/>
  <c r="AM127" i="8"/>
  <c r="AP127" i="8"/>
  <c r="AS127" i="8"/>
  <c r="AV127" i="8"/>
  <c r="AY127" i="8"/>
  <c r="BB130" i="8"/>
  <c r="BE130" i="8"/>
  <c r="BH130" i="8"/>
  <c r="BK130" i="8"/>
  <c r="BN130" i="8"/>
  <c r="BQ130" i="8"/>
  <c r="BT130" i="8"/>
  <c r="BW130" i="8"/>
  <c r="BZ130" i="8"/>
  <c r="CC130" i="8"/>
  <c r="CF130" i="8"/>
  <c r="CI130" i="8"/>
  <c r="CL130" i="8"/>
  <c r="CO130" i="8"/>
  <c r="CR130" i="8"/>
  <c r="CU130" i="8"/>
  <c r="CX130" i="8"/>
  <c r="DA130" i="8"/>
  <c r="DD130" i="8"/>
  <c r="DG130" i="8"/>
  <c r="DJ130" i="8"/>
  <c r="DM130" i="8"/>
  <c r="E131" i="8"/>
  <c r="F131" i="8" s="1"/>
  <c r="G131" i="8" s="1"/>
  <c r="H131" i="8"/>
  <c r="I131" i="8" s="1"/>
  <c r="K131" i="8"/>
  <c r="L131" i="8" s="1"/>
  <c r="N131" i="8"/>
  <c r="O131" i="8" s="1"/>
  <c r="Q131" i="8"/>
  <c r="R131" i="8" s="1"/>
  <c r="T131" i="8"/>
  <c r="U131" i="8" s="1"/>
  <c r="W131" i="8"/>
  <c r="X131" i="8" s="1"/>
  <c r="Y131" i="8" s="1"/>
  <c r="Z131" i="8"/>
  <c r="AA131" i="8" s="1"/>
  <c r="AC131" i="8"/>
  <c r="AD131" i="8" s="1"/>
  <c r="AF131" i="8"/>
  <c r="AG131" i="8" s="1"/>
  <c r="AI131" i="8"/>
  <c r="AJ131" i="8" s="1"/>
  <c r="AK131" i="8" s="1"/>
  <c r="AL131" i="8"/>
  <c r="AM131" i="8" s="1"/>
  <c r="AO131" i="8"/>
  <c r="AP131" i="8" s="1"/>
  <c r="AQ131" i="8" s="1"/>
  <c r="AR131" i="8"/>
  <c r="AS131" i="8" s="1"/>
  <c r="AU131" i="8"/>
  <c r="AV131" i="8" s="1"/>
  <c r="AX131" i="8"/>
  <c r="AY131" i="8" s="1"/>
  <c r="BB131" i="8"/>
  <c r="BC131" i="8" s="1"/>
  <c r="BE131" i="8"/>
  <c r="BF131" i="8" s="1"/>
  <c r="BH131" i="8"/>
  <c r="BI131" i="8" s="1"/>
  <c r="BK131" i="8"/>
  <c r="BL131" i="8" s="1"/>
  <c r="BN131" i="8"/>
  <c r="BO131" i="8" s="1"/>
  <c r="BQ131" i="8"/>
  <c r="BR131" i="8" s="1"/>
  <c r="BT131" i="8"/>
  <c r="BU131" i="8" s="1"/>
  <c r="BW131" i="8"/>
  <c r="BX131" i="8" s="1"/>
  <c r="BZ131" i="8"/>
  <c r="CA131" i="8" s="1"/>
  <c r="CC131" i="8"/>
  <c r="CD131" i="8" s="1"/>
  <c r="CF131" i="8"/>
  <c r="CG131" i="8" s="1"/>
  <c r="CI131" i="8"/>
  <c r="CJ131" i="8" s="1"/>
  <c r="CL131" i="8"/>
  <c r="CM131" i="8" s="1"/>
  <c r="CO131" i="8"/>
  <c r="CP131" i="8" s="1"/>
  <c r="CR131" i="8"/>
  <c r="CS131" i="8" s="1"/>
  <c r="CU131" i="8"/>
  <c r="CV131" i="8" s="1"/>
  <c r="CX131" i="8"/>
  <c r="CY131" i="8" s="1"/>
  <c r="DA131" i="8"/>
  <c r="DB131" i="8" s="1"/>
  <c r="DD131" i="8"/>
  <c r="DE131" i="8" s="1"/>
  <c r="DG131" i="8"/>
  <c r="DH131" i="8" s="1"/>
  <c r="DJ131" i="8"/>
  <c r="DK131" i="8" s="1"/>
  <c r="DM131" i="8"/>
  <c r="DN131" i="8" s="1"/>
  <c r="AX132" i="8"/>
  <c r="AX133" i="8" s="1"/>
  <c r="AX135" i="8" s="1"/>
  <c r="AZ132" i="8"/>
  <c r="AZ133" i="8" s="1"/>
  <c r="AZ135" i="8" s="1"/>
  <c r="BD132" i="8"/>
  <c r="BD133" i="8" s="1"/>
  <c r="BD135" i="8" s="1"/>
  <c r="BF132" i="8"/>
  <c r="BF133" i="8" s="1"/>
  <c r="BG132" i="8"/>
  <c r="BG133" i="8" s="1"/>
  <c r="BG135" i="8" s="1"/>
  <c r="BI132" i="8"/>
  <c r="BI133" i="8" s="1"/>
  <c r="BI135" i="8" s="1"/>
  <c r="BJ132" i="8"/>
  <c r="BJ133" i="8" s="1"/>
  <c r="BJ135" i="8" s="1"/>
  <c r="BM132" i="8"/>
  <c r="BM133" i="8" s="1"/>
  <c r="BO132" i="8"/>
  <c r="BP132" i="8"/>
  <c r="BS132" i="8"/>
  <c r="BS133" i="8" s="1"/>
  <c r="BV132" i="8"/>
  <c r="BY132" i="8"/>
  <c r="CD132" i="8"/>
  <c r="CG132" i="8"/>
  <c r="CH132" i="8"/>
  <c r="CK132" i="8"/>
  <c r="CM132" i="8"/>
  <c r="CN132" i="8"/>
  <c r="CQ132" i="8"/>
  <c r="CW132" i="8"/>
  <c r="CZ132" i="8"/>
  <c r="DC132" i="8"/>
  <c r="DI132" i="8"/>
  <c r="BV133" i="8"/>
  <c r="CK133" i="8"/>
  <c r="DB135" i="8"/>
  <c r="BO135" i="8"/>
  <c r="BQ135" i="8"/>
  <c r="BR135" i="8" s="1"/>
  <c r="BZ135" i="8"/>
  <c r="CC135" i="8"/>
  <c r="CD135" i="8" s="1"/>
  <c r="CE135" i="8"/>
  <c r="CF135" i="8" s="1"/>
  <c r="CG135" i="8" s="1"/>
  <c r="CJ135" i="8"/>
  <c r="CO135" i="8"/>
  <c r="CR135" i="8"/>
  <c r="CT135" i="8"/>
  <c r="CU135" i="8" s="1"/>
  <c r="DC135" i="8"/>
  <c r="DC81" i="7" s="1"/>
  <c r="DE135" i="8"/>
  <c r="DE81" i="7" s="1"/>
  <c r="DG135" i="8"/>
  <c r="DH135" i="8"/>
  <c r="DH81" i="7" s="1"/>
  <c r="DI135" i="8"/>
  <c r="DI81" i="7" s="1"/>
  <c r="DK81" i="7"/>
  <c r="CT136" i="8"/>
  <c r="E137" i="8"/>
  <c r="G137" i="8"/>
  <c r="H137" i="8"/>
  <c r="J137" i="8"/>
  <c r="K137" i="8"/>
  <c r="M137" i="8"/>
  <c r="N137" i="8"/>
  <c r="P137" i="8"/>
  <c r="Q137" i="8"/>
  <c r="S137" i="8"/>
  <c r="T137" i="8"/>
  <c r="V137" i="8"/>
  <c r="W137" i="8"/>
  <c r="Y137" i="8"/>
  <c r="Z137" i="8"/>
  <c r="AB137" i="8"/>
  <c r="AC137" i="8"/>
  <c r="AE137" i="8"/>
  <c r="AF137" i="8"/>
  <c r="AH137" i="8"/>
  <c r="AI137" i="8"/>
  <c r="AK137" i="8"/>
  <c r="AL137" i="8"/>
  <c r="AN137" i="8"/>
  <c r="AO137" i="8"/>
  <c r="AQ137" i="8"/>
  <c r="AR137" i="8"/>
  <c r="AT137" i="8"/>
  <c r="AU137" i="8"/>
  <c r="AW137" i="8"/>
  <c r="AX137" i="8"/>
  <c r="AZ137" i="8"/>
  <c r="BB137" i="8"/>
  <c r="BE137" i="8"/>
  <c r="BH137" i="8"/>
  <c r="BK137" i="8"/>
  <c r="BN137" i="8"/>
  <c r="BQ137" i="8"/>
  <c r="BT137" i="8"/>
  <c r="BW137" i="8"/>
  <c r="BZ137" i="8"/>
  <c r="CC137" i="8"/>
  <c r="CF137" i="8"/>
  <c r="CI137" i="8"/>
  <c r="CL137" i="8"/>
  <c r="CO137" i="8"/>
  <c r="CR137" i="8"/>
  <c r="CU137" i="8"/>
  <c r="CX137" i="8"/>
  <c r="DA137" i="8"/>
  <c r="DD137" i="8"/>
  <c r="DG137" i="8"/>
  <c r="DJ137" i="8"/>
  <c r="DM137" i="8"/>
  <c r="DP137" i="8"/>
  <c r="DS137" i="8"/>
  <c r="DY137" i="8"/>
  <c r="EB137" i="8"/>
  <c r="EE137" i="8"/>
  <c r="EH137" i="8"/>
  <c r="EK137" i="8"/>
  <c r="EN137" i="8"/>
  <c r="EQ137" i="8"/>
  <c r="E138" i="8"/>
  <c r="G138" i="8"/>
  <c r="H138" i="8"/>
  <c r="J138" i="8"/>
  <c r="K138" i="8"/>
  <c r="M138" i="8"/>
  <c r="N138" i="8"/>
  <c r="P138" i="8"/>
  <c r="Q138" i="8"/>
  <c r="S138" i="8"/>
  <c r="T138" i="8"/>
  <c r="V138" i="8"/>
  <c r="W138" i="8"/>
  <c r="Y138" i="8"/>
  <c r="Z138" i="8"/>
  <c r="AB138" i="8"/>
  <c r="AC138" i="8"/>
  <c r="AE138" i="8"/>
  <c r="AF138" i="8"/>
  <c r="AH138" i="8"/>
  <c r="AI138" i="8"/>
  <c r="AK138" i="8"/>
  <c r="AL138" i="8"/>
  <c r="AN138" i="8"/>
  <c r="AO138" i="8"/>
  <c r="AQ138" i="8"/>
  <c r="AR138" i="8"/>
  <c r="AT138" i="8"/>
  <c r="AU138" i="8"/>
  <c r="AW138" i="8"/>
  <c r="AX138" i="8"/>
  <c r="AZ138" i="8"/>
  <c r="BB138" i="8"/>
  <c r="BE138" i="8"/>
  <c r="BH138" i="8"/>
  <c r="BK138" i="8"/>
  <c r="BN138" i="8"/>
  <c r="BQ138" i="8"/>
  <c r="BT138" i="8"/>
  <c r="BW138" i="8"/>
  <c r="BZ138" i="8"/>
  <c r="CC138" i="8"/>
  <c r="CF138" i="8"/>
  <c r="CI138" i="8"/>
  <c r="CL138" i="8"/>
  <c r="CO138" i="8"/>
  <c r="CR138" i="8"/>
  <c r="CU138" i="8"/>
  <c r="CX138" i="8"/>
  <c r="DA138" i="8"/>
  <c r="DD138" i="8"/>
  <c r="DG138" i="8"/>
  <c r="DJ138" i="8"/>
  <c r="DM138" i="8"/>
  <c r="DP138" i="8"/>
  <c r="DS138" i="8"/>
  <c r="DY138" i="8"/>
  <c r="EB138" i="8"/>
  <c r="EE138" i="8"/>
  <c r="EH138" i="8"/>
  <c r="EK138" i="8"/>
  <c r="EN138" i="8"/>
  <c r="EQ138" i="8"/>
  <c r="H145" i="8"/>
  <c r="I145" i="8"/>
  <c r="J145" i="8"/>
  <c r="K145" i="8"/>
  <c r="L145" i="8"/>
  <c r="M145" i="8"/>
  <c r="N145" i="8"/>
  <c r="O145" i="8"/>
  <c r="P145" i="8"/>
  <c r="Q145" i="8"/>
  <c r="R145" i="8"/>
  <c r="S145" i="8"/>
  <c r="T145" i="8"/>
  <c r="U145" i="8"/>
  <c r="V145" i="8"/>
  <c r="W145" i="8"/>
  <c r="X145" i="8"/>
  <c r="Y145" i="8"/>
  <c r="Z145" i="8"/>
  <c r="AA145" i="8"/>
  <c r="AB145" i="8"/>
  <c r="AC145" i="8"/>
  <c r="AD145" i="8"/>
  <c r="AE145" i="8"/>
  <c r="AF145" i="8"/>
  <c r="AG145" i="8"/>
  <c r="AH145" i="8"/>
  <c r="AI145" i="8"/>
  <c r="AJ145" i="8"/>
  <c r="AK145" i="8"/>
  <c r="AL145" i="8"/>
  <c r="AO145" i="8"/>
  <c r="AQ145" i="8"/>
  <c r="AR145" i="8"/>
  <c r="AT145" i="8"/>
  <c r="AU145" i="8"/>
  <c r="AW145" i="8"/>
  <c r="AX145" i="8"/>
  <c r="AZ145" i="8"/>
  <c r="BC145" i="8"/>
  <c r="BD145" i="8"/>
  <c r="BF145" i="8"/>
  <c r="BG145" i="8"/>
  <c r="BI145" i="8"/>
  <c r="BJ145" i="8"/>
  <c r="BO145" i="8"/>
  <c r="H146" i="8"/>
  <c r="I146" i="8"/>
  <c r="J146" i="8"/>
  <c r="K146" i="8"/>
  <c r="L146" i="8"/>
  <c r="M146" i="8"/>
  <c r="N146" i="8"/>
  <c r="O146" i="8"/>
  <c r="P146" i="8"/>
  <c r="Q146" i="8"/>
  <c r="R146" i="8"/>
  <c r="S146" i="8"/>
  <c r="T146" i="8"/>
  <c r="U146" i="8"/>
  <c r="V146" i="8"/>
  <c r="W146" i="8"/>
  <c r="X146" i="8"/>
  <c r="Y146" i="8"/>
  <c r="Z146" i="8"/>
  <c r="AA146" i="8"/>
  <c r="AB146" i="8"/>
  <c r="AC146" i="8"/>
  <c r="AD146" i="8"/>
  <c r="AE146" i="8"/>
  <c r="AF146" i="8"/>
  <c r="AG146" i="8"/>
  <c r="AH146" i="8"/>
  <c r="AI146" i="8"/>
  <c r="AJ146" i="8"/>
  <c r="AK146" i="8"/>
  <c r="AL146" i="8"/>
  <c r="AM146" i="8"/>
  <c r="AN146" i="8"/>
  <c r="H147" i="8"/>
  <c r="I147" i="8"/>
  <c r="J147" i="8"/>
  <c r="K147" i="8"/>
  <c r="L147" i="8"/>
  <c r="M147" i="8"/>
  <c r="N147" i="8"/>
  <c r="O147" i="8"/>
  <c r="P147" i="8"/>
  <c r="Q147" i="8"/>
  <c r="R147" i="8"/>
  <c r="S147" i="8"/>
  <c r="T147" i="8"/>
  <c r="U147" i="8"/>
  <c r="V147" i="8"/>
  <c r="W147" i="8"/>
  <c r="X147" i="8"/>
  <c r="Y147" i="8"/>
  <c r="Z147" i="8"/>
  <c r="AA147" i="8"/>
  <c r="AB147" i="8"/>
  <c r="AC147" i="8"/>
  <c r="AD147" i="8"/>
  <c r="AE147" i="8"/>
  <c r="AF147" i="8"/>
  <c r="AG147" i="8"/>
  <c r="AH147" i="8"/>
  <c r="AI147" i="8"/>
  <c r="AJ147" i="8"/>
  <c r="AK147" i="8"/>
  <c r="AL147" i="8"/>
  <c r="AO147" i="8"/>
  <c r="AQ147" i="8"/>
  <c r="AR147" i="8"/>
  <c r="AT147" i="8"/>
  <c r="AU147" i="8"/>
  <c r="AW147" i="8"/>
  <c r="AX147" i="8"/>
  <c r="AZ147" i="8"/>
  <c r="BC147" i="8"/>
  <c r="BD147" i="8"/>
  <c r="BF147" i="8"/>
  <c r="BG147" i="8"/>
  <c r="BI147" i="8"/>
  <c r="BJ147" i="8"/>
  <c r="BO147" i="8"/>
  <c r="E145" i="8"/>
  <c r="F145" i="8"/>
  <c r="G145" i="8"/>
  <c r="E146" i="8"/>
  <c r="F146" i="8"/>
  <c r="G146" i="8"/>
  <c r="E147" i="8"/>
  <c r="F147" i="8"/>
  <c r="G147" i="8"/>
  <c r="AR150" i="8"/>
  <c r="AT150" i="8"/>
  <c r="AU150" i="8"/>
  <c r="AW150" i="8"/>
  <c r="AX150" i="8"/>
  <c r="AZ150" i="8"/>
  <c r="BC150" i="8"/>
  <c r="BD150" i="8"/>
  <c r="BG153" i="8"/>
  <c r="BH153" i="8" s="1"/>
  <c r="BI153" i="8" s="1"/>
  <c r="BJ153" i="8" s="1"/>
  <c r="BK153" i="8" s="1"/>
  <c r="BL153" i="8" s="1"/>
  <c r="BM153" i="8" s="1"/>
  <c r="BN153" i="8" s="1"/>
  <c r="BO153" i="8" s="1"/>
  <c r="BP153" i="8" s="1"/>
  <c r="BQ153" i="8" s="1"/>
  <c r="BR153" i="8" s="1"/>
  <c r="BS153" i="8" s="1"/>
  <c r="BT153" i="8" s="1"/>
  <c r="BU153" i="8" s="1"/>
  <c r="BV153" i="8" s="1"/>
  <c r="BW153" i="8" s="1"/>
  <c r="BX153" i="8" s="1"/>
  <c r="BY153" i="8" s="1"/>
  <c r="BZ153" i="8" s="1"/>
  <c r="CA153" i="8" s="1"/>
  <c r="CB153" i="8" s="1"/>
  <c r="CC153" i="8" s="1"/>
  <c r="CD153" i="8" s="1"/>
  <c r="CE153" i="8" s="1"/>
  <c r="CF153" i="8" s="1"/>
  <c r="CG153" i="8" s="1"/>
  <c r="CH153" i="8" s="1"/>
  <c r="CI153" i="8" s="1"/>
  <c r="CJ153" i="8" s="1"/>
  <c r="CK153" i="8" s="1"/>
  <c r="CL153" i="8" s="1"/>
  <c r="CM153" i="8" s="1"/>
  <c r="CN153" i="8" s="1"/>
  <c r="CO153" i="8" s="1"/>
  <c r="CP153" i="8" s="1"/>
  <c r="CQ153" i="8" s="1"/>
  <c r="CR153" i="8" s="1"/>
  <c r="CS153" i="8" s="1"/>
  <c r="CU153" i="8"/>
  <c r="CV153" i="8" s="1"/>
  <c r="CX153" i="8"/>
  <c r="CY153" i="8" s="1"/>
  <c r="DA153" i="8"/>
  <c r="DB153" i="8" s="1"/>
  <c r="DD153" i="8"/>
  <c r="DE153" i="8" s="1"/>
  <c r="DF153" i="8" s="1"/>
  <c r="DG153" i="8" s="1"/>
  <c r="DH153" i="8" s="1"/>
  <c r="DJ153" i="8"/>
  <c r="DK153" i="8" s="1"/>
  <c r="DL153" i="8" s="1"/>
  <c r="DM153" i="8" s="1"/>
  <c r="DN153" i="8" s="1"/>
  <c r="DO153" i="8" s="1"/>
  <c r="E154" i="8"/>
  <c r="F154" i="8"/>
  <c r="G154" i="8"/>
  <c r="H154" i="8"/>
  <c r="I154" i="8"/>
  <c r="J154" i="8"/>
  <c r="K154" i="8"/>
  <c r="L154" i="8"/>
  <c r="M154" i="8"/>
  <c r="N154" i="8"/>
  <c r="O154" i="8"/>
  <c r="P154" i="8"/>
  <c r="Q154" i="8"/>
  <c r="R154" i="8"/>
  <c r="S154" i="8"/>
  <c r="T154" i="8"/>
  <c r="U154" i="8"/>
  <c r="V154" i="8"/>
  <c r="W154" i="8"/>
  <c r="X154" i="8"/>
  <c r="Y154" i="8"/>
  <c r="Z154" i="8"/>
  <c r="AA154" i="8"/>
  <c r="AB154" i="8"/>
  <c r="AC154" i="8"/>
  <c r="AD154" i="8"/>
  <c r="AE154" i="8"/>
  <c r="AF154" i="8"/>
  <c r="AG154" i="8"/>
  <c r="AH154" i="8"/>
  <c r="AI154" i="8"/>
  <c r="AK154" i="8"/>
  <c r="AL154" i="8"/>
  <c r="AN154" i="8"/>
  <c r="AO154" i="8"/>
  <c r="AQ154" i="8"/>
  <c r="AR154" i="8"/>
  <c r="AT154" i="8"/>
  <c r="AU154" i="8"/>
  <c r="AW154" i="8"/>
  <c r="AX154" i="8"/>
  <c r="AZ154" i="8"/>
  <c r="BF293" i="8"/>
  <c r="BF154" i="8" s="1"/>
  <c r="BG293" i="8"/>
  <c r="BG154" i="8" s="1"/>
  <c r="BI293" i="8"/>
  <c r="BI154" i="8" s="1"/>
  <c r="BJ154" i="8"/>
  <c r="BJ190" i="7" s="1"/>
  <c r="BK293" i="8"/>
  <c r="BL293" i="8" s="1"/>
  <c r="BO154" i="8"/>
  <c r="BQ293" i="8"/>
  <c r="BR293" i="8" s="1"/>
  <c r="BS293" i="8" s="1"/>
  <c r="BT293" i="8" s="1"/>
  <c r="BU293" i="8" s="1"/>
  <c r="E156" i="8"/>
  <c r="F156" i="8"/>
  <c r="G156" i="8"/>
  <c r="H156" i="8"/>
  <c r="I156" i="8"/>
  <c r="J156" i="8"/>
  <c r="K156" i="8"/>
  <c r="L156" i="8"/>
  <c r="M156" i="8"/>
  <c r="N156" i="8"/>
  <c r="O156" i="8"/>
  <c r="P156" i="8"/>
  <c r="Q156" i="8"/>
  <c r="R156" i="8"/>
  <c r="S156" i="8"/>
  <c r="T156" i="8"/>
  <c r="U156" i="8"/>
  <c r="V156" i="8"/>
  <c r="W156" i="8"/>
  <c r="X156" i="8"/>
  <c r="Y156" i="8"/>
  <c r="Z156" i="8"/>
  <c r="AA156" i="8"/>
  <c r="AB156" i="8"/>
  <c r="AC156" i="8"/>
  <c r="AD156" i="8"/>
  <c r="AE156" i="8"/>
  <c r="AF156" i="8"/>
  <c r="AG156" i="8"/>
  <c r="AH156" i="8"/>
  <c r="AI156" i="8"/>
  <c r="AJ156" i="8"/>
  <c r="AK156" i="8"/>
  <c r="AL156" i="8"/>
  <c r="AN156" i="8"/>
  <c r="AO156" i="8"/>
  <c r="AQ156" i="8"/>
  <c r="AR156" i="8"/>
  <c r="AT156" i="8"/>
  <c r="AU156" i="8"/>
  <c r="AW156" i="8"/>
  <c r="AX156" i="8"/>
  <c r="AZ156" i="8"/>
  <c r="E158" i="8"/>
  <c r="F158" i="8"/>
  <c r="G158" i="8"/>
  <c r="H158" i="8"/>
  <c r="I158" i="8"/>
  <c r="J158" i="8"/>
  <c r="K158" i="8"/>
  <c r="L158" i="8"/>
  <c r="M158" i="8"/>
  <c r="N158" i="8"/>
  <c r="O158" i="8"/>
  <c r="P158" i="8"/>
  <c r="Q158" i="8"/>
  <c r="R158" i="8"/>
  <c r="S158" i="8"/>
  <c r="T158" i="8"/>
  <c r="U158" i="8"/>
  <c r="V158" i="8"/>
  <c r="W158" i="8"/>
  <c r="X158" i="8"/>
  <c r="Y158" i="8"/>
  <c r="Z158" i="8"/>
  <c r="AA158" i="8"/>
  <c r="AB158" i="8"/>
  <c r="AC158" i="8"/>
  <c r="AD158" i="8"/>
  <c r="AE158" i="8"/>
  <c r="AF158" i="8"/>
  <c r="AG158" i="8"/>
  <c r="AH158" i="8"/>
  <c r="AI158" i="8"/>
  <c r="AK158" i="8"/>
  <c r="AL158" i="8"/>
  <c r="AN158" i="8"/>
  <c r="AO158" i="8"/>
  <c r="AQ158" i="8"/>
  <c r="AR158" i="8"/>
  <c r="AT158" i="8"/>
  <c r="AU158" i="8"/>
  <c r="AW158" i="8"/>
  <c r="AX158" i="8"/>
  <c r="AZ158" i="8"/>
  <c r="BC158" i="8" s="1"/>
  <c r="BA158" i="8" s="1"/>
  <c r="BM158" i="8"/>
  <c r="BR158" i="8"/>
  <c r="BU158" i="8" s="1"/>
  <c r="E159" i="8"/>
  <c r="F159" i="8"/>
  <c r="G159" i="8"/>
  <c r="H159" i="8"/>
  <c r="I159" i="8"/>
  <c r="J159" i="8"/>
  <c r="K159" i="8"/>
  <c r="L159" i="8"/>
  <c r="M159" i="8"/>
  <c r="N159" i="8"/>
  <c r="O159" i="8"/>
  <c r="P159" i="8"/>
  <c r="Q159" i="8"/>
  <c r="R159" i="8"/>
  <c r="S159" i="8"/>
  <c r="T159" i="8"/>
  <c r="U159" i="8"/>
  <c r="V159" i="8"/>
  <c r="W159" i="8"/>
  <c r="X159" i="8"/>
  <c r="Y159" i="8"/>
  <c r="Z159" i="8"/>
  <c r="AA159" i="8"/>
  <c r="AB159" i="8"/>
  <c r="AC159" i="8"/>
  <c r="AD159" i="8"/>
  <c r="AE159" i="8"/>
  <c r="AF159" i="8"/>
  <c r="AG159" i="8"/>
  <c r="AH159" i="8"/>
  <c r="AI159" i="8"/>
  <c r="AJ159" i="8"/>
  <c r="AK159" i="8"/>
  <c r="AL159" i="8"/>
  <c r="AM159" i="8"/>
  <c r="AN159" i="8"/>
  <c r="AO159" i="8"/>
  <c r="AP159" i="8"/>
  <c r="AQ159" i="8"/>
  <c r="AR159" i="8"/>
  <c r="AS159" i="8"/>
  <c r="AT159" i="8"/>
  <c r="AU159" i="8"/>
  <c r="AW159" i="8"/>
  <c r="AX159" i="8"/>
  <c r="AZ159" i="8"/>
  <c r="BC159" i="8"/>
  <c r="BC194" i="7" s="1"/>
  <c r="BB194" i="7" s="1"/>
  <c r="E161" i="8"/>
  <c r="F161" i="8"/>
  <c r="G161" i="8"/>
  <c r="H161" i="8"/>
  <c r="I161" i="8"/>
  <c r="J161" i="8"/>
  <c r="K161" i="8"/>
  <c r="L161" i="8"/>
  <c r="M161" i="8"/>
  <c r="N161" i="8"/>
  <c r="O161" i="8"/>
  <c r="P161" i="8"/>
  <c r="Q161" i="8"/>
  <c r="R161" i="8"/>
  <c r="S161" i="8"/>
  <c r="T161" i="8"/>
  <c r="U161" i="8"/>
  <c r="V161" i="8"/>
  <c r="W161" i="8"/>
  <c r="X161" i="8"/>
  <c r="Y161" i="8"/>
  <c r="Z161" i="8"/>
  <c r="AA161" i="8"/>
  <c r="AB161" i="8"/>
  <c r="AC161" i="8"/>
  <c r="AD161" i="8"/>
  <c r="AE161" i="8"/>
  <c r="AF161" i="8"/>
  <c r="AG161" i="8"/>
  <c r="AH161" i="8"/>
  <c r="AI161" i="8"/>
  <c r="AJ161" i="8"/>
  <c r="AK161" i="8"/>
  <c r="AL161" i="8"/>
  <c r="AM161" i="8"/>
  <c r="AN161" i="8"/>
  <c r="AO161" i="8"/>
  <c r="AP161" i="8"/>
  <c r="AQ161" i="8"/>
  <c r="AR161" i="8"/>
  <c r="AT161" i="8"/>
  <c r="AU161" i="8"/>
  <c r="AW161" i="8"/>
  <c r="AX161" i="8"/>
  <c r="AZ161" i="8"/>
  <c r="E162" i="8"/>
  <c r="F162" i="8"/>
  <c r="G162" i="8"/>
  <c r="H162" i="8"/>
  <c r="I162" i="8"/>
  <c r="J162" i="8"/>
  <c r="K162" i="8"/>
  <c r="L162" i="8"/>
  <c r="M162" i="8"/>
  <c r="N162" i="8"/>
  <c r="O162" i="8"/>
  <c r="P162" i="8"/>
  <c r="Q162" i="8"/>
  <c r="R162" i="8"/>
  <c r="S162" i="8"/>
  <c r="T162" i="8"/>
  <c r="U162" i="8"/>
  <c r="V162" i="8"/>
  <c r="W162" i="8"/>
  <c r="X162" i="8"/>
  <c r="Y162" i="8"/>
  <c r="Z162" i="8"/>
  <c r="AA162" i="8"/>
  <c r="AB162" i="8"/>
  <c r="AC162" i="8"/>
  <c r="AD162" i="8"/>
  <c r="AE162" i="8"/>
  <c r="AF162" i="8"/>
  <c r="AG162" i="8"/>
  <c r="AH162" i="8"/>
  <c r="AI162" i="8"/>
  <c r="AJ162" i="8"/>
  <c r="AK162" i="8"/>
  <c r="AL162" i="8"/>
  <c r="AM162" i="8"/>
  <c r="AN162" i="8"/>
  <c r="AO162" i="8"/>
  <c r="AP162" i="8"/>
  <c r="AQ162" i="8"/>
  <c r="AR162" i="8"/>
  <c r="AS162" i="8"/>
  <c r="AT162" i="8"/>
  <c r="AU162" i="8"/>
  <c r="AW162" i="8"/>
  <c r="AX162" i="8"/>
  <c r="AZ162" i="8"/>
  <c r="CR162" i="8"/>
  <c r="E165" i="8"/>
  <c r="E166" i="8"/>
  <c r="E167" i="8"/>
  <c r="F165" i="8"/>
  <c r="F166" i="8"/>
  <c r="F167" i="8"/>
  <c r="G165" i="8"/>
  <c r="G166" i="8"/>
  <c r="G167" i="8"/>
  <c r="H165" i="8"/>
  <c r="H166" i="8"/>
  <c r="H167" i="8"/>
  <c r="I165" i="8"/>
  <c r="I166" i="8"/>
  <c r="I167" i="8"/>
  <c r="J165" i="8"/>
  <c r="J166" i="8"/>
  <c r="J167" i="8"/>
  <c r="K165" i="8"/>
  <c r="K166" i="8"/>
  <c r="K167" i="8"/>
  <c r="L165" i="8"/>
  <c r="L166" i="8"/>
  <c r="L167" i="8"/>
  <c r="M165" i="8"/>
  <c r="M166" i="8"/>
  <c r="M167" i="8"/>
  <c r="N165" i="8"/>
  <c r="N166" i="8"/>
  <c r="N167" i="8"/>
  <c r="O165" i="8"/>
  <c r="O166" i="8"/>
  <c r="O167" i="8"/>
  <c r="P165" i="8"/>
  <c r="P166" i="8"/>
  <c r="P167" i="8"/>
  <c r="Q165" i="8"/>
  <c r="Q166" i="8"/>
  <c r="Q167" i="8"/>
  <c r="R165" i="8"/>
  <c r="R166" i="8"/>
  <c r="R167" i="8"/>
  <c r="S165" i="8"/>
  <c r="S166" i="8"/>
  <c r="S167" i="8"/>
  <c r="T165" i="8"/>
  <c r="T166" i="8"/>
  <c r="T167" i="8"/>
  <c r="U165" i="8"/>
  <c r="U166" i="8"/>
  <c r="U167" i="8"/>
  <c r="V165" i="8"/>
  <c r="V166" i="8"/>
  <c r="V167" i="8"/>
  <c r="W165" i="8"/>
  <c r="W166" i="8"/>
  <c r="W167" i="8"/>
  <c r="X165" i="8"/>
  <c r="X166" i="8"/>
  <c r="X167" i="8"/>
  <c r="Y165" i="8"/>
  <c r="Y166" i="8"/>
  <c r="Y167" i="8"/>
  <c r="Z165" i="8"/>
  <c r="Z166" i="8"/>
  <c r="Z167" i="8"/>
  <c r="AA165" i="8"/>
  <c r="AA166" i="8"/>
  <c r="AA167" i="8"/>
  <c r="AB165" i="8"/>
  <c r="AB166" i="8"/>
  <c r="AB167" i="8"/>
  <c r="AC165" i="8"/>
  <c r="AC166" i="8"/>
  <c r="AC167" i="8"/>
  <c r="AD165" i="8"/>
  <c r="AD166" i="8"/>
  <c r="AD167" i="8"/>
  <c r="AE165" i="8"/>
  <c r="AE166" i="8"/>
  <c r="AE167" i="8"/>
  <c r="AF165" i="8"/>
  <c r="AF166" i="8"/>
  <c r="AF167" i="8"/>
  <c r="AG165" i="8"/>
  <c r="AG166" i="8"/>
  <c r="AG167" i="8"/>
  <c r="AH165" i="8"/>
  <c r="AH166" i="8"/>
  <c r="AH167" i="8"/>
  <c r="AI165" i="8"/>
  <c r="AI166" i="8"/>
  <c r="AI167" i="8"/>
  <c r="AJ165" i="8"/>
  <c r="AJ166" i="8"/>
  <c r="AK165" i="8"/>
  <c r="AK166" i="8"/>
  <c r="AK167" i="8"/>
  <c r="AL165" i="8"/>
  <c r="AL166" i="8"/>
  <c r="AL167" i="8"/>
  <c r="AM165" i="8"/>
  <c r="AM166" i="8"/>
  <c r="AN165" i="8"/>
  <c r="AN166" i="8"/>
  <c r="AN167" i="8"/>
  <c r="AO165" i="8"/>
  <c r="AO166" i="8"/>
  <c r="AO167" i="8"/>
  <c r="AP165" i="8"/>
  <c r="AP166" i="8"/>
  <c r="AQ165" i="8"/>
  <c r="AQ166" i="8"/>
  <c r="AR165" i="8"/>
  <c r="AR166" i="8"/>
  <c r="AR167" i="8"/>
  <c r="AS165" i="8"/>
  <c r="AS166" i="8"/>
  <c r="AT165" i="8"/>
  <c r="AT166" i="8"/>
  <c r="AU165" i="8"/>
  <c r="AU166" i="8"/>
  <c r="AU167" i="8"/>
  <c r="AX166" i="8"/>
  <c r="AX167" i="8"/>
  <c r="BA164" i="8"/>
  <c r="BC164" i="8"/>
  <c r="BD164" i="8"/>
  <c r="BF164" i="8"/>
  <c r="BG164" i="8"/>
  <c r="BI164" i="8"/>
  <c r="BJ164" i="8"/>
  <c r="BL164" i="8"/>
  <c r="BM164" i="8"/>
  <c r="BO164" i="8"/>
  <c r="BP164" i="8"/>
  <c r="BR164" i="8"/>
  <c r="BS164" i="8"/>
  <c r="BS196" i="7" s="1"/>
  <c r="BU164" i="8"/>
  <c r="BU196" i="7" s="1"/>
  <c r="BV164" i="8"/>
  <c r="BX164" i="8"/>
  <c r="BY164" i="8"/>
  <c r="CA164" i="8"/>
  <c r="CE164" i="8"/>
  <c r="CG164" i="8"/>
  <c r="CH164" i="8"/>
  <c r="CJ164" i="8"/>
  <c r="CK164" i="8"/>
  <c r="CM164" i="8"/>
  <c r="CN164" i="8"/>
  <c r="CP164" i="8"/>
  <c r="CQ164" i="8"/>
  <c r="CS164" i="8"/>
  <c r="CT164" i="8"/>
  <c r="CV164" i="8"/>
  <c r="CW164" i="8"/>
  <c r="CY164" i="8"/>
  <c r="CZ164" i="8"/>
  <c r="DB164" i="8"/>
  <c r="DC164" i="8"/>
  <c r="DE164" i="8"/>
  <c r="DF164" i="8"/>
  <c r="DH164" i="8"/>
  <c r="DL164" i="8"/>
  <c r="DN164" i="8"/>
  <c r="DO164" i="8"/>
  <c r="DQ164" i="8"/>
  <c r="DR164" i="8"/>
  <c r="DT164" i="8"/>
  <c r="DU164" i="8"/>
  <c r="DX164" i="8"/>
  <c r="DZ164" i="8"/>
  <c r="EA164" i="8"/>
  <c r="EC164" i="8"/>
  <c r="ED164" i="8"/>
  <c r="EF164" i="8"/>
  <c r="EG164" i="8"/>
  <c r="EI164" i="8"/>
  <c r="EJ164" i="8"/>
  <c r="EL164" i="8"/>
  <c r="EM164" i="8"/>
  <c r="EO164" i="8"/>
  <c r="EP164" i="8"/>
  <c r="ER164" i="8"/>
  <c r="AW165" i="8"/>
  <c r="AZ165" i="8"/>
  <c r="AW166" i="8"/>
  <c r="AZ166" i="8"/>
  <c r="E168" i="8"/>
  <c r="F168" i="8"/>
  <c r="G168" i="8"/>
  <c r="H168" i="8"/>
  <c r="I168" i="8"/>
  <c r="J168" i="8"/>
  <c r="K168" i="8"/>
  <c r="L168" i="8"/>
  <c r="M168" i="8"/>
  <c r="N168" i="8"/>
  <c r="O168" i="8"/>
  <c r="P168" i="8"/>
  <c r="Q168" i="8"/>
  <c r="R168" i="8"/>
  <c r="S168" i="8"/>
  <c r="T168" i="8"/>
  <c r="U168" i="8"/>
  <c r="V168" i="8"/>
  <c r="W168" i="8"/>
  <c r="X168" i="8"/>
  <c r="Y168" i="8"/>
  <c r="Z168" i="8"/>
  <c r="AA168" i="8"/>
  <c r="AB168" i="8"/>
  <c r="AC168" i="8"/>
  <c r="AD168" i="8"/>
  <c r="AE168" i="8"/>
  <c r="AF168" i="8"/>
  <c r="AG168" i="8"/>
  <c r="AH168" i="8"/>
  <c r="AI168" i="8"/>
  <c r="AJ168" i="8"/>
  <c r="AK168" i="8"/>
  <c r="AL168" i="8"/>
  <c r="AM168" i="8"/>
  <c r="AN168" i="8"/>
  <c r="AO168" i="8"/>
  <c r="AP168" i="8"/>
  <c r="AR168" i="8"/>
  <c r="AT168" i="8"/>
  <c r="AU168" i="8"/>
  <c r="AW168" i="8"/>
  <c r="AX168" i="8"/>
  <c r="AZ168" i="8"/>
  <c r="E169" i="8"/>
  <c r="F169" i="8"/>
  <c r="G169" i="8"/>
  <c r="H169" i="8"/>
  <c r="I169" i="8"/>
  <c r="J169" i="8"/>
  <c r="K169" i="8"/>
  <c r="L169" i="8"/>
  <c r="M169" i="8"/>
  <c r="N169" i="8"/>
  <c r="O169" i="8"/>
  <c r="P169" i="8"/>
  <c r="Q169" i="8"/>
  <c r="R169" i="8"/>
  <c r="S169" i="8"/>
  <c r="T169" i="8"/>
  <c r="U169" i="8"/>
  <c r="V169" i="8"/>
  <c r="W169" i="8"/>
  <c r="X169" i="8"/>
  <c r="Y169" i="8"/>
  <c r="Z169" i="8"/>
  <c r="AA169" i="8"/>
  <c r="AB169" i="8"/>
  <c r="AC169" i="8"/>
  <c r="AD169" i="8"/>
  <c r="AE169" i="8"/>
  <c r="AF169" i="8"/>
  <c r="AG169" i="8"/>
  <c r="AH169" i="8"/>
  <c r="AI169" i="8"/>
  <c r="AJ169" i="8"/>
  <c r="AK169" i="8"/>
  <c r="AL169" i="8"/>
  <c r="AM169" i="8"/>
  <c r="AN169" i="8"/>
  <c r="AO169" i="8"/>
  <c r="AP169" i="8"/>
  <c r="AQ169" i="8"/>
  <c r="AR169" i="8"/>
  <c r="AW169" i="8"/>
  <c r="AX169" i="8"/>
  <c r="AZ169" i="8"/>
  <c r="DH169" i="8"/>
  <c r="DH203" i="7" s="1"/>
  <c r="BP170" i="8"/>
  <c r="E172" i="8"/>
  <c r="E173" i="8"/>
  <c r="F172" i="8"/>
  <c r="F173" i="8"/>
  <c r="G172" i="8"/>
  <c r="G173" i="8"/>
  <c r="H172" i="8"/>
  <c r="H173" i="8"/>
  <c r="I172" i="8"/>
  <c r="I173" i="8"/>
  <c r="J172" i="8"/>
  <c r="J173" i="8"/>
  <c r="K172" i="8"/>
  <c r="K173" i="8"/>
  <c r="L172" i="8"/>
  <c r="L173" i="8"/>
  <c r="M172" i="8"/>
  <c r="M173" i="8"/>
  <c r="N172" i="8"/>
  <c r="N173" i="8"/>
  <c r="O172" i="8"/>
  <c r="O173" i="8"/>
  <c r="P172" i="8"/>
  <c r="P173" i="8"/>
  <c r="Q172" i="8"/>
  <c r="Q173" i="8"/>
  <c r="R172" i="8"/>
  <c r="R173" i="8"/>
  <c r="S172" i="8"/>
  <c r="S173" i="8"/>
  <c r="T172" i="8"/>
  <c r="T173" i="8"/>
  <c r="U172" i="8"/>
  <c r="U173" i="8"/>
  <c r="V172" i="8"/>
  <c r="V173" i="8"/>
  <c r="W172" i="8"/>
  <c r="W173" i="8"/>
  <c r="X172" i="8"/>
  <c r="X173" i="8"/>
  <c r="Y172" i="8"/>
  <c r="Y173" i="8"/>
  <c r="Z172" i="8"/>
  <c r="Z173" i="8"/>
  <c r="AA172" i="8"/>
  <c r="AA173" i="8"/>
  <c r="AB172" i="8"/>
  <c r="AB173" i="8"/>
  <c r="AC172" i="8"/>
  <c r="AC173" i="8"/>
  <c r="AD172" i="8"/>
  <c r="AD173" i="8"/>
  <c r="AE172" i="8"/>
  <c r="AE173" i="8"/>
  <c r="AF172" i="8"/>
  <c r="AF173" i="8"/>
  <c r="AG172" i="8"/>
  <c r="AG173" i="8"/>
  <c r="AH172" i="8"/>
  <c r="AH173" i="8"/>
  <c r="AI172" i="8"/>
  <c r="AI173" i="8"/>
  <c r="AJ172" i="8"/>
  <c r="AJ173" i="8"/>
  <c r="AK172" i="8"/>
  <c r="AK173" i="8"/>
  <c r="AL172" i="8"/>
  <c r="AL173" i="8"/>
  <c r="AM172" i="8"/>
  <c r="AM173" i="8"/>
  <c r="AN172" i="8"/>
  <c r="AN173" i="8"/>
  <c r="AO172" i="8"/>
  <c r="AO173" i="8"/>
  <c r="AP172" i="8"/>
  <c r="AP173" i="8"/>
  <c r="AQ172" i="8"/>
  <c r="AQ173" i="8"/>
  <c r="AR172" i="8"/>
  <c r="AR173" i="8"/>
  <c r="AT172" i="8"/>
  <c r="AT173" i="8"/>
  <c r="AU172" i="8"/>
  <c r="AU173" i="8"/>
  <c r="AW172" i="8"/>
  <c r="AW173" i="8"/>
  <c r="AX172" i="8"/>
  <c r="AX173" i="8"/>
  <c r="AZ172" i="8"/>
  <c r="AZ173" i="8"/>
  <c r="BA171" i="8"/>
  <c r="BC171" i="8"/>
  <c r="BF171" i="8"/>
  <c r="BG171" i="8"/>
  <c r="BI171" i="8"/>
  <c r="BJ171" i="8"/>
  <c r="BK171" i="8"/>
  <c r="BL171" i="8"/>
  <c r="BM171" i="8"/>
  <c r="BN171" i="8"/>
  <c r="BO172" i="8"/>
  <c r="BO171" i="8" s="1"/>
  <c r="BP172" i="8"/>
  <c r="BR172" i="8" s="1"/>
  <c r="BR171" i="8" s="1"/>
  <c r="BQ171" i="8"/>
  <c r="BS171" i="8"/>
  <c r="BT171" i="8"/>
  <c r="BU171" i="8"/>
  <c r="BV171" i="8"/>
  <c r="BW171" i="8"/>
  <c r="BX171" i="8"/>
  <c r="BY171" i="8"/>
  <c r="BZ171" i="8"/>
  <c r="CA172" i="8"/>
  <c r="CA171" i="8" s="1"/>
  <c r="CB172" i="8"/>
  <c r="CB171" i="8" s="1"/>
  <c r="CC171" i="8"/>
  <c r="CE171" i="8"/>
  <c r="CF172" i="8"/>
  <c r="CF171" i="8" s="1"/>
  <c r="CG171" i="8"/>
  <c r="CH172" i="8"/>
  <c r="CI172" i="8"/>
  <c r="CI171" i="8" s="1"/>
  <c r="CK171" i="8"/>
  <c r="CL171" i="8"/>
  <c r="CM171" i="8"/>
  <c r="CN171" i="8"/>
  <c r="CO171" i="8"/>
  <c r="CP171" i="8"/>
  <c r="CQ171" i="8"/>
  <c r="CR171" i="8"/>
  <c r="CS171" i="8"/>
  <c r="CT171" i="8"/>
  <c r="CU171" i="8"/>
  <c r="CV171" i="8"/>
  <c r="CW171" i="8"/>
  <c r="CX171" i="8"/>
  <c r="CY171" i="8"/>
  <c r="CZ171" i="8"/>
  <c r="DA171" i="8"/>
  <c r="DB171" i="8"/>
  <c r="DC171" i="8"/>
  <c r="DD171" i="8"/>
  <c r="DE171" i="8"/>
  <c r="DF171" i="8"/>
  <c r="DG171" i="8"/>
  <c r="DH171" i="8"/>
  <c r="DI172" i="8"/>
  <c r="DI171" i="8" s="1"/>
  <c r="DK172" i="8"/>
  <c r="DK171" i="8" s="1"/>
  <c r="DL171" i="8"/>
  <c r="DM171" i="8"/>
  <c r="DN171" i="8"/>
  <c r="DO171" i="8"/>
  <c r="DP171" i="8"/>
  <c r="DQ171" i="8"/>
  <c r="DR171" i="8"/>
  <c r="DS171" i="8"/>
  <c r="DT171" i="8"/>
  <c r="DU171" i="8"/>
  <c r="DX171" i="8"/>
  <c r="DY171" i="8"/>
  <c r="DZ171" i="8"/>
  <c r="EG171" i="8"/>
  <c r="EH171" i="8"/>
  <c r="EI171" i="8"/>
  <c r="EJ171" i="8"/>
  <c r="EK171" i="8"/>
  <c r="EL171" i="8"/>
  <c r="EM171" i="8"/>
  <c r="EN171" i="8"/>
  <c r="EO171" i="8"/>
  <c r="EP171" i="8"/>
  <c r="EQ171" i="8"/>
  <c r="ER171" i="8"/>
  <c r="E175" i="8"/>
  <c r="E176" i="8"/>
  <c r="F175" i="8"/>
  <c r="F176" i="8"/>
  <c r="G175" i="8"/>
  <c r="G176" i="8"/>
  <c r="H175" i="8"/>
  <c r="H176" i="8"/>
  <c r="I175" i="8"/>
  <c r="I176" i="8"/>
  <c r="J175" i="8"/>
  <c r="J176" i="8"/>
  <c r="K175" i="8"/>
  <c r="K176" i="8"/>
  <c r="L175" i="8"/>
  <c r="L176" i="8"/>
  <c r="M175" i="8"/>
  <c r="M176" i="8"/>
  <c r="N175" i="8"/>
  <c r="N176" i="8"/>
  <c r="O175" i="8"/>
  <c r="O176" i="8"/>
  <c r="P175" i="8"/>
  <c r="P176" i="8"/>
  <c r="Q175" i="8"/>
  <c r="Q176" i="8"/>
  <c r="R175" i="8"/>
  <c r="R176" i="8"/>
  <c r="S175" i="8"/>
  <c r="S176" i="8"/>
  <c r="T175" i="8"/>
  <c r="T176" i="8"/>
  <c r="U175" i="8"/>
  <c r="U176" i="8"/>
  <c r="V175" i="8"/>
  <c r="V176" i="8"/>
  <c r="W175" i="8"/>
  <c r="W176" i="8"/>
  <c r="X175" i="8"/>
  <c r="X176" i="8"/>
  <c r="Y175" i="8"/>
  <c r="Y176" i="8"/>
  <c r="Z175" i="8"/>
  <c r="Z176" i="8"/>
  <c r="AA175" i="8"/>
  <c r="AA176" i="8"/>
  <c r="AB175" i="8"/>
  <c r="AB176" i="8"/>
  <c r="AC175" i="8"/>
  <c r="AC176" i="8"/>
  <c r="AD175" i="8"/>
  <c r="AD176" i="8"/>
  <c r="AE175" i="8"/>
  <c r="AE176" i="8"/>
  <c r="AF175" i="8"/>
  <c r="AF176" i="8"/>
  <c r="AG175" i="8"/>
  <c r="AG176" i="8"/>
  <c r="AH175" i="8"/>
  <c r="AH176" i="8"/>
  <c r="AI175" i="8"/>
  <c r="AI176" i="8"/>
  <c r="AJ175" i="8"/>
  <c r="AJ176" i="8"/>
  <c r="AK175" i="8"/>
  <c r="AK176" i="8"/>
  <c r="AL175" i="8"/>
  <c r="AL176" i="8"/>
  <c r="AN176" i="8"/>
  <c r="AO176" i="8"/>
  <c r="AQ176" i="8"/>
  <c r="AR176" i="8"/>
  <c r="AT176" i="8"/>
  <c r="AU176" i="8"/>
  <c r="AW176" i="8"/>
  <c r="AX176" i="8"/>
  <c r="BA176" i="8"/>
  <c r="BD176" i="8"/>
  <c r="BD174" i="8" s="1"/>
  <c r="BF176" i="8"/>
  <c r="BF174" i="8" s="1"/>
  <c r="BI176" i="8"/>
  <c r="BI174" i="8" s="1"/>
  <c r="BJ176" i="8"/>
  <c r="BJ174" i="8" s="1"/>
  <c r="BL176" i="8"/>
  <c r="BL174" i="8" s="1"/>
  <c r="BM176" i="8"/>
  <c r="BO176" i="8"/>
  <c r="BR176" i="8"/>
  <c r="BU176" i="8"/>
  <c r="BU174" i="8" s="1"/>
  <c r="BV176" i="8"/>
  <c r="BV174" i="8" s="1"/>
  <c r="BX176" i="8"/>
  <c r="BX174" i="8" s="1"/>
  <c r="CB176" i="8"/>
  <c r="CB174" i="8" s="1"/>
  <c r="CD176" i="8"/>
  <c r="CD174" i="8" s="1"/>
  <c r="CE176" i="8"/>
  <c r="CE174" i="8" s="1"/>
  <c r="CG176" i="8"/>
  <c r="CH176" i="8"/>
  <c r="CH174" i="8" s="1"/>
  <c r="CJ176" i="8"/>
  <c r="CK176" i="8"/>
  <c r="CK174" i="8" s="1"/>
  <c r="CN176" i="8"/>
  <c r="CN174" i="8" s="1"/>
  <c r="CP176" i="8"/>
  <c r="CS176" i="8"/>
  <c r="CT176" i="8"/>
  <c r="CT174" i="8" s="1"/>
  <c r="CV176" i="8"/>
  <c r="CW176" i="8"/>
  <c r="CW174" i="8" s="1"/>
  <c r="CY175" i="8"/>
  <c r="CY176" i="8"/>
  <c r="CZ176" i="8"/>
  <c r="CZ174" i="8" s="1"/>
  <c r="DB175" i="8"/>
  <c r="DB176" i="8"/>
  <c r="DC176" i="8"/>
  <c r="DC174" i="8" s="1"/>
  <c r="DE176" i="8"/>
  <c r="DE174" i="8" s="1"/>
  <c r="DF175" i="8"/>
  <c r="DF176" i="8"/>
  <c r="DH176" i="8"/>
  <c r="DI176" i="8"/>
  <c r="DJ176" i="8"/>
  <c r="DK175" i="8"/>
  <c r="DK176" i="8"/>
  <c r="E178" i="8"/>
  <c r="F178" i="8"/>
  <c r="G178" i="8"/>
  <c r="H178" i="8"/>
  <c r="I178" i="8"/>
  <c r="J178" i="8"/>
  <c r="K178" i="8"/>
  <c r="L178" i="8"/>
  <c r="M178" i="8"/>
  <c r="N178" i="8"/>
  <c r="O178" i="8"/>
  <c r="P178" i="8"/>
  <c r="Q178" i="8"/>
  <c r="R178" i="8"/>
  <c r="S178" i="8"/>
  <c r="T178" i="8"/>
  <c r="U178" i="8"/>
  <c r="V178" i="8"/>
  <c r="W178" i="8"/>
  <c r="X178" i="8"/>
  <c r="Y178" i="8"/>
  <c r="Z178" i="8"/>
  <c r="AA178" i="8"/>
  <c r="AB178" i="8"/>
  <c r="AC178" i="8"/>
  <c r="AD178" i="8"/>
  <c r="AE178" i="8"/>
  <c r="AF178" i="8"/>
  <c r="AG178" i="8"/>
  <c r="AH178" i="8"/>
  <c r="AI178" i="8"/>
  <c r="AJ178" i="8"/>
  <c r="AK178" i="8"/>
  <c r="AL178" i="8"/>
  <c r="AN178" i="8"/>
  <c r="AO178" i="8"/>
  <c r="AQ178" i="8"/>
  <c r="AR178" i="8"/>
  <c r="AT178" i="8"/>
  <c r="AU178" i="8"/>
  <c r="AW178" i="8"/>
  <c r="AX178" i="8"/>
  <c r="AZ178" i="8"/>
  <c r="BS178" i="8"/>
  <c r="BY178" i="8"/>
  <c r="CK178" i="8"/>
  <c r="CM178" i="8"/>
  <c r="CB179" i="8"/>
  <c r="CE179" i="8"/>
  <c r="CG179" i="8"/>
  <c r="CT179" i="8"/>
  <c r="CZ179" i="8"/>
  <c r="DB179" i="8"/>
  <c r="DC179" i="8"/>
  <c r="DF179" i="8"/>
  <c r="DH179" i="8"/>
  <c r="E182" i="8"/>
  <c r="E183" i="8"/>
  <c r="G182" i="8"/>
  <c r="F182" i="8" s="1"/>
  <c r="G183" i="8"/>
  <c r="F183" i="8" s="1"/>
  <c r="H182" i="8"/>
  <c r="H183" i="8"/>
  <c r="J182" i="8"/>
  <c r="I182" i="8" s="1"/>
  <c r="J183" i="8"/>
  <c r="I183" i="8" s="1"/>
  <c r="K182" i="8"/>
  <c r="K183" i="8"/>
  <c r="M182" i="8"/>
  <c r="L182" i="8" s="1"/>
  <c r="M183" i="8"/>
  <c r="L183" i="8" s="1"/>
  <c r="N182" i="8"/>
  <c r="N183" i="8"/>
  <c r="P182" i="8"/>
  <c r="O182" i="8" s="1"/>
  <c r="P183" i="8"/>
  <c r="O183" i="8" s="1"/>
  <c r="Q182" i="8"/>
  <c r="Q183" i="8"/>
  <c r="S182" i="8"/>
  <c r="R182" i="8" s="1"/>
  <c r="S183" i="8"/>
  <c r="R183" i="8" s="1"/>
  <c r="T182" i="8"/>
  <c r="T183" i="8"/>
  <c r="V182" i="8"/>
  <c r="U182" i="8" s="1"/>
  <c r="V183" i="8"/>
  <c r="U183" i="8" s="1"/>
  <c r="W182" i="8"/>
  <c r="W183" i="8"/>
  <c r="Y182" i="8"/>
  <c r="Y183" i="8"/>
  <c r="X183" i="8" s="1"/>
  <c r="Z182" i="8"/>
  <c r="Z183" i="8"/>
  <c r="AB182" i="8"/>
  <c r="AA182" i="8" s="1"/>
  <c r="AB183" i="8"/>
  <c r="AA183" i="8" s="1"/>
  <c r="AC182" i="8"/>
  <c r="AC183" i="8"/>
  <c r="AE182" i="8"/>
  <c r="AD182" i="8" s="1"/>
  <c r="AE183" i="8"/>
  <c r="AF182" i="8"/>
  <c r="AF183" i="8"/>
  <c r="AH182" i="8"/>
  <c r="AG182" i="8" s="1"/>
  <c r="AH183" i="8"/>
  <c r="AG183" i="8" s="1"/>
  <c r="AI182" i="8"/>
  <c r="AI183" i="8"/>
  <c r="AK182" i="8"/>
  <c r="AJ182" i="8" s="1"/>
  <c r="AK183" i="8"/>
  <c r="AJ183" i="8" s="1"/>
  <c r="AL182" i="8"/>
  <c r="AL183" i="8"/>
  <c r="AN182" i="8"/>
  <c r="AM182" i="8" s="1"/>
  <c r="AN183" i="8"/>
  <c r="AM183" i="8" s="1"/>
  <c r="AO182" i="8"/>
  <c r="AO183" i="8"/>
  <c r="AQ182" i="8"/>
  <c r="AP182" i="8" s="1"/>
  <c r="AQ183" i="8"/>
  <c r="AP183" i="8" s="1"/>
  <c r="AR182" i="8"/>
  <c r="AR183" i="8"/>
  <c r="AT182" i="8"/>
  <c r="AS182" i="8" s="1"/>
  <c r="AT183" i="8"/>
  <c r="AS183" i="8" s="1"/>
  <c r="AU182" i="8"/>
  <c r="AU183" i="8"/>
  <c r="AW182" i="8"/>
  <c r="AV182" i="8" s="1"/>
  <c r="AW183" i="8"/>
  <c r="AV183" i="8" s="1"/>
  <c r="AX182" i="8"/>
  <c r="AX183" i="8"/>
  <c r="AZ182" i="8"/>
  <c r="AY182" i="8" s="1"/>
  <c r="AZ183" i="8"/>
  <c r="AY183" i="8" s="1"/>
  <c r="BA181" i="8"/>
  <c r="BC182" i="8"/>
  <c r="BC181" i="8" s="1"/>
  <c r="BB183" i="8"/>
  <c r="BD181" i="8"/>
  <c r="BF182" i="8"/>
  <c r="BF181" i="8" s="1"/>
  <c r="BE183" i="8"/>
  <c r="BG181" i="8"/>
  <c r="BI182" i="8"/>
  <c r="BH183" i="8"/>
  <c r="BJ181" i="8"/>
  <c r="BL182" i="8"/>
  <c r="BK182" i="8" s="1"/>
  <c r="BK183" i="8"/>
  <c r="BM181" i="8"/>
  <c r="BN182" i="8"/>
  <c r="BN183" i="8"/>
  <c r="BO181" i="8"/>
  <c r="BP181" i="8"/>
  <c r="BQ182" i="8"/>
  <c r="BQ183" i="8"/>
  <c r="BR181" i="8"/>
  <c r="BS181" i="8"/>
  <c r="BT182" i="8"/>
  <c r="BT183" i="8"/>
  <c r="BU181" i="8"/>
  <c r="BV181" i="8"/>
  <c r="BW182" i="8"/>
  <c r="BW183" i="8"/>
  <c r="BX181" i="8"/>
  <c r="CB181" i="8"/>
  <c r="CC182" i="8"/>
  <c r="CC181" i="8" s="1"/>
  <c r="CD181" i="8"/>
  <c r="CE181" i="8"/>
  <c r="CF182" i="8"/>
  <c r="CI183" i="8"/>
  <c r="CK181" i="8"/>
  <c r="CL182" i="8"/>
  <c r="CL183" i="8"/>
  <c r="CM181" i="8"/>
  <c r="CN181" i="8"/>
  <c r="CO182" i="8"/>
  <c r="CO183" i="8"/>
  <c r="CP181" i="8"/>
  <c r="CQ181" i="8"/>
  <c r="CR182" i="8"/>
  <c r="CR183" i="8"/>
  <c r="CS181" i="8"/>
  <c r="CT181" i="8"/>
  <c r="CU182" i="8"/>
  <c r="CU183" i="8"/>
  <c r="CV181" i="8"/>
  <c r="CW181" i="8"/>
  <c r="CX182" i="8"/>
  <c r="CX183" i="8"/>
  <c r="CY181" i="8"/>
  <c r="CZ181" i="8"/>
  <c r="DA182" i="8"/>
  <c r="DA183" i="8"/>
  <c r="DB181" i="8"/>
  <c r="DC181" i="8"/>
  <c r="DD182" i="8"/>
  <c r="DD183" i="8"/>
  <c r="DE181" i="8"/>
  <c r="DF181" i="8"/>
  <c r="DG182" i="8"/>
  <c r="DG183" i="8"/>
  <c r="DH181" i="8"/>
  <c r="DI181" i="8"/>
  <c r="DJ182" i="8"/>
  <c r="DJ183" i="8"/>
  <c r="DK181" i="8"/>
  <c r="DL181" i="8"/>
  <c r="DM182" i="8"/>
  <c r="DM183" i="8"/>
  <c r="DN181" i="8"/>
  <c r="DO181" i="8"/>
  <c r="DP182" i="8"/>
  <c r="DP183" i="8"/>
  <c r="DQ181" i="8"/>
  <c r="DR181" i="8"/>
  <c r="DS182" i="8"/>
  <c r="DS183" i="8"/>
  <c r="DT181" i="8"/>
  <c r="DU181" i="8"/>
  <c r="DX181" i="8"/>
  <c r="DY182" i="8"/>
  <c r="DY183" i="8"/>
  <c r="DZ181" i="8"/>
  <c r="EA181" i="8"/>
  <c r="EB182" i="8"/>
  <c r="EB183" i="8"/>
  <c r="EC181" i="8"/>
  <c r="ED181" i="8"/>
  <c r="EE182" i="8"/>
  <c r="EE183" i="8"/>
  <c r="EF181" i="8"/>
  <c r="EG181" i="8"/>
  <c r="EH182" i="8"/>
  <c r="EH183" i="8"/>
  <c r="EI181" i="8"/>
  <c r="EJ181" i="8"/>
  <c r="EK182" i="8"/>
  <c r="EK183" i="8"/>
  <c r="EL181" i="8"/>
  <c r="EM181" i="8"/>
  <c r="EN182" i="8"/>
  <c r="EN183" i="8"/>
  <c r="EO181" i="8"/>
  <c r="EP181" i="8"/>
  <c r="EQ182" i="8"/>
  <c r="EQ183" i="8"/>
  <c r="ER181" i="8"/>
  <c r="BZ182" i="8"/>
  <c r="CI182" i="8"/>
  <c r="CF183" i="8"/>
  <c r="E184" i="8"/>
  <c r="G184" i="8"/>
  <c r="F184" i="8" s="1"/>
  <c r="H184" i="8"/>
  <c r="J184" i="8"/>
  <c r="I184" i="8" s="1"/>
  <c r="K184" i="8"/>
  <c r="M184" i="8"/>
  <c r="L184" i="8" s="1"/>
  <c r="N184" i="8"/>
  <c r="P184" i="8"/>
  <c r="O184" i="8" s="1"/>
  <c r="Q184" i="8"/>
  <c r="S184" i="8"/>
  <c r="R184" i="8" s="1"/>
  <c r="T184" i="8"/>
  <c r="V184" i="8"/>
  <c r="U184" i="8" s="1"/>
  <c r="W184" i="8"/>
  <c r="Y184" i="8"/>
  <c r="X184" i="8" s="1"/>
  <c r="Z184" i="8"/>
  <c r="AB184" i="8"/>
  <c r="AA184" i="8" s="1"/>
  <c r="AC184" i="8"/>
  <c r="AE184" i="8"/>
  <c r="AD184" i="8" s="1"/>
  <c r="AF184" i="8"/>
  <c r="AH184" i="8"/>
  <c r="AG184" i="8" s="1"/>
  <c r="AI184" i="8"/>
  <c r="AK184" i="8"/>
  <c r="AJ184" i="8" s="1"/>
  <c r="AL184" i="8"/>
  <c r="AN184" i="8"/>
  <c r="AM184" i="8" s="1"/>
  <c r="AO184" i="8"/>
  <c r="AQ184" i="8"/>
  <c r="AP184" i="8" s="1"/>
  <c r="AR184" i="8"/>
  <c r="AT184" i="8"/>
  <c r="AS184" i="8" s="1"/>
  <c r="AU184" i="8"/>
  <c r="AW184" i="8"/>
  <c r="AV184" i="8" s="1"/>
  <c r="AZ184" i="8"/>
  <c r="AY184" i="8" s="1"/>
  <c r="BC184" i="8"/>
  <c r="BB184" i="8" s="1"/>
  <c r="BD184" i="8"/>
  <c r="BF184" i="8"/>
  <c r="BE184" i="8" s="1"/>
  <c r="BG184" i="8"/>
  <c r="BI184" i="8"/>
  <c r="BH184" i="8" s="1"/>
  <c r="BJ184" i="8"/>
  <c r="BO184" i="8"/>
  <c r="BN184" i="8" s="1"/>
  <c r="E185" i="8"/>
  <c r="G185" i="8"/>
  <c r="F185" i="8" s="1"/>
  <c r="H185" i="8"/>
  <c r="J185" i="8"/>
  <c r="I185" i="8" s="1"/>
  <c r="K185" i="8"/>
  <c r="M185" i="8"/>
  <c r="L185" i="8" s="1"/>
  <c r="N185" i="8"/>
  <c r="P185" i="8"/>
  <c r="O185" i="8" s="1"/>
  <c r="Q185" i="8"/>
  <c r="S185" i="8"/>
  <c r="R185" i="8" s="1"/>
  <c r="T185" i="8"/>
  <c r="V185" i="8"/>
  <c r="U185" i="8" s="1"/>
  <c r="W185" i="8"/>
  <c r="Y185" i="8"/>
  <c r="X185" i="8" s="1"/>
  <c r="Z185" i="8"/>
  <c r="AB185" i="8"/>
  <c r="AA185" i="8" s="1"/>
  <c r="AC185" i="8"/>
  <c r="AE185" i="8"/>
  <c r="AD185" i="8" s="1"/>
  <c r="AF185" i="8"/>
  <c r="AH185" i="8"/>
  <c r="AG185" i="8" s="1"/>
  <c r="AI185" i="8"/>
  <c r="AK185" i="8"/>
  <c r="AJ185" i="8" s="1"/>
  <c r="AL185" i="8"/>
  <c r="AN185" i="8"/>
  <c r="AM185" i="8" s="1"/>
  <c r="AO185" i="8"/>
  <c r="AQ185" i="8"/>
  <c r="AP185" i="8" s="1"/>
  <c r="AR185" i="8"/>
  <c r="AT185" i="8"/>
  <c r="AS185" i="8" s="1"/>
  <c r="AU185" i="8"/>
  <c r="AW185" i="8"/>
  <c r="AV185" i="8" s="1"/>
  <c r="AX185" i="8"/>
  <c r="AZ185" i="8"/>
  <c r="AY185" i="8" s="1"/>
  <c r="BB185" i="8"/>
  <c r="BE185" i="8"/>
  <c r="BH185" i="8"/>
  <c r="BK185" i="8"/>
  <c r="BN185" i="8"/>
  <c r="BQ185" i="8"/>
  <c r="BT185" i="8"/>
  <c r="BW185" i="8"/>
  <c r="BZ185" i="8"/>
  <c r="CC185" i="8"/>
  <c r="CF185" i="8"/>
  <c r="CI185" i="8"/>
  <c r="CL185" i="8"/>
  <c r="CO185" i="8"/>
  <c r="CR185" i="8"/>
  <c r="CU185" i="8"/>
  <c r="CX185" i="8"/>
  <c r="DA185" i="8"/>
  <c r="DD185" i="8"/>
  <c r="DG185" i="8"/>
  <c r="DJ185" i="8"/>
  <c r="DM185" i="8"/>
  <c r="DP185" i="8"/>
  <c r="DS185" i="8"/>
  <c r="DY185" i="8"/>
  <c r="EB185" i="8"/>
  <c r="EE185" i="8"/>
  <c r="EH185" i="8"/>
  <c r="EK185" i="8"/>
  <c r="EN185" i="8"/>
  <c r="EQ185" i="8"/>
  <c r="E187" i="8"/>
  <c r="E188" i="8"/>
  <c r="E189" i="8"/>
  <c r="G187" i="8"/>
  <c r="F187" i="8" s="1"/>
  <c r="G188" i="8"/>
  <c r="F188" i="8" s="1"/>
  <c r="G189" i="8"/>
  <c r="F189" i="8" s="1"/>
  <c r="H187" i="8"/>
  <c r="H188" i="8"/>
  <c r="H189" i="8"/>
  <c r="J187" i="8"/>
  <c r="I187" i="8" s="1"/>
  <c r="J188" i="8"/>
  <c r="I188" i="8" s="1"/>
  <c r="J189" i="8"/>
  <c r="I189" i="8" s="1"/>
  <c r="K187" i="8"/>
  <c r="K188" i="8"/>
  <c r="K189" i="8"/>
  <c r="M187" i="8"/>
  <c r="L187" i="8" s="1"/>
  <c r="M188" i="8"/>
  <c r="L188" i="8" s="1"/>
  <c r="M189" i="8"/>
  <c r="L189" i="8" s="1"/>
  <c r="N187" i="8"/>
  <c r="N188" i="8"/>
  <c r="N189" i="8"/>
  <c r="P187" i="8"/>
  <c r="O187" i="8" s="1"/>
  <c r="P188" i="8"/>
  <c r="O188" i="8" s="1"/>
  <c r="P189" i="8"/>
  <c r="O189" i="8" s="1"/>
  <c r="Q187" i="8"/>
  <c r="Q188" i="8"/>
  <c r="Q189" i="8"/>
  <c r="S187" i="8"/>
  <c r="R187" i="8" s="1"/>
  <c r="S188" i="8"/>
  <c r="R188" i="8" s="1"/>
  <c r="S189" i="8"/>
  <c r="R189" i="8" s="1"/>
  <c r="T187" i="8"/>
  <c r="T188" i="8"/>
  <c r="T189" i="8"/>
  <c r="V187" i="8"/>
  <c r="U187" i="8" s="1"/>
  <c r="V188" i="8"/>
  <c r="U188" i="8" s="1"/>
  <c r="V189" i="8"/>
  <c r="U189" i="8" s="1"/>
  <c r="W187" i="8"/>
  <c r="W188" i="8"/>
  <c r="W189" i="8"/>
  <c r="Y187" i="8"/>
  <c r="X187" i="8" s="1"/>
  <c r="Y188" i="8"/>
  <c r="X188" i="8" s="1"/>
  <c r="Y189" i="8"/>
  <c r="X189" i="8" s="1"/>
  <c r="Z187" i="8"/>
  <c r="Z188" i="8"/>
  <c r="Z189" i="8"/>
  <c r="AB187" i="8"/>
  <c r="AA187" i="8" s="1"/>
  <c r="AB188" i="8"/>
  <c r="AA188" i="8" s="1"/>
  <c r="AB189" i="8"/>
  <c r="AA189" i="8" s="1"/>
  <c r="AC187" i="8"/>
  <c r="AC188" i="8"/>
  <c r="AC189" i="8"/>
  <c r="AE187" i="8"/>
  <c r="AD187" i="8" s="1"/>
  <c r="AE188" i="8"/>
  <c r="AD188" i="8" s="1"/>
  <c r="AE189" i="8"/>
  <c r="AD189" i="8" s="1"/>
  <c r="AF187" i="8"/>
  <c r="AF188" i="8"/>
  <c r="AF189" i="8"/>
  <c r="AH187" i="8"/>
  <c r="AG187" i="8" s="1"/>
  <c r="AH188" i="8"/>
  <c r="AG188" i="8" s="1"/>
  <c r="AH189" i="8"/>
  <c r="AG189" i="8" s="1"/>
  <c r="AI187" i="8"/>
  <c r="AI188" i="8"/>
  <c r="AI189" i="8"/>
  <c r="AK187" i="8"/>
  <c r="AJ187" i="8" s="1"/>
  <c r="AK188" i="8"/>
  <c r="AJ188" i="8" s="1"/>
  <c r="AK189" i="8"/>
  <c r="AJ189" i="8" s="1"/>
  <c r="AL187" i="8"/>
  <c r="AL188" i="8"/>
  <c r="AL189" i="8"/>
  <c r="AN187" i="8"/>
  <c r="AM187" i="8" s="1"/>
  <c r="AN188" i="8"/>
  <c r="AM188" i="8" s="1"/>
  <c r="AN189" i="8"/>
  <c r="AM189" i="8" s="1"/>
  <c r="AO187" i="8"/>
  <c r="AO188" i="8"/>
  <c r="AO189" i="8"/>
  <c r="AQ187" i="8"/>
  <c r="AP187" i="8" s="1"/>
  <c r="AQ188" i="8"/>
  <c r="AP188" i="8" s="1"/>
  <c r="AQ189" i="8"/>
  <c r="AP189" i="8" s="1"/>
  <c r="AR187" i="8"/>
  <c r="AR188" i="8"/>
  <c r="AR189" i="8"/>
  <c r="AT187" i="8"/>
  <c r="AS187" i="8" s="1"/>
  <c r="AT188" i="8"/>
  <c r="AS188" i="8" s="1"/>
  <c r="AT189" i="8"/>
  <c r="AS189" i="8" s="1"/>
  <c r="AU187" i="8"/>
  <c r="AU188" i="8"/>
  <c r="AU189" i="8"/>
  <c r="AW187" i="8"/>
  <c r="AV187" i="8" s="1"/>
  <c r="AW188" i="8"/>
  <c r="AV188" i="8" s="1"/>
  <c r="AW189" i="8"/>
  <c r="AV189" i="8" s="1"/>
  <c r="AX187" i="8"/>
  <c r="AX188" i="8"/>
  <c r="AX189" i="8"/>
  <c r="AZ187" i="8"/>
  <c r="AY187" i="8" s="1"/>
  <c r="AZ188" i="8"/>
  <c r="AY188" i="8" s="1"/>
  <c r="AZ189" i="8"/>
  <c r="AY189" i="8" s="1"/>
  <c r="BA186" i="8"/>
  <c r="BB187" i="8"/>
  <c r="BB188" i="8"/>
  <c r="BB189" i="8"/>
  <c r="BC186" i="8"/>
  <c r="BD186" i="8"/>
  <c r="BE187" i="8"/>
  <c r="BE188" i="8"/>
  <c r="BE189" i="8"/>
  <c r="BF186" i="8"/>
  <c r="BG186" i="8"/>
  <c r="BH187" i="8"/>
  <c r="BH188" i="8"/>
  <c r="BH189" i="8"/>
  <c r="BI186" i="8"/>
  <c r="BJ186" i="8"/>
  <c r="BK187" i="8"/>
  <c r="BK188" i="8"/>
  <c r="BK189" i="8"/>
  <c r="BL186" i="8"/>
  <c r="BM186" i="8"/>
  <c r="BN187" i="8"/>
  <c r="BN188" i="8"/>
  <c r="BN189" i="8"/>
  <c r="BO186" i="8"/>
  <c r="BP186" i="8"/>
  <c r="BQ187" i="8"/>
  <c r="BQ188" i="8"/>
  <c r="BQ189" i="8"/>
  <c r="BR186" i="8"/>
  <c r="BS186" i="8"/>
  <c r="BT187" i="8"/>
  <c r="BT188" i="8"/>
  <c r="BT189" i="8"/>
  <c r="BU186" i="8"/>
  <c r="BV186" i="8"/>
  <c r="BW187" i="8"/>
  <c r="BW188" i="8"/>
  <c r="BW189" i="8"/>
  <c r="BX186" i="8"/>
  <c r="BY186" i="8"/>
  <c r="BZ187" i="8"/>
  <c r="BZ188" i="8"/>
  <c r="BZ189" i="8"/>
  <c r="CA186" i="8"/>
  <c r="CB186" i="8"/>
  <c r="CC187" i="8"/>
  <c r="CC188" i="8"/>
  <c r="CC189" i="8"/>
  <c r="CD186" i="8"/>
  <c r="CE186" i="8"/>
  <c r="CF187" i="8"/>
  <c r="CF188" i="8"/>
  <c r="CF189" i="8"/>
  <c r="CG186" i="8"/>
  <c r="CH186" i="8"/>
  <c r="CI187" i="8"/>
  <c r="CI188" i="8"/>
  <c r="CI189" i="8"/>
  <c r="CJ186" i="8"/>
  <c r="CK186" i="8"/>
  <c r="CL187" i="8"/>
  <c r="CL188" i="8"/>
  <c r="CL189" i="8"/>
  <c r="CM186" i="8"/>
  <c r="CN186" i="8"/>
  <c r="CO187" i="8"/>
  <c r="CO188" i="8"/>
  <c r="CO189" i="8"/>
  <c r="CP186" i="8"/>
  <c r="CQ186" i="8"/>
  <c r="CR187" i="8"/>
  <c r="CR188" i="8"/>
  <c r="CR189" i="8"/>
  <c r="CS186" i="8"/>
  <c r="CT186" i="8"/>
  <c r="CU187" i="8"/>
  <c r="CU188" i="8"/>
  <c r="CU189" i="8"/>
  <c r="CV186" i="8"/>
  <c r="CW186" i="8"/>
  <c r="CX187" i="8"/>
  <c r="CX188" i="8"/>
  <c r="CX189" i="8"/>
  <c r="CY186" i="8"/>
  <c r="CZ186" i="8"/>
  <c r="DA187" i="8"/>
  <c r="DA188" i="8"/>
  <c r="DA189" i="8"/>
  <c r="DB186" i="8"/>
  <c r="DC186" i="8"/>
  <c r="DD187" i="8"/>
  <c r="DD188" i="8"/>
  <c r="DD189" i="8"/>
  <c r="DE186" i="8"/>
  <c r="DF186" i="8"/>
  <c r="DG187" i="8"/>
  <c r="DG188" i="8"/>
  <c r="DG189" i="8"/>
  <c r="DH186" i="8"/>
  <c r="DI186" i="8"/>
  <c r="DJ187" i="8"/>
  <c r="DJ188" i="8"/>
  <c r="DJ189" i="8"/>
  <c r="DK186" i="8"/>
  <c r="DL186" i="8"/>
  <c r="DM187" i="8"/>
  <c r="DM188" i="8"/>
  <c r="DM189" i="8"/>
  <c r="DN186" i="8"/>
  <c r="DO186" i="8"/>
  <c r="DP187" i="8"/>
  <c r="DP188" i="8"/>
  <c r="DP189" i="8"/>
  <c r="DQ186" i="8"/>
  <c r="DR186" i="8"/>
  <c r="DS187" i="8"/>
  <c r="DS188" i="8"/>
  <c r="DS189" i="8"/>
  <c r="DT186" i="8"/>
  <c r="DU186" i="8"/>
  <c r="DX186" i="8"/>
  <c r="DY187" i="8"/>
  <c r="DY188" i="8"/>
  <c r="DY189" i="8"/>
  <c r="DZ186" i="8"/>
  <c r="EA186" i="8"/>
  <c r="EB187" i="8"/>
  <c r="EB188" i="8"/>
  <c r="EB189" i="8"/>
  <c r="EC186" i="8"/>
  <c r="ED186" i="8"/>
  <c r="EE187" i="8"/>
  <c r="EE188" i="8"/>
  <c r="EE189" i="8"/>
  <c r="EF186" i="8"/>
  <c r="EG186" i="8"/>
  <c r="EH187" i="8"/>
  <c r="EH188" i="8"/>
  <c r="EH189" i="8"/>
  <c r="EI186" i="8"/>
  <c r="EJ186" i="8"/>
  <c r="EK187" i="8"/>
  <c r="EK188" i="8"/>
  <c r="EK189" i="8"/>
  <c r="EL186" i="8"/>
  <c r="EM186" i="8"/>
  <c r="EN187" i="8"/>
  <c r="EN188" i="8"/>
  <c r="EN189" i="8"/>
  <c r="EO186" i="8"/>
  <c r="EP186" i="8"/>
  <c r="EQ187" i="8"/>
  <c r="EQ188" i="8"/>
  <c r="EQ189" i="8"/>
  <c r="ER186" i="8"/>
  <c r="E191" i="8"/>
  <c r="E192" i="8"/>
  <c r="G191" i="8"/>
  <c r="G192" i="8"/>
  <c r="F192" i="8" s="1"/>
  <c r="H191" i="8"/>
  <c r="H192" i="8"/>
  <c r="J191" i="8"/>
  <c r="J192" i="8"/>
  <c r="I192" i="8" s="1"/>
  <c r="K191" i="8"/>
  <c r="K192" i="8"/>
  <c r="M191" i="8"/>
  <c r="M192" i="8"/>
  <c r="L192" i="8" s="1"/>
  <c r="N191" i="8"/>
  <c r="N192" i="8"/>
  <c r="P191" i="8"/>
  <c r="P192" i="8"/>
  <c r="O192" i="8" s="1"/>
  <c r="Q191" i="8"/>
  <c r="Q192" i="8"/>
  <c r="S191" i="8"/>
  <c r="S192" i="8"/>
  <c r="R192" i="8" s="1"/>
  <c r="T191" i="8"/>
  <c r="T192" i="8"/>
  <c r="V191" i="8"/>
  <c r="V192" i="8"/>
  <c r="U192" i="8" s="1"/>
  <c r="W191" i="8"/>
  <c r="W192" i="8"/>
  <c r="Y191" i="8"/>
  <c r="Y192" i="8"/>
  <c r="X192" i="8" s="1"/>
  <c r="Z191" i="8"/>
  <c r="Z192" i="8"/>
  <c r="AB191" i="8"/>
  <c r="AB192" i="8"/>
  <c r="AA192" i="8" s="1"/>
  <c r="AC191" i="8"/>
  <c r="AC192" i="8"/>
  <c r="AE191" i="8"/>
  <c r="AE192" i="8"/>
  <c r="AD192" i="8" s="1"/>
  <c r="AF191" i="8"/>
  <c r="AF192" i="8"/>
  <c r="AH191" i="8"/>
  <c r="AH192" i="8"/>
  <c r="AG192" i="8" s="1"/>
  <c r="AI191" i="8"/>
  <c r="AI192" i="8"/>
  <c r="AK191" i="8"/>
  <c r="AK192" i="8"/>
  <c r="AJ192" i="8" s="1"/>
  <c r="AL191" i="8"/>
  <c r="AL192" i="8"/>
  <c r="AN191" i="8"/>
  <c r="AN192" i="8"/>
  <c r="AM192" i="8" s="1"/>
  <c r="AO191" i="8"/>
  <c r="AO192" i="8"/>
  <c r="AQ191" i="8"/>
  <c r="AQ192" i="8"/>
  <c r="AP192" i="8" s="1"/>
  <c r="AR191" i="8"/>
  <c r="AR192" i="8"/>
  <c r="AT191" i="8"/>
  <c r="AT192" i="8"/>
  <c r="AS192" i="8" s="1"/>
  <c r="AU191" i="8"/>
  <c r="AU192" i="8"/>
  <c r="AW191" i="8"/>
  <c r="AW192" i="8"/>
  <c r="AV192" i="8" s="1"/>
  <c r="AX191" i="8"/>
  <c r="AX192" i="8"/>
  <c r="AZ191" i="8"/>
  <c r="AZ192" i="8"/>
  <c r="AY192" i="8" s="1"/>
  <c r="BA190" i="8"/>
  <c r="BB191" i="8"/>
  <c r="BB192" i="8"/>
  <c r="BC190" i="8"/>
  <c r="BD190" i="8"/>
  <c r="BE191" i="8"/>
  <c r="BE192" i="8"/>
  <c r="BF190" i="8"/>
  <c r="BG190" i="8"/>
  <c r="BH191" i="8"/>
  <c r="BH192" i="8"/>
  <c r="BI190" i="8"/>
  <c r="BJ190" i="8"/>
  <c r="BK191" i="8"/>
  <c r="BK192" i="8"/>
  <c r="BL190" i="8"/>
  <c r="BM190" i="8"/>
  <c r="BN191" i="8"/>
  <c r="BN192" i="8"/>
  <c r="BO190" i="8"/>
  <c r="BP190" i="8"/>
  <c r="BQ191" i="8"/>
  <c r="BQ192" i="8"/>
  <c r="BR190" i="8"/>
  <c r="BS190" i="8"/>
  <c r="BT191" i="8"/>
  <c r="BT192" i="8"/>
  <c r="BU190" i="8"/>
  <c r="BV190" i="8"/>
  <c r="BW191" i="8"/>
  <c r="BW192" i="8"/>
  <c r="BX190" i="8"/>
  <c r="BY190" i="8"/>
  <c r="BZ191" i="8"/>
  <c r="BZ192" i="8"/>
  <c r="CA190" i="8"/>
  <c r="CB190" i="8"/>
  <c r="CC191" i="8"/>
  <c r="CC192" i="8"/>
  <c r="CD190" i="8"/>
  <c r="CE190" i="8"/>
  <c r="CF191" i="8"/>
  <c r="CF192" i="8"/>
  <c r="CG190" i="8"/>
  <c r="CH190" i="8"/>
  <c r="CI191" i="8"/>
  <c r="CI192" i="8"/>
  <c r="CJ190" i="8"/>
  <c r="CK190" i="8"/>
  <c r="CL191" i="8"/>
  <c r="CL192" i="8"/>
  <c r="CM190" i="8"/>
  <c r="CN190" i="8"/>
  <c r="CO191" i="8"/>
  <c r="CO192" i="8"/>
  <c r="CP190" i="8"/>
  <c r="CQ190" i="8"/>
  <c r="CR191" i="8"/>
  <c r="CR192" i="8"/>
  <c r="CS190" i="8"/>
  <c r="CT190" i="8"/>
  <c r="CU191" i="8"/>
  <c r="CU192" i="8"/>
  <c r="CV190" i="8"/>
  <c r="CW190" i="8"/>
  <c r="CX191" i="8"/>
  <c r="CX192" i="8"/>
  <c r="CY190" i="8"/>
  <c r="CZ190" i="8"/>
  <c r="DA191" i="8"/>
  <c r="DA192" i="8"/>
  <c r="DB190" i="8"/>
  <c r="DC190" i="8"/>
  <c r="DD191" i="8"/>
  <c r="DD192" i="8"/>
  <c r="DE190" i="8"/>
  <c r="DF190" i="8"/>
  <c r="DG191" i="8"/>
  <c r="DG192" i="8"/>
  <c r="DH190" i="8"/>
  <c r="DI190" i="8"/>
  <c r="DJ191" i="8"/>
  <c r="DJ192" i="8"/>
  <c r="DK190" i="8"/>
  <c r="DL190" i="8"/>
  <c r="DM191" i="8"/>
  <c r="DM192" i="8"/>
  <c r="DN190" i="8"/>
  <c r="DO190" i="8"/>
  <c r="DP191" i="8"/>
  <c r="DP192" i="8"/>
  <c r="DQ190" i="8"/>
  <c r="DR190" i="8"/>
  <c r="DS191" i="8"/>
  <c r="DS192" i="8"/>
  <c r="DT190" i="8"/>
  <c r="DU190" i="8"/>
  <c r="DX190" i="8"/>
  <c r="DY191" i="8"/>
  <c r="DY192" i="8"/>
  <c r="DZ190" i="8"/>
  <c r="EA190" i="8"/>
  <c r="EB191" i="8"/>
  <c r="EB192" i="8"/>
  <c r="EC190" i="8"/>
  <c r="ED190" i="8"/>
  <c r="EE191" i="8"/>
  <c r="EE192" i="8"/>
  <c r="EF190" i="8"/>
  <c r="EG190" i="8"/>
  <c r="EH191" i="8"/>
  <c r="EH192" i="8"/>
  <c r="EI190" i="8"/>
  <c r="EJ190" i="8"/>
  <c r="EK191" i="8"/>
  <c r="EK192" i="8"/>
  <c r="EL190" i="8"/>
  <c r="EM190" i="8"/>
  <c r="EN191" i="8"/>
  <c r="EN192" i="8"/>
  <c r="EO190" i="8"/>
  <c r="EP190" i="8"/>
  <c r="EQ191" i="8"/>
  <c r="EQ192" i="8"/>
  <c r="ER190" i="8"/>
  <c r="E193" i="8"/>
  <c r="G193" i="8"/>
  <c r="F193" i="8" s="1"/>
  <c r="H193" i="8"/>
  <c r="J193" i="8"/>
  <c r="I193" i="8" s="1"/>
  <c r="K193" i="8"/>
  <c r="M193" i="8"/>
  <c r="L193" i="8" s="1"/>
  <c r="N193" i="8"/>
  <c r="P193" i="8"/>
  <c r="O193" i="8" s="1"/>
  <c r="Q193" i="8"/>
  <c r="S193" i="8"/>
  <c r="R193" i="8" s="1"/>
  <c r="T193" i="8"/>
  <c r="V193" i="8"/>
  <c r="U193" i="8" s="1"/>
  <c r="W193" i="8"/>
  <c r="Y193" i="8"/>
  <c r="X193" i="8" s="1"/>
  <c r="Z193" i="8"/>
  <c r="AB193" i="8"/>
  <c r="AA193" i="8" s="1"/>
  <c r="AC193" i="8"/>
  <c r="AE193" i="8"/>
  <c r="AD193" i="8" s="1"/>
  <c r="AF193" i="8"/>
  <c r="AH193" i="8"/>
  <c r="AG193" i="8" s="1"/>
  <c r="AI193" i="8"/>
  <c r="AK193" i="8"/>
  <c r="AJ193" i="8" s="1"/>
  <c r="AL193" i="8"/>
  <c r="AN193" i="8"/>
  <c r="AM193" i="8" s="1"/>
  <c r="AO193" i="8"/>
  <c r="AQ193" i="8"/>
  <c r="AP193" i="8" s="1"/>
  <c r="AR193" i="8"/>
  <c r="AT193" i="8"/>
  <c r="AS193" i="8" s="1"/>
  <c r="AU193" i="8"/>
  <c r="AW193" i="8"/>
  <c r="AV193" i="8" s="1"/>
  <c r="AX193" i="8"/>
  <c r="AZ193" i="8"/>
  <c r="AY193" i="8" s="1"/>
  <c r="BB193" i="8"/>
  <c r="BE193" i="8"/>
  <c r="BH193" i="8"/>
  <c r="BK193" i="8"/>
  <c r="BN193" i="8"/>
  <c r="BQ193" i="8"/>
  <c r="BT193" i="8"/>
  <c r="BW193" i="8"/>
  <c r="BZ193" i="8"/>
  <c r="CC193" i="8"/>
  <c r="CF193" i="8"/>
  <c r="CI193" i="8"/>
  <c r="CL193" i="8"/>
  <c r="CO193" i="8"/>
  <c r="CR193" i="8"/>
  <c r="CU193" i="8"/>
  <c r="CX193" i="8"/>
  <c r="DA193" i="8"/>
  <c r="DD193" i="8"/>
  <c r="DG193" i="8"/>
  <c r="DJ193" i="8"/>
  <c r="DM193" i="8"/>
  <c r="DP193" i="8"/>
  <c r="DS193" i="8"/>
  <c r="DY193" i="8"/>
  <c r="EB193" i="8"/>
  <c r="EE193" i="8"/>
  <c r="EH193" i="8"/>
  <c r="EK193" i="8"/>
  <c r="EN193" i="8"/>
  <c r="EQ193" i="8"/>
  <c r="E194" i="8"/>
  <c r="G194" i="8"/>
  <c r="F194" i="8" s="1"/>
  <c r="H194" i="8"/>
  <c r="J194" i="8"/>
  <c r="I194" i="8" s="1"/>
  <c r="K194" i="8"/>
  <c r="M194" i="8"/>
  <c r="L194" i="8" s="1"/>
  <c r="N194" i="8"/>
  <c r="P194" i="8"/>
  <c r="O194" i="8" s="1"/>
  <c r="Q194" i="8"/>
  <c r="S194" i="8"/>
  <c r="R194" i="8" s="1"/>
  <c r="T194" i="8"/>
  <c r="V194" i="8"/>
  <c r="U194" i="8" s="1"/>
  <c r="W194" i="8"/>
  <c r="Y194" i="8"/>
  <c r="X194" i="8" s="1"/>
  <c r="Z194" i="8"/>
  <c r="AB194" i="8"/>
  <c r="AA194" i="8" s="1"/>
  <c r="AC194" i="8"/>
  <c r="AE194" i="8"/>
  <c r="AD194" i="8" s="1"/>
  <c r="AF194" i="8"/>
  <c r="AH194" i="8"/>
  <c r="AG194" i="8" s="1"/>
  <c r="AI194" i="8"/>
  <c r="AK194" i="8"/>
  <c r="AJ194" i="8" s="1"/>
  <c r="AL194" i="8"/>
  <c r="AN194" i="8"/>
  <c r="AM194" i="8" s="1"/>
  <c r="AO194" i="8"/>
  <c r="AQ194" i="8"/>
  <c r="AP194" i="8" s="1"/>
  <c r="AR194" i="8"/>
  <c r="AT194" i="8"/>
  <c r="AS194" i="8" s="1"/>
  <c r="AU194" i="8"/>
  <c r="AW194" i="8"/>
  <c r="AV194" i="8" s="1"/>
  <c r="AX194" i="8"/>
  <c r="AZ194" i="8"/>
  <c r="AY194" i="8" s="1"/>
  <c r="BC194" i="8"/>
  <c r="BD194" i="8" s="1"/>
  <c r="BE194" i="8" s="1"/>
  <c r="BF194" i="8" s="1"/>
  <c r="BG194" i="8" s="1"/>
  <c r="BH194" i="8" s="1"/>
  <c r="BI194" i="8" s="1"/>
  <c r="BJ194" i="8" s="1"/>
  <c r="BK194" i="8" s="1"/>
  <c r="BL194" i="8" s="1"/>
  <c r="BN194" i="8"/>
  <c r="BP194" i="8"/>
  <c r="BQ194" i="8" s="1"/>
  <c r="BR194" i="8" s="1"/>
  <c r="BS194" i="8" s="1"/>
  <c r="BT194" i="8" s="1"/>
  <c r="BU194" i="8" s="1"/>
  <c r="BV194" i="8" s="1"/>
  <c r="BW194" i="8" s="1"/>
  <c r="BX194" i="8" s="1"/>
  <c r="BY194" i="8" s="1"/>
  <c r="BZ194" i="8" s="1"/>
  <c r="CA194" i="8" s="1"/>
  <c r="CB194" i="8" s="1"/>
  <c r="CC194" i="8" s="1"/>
  <c r="CD194" i="8" s="1"/>
  <c r="CE194" i="8" s="1"/>
  <c r="CF194" i="8" s="1"/>
  <c r="CG194" i="8" s="1"/>
  <c r="CH194" i="8" s="1"/>
  <c r="CI194" i="8" s="1"/>
  <c r="CJ194" i="8" s="1"/>
  <c r="CK194" i="8" s="1"/>
  <c r="CL194" i="8" s="1"/>
  <c r="CM194" i="8" s="1"/>
  <c r="CN194" i="8" s="1"/>
  <c r="CO194" i="8" s="1"/>
  <c r="CP194" i="8" s="1"/>
  <c r="CQ194" i="8" s="1"/>
  <c r="CR194" i="8" s="1"/>
  <c r="CS194" i="8" s="1"/>
  <c r="CT194" i="8" s="1"/>
  <c r="CU194" i="8" s="1"/>
  <c r="CV194" i="8" s="1"/>
  <c r="CW194" i="8" s="1"/>
  <c r="CX194" i="8" s="1"/>
  <c r="CY194" i="8" s="1"/>
  <c r="CZ194" i="8" s="1"/>
  <c r="DA194" i="8" s="1"/>
  <c r="DB194" i="8" s="1"/>
  <c r="DC194" i="8" s="1"/>
  <c r="DD194" i="8" s="1"/>
  <c r="DE194" i="8" s="1"/>
  <c r="DF194" i="8" s="1"/>
  <c r="DG194" i="8" s="1"/>
  <c r="DH194" i="8" s="1"/>
  <c r="DI194" i="8" s="1"/>
  <c r="DJ194" i="8" s="1"/>
  <c r="DK194" i="8" s="1"/>
  <c r="DL194" i="8" s="1"/>
  <c r="DM194" i="8" s="1"/>
  <c r="DN194" i="8" s="1"/>
  <c r="DO194" i="8" s="1"/>
  <c r="DP194" i="8" s="1"/>
  <c r="DQ194" i="8" s="1"/>
  <c r="DR194" i="8" s="1"/>
  <c r="DS194" i="8" s="1"/>
  <c r="DT194" i="8" s="1"/>
  <c r="DU194" i="8" s="1"/>
  <c r="AU197" i="8"/>
  <c r="AV197" i="8"/>
  <c r="AX197" i="8"/>
  <c r="AY197" i="8"/>
  <c r="BA197" i="8"/>
  <c r="BB197" i="8"/>
  <c r="BB341" i="7" s="1"/>
  <c r="BC197" i="8"/>
  <c r="BD197" i="8"/>
  <c r="BD341" i="7" s="1"/>
  <c r="BE197" i="8"/>
  <c r="BE341" i="7" s="1"/>
  <c r="BE22" i="7" s="1"/>
  <c r="BF197" i="8"/>
  <c r="BG197" i="8"/>
  <c r="BG341" i="7" s="1"/>
  <c r="BG22" i="7" s="1"/>
  <c r="BH197" i="8"/>
  <c r="BH341" i="7" s="1"/>
  <c r="BI197" i="8"/>
  <c r="BJ197" i="8"/>
  <c r="BK197" i="8"/>
  <c r="BK341" i="7" s="1"/>
  <c r="BL197" i="8"/>
  <c r="BM197" i="8"/>
  <c r="BM341" i="7" s="1"/>
  <c r="BN197" i="8"/>
  <c r="BN341" i="7" s="1"/>
  <c r="BN22" i="7" s="1"/>
  <c r="BP197" i="8"/>
  <c r="BQ197" i="8"/>
  <c r="BQ341" i="7" s="1"/>
  <c r="BQ22" i="7" s="1"/>
  <c r="BS197" i="8"/>
  <c r="BS341" i="7" s="1"/>
  <c r="BS22" i="7" s="1"/>
  <c r="BT197" i="8"/>
  <c r="BT341" i="7" s="1"/>
  <c r="BZ198" i="8"/>
  <c r="CC198" i="8"/>
  <c r="CD198" i="8" s="1"/>
  <c r="CH198" i="8"/>
  <c r="CW198" i="8"/>
  <c r="DI198" i="8"/>
  <c r="E198" i="8"/>
  <c r="F198" i="8"/>
  <c r="G198" i="8"/>
  <c r="H198" i="8"/>
  <c r="I198" i="8"/>
  <c r="J198" i="8"/>
  <c r="K198" i="8"/>
  <c r="L198" i="8"/>
  <c r="M198" i="8"/>
  <c r="N198" i="8"/>
  <c r="O198" i="8"/>
  <c r="P198" i="8"/>
  <c r="Q198" i="8"/>
  <c r="R198" i="8"/>
  <c r="S198" i="8"/>
  <c r="T198" i="8"/>
  <c r="U198" i="8"/>
  <c r="V198" i="8"/>
  <c r="W198" i="8"/>
  <c r="X198" i="8"/>
  <c r="Y198" i="8"/>
  <c r="Z198" i="8"/>
  <c r="AA198" i="8"/>
  <c r="AB198" i="8"/>
  <c r="AC198" i="8"/>
  <c r="AD198" i="8"/>
  <c r="AE198" i="8"/>
  <c r="AF198" i="8"/>
  <c r="AG198" i="8"/>
  <c r="AH198" i="8"/>
  <c r="AI198" i="8"/>
  <c r="AJ198" i="8"/>
  <c r="AK198" i="8"/>
  <c r="AL198" i="8"/>
  <c r="AM198" i="8"/>
  <c r="AN198" i="8"/>
  <c r="AO198" i="8"/>
  <c r="AP198" i="8"/>
  <c r="AQ198" i="8"/>
  <c r="AR198" i="8"/>
  <c r="AS198" i="8"/>
  <c r="AT198" i="8"/>
  <c r="AU198" i="8"/>
  <c r="AV198" i="8"/>
  <c r="AW198" i="8"/>
  <c r="AX198" i="8"/>
  <c r="AY198" i="8"/>
  <c r="AZ198" i="8"/>
  <c r="BA198" i="8"/>
  <c r="BB198" i="8"/>
  <c r="BC198" i="8"/>
  <c r="BD198" i="8"/>
  <c r="BE198" i="8"/>
  <c r="BF198" i="8"/>
  <c r="BK198" i="8"/>
  <c r="BL198" i="8"/>
  <c r="E199" i="8"/>
  <c r="F199" i="8"/>
  <c r="G199" i="8"/>
  <c r="H199" i="8"/>
  <c r="I199" i="8"/>
  <c r="J199" i="8"/>
  <c r="K199" i="8"/>
  <c r="L199" i="8"/>
  <c r="M199" i="8"/>
  <c r="N199" i="8"/>
  <c r="O199" i="8"/>
  <c r="P199" i="8"/>
  <c r="Q199" i="8"/>
  <c r="R199" i="8"/>
  <c r="S199" i="8"/>
  <c r="T199" i="8"/>
  <c r="U199" i="8"/>
  <c r="V199" i="8"/>
  <c r="W199" i="8"/>
  <c r="X199" i="8"/>
  <c r="Y199" i="8"/>
  <c r="Z199" i="8"/>
  <c r="AA199" i="8"/>
  <c r="AB199" i="8"/>
  <c r="AC199" i="8"/>
  <c r="AD199" i="8"/>
  <c r="AE199" i="8"/>
  <c r="AF199" i="8"/>
  <c r="AG199" i="8"/>
  <c r="AH199" i="8"/>
  <c r="AI199" i="8"/>
  <c r="AJ199" i="8"/>
  <c r="AK199" i="8"/>
  <c r="AL199" i="8"/>
  <c r="AM199" i="8"/>
  <c r="AN199" i="8"/>
  <c r="AO199" i="8"/>
  <c r="AP199" i="8"/>
  <c r="AQ199" i="8"/>
  <c r="AR199" i="8"/>
  <c r="AS199" i="8"/>
  <c r="AT199" i="8"/>
  <c r="AU199" i="8"/>
  <c r="AV199" i="8"/>
  <c r="AW199" i="8"/>
  <c r="AX199" i="8"/>
  <c r="AY199" i="8"/>
  <c r="AZ199" i="8"/>
  <c r="BA199" i="8"/>
  <c r="BB199" i="8"/>
  <c r="BC199" i="8"/>
  <c r="BD199" i="8"/>
  <c r="BE199" i="8"/>
  <c r="BF199" i="8"/>
  <c r="BG199" i="8"/>
  <c r="BH199" i="8"/>
  <c r="BI199" i="8"/>
  <c r="BJ199" i="8"/>
  <c r="BK199" i="8"/>
  <c r="BL199" i="8"/>
  <c r="BM199" i="8"/>
  <c r="BN199" i="8"/>
  <c r="BO199" i="8"/>
  <c r="BP199" i="8"/>
  <c r="BQ199" i="8"/>
  <c r="BR199" i="8"/>
  <c r="BS199" i="8"/>
  <c r="BT199" i="8"/>
  <c r="BU199" i="8"/>
  <c r="BV199" i="8"/>
  <c r="BW199" i="8"/>
  <c r="BX199" i="8"/>
  <c r="BY199" i="8"/>
  <c r="BZ199" i="8"/>
  <c r="CA199" i="8"/>
  <c r="CB199" i="8"/>
  <c r="CC199" i="8"/>
  <c r="CD199" i="8"/>
  <c r="CE199" i="8"/>
  <c r="CF199" i="8"/>
  <c r="CG199" i="8"/>
  <c r="CH199" i="8"/>
  <c r="CI199" i="8"/>
  <c r="CJ199" i="8"/>
  <c r="CK199" i="8"/>
  <c r="CL199" i="8"/>
  <c r="CM199" i="8"/>
  <c r="CN199" i="8"/>
  <c r="CO199" i="8"/>
  <c r="CP199" i="8"/>
  <c r="CQ199" i="8"/>
  <c r="CR199" i="8"/>
  <c r="CS199" i="8"/>
  <c r="CT199" i="8"/>
  <c r="CU199" i="8"/>
  <c r="CV199" i="8"/>
  <c r="CW199" i="8"/>
  <c r="CX199" i="8"/>
  <c r="CY199" i="8"/>
  <c r="CZ199" i="8"/>
  <c r="DB199" i="8"/>
  <c r="DC199" i="8"/>
  <c r="DD199" i="8"/>
  <c r="DE199" i="8"/>
  <c r="DF199" i="8"/>
  <c r="DG199" i="8"/>
  <c r="DH199" i="8"/>
  <c r="DI199" i="8"/>
  <c r="DJ199" i="8"/>
  <c r="DK199" i="8"/>
  <c r="DO199" i="8"/>
  <c r="DP199" i="8"/>
  <c r="DQ199" i="8"/>
  <c r="DR199" i="8"/>
  <c r="DS199" i="8"/>
  <c r="DT199" i="8"/>
  <c r="DU199" i="8"/>
  <c r="DX199" i="8"/>
  <c r="DY199" i="8"/>
  <c r="DZ199" i="8"/>
  <c r="EA199" i="8"/>
  <c r="EB199" i="8"/>
  <c r="EC199" i="8"/>
  <c r="ED199" i="8"/>
  <c r="EE199" i="8"/>
  <c r="EF199" i="8"/>
  <c r="EG199" i="8"/>
  <c r="EH199" i="8"/>
  <c r="EI199" i="8"/>
  <c r="EJ199" i="8"/>
  <c r="EK199" i="8"/>
  <c r="EL199" i="8"/>
  <c r="EM199" i="8"/>
  <c r="EN199" i="8"/>
  <c r="EO199" i="8"/>
  <c r="EP199" i="8"/>
  <c r="EQ199" i="8"/>
  <c r="ER199" i="8"/>
  <c r="BW201" i="8"/>
  <c r="BX201" i="8" s="1"/>
  <c r="BZ201" i="8"/>
  <c r="CA201" i="8" s="1"/>
  <c r="CB201" i="8" s="1"/>
  <c r="E202" i="8"/>
  <c r="F202" i="8"/>
  <c r="H202" i="8"/>
  <c r="I202" i="8"/>
  <c r="K202" i="8"/>
  <c r="L202" i="8"/>
  <c r="N202" i="8"/>
  <c r="O202" i="8"/>
  <c r="Q202" i="8"/>
  <c r="R202" i="8"/>
  <c r="T202" i="8"/>
  <c r="U202" i="8"/>
  <c r="W202" i="8"/>
  <c r="X202" i="8"/>
  <c r="Z202" i="8"/>
  <c r="AA202" i="8"/>
  <c r="AC202" i="8"/>
  <c r="AD202" i="8"/>
  <c r="AF202" i="8"/>
  <c r="AG202" i="8"/>
  <c r="AI202" i="8"/>
  <c r="AJ202" i="8"/>
  <c r="AL202" i="8"/>
  <c r="AM202" i="8"/>
  <c r="AO202" i="8"/>
  <c r="AP202" i="8"/>
  <c r="AR202" i="8"/>
  <c r="AS202" i="8"/>
  <c r="BG203" i="8"/>
  <c r="BH203" i="8" s="1"/>
  <c r="BJ203" i="8" s="1"/>
  <c r="BK203" i="8" s="1"/>
  <c r="BM203" i="8" s="1"/>
  <c r="BN203" i="8" s="1"/>
  <c r="BP203" i="8" s="1"/>
  <c r="BQ203" i="8" s="1"/>
  <c r="BS203" i="8" s="1"/>
  <c r="BT203" i="8" s="1"/>
  <c r="BV203" i="8" s="1"/>
  <c r="BW203" i="8" s="1"/>
  <c r="BY203" i="8" s="1"/>
  <c r="BZ203" i="8" s="1"/>
  <c r="CB203" i="8" s="1"/>
  <c r="CC203" i="8" s="1"/>
  <c r="CE203" i="8" s="1"/>
  <c r="CF203" i="8" s="1"/>
  <c r="CH203" i="8" s="1"/>
  <c r="CI203" i="8" s="1"/>
  <c r="CK203" i="8" s="1"/>
  <c r="CL203" i="8" s="1"/>
  <c r="CN203" i="8" s="1"/>
  <c r="CO203" i="8" s="1"/>
  <c r="CQ203" i="8" s="1"/>
  <c r="CR203" i="8" s="1"/>
  <c r="CT203" i="8" s="1"/>
  <c r="CU203" i="8" s="1"/>
  <c r="CW203" i="8" s="1"/>
  <c r="CX203" i="8" s="1"/>
  <c r="CZ203" i="8" s="1"/>
  <c r="DA203" i="8" s="1"/>
  <c r="DC203" i="8" s="1"/>
  <c r="DD203" i="8" s="1"/>
  <c r="DF203" i="8" s="1"/>
  <c r="DG203" i="8" s="1"/>
  <c r="DI203" i="8" s="1"/>
  <c r="DJ203" i="8" s="1"/>
  <c r="DL203" i="8" s="1"/>
  <c r="DM203" i="8" s="1"/>
  <c r="DO203" i="8" s="1"/>
  <c r="DP203" i="8" s="1"/>
  <c r="DR203" i="8" s="1"/>
  <c r="DS203" i="8" s="1"/>
  <c r="DU203" i="8" s="1"/>
  <c r="G204" i="8"/>
  <c r="J204" i="8"/>
  <c r="M204" i="8"/>
  <c r="P204" i="8"/>
  <c r="S204" i="8"/>
  <c r="V204" i="8"/>
  <c r="Y204" i="8"/>
  <c r="AB204" i="8"/>
  <c r="AE204" i="8"/>
  <c r="AH204" i="8"/>
  <c r="AK204" i="8"/>
  <c r="AN204" i="8"/>
  <c r="AQ204" i="8"/>
  <c r="AT204" i="8"/>
  <c r="AW204" i="8"/>
  <c r="AY204" i="8"/>
  <c r="AZ204" i="8"/>
  <c r="BC204" i="8"/>
  <c r="BF204" i="8"/>
  <c r="BI204" i="8"/>
  <c r="BL204" i="8"/>
  <c r="BO204" i="8"/>
  <c r="BR204" i="8"/>
  <c r="BU204" i="8"/>
  <c r="BX204" i="8"/>
  <c r="CA204" i="8"/>
  <c r="CD204" i="8"/>
  <c r="CG204" i="8"/>
  <c r="CJ204" i="8"/>
  <c r="CM204" i="8"/>
  <c r="CP204" i="8"/>
  <c r="CS204" i="8"/>
  <c r="CV204" i="8"/>
  <c r="CY204" i="8"/>
  <c r="DB204" i="8"/>
  <c r="DE204" i="8"/>
  <c r="DH204" i="8"/>
  <c r="DK204" i="8"/>
  <c r="DN204" i="8"/>
  <c r="DQ204" i="8"/>
  <c r="DT204" i="8"/>
  <c r="DZ204" i="8"/>
  <c r="EC204" i="8"/>
  <c r="EF204" i="8"/>
  <c r="EI204" i="8"/>
  <c r="EL204" i="8"/>
  <c r="EO204" i="8"/>
  <c r="ER204" i="8"/>
  <c r="E207" i="8"/>
  <c r="G207" i="8"/>
  <c r="H207" i="8"/>
  <c r="J207" i="8"/>
  <c r="K207" i="8"/>
  <c r="M207" i="8"/>
  <c r="N207" i="8"/>
  <c r="P207" i="8"/>
  <c r="Q207" i="8"/>
  <c r="S207" i="8"/>
  <c r="T207" i="8"/>
  <c r="V207" i="8"/>
  <c r="W207" i="8"/>
  <c r="Y207" i="8"/>
  <c r="Z207" i="8"/>
  <c r="AB207" i="8"/>
  <c r="AC207" i="8"/>
  <c r="AE207" i="8"/>
  <c r="AF207" i="8"/>
  <c r="AH207" i="8"/>
  <c r="AI207" i="8"/>
  <c r="AK207" i="8"/>
  <c r="AL207" i="8"/>
  <c r="AN207" i="8"/>
  <c r="AO207" i="8"/>
  <c r="AQ207" i="8"/>
  <c r="AR207" i="8"/>
  <c r="AT207" i="8"/>
  <c r="AU207" i="8"/>
  <c r="AW207" i="8"/>
  <c r="AX207" i="8"/>
  <c r="E208" i="8"/>
  <c r="F208" i="8"/>
  <c r="G208" i="8"/>
  <c r="H208" i="8"/>
  <c r="I208" i="8"/>
  <c r="J208" i="8"/>
  <c r="K208" i="8"/>
  <c r="L208" i="8"/>
  <c r="M208" i="8"/>
  <c r="N208" i="8"/>
  <c r="O208" i="8"/>
  <c r="P208" i="8"/>
  <c r="Q208" i="8"/>
  <c r="R208" i="8"/>
  <c r="S208" i="8"/>
  <c r="T208" i="8"/>
  <c r="U208" i="8"/>
  <c r="V208" i="8"/>
  <c r="W208" i="8"/>
  <c r="X208" i="8"/>
  <c r="Y208" i="8"/>
  <c r="Z208" i="8"/>
  <c r="AA208" i="8"/>
  <c r="AB208" i="8"/>
  <c r="AC208" i="8"/>
  <c r="AD208" i="8"/>
  <c r="AE208" i="8"/>
  <c r="AF208" i="8"/>
  <c r="AG208" i="8"/>
  <c r="AH208" i="8"/>
  <c r="AI208" i="8"/>
  <c r="AJ208" i="8"/>
  <c r="AK208" i="8"/>
  <c r="AL208" i="8"/>
  <c r="AM208" i="8"/>
  <c r="AN208" i="8"/>
  <c r="AO208" i="8"/>
  <c r="AP208" i="8"/>
  <c r="AQ208" i="8"/>
  <c r="AR208" i="8"/>
  <c r="AS208" i="8"/>
  <c r="AT208" i="8"/>
  <c r="AU208" i="8"/>
  <c r="AV208" i="8"/>
  <c r="AW208" i="8"/>
  <c r="AY208" i="8"/>
  <c r="AZ208" i="8"/>
  <c r="BA208" i="8"/>
  <c r="BB208" i="8"/>
  <c r="E214" i="8"/>
  <c r="G214" i="8"/>
  <c r="F214" i="8" s="1"/>
  <c r="H214" i="8"/>
  <c r="J214" i="8"/>
  <c r="I214" i="8" s="1"/>
  <c r="K214" i="8"/>
  <c r="M214" i="8"/>
  <c r="L214" i="8" s="1"/>
  <c r="N214" i="8"/>
  <c r="P214" i="8"/>
  <c r="O214" i="8" s="1"/>
  <c r="Q214" i="8"/>
  <c r="S214" i="8"/>
  <c r="R214" i="8" s="1"/>
  <c r="T214" i="8"/>
  <c r="V214" i="8"/>
  <c r="U214" i="8" s="1"/>
  <c r="W214" i="8"/>
  <c r="Y214" i="8"/>
  <c r="X214" i="8" s="1"/>
  <c r="Z214" i="8"/>
  <c r="AB214" i="8"/>
  <c r="AA214" i="8" s="1"/>
  <c r="AC214" i="8"/>
  <c r="AE214" i="8"/>
  <c r="AD214" i="8" s="1"/>
  <c r="AF214" i="8"/>
  <c r="AH214" i="8"/>
  <c r="AG214" i="8" s="1"/>
  <c r="AI214" i="8"/>
  <c r="AK214" i="8"/>
  <c r="AJ214" i="8" s="1"/>
  <c r="AL214" i="8"/>
  <c r="AN214" i="8"/>
  <c r="AM214" i="8" s="1"/>
  <c r="AO214" i="8"/>
  <c r="AQ214" i="8"/>
  <c r="AP214" i="8" s="1"/>
  <c r="AR214" i="8"/>
  <c r="AT214" i="8"/>
  <c r="AS214" i="8" s="1"/>
  <c r="AU214" i="8"/>
  <c r="AW214" i="8"/>
  <c r="AV214" i="8" s="1"/>
  <c r="AX214" i="8"/>
  <c r="AY214" i="8"/>
  <c r="BC214" i="8"/>
  <c r="BB214" i="8" s="1"/>
  <c r="BD214" i="8"/>
  <c r="BF214" i="8"/>
  <c r="BE214" i="8" s="1"/>
  <c r="BG214" i="8"/>
  <c r="BI214" i="8"/>
  <c r="BH214" i="8" s="1"/>
  <c r="BJ214" i="8"/>
  <c r="BO214" i="8"/>
  <c r="BN214" i="8" s="1"/>
  <c r="BF215" i="8"/>
  <c r="BE215" i="8" s="1"/>
  <c r="BG215" i="8"/>
  <c r="BI215" i="8"/>
  <c r="BH215" i="8" s="1"/>
  <c r="BJ215" i="8"/>
  <c r="BO215" i="8"/>
  <c r="BN215" i="8" s="1"/>
  <c r="BJ222" i="8"/>
  <c r="BK222" i="8" s="1"/>
  <c r="BL222" i="8" s="1"/>
  <c r="BM222" i="8" s="1"/>
  <c r="BN222" i="8" s="1"/>
  <c r="BO222" i="8" s="1"/>
  <c r="BP222" i="8" s="1"/>
  <c r="BQ222" i="8" s="1"/>
  <c r="BR222" i="8" s="1"/>
  <c r="BS222" i="8" s="1"/>
  <c r="BT222" i="8" s="1"/>
  <c r="BU222" i="8" s="1"/>
  <c r="BV222" i="8" s="1"/>
  <c r="BW222" i="8" s="1"/>
  <c r="BX222" i="8" s="1"/>
  <c r="BY222" i="8" s="1"/>
  <c r="BZ222" i="8" s="1"/>
  <c r="CA222" i="8" s="1"/>
  <c r="CB222" i="8" s="1"/>
  <c r="CC222" i="8" s="1"/>
  <c r="CD222" i="8" s="1"/>
  <c r="CE222" i="8" s="1"/>
  <c r="CF222" i="8" s="1"/>
  <c r="CG222" i="8" s="1"/>
  <c r="CH222" i="8" s="1"/>
  <c r="CI222" i="8" s="1"/>
  <c r="CJ222" i="8" s="1"/>
  <c r="CK222" i="8" s="1"/>
  <c r="CL222" i="8" s="1"/>
  <c r="CM222" i="8" s="1"/>
  <c r="CN222" i="8" s="1"/>
  <c r="CO222" i="8" s="1"/>
  <c r="CP222" i="8" s="1"/>
  <c r="CQ222" i="8" s="1"/>
  <c r="CR222" i="8" s="1"/>
  <c r="CS222" i="8" s="1"/>
  <c r="CT222" i="8" s="1"/>
  <c r="CU222" i="8" s="1"/>
  <c r="CV222" i="8" s="1"/>
  <c r="CW222" i="8" s="1"/>
  <c r="CX222" i="8" s="1"/>
  <c r="CY222" i="8" s="1"/>
  <c r="CZ222" i="8" s="1"/>
  <c r="DA222" i="8" s="1"/>
  <c r="DB222" i="8" s="1"/>
  <c r="DC222" i="8" s="1"/>
  <c r="DD222" i="8" s="1"/>
  <c r="DE222" i="8" s="1"/>
  <c r="DF222" i="8" s="1"/>
  <c r="DG222" i="8" s="1"/>
  <c r="DH222" i="8" s="1"/>
  <c r="DI222" i="8" s="1"/>
  <c r="DJ222" i="8" s="1"/>
  <c r="DK222" i="8" s="1"/>
  <c r="DL222" i="8" s="1"/>
  <c r="DM222" i="8" s="1"/>
  <c r="DN222" i="8" s="1"/>
  <c r="DO222" i="8" s="1"/>
  <c r="DP222" i="8" s="1"/>
  <c r="DQ222" i="8" s="1"/>
  <c r="DR222" i="8" s="1"/>
  <c r="DS222" i="8" s="1"/>
  <c r="DT222" i="8" s="1"/>
  <c r="DU222" i="8" s="1"/>
  <c r="AW224" i="8"/>
  <c r="AX224" i="8" s="1"/>
  <c r="AZ224" i="8" s="1"/>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AL287" i="8"/>
  <c r="AN287" i="8"/>
  <c r="AO287" i="8"/>
  <c r="AQ287" i="8"/>
  <c r="AR287" i="8"/>
  <c r="AT287" i="8"/>
  <c r="AU287" i="8"/>
  <c r="AW287" i="8"/>
  <c r="AX287" i="8"/>
  <c r="AZ287" i="8"/>
  <c r="BC287" i="8"/>
  <c r="BC45" i="7" s="1"/>
  <c r="BD287" i="8"/>
  <c r="BE289" i="8"/>
  <c r="BF289" i="8" s="1"/>
  <c r="BF287" i="8" s="1"/>
  <c r="BG287" i="8"/>
  <c r="BH289" i="8"/>
  <c r="BI289" i="8" s="1"/>
  <c r="BQ289" i="8"/>
  <c r="BR289" i="8" s="1"/>
  <c r="CI289" i="8"/>
  <c r="CJ289" i="8" s="1"/>
  <c r="CK289" i="8" s="1"/>
  <c r="AR292" i="8"/>
  <c r="AT292" i="8"/>
  <c r="AU292" i="8"/>
  <c r="AW292" i="8"/>
  <c r="AX292" i="8"/>
  <c r="AZ292" i="8"/>
  <c r="BD292" i="8"/>
  <c r="BF292" i="8"/>
  <c r="BG292" i="8"/>
  <c r="BH292" i="8" s="1"/>
  <c r="BI292" i="8" s="1"/>
  <c r="BK292" i="8"/>
  <c r="BL292" i="8" s="1"/>
  <c r="BN292" i="8"/>
  <c r="BO292" i="8" s="1"/>
  <c r="BP292" i="8" s="1"/>
  <c r="BQ292" i="8" s="1"/>
  <c r="BR292" i="8" s="1"/>
  <c r="BS292" i="8" s="1"/>
  <c r="BT292" i="8" s="1"/>
  <c r="BU292" i="8" s="1"/>
  <c r="BV292" i="8" s="1"/>
  <c r="BW292" i="8" s="1"/>
  <c r="BX292" i="8" s="1"/>
  <c r="BY292" i="8" s="1"/>
  <c r="BZ292" i="8" s="1"/>
  <c r="CA292" i="8" s="1"/>
  <c r="CB292" i="8" s="1"/>
  <c r="CC292" i="8" s="1"/>
  <c r="CD292" i="8" s="1"/>
  <c r="CE292" i="8" s="1"/>
  <c r="CF292" i="8" s="1"/>
  <c r="CG292" i="8" s="1"/>
  <c r="CH292" i="8" s="1"/>
  <c r="CI292" i="8" s="1"/>
  <c r="CJ292" i="8" s="1"/>
  <c r="CK292" i="8" s="1"/>
  <c r="CL292" i="8" s="1"/>
  <c r="CM292" i="8" s="1"/>
  <c r="CN292" i="8" s="1"/>
  <c r="CO292" i="8" s="1"/>
  <c r="CP292" i="8" s="1"/>
  <c r="CQ292" i="8" s="1"/>
  <c r="CR292" i="8" s="1"/>
  <c r="CS292" i="8" s="1"/>
  <c r="CT292" i="8" s="1"/>
  <c r="CU292" i="8" s="1"/>
  <c r="CV292" i="8" s="1"/>
  <c r="CW292" i="8" s="1"/>
  <c r="CX292" i="8" s="1"/>
  <c r="CY292" i="8" s="1"/>
  <c r="CZ292" i="8" s="1"/>
  <c r="DA292" i="8" s="1"/>
  <c r="DB292" i="8" s="1"/>
  <c r="DC292" i="8" s="1"/>
  <c r="DD292" i="8" s="1"/>
  <c r="DE292" i="8" s="1"/>
  <c r="DF292" i="8" s="1"/>
  <c r="DG292" i="8" s="1"/>
  <c r="DH292" i="8" s="1"/>
  <c r="DI292" i="8" s="1"/>
  <c r="DJ292" i="8" s="1"/>
  <c r="DK292" i="8" s="1"/>
  <c r="DL292" i="8" s="1"/>
  <c r="DM292" i="8" s="1"/>
  <c r="DN292" i="8" s="1"/>
  <c r="DO292" i="8" s="1"/>
  <c r="DP292" i="8" s="1"/>
  <c r="DQ292" i="8" s="1"/>
  <c r="DR292" i="8" s="1"/>
  <c r="DS292" i="8" s="1"/>
  <c r="DT292" i="8" s="1"/>
  <c r="DU292" i="8" s="1"/>
  <c r="DV292" i="8" s="1"/>
  <c r="DW292" i="8" s="1"/>
  <c r="DX292" i="8" s="1"/>
  <c r="DY292" i="8" s="1"/>
  <c r="DZ292" i="8" s="1"/>
  <c r="EA292" i="8" s="1"/>
  <c r="EB292" i="8" s="1"/>
  <c r="EC292" i="8" s="1"/>
  <c r="ED292" i="8" s="1"/>
  <c r="EE292" i="8" s="1"/>
  <c r="EF292" i="8" s="1"/>
  <c r="EG292" i="8" s="1"/>
  <c r="EH292" i="8" s="1"/>
  <c r="EI292" i="8" s="1"/>
  <c r="EJ292" i="8" s="1"/>
  <c r="EK292" i="8" s="1"/>
  <c r="EL292" i="8" s="1"/>
  <c r="EM292" i="8" s="1"/>
  <c r="EN292" i="8" s="1"/>
  <c r="EO292" i="8" s="1"/>
  <c r="EP292" i="8" s="1"/>
  <c r="EQ292" i="8" s="1"/>
  <c r="ER292" i="8" s="1"/>
  <c r="ES292" i="8" s="1"/>
  <c r="ET292" i="8" s="1"/>
  <c r="EU292" i="8" s="1"/>
  <c r="EV292" i="8" s="1"/>
  <c r="EW292" i="8" s="1"/>
  <c r="EX292" i="8" s="1"/>
  <c r="EY292" i="8" s="1"/>
  <c r="EZ292" i="8" s="1"/>
  <c r="FA292" i="8" s="1"/>
  <c r="AR293" i="8"/>
  <c r="AT293" i="8"/>
  <c r="AU293" i="8"/>
  <c r="AW293" i="8"/>
  <c r="AX293" i="8"/>
  <c r="AZ293" i="8"/>
  <c r="BW293" i="8"/>
  <c r="BX293" i="8" s="1"/>
  <c r="BY293" i="8" s="1"/>
  <c r="BZ293" i="8" s="1"/>
  <c r="CA293" i="8" s="1"/>
  <c r="CC293" i="8"/>
  <c r="CD293" i="8" s="1"/>
  <c r="CF293" i="8"/>
  <c r="CG293" i="8" s="1"/>
  <c r="CI293" i="8"/>
  <c r="CJ293" i="8" s="1"/>
  <c r="CL293" i="8"/>
  <c r="CM293" i="8" s="1"/>
  <c r="CO293" i="8"/>
  <c r="CP293" i="8" s="1"/>
  <c r="CR293" i="8"/>
  <c r="CS293" i="8" s="1"/>
  <c r="CU293" i="8"/>
  <c r="CV293" i="8" s="1"/>
  <c r="CX293" i="8"/>
  <c r="CY293" i="8" s="1"/>
  <c r="DA293" i="8"/>
  <c r="DB293" i="8" s="1"/>
  <c r="DD293" i="8"/>
  <c r="DE293" i="8" s="1"/>
  <c r="DG293" i="8"/>
  <c r="DH293" i="8" s="1"/>
  <c r="DJ293" i="8"/>
  <c r="DK293" i="8" s="1"/>
  <c r="DM293" i="8"/>
  <c r="DN293" i="8" s="1"/>
  <c r="DP293" i="8"/>
  <c r="DQ293" i="8" s="1"/>
  <c r="DS293" i="8"/>
  <c r="DT293" i="8" s="1"/>
  <c r="DV293" i="8"/>
  <c r="DW293" i="8" s="1"/>
  <c r="DY293" i="8"/>
  <c r="DZ293" i="8" s="1"/>
  <c r="EB293" i="8"/>
  <c r="EC293" i="8" s="1"/>
  <c r="EE293" i="8"/>
  <c r="EF293" i="8" s="1"/>
  <c r="EH293" i="8"/>
  <c r="EI293" i="8" s="1"/>
  <c r="EK293" i="8"/>
  <c r="EL293" i="8" s="1"/>
  <c r="EN293" i="8"/>
  <c r="EO293" i="8" s="1"/>
  <c r="EQ293" i="8"/>
  <c r="ER293" i="8" s="1"/>
  <c r="B1" i="7"/>
  <c r="B2" i="7"/>
  <c r="AM4" i="7"/>
  <c r="AM2" i="8" s="1"/>
  <c r="AN4" i="7"/>
  <c r="AN2" i="8" s="1"/>
  <c r="AN220" i="8" s="1"/>
  <c r="AO4" i="7"/>
  <c r="AO226" i="7" s="1"/>
  <c r="AP4" i="7"/>
  <c r="AP2" i="8" s="1"/>
  <c r="AP220" i="8" s="1"/>
  <c r="AQ4" i="7"/>
  <c r="AQ321" i="7" s="1"/>
  <c r="AR4" i="7"/>
  <c r="AS4" i="7"/>
  <c r="AS2" i="8" s="1"/>
  <c r="AS285" i="8" s="1"/>
  <c r="AT4" i="7"/>
  <c r="AT2" i="8" s="1"/>
  <c r="AT220" i="8" s="1"/>
  <c r="AU4" i="7"/>
  <c r="AU2" i="8" s="1"/>
  <c r="AU220" i="8" s="1"/>
  <c r="AV4" i="7"/>
  <c r="AV2" i="8" s="1"/>
  <c r="AV220" i="8" s="1"/>
  <c r="AW4" i="7"/>
  <c r="AW321" i="7" s="1"/>
  <c r="AX4" i="7"/>
  <c r="AY4" i="7"/>
  <c r="AY2" i="8" s="1"/>
  <c r="AY285" i="8" s="1"/>
  <c r="AZ4" i="7"/>
  <c r="AZ149" i="7" s="1"/>
  <c r="BA4" i="7"/>
  <c r="BA2" i="8" s="1"/>
  <c r="BA220" i="8" s="1"/>
  <c r="BB4" i="7"/>
  <c r="BB2" i="8" s="1"/>
  <c r="BB220" i="8" s="1"/>
  <c r="BC4" i="7"/>
  <c r="BC442" i="7" s="1"/>
  <c r="BD4" i="7"/>
  <c r="BE4" i="7"/>
  <c r="BE2" i="8" s="1"/>
  <c r="BF4" i="7"/>
  <c r="BF149" i="7" s="1"/>
  <c r="BG4" i="7"/>
  <c r="BG226" i="7" s="1"/>
  <c r="BH4" i="7"/>
  <c r="BH2" i="8" s="1"/>
  <c r="BH220" i="8" s="1"/>
  <c r="BI4" i="7"/>
  <c r="BI340" i="7" s="1"/>
  <c r="BJ4" i="7"/>
  <c r="BK4" i="7"/>
  <c r="BK2" i="8" s="1"/>
  <c r="BK285" i="8" s="1"/>
  <c r="BL4" i="7"/>
  <c r="BL149" i="7" s="1"/>
  <c r="BM4" i="7"/>
  <c r="BM226" i="7" s="1"/>
  <c r="BN4" i="7"/>
  <c r="BN2" i="8" s="1"/>
  <c r="BN220" i="8" s="1"/>
  <c r="BO4" i="7"/>
  <c r="BO226" i="7" s="1"/>
  <c r="BP4" i="7"/>
  <c r="BQ4" i="7"/>
  <c r="BQ2" i="8" s="1"/>
  <c r="BQ220" i="8" s="1"/>
  <c r="BQ285" i="8" s="1"/>
  <c r="BR4" i="7"/>
  <c r="BR149" i="7" s="1"/>
  <c r="BS4" i="7"/>
  <c r="BS226" i="7" s="1"/>
  <c r="BT4" i="7"/>
  <c r="BT2" i="8" s="1"/>
  <c r="BT220" i="8" s="1"/>
  <c r="BT285" i="8" s="1"/>
  <c r="BU4" i="7"/>
  <c r="BU365" i="7" s="1"/>
  <c r="BV4" i="7"/>
  <c r="BW4" i="7"/>
  <c r="BW2" i="8" s="1"/>
  <c r="BW220" i="8" s="1"/>
  <c r="BW285" i="8" s="1"/>
  <c r="BX4" i="7"/>
  <c r="BX2" i="8" s="1"/>
  <c r="BX220" i="8" s="1"/>
  <c r="BX285" i="8" s="1"/>
  <c r="BY4" i="7"/>
  <c r="BY226" i="7" s="1"/>
  <c r="BZ4" i="7"/>
  <c r="BZ2" i="8" s="1"/>
  <c r="BZ220" i="8" s="1"/>
  <c r="BZ285" i="8" s="1"/>
  <c r="CA4" i="7"/>
  <c r="CA451" i="7" s="1"/>
  <c r="CB4" i="7"/>
  <c r="CC4" i="7"/>
  <c r="CC2" i="8" s="1"/>
  <c r="CC220" i="8" s="1"/>
  <c r="CC285" i="8" s="1"/>
  <c r="CD4" i="7"/>
  <c r="CD2" i="8" s="1"/>
  <c r="CD220" i="8" s="1"/>
  <c r="CD285" i="8" s="1"/>
  <c r="CE4" i="7"/>
  <c r="CE2" i="8" s="1"/>
  <c r="CE220" i="8" s="1"/>
  <c r="CE285" i="8" s="1"/>
  <c r="CF4" i="7"/>
  <c r="CF2" i="8" s="1"/>
  <c r="CF220" i="8" s="1"/>
  <c r="CF285" i="8" s="1"/>
  <c r="CG4" i="7"/>
  <c r="CG321" i="7" s="1"/>
  <c r="CH4" i="7"/>
  <c r="CI4" i="7"/>
  <c r="CI2" i="8" s="1"/>
  <c r="CI220" i="8" s="1"/>
  <c r="CI285" i="8" s="1"/>
  <c r="CJ4" i="7"/>
  <c r="CJ178" i="7" s="1"/>
  <c r="CK4" i="7"/>
  <c r="CK2" i="8" s="1"/>
  <c r="CK220" i="8" s="1"/>
  <c r="CK285" i="8" s="1"/>
  <c r="CL4" i="7"/>
  <c r="CL2" i="8" s="1"/>
  <c r="CL220" i="8" s="1"/>
  <c r="CL285" i="8" s="1"/>
  <c r="CM4" i="7"/>
  <c r="CM340" i="7" s="1"/>
  <c r="CN4" i="7"/>
  <c r="CO4" i="7"/>
  <c r="CO2" i="8" s="1"/>
  <c r="CO220" i="8" s="1"/>
  <c r="CO285" i="8" s="1"/>
  <c r="CP4" i="7"/>
  <c r="E6" i="9" s="1"/>
  <c r="CQ4" i="7"/>
  <c r="CQ29" i="7" s="1"/>
  <c r="CR4" i="7"/>
  <c r="CR2" i="8" s="1"/>
  <c r="CR220" i="8" s="1"/>
  <c r="CR285" i="8" s="1"/>
  <c r="CS4" i="7"/>
  <c r="F6" i="9" s="1"/>
  <c r="CT4" i="7"/>
  <c r="CU4" i="7"/>
  <c r="CU2" i="8" s="1"/>
  <c r="CU220" i="8" s="1"/>
  <c r="CU285" i="8" s="1"/>
  <c r="CV4" i="7"/>
  <c r="G6" i="9" s="1"/>
  <c r="CW4" i="7"/>
  <c r="CW178" i="7" s="1"/>
  <c r="CX4" i="7"/>
  <c r="CY4" i="7"/>
  <c r="H6" i="9" s="1"/>
  <c r="CZ4" i="7"/>
  <c r="W6" i="9" s="1"/>
  <c r="DA4" i="7"/>
  <c r="X6" i="9" s="1"/>
  <c r="DB4" i="7"/>
  <c r="I6" i="9" s="1"/>
  <c r="DC4" i="7"/>
  <c r="DC178" i="7" s="1"/>
  <c r="DD4" i="7"/>
  <c r="DD2" i="8" s="1"/>
  <c r="DD220" i="8" s="1"/>
  <c r="DD285" i="8" s="1"/>
  <c r="DE4" i="7"/>
  <c r="J6" i="9" s="1"/>
  <c r="DF4" i="7"/>
  <c r="Y6" i="9" s="1"/>
  <c r="DG4" i="7"/>
  <c r="DG2" i="8" s="1"/>
  <c r="DG220" i="8" s="1"/>
  <c r="DG285" i="8" s="1"/>
  <c r="DH4" i="7"/>
  <c r="K6" i="9" s="1"/>
  <c r="DI4" i="7"/>
  <c r="Z6" i="9" s="1"/>
  <c r="DJ4" i="7"/>
  <c r="AA6" i="9" s="1"/>
  <c r="DK4" i="7"/>
  <c r="L6" i="9" s="1"/>
  <c r="DL4" i="7"/>
  <c r="AB6" i="9" s="1"/>
  <c r="DM4" i="7"/>
  <c r="AC6" i="9" s="1"/>
  <c r="DN4" i="7"/>
  <c r="M6" i="9" s="1"/>
  <c r="DO4" i="7"/>
  <c r="AD6" i="9" s="1"/>
  <c r="DP4" i="7"/>
  <c r="AE6" i="9" s="1"/>
  <c r="DQ4" i="7"/>
  <c r="N6" i="9" s="1"/>
  <c r="DR4" i="7"/>
  <c r="AF6" i="9" s="1"/>
  <c r="DS4" i="7"/>
  <c r="AG6" i="9" s="1"/>
  <c r="O6" i="9"/>
  <c r="DU4" i="7"/>
  <c r="AH6" i="9" s="1"/>
  <c r="DV4" i="7"/>
  <c r="DW4" i="7"/>
  <c r="DX4" i="7"/>
  <c r="DY4" i="7"/>
  <c r="DZ4" i="7"/>
  <c r="Q6" i="9" s="1"/>
  <c r="EA4" i="7"/>
  <c r="EA178" i="7" s="1"/>
  <c r="EB4" i="7"/>
  <c r="EB2" i="8" s="1"/>
  <c r="EB220" i="8" s="1"/>
  <c r="EB285" i="8" s="1"/>
  <c r="EC4" i="7"/>
  <c r="ED4" i="7"/>
  <c r="EE4" i="7"/>
  <c r="EE2" i="8" s="1"/>
  <c r="EE220" i="8" s="1"/>
  <c r="EE285" i="8" s="1"/>
  <c r="EF4" i="7"/>
  <c r="EG4" i="7"/>
  <c r="EG178" i="7" s="1"/>
  <c r="EH4" i="7"/>
  <c r="EH2" i="8" s="1"/>
  <c r="EH220" i="8" s="1"/>
  <c r="EH285" i="8" s="1"/>
  <c r="EI4" i="7"/>
  <c r="EI226" i="7" s="1"/>
  <c r="EJ4" i="7"/>
  <c r="EJ149" i="7" s="1"/>
  <c r="EK4" i="7"/>
  <c r="EK2" i="8" s="1"/>
  <c r="EK220" i="8" s="1"/>
  <c r="EK285" i="8" s="1"/>
  <c r="EL4" i="7"/>
  <c r="EL149" i="7" s="1"/>
  <c r="EM4" i="7"/>
  <c r="EM178" i="7" s="1"/>
  <c r="EN4" i="7"/>
  <c r="EN2" i="8" s="1"/>
  <c r="EN220" i="8" s="1"/>
  <c r="EN285" i="8" s="1"/>
  <c r="EO4" i="7"/>
  <c r="EO321" i="7" s="1"/>
  <c r="EP4" i="7"/>
  <c r="EQ4" i="7"/>
  <c r="EQ2" i="8" s="1"/>
  <c r="EQ220" i="8" s="1"/>
  <c r="EQ285" i="8" s="1"/>
  <c r="ER4" i="7"/>
  <c r="ER149" i="7" s="1"/>
  <c r="DR7" i="7"/>
  <c r="DU7" i="7" s="1"/>
  <c r="DX7" i="7" s="1"/>
  <c r="EA7" i="7" s="1"/>
  <c r="ED7" i="7" s="1"/>
  <c r="EG7" i="7" s="1"/>
  <c r="EJ7" i="7" s="1"/>
  <c r="EM7" i="7" s="1"/>
  <c r="EP7" i="7" s="1"/>
  <c r="ES7" i="7" s="1"/>
  <c r="EV7" i="7" s="1"/>
  <c r="EY7" i="7" s="1"/>
  <c r="DS7" i="7"/>
  <c r="DV7" i="7" s="1"/>
  <c r="DY7" i="7" s="1"/>
  <c r="EB7" i="7" s="1"/>
  <c r="EE7" i="7" s="1"/>
  <c r="EH7" i="7" s="1"/>
  <c r="EK7" i="7" s="1"/>
  <c r="EN7" i="7" s="1"/>
  <c r="EQ7" i="7" s="1"/>
  <c r="ET7" i="7" s="1"/>
  <c r="EW7" i="7" s="1"/>
  <c r="EZ7" i="7" s="1"/>
  <c r="E9" i="7"/>
  <c r="E5" i="45" s="1"/>
  <c r="F9" i="7"/>
  <c r="F5" i="45" s="1"/>
  <c r="F4" i="45" s="1"/>
  <c r="G9" i="7"/>
  <c r="G5" i="45" s="1"/>
  <c r="G4" i="45" s="1"/>
  <c r="H9" i="7"/>
  <c r="H5" i="45" s="1"/>
  <c r="H4" i="45" s="1"/>
  <c r="I9" i="7"/>
  <c r="I5" i="45" s="1"/>
  <c r="I4" i="45" s="1"/>
  <c r="J9" i="7"/>
  <c r="J5" i="45" s="1"/>
  <c r="J4" i="45" s="1"/>
  <c r="K9" i="7"/>
  <c r="K5" i="45" s="1"/>
  <c r="K4" i="45" s="1"/>
  <c r="L9" i="7"/>
  <c r="L5" i="45" s="1"/>
  <c r="L4" i="45" s="1"/>
  <c r="M9" i="7"/>
  <c r="M5" i="45" s="1"/>
  <c r="M4" i="45" s="1"/>
  <c r="N9" i="7"/>
  <c r="N5" i="45" s="1"/>
  <c r="N4" i="45" s="1"/>
  <c r="O9" i="7"/>
  <c r="O5" i="45" s="1"/>
  <c r="O4" i="45" s="1"/>
  <c r="P9" i="7"/>
  <c r="P5" i="45" s="1"/>
  <c r="P4" i="45" s="1"/>
  <c r="Q9" i="7"/>
  <c r="Q5" i="45" s="1"/>
  <c r="Q4" i="45" s="1"/>
  <c r="R9" i="7"/>
  <c r="R5" i="45" s="1"/>
  <c r="R4" i="45" s="1"/>
  <c r="S9" i="7"/>
  <c r="S5" i="45" s="1"/>
  <c r="S4" i="45" s="1"/>
  <c r="T9" i="7"/>
  <c r="T5" i="45" s="1"/>
  <c r="T4" i="45" s="1"/>
  <c r="U9" i="7"/>
  <c r="U5" i="45" s="1"/>
  <c r="U4" i="45" s="1"/>
  <c r="V9" i="7"/>
  <c r="V5" i="45" s="1"/>
  <c r="V4" i="45" s="1"/>
  <c r="W9" i="7"/>
  <c r="W5" i="45" s="1"/>
  <c r="W4" i="45" s="1"/>
  <c r="X9" i="7"/>
  <c r="X5" i="45" s="1"/>
  <c r="X4" i="45" s="1"/>
  <c r="Y9" i="7"/>
  <c r="Y5" i="45" s="1"/>
  <c r="Y4" i="45" s="1"/>
  <c r="Z9" i="7"/>
  <c r="Z5" i="45" s="1"/>
  <c r="Z4" i="45" s="1"/>
  <c r="AA9" i="7"/>
  <c r="AA5" i="45" s="1"/>
  <c r="AA4" i="45" s="1"/>
  <c r="AB9" i="7"/>
  <c r="AB5" i="45" s="1"/>
  <c r="AB4" i="45" s="1"/>
  <c r="AC9" i="7"/>
  <c r="AC5" i="45" s="1"/>
  <c r="AC4" i="45" s="1"/>
  <c r="AD9" i="7"/>
  <c r="AD5" i="45" s="1"/>
  <c r="AD4" i="45" s="1"/>
  <c r="AE9" i="7"/>
  <c r="AE5" i="45" s="1"/>
  <c r="AE4" i="45" s="1"/>
  <c r="AF9" i="7"/>
  <c r="AF5" i="45" s="1"/>
  <c r="AF4" i="45" s="1"/>
  <c r="AG9" i="7"/>
  <c r="AG5" i="45" s="1"/>
  <c r="AG4" i="45" s="1"/>
  <c r="AH9" i="7"/>
  <c r="AH5" i="45" s="1"/>
  <c r="AH4" i="45" s="1"/>
  <c r="AI9" i="7"/>
  <c r="AI5" i="45" s="1"/>
  <c r="AI4" i="45" s="1"/>
  <c r="AJ9" i="7"/>
  <c r="AJ5" i="45" s="1"/>
  <c r="AJ4" i="45" s="1"/>
  <c r="AK9" i="7"/>
  <c r="AK5" i="45" s="1"/>
  <c r="AK4" i="45" s="1"/>
  <c r="AL9" i="7"/>
  <c r="AL5" i="45" s="1"/>
  <c r="AL4" i="45" s="1"/>
  <c r="E85" i="7"/>
  <c r="E10" i="7" s="1"/>
  <c r="G85" i="7"/>
  <c r="H85" i="7"/>
  <c r="J85" i="7"/>
  <c r="J10" i="7" s="1"/>
  <c r="K85" i="7"/>
  <c r="K10" i="7" s="1"/>
  <c r="M85" i="7"/>
  <c r="M10" i="7" s="1"/>
  <c r="N85" i="7"/>
  <c r="N10" i="7" s="1"/>
  <c r="P85" i="7"/>
  <c r="Q85" i="7"/>
  <c r="S85" i="7"/>
  <c r="S10" i="7" s="1"/>
  <c r="T85" i="7"/>
  <c r="T10" i="7" s="1"/>
  <c r="V85" i="7"/>
  <c r="V10" i="7" s="1"/>
  <c r="W85" i="7"/>
  <c r="W10" i="7" s="1"/>
  <c r="Y85" i="7"/>
  <c r="Z85" i="7"/>
  <c r="AB85" i="7"/>
  <c r="AB10" i="7" s="1"/>
  <c r="AC85" i="7"/>
  <c r="AC10" i="7" s="1"/>
  <c r="AE85" i="7"/>
  <c r="AE10" i="7" s="1"/>
  <c r="AF85" i="7"/>
  <c r="AF10" i="7" s="1"/>
  <c r="AH85" i="7"/>
  <c r="AI85" i="7"/>
  <c r="AI11" i="7" s="1"/>
  <c r="AI87" i="7"/>
  <c r="AI86" i="7" s="1"/>
  <c r="AK85" i="7"/>
  <c r="AK11" i="7" s="1"/>
  <c r="AK87" i="7"/>
  <c r="AK86" i="7" s="1"/>
  <c r="AL85" i="7"/>
  <c r="AL10" i="7" s="1"/>
  <c r="AN85" i="7"/>
  <c r="AO85" i="7"/>
  <c r="AQ85" i="7"/>
  <c r="AR85" i="7"/>
  <c r="AT85" i="7"/>
  <c r="AT10" i="7" s="1"/>
  <c r="AU85" i="7"/>
  <c r="AW85" i="7"/>
  <c r="AX85" i="7"/>
  <c r="AZ85" i="7"/>
  <c r="AZ164" i="7" s="1"/>
  <c r="BA83" i="7"/>
  <c r="BA84" i="7"/>
  <c r="BA554" i="7" s="1"/>
  <c r="BC83" i="7"/>
  <c r="BC553" i="7" s="1"/>
  <c r="BC84" i="7"/>
  <c r="BD85" i="7"/>
  <c r="BF83" i="7"/>
  <c r="BF84" i="7"/>
  <c r="BG83" i="7"/>
  <c r="BG316" i="7" s="1"/>
  <c r="BG84" i="7"/>
  <c r="BI83" i="7"/>
  <c r="BI553" i="7" s="1"/>
  <c r="BI84" i="7"/>
  <c r="BJ83" i="7"/>
  <c r="BJ316" i="7" s="1"/>
  <c r="BJ84" i="7"/>
  <c r="BM83" i="7"/>
  <c r="BM553" i="7" s="1"/>
  <c r="BM84" i="7"/>
  <c r="BM554" i="7" s="1"/>
  <c r="BO83" i="7"/>
  <c r="BO553" i="7" s="1"/>
  <c r="BO84" i="7"/>
  <c r="BP83" i="7"/>
  <c r="BP84" i="7"/>
  <c r="BP554" i="7" s="1"/>
  <c r="BR83" i="7"/>
  <c r="BR553" i="7" s="1"/>
  <c r="BR84" i="7"/>
  <c r="BS83" i="7"/>
  <c r="BS553" i="7" s="1"/>
  <c r="BS84" i="7"/>
  <c r="BS554" i="7" s="1"/>
  <c r="BU83" i="7"/>
  <c r="BU553" i="7" s="1"/>
  <c r="BU84" i="7"/>
  <c r="BV83" i="7"/>
  <c r="BV316" i="7" s="1"/>
  <c r="BV84" i="7"/>
  <c r="BX83" i="7"/>
  <c r="BX84" i="7"/>
  <c r="BY83" i="7"/>
  <c r="BY84" i="7"/>
  <c r="CA80" i="7"/>
  <c r="BZ80" i="7" s="1"/>
  <c r="CA83" i="7"/>
  <c r="CA84" i="7"/>
  <c r="CB83" i="7"/>
  <c r="CB84" i="7"/>
  <c r="CD83" i="7"/>
  <c r="CD84" i="7"/>
  <c r="CE83" i="7"/>
  <c r="CE84" i="7"/>
  <c r="CG83" i="7"/>
  <c r="CG84" i="7"/>
  <c r="CH83" i="7"/>
  <c r="CH84" i="7"/>
  <c r="CJ83" i="7"/>
  <c r="CJ84" i="7"/>
  <c r="CK83" i="7"/>
  <c r="CK84" i="7"/>
  <c r="CM83" i="7"/>
  <c r="CM84" i="7"/>
  <c r="CN83" i="7"/>
  <c r="CN84" i="7"/>
  <c r="CP81" i="7"/>
  <c r="E30" i="9" s="1"/>
  <c r="CP83" i="7"/>
  <c r="CP84" i="7"/>
  <c r="CQ81" i="7"/>
  <c r="CQ136" i="8" s="1"/>
  <c r="CQ83" i="7"/>
  <c r="CQ84" i="7"/>
  <c r="CS80" i="7"/>
  <c r="CS81" i="7" s="1"/>
  <c r="F30" i="9" s="1"/>
  <c r="CS83" i="7"/>
  <c r="CS84" i="7"/>
  <c r="CT80" i="7"/>
  <c r="CT82" i="7" s="1"/>
  <c r="CT519" i="7" s="1"/>
  <c r="CT83" i="7"/>
  <c r="CT84" i="7"/>
  <c r="CV80" i="7"/>
  <c r="CV81" i="7"/>
  <c r="G30" i="9" s="1"/>
  <c r="CV83" i="7"/>
  <c r="CV84" i="7"/>
  <c r="CW81" i="7"/>
  <c r="CW182" i="7" s="1"/>
  <c r="CW83" i="7"/>
  <c r="CW84" i="7"/>
  <c r="CY80" i="7"/>
  <c r="CY83" i="7"/>
  <c r="CY84" i="7"/>
  <c r="CZ81" i="7"/>
  <c r="CZ553" i="7" s="1"/>
  <c r="CZ83" i="7"/>
  <c r="CZ84" i="7"/>
  <c r="DB80" i="7"/>
  <c r="DB83" i="7"/>
  <c r="DB84" i="7"/>
  <c r="DC83" i="7"/>
  <c r="DC84" i="7"/>
  <c r="DE83" i="7"/>
  <c r="DE84" i="7"/>
  <c r="DF80" i="7"/>
  <c r="DF81" i="7" s="1"/>
  <c r="DF82" i="7" s="1"/>
  <c r="DF83" i="7"/>
  <c r="DF84" i="7"/>
  <c r="DH83" i="7"/>
  <c r="DH84" i="7"/>
  <c r="DI83" i="7"/>
  <c r="DI84" i="7"/>
  <c r="DK83" i="7"/>
  <c r="DK84" i="7"/>
  <c r="DL83" i="7"/>
  <c r="DL84" i="7"/>
  <c r="DN83" i="7"/>
  <c r="DN84" i="7"/>
  <c r="DO84" i="7"/>
  <c r="DQ84" i="7"/>
  <c r="DR84" i="7"/>
  <c r="DT84" i="7"/>
  <c r="DU84" i="7"/>
  <c r="DV84" i="7" s="1"/>
  <c r="DZ84" i="7"/>
  <c r="EA84" i="7"/>
  <c r="EC84" i="7"/>
  <c r="ED84" i="7"/>
  <c r="EF84" i="7"/>
  <c r="EG84" i="7"/>
  <c r="EI84" i="7"/>
  <c r="EJ84" i="7"/>
  <c r="EL84" i="7"/>
  <c r="EM84" i="7"/>
  <c r="EO84" i="7"/>
  <c r="EP84" i="7"/>
  <c r="ER84" i="7"/>
  <c r="E87" i="7"/>
  <c r="E86" i="7" s="1"/>
  <c r="G87" i="7"/>
  <c r="G86" i="7" s="1"/>
  <c r="H87" i="7"/>
  <c r="H86" i="7" s="1"/>
  <c r="J87" i="7"/>
  <c r="J86" i="7" s="1"/>
  <c r="K87" i="7"/>
  <c r="K86" i="7" s="1"/>
  <c r="M87" i="7"/>
  <c r="M86" i="7" s="1"/>
  <c r="N87" i="7"/>
  <c r="N86" i="7" s="1"/>
  <c r="P87" i="7"/>
  <c r="P86" i="7" s="1"/>
  <c r="Q87" i="7"/>
  <c r="Q86" i="7" s="1"/>
  <c r="S87" i="7"/>
  <c r="S86" i="7" s="1"/>
  <c r="T87" i="7"/>
  <c r="T86" i="7" s="1"/>
  <c r="V87" i="7"/>
  <c r="V86" i="7" s="1"/>
  <c r="W87" i="7"/>
  <c r="W86" i="7" s="1"/>
  <c r="Y87" i="7"/>
  <c r="Y86" i="7" s="1"/>
  <c r="Z87" i="7"/>
  <c r="Z86" i="7" s="1"/>
  <c r="AB87" i="7"/>
  <c r="AB86" i="7" s="1"/>
  <c r="AC87" i="7"/>
  <c r="AC86" i="7" s="1"/>
  <c r="AE87" i="7"/>
  <c r="AE86" i="7" s="1"/>
  <c r="AF87" i="7"/>
  <c r="AF86" i="7" s="1"/>
  <c r="AH87" i="7"/>
  <c r="AH86" i="7" s="1"/>
  <c r="AL87" i="7"/>
  <c r="AL86" i="7" s="1"/>
  <c r="AN87" i="7"/>
  <c r="AN86" i="7" s="1"/>
  <c r="AO87" i="7"/>
  <c r="AO86" i="7" s="1"/>
  <c r="AQ87" i="7"/>
  <c r="AQ86" i="7" s="1"/>
  <c r="AR87" i="7"/>
  <c r="AR86" i="7" s="1"/>
  <c r="AT87" i="7"/>
  <c r="AT86" i="7" s="1"/>
  <c r="AU87" i="7"/>
  <c r="AU65" i="7"/>
  <c r="AW87" i="7"/>
  <c r="AW65" i="7"/>
  <c r="AW63" i="7" s="1"/>
  <c r="AX87" i="7"/>
  <c r="AX65" i="7"/>
  <c r="AZ87" i="7"/>
  <c r="AZ65" i="7"/>
  <c r="AZ63" i="7" s="1"/>
  <c r="BA87" i="7"/>
  <c r="BA64" i="7"/>
  <c r="BA66" i="7"/>
  <c r="BB66" i="7" s="1"/>
  <c r="BA67" i="7"/>
  <c r="BA68" i="7"/>
  <c r="BC87" i="7"/>
  <c r="BC64" i="7"/>
  <c r="BC67" i="7"/>
  <c r="BC68" i="7"/>
  <c r="BD87" i="7"/>
  <c r="BD64" i="7"/>
  <c r="BD66" i="7"/>
  <c r="BD67" i="7"/>
  <c r="BD68" i="7"/>
  <c r="BF87" i="7"/>
  <c r="BF64" i="7"/>
  <c r="BF66" i="7"/>
  <c r="BF67" i="7"/>
  <c r="BF68" i="7"/>
  <c r="BG64" i="7"/>
  <c r="BG66" i="7"/>
  <c r="BH66" i="7" s="1"/>
  <c r="BG67" i="7"/>
  <c r="BH67" i="7" s="1"/>
  <c r="BG68" i="7"/>
  <c r="BI64" i="7"/>
  <c r="BI68" i="7"/>
  <c r="BI65" i="7" s="1"/>
  <c r="BJ64" i="7"/>
  <c r="BJ65" i="7"/>
  <c r="BM64" i="7"/>
  <c r="BM68" i="7"/>
  <c r="BM65" i="7" s="1"/>
  <c r="BO64" i="7"/>
  <c r="BO66" i="7"/>
  <c r="BN66" i="7" s="1"/>
  <c r="BO67" i="7"/>
  <c r="BN67" i="7" s="1"/>
  <c r="BO68" i="7"/>
  <c r="BP64" i="7"/>
  <c r="BP67" i="7"/>
  <c r="BP68" i="7"/>
  <c r="BR64" i="7"/>
  <c r="BR67" i="7"/>
  <c r="BR68" i="7"/>
  <c r="BS64" i="7"/>
  <c r="BS67" i="7"/>
  <c r="BS68" i="7"/>
  <c r="BU64" i="7"/>
  <c r="BU67" i="7"/>
  <c r="BU68" i="7"/>
  <c r="BV86" i="7"/>
  <c r="BX86" i="7"/>
  <c r="BY86" i="7"/>
  <c r="CA86" i="7"/>
  <c r="CB86" i="7"/>
  <c r="CD86" i="7"/>
  <c r="CE86" i="7"/>
  <c r="CG86" i="7"/>
  <c r="CH86" i="7"/>
  <c r="CJ86" i="7"/>
  <c r="CK86" i="7"/>
  <c r="CM86" i="7"/>
  <c r="CN86" i="7"/>
  <c r="CP86" i="7"/>
  <c r="CQ86" i="7"/>
  <c r="CS86" i="7"/>
  <c r="CT86" i="7"/>
  <c r="CV86" i="7"/>
  <c r="CW86" i="7"/>
  <c r="CY86" i="7"/>
  <c r="CZ86" i="7"/>
  <c r="DB86" i="7"/>
  <c r="DC86" i="7"/>
  <c r="DE86" i="7"/>
  <c r="DF86" i="7"/>
  <c r="DH86" i="7"/>
  <c r="G405" i="7"/>
  <c r="H405" i="7" s="1"/>
  <c r="J405" i="7" s="1"/>
  <c r="G410" i="7"/>
  <c r="H410" i="7" s="1"/>
  <c r="J410" i="7" s="1"/>
  <c r="K410" i="7" s="1"/>
  <c r="M410" i="7" s="1"/>
  <c r="N410" i="7" s="1"/>
  <c r="P410" i="7" s="1"/>
  <c r="Q410" i="7" s="1"/>
  <c r="S410" i="7" s="1"/>
  <c r="T410" i="7" s="1"/>
  <c r="V410" i="7" s="1"/>
  <c r="W410" i="7" s="1"/>
  <c r="Y410" i="7" s="1"/>
  <c r="Z410" i="7" s="1"/>
  <c r="AB410" i="7" s="1"/>
  <c r="AC410" i="7" s="1"/>
  <c r="AE410" i="7" s="1"/>
  <c r="AF410" i="7" s="1"/>
  <c r="AH410" i="7" s="1"/>
  <c r="AI410" i="7" s="1"/>
  <c r="AK410" i="7" s="1"/>
  <c r="AL410" i="7" s="1"/>
  <c r="AN410" i="7" s="1"/>
  <c r="G415" i="7"/>
  <c r="H415" i="7" s="1"/>
  <c r="J415" i="7" s="1"/>
  <c r="K415" i="7" s="1"/>
  <c r="M415" i="7" s="1"/>
  <c r="N415" i="7" s="1"/>
  <c r="P415" i="7" s="1"/>
  <c r="Q415" i="7" s="1"/>
  <c r="S415" i="7" s="1"/>
  <c r="T415" i="7" s="1"/>
  <c r="V415" i="7" s="1"/>
  <c r="W415" i="7" s="1"/>
  <c r="Y415" i="7" s="1"/>
  <c r="Z415" i="7" s="1"/>
  <c r="AB415" i="7" s="1"/>
  <c r="AC415" i="7" s="1"/>
  <c r="AE415" i="7" s="1"/>
  <c r="AF415" i="7" s="1"/>
  <c r="AH415" i="7" s="1"/>
  <c r="AI415" i="7" s="1"/>
  <c r="AK415" i="7" s="1"/>
  <c r="AL415" i="7" s="1"/>
  <c r="AN415" i="7" s="1"/>
  <c r="AO415" i="7" s="1"/>
  <c r="AQ415" i="7" s="1"/>
  <c r="AR415" i="7" s="1"/>
  <c r="AT415" i="7" s="1"/>
  <c r="AU415" i="7" s="1"/>
  <c r="AW415" i="7" s="1"/>
  <c r="AX415" i="7" s="1"/>
  <c r="AZ415" i="7" s="1"/>
  <c r="BA415" i="7" s="1"/>
  <c r="BC415" i="7" s="1"/>
  <c r="BD415" i="7" s="1"/>
  <c r="BF415" i="7" s="1"/>
  <c r="BG415" i="7" s="1"/>
  <c r="BI415" i="7" s="1"/>
  <c r="BJ415" i="7" s="1"/>
  <c r="BL415" i="7" s="1"/>
  <c r="BM415" i="7" s="1"/>
  <c r="BO415" i="7" s="1"/>
  <c r="BP415" i="7" s="1"/>
  <c r="BR415" i="7" s="1"/>
  <c r="BS415" i="7" s="1"/>
  <c r="BU415" i="7" s="1"/>
  <c r="BV415" i="7" s="1"/>
  <c r="BX415" i="7" s="1"/>
  <c r="BY415" i="7" s="1"/>
  <c r="CA415" i="7" s="1"/>
  <c r="CB415" i="7" s="1"/>
  <c r="CD415" i="7" s="1"/>
  <c r="CE415" i="7" s="1"/>
  <c r="CG415" i="7" s="1"/>
  <c r="CH415" i="7" s="1"/>
  <c r="CJ415" i="7" s="1"/>
  <c r="CK415" i="7" s="1"/>
  <c r="CM415" i="7" s="1"/>
  <c r="CN415" i="7" s="1"/>
  <c r="CP415" i="7" s="1"/>
  <c r="CQ415" i="7" s="1"/>
  <c r="CS415" i="7" s="1"/>
  <c r="CT415" i="7" s="1"/>
  <c r="CV415" i="7" s="1"/>
  <c r="CW415" i="7" s="1"/>
  <c r="CY415" i="7" s="1"/>
  <c r="CZ415" i="7" s="1"/>
  <c r="DB415" i="7" s="1"/>
  <c r="DC415" i="7" s="1"/>
  <c r="DE415" i="7" s="1"/>
  <c r="DF415" i="7" s="1"/>
  <c r="DH415" i="7" s="1"/>
  <c r="DI415" i="7" s="1"/>
  <c r="DK415" i="7" s="1"/>
  <c r="DL415" i="7" s="1"/>
  <c r="DN415" i="7" s="1"/>
  <c r="DO415" i="7" s="1"/>
  <c r="DQ415" i="7" s="1"/>
  <c r="DR415" i="7" s="1"/>
  <c r="DT415" i="7" s="1"/>
  <c r="DU415" i="7" s="1"/>
  <c r="DW415" i="7" s="1"/>
  <c r="DX415" i="7" s="1"/>
  <c r="DZ415" i="7" s="1"/>
  <c r="EA415" i="7" s="1"/>
  <c r="EC415" i="7" s="1"/>
  <c r="ED415" i="7" s="1"/>
  <c r="EF415" i="7" s="1"/>
  <c r="EG415" i="7" s="1"/>
  <c r="EI415" i="7" s="1"/>
  <c r="EJ415" i="7" s="1"/>
  <c r="EL415" i="7" s="1"/>
  <c r="EM415" i="7" s="1"/>
  <c r="EO415" i="7" s="1"/>
  <c r="EP415" i="7" s="1"/>
  <c r="ER415" i="7" s="1"/>
  <c r="ES415" i="7" s="1"/>
  <c r="G420" i="7"/>
  <c r="H420" i="7" s="1"/>
  <c r="J420" i="7" s="1"/>
  <c r="K420" i="7" s="1"/>
  <c r="M420" i="7" s="1"/>
  <c r="N420" i="7" s="1"/>
  <c r="P420" i="7" s="1"/>
  <c r="Q420" i="7" s="1"/>
  <c r="S420" i="7" s="1"/>
  <c r="T420" i="7" s="1"/>
  <c r="V420" i="7" s="1"/>
  <c r="W420" i="7" s="1"/>
  <c r="Y420" i="7" s="1"/>
  <c r="Z420" i="7" s="1"/>
  <c r="AB420" i="7" s="1"/>
  <c r="AC420" i="7" s="1"/>
  <c r="AE420" i="7" s="1"/>
  <c r="AF420" i="7" s="1"/>
  <c r="AH420" i="7" s="1"/>
  <c r="AI420" i="7" s="1"/>
  <c r="AK420" i="7" s="1"/>
  <c r="AL420" i="7" s="1"/>
  <c r="AN420" i="7" s="1"/>
  <c r="AO420" i="7" s="1"/>
  <c r="AQ420" i="7" s="1"/>
  <c r="AR420" i="7" s="1"/>
  <c r="AT420" i="7" s="1"/>
  <c r="AU420" i="7" s="1"/>
  <c r="AW420" i="7" s="1"/>
  <c r="AX420" i="7" s="1"/>
  <c r="AZ420" i="7" s="1"/>
  <c r="BA420" i="7" s="1"/>
  <c r="BC420" i="7" s="1"/>
  <c r="BD420" i="7" s="1"/>
  <c r="BF420" i="7" s="1"/>
  <c r="BG420" i="7" s="1"/>
  <c r="BI420" i="7" s="1"/>
  <c r="BJ420" i="7" s="1"/>
  <c r="BL420" i="7" s="1"/>
  <c r="BM420" i="7" s="1"/>
  <c r="BO420" i="7" s="1"/>
  <c r="BP420" i="7" s="1"/>
  <c r="BR420" i="7" s="1"/>
  <c r="BS420" i="7" s="1"/>
  <c r="BU420" i="7" s="1"/>
  <c r="BV420" i="7" s="1"/>
  <c r="BX420" i="7" s="1"/>
  <c r="BY420" i="7" s="1"/>
  <c r="CA420" i="7" s="1"/>
  <c r="CB420" i="7" s="1"/>
  <c r="CD420" i="7" s="1"/>
  <c r="CE420" i="7" s="1"/>
  <c r="CG420" i="7" s="1"/>
  <c r="CH420" i="7" s="1"/>
  <c r="CJ420" i="7" s="1"/>
  <c r="CK420" i="7" s="1"/>
  <c r="CM420" i="7" s="1"/>
  <c r="CN420" i="7" s="1"/>
  <c r="CP420" i="7" s="1"/>
  <c r="CQ420" i="7" s="1"/>
  <c r="CS420" i="7" s="1"/>
  <c r="CT420" i="7" s="1"/>
  <c r="CV420" i="7" s="1"/>
  <c r="CW420" i="7" s="1"/>
  <c r="CY420" i="7" s="1"/>
  <c r="CZ420" i="7" s="1"/>
  <c r="DB420" i="7" s="1"/>
  <c r="DC420" i="7" s="1"/>
  <c r="DE420" i="7" s="1"/>
  <c r="DF420" i="7" s="1"/>
  <c r="DH420" i="7" s="1"/>
  <c r="DI420" i="7" s="1"/>
  <c r="DK420" i="7" s="1"/>
  <c r="DL420" i="7" s="1"/>
  <c r="DN420" i="7" s="1"/>
  <c r="DO420" i="7" s="1"/>
  <c r="DQ420" i="7" s="1"/>
  <c r="DR420" i="7" s="1"/>
  <c r="DT420" i="7" s="1"/>
  <c r="DU420" i="7" s="1"/>
  <c r="DW420" i="7" s="1"/>
  <c r="DX420" i="7" s="1"/>
  <c r="DZ420" i="7" s="1"/>
  <c r="EA420" i="7" s="1"/>
  <c r="EC420" i="7" s="1"/>
  <c r="ED420" i="7" s="1"/>
  <c r="EF420" i="7" s="1"/>
  <c r="EG420" i="7" s="1"/>
  <c r="EI420" i="7" s="1"/>
  <c r="EJ420" i="7" s="1"/>
  <c r="EL420" i="7" s="1"/>
  <c r="EM420" i="7" s="1"/>
  <c r="EO420" i="7" s="1"/>
  <c r="EP420" i="7" s="1"/>
  <c r="ER420" i="7" s="1"/>
  <c r="ES420" i="7" s="1"/>
  <c r="EU420" i="7" s="1"/>
  <c r="EV420" i="7" s="1"/>
  <c r="EX420" i="7" s="1"/>
  <c r="EY420" i="7" s="1"/>
  <c r="FA420" i="7" s="1"/>
  <c r="G425" i="7"/>
  <c r="H425" i="7" s="1"/>
  <c r="J425" i="7" s="1"/>
  <c r="K425" i="7" s="1"/>
  <c r="M425" i="7" s="1"/>
  <c r="N425" i="7" s="1"/>
  <c r="P425" i="7" s="1"/>
  <c r="Q425" i="7" s="1"/>
  <c r="S425" i="7" s="1"/>
  <c r="T425" i="7" s="1"/>
  <c r="V425" i="7" s="1"/>
  <c r="W425" i="7" s="1"/>
  <c r="Y425" i="7" s="1"/>
  <c r="Z425" i="7" s="1"/>
  <c r="AB425" i="7" s="1"/>
  <c r="AC425" i="7" s="1"/>
  <c r="AE425" i="7" s="1"/>
  <c r="AF425" i="7" s="1"/>
  <c r="AH425" i="7" s="1"/>
  <c r="AI425" i="7" s="1"/>
  <c r="AK425" i="7" s="1"/>
  <c r="AL425" i="7" s="1"/>
  <c r="AN425" i="7" s="1"/>
  <c r="AO425" i="7" s="1"/>
  <c r="AQ425" i="7" s="1"/>
  <c r="AR425" i="7" s="1"/>
  <c r="AT425" i="7" s="1"/>
  <c r="AU425" i="7" s="1"/>
  <c r="AW425" i="7" s="1"/>
  <c r="AX425" i="7" s="1"/>
  <c r="AZ425" i="7" s="1"/>
  <c r="BA425" i="7" s="1"/>
  <c r="BC425" i="7" s="1"/>
  <c r="BD425" i="7" s="1"/>
  <c r="BF425" i="7" s="1"/>
  <c r="BG425" i="7" s="1"/>
  <c r="BI425" i="7" s="1"/>
  <c r="BJ425" i="7" s="1"/>
  <c r="BL425" i="7" s="1"/>
  <c r="BM425" i="7" s="1"/>
  <c r="BO425" i="7" s="1"/>
  <c r="BP425" i="7" s="1"/>
  <c r="BR425" i="7" s="1"/>
  <c r="BS425" i="7" s="1"/>
  <c r="BU425" i="7" s="1"/>
  <c r="BV425" i="7" s="1"/>
  <c r="BX425" i="7" s="1"/>
  <c r="BY425" i="7" s="1"/>
  <c r="CA425" i="7" s="1"/>
  <c r="CB425" i="7" s="1"/>
  <c r="CD425" i="7" s="1"/>
  <c r="CE425" i="7" s="1"/>
  <c r="CG425" i="7" s="1"/>
  <c r="CH425" i="7" s="1"/>
  <c r="CJ425" i="7" s="1"/>
  <c r="CK425" i="7" s="1"/>
  <c r="CM425" i="7" s="1"/>
  <c r="CN425" i="7" s="1"/>
  <c r="CP425" i="7" s="1"/>
  <c r="CQ425" i="7" s="1"/>
  <c r="CS425" i="7" s="1"/>
  <c r="CT425" i="7" s="1"/>
  <c r="CV425" i="7" s="1"/>
  <c r="CW425" i="7" s="1"/>
  <c r="CY425" i="7" s="1"/>
  <c r="CZ425" i="7" s="1"/>
  <c r="DB425" i="7" s="1"/>
  <c r="DC425" i="7" s="1"/>
  <c r="DE425" i="7" s="1"/>
  <c r="DF425" i="7" s="1"/>
  <c r="DH425" i="7" s="1"/>
  <c r="DI425" i="7" s="1"/>
  <c r="DK425" i="7" s="1"/>
  <c r="DL425" i="7" s="1"/>
  <c r="DN425" i="7" s="1"/>
  <c r="DO425" i="7" s="1"/>
  <c r="DQ425" i="7" s="1"/>
  <c r="DR425" i="7" s="1"/>
  <c r="DT425" i="7" s="1"/>
  <c r="DU425" i="7" s="1"/>
  <c r="DW425" i="7" s="1"/>
  <c r="DX425" i="7" s="1"/>
  <c r="DZ425" i="7" s="1"/>
  <c r="EA425" i="7" s="1"/>
  <c r="EC425" i="7" s="1"/>
  <c r="ED425" i="7" s="1"/>
  <c r="EF425" i="7" s="1"/>
  <c r="EG425" i="7" s="1"/>
  <c r="EI425" i="7" s="1"/>
  <c r="EJ425" i="7" s="1"/>
  <c r="EL425" i="7" s="1"/>
  <c r="EM425" i="7" s="1"/>
  <c r="EO425" i="7" s="1"/>
  <c r="EP425" i="7" s="1"/>
  <c r="ER425" i="7" s="1"/>
  <c r="ES425" i="7" s="1"/>
  <c r="EU425" i="7" s="1"/>
  <c r="EV425" i="7" s="1"/>
  <c r="EX425" i="7" s="1"/>
  <c r="EY425" i="7" s="1"/>
  <c r="FA425" i="7" s="1"/>
  <c r="G430" i="7"/>
  <c r="H430" i="7" s="1"/>
  <c r="J430" i="7" s="1"/>
  <c r="K430" i="7" s="1"/>
  <c r="M430" i="7" s="1"/>
  <c r="N430" i="7" s="1"/>
  <c r="P430" i="7" s="1"/>
  <c r="Q430" i="7" s="1"/>
  <c r="S430" i="7" s="1"/>
  <c r="T430" i="7" s="1"/>
  <c r="V430" i="7" s="1"/>
  <c r="W430" i="7" s="1"/>
  <c r="Y430" i="7" s="1"/>
  <c r="Z430" i="7" s="1"/>
  <c r="AB430" i="7" s="1"/>
  <c r="AC430" i="7" s="1"/>
  <c r="AE430" i="7" s="1"/>
  <c r="AF430" i="7" s="1"/>
  <c r="AH430" i="7" s="1"/>
  <c r="AI430" i="7" s="1"/>
  <c r="AK430" i="7" s="1"/>
  <c r="AL430" i="7" s="1"/>
  <c r="AN430" i="7" s="1"/>
  <c r="AO430" i="7" s="1"/>
  <c r="AQ430" i="7" s="1"/>
  <c r="AR430" i="7" s="1"/>
  <c r="AT430" i="7" s="1"/>
  <c r="AU430" i="7" s="1"/>
  <c r="AW430" i="7" s="1"/>
  <c r="AX430" i="7" s="1"/>
  <c r="AZ430" i="7" s="1"/>
  <c r="BA430" i="7" s="1"/>
  <c r="BC430" i="7" s="1"/>
  <c r="BD430" i="7" s="1"/>
  <c r="BF430" i="7" s="1"/>
  <c r="BG430" i="7" s="1"/>
  <c r="BI430" i="7" s="1"/>
  <c r="BJ430" i="7" s="1"/>
  <c r="BL430" i="7" s="1"/>
  <c r="BM430" i="7" s="1"/>
  <c r="BO430" i="7" s="1"/>
  <c r="BP430" i="7" s="1"/>
  <c r="BR430" i="7" s="1"/>
  <c r="BS430" i="7" s="1"/>
  <c r="BU430" i="7" s="1"/>
  <c r="BV430" i="7" s="1"/>
  <c r="BX430" i="7" s="1"/>
  <c r="BY430" i="7" s="1"/>
  <c r="CA430" i="7" s="1"/>
  <c r="CB430" i="7" s="1"/>
  <c r="CD430" i="7" s="1"/>
  <c r="CE430" i="7" s="1"/>
  <c r="CG430" i="7" s="1"/>
  <c r="CH430" i="7" s="1"/>
  <c r="CJ430" i="7" s="1"/>
  <c r="CK430" i="7" s="1"/>
  <c r="CM430" i="7" s="1"/>
  <c r="CN430" i="7" s="1"/>
  <c r="CP430" i="7" s="1"/>
  <c r="CQ430" i="7" s="1"/>
  <c r="CS430" i="7" s="1"/>
  <c r="CT430" i="7" s="1"/>
  <c r="CV430" i="7" s="1"/>
  <c r="CW430" i="7" s="1"/>
  <c r="CY430" i="7" s="1"/>
  <c r="CZ430" i="7" s="1"/>
  <c r="DB430" i="7" s="1"/>
  <c r="DC430" i="7" s="1"/>
  <c r="DE430" i="7" s="1"/>
  <c r="DF430" i="7" s="1"/>
  <c r="DH430" i="7" s="1"/>
  <c r="DI430" i="7" s="1"/>
  <c r="DK430" i="7" s="1"/>
  <c r="DL430" i="7" s="1"/>
  <c r="DN430" i="7" s="1"/>
  <c r="DO430" i="7" s="1"/>
  <c r="DQ430" i="7" s="1"/>
  <c r="DR430" i="7" s="1"/>
  <c r="DT430" i="7" s="1"/>
  <c r="DU430" i="7" s="1"/>
  <c r="DW430" i="7" s="1"/>
  <c r="DX430" i="7" s="1"/>
  <c r="DZ430" i="7" s="1"/>
  <c r="EA430" i="7" s="1"/>
  <c r="EC430" i="7" s="1"/>
  <c r="ED430" i="7" s="1"/>
  <c r="EF430" i="7" s="1"/>
  <c r="EG430" i="7" s="1"/>
  <c r="EI430" i="7" s="1"/>
  <c r="EJ430" i="7" s="1"/>
  <c r="EL430" i="7" s="1"/>
  <c r="EM430" i="7" s="1"/>
  <c r="EO430" i="7" s="1"/>
  <c r="EP430" i="7" s="1"/>
  <c r="ER430" i="7" s="1"/>
  <c r="ES430" i="7" s="1"/>
  <c r="EU430" i="7" s="1"/>
  <c r="EV430" i="7" s="1"/>
  <c r="EX430" i="7" s="1"/>
  <c r="EY430" i="7" s="1"/>
  <c r="FA430" i="7" s="1"/>
  <c r="G435" i="7"/>
  <c r="H435" i="7" s="1"/>
  <c r="J435" i="7" s="1"/>
  <c r="K435" i="7" s="1"/>
  <c r="M435" i="7" s="1"/>
  <c r="N435" i="7" s="1"/>
  <c r="P435" i="7" s="1"/>
  <c r="Q435" i="7" s="1"/>
  <c r="S435" i="7" s="1"/>
  <c r="T435" i="7" s="1"/>
  <c r="V435" i="7" s="1"/>
  <c r="W435" i="7" s="1"/>
  <c r="Y435" i="7" s="1"/>
  <c r="Z435" i="7" s="1"/>
  <c r="AB435" i="7" s="1"/>
  <c r="AC435" i="7" s="1"/>
  <c r="AE435" i="7" s="1"/>
  <c r="AF435" i="7" s="1"/>
  <c r="AH435" i="7" s="1"/>
  <c r="AI435" i="7" s="1"/>
  <c r="AK435" i="7" s="1"/>
  <c r="AL435" i="7" s="1"/>
  <c r="AN435" i="7" s="1"/>
  <c r="AO435" i="7" s="1"/>
  <c r="AQ435" i="7" s="1"/>
  <c r="AR435" i="7" s="1"/>
  <c r="AT435" i="7" s="1"/>
  <c r="AU435" i="7" s="1"/>
  <c r="AW435" i="7" s="1"/>
  <c r="AX435" i="7" s="1"/>
  <c r="AZ435" i="7" s="1"/>
  <c r="BA435" i="7" s="1"/>
  <c r="BC435" i="7" s="1"/>
  <c r="BD435" i="7" s="1"/>
  <c r="BF435" i="7" s="1"/>
  <c r="BG435" i="7" s="1"/>
  <c r="BI435" i="7" s="1"/>
  <c r="BJ435" i="7" s="1"/>
  <c r="BL435" i="7" s="1"/>
  <c r="BM435" i="7" s="1"/>
  <c r="BO435" i="7" s="1"/>
  <c r="BP435" i="7" s="1"/>
  <c r="BR435" i="7" s="1"/>
  <c r="BS435" i="7" s="1"/>
  <c r="BU435" i="7" s="1"/>
  <c r="BV435" i="7" s="1"/>
  <c r="BX435" i="7" s="1"/>
  <c r="BY435" i="7" s="1"/>
  <c r="CA435" i="7" s="1"/>
  <c r="CB435" i="7" s="1"/>
  <c r="CD435" i="7" s="1"/>
  <c r="CE435" i="7" s="1"/>
  <c r="CG435" i="7" s="1"/>
  <c r="CH435" i="7" s="1"/>
  <c r="CJ435" i="7" s="1"/>
  <c r="CK435" i="7" s="1"/>
  <c r="CM435" i="7" s="1"/>
  <c r="CN435" i="7" s="1"/>
  <c r="CP435" i="7" s="1"/>
  <c r="CQ435" i="7" s="1"/>
  <c r="CS435" i="7" s="1"/>
  <c r="CT435" i="7" s="1"/>
  <c r="CV435" i="7" s="1"/>
  <c r="CW435" i="7" s="1"/>
  <c r="CY435" i="7" s="1"/>
  <c r="CZ435" i="7" s="1"/>
  <c r="DB435" i="7" s="1"/>
  <c r="DC435" i="7" s="1"/>
  <c r="DE435" i="7" s="1"/>
  <c r="DF435" i="7" s="1"/>
  <c r="DH435" i="7" s="1"/>
  <c r="DI435" i="7" s="1"/>
  <c r="DK435" i="7" s="1"/>
  <c r="DL435" i="7" s="1"/>
  <c r="DN435" i="7" s="1"/>
  <c r="DO435" i="7" s="1"/>
  <c r="DQ435" i="7" s="1"/>
  <c r="DR435" i="7" s="1"/>
  <c r="DT435" i="7" s="1"/>
  <c r="DU435" i="7" s="1"/>
  <c r="DW435" i="7" s="1"/>
  <c r="DX435" i="7" s="1"/>
  <c r="DZ435" i="7" s="1"/>
  <c r="EA435" i="7" s="1"/>
  <c r="EC435" i="7" s="1"/>
  <c r="ED435" i="7" s="1"/>
  <c r="EF435" i="7" s="1"/>
  <c r="EG435" i="7" s="1"/>
  <c r="EI435" i="7" s="1"/>
  <c r="EJ435" i="7" s="1"/>
  <c r="EL435" i="7" s="1"/>
  <c r="EM435" i="7" s="1"/>
  <c r="EO435" i="7" s="1"/>
  <c r="EP435" i="7" s="1"/>
  <c r="ER435" i="7" s="1"/>
  <c r="ES435" i="7" s="1"/>
  <c r="EU435" i="7" s="1"/>
  <c r="EV435" i="7" s="1"/>
  <c r="EX435" i="7" s="1"/>
  <c r="EY435" i="7" s="1"/>
  <c r="FA435" i="7" s="1"/>
  <c r="G440" i="7"/>
  <c r="H440" i="7" s="1"/>
  <c r="J440" i="7" s="1"/>
  <c r="K440" i="7" s="1"/>
  <c r="M440" i="7" s="1"/>
  <c r="N440" i="7" s="1"/>
  <c r="P440" i="7" s="1"/>
  <c r="Q440" i="7" s="1"/>
  <c r="S440" i="7" s="1"/>
  <c r="T440" i="7" s="1"/>
  <c r="V440" i="7" s="1"/>
  <c r="W440" i="7" s="1"/>
  <c r="Y440" i="7" s="1"/>
  <c r="Z440" i="7" s="1"/>
  <c r="AB440" i="7" s="1"/>
  <c r="AC440" i="7" s="1"/>
  <c r="AE440" i="7" s="1"/>
  <c r="AF440" i="7" s="1"/>
  <c r="AH440" i="7" s="1"/>
  <c r="AI440" i="7" s="1"/>
  <c r="AK440" i="7" s="1"/>
  <c r="AL440" i="7" s="1"/>
  <c r="AN440" i="7" s="1"/>
  <c r="AO440" i="7" s="1"/>
  <c r="AQ440" i="7" s="1"/>
  <c r="AR440" i="7" s="1"/>
  <c r="AT440" i="7" s="1"/>
  <c r="AU440" i="7" s="1"/>
  <c r="AW440" i="7" s="1"/>
  <c r="AX440" i="7" s="1"/>
  <c r="AZ440" i="7" s="1"/>
  <c r="BA440" i="7" s="1"/>
  <c r="BC440" i="7" s="1"/>
  <c r="BD440" i="7" s="1"/>
  <c r="BF440" i="7" s="1"/>
  <c r="BG440" i="7" s="1"/>
  <c r="BI440" i="7" s="1"/>
  <c r="BJ440" i="7" s="1"/>
  <c r="BL440" i="7" s="1"/>
  <c r="BM440" i="7" s="1"/>
  <c r="BO440" i="7" s="1"/>
  <c r="BP440" i="7" s="1"/>
  <c r="BR440" i="7" s="1"/>
  <c r="BS440" i="7" s="1"/>
  <c r="BU440" i="7" s="1"/>
  <c r="BV440" i="7" s="1"/>
  <c r="BX440" i="7" s="1"/>
  <c r="BY440" i="7" s="1"/>
  <c r="CA440" i="7" s="1"/>
  <c r="CB440" i="7" s="1"/>
  <c r="CD440" i="7" s="1"/>
  <c r="CE440" i="7" s="1"/>
  <c r="CG440" i="7" s="1"/>
  <c r="CH440" i="7" s="1"/>
  <c r="CJ440" i="7" s="1"/>
  <c r="CK440" i="7" s="1"/>
  <c r="CM440" i="7" s="1"/>
  <c r="CN440" i="7" s="1"/>
  <c r="CP440" i="7" s="1"/>
  <c r="CQ440" i="7" s="1"/>
  <c r="CS440" i="7" s="1"/>
  <c r="CT440" i="7" s="1"/>
  <c r="CV440" i="7" s="1"/>
  <c r="CW440" i="7" s="1"/>
  <c r="CY440" i="7" s="1"/>
  <c r="CZ440" i="7" s="1"/>
  <c r="DB440" i="7" s="1"/>
  <c r="DC440" i="7" s="1"/>
  <c r="DE440" i="7" s="1"/>
  <c r="DF440" i="7" s="1"/>
  <c r="DH440" i="7" s="1"/>
  <c r="DI440" i="7" s="1"/>
  <c r="DK440" i="7" s="1"/>
  <c r="DL440" i="7" s="1"/>
  <c r="DN440" i="7" s="1"/>
  <c r="DO440" i="7" s="1"/>
  <c r="DQ440" i="7" s="1"/>
  <c r="DR440" i="7" s="1"/>
  <c r="DT440" i="7" s="1"/>
  <c r="DU440" i="7" s="1"/>
  <c r="DW440" i="7" s="1"/>
  <c r="DX440" i="7" s="1"/>
  <c r="DZ440" i="7" s="1"/>
  <c r="EA440" i="7" s="1"/>
  <c r="EC440" i="7" s="1"/>
  <c r="ED440" i="7" s="1"/>
  <c r="EF440" i="7" s="1"/>
  <c r="EG440" i="7" s="1"/>
  <c r="EI440" i="7" s="1"/>
  <c r="EJ440" i="7" s="1"/>
  <c r="EL440" i="7" s="1"/>
  <c r="EM440" i="7" s="1"/>
  <c r="EO440" i="7" s="1"/>
  <c r="EP440" i="7" s="1"/>
  <c r="ER440" i="7" s="1"/>
  <c r="ES440" i="7" s="1"/>
  <c r="EU440" i="7" s="1"/>
  <c r="EV440" i="7" s="1"/>
  <c r="EX440" i="7" s="1"/>
  <c r="EY440" i="7" s="1"/>
  <c r="FA440" i="7" s="1"/>
  <c r="AW367" i="7"/>
  <c r="AV373" i="7"/>
  <c r="AW373" i="7" s="1"/>
  <c r="AN396" i="7"/>
  <c r="AN404" i="7" s="1"/>
  <c r="AM404" i="7" s="1"/>
  <c r="AO405" i="7"/>
  <c r="AQ405" i="7" s="1"/>
  <c r="AQ396" i="7"/>
  <c r="AQ404" i="7" s="1"/>
  <c r="AT396" i="7"/>
  <c r="AT404" i="7" s="1"/>
  <c r="AU396" i="7"/>
  <c r="AU403" i="7"/>
  <c r="AU367" i="7"/>
  <c r="AU378" i="7" s="1"/>
  <c r="AV367" i="7" s="1"/>
  <c r="AW402" i="7"/>
  <c r="AW403" i="7" s="1"/>
  <c r="AV403" i="7" s="1"/>
  <c r="AX402" i="7"/>
  <c r="AX403" i="7" s="1"/>
  <c r="AW370" i="7"/>
  <c r="AW371" i="7"/>
  <c r="AW372" i="7"/>
  <c r="AW374" i="7"/>
  <c r="AW375" i="7"/>
  <c r="AW376" i="7"/>
  <c r="AX373" i="7"/>
  <c r="AX444" i="7" s="1"/>
  <c r="AY370" i="7"/>
  <c r="AZ370" i="7" s="1"/>
  <c r="AY373" i="7"/>
  <c r="AZ371" i="7"/>
  <c r="AZ372" i="7"/>
  <c r="AZ374" i="7"/>
  <c r="AZ375" i="7"/>
  <c r="AZ376" i="7"/>
  <c r="BA370" i="7"/>
  <c r="BC370" i="7" s="1"/>
  <c r="BA371" i="7"/>
  <c r="BC371" i="7" s="1"/>
  <c r="BA372" i="7"/>
  <c r="BC372" i="7" s="1"/>
  <c r="BA375" i="7"/>
  <c r="BB375" i="7"/>
  <c r="BB444" i="7" s="1"/>
  <c r="BC373" i="7"/>
  <c r="BC374" i="7"/>
  <c r="BC376" i="7"/>
  <c r="BD370" i="7"/>
  <c r="BF370" i="7" s="1"/>
  <c r="BD375" i="7"/>
  <c r="BD386" i="7"/>
  <c r="BE386" i="7" s="1"/>
  <c r="BG386" i="7" s="1"/>
  <c r="BH386" i="7" s="1"/>
  <c r="BJ386" i="7" s="1"/>
  <c r="BK386" i="7" s="1"/>
  <c r="BE375" i="7"/>
  <c r="BE444" i="7" s="1"/>
  <c r="BF371" i="7"/>
  <c r="BF372" i="7"/>
  <c r="BF373" i="7"/>
  <c r="BF374" i="7"/>
  <c r="BF376" i="7"/>
  <c r="BG375" i="7"/>
  <c r="BI396" i="7"/>
  <c r="BH396" i="7" s="1"/>
  <c r="BH373" i="7"/>
  <c r="BI373" i="7" s="1"/>
  <c r="BH375" i="7"/>
  <c r="BJ396" i="7"/>
  <c r="BI370" i="7"/>
  <c r="BI371" i="7"/>
  <c r="BI372" i="7"/>
  <c r="BI374" i="7"/>
  <c r="BI376" i="7"/>
  <c r="BJ370" i="7"/>
  <c r="BJ375" i="7"/>
  <c r="BM396" i="7"/>
  <c r="BK370" i="7"/>
  <c r="BL371" i="7"/>
  <c r="BL372" i="7"/>
  <c r="BL373" i="7"/>
  <c r="BL374" i="7"/>
  <c r="BK375" i="7"/>
  <c r="BL376" i="7"/>
  <c r="BM375" i="7"/>
  <c r="BO375" i="7" s="1"/>
  <c r="BM376" i="7"/>
  <c r="BO376" i="7" s="1"/>
  <c r="BN370" i="7"/>
  <c r="BO370" i="7" s="1"/>
  <c r="BP396" i="7"/>
  <c r="BP403" i="7"/>
  <c r="BO371" i="7"/>
  <c r="BO372" i="7"/>
  <c r="BO373" i="7"/>
  <c r="BO374" i="7"/>
  <c r="BP370" i="7"/>
  <c r="BQ370" i="7"/>
  <c r="BR402" i="7"/>
  <c r="BQ402" i="7" s="1"/>
  <c r="BS396" i="7"/>
  <c r="BS403" i="7"/>
  <c r="BR371" i="7"/>
  <c r="BR372" i="7"/>
  <c r="BR373" i="7"/>
  <c r="BR374" i="7"/>
  <c r="BR375" i="7"/>
  <c r="BR376" i="7"/>
  <c r="BS398" i="7"/>
  <c r="BU367" i="7"/>
  <c r="BU389" i="7" s="1"/>
  <c r="BU398" i="7"/>
  <c r="BU390" i="7" s="1"/>
  <c r="BV396" i="7"/>
  <c r="BV403" i="7"/>
  <c r="BV402" i="7"/>
  <c r="BU370" i="7"/>
  <c r="BU371" i="7"/>
  <c r="BU372" i="7"/>
  <c r="BU373" i="7"/>
  <c r="BU374" i="7"/>
  <c r="BU375" i="7"/>
  <c r="BU376" i="7"/>
  <c r="BX402" i="7"/>
  <c r="BW402" i="7" s="1"/>
  <c r="BY396" i="7"/>
  <c r="BY403" i="7"/>
  <c r="BX370" i="7"/>
  <c r="BX371" i="7"/>
  <c r="BX372" i="7"/>
  <c r="BX373" i="7"/>
  <c r="BX374" i="7"/>
  <c r="BX375" i="7"/>
  <c r="BX376" i="7"/>
  <c r="BY370" i="7"/>
  <c r="CA370" i="7" s="1"/>
  <c r="BY402" i="7"/>
  <c r="CA402" i="7" s="1"/>
  <c r="BZ402" i="7" s="1"/>
  <c r="CB396" i="7"/>
  <c r="CB403" i="7"/>
  <c r="CB373" i="7"/>
  <c r="CB389" i="7" s="1"/>
  <c r="CB402" i="7"/>
  <c r="CC370" i="7"/>
  <c r="CD402" i="7"/>
  <c r="CC402" i="7" s="1"/>
  <c r="CE396" i="7"/>
  <c r="CE403" i="7"/>
  <c r="CD371" i="7"/>
  <c r="CD372" i="7"/>
  <c r="CD374" i="7"/>
  <c r="CD375" i="7"/>
  <c r="CD376" i="7"/>
  <c r="CE373" i="7"/>
  <c r="CG373" i="7" s="1"/>
  <c r="CE402" i="7"/>
  <c r="CF389" i="7"/>
  <c r="CG402" i="7"/>
  <c r="CF402" i="7" s="1"/>
  <c r="CH396" i="7"/>
  <c r="CH403" i="7"/>
  <c r="CH389" i="7"/>
  <c r="CH402" i="7"/>
  <c r="CJ402" i="7" s="1"/>
  <c r="CI402" i="7" s="1"/>
  <c r="CH378" i="7"/>
  <c r="CI367" i="7" s="1"/>
  <c r="CI370" i="7"/>
  <c r="CJ370" i="7" s="1"/>
  <c r="CI381" i="7"/>
  <c r="CF370" i="7"/>
  <c r="CG370" i="7" s="1"/>
  <c r="CG371" i="7"/>
  <c r="CG372" i="7"/>
  <c r="CG374" i="7"/>
  <c r="CG375" i="7"/>
  <c r="CF376" i="7"/>
  <c r="CG376" i="7" s="1"/>
  <c r="CK396" i="7"/>
  <c r="CK403" i="7"/>
  <c r="CJ371" i="7"/>
  <c r="CJ372" i="7"/>
  <c r="CJ373" i="7"/>
  <c r="CJ374" i="7"/>
  <c r="CJ375" i="7"/>
  <c r="CJ376" i="7"/>
  <c r="CK402" i="7"/>
  <c r="CM402" i="7" s="1"/>
  <c r="CL402" i="7" s="1"/>
  <c r="CN396" i="7"/>
  <c r="CN403" i="7"/>
  <c r="CN402" i="7"/>
  <c r="CO389" i="7"/>
  <c r="CP402" i="7"/>
  <c r="CO402" i="7" s="1"/>
  <c r="CQ396" i="7"/>
  <c r="CQ403" i="7"/>
  <c r="CQ402" i="7"/>
  <c r="CS402" i="7" s="1"/>
  <c r="CQ378" i="7"/>
  <c r="CR367" i="7" s="1"/>
  <c r="CR370" i="7"/>
  <c r="CS370" i="7" s="1"/>
  <c r="CT396" i="7"/>
  <c r="CT403" i="7"/>
  <c r="CT378" i="7"/>
  <c r="CU367" i="7" s="1"/>
  <c r="CU378" i="7" s="1"/>
  <c r="CW396" i="7"/>
  <c r="CW403" i="7"/>
  <c r="CS367" i="7"/>
  <c r="CS371" i="7"/>
  <c r="CS372" i="7"/>
  <c r="CS373" i="7"/>
  <c r="CS374" i="7"/>
  <c r="CS375" i="7"/>
  <c r="CS376" i="7"/>
  <c r="CV370" i="7"/>
  <c r="CV371" i="7"/>
  <c r="CV372" i="7"/>
  <c r="CV373" i="7"/>
  <c r="CV374" i="7"/>
  <c r="CV375" i="7"/>
  <c r="CV376" i="7"/>
  <c r="CX370" i="7"/>
  <c r="CY370" i="7" s="1"/>
  <c r="CZ396" i="7"/>
  <c r="CZ403" i="7"/>
  <c r="CY371" i="7"/>
  <c r="CY372" i="7"/>
  <c r="CY373" i="7"/>
  <c r="CY374" i="7"/>
  <c r="CY375" i="7"/>
  <c r="CY376" i="7"/>
  <c r="DA370" i="7"/>
  <c r="DB370" i="7" s="1"/>
  <c r="DB402" i="7"/>
  <c r="DA402" i="7" s="1"/>
  <c r="DC396" i="7"/>
  <c r="DC403" i="7"/>
  <c r="DB371" i="7"/>
  <c r="DB372" i="7"/>
  <c r="DB373" i="7"/>
  <c r="DB374" i="7"/>
  <c r="DB375" i="7"/>
  <c r="DB376" i="7"/>
  <c r="DC381" i="7"/>
  <c r="DF381" i="7" s="1"/>
  <c r="DD370" i="7"/>
  <c r="DE370" i="7" s="1"/>
  <c r="DD398" i="7"/>
  <c r="DD390" i="7" s="1"/>
  <c r="DE390" i="7"/>
  <c r="DF396" i="7"/>
  <c r="DF403" i="7"/>
  <c r="DE371" i="7"/>
  <c r="DE372" i="7"/>
  <c r="DE373" i="7"/>
  <c r="DE374" i="7"/>
  <c r="DE375" i="7"/>
  <c r="DE376" i="7"/>
  <c r="DG398" i="7"/>
  <c r="DG390" i="7" s="1"/>
  <c r="DH390" i="7"/>
  <c r="DI396" i="7"/>
  <c r="DI403" i="7"/>
  <c r="DI391" i="7"/>
  <c r="DJ367" i="7"/>
  <c r="DJ387" i="7"/>
  <c r="DH371" i="7"/>
  <c r="DH372" i="7"/>
  <c r="DH373" i="7"/>
  <c r="DH374" i="7"/>
  <c r="DH375" i="7"/>
  <c r="DH376" i="7"/>
  <c r="DL396" i="7"/>
  <c r="DL403" i="7"/>
  <c r="DK370" i="7"/>
  <c r="DK371" i="7"/>
  <c r="DK372" i="7"/>
  <c r="DK373" i="7"/>
  <c r="DK374" i="7"/>
  <c r="DK375" i="7"/>
  <c r="DO396" i="7"/>
  <c r="DO403" i="7"/>
  <c r="DN370" i="7"/>
  <c r="DN371" i="7"/>
  <c r="DN372" i="7"/>
  <c r="DN373" i="7"/>
  <c r="DN374" i="7"/>
  <c r="DN375" i="7"/>
  <c r="DR396" i="7"/>
  <c r="DR403" i="7"/>
  <c r="DQ370" i="7"/>
  <c r="DQ371" i="7"/>
  <c r="DQ372" i="7"/>
  <c r="DQ373" i="7"/>
  <c r="DQ374" i="7"/>
  <c r="DQ375" i="7"/>
  <c r="DU396" i="7"/>
  <c r="DU403" i="7"/>
  <c r="DT370" i="7"/>
  <c r="DT371" i="7"/>
  <c r="DT372" i="7"/>
  <c r="DT373" i="7"/>
  <c r="DT374" i="7"/>
  <c r="DT375" i="7"/>
  <c r="DX396" i="7"/>
  <c r="DX403" i="7"/>
  <c r="DW370" i="7"/>
  <c r="DW371" i="7"/>
  <c r="DW372" i="7"/>
  <c r="DW373" i="7"/>
  <c r="DW374" i="7"/>
  <c r="DW375" i="7"/>
  <c r="EA396" i="7"/>
  <c r="EA403" i="7"/>
  <c r="DZ371" i="7"/>
  <c r="DZ372" i="7"/>
  <c r="DZ373" i="7"/>
  <c r="DZ374" i="7"/>
  <c r="DZ375" i="7"/>
  <c r="ED396" i="7"/>
  <c r="ED403" i="7"/>
  <c r="EC371" i="7"/>
  <c r="EC372" i="7"/>
  <c r="EC373" i="7"/>
  <c r="EC374" i="7"/>
  <c r="EC375" i="7"/>
  <c r="EG396" i="7"/>
  <c r="EG403" i="7"/>
  <c r="EF371" i="7"/>
  <c r="EF372" i="7"/>
  <c r="EF373" i="7"/>
  <c r="EF374" i="7"/>
  <c r="EF375" i="7"/>
  <c r="EJ396" i="7"/>
  <c r="EJ403" i="7"/>
  <c r="EI370" i="7"/>
  <c r="EI371" i="7"/>
  <c r="EI372" i="7"/>
  <c r="EI373" i="7"/>
  <c r="EI374" i="7"/>
  <c r="EI375" i="7"/>
  <c r="EM396" i="7"/>
  <c r="EM403" i="7"/>
  <c r="EL370" i="7"/>
  <c r="EL371" i="7"/>
  <c r="EL372" i="7"/>
  <c r="EL373" i="7"/>
  <c r="EL374" i="7"/>
  <c r="EL375" i="7"/>
  <c r="EP396" i="7"/>
  <c r="EP403" i="7"/>
  <c r="EO370" i="7"/>
  <c r="EO371" i="7"/>
  <c r="EO372" i="7"/>
  <c r="EO373" i="7"/>
  <c r="EO374" i="7"/>
  <c r="EO375" i="7"/>
  <c r="AV392" i="7"/>
  <c r="AU392" i="7" s="1"/>
  <c r="AU402" i="7"/>
  <c r="AY392" i="7"/>
  <c r="AX392" i="7" s="1"/>
  <c r="BP402" i="7"/>
  <c r="CH393" i="7"/>
  <c r="CH20" i="7" s="1"/>
  <c r="CW390" i="7"/>
  <c r="CY393" i="7"/>
  <c r="CY20" i="7" s="1"/>
  <c r="H10" i="9" s="1"/>
  <c r="CZ390" i="7"/>
  <c r="AW93" i="7"/>
  <c r="AW94" i="7"/>
  <c r="AW117" i="7"/>
  <c r="AW118" i="7"/>
  <c r="AX93" i="7"/>
  <c r="AX94" i="7"/>
  <c r="AX117" i="7"/>
  <c r="AX118" i="7"/>
  <c r="AZ93" i="7"/>
  <c r="AZ94" i="7"/>
  <c r="AZ117" i="7"/>
  <c r="AZ118" i="7"/>
  <c r="BA93" i="7"/>
  <c r="BA94" i="7"/>
  <c r="BA117" i="7"/>
  <c r="BA118" i="7"/>
  <c r="BC93" i="7"/>
  <c r="BC94" i="7"/>
  <c r="BC117" i="7"/>
  <c r="BC118" i="7"/>
  <c r="BD93" i="7"/>
  <c r="BD94" i="7"/>
  <c r="BD117" i="7"/>
  <c r="BD118" i="7"/>
  <c r="BF93" i="7"/>
  <c r="BF94" i="7"/>
  <c r="BF117" i="7"/>
  <c r="BF118" i="7"/>
  <c r="BG93" i="7"/>
  <c r="BG94" i="7"/>
  <c r="BG117" i="7"/>
  <c r="BG118" i="7"/>
  <c r="BI93" i="7"/>
  <c r="BI94" i="7"/>
  <c r="BI117" i="7"/>
  <c r="BI118" i="7"/>
  <c r="BJ93" i="7"/>
  <c r="BJ94" i="7"/>
  <c r="BJ117" i="7"/>
  <c r="BJ118" i="7"/>
  <c r="BL396" i="7"/>
  <c r="BK396" i="7" s="1"/>
  <c r="BM93" i="7"/>
  <c r="BM94" i="7"/>
  <c r="BM117" i="7"/>
  <c r="BM118" i="7"/>
  <c r="BO93" i="7"/>
  <c r="BO94" i="7"/>
  <c r="BO117" i="7"/>
  <c r="BO118" i="7"/>
  <c r="BP93" i="7"/>
  <c r="BP94" i="7"/>
  <c r="BP117" i="7"/>
  <c r="BP118" i="7"/>
  <c r="BR93" i="7"/>
  <c r="BR94" i="7"/>
  <c r="BR117" i="7"/>
  <c r="BR118" i="7"/>
  <c r="BS93" i="7"/>
  <c r="BS94" i="7"/>
  <c r="BS117" i="7"/>
  <c r="BS118" i="7"/>
  <c r="BU93" i="7"/>
  <c r="BU94" i="7"/>
  <c r="BU117" i="7"/>
  <c r="BU118" i="7"/>
  <c r="BV93" i="7"/>
  <c r="BV94" i="7"/>
  <c r="BV117" i="7"/>
  <c r="BV118" i="7"/>
  <c r="BX93" i="7"/>
  <c r="BX94" i="7"/>
  <c r="BX117" i="7"/>
  <c r="BX118" i="7"/>
  <c r="BY93" i="7"/>
  <c r="BY94" i="7"/>
  <c r="BY117" i="7"/>
  <c r="BY118" i="7"/>
  <c r="CA93" i="7"/>
  <c r="CA94" i="7"/>
  <c r="CA117" i="7"/>
  <c r="CA118" i="7"/>
  <c r="CB93" i="7"/>
  <c r="CB94" i="7"/>
  <c r="CB117" i="7"/>
  <c r="CB118" i="7"/>
  <c r="CD93" i="7"/>
  <c r="CD94" i="7"/>
  <c r="CD117" i="7"/>
  <c r="CD118" i="7"/>
  <c r="CE93" i="7"/>
  <c r="CE94" i="7"/>
  <c r="CE117" i="7"/>
  <c r="CE118" i="7"/>
  <c r="CG93" i="7"/>
  <c r="CG94" i="7"/>
  <c r="CG117" i="7"/>
  <c r="CG118" i="7"/>
  <c r="CH93" i="7"/>
  <c r="CH94" i="7"/>
  <c r="CH117" i="7"/>
  <c r="CH118" i="7"/>
  <c r="CJ93" i="7"/>
  <c r="CJ94" i="7"/>
  <c r="CJ117" i="7"/>
  <c r="CJ118" i="7"/>
  <c r="CK93" i="7"/>
  <c r="CK94" i="7"/>
  <c r="CK117" i="7"/>
  <c r="CK118" i="7"/>
  <c r="CM93" i="7"/>
  <c r="CM94" i="7"/>
  <c r="CM117" i="7"/>
  <c r="CM118" i="7"/>
  <c r="CN93" i="7"/>
  <c r="CN94" i="7"/>
  <c r="CN117" i="7"/>
  <c r="CN118" i="7"/>
  <c r="CP93" i="7"/>
  <c r="CP94" i="7"/>
  <c r="CP117" i="7"/>
  <c r="CP118" i="7"/>
  <c r="CQ93" i="7"/>
  <c r="CQ94" i="7"/>
  <c r="CQ117" i="7"/>
  <c r="CQ118" i="7"/>
  <c r="CS93" i="7"/>
  <c r="CS94" i="7"/>
  <c r="CS117" i="7"/>
  <c r="CS118" i="7"/>
  <c r="CT93" i="7"/>
  <c r="CT94" i="7"/>
  <c r="CT117" i="7"/>
  <c r="CT118" i="7"/>
  <c r="CV95" i="7"/>
  <c r="CV94" i="7"/>
  <c r="CV117" i="7"/>
  <c r="CV118" i="7"/>
  <c r="CW93" i="7"/>
  <c r="CW94" i="7"/>
  <c r="CW117" i="7"/>
  <c r="CW118" i="7"/>
  <c r="CY93" i="7"/>
  <c r="CY94" i="7"/>
  <c r="CY117" i="7"/>
  <c r="CY118" i="7"/>
  <c r="CZ93" i="7"/>
  <c r="CZ94" i="7"/>
  <c r="CZ117" i="7"/>
  <c r="CZ118" i="7"/>
  <c r="DB93" i="7"/>
  <c r="DB94" i="7"/>
  <c r="DB117" i="7"/>
  <c r="DB118" i="7"/>
  <c r="DC93" i="7"/>
  <c r="DC94" i="7"/>
  <c r="DC117" i="7"/>
  <c r="DC118" i="7"/>
  <c r="DE93" i="7"/>
  <c r="DE94" i="7"/>
  <c r="DE117" i="7"/>
  <c r="DE118" i="7"/>
  <c r="DF93" i="7"/>
  <c r="DF94" i="7"/>
  <c r="DF117" i="7"/>
  <c r="DF118" i="7"/>
  <c r="DH93" i="7"/>
  <c r="DH94" i="7"/>
  <c r="DH117" i="7"/>
  <c r="DH118" i="7"/>
  <c r="DI93" i="7"/>
  <c r="DI94" i="7"/>
  <c r="DI117" i="7"/>
  <c r="DI118" i="7"/>
  <c r="DK93" i="7"/>
  <c r="DK94" i="7"/>
  <c r="DK117" i="7"/>
  <c r="DK118" i="7"/>
  <c r="DL93" i="7"/>
  <c r="DL94" i="7"/>
  <c r="DL117" i="7"/>
  <c r="DL118" i="7"/>
  <c r="DN93" i="7"/>
  <c r="DN94" i="7"/>
  <c r="DN117" i="7"/>
  <c r="DN118" i="7"/>
  <c r="DO93" i="7"/>
  <c r="DO94" i="7"/>
  <c r="DO117" i="7"/>
  <c r="DO118" i="7"/>
  <c r="DQ93" i="7"/>
  <c r="DQ94" i="7"/>
  <c r="DQ117" i="7"/>
  <c r="DQ118" i="7"/>
  <c r="DR93" i="7"/>
  <c r="DR94" i="7"/>
  <c r="DR117" i="7"/>
  <c r="DR118" i="7"/>
  <c r="DT93" i="7"/>
  <c r="DT94" i="7"/>
  <c r="DT117" i="7"/>
  <c r="DT118" i="7"/>
  <c r="DU93" i="7"/>
  <c r="DV93" i="7" s="1"/>
  <c r="DU94" i="7"/>
  <c r="DV94" i="7" s="1"/>
  <c r="DU117" i="7"/>
  <c r="DV117" i="7" s="1"/>
  <c r="DU118" i="7"/>
  <c r="DV118" i="7" s="1"/>
  <c r="DZ93" i="7"/>
  <c r="DZ94" i="7"/>
  <c r="DZ117" i="7"/>
  <c r="DZ118" i="7"/>
  <c r="EA93" i="7"/>
  <c r="EA94" i="7"/>
  <c r="EA117" i="7"/>
  <c r="EA118" i="7"/>
  <c r="EC93" i="7"/>
  <c r="EC94" i="7"/>
  <c r="EC117" i="7"/>
  <c r="EC118" i="7"/>
  <c r="ED93" i="7"/>
  <c r="ED94" i="7"/>
  <c r="ED117" i="7"/>
  <c r="ED118" i="7"/>
  <c r="EF93" i="7"/>
  <c r="EF94" i="7"/>
  <c r="EF117" i="7"/>
  <c r="EF118" i="7"/>
  <c r="EG93" i="7"/>
  <c r="EG94" i="7"/>
  <c r="EG117" i="7"/>
  <c r="EG118" i="7"/>
  <c r="EI93" i="7"/>
  <c r="EI94" i="7"/>
  <c r="EI117" i="7"/>
  <c r="EI118" i="7"/>
  <c r="EJ93" i="7"/>
  <c r="EJ94" i="7"/>
  <c r="EJ117" i="7"/>
  <c r="EJ118" i="7"/>
  <c r="EL93" i="7"/>
  <c r="EL94" i="7"/>
  <c r="EL117" i="7"/>
  <c r="EL118" i="7"/>
  <c r="EM93" i="7"/>
  <c r="EM94" i="7"/>
  <c r="EM117" i="7"/>
  <c r="EM118" i="7"/>
  <c r="EO93" i="7"/>
  <c r="EO94" i="7"/>
  <c r="EO117" i="7"/>
  <c r="EO118" i="7"/>
  <c r="EP93" i="7"/>
  <c r="EP94" i="7"/>
  <c r="EP117" i="7"/>
  <c r="EP118" i="7"/>
  <c r="ER93" i="7"/>
  <c r="ER94" i="7"/>
  <c r="ER117" i="7"/>
  <c r="ER118" i="7"/>
  <c r="AK266" i="7"/>
  <c r="AJ266" i="7" s="1"/>
  <c r="AK286" i="7"/>
  <c r="AJ286" i="7" s="1"/>
  <c r="AJ248" i="7"/>
  <c r="AK75" i="7"/>
  <c r="AK73" i="7" s="1"/>
  <c r="AK179" i="7" s="1"/>
  <c r="AK65" i="7"/>
  <c r="AK57" i="7"/>
  <c r="AI75" i="7"/>
  <c r="AI73" i="7" s="1"/>
  <c r="AI179" i="7" s="1"/>
  <c r="AI65" i="7"/>
  <c r="AI63" i="7" s="1"/>
  <c r="AI57" i="7"/>
  <c r="AN266" i="7"/>
  <c r="AM266" i="7" s="1"/>
  <c r="AN286" i="7"/>
  <c r="AM248" i="7"/>
  <c r="AN75" i="7"/>
  <c r="AN73" i="7" s="1"/>
  <c r="AN325" i="7" s="1"/>
  <c r="AN145" i="8" s="1"/>
  <c r="AN65" i="7"/>
  <c r="AN63" i="7" s="1"/>
  <c r="AN57" i="7"/>
  <c r="AN26" i="8" s="1"/>
  <c r="AL75" i="7"/>
  <c r="AL65" i="7"/>
  <c r="AL63" i="7" s="1"/>
  <c r="AL27" i="8" s="1"/>
  <c r="AL57" i="7"/>
  <c r="AO266" i="7"/>
  <c r="AO286" i="7"/>
  <c r="AP248" i="7"/>
  <c r="AO75" i="7"/>
  <c r="AO73" i="7" s="1"/>
  <c r="AO162" i="7" s="1"/>
  <c r="AO65" i="7"/>
  <c r="AO57" i="7"/>
  <c r="AQ266" i="7"/>
  <c r="AP266" i="7" s="1"/>
  <c r="AQ286" i="7"/>
  <c r="AP286" i="7" s="1"/>
  <c r="AQ75" i="7"/>
  <c r="AQ65" i="7"/>
  <c r="AQ63" i="7" s="1"/>
  <c r="AQ57" i="7"/>
  <c r="AQ26" i="8" s="1"/>
  <c r="AR266" i="7"/>
  <c r="AR286" i="7"/>
  <c r="AS248" i="7"/>
  <c r="AR75" i="7"/>
  <c r="AR65" i="7"/>
  <c r="AR63" i="7" s="1"/>
  <c r="AR27" i="8" s="1"/>
  <c r="AR57" i="7"/>
  <c r="AT266" i="7"/>
  <c r="AS266" i="7" s="1"/>
  <c r="AT286" i="7"/>
  <c r="AS286" i="7" s="1"/>
  <c r="AT75" i="7"/>
  <c r="AT325" i="7" s="1"/>
  <c r="AT65" i="7"/>
  <c r="AT57" i="7"/>
  <c r="AT26" i="8" s="1"/>
  <c r="AU266" i="7"/>
  <c r="AU286" i="7"/>
  <c r="AV248" i="7"/>
  <c r="AU75" i="7"/>
  <c r="AU325" i="7" s="1"/>
  <c r="AU57" i="7"/>
  <c r="AW266" i="7"/>
  <c r="AV266" i="7" s="1"/>
  <c r="AW286" i="7"/>
  <c r="AW75" i="7"/>
  <c r="AW325" i="7" s="1"/>
  <c r="AW57" i="7"/>
  <c r="AX266" i="7"/>
  <c r="AX286" i="7"/>
  <c r="AY248" i="7"/>
  <c r="AX75" i="7"/>
  <c r="AX57" i="7"/>
  <c r="AX26" i="8" s="1"/>
  <c r="AZ266" i="7"/>
  <c r="AY266" i="7" s="1"/>
  <c r="AZ286" i="7"/>
  <c r="AY286" i="7" s="1"/>
  <c r="AZ75" i="7"/>
  <c r="AZ57" i="7"/>
  <c r="AZ26" i="8" s="1"/>
  <c r="BA266" i="7"/>
  <c r="BA286" i="7"/>
  <c r="BB248" i="7"/>
  <c r="BA75" i="7"/>
  <c r="BA57" i="7"/>
  <c r="BC266" i="7"/>
  <c r="BB266" i="7" s="1"/>
  <c r="BC286" i="7"/>
  <c r="BB286" i="7" s="1"/>
  <c r="BC75" i="7"/>
  <c r="BC57" i="7"/>
  <c r="BD266" i="7"/>
  <c r="BD286" i="7"/>
  <c r="BE248" i="7"/>
  <c r="BD75" i="7"/>
  <c r="BD325" i="7" s="1"/>
  <c r="BD60" i="7"/>
  <c r="BF266" i="7"/>
  <c r="BE266" i="7" s="1"/>
  <c r="BF286" i="7"/>
  <c r="BE286" i="7" s="1"/>
  <c r="BF75" i="7"/>
  <c r="BF58" i="7"/>
  <c r="BF60" i="7"/>
  <c r="BG266" i="7"/>
  <c r="BG286" i="7"/>
  <c r="BH248" i="7"/>
  <c r="BG75" i="7"/>
  <c r="BG74" i="7" s="1"/>
  <c r="BG60" i="7"/>
  <c r="BG57" i="7" s="1"/>
  <c r="BI266" i="7"/>
  <c r="BH266" i="7" s="1"/>
  <c r="BI286" i="7"/>
  <c r="BH286" i="7" s="1"/>
  <c r="BI75" i="7"/>
  <c r="BI4" i="8" s="1"/>
  <c r="BI10" i="8" s="1"/>
  <c r="BI57" i="7"/>
  <c r="BJ266" i="7"/>
  <c r="BJ286" i="7"/>
  <c r="BK248" i="7"/>
  <c r="BJ75" i="7"/>
  <c r="BJ325" i="7" s="1"/>
  <c r="BJ60" i="7"/>
  <c r="BJ57" i="7" s="1"/>
  <c r="BO266" i="7"/>
  <c r="BN266" i="7" s="1"/>
  <c r="BO286" i="7"/>
  <c r="BO76" i="7"/>
  <c r="BO105" i="8" s="1"/>
  <c r="BO58" i="7"/>
  <c r="BP266" i="7"/>
  <c r="BP286" i="7"/>
  <c r="BQ248" i="7"/>
  <c r="BP75" i="7"/>
  <c r="BP60" i="7"/>
  <c r="BP57" i="7" s="1"/>
  <c r="BR266" i="7"/>
  <c r="BQ266" i="7" s="1"/>
  <c r="BR286" i="7"/>
  <c r="BQ286" i="7" s="1"/>
  <c r="BR75" i="7"/>
  <c r="BR325" i="7" s="1"/>
  <c r="BR71" i="7"/>
  <c r="BR125" i="8" s="1"/>
  <c r="BR58" i="7"/>
  <c r="BQ58" i="7" s="1"/>
  <c r="BR60" i="7"/>
  <c r="BS266" i="7"/>
  <c r="BS286" i="7"/>
  <c r="BT248" i="7"/>
  <c r="BS75" i="7"/>
  <c r="BS71" i="7"/>
  <c r="BS125" i="8" s="1"/>
  <c r="BS60" i="7"/>
  <c r="BU266" i="7"/>
  <c r="BT266" i="7" s="1"/>
  <c r="BU286" i="7"/>
  <c r="BT286" i="7" s="1"/>
  <c r="BU75" i="7"/>
  <c r="BU325" i="7" s="1"/>
  <c r="BU71" i="7"/>
  <c r="BU60" i="7"/>
  <c r="BU57" i="7" s="1"/>
  <c r="BV266" i="7"/>
  <c r="BV286" i="7"/>
  <c r="BW248" i="7"/>
  <c r="BV75" i="7"/>
  <c r="BV4" i="8" s="1"/>
  <c r="BV10" i="8" s="1"/>
  <c r="BV71" i="7"/>
  <c r="BV125" i="8" s="1"/>
  <c r="BV64" i="7"/>
  <c r="BV67" i="7"/>
  <c r="BV68" i="7"/>
  <c r="BV60" i="7"/>
  <c r="BX268" i="7"/>
  <c r="BW268" i="7" s="1"/>
  <c r="BX269" i="7"/>
  <c r="BW269" i="7" s="1"/>
  <c r="BX270" i="7"/>
  <c r="BW270" i="7" s="1"/>
  <c r="BX271" i="7"/>
  <c r="BW271" i="7" s="1"/>
  <c r="BX272" i="7"/>
  <c r="BW272" i="7" s="1"/>
  <c r="BX288" i="7"/>
  <c r="BW288" i="7" s="1"/>
  <c r="BX289" i="7"/>
  <c r="BW289" i="7" s="1"/>
  <c r="BX290" i="7"/>
  <c r="BW290" i="7" s="1"/>
  <c r="BX291" i="7"/>
  <c r="BW291" i="7" s="1"/>
  <c r="BX292" i="7"/>
  <c r="BW292" i="7" s="1"/>
  <c r="BX75" i="7"/>
  <c r="BX71" i="7"/>
  <c r="BX64" i="7"/>
  <c r="BX67" i="7"/>
  <c r="BX68" i="7"/>
  <c r="BX60" i="7"/>
  <c r="BY266" i="7"/>
  <c r="BY286" i="7"/>
  <c r="BZ248" i="7"/>
  <c r="BY75" i="7"/>
  <c r="BY325" i="7" s="1"/>
  <c r="BY71" i="7"/>
  <c r="BY64" i="7"/>
  <c r="BY67" i="7"/>
  <c r="BY68" i="7"/>
  <c r="BY60" i="7"/>
  <c r="CA268" i="7"/>
  <c r="BZ268" i="7" s="1"/>
  <c r="CA269" i="7"/>
  <c r="BZ269" i="7" s="1"/>
  <c r="CA270" i="7"/>
  <c r="BZ270" i="7" s="1"/>
  <c r="CA271" i="7"/>
  <c r="BZ271" i="7" s="1"/>
  <c r="CA272" i="7"/>
  <c r="BZ272" i="7" s="1"/>
  <c r="CA288" i="7"/>
  <c r="BZ288" i="7" s="1"/>
  <c r="CA289" i="7"/>
  <c r="BZ289" i="7" s="1"/>
  <c r="CA290" i="7"/>
  <c r="BZ290" i="7" s="1"/>
  <c r="CA292" i="7"/>
  <c r="BZ292" i="7" s="1"/>
  <c r="CA71" i="7"/>
  <c r="CA64" i="7"/>
  <c r="CA67" i="7"/>
  <c r="CA68" i="7"/>
  <c r="CA60" i="7"/>
  <c r="CB266" i="7"/>
  <c r="CB286" i="7"/>
  <c r="CC248" i="7"/>
  <c r="CB75" i="7"/>
  <c r="CB71" i="7"/>
  <c r="CB64" i="7"/>
  <c r="CB67" i="7"/>
  <c r="CB68" i="7"/>
  <c r="CB60" i="7"/>
  <c r="CD268" i="7"/>
  <c r="CC268" i="7" s="1"/>
  <c r="CD269" i="7"/>
  <c r="CC269" i="7" s="1"/>
  <c r="CD270" i="7"/>
  <c r="CC270" i="7" s="1"/>
  <c r="CD271" i="7"/>
  <c r="CC271" i="7" s="1"/>
  <c r="CD272" i="7"/>
  <c r="CC272" i="7" s="1"/>
  <c r="CD288" i="7"/>
  <c r="CC288" i="7" s="1"/>
  <c r="CD289" i="7"/>
  <c r="CC289" i="7" s="1"/>
  <c r="CD290" i="7"/>
  <c r="CC290" i="7" s="1"/>
  <c r="CD291" i="7"/>
  <c r="CC291" i="7" s="1"/>
  <c r="CC179" i="8" s="1"/>
  <c r="CD292" i="7"/>
  <c r="CC292" i="7" s="1"/>
  <c r="CD75" i="7"/>
  <c r="CD71" i="7"/>
  <c r="CD64" i="7"/>
  <c r="CD67" i="7"/>
  <c r="CD68" i="7"/>
  <c r="CD60" i="7"/>
  <c r="CE266" i="7"/>
  <c r="CE286" i="7"/>
  <c r="CF248" i="7"/>
  <c r="CE75" i="7"/>
  <c r="CE4" i="8" s="1"/>
  <c r="CE10" i="8" s="1"/>
  <c r="CE71" i="7"/>
  <c r="CE64" i="7"/>
  <c r="CE67" i="7"/>
  <c r="CE68" i="7"/>
  <c r="CE60" i="7"/>
  <c r="CG268" i="7"/>
  <c r="CG269" i="7"/>
  <c r="CF269" i="7" s="1"/>
  <c r="CG270" i="7"/>
  <c r="CH270" i="7" s="1"/>
  <c r="CJ270" i="7" s="1"/>
  <c r="CG271" i="7"/>
  <c r="CG288" i="7"/>
  <c r="CF288" i="7" s="1"/>
  <c r="CG289" i="7"/>
  <c r="CH289" i="7" s="1"/>
  <c r="CJ289" i="7" s="1"/>
  <c r="CK289" i="7" s="1"/>
  <c r="CM289" i="7" s="1"/>
  <c r="CN289" i="7" s="1"/>
  <c r="CP289" i="7" s="1"/>
  <c r="CQ289" i="7" s="1"/>
  <c r="CS289" i="7" s="1"/>
  <c r="CT289" i="7" s="1"/>
  <c r="CV289" i="7" s="1"/>
  <c r="CW289" i="7" s="1"/>
  <c r="CY289" i="7" s="1"/>
  <c r="CZ289" i="7" s="1"/>
  <c r="DB289" i="7" s="1"/>
  <c r="DC289" i="7" s="1"/>
  <c r="DE289" i="7" s="1"/>
  <c r="DF289" i="7" s="1"/>
  <c r="DH289" i="7" s="1"/>
  <c r="DI289" i="7" s="1"/>
  <c r="DK289" i="7" s="1"/>
  <c r="DL289" i="7" s="1"/>
  <c r="DN289" i="7" s="1"/>
  <c r="DO289" i="7" s="1"/>
  <c r="DQ289" i="7" s="1"/>
  <c r="DR289" i="7" s="1"/>
  <c r="DT289" i="7" s="1"/>
  <c r="DU289" i="7" s="1"/>
  <c r="CG290" i="7"/>
  <c r="CG292" i="7"/>
  <c r="CG71" i="7"/>
  <c r="CG64" i="7"/>
  <c r="CG67" i="7"/>
  <c r="CG68" i="7"/>
  <c r="CG60" i="7"/>
  <c r="CH267" i="7"/>
  <c r="CH291" i="7"/>
  <c r="CH179" i="8" s="1"/>
  <c r="CJ248" i="7"/>
  <c r="CI248" i="7" s="1"/>
  <c r="CH75" i="7"/>
  <c r="CH179" i="7" s="1"/>
  <c r="CH71" i="7"/>
  <c r="CH64" i="7"/>
  <c r="CH67" i="7"/>
  <c r="CH68" i="7"/>
  <c r="CH60" i="7"/>
  <c r="CJ291" i="7"/>
  <c r="CJ179" i="8" s="1"/>
  <c r="CJ71" i="7"/>
  <c r="CJ64" i="7"/>
  <c r="CJ67" i="7"/>
  <c r="CJ68" i="7"/>
  <c r="CJ60" i="7"/>
  <c r="CK272" i="7"/>
  <c r="CK291" i="7"/>
  <c r="CK179" i="8" s="1"/>
  <c r="CM248" i="7"/>
  <c r="CL248" i="7" s="1"/>
  <c r="CK71" i="7"/>
  <c r="CK64" i="7"/>
  <c r="CK67" i="7"/>
  <c r="CK68" i="7"/>
  <c r="CK60" i="7"/>
  <c r="CM272" i="7"/>
  <c r="CL272" i="7" s="1"/>
  <c r="CM291" i="7"/>
  <c r="CM71" i="7"/>
  <c r="CM64" i="7"/>
  <c r="CM67" i="7"/>
  <c r="CM68" i="7"/>
  <c r="CM60" i="7"/>
  <c r="CN272" i="7"/>
  <c r="CN291" i="7"/>
  <c r="CN179" i="8" s="1"/>
  <c r="CP248" i="7"/>
  <c r="W43" i="9" s="1"/>
  <c r="CN71" i="7"/>
  <c r="CN64" i="7"/>
  <c r="CN67" i="7"/>
  <c r="CN68" i="7"/>
  <c r="CN60" i="7"/>
  <c r="CP272" i="7"/>
  <c r="CO272" i="7" s="1"/>
  <c r="CP291" i="7"/>
  <c r="CP179" i="8" s="1"/>
  <c r="CP71" i="7"/>
  <c r="CP64" i="7"/>
  <c r="CP67" i="7"/>
  <c r="CP68" i="7"/>
  <c r="CP60" i="7"/>
  <c r="CQ272" i="7"/>
  <c r="CQ291" i="7"/>
  <c r="CQ179" i="8" s="1"/>
  <c r="CR248" i="7"/>
  <c r="CQ71" i="7"/>
  <c r="CQ64" i="7"/>
  <c r="CQ67" i="7"/>
  <c r="CQ68" i="7"/>
  <c r="CQ60" i="7"/>
  <c r="CS272" i="7"/>
  <c r="CR272" i="7" s="1"/>
  <c r="CS291" i="7"/>
  <c r="CS71" i="7"/>
  <c r="CS64" i="7"/>
  <c r="CS67" i="7"/>
  <c r="CS68" i="7"/>
  <c r="CS60" i="7"/>
  <c r="CV248" i="7"/>
  <c r="Y43" i="9" s="1"/>
  <c r="CT71" i="7"/>
  <c r="CT64" i="7"/>
  <c r="CT67" i="7"/>
  <c r="CT68" i="7"/>
  <c r="CT59" i="7"/>
  <c r="CT60" i="7"/>
  <c r="CV272" i="7"/>
  <c r="CU272" i="7" s="1"/>
  <c r="CV291" i="7"/>
  <c r="CV71" i="7"/>
  <c r="CV64" i="7"/>
  <c r="CV67" i="7"/>
  <c r="CV68" i="7"/>
  <c r="CV59" i="7"/>
  <c r="CV60" i="7"/>
  <c r="CW272" i="7"/>
  <c r="CW291" i="7"/>
  <c r="CW179" i="8" s="1"/>
  <c r="CY248" i="7"/>
  <c r="Z43" i="9" s="1"/>
  <c r="CW71" i="7"/>
  <c r="CW64" i="7"/>
  <c r="CW67" i="7"/>
  <c r="CW68" i="7"/>
  <c r="CW59" i="7"/>
  <c r="CW60" i="7"/>
  <c r="CY272" i="7"/>
  <c r="CX272" i="7" s="1"/>
  <c r="CY291" i="7"/>
  <c r="CY179" i="8" s="1"/>
  <c r="CY71" i="7"/>
  <c r="CY69" i="7" s="1"/>
  <c r="CY64" i="7"/>
  <c r="CY67" i="7"/>
  <c r="CY68" i="7"/>
  <c r="CY59" i="7"/>
  <c r="CY60" i="7"/>
  <c r="DA248" i="7"/>
  <c r="CZ71" i="7"/>
  <c r="CZ64" i="7"/>
  <c r="CZ67" i="7"/>
  <c r="CZ68" i="7"/>
  <c r="CZ59" i="7"/>
  <c r="CZ60" i="7"/>
  <c r="DB75" i="7"/>
  <c r="I28" i="9" s="1"/>
  <c r="DB71" i="7"/>
  <c r="DB64" i="7"/>
  <c r="DB67" i="7"/>
  <c r="DB68" i="7"/>
  <c r="DB59" i="7"/>
  <c r="DB60" i="7"/>
  <c r="DE248" i="7"/>
  <c r="AB43" i="9" s="1"/>
  <c r="DC71" i="7"/>
  <c r="DC64" i="7"/>
  <c r="DC67" i="7"/>
  <c r="DC68" i="7"/>
  <c r="DC59" i="7"/>
  <c r="DC60" i="7"/>
  <c r="DE291" i="7"/>
  <c r="DE179" i="8" s="1"/>
  <c r="DE71" i="7"/>
  <c r="DE64" i="7"/>
  <c r="DE67" i="7"/>
  <c r="DE68" i="7"/>
  <c r="DE59" i="7"/>
  <c r="DE60" i="7"/>
  <c r="DH248" i="7"/>
  <c r="AC43" i="9" s="1"/>
  <c r="DF71" i="7"/>
  <c r="DF64" i="7"/>
  <c r="DF67" i="7"/>
  <c r="DF68" i="7"/>
  <c r="DF59" i="7"/>
  <c r="DF60" i="7"/>
  <c r="DH292" i="7"/>
  <c r="DH71" i="7"/>
  <c r="DH64" i="7"/>
  <c r="DH67" i="7"/>
  <c r="DH68" i="7"/>
  <c r="DH59" i="7"/>
  <c r="DH60" i="7"/>
  <c r="DI291" i="7"/>
  <c r="DI179" i="8" s="1"/>
  <c r="DK248" i="7"/>
  <c r="AD43" i="9" s="1"/>
  <c r="DI71" i="7"/>
  <c r="DI64" i="7"/>
  <c r="DI67" i="7"/>
  <c r="DI68" i="7"/>
  <c r="DI59" i="7"/>
  <c r="DI60" i="7"/>
  <c r="DK291" i="7"/>
  <c r="DK71" i="7"/>
  <c r="DK64" i="7"/>
  <c r="DK67" i="7"/>
  <c r="DK68" i="7"/>
  <c r="DK59" i="7"/>
  <c r="DK60" i="7"/>
  <c r="DL59" i="7"/>
  <c r="DL60" i="7"/>
  <c r="DL64" i="7"/>
  <c r="DL67" i="7"/>
  <c r="DL68" i="7"/>
  <c r="DL71" i="7"/>
  <c r="DK229" i="7"/>
  <c r="AD38" i="9" s="1"/>
  <c r="DK234" i="7"/>
  <c r="AD39" i="9" s="1"/>
  <c r="DL265" i="7"/>
  <c r="DK263" i="7"/>
  <c r="DJ263" i="7" s="1"/>
  <c r="CH274" i="7"/>
  <c r="CK274" i="7" s="1"/>
  <c r="CN274" i="7" s="1"/>
  <c r="CQ274" i="7" s="1"/>
  <c r="CT274" i="7" s="1"/>
  <c r="CW274" i="7" s="1"/>
  <c r="CZ274" i="7" s="1"/>
  <c r="DC274" i="7" s="1"/>
  <c r="DF274" i="7" s="1"/>
  <c r="DL68" i="8"/>
  <c r="CK276" i="7"/>
  <c r="CM276" i="7" s="1"/>
  <c r="CN276" i="7" s="1"/>
  <c r="CP276" i="7" s="1"/>
  <c r="CG277" i="7"/>
  <c r="CH277" i="7" s="1"/>
  <c r="CJ277" i="7" s="1"/>
  <c r="CK277" i="7" s="1"/>
  <c r="CM277" i="7" s="1"/>
  <c r="CL277" i="7" s="1"/>
  <c r="CG278" i="7"/>
  <c r="CJ274" i="7"/>
  <c r="CM274" i="7" s="1"/>
  <c r="DP294" i="7"/>
  <c r="CG295" i="7"/>
  <c r="CG296" i="7"/>
  <c r="DK297" i="7"/>
  <c r="DJ297" i="7" s="1"/>
  <c r="DL191" i="7"/>
  <c r="DL39" i="7" s="1"/>
  <c r="DL194" i="7"/>
  <c r="DL196" i="7"/>
  <c r="DL197" i="7"/>
  <c r="DL200" i="7"/>
  <c r="DL201" i="7"/>
  <c r="DL202" i="7"/>
  <c r="DL207" i="7"/>
  <c r="DJ348" i="7"/>
  <c r="DL240" i="7"/>
  <c r="DK241" i="7"/>
  <c r="DJ241" i="7" s="1"/>
  <c r="DK240" i="7"/>
  <c r="DJ240" i="7" s="1"/>
  <c r="DL249" i="7"/>
  <c r="DL257" i="7"/>
  <c r="DP258" i="7"/>
  <c r="DK259" i="7"/>
  <c r="DJ259" i="7" s="1"/>
  <c r="DL281" i="7"/>
  <c r="DK282" i="7"/>
  <c r="DJ282" i="7" s="1"/>
  <c r="DK281" i="7"/>
  <c r="DJ281" i="7" s="1"/>
  <c r="DL285" i="7"/>
  <c r="DN285" i="7" s="1"/>
  <c r="CK298" i="7"/>
  <c r="CM298" i="7" s="1"/>
  <c r="DN197" i="7"/>
  <c r="DN194" i="7"/>
  <c r="DN202" i="7"/>
  <c r="DN59" i="7"/>
  <c r="DN60" i="7"/>
  <c r="DN64" i="7"/>
  <c r="DN67" i="7"/>
  <c r="DN68" i="7"/>
  <c r="DN71" i="7"/>
  <c r="DP275" i="7"/>
  <c r="DN191" i="7"/>
  <c r="DN196" i="7"/>
  <c r="DN200" i="7"/>
  <c r="DN252" i="7" s="1"/>
  <c r="DN201" i="7"/>
  <c r="DN207" i="7"/>
  <c r="DL347" i="7"/>
  <c r="DN240" i="7"/>
  <c r="DM240" i="7" s="1"/>
  <c r="DN249" i="7"/>
  <c r="DM249" i="7" s="1"/>
  <c r="DN257" i="7"/>
  <c r="DM257" i="7" s="1"/>
  <c r="DN281" i="7"/>
  <c r="DM281" i="7" s="1"/>
  <c r="DO59" i="7"/>
  <c r="DO60" i="7"/>
  <c r="DO64" i="7"/>
  <c r="DO67" i="7"/>
  <c r="DO68" i="7"/>
  <c r="DO71" i="7"/>
  <c r="DO191" i="7"/>
  <c r="DO39" i="7" s="1"/>
  <c r="DO196" i="7"/>
  <c r="DO197" i="7"/>
  <c r="DO200" i="7"/>
  <c r="DO202" i="7"/>
  <c r="DO207" i="7"/>
  <c r="DM347" i="7"/>
  <c r="DO240" i="7"/>
  <c r="DO249" i="7"/>
  <c r="DO257" i="7"/>
  <c r="DO281" i="7"/>
  <c r="DQ197" i="7"/>
  <c r="DQ202" i="7"/>
  <c r="DQ59" i="7"/>
  <c r="DQ60" i="7"/>
  <c r="DQ64" i="7"/>
  <c r="DQ67" i="7"/>
  <c r="DQ68" i="7"/>
  <c r="DQ71" i="7"/>
  <c r="DQ191" i="7"/>
  <c r="DQ200" i="7"/>
  <c r="DQ207" i="7"/>
  <c r="DO347" i="7"/>
  <c r="DQ240" i="7"/>
  <c r="DP240" i="7" s="1"/>
  <c r="DQ249" i="7"/>
  <c r="DP249" i="7" s="1"/>
  <c r="DQ257" i="7"/>
  <c r="DP257" i="7" s="1"/>
  <c r="DQ281" i="7"/>
  <c r="DP281" i="7" s="1"/>
  <c r="DR59" i="7"/>
  <c r="DR60" i="7"/>
  <c r="DR64" i="7"/>
  <c r="DR67" i="7"/>
  <c r="DR68" i="7"/>
  <c r="DR71" i="7"/>
  <c r="DR191" i="7"/>
  <c r="DR194" i="7"/>
  <c r="DR196" i="7"/>
  <c r="DR197" i="7"/>
  <c r="DR200" i="7"/>
  <c r="DR201" i="7"/>
  <c r="DR202" i="7"/>
  <c r="DR203" i="7"/>
  <c r="DR207" i="7"/>
  <c r="DP347" i="7"/>
  <c r="DR240" i="7"/>
  <c r="DR249" i="7"/>
  <c r="DR257" i="7"/>
  <c r="DR281" i="7"/>
  <c r="DT197" i="7"/>
  <c r="DT194" i="7"/>
  <c r="DT202" i="7"/>
  <c r="DT59" i="7"/>
  <c r="DT60" i="7"/>
  <c r="DT64" i="7"/>
  <c r="DT67" i="7"/>
  <c r="DT68" i="7"/>
  <c r="DT71" i="7"/>
  <c r="DT191" i="7"/>
  <c r="DT200" i="7"/>
  <c r="DT201" i="7"/>
  <c r="DT207" i="7"/>
  <c r="DR347" i="7"/>
  <c r="DT240" i="7"/>
  <c r="DS240" i="7" s="1"/>
  <c r="DT249" i="7"/>
  <c r="DT257" i="7"/>
  <c r="DS257" i="7" s="1"/>
  <c r="DT281" i="7"/>
  <c r="DS281" i="7" s="1"/>
  <c r="DU59" i="7"/>
  <c r="DV59" i="7" s="1"/>
  <c r="DU60" i="7"/>
  <c r="DV60" i="7" s="1"/>
  <c r="DU64" i="7"/>
  <c r="DV64" i="7" s="1"/>
  <c r="DU67" i="7"/>
  <c r="DV67" i="7" s="1"/>
  <c r="DU68" i="7"/>
  <c r="DV68" i="7" s="1"/>
  <c r="DU71" i="7"/>
  <c r="DV71" i="7" s="1"/>
  <c r="DU196" i="7"/>
  <c r="DV196" i="7" s="1"/>
  <c r="DU197" i="7"/>
  <c r="DV197" i="7" s="1"/>
  <c r="DU200" i="7"/>
  <c r="DV200" i="7" s="1"/>
  <c r="DU201" i="7"/>
  <c r="DV201" i="7" s="1"/>
  <c r="DU202" i="7"/>
  <c r="DV202" i="7" s="1"/>
  <c r="DU203" i="7"/>
  <c r="DV203" i="7" s="1"/>
  <c r="DS347" i="7"/>
  <c r="DU240" i="7"/>
  <c r="DU249" i="7"/>
  <c r="DU257" i="7"/>
  <c r="DU281" i="7"/>
  <c r="DU347" i="7"/>
  <c r="DX252" i="7"/>
  <c r="DZ202" i="7"/>
  <c r="DZ59" i="7"/>
  <c r="DZ60" i="7"/>
  <c r="DZ64" i="7"/>
  <c r="DZ67" i="7"/>
  <c r="DZ68" i="7"/>
  <c r="DZ71" i="7"/>
  <c r="DZ200" i="7"/>
  <c r="DZ201" i="7"/>
  <c r="DX347" i="7"/>
  <c r="DZ240" i="7"/>
  <c r="DY240" i="7" s="1"/>
  <c r="DZ249" i="7"/>
  <c r="DY249" i="7" s="1"/>
  <c r="DZ257" i="7"/>
  <c r="DY257" i="7" s="1"/>
  <c r="DZ281" i="7"/>
  <c r="DY281" i="7" s="1"/>
  <c r="EA59" i="7"/>
  <c r="EA60" i="7"/>
  <c r="EA64" i="7"/>
  <c r="EA67" i="7"/>
  <c r="EA68" i="7"/>
  <c r="EA71" i="7"/>
  <c r="EA191" i="7"/>
  <c r="EA39" i="7" s="1"/>
  <c r="EA194" i="7"/>
  <c r="EA196" i="7"/>
  <c r="EA197" i="7"/>
  <c r="EA200" i="7"/>
  <c r="EA201" i="7"/>
  <c r="EA202" i="7"/>
  <c r="EA203" i="7"/>
  <c r="EA206" i="7"/>
  <c r="EA370" i="7" s="1"/>
  <c r="EA207" i="7"/>
  <c r="DY347" i="7"/>
  <c r="EA240" i="7"/>
  <c r="EA249" i="7"/>
  <c r="EA257" i="7"/>
  <c r="EA281" i="7"/>
  <c r="EC197" i="7"/>
  <c r="EC194" i="7"/>
  <c r="EC202" i="7"/>
  <c r="EC59" i="7"/>
  <c r="EC60" i="7"/>
  <c r="EC64" i="7"/>
  <c r="EC67" i="7"/>
  <c r="EC68" i="7"/>
  <c r="EC71" i="7"/>
  <c r="EC191" i="7"/>
  <c r="EC39" i="7" s="1"/>
  <c r="EC196" i="7"/>
  <c r="EC200" i="7"/>
  <c r="EC201" i="7"/>
  <c r="EC203" i="7"/>
  <c r="EC206" i="7"/>
  <c r="EC207" i="7"/>
  <c r="EA347" i="7"/>
  <c r="EC240" i="7"/>
  <c r="EB240" i="7" s="1"/>
  <c r="EC249" i="7"/>
  <c r="EB249" i="7" s="1"/>
  <c r="EC257" i="7"/>
  <c r="EB257" i="7" s="1"/>
  <c r="EC281" i="7"/>
  <c r="EB281" i="7" s="1"/>
  <c r="ED59" i="7"/>
  <c r="ED60" i="7"/>
  <c r="ED64" i="7"/>
  <c r="ED67" i="7"/>
  <c r="ED68" i="7"/>
  <c r="ED71" i="7"/>
  <c r="ED191" i="7"/>
  <c r="ED194" i="7"/>
  <c r="ED196" i="7"/>
  <c r="ED197" i="7"/>
  <c r="ED200" i="7"/>
  <c r="ED201" i="7"/>
  <c r="ED202" i="7"/>
  <c r="ED203" i="7"/>
  <c r="ED206" i="7"/>
  <c r="ED370" i="7" s="1"/>
  <c r="ED207" i="7"/>
  <c r="EB347" i="7"/>
  <c r="ED240" i="7"/>
  <c r="ED249" i="7"/>
  <c r="ED257" i="7"/>
  <c r="ED281" i="7"/>
  <c r="EF197" i="7"/>
  <c r="EF194" i="7"/>
  <c r="EF202" i="7"/>
  <c r="EF59" i="7"/>
  <c r="EF60" i="7"/>
  <c r="EF64" i="7"/>
  <c r="EF67" i="7"/>
  <c r="EF68" i="7"/>
  <c r="EF71" i="7"/>
  <c r="EF191" i="7"/>
  <c r="EF39" i="7" s="1"/>
  <c r="EF196" i="7"/>
  <c r="EF200" i="7"/>
  <c r="EF201" i="7"/>
  <c r="EF203" i="7"/>
  <c r="EF206" i="7"/>
  <c r="EF207" i="7"/>
  <c r="ED347" i="7"/>
  <c r="EF240" i="7"/>
  <c r="EE240" i="7" s="1"/>
  <c r="EF249" i="7"/>
  <c r="EE249" i="7" s="1"/>
  <c r="EF257" i="7"/>
  <c r="EE257" i="7" s="1"/>
  <c r="EF281" i="7"/>
  <c r="EE281" i="7" s="1"/>
  <c r="EG59" i="7"/>
  <c r="EG60" i="7"/>
  <c r="EG64" i="7"/>
  <c r="EG67" i="7"/>
  <c r="EG68" i="7"/>
  <c r="EG71" i="7"/>
  <c r="EG191" i="7"/>
  <c r="EG39" i="7" s="1"/>
  <c r="EG194" i="7"/>
  <c r="EG196" i="7"/>
  <c r="EG197" i="7"/>
  <c r="EG200" i="7"/>
  <c r="EG201" i="7"/>
  <c r="EG202" i="7"/>
  <c r="EG203" i="7"/>
  <c r="EG206" i="7"/>
  <c r="EG207" i="7"/>
  <c r="EE347" i="7"/>
  <c r="EG240" i="7"/>
  <c r="EG249" i="7"/>
  <c r="EG257" i="7"/>
  <c r="EG281" i="7"/>
  <c r="EI197" i="7"/>
  <c r="EI194" i="7"/>
  <c r="EI202" i="7"/>
  <c r="EI59" i="7"/>
  <c r="EI60" i="7"/>
  <c r="EI64" i="7"/>
  <c r="EI67" i="7"/>
  <c r="EI68" i="7"/>
  <c r="EI71" i="7"/>
  <c r="EI191" i="7"/>
  <c r="EI196" i="7"/>
  <c r="EI200" i="7"/>
  <c r="EI201" i="7"/>
  <c r="EI203" i="7"/>
  <c r="EI206" i="7"/>
  <c r="EI207" i="7"/>
  <c r="EG347" i="7"/>
  <c r="EI240" i="7"/>
  <c r="EH240" i="7" s="1"/>
  <c r="EI249" i="7"/>
  <c r="EH249" i="7" s="1"/>
  <c r="EI257" i="7"/>
  <c r="EH257" i="7" s="1"/>
  <c r="EI281" i="7"/>
  <c r="EH281" i="7" s="1"/>
  <c r="EJ59" i="7"/>
  <c r="EJ60" i="7"/>
  <c r="EJ64" i="7"/>
  <c r="EJ67" i="7"/>
  <c r="EJ68" i="7"/>
  <c r="EJ71" i="7"/>
  <c r="EJ191" i="7"/>
  <c r="EJ39" i="7" s="1"/>
  <c r="EJ194" i="7"/>
  <c r="EJ196" i="7"/>
  <c r="EJ197" i="7"/>
  <c r="EJ200" i="7"/>
  <c r="EJ201" i="7"/>
  <c r="EJ202" i="7"/>
  <c r="EJ203" i="7"/>
  <c r="EJ206" i="7"/>
  <c r="EJ207" i="7"/>
  <c r="EH347" i="7"/>
  <c r="EJ240" i="7"/>
  <c r="EJ249" i="7"/>
  <c r="EJ257" i="7"/>
  <c r="EJ281" i="7"/>
  <c r="EL197" i="7"/>
  <c r="EL194" i="7"/>
  <c r="EL202" i="7"/>
  <c r="EL59" i="7"/>
  <c r="EL60" i="7"/>
  <c r="EL64" i="7"/>
  <c r="EL67" i="7"/>
  <c r="EL68" i="7"/>
  <c r="EL71" i="7"/>
  <c r="EL191" i="7"/>
  <c r="EL196" i="7"/>
  <c r="EL200" i="7"/>
  <c r="EL201" i="7"/>
  <c r="EL203" i="7"/>
  <c r="EL206" i="7"/>
  <c r="EL207" i="7"/>
  <c r="EJ347" i="7"/>
  <c r="EL240" i="7"/>
  <c r="EK240" i="7" s="1"/>
  <c r="EL249" i="7"/>
  <c r="EK249" i="7" s="1"/>
  <c r="EL257" i="7"/>
  <c r="EK257" i="7" s="1"/>
  <c r="EL281" i="7"/>
  <c r="EK281" i="7" s="1"/>
  <c r="EM59" i="7"/>
  <c r="EM60" i="7"/>
  <c r="EM64" i="7"/>
  <c r="EM67" i="7"/>
  <c r="EM68" i="7"/>
  <c r="EM71" i="7"/>
  <c r="EM191" i="7"/>
  <c r="EM39" i="7" s="1"/>
  <c r="EM194" i="7"/>
  <c r="EM196" i="7"/>
  <c r="EM197" i="7"/>
  <c r="EM200" i="7"/>
  <c r="EM201" i="7"/>
  <c r="EM202" i="7"/>
  <c r="EM203" i="7"/>
  <c r="EM206" i="7"/>
  <c r="EM207" i="7"/>
  <c r="EK347" i="7"/>
  <c r="EM240" i="7"/>
  <c r="EM249" i="7"/>
  <c r="EM257" i="7"/>
  <c r="EM281" i="7"/>
  <c r="EO197" i="7"/>
  <c r="EO194" i="7"/>
  <c r="EO202" i="7"/>
  <c r="EO59" i="7"/>
  <c r="EO60" i="7"/>
  <c r="EO64" i="7"/>
  <c r="EO67" i="7"/>
  <c r="EO68" i="7"/>
  <c r="EO71" i="7"/>
  <c r="EO191" i="7"/>
  <c r="EO196" i="7"/>
  <c r="EO200" i="7"/>
  <c r="EO201" i="7"/>
  <c r="EO203" i="7"/>
  <c r="EO206" i="7"/>
  <c r="EO207" i="7"/>
  <c r="EM347" i="7"/>
  <c r="EO240" i="7"/>
  <c r="EN240" i="7" s="1"/>
  <c r="EO249" i="7"/>
  <c r="EN249" i="7" s="1"/>
  <c r="EO257" i="7"/>
  <c r="EN257" i="7" s="1"/>
  <c r="EO281" i="7"/>
  <c r="EN281" i="7" s="1"/>
  <c r="EP59" i="7"/>
  <c r="EP60" i="7"/>
  <c r="EP64" i="7"/>
  <c r="EP67" i="7"/>
  <c r="EP68" i="7"/>
  <c r="EP71" i="7"/>
  <c r="EP191" i="7"/>
  <c r="EP39" i="7" s="1"/>
  <c r="EP194" i="7"/>
  <c r="EP196" i="7"/>
  <c r="EP197" i="7"/>
  <c r="EP200" i="7"/>
  <c r="EP201" i="7"/>
  <c r="EP202" i="7"/>
  <c r="EP203" i="7"/>
  <c r="EP206" i="7"/>
  <c r="EP207" i="7"/>
  <c r="EN347" i="7"/>
  <c r="EP240" i="7"/>
  <c r="EP249" i="7"/>
  <c r="EP257" i="7"/>
  <c r="EP281" i="7"/>
  <c r="ER197" i="7"/>
  <c r="ER194" i="7"/>
  <c r="ER202" i="7"/>
  <c r="ER59" i="7"/>
  <c r="ER60" i="7"/>
  <c r="ER64" i="7"/>
  <c r="ER67" i="7"/>
  <c r="ER68" i="7"/>
  <c r="ER71" i="7"/>
  <c r="ER191" i="7"/>
  <c r="ER39" i="7" s="1"/>
  <c r="ER196" i="7"/>
  <c r="ER200" i="7"/>
  <c r="ER201" i="7"/>
  <c r="ER203" i="7"/>
  <c r="ER206" i="7"/>
  <c r="ER207" i="7"/>
  <c r="EP347" i="7"/>
  <c r="ER240" i="7"/>
  <c r="EQ240" i="7" s="1"/>
  <c r="ER249" i="7"/>
  <c r="EQ249" i="7" s="1"/>
  <c r="ER257" i="7"/>
  <c r="EQ257" i="7" s="1"/>
  <c r="ER281" i="7"/>
  <c r="EQ281" i="7" s="1"/>
  <c r="AL266" i="7"/>
  <c r="AL286" i="7"/>
  <c r="BL266" i="7"/>
  <c r="BK266" i="7" s="1"/>
  <c r="BL286" i="7"/>
  <c r="BK286" i="7" s="1"/>
  <c r="BM266" i="7"/>
  <c r="BM286" i="7"/>
  <c r="AN229" i="7"/>
  <c r="AM229" i="7" s="1"/>
  <c r="AK229" i="7"/>
  <c r="AJ229" i="7" s="1"/>
  <c r="AN234" i="7"/>
  <c r="AK234" i="7"/>
  <c r="AJ234" i="7" s="1"/>
  <c r="AN263" i="7"/>
  <c r="AK263" i="7"/>
  <c r="AN273" i="7"/>
  <c r="AM273" i="7" s="1"/>
  <c r="AK273" i="7"/>
  <c r="AJ273" i="7" s="1"/>
  <c r="AN293" i="7"/>
  <c r="AM293" i="7" s="1"/>
  <c r="AK293" i="7"/>
  <c r="AJ293" i="7" s="1"/>
  <c r="AN93" i="7"/>
  <c r="AN94" i="7"/>
  <c r="AQ229" i="7"/>
  <c r="AP229" i="7" s="1"/>
  <c r="AQ234" i="7"/>
  <c r="AQ263" i="7"/>
  <c r="AP263" i="7" s="1"/>
  <c r="AQ273" i="7"/>
  <c r="AP273" i="7" s="1"/>
  <c r="AQ293" i="7"/>
  <c r="AQ93" i="7"/>
  <c r="AQ94" i="7"/>
  <c r="AT180" i="7"/>
  <c r="AT229" i="7"/>
  <c r="AT234" i="7"/>
  <c r="AT328" i="7" s="1"/>
  <c r="AT263" i="7"/>
  <c r="AT273" i="7"/>
  <c r="AT293" i="7"/>
  <c r="AS293" i="7" s="1"/>
  <c r="AT93" i="7"/>
  <c r="AS93" i="7" s="1"/>
  <c r="AT94" i="7"/>
  <c r="AU180" i="7"/>
  <c r="AU229" i="7"/>
  <c r="AU234" i="7"/>
  <c r="AU263" i="7"/>
  <c r="AU329" i="7" s="1"/>
  <c r="AU273" i="7"/>
  <c r="AU149" i="8" s="1"/>
  <c r="AU293" i="7"/>
  <c r="AU93" i="7"/>
  <c r="AU94" i="7"/>
  <c r="AX180" i="7"/>
  <c r="AY180" i="7" s="1"/>
  <c r="AX229" i="7"/>
  <c r="AX327" i="7" s="1"/>
  <c r="AW229" i="7"/>
  <c r="AV229" i="7" s="1"/>
  <c r="AX234" i="7"/>
  <c r="AX328" i="7" s="1"/>
  <c r="AW234" i="7"/>
  <c r="AX263" i="7"/>
  <c r="AW263" i="7"/>
  <c r="AV263" i="7" s="1"/>
  <c r="AX273" i="7"/>
  <c r="AX149" i="8" s="1"/>
  <c r="AW273" i="7"/>
  <c r="AW330" i="7" s="1"/>
  <c r="AX293" i="7"/>
  <c r="AX331" i="7" s="1"/>
  <c r="AW293" i="7"/>
  <c r="BB187" i="7"/>
  <c r="BE187" i="7"/>
  <c r="BH187" i="7"/>
  <c r="BK187" i="7"/>
  <c r="BN187" i="7"/>
  <c r="BQ187" i="7"/>
  <c r="BT187" i="7"/>
  <c r="BW187" i="7"/>
  <c r="CA187" i="7"/>
  <c r="BZ187" i="7" s="1"/>
  <c r="CC187" i="7"/>
  <c r="CF187" i="7"/>
  <c r="CI187" i="7"/>
  <c r="CL187" i="7"/>
  <c r="CM20" i="7"/>
  <c r="CO187" i="7"/>
  <c r="CQ20" i="7"/>
  <c r="CR187" i="7"/>
  <c r="CS20" i="7"/>
  <c r="F10" i="9" s="1"/>
  <c r="CU187" i="7"/>
  <c r="CX187" i="7"/>
  <c r="DA187" i="7"/>
  <c r="DD187" i="7"/>
  <c r="DH187" i="7"/>
  <c r="DJ187" i="7"/>
  <c r="E22" i="7"/>
  <c r="F22" i="7"/>
  <c r="G341" i="7"/>
  <c r="G22" i="7" s="1"/>
  <c r="H22" i="7"/>
  <c r="I22" i="7"/>
  <c r="J341" i="7"/>
  <c r="K22" i="7"/>
  <c r="L22" i="7"/>
  <c r="M341" i="7"/>
  <c r="M22" i="7" s="1"/>
  <c r="N22" i="7"/>
  <c r="O22" i="7"/>
  <c r="P341" i="7"/>
  <c r="Q22" i="7"/>
  <c r="R22" i="7"/>
  <c r="S341" i="7"/>
  <c r="T22" i="7"/>
  <c r="U22" i="7"/>
  <c r="V341" i="7"/>
  <c r="W22" i="7"/>
  <c r="X22" i="7"/>
  <c r="Y341" i="7"/>
  <c r="Y22" i="7" s="1"/>
  <c r="Z22" i="7"/>
  <c r="AA22" i="7"/>
  <c r="AB341" i="7"/>
  <c r="AC22" i="7"/>
  <c r="AD22" i="7"/>
  <c r="AE341" i="7"/>
  <c r="AE22" i="7" s="1"/>
  <c r="AF22" i="7"/>
  <c r="AG22" i="7"/>
  <c r="AH341" i="7"/>
  <c r="AI22" i="7"/>
  <c r="AJ22" i="7"/>
  <c r="AK341" i="7"/>
  <c r="AK22" i="7" s="1"/>
  <c r="AL22" i="7"/>
  <c r="AM22" i="7"/>
  <c r="AN341" i="7"/>
  <c r="AO22" i="7"/>
  <c r="AP22" i="7"/>
  <c r="AQ341" i="7"/>
  <c r="AQ22" i="7" s="1"/>
  <c r="AR22" i="7"/>
  <c r="AS22" i="7"/>
  <c r="AT341" i="7"/>
  <c r="AU22" i="7"/>
  <c r="AV22" i="7"/>
  <c r="AW341" i="7"/>
  <c r="AW22" i="7" s="1"/>
  <c r="AX22" i="7"/>
  <c r="AY22" i="7"/>
  <c r="AZ22" i="7"/>
  <c r="BA22" i="7"/>
  <c r="BJ22" i="7"/>
  <c r="BP22" i="7"/>
  <c r="BV22" i="7"/>
  <c r="BW22" i="7"/>
  <c r="BX341" i="7"/>
  <c r="BX22" i="7" s="1"/>
  <c r="BZ22" i="7"/>
  <c r="CC22" i="7"/>
  <c r="CH22" i="7"/>
  <c r="E24" i="7"/>
  <c r="F24" i="7"/>
  <c r="H24" i="7"/>
  <c r="I24" i="7"/>
  <c r="K24" i="7"/>
  <c r="L24" i="7"/>
  <c r="N24" i="7"/>
  <c r="O24" i="7"/>
  <c r="Q24" i="7"/>
  <c r="R24" i="7"/>
  <c r="T24" i="7"/>
  <c r="U24" i="7"/>
  <c r="W24" i="7"/>
  <c r="X24" i="7"/>
  <c r="Z24" i="7"/>
  <c r="AA24" i="7"/>
  <c r="AC24" i="7"/>
  <c r="AD24" i="7"/>
  <c r="AF24" i="7"/>
  <c r="AG24" i="7"/>
  <c r="AI24" i="7"/>
  <c r="AJ24" i="7"/>
  <c r="AL24" i="7"/>
  <c r="AM24" i="7"/>
  <c r="AO24" i="7"/>
  <c r="AP24" i="7"/>
  <c r="AQ345" i="7"/>
  <c r="AQ202" i="8" s="1"/>
  <c r="AR24" i="7"/>
  <c r="AS24" i="7"/>
  <c r="AT345" i="7"/>
  <c r="AT202" i="8" s="1"/>
  <c r="AU24" i="7"/>
  <c r="AV24" i="7"/>
  <c r="AW345" i="7"/>
  <c r="AW202" i="8" s="1"/>
  <c r="AX24" i="7"/>
  <c r="AY24" i="7"/>
  <c r="AZ345" i="7"/>
  <c r="AZ202" i="8" s="1"/>
  <c r="BA24" i="7"/>
  <c r="BB24" i="7"/>
  <c r="BD345" i="7"/>
  <c r="BD24" i="7" s="1"/>
  <c r="BE345" i="7"/>
  <c r="BE24" i="7" s="1"/>
  <c r="BG345" i="7"/>
  <c r="BG24" i="7" s="1"/>
  <c r="BH345" i="7"/>
  <c r="BH24" i="7" s="1"/>
  <c r="BJ345" i="7"/>
  <c r="BJ24" i="7" s="1"/>
  <c r="BK345" i="7"/>
  <c r="BK24" i="7" s="1"/>
  <c r="BM345" i="7"/>
  <c r="BM24" i="7" s="1"/>
  <c r="BN345" i="7"/>
  <c r="BN24" i="7" s="1"/>
  <c r="BP345" i="7"/>
  <c r="BP24" i="7" s="1"/>
  <c r="BQ345" i="7"/>
  <c r="BQ24" i="7" s="1"/>
  <c r="BS345" i="7"/>
  <c r="BS24" i="7" s="1"/>
  <c r="BT345" i="7"/>
  <c r="BT24" i="7" s="1"/>
  <c r="BV345" i="7"/>
  <c r="BV24" i="7" s="1"/>
  <c r="BY345" i="7"/>
  <c r="BY24" i="7" s="1"/>
  <c r="CC24" i="7"/>
  <c r="AT307" i="7"/>
  <c r="AT253" i="7"/>
  <c r="AT572" i="7" s="1"/>
  <c r="AU307" i="7"/>
  <c r="AU315" i="7" s="1"/>
  <c r="AU253" i="7"/>
  <c r="AU250" i="7" s="1"/>
  <c r="AW307" i="7"/>
  <c r="AW315" i="7" s="1"/>
  <c r="AW253" i="7"/>
  <c r="AW250" i="7" s="1"/>
  <c r="AV250" i="7" s="1"/>
  <c r="AX307" i="7"/>
  <c r="AX315" i="7" s="1"/>
  <c r="AX253" i="7"/>
  <c r="AX250" i="7" s="1"/>
  <c r="AX576" i="7" s="1"/>
  <c r="AZ307" i="7"/>
  <c r="AZ253" i="7"/>
  <c r="AZ250" i="7" s="1"/>
  <c r="AY250" i="7" s="1"/>
  <c r="BA307" i="7"/>
  <c r="BA315" i="7" s="1"/>
  <c r="BA253" i="7"/>
  <c r="BA250" i="7" s="1"/>
  <c r="BA576" i="7" s="1"/>
  <c r="BC307" i="7"/>
  <c r="BC253" i="7"/>
  <c r="BC572" i="7" s="1"/>
  <c r="BD307" i="7"/>
  <c r="BD315" i="7" s="1"/>
  <c r="BD253" i="7"/>
  <c r="BD250" i="7" s="1"/>
  <c r="BD576" i="7" s="1"/>
  <c r="BF307" i="7"/>
  <c r="BF315" i="7" s="1"/>
  <c r="BF253" i="7"/>
  <c r="BF250" i="7" s="1"/>
  <c r="BE250" i="7" s="1"/>
  <c r="BG307" i="7"/>
  <c r="BG315" i="7" s="1"/>
  <c r="BG253" i="7"/>
  <c r="BG250" i="7" s="1"/>
  <c r="BI307" i="7"/>
  <c r="BI253" i="7"/>
  <c r="BI250" i="7" s="1"/>
  <c r="BH250" i="7" s="1"/>
  <c r="BJ307" i="7"/>
  <c r="BJ315" i="7" s="1"/>
  <c r="BJ253" i="7"/>
  <c r="BJ250" i="7" s="1"/>
  <c r="BL307" i="7"/>
  <c r="BL253" i="7"/>
  <c r="BM307" i="7"/>
  <c r="BM315" i="7" s="1"/>
  <c r="BM253" i="7"/>
  <c r="BM250" i="7" s="1"/>
  <c r="BM576" i="7" s="1"/>
  <c r="BO307" i="7"/>
  <c r="BO315" i="7" s="1"/>
  <c r="BO253" i="7"/>
  <c r="BO250" i="7" s="1"/>
  <c r="BN250" i="7" s="1"/>
  <c r="BP307" i="7"/>
  <c r="BP315" i="7" s="1"/>
  <c r="BP253" i="7"/>
  <c r="BP250" i="7" s="1"/>
  <c r="BP576" i="7" s="1"/>
  <c r="BR307" i="7"/>
  <c r="BR253" i="7"/>
  <c r="BR250" i="7" s="1"/>
  <c r="BQ250" i="7" s="1"/>
  <c r="BS307" i="7"/>
  <c r="BS315" i="7" s="1"/>
  <c r="BS253" i="7"/>
  <c r="BS250" i="7" s="1"/>
  <c r="BS576" i="7" s="1"/>
  <c r="BU307" i="7"/>
  <c r="BU253" i="7"/>
  <c r="BU572" i="7" s="1"/>
  <c r="BV307" i="7"/>
  <c r="BV315" i="7" s="1"/>
  <c r="BV560" i="7" s="1"/>
  <c r="BV253" i="7"/>
  <c r="BV250" i="7" s="1"/>
  <c r="BX305" i="7"/>
  <c r="BW305" i="7" s="1"/>
  <c r="BX307" i="7"/>
  <c r="BW307" i="7" s="1"/>
  <c r="BX253" i="7"/>
  <c r="BY307" i="7"/>
  <c r="BY315" i="7" s="1"/>
  <c r="BY560" i="7" s="1"/>
  <c r="BY253" i="7"/>
  <c r="BY250" i="7" s="1"/>
  <c r="CA305" i="7"/>
  <c r="BZ305" i="7" s="1"/>
  <c r="CA308" i="7"/>
  <c r="CA307" i="7" s="1"/>
  <c r="BZ307" i="7" s="1"/>
  <c r="CA254" i="7"/>
  <c r="CA253" i="7" s="1"/>
  <c r="CA250" i="7" s="1"/>
  <c r="BZ250" i="7" s="1"/>
  <c r="CA371" i="7"/>
  <c r="CA372" i="7"/>
  <c r="CA373" i="7"/>
  <c r="CA374" i="7"/>
  <c r="CA375" i="7"/>
  <c r="CA376" i="7"/>
  <c r="CB307" i="7"/>
  <c r="CB315" i="7" s="1"/>
  <c r="CB560" i="7" s="1"/>
  <c r="CB253" i="7"/>
  <c r="CB250" i="7" s="1"/>
  <c r="CD305" i="7"/>
  <c r="CC305" i="7" s="1"/>
  <c r="CD307" i="7"/>
  <c r="CC307" i="7" s="1"/>
  <c r="CD254" i="7"/>
  <c r="CD253" i="7" s="1"/>
  <c r="CD250" i="7" s="1"/>
  <c r="CC250" i="7" s="1"/>
  <c r="CE307" i="7"/>
  <c r="CE315" i="7" s="1"/>
  <c r="CE560" i="7" s="1"/>
  <c r="CE253" i="7"/>
  <c r="CE250" i="7" s="1"/>
  <c r="CG305" i="7"/>
  <c r="CF305" i="7" s="1"/>
  <c r="CG307" i="7"/>
  <c r="CF307" i="7" s="1"/>
  <c r="CG254" i="7"/>
  <c r="CG253" i="7" s="1"/>
  <c r="CG250" i="7" s="1"/>
  <c r="CF250" i="7" s="1"/>
  <c r="CH307" i="7"/>
  <c r="CH315" i="7" s="1"/>
  <c r="CH560" i="7" s="1"/>
  <c r="CH252" i="7"/>
  <c r="CJ307" i="7"/>
  <c r="CJ200" i="7"/>
  <c r="CK307" i="7"/>
  <c r="CK315" i="7" s="1"/>
  <c r="CK560" i="7" s="1"/>
  <c r="CK252" i="7"/>
  <c r="CM307" i="7"/>
  <c r="CM315" i="7" s="1"/>
  <c r="CM560" i="7" s="1"/>
  <c r="CM200" i="7"/>
  <c r="CM370" i="7"/>
  <c r="CM371" i="7"/>
  <c r="CM372" i="7"/>
  <c r="CM373" i="7"/>
  <c r="CM374" i="7"/>
  <c r="CM375" i="7"/>
  <c r="CM376" i="7"/>
  <c r="CN307" i="7"/>
  <c r="CN315" i="7" s="1"/>
  <c r="CN560" i="7" s="1"/>
  <c r="CP307" i="7"/>
  <c r="CP315" i="7" s="1"/>
  <c r="W56" i="9" s="1"/>
  <c r="W54" i="9" s="1"/>
  <c r="CO367" i="7"/>
  <c r="CO378" i="7" s="1"/>
  <c r="CP367" i="7" s="1"/>
  <c r="CP370" i="7"/>
  <c r="CP371" i="7"/>
  <c r="CP372" i="7"/>
  <c r="CP373" i="7"/>
  <c r="CP374" i="7"/>
  <c r="CP375" i="7"/>
  <c r="CP376" i="7"/>
  <c r="CQ305" i="7"/>
  <c r="CQ307" i="7"/>
  <c r="CQ200" i="7"/>
  <c r="CS307" i="7"/>
  <c r="CS315" i="7" s="1"/>
  <c r="X56" i="9" s="1"/>
  <c r="CS200" i="7"/>
  <c r="CT305" i="7"/>
  <c r="CT307" i="7"/>
  <c r="CT252" i="7"/>
  <c r="CV305" i="7"/>
  <c r="CU305" i="7" s="1"/>
  <c r="CV307" i="7"/>
  <c r="CU307" i="7" s="1"/>
  <c r="CW305" i="7"/>
  <c r="CW307" i="7"/>
  <c r="CW200" i="7"/>
  <c r="CY307" i="7"/>
  <c r="CY200" i="7"/>
  <c r="CZ305" i="7"/>
  <c r="CZ307" i="7"/>
  <c r="CZ252" i="7"/>
  <c r="DB307" i="7"/>
  <c r="DB315" i="7" s="1"/>
  <c r="AA56" i="9" s="1"/>
  <c r="DC307" i="7"/>
  <c r="DC315" i="7" s="1"/>
  <c r="DC560" i="7" s="1"/>
  <c r="DC252" i="7"/>
  <c r="DE307" i="7"/>
  <c r="DE315" i="7" s="1"/>
  <c r="AB56" i="9" s="1"/>
  <c r="DF305" i="7"/>
  <c r="DF308" i="7"/>
  <c r="DF307" i="7" s="1"/>
  <c r="DH307" i="7"/>
  <c r="DH315" i="7" s="1"/>
  <c r="AC56" i="9" s="1"/>
  <c r="AC54" i="9" s="1"/>
  <c r="DI307" i="7"/>
  <c r="DI315" i="7" s="1"/>
  <c r="DI560" i="7" s="1"/>
  <c r="DK308" i="7"/>
  <c r="DJ352" i="7"/>
  <c r="DJ353" i="7"/>
  <c r="DI352" i="7"/>
  <c r="DI353" i="7"/>
  <c r="DL252" i="7"/>
  <c r="DL353" i="7"/>
  <c r="DM353" i="7"/>
  <c r="DO353" i="7"/>
  <c r="DP353" i="7"/>
  <c r="DR353" i="7"/>
  <c r="DS353" i="7"/>
  <c r="DU353" i="7"/>
  <c r="DX353" i="7"/>
  <c r="DY353" i="7"/>
  <c r="EA353" i="7"/>
  <c r="EB353" i="7"/>
  <c r="ED353" i="7"/>
  <c r="EE353" i="7"/>
  <c r="EG353" i="7"/>
  <c r="EH353" i="7"/>
  <c r="EJ353" i="7"/>
  <c r="EK353" i="7"/>
  <c r="EM353" i="7"/>
  <c r="EN353" i="7"/>
  <c r="EP353" i="7"/>
  <c r="ER370" i="7"/>
  <c r="ER371" i="7"/>
  <c r="ER372" i="7"/>
  <c r="ER373" i="7"/>
  <c r="ER374" i="7"/>
  <c r="ER375" i="7"/>
  <c r="AZ27" i="7"/>
  <c r="BC27" i="7"/>
  <c r="BF27" i="7"/>
  <c r="E29" i="7"/>
  <c r="F29" i="7"/>
  <c r="G29" i="7"/>
  <c r="H29" i="7"/>
  <c r="I29" i="7"/>
  <c r="J29" i="7"/>
  <c r="K29" i="7"/>
  <c r="L29" i="7"/>
  <c r="M29" i="7"/>
  <c r="N29" i="7"/>
  <c r="O29" i="7"/>
  <c r="P29" i="7"/>
  <c r="Q29" i="7"/>
  <c r="R29" i="7"/>
  <c r="S29" i="7"/>
  <c r="T29" i="7"/>
  <c r="U29" i="7"/>
  <c r="V29" i="7"/>
  <c r="W29" i="7"/>
  <c r="X29" i="7"/>
  <c r="Y29" i="7"/>
  <c r="Z29" i="7"/>
  <c r="AA29" i="7"/>
  <c r="AB29" i="7"/>
  <c r="AC29" i="7"/>
  <c r="AD29" i="7"/>
  <c r="AE29" i="7"/>
  <c r="AF29" i="7"/>
  <c r="AG29" i="7"/>
  <c r="AH29" i="7"/>
  <c r="AI29" i="7"/>
  <c r="AJ29" i="7"/>
  <c r="AK29" i="7"/>
  <c r="AL29" i="7"/>
  <c r="F30" i="7"/>
  <c r="F166" i="7" s="1"/>
  <c r="I30" i="7"/>
  <c r="I166" i="7" s="1"/>
  <c r="L30" i="7"/>
  <c r="L166" i="7" s="1"/>
  <c r="O30" i="7"/>
  <c r="O166" i="7" s="1"/>
  <c r="R30" i="7"/>
  <c r="R166" i="7" s="1"/>
  <c r="U30" i="7"/>
  <c r="U166" i="7" s="1"/>
  <c r="X30" i="7"/>
  <c r="X166" i="7" s="1"/>
  <c r="AA30" i="7"/>
  <c r="AA166" i="7" s="1"/>
  <c r="AD30" i="7"/>
  <c r="AD166" i="7" s="1"/>
  <c r="AG30" i="7"/>
  <c r="AG166" i="7" s="1"/>
  <c r="AJ30" i="7"/>
  <c r="AJ166" i="7" s="1"/>
  <c r="AM30" i="7"/>
  <c r="AM166" i="7" s="1"/>
  <c r="AP30" i="7"/>
  <c r="AS30" i="7"/>
  <c r="AU169" i="7" s="1"/>
  <c r="AV30" i="7"/>
  <c r="AY30" i="7"/>
  <c r="AY176" i="7" s="1"/>
  <c r="BE30" i="7"/>
  <c r="BH30" i="7"/>
  <c r="BJ169" i="7" s="1"/>
  <c r="BL30" i="7"/>
  <c r="BM30" i="7"/>
  <c r="BP30" i="7"/>
  <c r="BQ30" i="7"/>
  <c r="BS30" i="7"/>
  <c r="BS166" i="7" s="1"/>
  <c r="BT30" i="7"/>
  <c r="AQ31" i="7"/>
  <c r="AR31" i="7"/>
  <c r="AT31" i="7"/>
  <c r="AU31" i="7"/>
  <c r="AW31" i="7"/>
  <c r="AX31" i="7"/>
  <c r="AZ31" i="7"/>
  <c r="BC31" i="7"/>
  <c r="BF31" i="7"/>
  <c r="BG31" i="7"/>
  <c r="BI31" i="7"/>
  <c r="BJ31" i="7"/>
  <c r="F32" i="7"/>
  <c r="I32" i="7"/>
  <c r="L32" i="7"/>
  <c r="O32" i="7"/>
  <c r="R32" i="7"/>
  <c r="U32" i="7"/>
  <c r="X32" i="7"/>
  <c r="AA32" i="7"/>
  <c r="AD32" i="7"/>
  <c r="AG32" i="7"/>
  <c r="AJ32" i="7"/>
  <c r="AM32" i="7"/>
  <c r="AP32" i="7"/>
  <c r="AS32" i="7"/>
  <c r="AV32" i="7"/>
  <c r="AY32" i="7"/>
  <c r="BB32" i="7"/>
  <c r="BE32" i="7"/>
  <c r="BH32" i="7"/>
  <c r="BL32" i="7"/>
  <c r="BK32" i="7" s="1"/>
  <c r="BP33" i="7"/>
  <c r="BQ33" i="7"/>
  <c r="BS33" i="7"/>
  <c r="BT33" i="7"/>
  <c r="E33" i="7"/>
  <c r="G33" i="7"/>
  <c r="H33" i="7"/>
  <c r="J33" i="7"/>
  <c r="K33" i="7"/>
  <c r="M33" i="7"/>
  <c r="N33" i="7"/>
  <c r="P33" i="7"/>
  <c r="Q33" i="7"/>
  <c r="S33" i="7"/>
  <c r="T33" i="7"/>
  <c r="V33" i="7"/>
  <c r="W33" i="7"/>
  <c r="Y33" i="7"/>
  <c r="Z33" i="7"/>
  <c r="AB33" i="7"/>
  <c r="AC33" i="7"/>
  <c r="AE33" i="7"/>
  <c r="AF33" i="7"/>
  <c r="AH33" i="7"/>
  <c r="AI33" i="7"/>
  <c r="AK33" i="7"/>
  <c r="AK42" i="7" s="1"/>
  <c r="AL33" i="7"/>
  <c r="AN33" i="7"/>
  <c r="AO33" i="7"/>
  <c r="AQ33" i="7"/>
  <c r="AR33" i="7"/>
  <c r="AT33" i="7"/>
  <c r="AU33" i="7"/>
  <c r="AW33" i="7"/>
  <c r="AX33" i="7"/>
  <c r="AZ33" i="7"/>
  <c r="BC33" i="7"/>
  <c r="BD33" i="7"/>
  <c r="BF33" i="7"/>
  <c r="BG33" i="7"/>
  <c r="BI33" i="7"/>
  <c r="BJ33" i="7"/>
  <c r="E35" i="7"/>
  <c r="E34" i="7" s="1"/>
  <c r="G35" i="7"/>
  <c r="H35" i="7"/>
  <c r="H34" i="7" s="1"/>
  <c r="J35" i="7"/>
  <c r="J34" i="7" s="1"/>
  <c r="K35" i="7"/>
  <c r="K34" i="7" s="1"/>
  <c r="M35" i="7"/>
  <c r="M34" i="7" s="1"/>
  <c r="N35" i="7"/>
  <c r="N34" i="7" s="1"/>
  <c r="P35" i="7"/>
  <c r="P34" i="7" s="1"/>
  <c r="Q35" i="7"/>
  <c r="Q34" i="7" s="1"/>
  <c r="S35" i="7"/>
  <c r="S34" i="7" s="1"/>
  <c r="T35" i="7"/>
  <c r="V35" i="7"/>
  <c r="W35" i="7"/>
  <c r="W34" i="7" s="1"/>
  <c r="Y35" i="7"/>
  <c r="Y555" i="7" s="1"/>
  <c r="Z35" i="7"/>
  <c r="Z34" i="7" s="1"/>
  <c r="AB35" i="7"/>
  <c r="AB34" i="7" s="1"/>
  <c r="AC35" i="7"/>
  <c r="AC34" i="7" s="1"/>
  <c r="AE35" i="7"/>
  <c r="AE34" i="7" s="1"/>
  <c r="AF35" i="7"/>
  <c r="AF34" i="7" s="1"/>
  <c r="AH35" i="7"/>
  <c r="AH34" i="7" s="1"/>
  <c r="AI35" i="7"/>
  <c r="AI34" i="7" s="1"/>
  <c r="AL35" i="7"/>
  <c r="AL34" i="7" s="1"/>
  <c r="AN35" i="7"/>
  <c r="AN555" i="7" s="1"/>
  <c r="AO35" i="7"/>
  <c r="AO34" i="7" s="1"/>
  <c r="AQ35" i="7"/>
  <c r="AQ34" i="7" s="1"/>
  <c r="AR35" i="7"/>
  <c r="AR34" i="7" s="1"/>
  <c r="AT35" i="7"/>
  <c r="AT34" i="7" s="1"/>
  <c r="AU35" i="7"/>
  <c r="AW35" i="7"/>
  <c r="AW34" i="7" s="1"/>
  <c r="AX35" i="7"/>
  <c r="AX34" i="7" s="1"/>
  <c r="AZ35" i="7"/>
  <c r="AZ38" i="7"/>
  <c r="AY38" i="7" s="1"/>
  <c r="AZ40" i="7"/>
  <c r="AY40" i="7" s="1"/>
  <c r="BA35" i="7"/>
  <c r="BA36" i="7"/>
  <c r="BB36" i="7" s="1"/>
  <c r="BA37" i="7"/>
  <c r="BB37" i="7" s="1"/>
  <c r="BA38" i="7"/>
  <c r="BB38" i="7" s="1"/>
  <c r="BA39" i="7"/>
  <c r="BB39" i="7" s="1"/>
  <c r="BA196" i="7"/>
  <c r="BA197" i="7"/>
  <c r="BA41" i="7"/>
  <c r="BB41" i="7" s="1"/>
  <c r="BC35" i="7"/>
  <c r="BC34" i="7" s="1"/>
  <c r="BD35" i="7"/>
  <c r="BD555" i="7" s="1"/>
  <c r="BD196" i="7"/>
  <c r="BD197" i="7"/>
  <c r="BF35" i="7"/>
  <c r="BF36" i="7"/>
  <c r="BE36" i="7" s="1"/>
  <c r="BF38" i="7"/>
  <c r="BE38" i="7" s="1"/>
  <c r="BF39" i="7"/>
  <c r="BE39" i="7" s="1"/>
  <c r="BF196" i="7"/>
  <c r="BF197" i="7"/>
  <c r="BF41" i="7"/>
  <c r="BE41" i="7" s="1"/>
  <c r="BG35" i="7"/>
  <c r="BH35" i="7" s="1"/>
  <c r="BG36" i="7"/>
  <c r="BG37" i="7"/>
  <c r="BG38" i="7"/>
  <c r="BG196" i="7"/>
  <c r="BG197" i="7"/>
  <c r="BG41" i="7"/>
  <c r="BH41" i="7" s="1"/>
  <c r="BI36" i="7"/>
  <c r="BI37" i="7"/>
  <c r="BI38" i="7"/>
  <c r="BI196" i="7"/>
  <c r="BI197" i="7"/>
  <c r="BJ35" i="7"/>
  <c r="BJ37" i="7"/>
  <c r="BJ38" i="7"/>
  <c r="BJ196" i="7"/>
  <c r="BJ197" i="7"/>
  <c r="BL76" i="7"/>
  <c r="BL36" i="7"/>
  <c r="BK36" i="7" s="1"/>
  <c r="BL37" i="7"/>
  <c r="BL38" i="7"/>
  <c r="BM35" i="7"/>
  <c r="BM36" i="7"/>
  <c r="BM37" i="7"/>
  <c r="BM38" i="7"/>
  <c r="BM191" i="7"/>
  <c r="BM39" i="7" s="1"/>
  <c r="BN39" i="7" s="1"/>
  <c r="BM196" i="7"/>
  <c r="BM197" i="7"/>
  <c r="BN197" i="7" s="1"/>
  <c r="BN162" i="8" s="1"/>
  <c r="BM41" i="7"/>
  <c r="BN41" i="7" s="1"/>
  <c r="BO36" i="7"/>
  <c r="BO37" i="7"/>
  <c r="BO38" i="7"/>
  <c r="BP35" i="7"/>
  <c r="BP36" i="7"/>
  <c r="BP37" i="7"/>
  <c r="BP38" i="7"/>
  <c r="BP191" i="7"/>
  <c r="BP39" i="7" s="1"/>
  <c r="BP196" i="7"/>
  <c r="BP197" i="7"/>
  <c r="BP41" i="7"/>
  <c r="BR35" i="7"/>
  <c r="BR36" i="7"/>
  <c r="BR37" i="7"/>
  <c r="BR38" i="7"/>
  <c r="BR191" i="7"/>
  <c r="BR39" i="7" s="1"/>
  <c r="BR196" i="7"/>
  <c r="BR197" i="7"/>
  <c r="BR41" i="7"/>
  <c r="BS35" i="7"/>
  <c r="BS36" i="7"/>
  <c r="BS37" i="7"/>
  <c r="BS38" i="7"/>
  <c r="BS191" i="7"/>
  <c r="BS41" i="7"/>
  <c r="BU35" i="7"/>
  <c r="BU36" i="7"/>
  <c r="BU37" i="7"/>
  <c r="BU38" i="7"/>
  <c r="BU41" i="7"/>
  <c r="BV35" i="7"/>
  <c r="BV36" i="7"/>
  <c r="BV37" i="7"/>
  <c r="BV38" i="7"/>
  <c r="BV196" i="7"/>
  <c r="BV197" i="7"/>
  <c r="BV41" i="7"/>
  <c r="BX35" i="7"/>
  <c r="BX36" i="7"/>
  <c r="BX37" i="7"/>
  <c r="BX38" i="7"/>
  <c r="BX39" i="7"/>
  <c r="BW39" i="7" s="1"/>
  <c r="BX196" i="7"/>
  <c r="BX197" i="7"/>
  <c r="BX41" i="7"/>
  <c r="BY35" i="7"/>
  <c r="BY36" i="7"/>
  <c r="BY37" i="7"/>
  <c r="BY38" i="7"/>
  <c r="BY191" i="7"/>
  <c r="BY196" i="7"/>
  <c r="BY197" i="7"/>
  <c r="BY41" i="7"/>
  <c r="CA36" i="7"/>
  <c r="CA37" i="7"/>
  <c r="CA38" i="7"/>
  <c r="CA39" i="7"/>
  <c r="CA196" i="7"/>
  <c r="CA197" i="7"/>
  <c r="CA41" i="7"/>
  <c r="CB35" i="7"/>
  <c r="CB36" i="7"/>
  <c r="CB37" i="7"/>
  <c r="CB38" i="7"/>
  <c r="CB196" i="7"/>
  <c r="CB197" i="7"/>
  <c r="CB41" i="7"/>
  <c r="CD35" i="7"/>
  <c r="CD36" i="7"/>
  <c r="CD37" i="7"/>
  <c r="CD38" i="7"/>
  <c r="CD191" i="7"/>
  <c r="CD196" i="7"/>
  <c r="CD197" i="7"/>
  <c r="CD41" i="7"/>
  <c r="CE35" i="7"/>
  <c r="CE36" i="7"/>
  <c r="CE37" i="7"/>
  <c r="CE38" i="7"/>
  <c r="CE191" i="7"/>
  <c r="CE39" i="7" s="1"/>
  <c r="CE196" i="7"/>
  <c r="CE197" i="7"/>
  <c r="CG36" i="7"/>
  <c r="CG37" i="7"/>
  <c r="CG38" i="7"/>
  <c r="CG191" i="7"/>
  <c r="CG196" i="7"/>
  <c r="CG197" i="7"/>
  <c r="CH35" i="7"/>
  <c r="CH36" i="7"/>
  <c r="CH37" i="7"/>
  <c r="CH38" i="7"/>
  <c r="CH191" i="7"/>
  <c r="CH39" i="7" s="1"/>
  <c r="CH196" i="7"/>
  <c r="CH197" i="7"/>
  <c r="CJ36" i="7"/>
  <c r="CJ37" i="7"/>
  <c r="CJ38" i="7"/>
  <c r="CJ191" i="7"/>
  <c r="CJ39" i="7" s="1"/>
  <c r="CJ196" i="7"/>
  <c r="CJ197" i="7"/>
  <c r="CK36" i="7"/>
  <c r="CK37" i="7"/>
  <c r="CK38" i="7"/>
  <c r="CK191" i="7"/>
  <c r="CK39" i="7" s="1"/>
  <c r="CK196" i="7"/>
  <c r="CK197" i="7"/>
  <c r="CM36" i="7"/>
  <c r="CM37" i="7"/>
  <c r="CM38" i="7"/>
  <c r="CM191" i="7"/>
  <c r="CM196" i="7"/>
  <c r="CM197" i="7"/>
  <c r="CN36" i="7"/>
  <c r="CN37" i="7"/>
  <c r="CN38" i="7"/>
  <c r="CN39" i="7"/>
  <c r="CN196" i="7"/>
  <c r="CN197" i="7"/>
  <c r="CP36" i="7"/>
  <c r="CP37" i="7"/>
  <c r="CP38" i="7"/>
  <c r="CP191" i="7"/>
  <c r="CP196" i="7"/>
  <c r="CP197" i="7"/>
  <c r="CQ36" i="7"/>
  <c r="CQ37" i="7"/>
  <c r="CQ38" i="7"/>
  <c r="CQ191" i="7"/>
  <c r="CQ39" i="7" s="1"/>
  <c r="CQ196" i="7"/>
  <c r="CQ195" i="7" s="1"/>
  <c r="CS36" i="7"/>
  <c r="CS37" i="7"/>
  <c r="CS38" i="7"/>
  <c r="CS191" i="7"/>
  <c r="CS196" i="7"/>
  <c r="CS40" i="7" s="1"/>
  <c r="CT36" i="7"/>
  <c r="CT37" i="7"/>
  <c r="CT38" i="7"/>
  <c r="CT191" i="7"/>
  <c r="CT39" i="7" s="1"/>
  <c r="CT196" i="7"/>
  <c r="CT197" i="7"/>
  <c r="CV36" i="7"/>
  <c r="CV37" i="7"/>
  <c r="CV38" i="7"/>
  <c r="CV191" i="7"/>
  <c r="CV196" i="7"/>
  <c r="CV197" i="7"/>
  <c r="CW36" i="7"/>
  <c r="CW37" i="7"/>
  <c r="CW38" i="7"/>
  <c r="CW191" i="7"/>
  <c r="CW39" i="7" s="1"/>
  <c r="CW196" i="7"/>
  <c r="CW197" i="7"/>
  <c r="CY36" i="7"/>
  <c r="CY37" i="7"/>
  <c r="CY38" i="7"/>
  <c r="CY191" i="7"/>
  <c r="CY196" i="7"/>
  <c r="CY197" i="7"/>
  <c r="CZ36" i="7"/>
  <c r="DA36" i="7" s="1"/>
  <c r="CZ37" i="7"/>
  <c r="CZ38" i="7"/>
  <c r="CZ191" i="7"/>
  <c r="CZ196" i="7"/>
  <c r="CZ197" i="7"/>
  <c r="DB37" i="7"/>
  <c r="DB38" i="7"/>
  <c r="DB191" i="7"/>
  <c r="DB196" i="7"/>
  <c r="DB197" i="7"/>
  <c r="DC36" i="7"/>
  <c r="DC37" i="7"/>
  <c r="DC38" i="7"/>
  <c r="DC191" i="7"/>
  <c r="DC39" i="7" s="1"/>
  <c r="DC196" i="7"/>
  <c r="DC197" i="7"/>
  <c r="DE36" i="7"/>
  <c r="DE37" i="7"/>
  <c r="DE38" i="7"/>
  <c r="DE191" i="7"/>
  <c r="DE196" i="7"/>
  <c r="DE197" i="7"/>
  <c r="DF36" i="7"/>
  <c r="DF37" i="7"/>
  <c r="DF38" i="7"/>
  <c r="DF191" i="7"/>
  <c r="DF39" i="7" s="1"/>
  <c r="DF196" i="7"/>
  <c r="DF197" i="7"/>
  <c r="DH36" i="7"/>
  <c r="DH37" i="7"/>
  <c r="DH38" i="7"/>
  <c r="DH191" i="7"/>
  <c r="DH196" i="7"/>
  <c r="DH197" i="7"/>
  <c r="DI36" i="7"/>
  <c r="DI37" i="7"/>
  <c r="DI38" i="7"/>
  <c r="DI191" i="7"/>
  <c r="DI39" i="7" s="1"/>
  <c r="DI196" i="7"/>
  <c r="DI197" i="7"/>
  <c r="DK36" i="7"/>
  <c r="DK37" i="7"/>
  <c r="DK38" i="7"/>
  <c r="DK191" i="7"/>
  <c r="DK196" i="7"/>
  <c r="DK197" i="7"/>
  <c r="DL36" i="7"/>
  <c r="DL37" i="7"/>
  <c r="DL38" i="7"/>
  <c r="DN36" i="7"/>
  <c r="DN37" i="7"/>
  <c r="DN38" i="7"/>
  <c r="DO36" i="7"/>
  <c r="DO37" i="7"/>
  <c r="DO38" i="7"/>
  <c r="DQ36" i="7"/>
  <c r="DQ37" i="7"/>
  <c r="DQ38" i="7"/>
  <c r="DR36" i="7"/>
  <c r="DR37" i="7"/>
  <c r="DR38" i="7"/>
  <c r="DT36" i="7"/>
  <c r="DT37" i="7"/>
  <c r="DT38" i="7"/>
  <c r="DU36" i="7"/>
  <c r="DV36" i="7" s="1"/>
  <c r="DU37" i="7"/>
  <c r="DV37" i="7" s="1"/>
  <c r="DU38" i="7"/>
  <c r="DV38" i="7" s="1"/>
  <c r="DZ36" i="7"/>
  <c r="DZ37" i="7"/>
  <c r="DZ38" i="7"/>
  <c r="EA36" i="7"/>
  <c r="EA37" i="7"/>
  <c r="EA38" i="7"/>
  <c r="EC36" i="7"/>
  <c r="EC37" i="7"/>
  <c r="EC38" i="7"/>
  <c r="ED36" i="7"/>
  <c r="ED37" i="7"/>
  <c r="ED38" i="7"/>
  <c r="EF36" i="7"/>
  <c r="EF37" i="7"/>
  <c r="EF38" i="7"/>
  <c r="EG36" i="7"/>
  <c r="EG37" i="7"/>
  <c r="EG38" i="7"/>
  <c r="EI36" i="7"/>
  <c r="EI37" i="7"/>
  <c r="EI38" i="7"/>
  <c r="EJ36" i="7"/>
  <c r="EJ37" i="7"/>
  <c r="EJ38" i="7"/>
  <c r="EL36" i="7"/>
  <c r="EL37" i="7"/>
  <c r="EL38" i="7"/>
  <c r="EM36" i="7"/>
  <c r="EM37" i="7"/>
  <c r="EM38" i="7"/>
  <c r="EO36" i="7"/>
  <c r="EO37" i="7"/>
  <c r="EO38" i="7"/>
  <c r="EP36" i="7"/>
  <c r="EP37" i="7"/>
  <c r="EP38" i="7"/>
  <c r="ER36" i="7"/>
  <c r="ER37" i="7"/>
  <c r="ER38" i="7"/>
  <c r="AK35" i="7"/>
  <c r="AK555" i="7" s="1"/>
  <c r="F36" i="7"/>
  <c r="I36" i="7"/>
  <c r="L36" i="7"/>
  <c r="O36" i="7"/>
  <c r="R36" i="7"/>
  <c r="U36" i="7"/>
  <c r="X36" i="7"/>
  <c r="AA36" i="7"/>
  <c r="AD36" i="7"/>
  <c r="AG36" i="7"/>
  <c r="AJ36" i="7"/>
  <c r="AM36" i="7"/>
  <c r="AP36" i="7"/>
  <c r="AS36" i="7"/>
  <c r="AV36" i="7"/>
  <c r="AY36" i="7"/>
  <c r="F37" i="7"/>
  <c r="I37" i="7"/>
  <c r="L37" i="7"/>
  <c r="O37" i="7"/>
  <c r="R37" i="7"/>
  <c r="U37" i="7"/>
  <c r="X37" i="7"/>
  <c r="AA37" i="7"/>
  <c r="AD37" i="7"/>
  <c r="AG37" i="7"/>
  <c r="AJ37" i="7"/>
  <c r="AM37" i="7"/>
  <c r="AP37" i="7"/>
  <c r="AS37" i="7"/>
  <c r="AV37" i="7"/>
  <c r="AY37" i="7"/>
  <c r="F38" i="7"/>
  <c r="I38" i="7"/>
  <c r="L38" i="7"/>
  <c r="O38" i="7"/>
  <c r="R38" i="7"/>
  <c r="U38" i="7"/>
  <c r="X38" i="7"/>
  <c r="AA38" i="7"/>
  <c r="AD38" i="7"/>
  <c r="AG38" i="7"/>
  <c r="AJ38" i="7"/>
  <c r="AM38" i="7"/>
  <c r="AP38" i="7"/>
  <c r="AS38" i="7"/>
  <c r="AV38" i="7"/>
  <c r="F39" i="7"/>
  <c r="I39" i="7"/>
  <c r="L39" i="7"/>
  <c r="O39" i="7"/>
  <c r="R39" i="7"/>
  <c r="U39" i="7"/>
  <c r="X39" i="7"/>
  <c r="AA39" i="7"/>
  <c r="AD39" i="7"/>
  <c r="AG39" i="7"/>
  <c r="AJ39" i="7"/>
  <c r="AM39" i="7"/>
  <c r="AP39" i="7"/>
  <c r="AS39" i="7"/>
  <c r="AV39" i="7"/>
  <c r="AY39" i="7"/>
  <c r="BH39" i="7"/>
  <c r="BK39" i="7"/>
  <c r="F40" i="7"/>
  <c r="I40" i="7"/>
  <c r="L40" i="7"/>
  <c r="O40" i="7"/>
  <c r="R40" i="7"/>
  <c r="U40" i="7"/>
  <c r="X40" i="7"/>
  <c r="AA40" i="7"/>
  <c r="AD40" i="7"/>
  <c r="AG40" i="7"/>
  <c r="AJ40" i="7"/>
  <c r="AM40" i="7"/>
  <c r="AP40" i="7"/>
  <c r="AS40" i="7"/>
  <c r="AV40" i="7"/>
  <c r="BT40" i="7"/>
  <c r="F41" i="7"/>
  <c r="I41" i="7"/>
  <c r="L41" i="7"/>
  <c r="O41" i="7"/>
  <c r="R41" i="7"/>
  <c r="U41" i="7"/>
  <c r="X41" i="7"/>
  <c r="AA41" i="7"/>
  <c r="AD41" i="7"/>
  <c r="AG41" i="7"/>
  <c r="AJ41" i="7"/>
  <c r="AM41" i="7"/>
  <c r="AP41" i="7"/>
  <c r="AS41" i="7"/>
  <c r="AV41" i="7"/>
  <c r="AY41" i="7"/>
  <c r="BK41" i="7"/>
  <c r="E75" i="7"/>
  <c r="E73" i="7" s="1"/>
  <c r="E179" i="7" s="1"/>
  <c r="E65" i="7"/>
  <c r="E63" i="7" s="1"/>
  <c r="E57" i="7"/>
  <c r="G75" i="7"/>
  <c r="G73" i="7" s="1"/>
  <c r="G179" i="7" s="1"/>
  <c r="G65" i="7"/>
  <c r="G57" i="7"/>
  <c r="H75" i="7"/>
  <c r="H73" i="7" s="1"/>
  <c r="H4" i="8" s="1"/>
  <c r="H10" i="8" s="1"/>
  <c r="H65" i="7"/>
  <c r="H63" i="7" s="1"/>
  <c r="H57" i="7"/>
  <c r="J75" i="7"/>
  <c r="J65" i="7"/>
  <c r="J57" i="7"/>
  <c r="K75" i="7"/>
  <c r="K73" i="7" s="1"/>
  <c r="K179" i="7" s="1"/>
  <c r="K65" i="7"/>
  <c r="K63" i="7" s="1"/>
  <c r="K57" i="7"/>
  <c r="M75" i="7"/>
  <c r="M73" i="7" s="1"/>
  <c r="M179" i="7" s="1"/>
  <c r="M65" i="7"/>
  <c r="M57" i="7"/>
  <c r="N75" i="7"/>
  <c r="N73" i="7" s="1"/>
  <c r="N4" i="8" s="1"/>
  <c r="N10" i="8" s="1"/>
  <c r="N65" i="7"/>
  <c r="N63" i="7" s="1"/>
  <c r="N57" i="7"/>
  <c r="P75" i="7"/>
  <c r="P65" i="7"/>
  <c r="P63" i="7" s="1"/>
  <c r="P57" i="7"/>
  <c r="Q75" i="7"/>
  <c r="Q65" i="7"/>
  <c r="Q63" i="7" s="1"/>
  <c r="Q57" i="7"/>
  <c r="S75" i="7"/>
  <c r="S73" i="7" s="1"/>
  <c r="S179" i="7" s="1"/>
  <c r="S65" i="7"/>
  <c r="S57" i="7"/>
  <c r="T75" i="7"/>
  <c r="T73" i="7" s="1"/>
  <c r="T65" i="7"/>
  <c r="T63" i="7" s="1"/>
  <c r="T57" i="7"/>
  <c r="V75" i="7"/>
  <c r="V65" i="7"/>
  <c r="V63" i="7" s="1"/>
  <c r="V57" i="7"/>
  <c r="W75" i="7"/>
  <c r="W73" i="7" s="1"/>
  <c r="W179" i="7" s="1"/>
  <c r="W65" i="7"/>
  <c r="W63" i="7" s="1"/>
  <c r="W57" i="7"/>
  <c r="Y75" i="7"/>
  <c r="Y73" i="7" s="1"/>
  <c r="Y179" i="7" s="1"/>
  <c r="Y65" i="7"/>
  <c r="Y57" i="7"/>
  <c r="Z75" i="7"/>
  <c r="Z73" i="7" s="1"/>
  <c r="Z4" i="8" s="1"/>
  <c r="Z10" i="8" s="1"/>
  <c r="Z65" i="7"/>
  <c r="Z63" i="7" s="1"/>
  <c r="Z57" i="7"/>
  <c r="AB75" i="7"/>
  <c r="AB65" i="7"/>
  <c r="AB63" i="7" s="1"/>
  <c r="AB57" i="7"/>
  <c r="AC75" i="7"/>
  <c r="AC73" i="7" s="1"/>
  <c r="AC179" i="7" s="1"/>
  <c r="AC65" i="7"/>
  <c r="AC63" i="7" s="1"/>
  <c r="AC57" i="7"/>
  <c r="AE75" i="7"/>
  <c r="AE73" i="7" s="1"/>
  <c r="AE179" i="7" s="1"/>
  <c r="AE65" i="7"/>
  <c r="AE57" i="7"/>
  <c r="AF75" i="7"/>
  <c r="AF73" i="7" s="1"/>
  <c r="AF65" i="7"/>
  <c r="AF63" i="7" s="1"/>
  <c r="AF57" i="7"/>
  <c r="AH75" i="7"/>
  <c r="AH65" i="7"/>
  <c r="AH63" i="7" s="1"/>
  <c r="AH57" i="7"/>
  <c r="BC44" i="7"/>
  <c r="BA44" i="7" s="1"/>
  <c r="BB44" i="7" s="1"/>
  <c r="BC48" i="7"/>
  <c r="BA48" i="7" s="1"/>
  <c r="BG44" i="7"/>
  <c r="BH44" i="7" s="1"/>
  <c r="BG48" i="7"/>
  <c r="BH48" i="7" s="1"/>
  <c r="BR45" i="7"/>
  <c r="BU45" i="7"/>
  <c r="BU132" i="8" s="1"/>
  <c r="BX45" i="7"/>
  <c r="F44" i="7"/>
  <c r="I44" i="7"/>
  <c r="L44" i="7"/>
  <c r="O44" i="7"/>
  <c r="R44" i="7"/>
  <c r="U44" i="7"/>
  <c r="X44" i="7"/>
  <c r="AA44" i="7"/>
  <c r="AD44" i="7"/>
  <c r="AG44" i="7"/>
  <c r="AJ44" i="7"/>
  <c r="AM44" i="7"/>
  <c r="AP44" i="7"/>
  <c r="AS44" i="7"/>
  <c r="AV44" i="7"/>
  <c r="AY44" i="7"/>
  <c r="BK44" i="7"/>
  <c r="BN44" i="7"/>
  <c r="BQ44" i="7"/>
  <c r="BT44" i="7"/>
  <c r="BW44" i="7"/>
  <c r="BZ44" i="7"/>
  <c r="CC44" i="7"/>
  <c r="CF44" i="7"/>
  <c r="CI44" i="7"/>
  <c r="CL44" i="7"/>
  <c r="CO44" i="7"/>
  <c r="CR44" i="7"/>
  <c r="CU44" i="7"/>
  <c r="CX44" i="7"/>
  <c r="DA44" i="7"/>
  <c r="DD44" i="7"/>
  <c r="DG44" i="7"/>
  <c r="DJ44" i="7"/>
  <c r="DM44" i="7"/>
  <c r="DP44" i="7"/>
  <c r="DS44" i="7"/>
  <c r="DY44" i="7"/>
  <c r="EB44" i="7"/>
  <c r="EE44" i="7"/>
  <c r="EH44" i="7"/>
  <c r="EK44" i="7"/>
  <c r="EN44" i="7"/>
  <c r="F45" i="7"/>
  <c r="I45" i="7"/>
  <c r="L45" i="7"/>
  <c r="O45" i="7"/>
  <c r="R45" i="7"/>
  <c r="U45" i="7"/>
  <c r="X45" i="7"/>
  <c r="AA45" i="7"/>
  <c r="AD45" i="7"/>
  <c r="AG45" i="7"/>
  <c r="AJ45" i="7"/>
  <c r="AM45" i="7"/>
  <c r="AP45" i="7"/>
  <c r="AS45" i="7"/>
  <c r="AV45" i="7"/>
  <c r="AY45" i="7"/>
  <c r="BA45" i="7"/>
  <c r="BE45" i="7"/>
  <c r="BH45" i="7"/>
  <c r="BK45" i="7"/>
  <c r="BN45" i="7"/>
  <c r="F46" i="7"/>
  <c r="I46" i="7"/>
  <c r="L46" i="7"/>
  <c r="O46" i="7"/>
  <c r="R46" i="7"/>
  <c r="U46" i="7"/>
  <c r="X46" i="7"/>
  <c r="AA46" i="7"/>
  <c r="AD46" i="7"/>
  <c r="AG46" i="7"/>
  <c r="AJ46" i="7"/>
  <c r="AM46" i="7"/>
  <c r="AP46" i="7"/>
  <c r="AS46" i="7"/>
  <c r="AV46" i="7"/>
  <c r="AY46" i="7"/>
  <c r="BB46" i="7"/>
  <c r="BE46" i="7"/>
  <c r="BH46" i="7"/>
  <c r="BK46" i="7"/>
  <c r="BN46" i="7"/>
  <c r="BQ46" i="7"/>
  <c r="BT46" i="7"/>
  <c r="BW46" i="7"/>
  <c r="BZ46" i="7"/>
  <c r="CC46" i="7"/>
  <c r="CF46" i="7"/>
  <c r="CI46" i="7"/>
  <c r="CL46" i="7"/>
  <c r="CO46" i="7"/>
  <c r="CR46" i="7"/>
  <c r="CU46" i="7"/>
  <c r="CX46" i="7"/>
  <c r="DA46" i="7"/>
  <c r="DD46" i="7"/>
  <c r="DG46" i="7"/>
  <c r="DJ46" i="7"/>
  <c r="DM46" i="7"/>
  <c r="DP46" i="7"/>
  <c r="DS46" i="7"/>
  <c r="DY46" i="7"/>
  <c r="EB46" i="7"/>
  <c r="EE46" i="7"/>
  <c r="EH46" i="7"/>
  <c r="EK46" i="7"/>
  <c r="EN46" i="7"/>
  <c r="F47" i="7"/>
  <c r="I47" i="7"/>
  <c r="L47" i="7"/>
  <c r="O47" i="7"/>
  <c r="R47" i="7"/>
  <c r="U47" i="7"/>
  <c r="X47" i="7"/>
  <c r="AA47" i="7"/>
  <c r="AD47" i="7"/>
  <c r="AG47" i="7"/>
  <c r="AJ47" i="7"/>
  <c r="AM47" i="7"/>
  <c r="AP47" i="7"/>
  <c r="AS47" i="7"/>
  <c r="AV47" i="7"/>
  <c r="AY47" i="7"/>
  <c r="BB47" i="7"/>
  <c r="BE47" i="7"/>
  <c r="BH47" i="7"/>
  <c r="BK47" i="7"/>
  <c r="BN47" i="7"/>
  <c r="BQ47" i="7"/>
  <c r="BT47" i="7"/>
  <c r="BW47" i="7"/>
  <c r="BZ47" i="7"/>
  <c r="CC47" i="7"/>
  <c r="CF47" i="7"/>
  <c r="CI47" i="7"/>
  <c r="CL47" i="7"/>
  <c r="CO47" i="7"/>
  <c r="CR47" i="7"/>
  <c r="CU47" i="7"/>
  <c r="CX47" i="7"/>
  <c r="DA47" i="7"/>
  <c r="DD47" i="7"/>
  <c r="DG47" i="7"/>
  <c r="DJ47" i="7"/>
  <c r="DM47" i="7"/>
  <c r="DP47" i="7"/>
  <c r="DS47" i="7"/>
  <c r="DY47" i="7"/>
  <c r="EB47" i="7"/>
  <c r="EE47" i="7"/>
  <c r="EH47" i="7"/>
  <c r="EK47" i="7"/>
  <c r="EN47" i="7"/>
  <c r="F48" i="7"/>
  <c r="I48" i="7"/>
  <c r="L48" i="7"/>
  <c r="O48" i="7"/>
  <c r="R48" i="7"/>
  <c r="U48" i="7"/>
  <c r="X48" i="7"/>
  <c r="AA48" i="7"/>
  <c r="AD48" i="7"/>
  <c r="AG48" i="7"/>
  <c r="AJ48" i="7"/>
  <c r="AM48" i="7"/>
  <c r="AP48" i="7"/>
  <c r="AS48" i="7"/>
  <c r="AV48" i="7"/>
  <c r="AY48" i="7"/>
  <c r="BE48" i="7"/>
  <c r="BK48" i="7"/>
  <c r="BN48" i="7"/>
  <c r="BQ48" i="7"/>
  <c r="BT48" i="7"/>
  <c r="BW48" i="7"/>
  <c r="BZ48" i="7"/>
  <c r="CC48" i="7"/>
  <c r="CF48" i="7"/>
  <c r="CI48" i="7"/>
  <c r="CL48" i="7"/>
  <c r="CO48" i="7"/>
  <c r="CR48" i="7"/>
  <c r="CU48" i="7"/>
  <c r="CX48" i="7"/>
  <c r="DA48" i="7"/>
  <c r="DD48" i="7"/>
  <c r="DG48" i="7"/>
  <c r="DJ48" i="7"/>
  <c r="DM48" i="7"/>
  <c r="DP48" i="7"/>
  <c r="DS48" i="7"/>
  <c r="DY48" i="7"/>
  <c r="EB48" i="7"/>
  <c r="EE48" i="7"/>
  <c r="EH48" i="7"/>
  <c r="EK48" i="7"/>
  <c r="EN48" i="7"/>
  <c r="F49" i="7"/>
  <c r="I49" i="7"/>
  <c r="L49" i="7"/>
  <c r="O49" i="7"/>
  <c r="R49" i="7"/>
  <c r="U49" i="7"/>
  <c r="X49" i="7"/>
  <c r="AA49" i="7"/>
  <c r="AD49" i="7"/>
  <c r="AG49" i="7"/>
  <c r="AJ49" i="7"/>
  <c r="AM49" i="7"/>
  <c r="AP49" i="7"/>
  <c r="AS49" i="7"/>
  <c r="AV49" i="7"/>
  <c r="AY49" i="7"/>
  <c r="BB49" i="7"/>
  <c r="BE49" i="7"/>
  <c r="BH49" i="7"/>
  <c r="BK49" i="7"/>
  <c r="BN49" i="7"/>
  <c r="BQ49" i="7"/>
  <c r="BT49" i="7"/>
  <c r="BW49" i="7"/>
  <c r="BZ49" i="7"/>
  <c r="CC49" i="7"/>
  <c r="CF49" i="7"/>
  <c r="CI49" i="7"/>
  <c r="CL49" i="7"/>
  <c r="CO49" i="7"/>
  <c r="CR49" i="7"/>
  <c r="CU49" i="7"/>
  <c r="CX49" i="7"/>
  <c r="DA49" i="7"/>
  <c r="DD49" i="7"/>
  <c r="DG49" i="7"/>
  <c r="DJ49" i="7"/>
  <c r="DM49" i="7"/>
  <c r="DP49" i="7"/>
  <c r="DS49" i="7"/>
  <c r="DY49" i="7"/>
  <c r="EB49" i="7"/>
  <c r="EE49" i="7"/>
  <c r="EH49" i="7"/>
  <c r="EK49" i="7"/>
  <c r="EN49" i="7"/>
  <c r="F52" i="7"/>
  <c r="I52" i="7"/>
  <c r="L52" i="7"/>
  <c r="O52" i="7"/>
  <c r="R52" i="7"/>
  <c r="U52" i="7"/>
  <c r="X52" i="7"/>
  <c r="AA52" i="7"/>
  <c r="AD52" i="7"/>
  <c r="AG52" i="7"/>
  <c r="AJ52" i="7"/>
  <c r="AM52" i="7"/>
  <c r="AP52" i="7"/>
  <c r="AS52" i="7"/>
  <c r="AV52" i="7"/>
  <c r="AY52" i="7"/>
  <c r="BB52" i="7"/>
  <c r="BE52" i="7"/>
  <c r="BH52" i="7"/>
  <c r="BK52" i="7"/>
  <c r="BN52" i="7"/>
  <c r="BQ52" i="7"/>
  <c r="BT52" i="7"/>
  <c r="BW52" i="7"/>
  <c r="BZ52" i="7"/>
  <c r="CC52" i="7"/>
  <c r="CF52" i="7"/>
  <c r="CI52" i="7"/>
  <c r="CL52" i="7"/>
  <c r="CO52" i="7"/>
  <c r="CR52" i="7"/>
  <c r="CU52" i="7"/>
  <c r="CX52" i="7"/>
  <c r="DA52" i="7"/>
  <c r="DD52" i="7"/>
  <c r="DG52" i="7"/>
  <c r="DJ52" i="7"/>
  <c r="DM52" i="7"/>
  <c r="DP52" i="7"/>
  <c r="DS52" i="7"/>
  <c r="DY52" i="7"/>
  <c r="EB52" i="7"/>
  <c r="EE52" i="7"/>
  <c r="EH52" i="7"/>
  <c r="EK52" i="7"/>
  <c r="EN52" i="7"/>
  <c r="BL57" i="7"/>
  <c r="BM60" i="7"/>
  <c r="BN60" i="7" s="1"/>
  <c r="F58" i="7"/>
  <c r="I58" i="7"/>
  <c r="L58" i="7"/>
  <c r="O58" i="7"/>
  <c r="R58" i="7"/>
  <c r="U58" i="7"/>
  <c r="X58" i="7"/>
  <c r="AA58" i="7"/>
  <c r="AD58" i="7"/>
  <c r="AG58" i="7"/>
  <c r="AJ58" i="7"/>
  <c r="AM58" i="7"/>
  <c r="AP58" i="7"/>
  <c r="AS58" i="7"/>
  <c r="AV58" i="7"/>
  <c r="AY58" i="7"/>
  <c r="BB58" i="7"/>
  <c r="BH58" i="7"/>
  <c r="BK58" i="7"/>
  <c r="F60" i="7"/>
  <c r="I60" i="7"/>
  <c r="L60" i="7"/>
  <c r="O60" i="7"/>
  <c r="R60" i="7"/>
  <c r="U60" i="7"/>
  <c r="X60" i="7"/>
  <c r="AA60" i="7"/>
  <c r="AD60" i="7"/>
  <c r="AG60" i="7"/>
  <c r="AJ60" i="7"/>
  <c r="AM60" i="7"/>
  <c r="AP60" i="7"/>
  <c r="AS60" i="7"/>
  <c r="AV60" i="7"/>
  <c r="AY60" i="7"/>
  <c r="BB60" i="7"/>
  <c r="BL64" i="7"/>
  <c r="BL65" i="7"/>
  <c r="F64" i="7"/>
  <c r="I64" i="7"/>
  <c r="L64" i="7"/>
  <c r="O64" i="7"/>
  <c r="R64" i="7"/>
  <c r="U64" i="7"/>
  <c r="X64" i="7"/>
  <c r="AA64" i="7"/>
  <c r="AD64" i="7"/>
  <c r="AG64" i="7"/>
  <c r="AJ64" i="7"/>
  <c r="AM64" i="7"/>
  <c r="AP64" i="7"/>
  <c r="AS64" i="7"/>
  <c r="AV64" i="7"/>
  <c r="AY64" i="7"/>
  <c r="F66" i="7"/>
  <c r="I66" i="7"/>
  <c r="L66" i="7"/>
  <c r="O66" i="7"/>
  <c r="R66" i="7"/>
  <c r="U66" i="7"/>
  <c r="X66" i="7"/>
  <c r="AA66" i="7"/>
  <c r="AD66" i="7"/>
  <c r="AG66" i="7"/>
  <c r="AJ66" i="7"/>
  <c r="AM66" i="7"/>
  <c r="AP66" i="7"/>
  <c r="AS66" i="7"/>
  <c r="AV66" i="7"/>
  <c r="AY66" i="7"/>
  <c r="BK66" i="7"/>
  <c r="F67" i="7"/>
  <c r="I67" i="7"/>
  <c r="L67" i="7"/>
  <c r="O67" i="7"/>
  <c r="R67" i="7"/>
  <c r="U67" i="7"/>
  <c r="X67" i="7"/>
  <c r="AA67" i="7"/>
  <c r="AD67" i="7"/>
  <c r="AG67" i="7"/>
  <c r="AJ67" i="7"/>
  <c r="AM67" i="7"/>
  <c r="AP67" i="7"/>
  <c r="AS67" i="7"/>
  <c r="AV67" i="7"/>
  <c r="AY67" i="7"/>
  <c r="BK67" i="7"/>
  <c r="F68" i="7"/>
  <c r="I68" i="7"/>
  <c r="L68" i="7"/>
  <c r="O68" i="7"/>
  <c r="R68" i="7"/>
  <c r="U68" i="7"/>
  <c r="X68" i="7"/>
  <c r="AA68" i="7"/>
  <c r="AD68" i="7"/>
  <c r="AG68" i="7"/>
  <c r="AJ68" i="7"/>
  <c r="AM68" i="7"/>
  <c r="AP68" i="7"/>
  <c r="AS68" i="7"/>
  <c r="AV68" i="7"/>
  <c r="AY68" i="7"/>
  <c r="BK68" i="7"/>
  <c r="F71" i="7"/>
  <c r="F87" i="7" s="1"/>
  <c r="I71" i="7"/>
  <c r="I87" i="7" s="1"/>
  <c r="L71" i="7"/>
  <c r="L87" i="7" s="1"/>
  <c r="O71" i="7"/>
  <c r="O87" i="7" s="1"/>
  <c r="R71" i="7"/>
  <c r="R87" i="7" s="1"/>
  <c r="U71" i="7"/>
  <c r="U87" i="7" s="1"/>
  <c r="X71" i="7"/>
  <c r="X87" i="7" s="1"/>
  <c r="AA71" i="7"/>
  <c r="AA87" i="7" s="1"/>
  <c r="AD71" i="7"/>
  <c r="AD87" i="7" s="1"/>
  <c r="AG71" i="7"/>
  <c r="AG87" i="7" s="1"/>
  <c r="AJ71" i="7"/>
  <c r="AJ87" i="7" s="1"/>
  <c r="AM71" i="7"/>
  <c r="AM87" i="7" s="1"/>
  <c r="AP71" i="7"/>
  <c r="AP87" i="7" s="1"/>
  <c r="AS71" i="7"/>
  <c r="AS87" i="7" s="1"/>
  <c r="AV71" i="7"/>
  <c r="AV87" i="7" s="1"/>
  <c r="AY71" i="7"/>
  <c r="AY87" i="7" s="1"/>
  <c r="BB71" i="7"/>
  <c r="BE71" i="7"/>
  <c r="BH71" i="7"/>
  <c r="BK71" i="7"/>
  <c r="BN71" i="7"/>
  <c r="BM75" i="7"/>
  <c r="F76" i="7"/>
  <c r="I76" i="7"/>
  <c r="L76" i="7"/>
  <c r="O76" i="7"/>
  <c r="R76" i="7"/>
  <c r="U76" i="7"/>
  <c r="X76" i="7"/>
  <c r="AA76" i="7"/>
  <c r="AD76" i="7"/>
  <c r="AG76" i="7"/>
  <c r="AJ76" i="7"/>
  <c r="AM76" i="7"/>
  <c r="AP76" i="7"/>
  <c r="AS76" i="7"/>
  <c r="AV76" i="7"/>
  <c r="AV105" i="8" s="1"/>
  <c r="AY76" i="7"/>
  <c r="BB76" i="7"/>
  <c r="BB105" i="8" s="1"/>
  <c r="BE76" i="7"/>
  <c r="BE105" i="8" s="1"/>
  <c r="BH76" i="7"/>
  <c r="BH105" i="8" s="1"/>
  <c r="BQ76" i="7"/>
  <c r="BQ105" i="8" s="1"/>
  <c r="BT76" i="7"/>
  <c r="BT105" i="8" s="1"/>
  <c r="BW76" i="7"/>
  <c r="BW105" i="8" s="1"/>
  <c r="CC76" i="7"/>
  <c r="CC105" i="8" s="1"/>
  <c r="DA76" i="7"/>
  <c r="DA105" i="8" s="1"/>
  <c r="F77" i="7"/>
  <c r="I77" i="7"/>
  <c r="L77" i="7"/>
  <c r="O77" i="7"/>
  <c r="R77" i="7"/>
  <c r="U77" i="7"/>
  <c r="X77" i="7"/>
  <c r="AA77" i="7"/>
  <c r="AD77" i="7"/>
  <c r="AG77" i="7"/>
  <c r="AJ77" i="7"/>
  <c r="AM77" i="7"/>
  <c r="AP77" i="7"/>
  <c r="AS77" i="7"/>
  <c r="AV77" i="7"/>
  <c r="AV117" i="8" s="1"/>
  <c r="AY77" i="7"/>
  <c r="AY117" i="8" s="1"/>
  <c r="BB77" i="7"/>
  <c r="BB117" i="8" s="1"/>
  <c r="BE77" i="7"/>
  <c r="BE117" i="8" s="1"/>
  <c r="BH77" i="7"/>
  <c r="BH117" i="8" s="1"/>
  <c r="BK77" i="7"/>
  <c r="BK117" i="8" s="1"/>
  <c r="BN77" i="7"/>
  <c r="BN117" i="8" s="1"/>
  <c r="BQ77" i="7"/>
  <c r="BQ117" i="8" s="1"/>
  <c r="BT77" i="7"/>
  <c r="BT117" i="8" s="1"/>
  <c r="BW77" i="7"/>
  <c r="BW117" i="8" s="1"/>
  <c r="BZ77" i="7"/>
  <c r="CC77" i="7"/>
  <c r="F78" i="7"/>
  <c r="I78" i="7"/>
  <c r="L78" i="7"/>
  <c r="O78" i="7"/>
  <c r="R78" i="7"/>
  <c r="U78" i="7"/>
  <c r="X78" i="7"/>
  <c r="AA78" i="7"/>
  <c r="AD78" i="7"/>
  <c r="AG78" i="7"/>
  <c r="AJ78" i="7"/>
  <c r="AM78" i="7"/>
  <c r="AP78" i="7"/>
  <c r="AS78" i="7"/>
  <c r="AV78" i="7"/>
  <c r="AY78" i="7"/>
  <c r="BB78" i="7"/>
  <c r="BE78" i="7"/>
  <c r="BH78" i="7"/>
  <c r="BK78" i="7"/>
  <c r="BN78" i="7"/>
  <c r="BQ78" i="7"/>
  <c r="BT78" i="7"/>
  <c r="BW78" i="7"/>
  <c r="BZ78" i="7"/>
  <c r="CC78" i="7"/>
  <c r="CF78" i="7"/>
  <c r="CI78" i="7"/>
  <c r="CL78" i="7"/>
  <c r="CO78" i="7"/>
  <c r="CR78" i="7"/>
  <c r="CU78" i="7"/>
  <c r="CX78" i="7"/>
  <c r="DA78" i="7"/>
  <c r="DD78" i="7"/>
  <c r="DG78" i="7"/>
  <c r="DJ78" i="7"/>
  <c r="DM78" i="7"/>
  <c r="DP78" i="7"/>
  <c r="DS78" i="7"/>
  <c r="DY78" i="7"/>
  <c r="EB78" i="7"/>
  <c r="EE78" i="7"/>
  <c r="EH78" i="7"/>
  <c r="EK78" i="7"/>
  <c r="EN78" i="7"/>
  <c r="EQ78" i="7"/>
  <c r="F79" i="7"/>
  <c r="I79" i="7"/>
  <c r="L79" i="7"/>
  <c r="O79" i="7"/>
  <c r="R79" i="7"/>
  <c r="U79" i="7"/>
  <c r="X79" i="7"/>
  <c r="AA79" i="7"/>
  <c r="AD79" i="7"/>
  <c r="AG79" i="7"/>
  <c r="AJ79" i="7"/>
  <c r="AM79" i="7"/>
  <c r="AP79" i="7"/>
  <c r="AS79" i="7"/>
  <c r="AV79" i="7"/>
  <c r="AY79" i="7"/>
  <c r="BB79" i="7"/>
  <c r="BE79" i="7"/>
  <c r="BH79" i="7"/>
  <c r="BK79" i="7"/>
  <c r="BN79" i="7"/>
  <c r="BQ79" i="7"/>
  <c r="BT79" i="7"/>
  <c r="BW79" i="7"/>
  <c r="BZ79" i="7"/>
  <c r="CC79" i="7"/>
  <c r="CF79" i="7"/>
  <c r="CI79" i="7"/>
  <c r="CL79" i="7"/>
  <c r="CO79" i="7"/>
  <c r="CR79" i="7"/>
  <c r="CU79" i="7"/>
  <c r="CX79" i="7"/>
  <c r="DA79" i="7"/>
  <c r="DD79" i="7"/>
  <c r="DG79" i="7"/>
  <c r="DJ79" i="7"/>
  <c r="DM79" i="7"/>
  <c r="DP79" i="7"/>
  <c r="DS79" i="7"/>
  <c r="DY79" i="7"/>
  <c r="EB79" i="7"/>
  <c r="EE79" i="7"/>
  <c r="EH79" i="7"/>
  <c r="EK79" i="7"/>
  <c r="EN79" i="7"/>
  <c r="EQ79" i="7"/>
  <c r="F80" i="7"/>
  <c r="I80" i="7"/>
  <c r="L80" i="7"/>
  <c r="O80" i="7"/>
  <c r="R80" i="7"/>
  <c r="U80" i="7"/>
  <c r="X80" i="7"/>
  <c r="AA80" i="7"/>
  <c r="AD80" i="7"/>
  <c r="AG80" i="7"/>
  <c r="AJ80" i="7"/>
  <c r="AM80" i="7"/>
  <c r="AP80" i="7"/>
  <c r="AS80" i="7"/>
  <c r="AV80" i="7"/>
  <c r="AY80" i="7"/>
  <c r="BB80" i="7"/>
  <c r="BE80" i="7"/>
  <c r="BH80" i="7"/>
  <c r="BN80" i="7"/>
  <c r="BQ80" i="7"/>
  <c r="BT80" i="7"/>
  <c r="BW80" i="7"/>
  <c r="CC80" i="7"/>
  <c r="CF80" i="7"/>
  <c r="CI80" i="7"/>
  <c r="CL80" i="7"/>
  <c r="CO80" i="7"/>
  <c r="DD80" i="7"/>
  <c r="DJ80" i="7"/>
  <c r="F81" i="7"/>
  <c r="I81" i="7"/>
  <c r="L81" i="7"/>
  <c r="O81" i="7"/>
  <c r="R81" i="7"/>
  <c r="U81" i="7"/>
  <c r="X81" i="7"/>
  <c r="AA81" i="7"/>
  <c r="AD81" i="7"/>
  <c r="AG81" i="7"/>
  <c r="AJ81" i="7"/>
  <c r="AM81" i="7"/>
  <c r="AP81" i="7"/>
  <c r="AS81" i="7"/>
  <c r="AV81" i="7"/>
  <c r="AY81" i="7"/>
  <c r="BB81" i="7"/>
  <c r="BE81" i="7"/>
  <c r="BH81" i="7"/>
  <c r="BL81" i="7"/>
  <c r="BK81" i="7" s="1"/>
  <c r="BN81" i="7"/>
  <c r="BQ81" i="7"/>
  <c r="BT81" i="7"/>
  <c r="BW81" i="7"/>
  <c r="BW553" i="7" s="1"/>
  <c r="BZ81" i="7"/>
  <c r="BZ553" i="7" s="1"/>
  <c r="CC81" i="7"/>
  <c r="CC553" i="7" s="1"/>
  <c r="CF81" i="7"/>
  <c r="CF553" i="7" s="1"/>
  <c r="CI81" i="7"/>
  <c r="CI553" i="7" s="1"/>
  <c r="AN82" i="7"/>
  <c r="AN122" i="8" s="1"/>
  <c r="AO82" i="7"/>
  <c r="AO122" i="8" s="1"/>
  <c r="AQ82" i="7"/>
  <c r="AQ122" i="8" s="1"/>
  <c r="AR82" i="7"/>
  <c r="AR122" i="8" s="1"/>
  <c r="AT82" i="7"/>
  <c r="AT122" i="8" s="1"/>
  <c r="AU82" i="7"/>
  <c r="AU122" i="8" s="1"/>
  <c r="AW82" i="7"/>
  <c r="AW122" i="8" s="1"/>
  <c r="AX82" i="7"/>
  <c r="AX122" i="8" s="1"/>
  <c r="AX125" i="8" s="1"/>
  <c r="AZ82" i="7"/>
  <c r="AZ122" i="8" s="1"/>
  <c r="AZ125" i="8" s="1"/>
  <c r="BA82" i="7"/>
  <c r="BC82" i="7"/>
  <c r="BD82" i="7"/>
  <c r="BF82" i="7"/>
  <c r="BG82" i="7"/>
  <c r="BI82" i="7"/>
  <c r="BJ82" i="7"/>
  <c r="BM82" i="7"/>
  <c r="BO82" i="7"/>
  <c r="BP82" i="7"/>
  <c r="BR82" i="7"/>
  <c r="BS82" i="7"/>
  <c r="BS135" i="8" s="1"/>
  <c r="BU82" i="7"/>
  <c r="BU135" i="8" s="1"/>
  <c r="BV82" i="7"/>
  <c r="BV135" i="8" s="1"/>
  <c r="BX82" i="7"/>
  <c r="BX135" i="8" s="1"/>
  <c r="BY82" i="7"/>
  <c r="CB82" i="7"/>
  <c r="CD82" i="7"/>
  <c r="CE82" i="7"/>
  <c r="CG82" i="7"/>
  <c r="CH82" i="7"/>
  <c r="CJ82" i="7"/>
  <c r="CK82" i="7"/>
  <c r="CN82" i="7"/>
  <c r="F83" i="7"/>
  <c r="I83" i="7"/>
  <c r="L83" i="7"/>
  <c r="O83" i="7"/>
  <c r="O553" i="7" s="1"/>
  <c r="R83" i="7"/>
  <c r="R553" i="7" s="1"/>
  <c r="U83" i="7"/>
  <c r="U553" i="7" s="1"/>
  <c r="X83" i="7"/>
  <c r="AA83" i="7"/>
  <c r="AD83" i="7"/>
  <c r="AD553" i="7" s="1"/>
  <c r="AG83" i="7"/>
  <c r="AG553" i="7" s="1"/>
  <c r="AJ83" i="7"/>
  <c r="AJ553" i="7" s="1"/>
  <c r="AM83" i="7"/>
  <c r="AM553" i="7" s="1"/>
  <c r="AP83" i="7"/>
  <c r="AS83" i="7"/>
  <c r="AS553" i="7" s="1"/>
  <c r="AV83" i="7"/>
  <c r="AV553" i="7" s="1"/>
  <c r="AY83" i="7"/>
  <c r="AY553" i="7" s="1"/>
  <c r="BL83" i="7"/>
  <c r="F84" i="7"/>
  <c r="I84" i="7"/>
  <c r="L84" i="7"/>
  <c r="O84" i="7"/>
  <c r="R84" i="7"/>
  <c r="U84" i="7"/>
  <c r="X84" i="7"/>
  <c r="AA84" i="7"/>
  <c r="AD84" i="7"/>
  <c r="AG84" i="7"/>
  <c r="AJ84" i="7"/>
  <c r="AM84" i="7"/>
  <c r="AP84" i="7"/>
  <c r="AS84" i="7"/>
  <c r="AV84" i="7"/>
  <c r="AY84" i="7"/>
  <c r="BL84" i="7"/>
  <c r="D87" i="7"/>
  <c r="BW87" i="7"/>
  <c r="BZ87" i="7"/>
  <c r="CC87" i="7"/>
  <c r="CF87" i="7"/>
  <c r="CI87" i="7"/>
  <c r="CL87" i="7"/>
  <c r="CO87" i="7"/>
  <c r="CR87" i="7"/>
  <c r="CU87" i="7"/>
  <c r="CX87" i="7"/>
  <c r="DA87" i="7"/>
  <c r="DD87" i="7"/>
  <c r="DG87" i="7"/>
  <c r="F88" i="7"/>
  <c r="I88" i="7"/>
  <c r="L88" i="7"/>
  <c r="O88" i="7"/>
  <c r="R88" i="7"/>
  <c r="U88" i="7"/>
  <c r="X88" i="7"/>
  <c r="AA88" i="7"/>
  <c r="AD88" i="7"/>
  <c r="AG88" i="7"/>
  <c r="AJ88" i="7"/>
  <c r="AM88" i="7"/>
  <c r="AP88" i="7"/>
  <c r="AS88" i="7"/>
  <c r="BW88" i="7"/>
  <c r="BZ88" i="7"/>
  <c r="CC88" i="7"/>
  <c r="CF88" i="7"/>
  <c r="CI88" i="7"/>
  <c r="CL88" i="7"/>
  <c r="CO88" i="7"/>
  <c r="CR88" i="7"/>
  <c r="CU88" i="7"/>
  <c r="CX88" i="7"/>
  <c r="DA88" i="7"/>
  <c r="DD88" i="7"/>
  <c r="DG88" i="7"/>
  <c r="DJ88" i="7"/>
  <c r="F89" i="7"/>
  <c r="I89" i="7"/>
  <c r="L89" i="7"/>
  <c r="O89" i="7"/>
  <c r="R89" i="7"/>
  <c r="U89" i="7"/>
  <c r="X89" i="7"/>
  <c r="AA89" i="7"/>
  <c r="AD89" i="7"/>
  <c r="AG89" i="7"/>
  <c r="AJ89" i="7"/>
  <c r="AM89" i="7"/>
  <c r="AP89" i="7"/>
  <c r="AS89" i="7"/>
  <c r="AV89" i="7"/>
  <c r="AY89" i="7"/>
  <c r="BB89" i="7"/>
  <c r="BE89" i="7"/>
  <c r="BH89" i="7"/>
  <c r="BK89" i="7"/>
  <c r="BN89" i="7"/>
  <c r="BQ89" i="7"/>
  <c r="BT89" i="7"/>
  <c r="BW89" i="7"/>
  <c r="BZ89" i="7"/>
  <c r="CC89" i="7"/>
  <c r="CF89" i="7"/>
  <c r="CI89" i="7"/>
  <c r="CL89" i="7"/>
  <c r="CO89" i="7"/>
  <c r="CR89" i="7"/>
  <c r="CU89" i="7"/>
  <c r="CX89" i="7"/>
  <c r="DA89" i="7"/>
  <c r="DD89" i="7"/>
  <c r="DG89" i="7"/>
  <c r="DJ89" i="7"/>
  <c r="DM89" i="7"/>
  <c r="EB89" i="7"/>
  <c r="EE89" i="7"/>
  <c r="EH89" i="7"/>
  <c r="EK89" i="7"/>
  <c r="EN89" i="7"/>
  <c r="EQ89" i="7"/>
  <c r="F90" i="7"/>
  <c r="I90" i="7"/>
  <c r="L90" i="7"/>
  <c r="O90" i="7"/>
  <c r="R90" i="7"/>
  <c r="U90" i="7"/>
  <c r="X90" i="7"/>
  <c r="AA90" i="7"/>
  <c r="AD90" i="7"/>
  <c r="AG90" i="7"/>
  <c r="AJ90" i="7"/>
  <c r="AM90" i="7"/>
  <c r="AP90" i="7"/>
  <c r="AS90" i="7"/>
  <c r="AV90" i="7"/>
  <c r="AY90" i="7"/>
  <c r="BB90" i="7"/>
  <c r="BE90" i="7"/>
  <c r="BH90" i="7"/>
  <c r="BK90" i="7"/>
  <c r="BN90" i="7"/>
  <c r="BQ90" i="7"/>
  <c r="BT90" i="7"/>
  <c r="BW90" i="7"/>
  <c r="BZ90" i="7"/>
  <c r="CC90" i="7"/>
  <c r="CF90" i="7"/>
  <c r="CI90" i="7"/>
  <c r="CL90" i="7"/>
  <c r="CO90" i="7"/>
  <c r="CR90" i="7"/>
  <c r="CU90" i="7"/>
  <c r="CX90" i="7"/>
  <c r="DA90" i="7"/>
  <c r="DD90" i="7"/>
  <c r="DG90" i="7"/>
  <c r="DJ90" i="7"/>
  <c r="DM90" i="7"/>
  <c r="DS90" i="7"/>
  <c r="DY90" i="7"/>
  <c r="E93" i="7"/>
  <c r="G93" i="7"/>
  <c r="H93" i="7"/>
  <c r="J93" i="7"/>
  <c r="K93" i="7"/>
  <c r="M93" i="7"/>
  <c r="N93" i="7"/>
  <c r="P93" i="7"/>
  <c r="Q93" i="7"/>
  <c r="S93" i="7"/>
  <c r="T93" i="7"/>
  <c r="V93" i="7"/>
  <c r="W93" i="7"/>
  <c r="Y93" i="7"/>
  <c r="Z93" i="7"/>
  <c r="AB93" i="7"/>
  <c r="AC93" i="7"/>
  <c r="AE93" i="7"/>
  <c r="AF93" i="7"/>
  <c r="AH93" i="7"/>
  <c r="AI93" i="7"/>
  <c r="AK93" i="7"/>
  <c r="AL93" i="7"/>
  <c r="AO93" i="7"/>
  <c r="BL95" i="7"/>
  <c r="BL93" i="7" s="1"/>
  <c r="E94" i="7"/>
  <c r="G94" i="7"/>
  <c r="H94" i="7"/>
  <c r="J94" i="7"/>
  <c r="K94" i="7"/>
  <c r="M94" i="7"/>
  <c r="N94" i="7"/>
  <c r="P94" i="7"/>
  <c r="Q94" i="7"/>
  <c r="S94" i="7"/>
  <c r="T94" i="7"/>
  <c r="V94" i="7"/>
  <c r="W94" i="7"/>
  <c r="Y94" i="7"/>
  <c r="Z94" i="7"/>
  <c r="AB94" i="7"/>
  <c r="AC94" i="7"/>
  <c r="AE94" i="7"/>
  <c r="AF94" i="7"/>
  <c r="AH94" i="7"/>
  <c r="AI94" i="7"/>
  <c r="AK94" i="7"/>
  <c r="AL94" i="7"/>
  <c r="AO94" i="7"/>
  <c r="AR94" i="7"/>
  <c r="BL94" i="7"/>
  <c r="F95" i="7"/>
  <c r="I95" i="7"/>
  <c r="L95" i="7"/>
  <c r="O95" i="7"/>
  <c r="R95" i="7"/>
  <c r="U95" i="7"/>
  <c r="X95" i="7"/>
  <c r="AA95" i="7"/>
  <c r="AD95" i="7"/>
  <c r="AG95" i="7"/>
  <c r="AJ95" i="7"/>
  <c r="AM95" i="7"/>
  <c r="AP95" i="7"/>
  <c r="AS95" i="7"/>
  <c r="AV95" i="7"/>
  <c r="AY95" i="7"/>
  <c r="BB95" i="7"/>
  <c r="BE95" i="7"/>
  <c r="BH95" i="7"/>
  <c r="BN95" i="7"/>
  <c r="BQ95" i="7"/>
  <c r="BT95" i="7"/>
  <c r="BW95" i="7"/>
  <c r="BZ95" i="7"/>
  <c r="CC95" i="7"/>
  <c r="CF95" i="7"/>
  <c r="CI95" i="7"/>
  <c r="CL95" i="7"/>
  <c r="CO95" i="7"/>
  <c r="CR95" i="7"/>
  <c r="CX95" i="7"/>
  <c r="DA95" i="7"/>
  <c r="DD95" i="7"/>
  <c r="DG95" i="7"/>
  <c r="DJ95" i="7"/>
  <c r="DM95" i="7"/>
  <c r="DP95" i="7"/>
  <c r="DS95" i="7"/>
  <c r="DY95" i="7"/>
  <c r="EB95" i="7"/>
  <c r="EE95" i="7"/>
  <c r="EH95" i="7"/>
  <c r="EK95" i="7"/>
  <c r="EN95" i="7"/>
  <c r="EQ95" i="7"/>
  <c r="F96" i="7"/>
  <c r="I96" i="7"/>
  <c r="L96" i="7"/>
  <c r="O96" i="7"/>
  <c r="R96" i="7"/>
  <c r="U96" i="7"/>
  <c r="X96" i="7"/>
  <c r="AA96" i="7"/>
  <c r="AD96" i="7"/>
  <c r="AG96" i="7"/>
  <c r="AJ96" i="7"/>
  <c r="AM96" i="7"/>
  <c r="AP96" i="7"/>
  <c r="AS96" i="7"/>
  <c r="AV96" i="7"/>
  <c r="AY96" i="7"/>
  <c r="BB96" i="7"/>
  <c r="BE96" i="7"/>
  <c r="BH96" i="7"/>
  <c r="BK96" i="7"/>
  <c r="BN96" i="7"/>
  <c r="BQ96" i="7"/>
  <c r="BT96" i="7"/>
  <c r="BW96" i="7"/>
  <c r="BZ96" i="7"/>
  <c r="CC96" i="7"/>
  <c r="CF96" i="7"/>
  <c r="CI96" i="7"/>
  <c r="CL96" i="7"/>
  <c r="CO96" i="7"/>
  <c r="CR96" i="7"/>
  <c r="CU96" i="7"/>
  <c r="CX96" i="7"/>
  <c r="DA96" i="7"/>
  <c r="DD96" i="7"/>
  <c r="DG96" i="7"/>
  <c r="DJ96" i="7"/>
  <c r="DM96" i="7"/>
  <c r="DP96" i="7"/>
  <c r="DS96" i="7"/>
  <c r="DY96" i="7"/>
  <c r="EB96" i="7"/>
  <c r="EE96" i="7"/>
  <c r="EH96" i="7"/>
  <c r="EK96" i="7"/>
  <c r="EN96" i="7"/>
  <c r="EQ96" i="7"/>
  <c r="F97" i="7"/>
  <c r="I97" i="7"/>
  <c r="L97" i="7"/>
  <c r="O97" i="7"/>
  <c r="R97" i="7"/>
  <c r="U97" i="7"/>
  <c r="X97" i="7"/>
  <c r="AA97" i="7"/>
  <c r="AD97" i="7"/>
  <c r="AG97" i="7"/>
  <c r="AJ97" i="7"/>
  <c r="AM97" i="7"/>
  <c r="AP97" i="7"/>
  <c r="AS97" i="7"/>
  <c r="AV97" i="7"/>
  <c r="AY97" i="7"/>
  <c r="BB97" i="7"/>
  <c r="BE97" i="7"/>
  <c r="BH97" i="7"/>
  <c r="BK97" i="7"/>
  <c r="BN97" i="7"/>
  <c r="BQ97" i="7"/>
  <c r="BT97" i="7"/>
  <c r="BW97" i="7"/>
  <c r="BZ97" i="7"/>
  <c r="CC97" i="7"/>
  <c r="CF97" i="7"/>
  <c r="CI97" i="7"/>
  <c r="CL97" i="7"/>
  <c r="CO97" i="7"/>
  <c r="CR97" i="7"/>
  <c r="CU97" i="7"/>
  <c r="CX97" i="7"/>
  <c r="DA97" i="7"/>
  <c r="DD97" i="7"/>
  <c r="DG97" i="7"/>
  <c r="DJ97" i="7"/>
  <c r="DM97" i="7"/>
  <c r="DP97" i="7"/>
  <c r="DS97" i="7"/>
  <c r="DY97" i="7"/>
  <c r="EB97" i="7"/>
  <c r="EE97" i="7"/>
  <c r="EH97" i="7"/>
  <c r="EK97" i="7"/>
  <c r="EN97" i="7"/>
  <c r="EQ97" i="7"/>
  <c r="F98" i="7"/>
  <c r="I98" i="7"/>
  <c r="L98" i="7"/>
  <c r="O98" i="7"/>
  <c r="R98" i="7"/>
  <c r="U98" i="7"/>
  <c r="X98" i="7"/>
  <c r="AA98" i="7"/>
  <c r="AD98" i="7"/>
  <c r="AG98" i="7"/>
  <c r="AJ98" i="7"/>
  <c r="AM98" i="7"/>
  <c r="AP98" i="7"/>
  <c r="AS98" i="7"/>
  <c r="AV98" i="7"/>
  <c r="AY98" i="7"/>
  <c r="BB98" i="7"/>
  <c r="BE98" i="7"/>
  <c r="BH98" i="7"/>
  <c r="BK98" i="7"/>
  <c r="BN98" i="7"/>
  <c r="BQ98" i="7"/>
  <c r="BT98" i="7"/>
  <c r="BW98" i="7"/>
  <c r="BZ98" i="7"/>
  <c r="CC98" i="7"/>
  <c r="CF98" i="7"/>
  <c r="CI98" i="7"/>
  <c r="CL98" i="7"/>
  <c r="CO98" i="7"/>
  <c r="CR98" i="7"/>
  <c r="CU98" i="7"/>
  <c r="CX98" i="7"/>
  <c r="DA98" i="7"/>
  <c r="DD98" i="7"/>
  <c r="DG98" i="7"/>
  <c r="DJ98" i="7"/>
  <c r="DM98" i="7"/>
  <c r="DP98" i="7"/>
  <c r="DS98" i="7"/>
  <c r="DY98" i="7"/>
  <c r="EB98" i="7"/>
  <c r="EE98" i="7"/>
  <c r="EH98" i="7"/>
  <c r="EK98" i="7"/>
  <c r="EN98" i="7"/>
  <c r="EQ98" i="7"/>
  <c r="F99" i="7"/>
  <c r="I99" i="7"/>
  <c r="L99" i="7"/>
  <c r="O99" i="7"/>
  <c r="R99" i="7"/>
  <c r="U99" i="7"/>
  <c r="X99" i="7"/>
  <c r="AA99" i="7"/>
  <c r="AD99" i="7"/>
  <c r="AG99" i="7"/>
  <c r="AJ99" i="7"/>
  <c r="AM99" i="7"/>
  <c r="AP99" i="7"/>
  <c r="AS99" i="7"/>
  <c r="AV99" i="7"/>
  <c r="AY99" i="7"/>
  <c r="BB99" i="7"/>
  <c r="BE99" i="7"/>
  <c r="BH99" i="7"/>
  <c r="BK99" i="7"/>
  <c r="BN99" i="7"/>
  <c r="BQ99" i="7"/>
  <c r="BT99" i="7"/>
  <c r="BW99" i="7"/>
  <c r="BZ99" i="7"/>
  <c r="CC99" i="7"/>
  <c r="CF99" i="7"/>
  <c r="CI99" i="7"/>
  <c r="CL99" i="7"/>
  <c r="CO99" i="7"/>
  <c r="CR99" i="7"/>
  <c r="CU99" i="7"/>
  <c r="CX99" i="7"/>
  <c r="DA99" i="7"/>
  <c r="DD99" i="7"/>
  <c r="DG99" i="7"/>
  <c r="DJ99" i="7"/>
  <c r="DM99" i="7"/>
  <c r="DP99" i="7"/>
  <c r="DS99" i="7"/>
  <c r="DY99" i="7"/>
  <c r="EB99" i="7"/>
  <c r="EE99" i="7"/>
  <c r="EH99" i="7"/>
  <c r="EK99" i="7"/>
  <c r="EN99" i="7"/>
  <c r="EQ99" i="7"/>
  <c r="F100" i="7"/>
  <c r="I100" i="7"/>
  <c r="L100" i="7"/>
  <c r="O100" i="7"/>
  <c r="R100" i="7"/>
  <c r="U100" i="7"/>
  <c r="X100" i="7"/>
  <c r="AA100" i="7"/>
  <c r="AD100" i="7"/>
  <c r="AG100" i="7"/>
  <c r="AJ100" i="7"/>
  <c r="AM100" i="7"/>
  <c r="AP100" i="7"/>
  <c r="AS100" i="7"/>
  <c r="AV100" i="7"/>
  <c r="AY100" i="7"/>
  <c r="BB100" i="7"/>
  <c r="BE100" i="7"/>
  <c r="BH100" i="7"/>
  <c r="BK100" i="7"/>
  <c r="BN100" i="7"/>
  <c r="BQ100" i="7"/>
  <c r="BT100" i="7"/>
  <c r="BW100" i="7"/>
  <c r="BZ100" i="7"/>
  <c r="CC100" i="7"/>
  <c r="CF100" i="7"/>
  <c r="CI100" i="7"/>
  <c r="CL100" i="7"/>
  <c r="CO100" i="7"/>
  <c r="CR100" i="7"/>
  <c r="CU100" i="7"/>
  <c r="CX100" i="7"/>
  <c r="DA100" i="7"/>
  <c r="DD100" i="7"/>
  <c r="DG100" i="7"/>
  <c r="DJ100" i="7"/>
  <c r="DM100" i="7"/>
  <c r="DP100" i="7"/>
  <c r="DS100" i="7"/>
  <c r="DY100" i="7"/>
  <c r="EB100" i="7"/>
  <c r="EE100" i="7"/>
  <c r="EH100" i="7"/>
  <c r="EK100" i="7"/>
  <c r="EN100" i="7"/>
  <c r="EQ100" i="7"/>
  <c r="F101" i="7"/>
  <c r="I101" i="7"/>
  <c r="L101" i="7"/>
  <c r="O101" i="7"/>
  <c r="R101" i="7"/>
  <c r="U101" i="7"/>
  <c r="X101" i="7"/>
  <c r="AA101" i="7"/>
  <c r="AD101" i="7"/>
  <c r="AG101" i="7"/>
  <c r="AJ101" i="7"/>
  <c r="AM101" i="7"/>
  <c r="AP101" i="7"/>
  <c r="AS101" i="7"/>
  <c r="AV101" i="7"/>
  <c r="AY101" i="7"/>
  <c r="BB101" i="7"/>
  <c r="BE101" i="7"/>
  <c r="BH101" i="7"/>
  <c r="BK101" i="7"/>
  <c r="BN101" i="7"/>
  <c r="BQ101" i="7"/>
  <c r="BT101" i="7"/>
  <c r="BW101" i="7"/>
  <c r="BZ101" i="7"/>
  <c r="CC101" i="7"/>
  <c r="CF101" i="7"/>
  <c r="CI101" i="7"/>
  <c r="CL101" i="7"/>
  <c r="CO101" i="7"/>
  <c r="CR101" i="7"/>
  <c r="CU101" i="7"/>
  <c r="CX101" i="7"/>
  <c r="DA101" i="7"/>
  <c r="DD101" i="7"/>
  <c r="DG101" i="7"/>
  <c r="DJ101" i="7"/>
  <c r="DM101" i="7"/>
  <c r="DP101" i="7"/>
  <c r="DS101" i="7"/>
  <c r="DY101" i="7"/>
  <c r="EB101" i="7"/>
  <c r="EE101" i="7"/>
  <c r="EH101" i="7"/>
  <c r="EK101" i="7"/>
  <c r="EN101" i="7"/>
  <c r="EQ101" i="7"/>
  <c r="F102" i="7"/>
  <c r="I102" i="7"/>
  <c r="L102" i="7"/>
  <c r="O102" i="7"/>
  <c r="R102" i="7"/>
  <c r="U102" i="7"/>
  <c r="X102" i="7"/>
  <c r="AA102" i="7"/>
  <c r="AD102" i="7"/>
  <c r="AG102" i="7"/>
  <c r="AJ102" i="7"/>
  <c r="AM102" i="7"/>
  <c r="AP102" i="7"/>
  <c r="AS102" i="7"/>
  <c r="AV102" i="7"/>
  <c r="AY102" i="7"/>
  <c r="BB102" i="7"/>
  <c r="BE102" i="7"/>
  <c r="BH102" i="7"/>
  <c r="BK102" i="7"/>
  <c r="BN102" i="7"/>
  <c r="BQ102" i="7"/>
  <c r="BT102" i="7"/>
  <c r="BW102" i="7"/>
  <c r="BZ102" i="7"/>
  <c r="CC102" i="7"/>
  <c r="CF102" i="7"/>
  <c r="CI102" i="7"/>
  <c r="CL102" i="7"/>
  <c r="CO102" i="7"/>
  <c r="CR102" i="7"/>
  <c r="CU102" i="7"/>
  <c r="CX102" i="7"/>
  <c r="DA102" i="7"/>
  <c r="DD102" i="7"/>
  <c r="DG102" i="7"/>
  <c r="DJ102" i="7"/>
  <c r="DM102" i="7"/>
  <c r="DP102" i="7"/>
  <c r="DS102" i="7"/>
  <c r="DY102" i="7"/>
  <c r="EB102" i="7"/>
  <c r="EE102" i="7"/>
  <c r="EH102" i="7"/>
  <c r="EK102" i="7"/>
  <c r="EN102" i="7"/>
  <c r="EQ102" i="7"/>
  <c r="F103" i="7"/>
  <c r="I103" i="7"/>
  <c r="L103" i="7"/>
  <c r="O103" i="7"/>
  <c r="R103" i="7"/>
  <c r="U103" i="7"/>
  <c r="X103" i="7"/>
  <c r="AA103" i="7"/>
  <c r="AD103" i="7"/>
  <c r="AG103" i="7"/>
  <c r="AJ103" i="7"/>
  <c r="AM103" i="7"/>
  <c r="AP103" i="7"/>
  <c r="AS103" i="7"/>
  <c r="AV103" i="7"/>
  <c r="AY103" i="7"/>
  <c r="BB103" i="7"/>
  <c r="BE103" i="7"/>
  <c r="BH103" i="7"/>
  <c r="BK103" i="7"/>
  <c r="BN103" i="7"/>
  <c r="BQ103" i="7"/>
  <c r="BT103" i="7"/>
  <c r="BW103" i="7"/>
  <c r="BZ103" i="7"/>
  <c r="CC103" i="7"/>
  <c r="CF103" i="7"/>
  <c r="CI103" i="7"/>
  <c r="CL103" i="7"/>
  <c r="CO103" i="7"/>
  <c r="CR103" i="7"/>
  <c r="CU103" i="7"/>
  <c r="CX103" i="7"/>
  <c r="DA103" i="7"/>
  <c r="DD103" i="7"/>
  <c r="DG103" i="7"/>
  <c r="DJ103" i="7"/>
  <c r="DM103" i="7"/>
  <c r="DP103" i="7"/>
  <c r="DS103" i="7"/>
  <c r="DY103" i="7"/>
  <c r="EB103" i="7"/>
  <c r="EE103" i="7"/>
  <c r="EH103" i="7"/>
  <c r="EK103" i="7"/>
  <c r="EN103" i="7"/>
  <c r="EQ103" i="7"/>
  <c r="F104" i="7"/>
  <c r="I104" i="7"/>
  <c r="L104" i="7"/>
  <c r="O104" i="7"/>
  <c r="R104" i="7"/>
  <c r="U104" i="7"/>
  <c r="X104" i="7"/>
  <c r="AA104" i="7"/>
  <c r="AD104" i="7"/>
  <c r="AG104" i="7"/>
  <c r="AJ104" i="7"/>
  <c r="AM104" i="7"/>
  <c r="AP104" i="7"/>
  <c r="AS104" i="7"/>
  <c r="AV104" i="7"/>
  <c r="AY104" i="7"/>
  <c r="BB104" i="7"/>
  <c r="BE104" i="7"/>
  <c r="BH104" i="7"/>
  <c r="BK104" i="7"/>
  <c r="BN104" i="7"/>
  <c r="BQ104" i="7"/>
  <c r="BT104" i="7"/>
  <c r="BW104" i="7"/>
  <c r="BZ104" i="7"/>
  <c r="CC104" i="7"/>
  <c r="CF104" i="7"/>
  <c r="CI104" i="7"/>
  <c r="CL104" i="7"/>
  <c r="CO104" i="7"/>
  <c r="CR104" i="7"/>
  <c r="CU104" i="7"/>
  <c r="CX104" i="7"/>
  <c r="DA104" i="7"/>
  <c r="DD104" i="7"/>
  <c r="DG104" i="7"/>
  <c r="DJ104" i="7"/>
  <c r="DM104" i="7"/>
  <c r="DP104" i="7"/>
  <c r="DS104" i="7"/>
  <c r="DY104" i="7"/>
  <c r="EB104" i="7"/>
  <c r="EE104" i="7"/>
  <c r="EH104" i="7"/>
  <c r="EK104" i="7"/>
  <c r="EN104" i="7"/>
  <c r="EQ104" i="7"/>
  <c r="F105" i="7"/>
  <c r="I105" i="7"/>
  <c r="L105" i="7"/>
  <c r="O105" i="7"/>
  <c r="R105" i="7"/>
  <c r="U105" i="7"/>
  <c r="X105" i="7"/>
  <c r="AA105" i="7"/>
  <c r="AD105" i="7"/>
  <c r="AG105" i="7"/>
  <c r="AJ105" i="7"/>
  <c r="AM105" i="7"/>
  <c r="AP105" i="7"/>
  <c r="AS105" i="7"/>
  <c r="AV105" i="7"/>
  <c r="AY105" i="7"/>
  <c r="BB105" i="7"/>
  <c r="BE105" i="7"/>
  <c r="BH105" i="7"/>
  <c r="BK105" i="7"/>
  <c r="BN105" i="7"/>
  <c r="BQ105" i="7"/>
  <c r="BT105" i="7"/>
  <c r="BW105" i="7"/>
  <c r="BZ105" i="7"/>
  <c r="CC105" i="7"/>
  <c r="CF105" i="7"/>
  <c r="CI105" i="7"/>
  <c r="CL105" i="7"/>
  <c r="CO105" i="7"/>
  <c r="CR105" i="7"/>
  <c r="CU105" i="7"/>
  <c r="CX105" i="7"/>
  <c r="DA105" i="7"/>
  <c r="DD105" i="7"/>
  <c r="DG105" i="7"/>
  <c r="DJ105" i="7"/>
  <c r="DM105" i="7"/>
  <c r="DP105" i="7"/>
  <c r="DS105" i="7"/>
  <c r="DY105" i="7"/>
  <c r="EB105" i="7"/>
  <c r="EE105" i="7"/>
  <c r="EH105" i="7"/>
  <c r="EK105" i="7"/>
  <c r="EN105" i="7"/>
  <c r="EQ105" i="7"/>
  <c r="F106" i="7"/>
  <c r="I106" i="7"/>
  <c r="L106" i="7"/>
  <c r="O106" i="7"/>
  <c r="R106" i="7"/>
  <c r="U106" i="7"/>
  <c r="X106" i="7"/>
  <c r="AA106" i="7"/>
  <c r="AD106" i="7"/>
  <c r="AG106" i="7"/>
  <c r="AJ106" i="7"/>
  <c r="AM106" i="7"/>
  <c r="AP106" i="7"/>
  <c r="AS106" i="7"/>
  <c r="AV106" i="7"/>
  <c r="AY106" i="7"/>
  <c r="BB106" i="7"/>
  <c r="BE106" i="7"/>
  <c r="BH106" i="7"/>
  <c r="BK106" i="7"/>
  <c r="BN106" i="7"/>
  <c r="BQ106" i="7"/>
  <c r="BT106" i="7"/>
  <c r="BW106" i="7"/>
  <c r="BZ106" i="7"/>
  <c r="CC106" i="7"/>
  <c r="CF106" i="7"/>
  <c r="CI106" i="7"/>
  <c r="CL106" i="7"/>
  <c r="CO106" i="7"/>
  <c r="CR106" i="7"/>
  <c r="CU106" i="7"/>
  <c r="CX106" i="7"/>
  <c r="DA106" i="7"/>
  <c r="DD106" i="7"/>
  <c r="DG106" i="7"/>
  <c r="DJ106" i="7"/>
  <c r="DM106" i="7"/>
  <c r="DP106" i="7"/>
  <c r="DS106" i="7"/>
  <c r="DY106" i="7"/>
  <c r="EB106" i="7"/>
  <c r="EE106" i="7"/>
  <c r="EH106" i="7"/>
  <c r="EK106" i="7"/>
  <c r="EN106" i="7"/>
  <c r="EQ106" i="7"/>
  <c r="F107" i="7"/>
  <c r="I107" i="7"/>
  <c r="L107" i="7"/>
  <c r="O107" i="7"/>
  <c r="R107" i="7"/>
  <c r="U107" i="7"/>
  <c r="X107" i="7"/>
  <c r="AA107" i="7"/>
  <c r="AD107" i="7"/>
  <c r="AG107" i="7"/>
  <c r="AJ107" i="7"/>
  <c r="AM107" i="7"/>
  <c r="AP107" i="7"/>
  <c r="AS107" i="7"/>
  <c r="AV107" i="7"/>
  <c r="AY107" i="7"/>
  <c r="BB107" i="7"/>
  <c r="BE107" i="7"/>
  <c r="BH107" i="7"/>
  <c r="BK107" i="7"/>
  <c r="BN107" i="7"/>
  <c r="BQ107" i="7"/>
  <c r="BT107" i="7"/>
  <c r="BW107" i="7"/>
  <c r="BZ107" i="7"/>
  <c r="CC107" i="7"/>
  <c r="CF107" i="7"/>
  <c r="CI107" i="7"/>
  <c r="CL107" i="7"/>
  <c r="CO107" i="7"/>
  <c r="CR107" i="7"/>
  <c r="CU107" i="7"/>
  <c r="CX107" i="7"/>
  <c r="DA107" i="7"/>
  <c r="DD107" i="7"/>
  <c r="DG107" i="7"/>
  <c r="DJ107" i="7"/>
  <c r="DM107" i="7"/>
  <c r="DP107" i="7"/>
  <c r="DS107" i="7"/>
  <c r="DY107" i="7"/>
  <c r="EB107" i="7"/>
  <c r="EE107" i="7"/>
  <c r="EH107" i="7"/>
  <c r="EK107" i="7"/>
  <c r="EN107" i="7"/>
  <c r="EQ107" i="7"/>
  <c r="F108" i="7"/>
  <c r="I108" i="7"/>
  <c r="L108" i="7"/>
  <c r="O108" i="7"/>
  <c r="R108" i="7"/>
  <c r="U108" i="7"/>
  <c r="X108" i="7"/>
  <c r="AA108" i="7"/>
  <c r="AD108" i="7"/>
  <c r="AG108" i="7"/>
  <c r="AJ108" i="7"/>
  <c r="AM108" i="7"/>
  <c r="AP108" i="7"/>
  <c r="AS108" i="7"/>
  <c r="AV108" i="7"/>
  <c r="AY108" i="7"/>
  <c r="BB108" i="7"/>
  <c r="BE108" i="7"/>
  <c r="BH108" i="7"/>
  <c r="BK108" i="7"/>
  <c r="BN108" i="7"/>
  <c r="BQ108" i="7"/>
  <c r="BT108" i="7"/>
  <c r="BW108" i="7"/>
  <c r="BZ108" i="7"/>
  <c r="CC108" i="7"/>
  <c r="CF108" i="7"/>
  <c r="CI108" i="7"/>
  <c r="CL108" i="7"/>
  <c r="CO108" i="7"/>
  <c r="CR108" i="7"/>
  <c r="CU108" i="7"/>
  <c r="CX108" i="7"/>
  <c r="DA108" i="7"/>
  <c r="DD108" i="7"/>
  <c r="DG108" i="7"/>
  <c r="DJ108" i="7"/>
  <c r="DM108" i="7"/>
  <c r="DP108" i="7"/>
  <c r="DS108" i="7"/>
  <c r="DY108" i="7"/>
  <c r="EB108" i="7"/>
  <c r="EE108" i="7"/>
  <c r="EH108" i="7"/>
  <c r="EK108" i="7"/>
  <c r="EN108" i="7"/>
  <c r="EQ108" i="7"/>
  <c r="F109" i="7"/>
  <c r="I109" i="7"/>
  <c r="L109" i="7"/>
  <c r="O109" i="7"/>
  <c r="R109" i="7"/>
  <c r="U109" i="7"/>
  <c r="X109" i="7"/>
  <c r="AA109" i="7"/>
  <c r="AD109" i="7"/>
  <c r="AG109" i="7"/>
  <c r="AJ109" i="7"/>
  <c r="AM109" i="7"/>
  <c r="AP109" i="7"/>
  <c r="AS109" i="7"/>
  <c r="AV109" i="7"/>
  <c r="AY109" i="7"/>
  <c r="BB109" i="7"/>
  <c r="BE109" i="7"/>
  <c r="BH109" i="7"/>
  <c r="BK109" i="7"/>
  <c r="BN109" i="7"/>
  <c r="BQ109" i="7"/>
  <c r="BT109" i="7"/>
  <c r="BW109" i="7"/>
  <c r="BZ109" i="7"/>
  <c r="CC109" i="7"/>
  <c r="CF109" i="7"/>
  <c r="CI109" i="7"/>
  <c r="CL109" i="7"/>
  <c r="CO109" i="7"/>
  <c r="CR109" i="7"/>
  <c r="CU109" i="7"/>
  <c r="CX109" i="7"/>
  <c r="DA109" i="7"/>
  <c r="DD109" i="7"/>
  <c r="DG109" i="7"/>
  <c r="DJ109" i="7"/>
  <c r="DM109" i="7"/>
  <c r="DP109" i="7"/>
  <c r="DS109" i="7"/>
  <c r="DY109" i="7"/>
  <c r="EB109" i="7"/>
  <c r="EE109" i="7"/>
  <c r="EH109" i="7"/>
  <c r="EK109" i="7"/>
  <c r="EN109" i="7"/>
  <c r="EQ109" i="7"/>
  <c r="F110" i="7"/>
  <c r="I110" i="7"/>
  <c r="L110" i="7"/>
  <c r="O110" i="7"/>
  <c r="R110" i="7"/>
  <c r="U110" i="7"/>
  <c r="X110" i="7"/>
  <c r="AA110" i="7"/>
  <c r="AD110" i="7"/>
  <c r="AG110" i="7"/>
  <c r="AJ110" i="7"/>
  <c r="AM110" i="7"/>
  <c r="AP110" i="7"/>
  <c r="AS110" i="7"/>
  <c r="AV110" i="7"/>
  <c r="AY110" i="7"/>
  <c r="BB110" i="7"/>
  <c r="BE110" i="7"/>
  <c r="BH110" i="7"/>
  <c r="BK110" i="7"/>
  <c r="BN110" i="7"/>
  <c r="BQ110" i="7"/>
  <c r="BT110" i="7"/>
  <c r="BW110" i="7"/>
  <c r="BZ110" i="7"/>
  <c r="CC110" i="7"/>
  <c r="CF110" i="7"/>
  <c r="CI110" i="7"/>
  <c r="CL110" i="7"/>
  <c r="CO110" i="7"/>
  <c r="CR110" i="7"/>
  <c r="CU110" i="7"/>
  <c r="CX110" i="7"/>
  <c r="DA110" i="7"/>
  <c r="DD110" i="7"/>
  <c r="DG110" i="7"/>
  <c r="DJ110" i="7"/>
  <c r="DM110" i="7"/>
  <c r="DP110" i="7"/>
  <c r="DS110" i="7"/>
  <c r="DY110" i="7"/>
  <c r="EB110" i="7"/>
  <c r="EE110" i="7"/>
  <c r="EH110" i="7"/>
  <c r="EK110" i="7"/>
  <c r="EN110" i="7"/>
  <c r="EQ110" i="7"/>
  <c r="F111" i="7"/>
  <c r="I111" i="7"/>
  <c r="L111" i="7"/>
  <c r="O111" i="7"/>
  <c r="R111" i="7"/>
  <c r="U111" i="7"/>
  <c r="X111" i="7"/>
  <c r="AA111" i="7"/>
  <c r="AD111" i="7"/>
  <c r="AG111" i="7"/>
  <c r="AJ111" i="7"/>
  <c r="AM111" i="7"/>
  <c r="AP111" i="7"/>
  <c r="AS111" i="7"/>
  <c r="AV111" i="7"/>
  <c r="AY111" i="7"/>
  <c r="BB111" i="7"/>
  <c r="BE111" i="7"/>
  <c r="BH111" i="7"/>
  <c r="BK111" i="7"/>
  <c r="BN111" i="7"/>
  <c r="BQ111" i="7"/>
  <c r="BT111" i="7"/>
  <c r="BW111" i="7"/>
  <c r="BZ111" i="7"/>
  <c r="CC111" i="7"/>
  <c r="CF111" i="7"/>
  <c r="CI111" i="7"/>
  <c r="CL111" i="7"/>
  <c r="CO111" i="7"/>
  <c r="CR111" i="7"/>
  <c r="CU111" i="7"/>
  <c r="CX111" i="7"/>
  <c r="DA111" i="7"/>
  <c r="DD111" i="7"/>
  <c r="DG111" i="7"/>
  <c r="DJ111" i="7"/>
  <c r="DM111" i="7"/>
  <c r="DP111" i="7"/>
  <c r="DS111" i="7"/>
  <c r="DY111" i="7"/>
  <c r="EB111" i="7"/>
  <c r="EE111" i="7"/>
  <c r="EH111" i="7"/>
  <c r="EK111" i="7"/>
  <c r="EN111" i="7"/>
  <c r="EQ111" i="7"/>
  <c r="F112" i="7"/>
  <c r="I112" i="7"/>
  <c r="L112" i="7"/>
  <c r="O112" i="7"/>
  <c r="R112" i="7"/>
  <c r="U112" i="7"/>
  <c r="X112" i="7"/>
  <c r="AA112" i="7"/>
  <c r="AD112" i="7"/>
  <c r="AG112" i="7"/>
  <c r="AJ112" i="7"/>
  <c r="AM112" i="7"/>
  <c r="AP112" i="7"/>
  <c r="AS112" i="7"/>
  <c r="AV112" i="7"/>
  <c r="AY112" i="7"/>
  <c r="BB112" i="7"/>
  <c r="BE112" i="7"/>
  <c r="BH112" i="7"/>
  <c r="BK112" i="7"/>
  <c r="BN112" i="7"/>
  <c r="BQ112" i="7"/>
  <c r="BT112" i="7"/>
  <c r="BW112" i="7"/>
  <c r="BZ112" i="7"/>
  <c r="CC112" i="7"/>
  <c r="CF112" i="7"/>
  <c r="CI112" i="7"/>
  <c r="CL112" i="7"/>
  <c r="CO112" i="7"/>
  <c r="CR112" i="7"/>
  <c r="CU112" i="7"/>
  <c r="CX112" i="7"/>
  <c r="DA112" i="7"/>
  <c r="DD112" i="7"/>
  <c r="DG112" i="7"/>
  <c r="DJ112" i="7"/>
  <c r="DM112" i="7"/>
  <c r="DP112" i="7"/>
  <c r="DS112" i="7"/>
  <c r="DY112" i="7"/>
  <c r="EB112" i="7"/>
  <c r="EE112" i="7"/>
  <c r="EH112" i="7"/>
  <c r="EK112" i="7"/>
  <c r="EN112" i="7"/>
  <c r="EQ112" i="7"/>
  <c r="F113" i="7"/>
  <c r="I113" i="7"/>
  <c r="L113" i="7"/>
  <c r="O113" i="7"/>
  <c r="R113" i="7"/>
  <c r="U113" i="7"/>
  <c r="X113" i="7"/>
  <c r="AA113" i="7"/>
  <c r="AD113" i="7"/>
  <c r="AG113" i="7"/>
  <c r="AJ113" i="7"/>
  <c r="AM113" i="7"/>
  <c r="AP113" i="7"/>
  <c r="AS113" i="7"/>
  <c r="AV113" i="7"/>
  <c r="AY113" i="7"/>
  <c r="BB113" i="7"/>
  <c r="BE113" i="7"/>
  <c r="BH113" i="7"/>
  <c r="BK113" i="7"/>
  <c r="BN113" i="7"/>
  <c r="BQ113" i="7"/>
  <c r="BT113" i="7"/>
  <c r="BW113" i="7"/>
  <c r="BZ113" i="7"/>
  <c r="CC113" i="7"/>
  <c r="CF113" i="7"/>
  <c r="CI113" i="7"/>
  <c r="CL113" i="7"/>
  <c r="CO113" i="7"/>
  <c r="CR113" i="7"/>
  <c r="CU113" i="7"/>
  <c r="CX113" i="7"/>
  <c r="DA113" i="7"/>
  <c r="DD113" i="7"/>
  <c r="DG113" i="7"/>
  <c r="DJ113" i="7"/>
  <c r="DM113" i="7"/>
  <c r="DP113" i="7"/>
  <c r="DS113" i="7"/>
  <c r="DY113" i="7"/>
  <c r="EB113" i="7"/>
  <c r="EE113" i="7"/>
  <c r="EH113" i="7"/>
  <c r="EK113" i="7"/>
  <c r="EN113" i="7"/>
  <c r="EQ113" i="7"/>
  <c r="F114" i="7"/>
  <c r="I114" i="7"/>
  <c r="L114" i="7"/>
  <c r="O114" i="7"/>
  <c r="R114" i="7"/>
  <c r="U114" i="7"/>
  <c r="X114" i="7"/>
  <c r="AA114" i="7"/>
  <c r="AD114" i="7"/>
  <c r="AG114" i="7"/>
  <c r="AJ114" i="7"/>
  <c r="AM114" i="7"/>
  <c r="AP114" i="7"/>
  <c r="AS114" i="7"/>
  <c r="AV114" i="7"/>
  <c r="AY114" i="7"/>
  <c r="BB114" i="7"/>
  <c r="BE114" i="7"/>
  <c r="BH114" i="7"/>
  <c r="BK114" i="7"/>
  <c r="BN114" i="7"/>
  <c r="BQ114" i="7"/>
  <c r="BT114" i="7"/>
  <c r="BW114" i="7"/>
  <c r="BZ114" i="7"/>
  <c r="CC114" i="7"/>
  <c r="CF114" i="7"/>
  <c r="CI114" i="7"/>
  <c r="CL114" i="7"/>
  <c r="CO114" i="7"/>
  <c r="CR114" i="7"/>
  <c r="CU114" i="7"/>
  <c r="CX114" i="7"/>
  <c r="DA114" i="7"/>
  <c r="DD114" i="7"/>
  <c r="DG114" i="7"/>
  <c r="DJ114" i="7"/>
  <c r="DM114" i="7"/>
  <c r="DP114" i="7"/>
  <c r="DS114" i="7"/>
  <c r="DY114" i="7"/>
  <c r="EB114" i="7"/>
  <c r="EE114" i="7"/>
  <c r="EH114" i="7"/>
  <c r="EK114" i="7"/>
  <c r="EN114" i="7"/>
  <c r="EQ114" i="7"/>
  <c r="F115" i="7"/>
  <c r="I115" i="7"/>
  <c r="L115" i="7"/>
  <c r="O115" i="7"/>
  <c r="R115" i="7"/>
  <c r="U115" i="7"/>
  <c r="X115" i="7"/>
  <c r="AA115" i="7"/>
  <c r="AD115" i="7"/>
  <c r="AG115" i="7"/>
  <c r="AJ115" i="7"/>
  <c r="AM115" i="7"/>
  <c r="AP115" i="7"/>
  <c r="AS115" i="7"/>
  <c r="AV115" i="7"/>
  <c r="AY115" i="7"/>
  <c r="BB115" i="7"/>
  <c r="BE115" i="7"/>
  <c r="BH115" i="7"/>
  <c r="BK115" i="7"/>
  <c r="BN115" i="7"/>
  <c r="BQ115" i="7"/>
  <c r="BT115" i="7"/>
  <c r="BW115" i="7"/>
  <c r="BZ115" i="7"/>
  <c r="CC115" i="7"/>
  <c r="CF115" i="7"/>
  <c r="CI115" i="7"/>
  <c r="CL115" i="7"/>
  <c r="CO115" i="7"/>
  <c r="CR115" i="7"/>
  <c r="CU115" i="7"/>
  <c r="CX115" i="7"/>
  <c r="DA115" i="7"/>
  <c r="DD115" i="7"/>
  <c r="DG115" i="7"/>
  <c r="DJ115" i="7"/>
  <c r="DM115" i="7"/>
  <c r="DP115" i="7"/>
  <c r="DS115" i="7"/>
  <c r="DY115" i="7"/>
  <c r="EB115" i="7"/>
  <c r="EE115" i="7"/>
  <c r="EH115" i="7"/>
  <c r="EK115" i="7"/>
  <c r="EN115" i="7"/>
  <c r="EQ115" i="7"/>
  <c r="E117" i="7"/>
  <c r="G117" i="7"/>
  <c r="H117" i="7"/>
  <c r="J117" i="7"/>
  <c r="K117" i="7"/>
  <c r="M117" i="7"/>
  <c r="N117" i="7"/>
  <c r="P117" i="7"/>
  <c r="Q117" i="7"/>
  <c r="S117" i="7"/>
  <c r="T117" i="7"/>
  <c r="V117" i="7"/>
  <c r="W117" i="7"/>
  <c r="Y117" i="7"/>
  <c r="Z117" i="7"/>
  <c r="AB117" i="7"/>
  <c r="AC117" i="7"/>
  <c r="AE117" i="7"/>
  <c r="AF117" i="7"/>
  <c r="AH117" i="7"/>
  <c r="AI117" i="7"/>
  <c r="AK117" i="7"/>
  <c r="AL117" i="7"/>
  <c r="AN117" i="7"/>
  <c r="AO117" i="7"/>
  <c r="AQ117" i="7"/>
  <c r="AR117" i="7"/>
  <c r="AT117" i="7"/>
  <c r="AU117" i="7"/>
  <c r="BL117" i="7"/>
  <c r="E118" i="7"/>
  <c r="G118" i="7"/>
  <c r="H118" i="7"/>
  <c r="J118" i="7"/>
  <c r="K118" i="7"/>
  <c r="M118" i="7"/>
  <c r="N118" i="7"/>
  <c r="P118" i="7"/>
  <c r="Q118" i="7"/>
  <c r="S118" i="7"/>
  <c r="T118" i="7"/>
  <c r="V118" i="7"/>
  <c r="W118" i="7"/>
  <c r="Y118" i="7"/>
  <c r="Z118" i="7"/>
  <c r="AB118" i="7"/>
  <c r="AC118" i="7"/>
  <c r="AE118" i="7"/>
  <c r="AF118" i="7"/>
  <c r="AH118" i="7"/>
  <c r="AI118" i="7"/>
  <c r="AK118" i="7"/>
  <c r="AL118" i="7"/>
  <c r="AN118" i="7"/>
  <c r="AO118" i="7"/>
  <c r="AQ118" i="7"/>
  <c r="AR118" i="7"/>
  <c r="AT118" i="7"/>
  <c r="AU118" i="7"/>
  <c r="BL118" i="7"/>
  <c r="F119" i="7"/>
  <c r="I119" i="7"/>
  <c r="L119" i="7"/>
  <c r="O119" i="7"/>
  <c r="R119" i="7"/>
  <c r="U119" i="7"/>
  <c r="X119" i="7"/>
  <c r="AA119" i="7"/>
  <c r="AD119" i="7"/>
  <c r="AG119" i="7"/>
  <c r="AJ119" i="7"/>
  <c r="AM119" i="7"/>
  <c r="AP119" i="7"/>
  <c r="AS119" i="7"/>
  <c r="AV119" i="7"/>
  <c r="AY119" i="7"/>
  <c r="BB119" i="7"/>
  <c r="BE119" i="7"/>
  <c r="BH119" i="7"/>
  <c r="BK119" i="7"/>
  <c r="BN119" i="7"/>
  <c r="BQ119" i="7"/>
  <c r="BT119" i="7"/>
  <c r="BW119" i="7"/>
  <c r="BZ119" i="7"/>
  <c r="CC119" i="7"/>
  <c r="CF119" i="7"/>
  <c r="CI119" i="7"/>
  <c r="CL119" i="7"/>
  <c r="CO119" i="7"/>
  <c r="CR119" i="7"/>
  <c r="CU119" i="7"/>
  <c r="CX119" i="7"/>
  <c r="DA119" i="7"/>
  <c r="DD119" i="7"/>
  <c r="DG119" i="7"/>
  <c r="DJ119" i="7"/>
  <c r="DM119" i="7"/>
  <c r="DP119" i="7"/>
  <c r="DS119" i="7"/>
  <c r="DY119" i="7"/>
  <c r="EB119" i="7"/>
  <c r="EE119" i="7"/>
  <c r="EH119" i="7"/>
  <c r="EK119" i="7"/>
  <c r="EN119" i="7"/>
  <c r="EQ119" i="7"/>
  <c r="F120" i="7"/>
  <c r="I120" i="7"/>
  <c r="L120" i="7"/>
  <c r="O120" i="7"/>
  <c r="R120" i="7"/>
  <c r="U120" i="7"/>
  <c r="X120" i="7"/>
  <c r="AA120" i="7"/>
  <c r="AD120" i="7"/>
  <c r="AG120" i="7"/>
  <c r="AJ120" i="7"/>
  <c r="AM120" i="7"/>
  <c r="AP120" i="7"/>
  <c r="AS120" i="7"/>
  <c r="AV120" i="7"/>
  <c r="AY120" i="7"/>
  <c r="BB120" i="7"/>
  <c r="BE120" i="7"/>
  <c r="BH120" i="7"/>
  <c r="BK120" i="7"/>
  <c r="BN120" i="7"/>
  <c r="BQ120" i="7"/>
  <c r="BT120" i="7"/>
  <c r="BW120" i="7"/>
  <c r="BZ120" i="7"/>
  <c r="CC120" i="7"/>
  <c r="CF120" i="7"/>
  <c r="CI120" i="7"/>
  <c r="CL120" i="7"/>
  <c r="CO120" i="7"/>
  <c r="CR120" i="7"/>
  <c r="CU120" i="7"/>
  <c r="CX120" i="7"/>
  <c r="DA120" i="7"/>
  <c r="DD120" i="7"/>
  <c r="DG120" i="7"/>
  <c r="DJ120" i="7"/>
  <c r="DM120" i="7"/>
  <c r="DP120" i="7"/>
  <c r="DS120" i="7"/>
  <c r="DY120" i="7"/>
  <c r="EB120" i="7"/>
  <c r="EE120" i="7"/>
  <c r="EH120" i="7"/>
  <c r="EK120" i="7"/>
  <c r="EN120" i="7"/>
  <c r="EQ120" i="7"/>
  <c r="F121" i="7"/>
  <c r="I121" i="7"/>
  <c r="L121" i="7"/>
  <c r="O121" i="7"/>
  <c r="R121" i="7"/>
  <c r="U121" i="7"/>
  <c r="X121" i="7"/>
  <c r="AA121" i="7"/>
  <c r="AD121" i="7"/>
  <c r="AG121" i="7"/>
  <c r="AJ121" i="7"/>
  <c r="AM121" i="7"/>
  <c r="AP121" i="7"/>
  <c r="AS121" i="7"/>
  <c r="AV121" i="7"/>
  <c r="AY121" i="7"/>
  <c r="BB121" i="7"/>
  <c r="BE121" i="7"/>
  <c r="BH121" i="7"/>
  <c r="BK121" i="7"/>
  <c r="BN121" i="7"/>
  <c r="BQ121" i="7"/>
  <c r="BT121" i="7"/>
  <c r="BW121" i="7"/>
  <c r="BZ121" i="7"/>
  <c r="CC121" i="7"/>
  <c r="CF121" i="7"/>
  <c r="CI121" i="7"/>
  <c r="CL121" i="7"/>
  <c r="CO121" i="7"/>
  <c r="CR121" i="7"/>
  <c r="CU121" i="7"/>
  <c r="CX121" i="7"/>
  <c r="DA121" i="7"/>
  <c r="DD121" i="7"/>
  <c r="DG121" i="7"/>
  <c r="DJ121" i="7"/>
  <c r="DM121" i="7"/>
  <c r="DP121" i="7"/>
  <c r="DS121" i="7"/>
  <c r="DY121" i="7"/>
  <c r="EB121" i="7"/>
  <c r="EE121" i="7"/>
  <c r="EH121" i="7"/>
  <c r="EK121" i="7"/>
  <c r="EN121" i="7"/>
  <c r="EQ121" i="7"/>
  <c r="F122" i="7"/>
  <c r="I122" i="7"/>
  <c r="L122" i="7"/>
  <c r="O122" i="7"/>
  <c r="R122" i="7"/>
  <c r="U122" i="7"/>
  <c r="X122" i="7"/>
  <c r="AA122" i="7"/>
  <c r="AD122" i="7"/>
  <c r="AG122" i="7"/>
  <c r="AJ122" i="7"/>
  <c r="AM122" i="7"/>
  <c r="AP122" i="7"/>
  <c r="AS122" i="7"/>
  <c r="AV122" i="7"/>
  <c r="AY122" i="7"/>
  <c r="BB122" i="7"/>
  <c r="BE122" i="7"/>
  <c r="BH122" i="7"/>
  <c r="BK122" i="7"/>
  <c r="BN122" i="7"/>
  <c r="BQ122" i="7"/>
  <c r="BT122" i="7"/>
  <c r="BW122" i="7"/>
  <c r="BZ122" i="7"/>
  <c r="CC122" i="7"/>
  <c r="CF122" i="7"/>
  <c r="CI122" i="7"/>
  <c r="CL122" i="7"/>
  <c r="CO122" i="7"/>
  <c r="CR122" i="7"/>
  <c r="CU122" i="7"/>
  <c r="CX122" i="7"/>
  <c r="DA122" i="7"/>
  <c r="DD122" i="7"/>
  <c r="DG122" i="7"/>
  <c r="DJ122" i="7"/>
  <c r="DM122" i="7"/>
  <c r="DP122" i="7"/>
  <c r="DS122" i="7"/>
  <c r="DY122" i="7"/>
  <c r="EB122" i="7"/>
  <c r="EE122" i="7"/>
  <c r="EH122" i="7"/>
  <c r="EK122" i="7"/>
  <c r="EN122" i="7"/>
  <c r="EQ122" i="7"/>
  <c r="F123" i="7"/>
  <c r="I123" i="7"/>
  <c r="L123" i="7"/>
  <c r="O123" i="7"/>
  <c r="R123" i="7"/>
  <c r="U123" i="7"/>
  <c r="X123" i="7"/>
  <c r="AA123" i="7"/>
  <c r="AD123" i="7"/>
  <c r="AG123" i="7"/>
  <c r="AJ123" i="7"/>
  <c r="AM123" i="7"/>
  <c r="AP123" i="7"/>
  <c r="AS123" i="7"/>
  <c r="AV123" i="7"/>
  <c r="AY123" i="7"/>
  <c r="BB123" i="7"/>
  <c r="BE123" i="7"/>
  <c r="BH123" i="7"/>
  <c r="BK123" i="7"/>
  <c r="BN123" i="7"/>
  <c r="BQ123" i="7"/>
  <c r="BT123" i="7"/>
  <c r="BW123" i="7"/>
  <c r="BZ123" i="7"/>
  <c r="CC123" i="7"/>
  <c r="CF123" i="7"/>
  <c r="CI123" i="7"/>
  <c r="CL123" i="7"/>
  <c r="CO123" i="7"/>
  <c r="CR123" i="7"/>
  <c r="CU123" i="7"/>
  <c r="CX123" i="7"/>
  <c r="DA123" i="7"/>
  <c r="DD123" i="7"/>
  <c r="DG123" i="7"/>
  <c r="DJ123" i="7"/>
  <c r="DM123" i="7"/>
  <c r="DP123" i="7"/>
  <c r="DS123" i="7"/>
  <c r="DY123" i="7"/>
  <c r="EB123" i="7"/>
  <c r="EE123" i="7"/>
  <c r="EH123" i="7"/>
  <c r="EK123" i="7"/>
  <c r="EN123" i="7"/>
  <c r="EQ123" i="7"/>
  <c r="F124" i="7"/>
  <c r="I124" i="7"/>
  <c r="L124" i="7"/>
  <c r="O124" i="7"/>
  <c r="R124" i="7"/>
  <c r="U124" i="7"/>
  <c r="X124" i="7"/>
  <c r="AA124" i="7"/>
  <c r="AD124" i="7"/>
  <c r="AG124" i="7"/>
  <c r="AJ124" i="7"/>
  <c r="AM124" i="7"/>
  <c r="AP124" i="7"/>
  <c r="AS124" i="7"/>
  <c r="AV124" i="7"/>
  <c r="AY124" i="7"/>
  <c r="BB124" i="7"/>
  <c r="BE124" i="7"/>
  <c r="BH124" i="7"/>
  <c r="BK124" i="7"/>
  <c r="BN124" i="7"/>
  <c r="BQ124" i="7"/>
  <c r="BT124" i="7"/>
  <c r="BW124" i="7"/>
  <c r="BZ124" i="7"/>
  <c r="CC124" i="7"/>
  <c r="CF124" i="7"/>
  <c r="CI124" i="7"/>
  <c r="CL124" i="7"/>
  <c r="CO124" i="7"/>
  <c r="CR124" i="7"/>
  <c r="CU124" i="7"/>
  <c r="CX124" i="7"/>
  <c r="DA124" i="7"/>
  <c r="DD124" i="7"/>
  <c r="DG124" i="7"/>
  <c r="DJ124" i="7"/>
  <c r="DM124" i="7"/>
  <c r="DP124" i="7"/>
  <c r="DS124" i="7"/>
  <c r="DY124" i="7"/>
  <c r="EB124" i="7"/>
  <c r="EE124" i="7"/>
  <c r="EH124" i="7"/>
  <c r="EK124" i="7"/>
  <c r="EN124" i="7"/>
  <c r="EQ124" i="7"/>
  <c r="F125" i="7"/>
  <c r="I125" i="7"/>
  <c r="L125" i="7"/>
  <c r="O125" i="7"/>
  <c r="R125" i="7"/>
  <c r="U125" i="7"/>
  <c r="X125" i="7"/>
  <c r="AA125" i="7"/>
  <c r="AD125" i="7"/>
  <c r="AG125" i="7"/>
  <c r="AJ125" i="7"/>
  <c r="AM125" i="7"/>
  <c r="AP125" i="7"/>
  <c r="AS125" i="7"/>
  <c r="AV125" i="7"/>
  <c r="AY125" i="7"/>
  <c r="BB125" i="7"/>
  <c r="BE125" i="7"/>
  <c r="BH125" i="7"/>
  <c r="BK125" i="7"/>
  <c r="BN125" i="7"/>
  <c r="BQ125" i="7"/>
  <c r="BT125" i="7"/>
  <c r="BW125" i="7"/>
  <c r="BZ125" i="7"/>
  <c r="CC125" i="7"/>
  <c r="CF125" i="7"/>
  <c r="CI125" i="7"/>
  <c r="CL125" i="7"/>
  <c r="CO125" i="7"/>
  <c r="CR125" i="7"/>
  <c r="CU125" i="7"/>
  <c r="CX125" i="7"/>
  <c r="DA125" i="7"/>
  <c r="DD125" i="7"/>
  <c r="DG125" i="7"/>
  <c r="DJ125" i="7"/>
  <c r="DM125" i="7"/>
  <c r="DP125" i="7"/>
  <c r="DS125" i="7"/>
  <c r="DY125" i="7"/>
  <c r="EB125" i="7"/>
  <c r="EE125" i="7"/>
  <c r="EH125" i="7"/>
  <c r="EK125" i="7"/>
  <c r="EN125" i="7"/>
  <c r="EQ125" i="7"/>
  <c r="F126" i="7"/>
  <c r="I126" i="7"/>
  <c r="L126" i="7"/>
  <c r="O126" i="7"/>
  <c r="R126" i="7"/>
  <c r="U126" i="7"/>
  <c r="X126" i="7"/>
  <c r="AA126" i="7"/>
  <c r="AD126" i="7"/>
  <c r="AG126" i="7"/>
  <c r="AJ126" i="7"/>
  <c r="AM126" i="7"/>
  <c r="AP126" i="7"/>
  <c r="AS126" i="7"/>
  <c r="AV126" i="7"/>
  <c r="AY126" i="7"/>
  <c r="BB126" i="7"/>
  <c r="BE126" i="7"/>
  <c r="BH126" i="7"/>
  <c r="BK126" i="7"/>
  <c r="BN126" i="7"/>
  <c r="BQ126" i="7"/>
  <c r="BT126" i="7"/>
  <c r="BW126" i="7"/>
  <c r="BZ126" i="7"/>
  <c r="CC126" i="7"/>
  <c r="CF126" i="7"/>
  <c r="CI126" i="7"/>
  <c r="CL126" i="7"/>
  <c r="CO126" i="7"/>
  <c r="CR126" i="7"/>
  <c r="CU126" i="7"/>
  <c r="CX126" i="7"/>
  <c r="DA126" i="7"/>
  <c r="DD126" i="7"/>
  <c r="DG126" i="7"/>
  <c r="DJ126" i="7"/>
  <c r="DM126" i="7"/>
  <c r="DP126" i="7"/>
  <c r="DS126" i="7"/>
  <c r="DY126" i="7"/>
  <c r="EB126" i="7"/>
  <c r="EE126" i="7"/>
  <c r="EH126" i="7"/>
  <c r="EK126" i="7"/>
  <c r="EN126" i="7"/>
  <c r="EQ126" i="7"/>
  <c r="F127" i="7"/>
  <c r="I127" i="7"/>
  <c r="L127" i="7"/>
  <c r="O127" i="7"/>
  <c r="R127" i="7"/>
  <c r="U127" i="7"/>
  <c r="X127" i="7"/>
  <c r="AA127" i="7"/>
  <c r="AD127" i="7"/>
  <c r="AG127" i="7"/>
  <c r="AJ127" i="7"/>
  <c r="AM127" i="7"/>
  <c r="AP127" i="7"/>
  <c r="AS127" i="7"/>
  <c r="AV127" i="7"/>
  <c r="AY127" i="7"/>
  <c r="BB127" i="7"/>
  <c r="BE127" i="7"/>
  <c r="BH127" i="7"/>
  <c r="BK127" i="7"/>
  <c r="BN127" i="7"/>
  <c r="BQ127" i="7"/>
  <c r="BT127" i="7"/>
  <c r="BW127" i="7"/>
  <c r="BZ127" i="7"/>
  <c r="CC127" i="7"/>
  <c r="CF127" i="7"/>
  <c r="CI127" i="7"/>
  <c r="CL127" i="7"/>
  <c r="CO127" i="7"/>
  <c r="CR127" i="7"/>
  <c r="CU127" i="7"/>
  <c r="CX127" i="7"/>
  <c r="DA127" i="7"/>
  <c r="DD127" i="7"/>
  <c r="DG127" i="7"/>
  <c r="DJ127" i="7"/>
  <c r="DM127" i="7"/>
  <c r="DP127" i="7"/>
  <c r="DS127" i="7"/>
  <c r="DY127" i="7"/>
  <c r="EB127" i="7"/>
  <c r="EE127" i="7"/>
  <c r="EH127" i="7"/>
  <c r="EK127" i="7"/>
  <c r="EN127" i="7"/>
  <c r="EQ127" i="7"/>
  <c r="F128" i="7"/>
  <c r="I128" i="7"/>
  <c r="L128" i="7"/>
  <c r="O128" i="7"/>
  <c r="R128" i="7"/>
  <c r="U128" i="7"/>
  <c r="X128" i="7"/>
  <c r="AA128" i="7"/>
  <c r="AD128" i="7"/>
  <c r="AG128" i="7"/>
  <c r="AJ128" i="7"/>
  <c r="AM128" i="7"/>
  <c r="AP128" i="7"/>
  <c r="AS128" i="7"/>
  <c r="AV128" i="7"/>
  <c r="AY128" i="7"/>
  <c r="BB128" i="7"/>
  <c r="BE128" i="7"/>
  <c r="BH128" i="7"/>
  <c r="BK128" i="7"/>
  <c r="BN128" i="7"/>
  <c r="BQ128" i="7"/>
  <c r="BT128" i="7"/>
  <c r="BW128" i="7"/>
  <c r="BZ128" i="7"/>
  <c r="CC128" i="7"/>
  <c r="CF128" i="7"/>
  <c r="CI128" i="7"/>
  <c r="CL128" i="7"/>
  <c r="CO128" i="7"/>
  <c r="CR128" i="7"/>
  <c r="CU128" i="7"/>
  <c r="CX128" i="7"/>
  <c r="DA128" i="7"/>
  <c r="DD128" i="7"/>
  <c r="DG128" i="7"/>
  <c r="DJ128" i="7"/>
  <c r="DM128" i="7"/>
  <c r="DP128" i="7"/>
  <c r="DS128" i="7"/>
  <c r="DY128" i="7"/>
  <c r="EB128" i="7"/>
  <c r="EE128" i="7"/>
  <c r="EH128" i="7"/>
  <c r="EK128" i="7"/>
  <c r="EN128" i="7"/>
  <c r="EQ128" i="7"/>
  <c r="F129" i="7"/>
  <c r="I129" i="7"/>
  <c r="L129" i="7"/>
  <c r="O129" i="7"/>
  <c r="R129" i="7"/>
  <c r="U129" i="7"/>
  <c r="X129" i="7"/>
  <c r="AA129" i="7"/>
  <c r="AD129" i="7"/>
  <c r="AG129" i="7"/>
  <c r="AJ129" i="7"/>
  <c r="AM129" i="7"/>
  <c r="AP129" i="7"/>
  <c r="AS129" i="7"/>
  <c r="AV129" i="7"/>
  <c r="AY129" i="7"/>
  <c r="BB129" i="7"/>
  <c r="BE129" i="7"/>
  <c r="BH129" i="7"/>
  <c r="BK129" i="7"/>
  <c r="BN129" i="7"/>
  <c r="BQ129" i="7"/>
  <c r="BT129" i="7"/>
  <c r="BW129" i="7"/>
  <c r="BZ129" i="7"/>
  <c r="CC129" i="7"/>
  <c r="CF129" i="7"/>
  <c r="CI129" i="7"/>
  <c r="CL129" i="7"/>
  <c r="CO129" i="7"/>
  <c r="CR129" i="7"/>
  <c r="CU129" i="7"/>
  <c r="CX129" i="7"/>
  <c r="DA129" i="7"/>
  <c r="DD129" i="7"/>
  <c r="DG129" i="7"/>
  <c r="DJ129" i="7"/>
  <c r="DM129" i="7"/>
  <c r="DP129" i="7"/>
  <c r="DS129" i="7"/>
  <c r="DY129" i="7"/>
  <c r="EB129" i="7"/>
  <c r="EE129" i="7"/>
  <c r="EH129" i="7"/>
  <c r="EK129" i="7"/>
  <c r="EN129" i="7"/>
  <c r="EQ129" i="7"/>
  <c r="F130" i="7"/>
  <c r="I130" i="7"/>
  <c r="L130" i="7"/>
  <c r="O130" i="7"/>
  <c r="R130" i="7"/>
  <c r="U130" i="7"/>
  <c r="X130" i="7"/>
  <c r="AA130" i="7"/>
  <c r="AD130" i="7"/>
  <c r="AG130" i="7"/>
  <c r="AJ130" i="7"/>
  <c r="AM130" i="7"/>
  <c r="AP130" i="7"/>
  <c r="AS130" i="7"/>
  <c r="AV130" i="7"/>
  <c r="AY130" i="7"/>
  <c r="BB130" i="7"/>
  <c r="BE130" i="7"/>
  <c r="BH130" i="7"/>
  <c r="BK130" i="7"/>
  <c r="BN130" i="7"/>
  <c r="BQ130" i="7"/>
  <c r="BT130" i="7"/>
  <c r="BW130" i="7"/>
  <c r="BZ130" i="7"/>
  <c r="CC130" i="7"/>
  <c r="CF130" i="7"/>
  <c r="CI130" i="7"/>
  <c r="CL130" i="7"/>
  <c r="CO130" i="7"/>
  <c r="CR130" i="7"/>
  <c r="CU130" i="7"/>
  <c r="CX130" i="7"/>
  <c r="DA130" i="7"/>
  <c r="DD130" i="7"/>
  <c r="DG130" i="7"/>
  <c r="DJ130" i="7"/>
  <c r="DM130" i="7"/>
  <c r="DP130" i="7"/>
  <c r="DS130" i="7"/>
  <c r="DY130" i="7"/>
  <c r="EB130" i="7"/>
  <c r="EE130" i="7"/>
  <c r="EH130" i="7"/>
  <c r="EK130" i="7"/>
  <c r="EN130" i="7"/>
  <c r="EQ130" i="7"/>
  <c r="F131" i="7"/>
  <c r="I131" i="7"/>
  <c r="L131" i="7"/>
  <c r="O131" i="7"/>
  <c r="R131" i="7"/>
  <c r="U131" i="7"/>
  <c r="X131" i="7"/>
  <c r="AA131" i="7"/>
  <c r="AD131" i="7"/>
  <c r="AG131" i="7"/>
  <c r="AJ131" i="7"/>
  <c r="AM131" i="7"/>
  <c r="AP131" i="7"/>
  <c r="AS131" i="7"/>
  <c r="AV131" i="7"/>
  <c r="AY131" i="7"/>
  <c r="BB131" i="7"/>
  <c r="BE131" i="7"/>
  <c r="BH131" i="7"/>
  <c r="BK131" i="7"/>
  <c r="BN131" i="7"/>
  <c r="BQ131" i="7"/>
  <c r="BT131" i="7"/>
  <c r="BW131" i="7"/>
  <c r="BZ131" i="7"/>
  <c r="CC131" i="7"/>
  <c r="CF131" i="7"/>
  <c r="CI131" i="7"/>
  <c r="CL131" i="7"/>
  <c r="CO131" i="7"/>
  <c r="CR131" i="7"/>
  <c r="CU131" i="7"/>
  <c r="CX131" i="7"/>
  <c r="DA131" i="7"/>
  <c r="DD131" i="7"/>
  <c r="DG131" i="7"/>
  <c r="DJ131" i="7"/>
  <c r="DM131" i="7"/>
  <c r="DP131" i="7"/>
  <c r="DS131" i="7"/>
  <c r="DY131" i="7"/>
  <c r="EB131" i="7"/>
  <c r="EE131" i="7"/>
  <c r="EH131" i="7"/>
  <c r="EK131" i="7"/>
  <c r="EN131" i="7"/>
  <c r="EQ131" i="7"/>
  <c r="F132" i="7"/>
  <c r="I132" i="7"/>
  <c r="L132" i="7"/>
  <c r="O132" i="7"/>
  <c r="R132" i="7"/>
  <c r="U132" i="7"/>
  <c r="X132" i="7"/>
  <c r="AA132" i="7"/>
  <c r="AD132" i="7"/>
  <c r="AG132" i="7"/>
  <c r="AJ132" i="7"/>
  <c r="AM132" i="7"/>
  <c r="AP132" i="7"/>
  <c r="AS132" i="7"/>
  <c r="AV132" i="7"/>
  <c r="AY132" i="7"/>
  <c r="BB132" i="7"/>
  <c r="BE132" i="7"/>
  <c r="BH132" i="7"/>
  <c r="BK132" i="7"/>
  <c r="BN132" i="7"/>
  <c r="BQ132" i="7"/>
  <c r="BT132" i="7"/>
  <c r="BW132" i="7"/>
  <c r="BZ132" i="7"/>
  <c r="CC132" i="7"/>
  <c r="CF132" i="7"/>
  <c r="CI132" i="7"/>
  <c r="CL132" i="7"/>
  <c r="CO132" i="7"/>
  <c r="CR132" i="7"/>
  <c r="CU132" i="7"/>
  <c r="CX132" i="7"/>
  <c r="DA132" i="7"/>
  <c r="DD132" i="7"/>
  <c r="DG132" i="7"/>
  <c r="DJ132" i="7"/>
  <c r="DM132" i="7"/>
  <c r="DP132" i="7"/>
  <c r="DS132" i="7"/>
  <c r="DY132" i="7"/>
  <c r="EB132" i="7"/>
  <c r="EE132" i="7"/>
  <c r="EH132" i="7"/>
  <c r="EK132" i="7"/>
  <c r="EN132" i="7"/>
  <c r="EQ132" i="7"/>
  <c r="F133" i="7"/>
  <c r="I133" i="7"/>
  <c r="L133" i="7"/>
  <c r="O133" i="7"/>
  <c r="R133" i="7"/>
  <c r="U133" i="7"/>
  <c r="X133" i="7"/>
  <c r="AA133" i="7"/>
  <c r="AD133" i="7"/>
  <c r="AG133" i="7"/>
  <c r="AJ133" i="7"/>
  <c r="AM133" i="7"/>
  <c r="AP133" i="7"/>
  <c r="AS133" i="7"/>
  <c r="AV133" i="7"/>
  <c r="AY133" i="7"/>
  <c r="BB133" i="7"/>
  <c r="BE133" i="7"/>
  <c r="BH133" i="7"/>
  <c r="BK133" i="7"/>
  <c r="BN133" i="7"/>
  <c r="BQ133" i="7"/>
  <c r="BT133" i="7"/>
  <c r="BW133" i="7"/>
  <c r="BZ133" i="7"/>
  <c r="CC133" i="7"/>
  <c r="CF133" i="7"/>
  <c r="CI133" i="7"/>
  <c r="CL133" i="7"/>
  <c r="CO133" i="7"/>
  <c r="CR133" i="7"/>
  <c r="CU133" i="7"/>
  <c r="CX133" i="7"/>
  <c r="DA133" i="7"/>
  <c r="DD133" i="7"/>
  <c r="DG133" i="7"/>
  <c r="DJ133" i="7"/>
  <c r="DM133" i="7"/>
  <c r="DP133" i="7"/>
  <c r="DS133" i="7"/>
  <c r="DY133" i="7"/>
  <c r="EB133" i="7"/>
  <c r="EE133" i="7"/>
  <c r="EH133" i="7"/>
  <c r="EK133" i="7"/>
  <c r="EN133" i="7"/>
  <c r="EQ133" i="7"/>
  <c r="F134" i="7"/>
  <c r="I134" i="7"/>
  <c r="L134" i="7"/>
  <c r="O134" i="7"/>
  <c r="R134" i="7"/>
  <c r="U134" i="7"/>
  <c r="X134" i="7"/>
  <c r="AA134" i="7"/>
  <c r="AD134" i="7"/>
  <c r="AG134" i="7"/>
  <c r="AJ134" i="7"/>
  <c r="AM134" i="7"/>
  <c r="AP134" i="7"/>
  <c r="AS134" i="7"/>
  <c r="AV134" i="7"/>
  <c r="AY134" i="7"/>
  <c r="BB134" i="7"/>
  <c r="BE134" i="7"/>
  <c r="BH134" i="7"/>
  <c r="BK134" i="7"/>
  <c r="BN134" i="7"/>
  <c r="BQ134" i="7"/>
  <c r="BT134" i="7"/>
  <c r="BW134" i="7"/>
  <c r="BZ134" i="7"/>
  <c r="CC134" i="7"/>
  <c r="CF134" i="7"/>
  <c r="CI134" i="7"/>
  <c r="CL134" i="7"/>
  <c r="CO134" i="7"/>
  <c r="CR134" i="7"/>
  <c r="CU134" i="7"/>
  <c r="CX134" i="7"/>
  <c r="DA134" i="7"/>
  <c r="DD134" i="7"/>
  <c r="DG134" i="7"/>
  <c r="DJ134" i="7"/>
  <c r="DM134" i="7"/>
  <c r="DP134" i="7"/>
  <c r="DS134" i="7"/>
  <c r="DY134" i="7"/>
  <c r="EB134" i="7"/>
  <c r="EE134" i="7"/>
  <c r="EH134" i="7"/>
  <c r="EK134" i="7"/>
  <c r="EN134" i="7"/>
  <c r="EQ134" i="7"/>
  <c r="F135" i="7"/>
  <c r="I135" i="7"/>
  <c r="L135" i="7"/>
  <c r="O135" i="7"/>
  <c r="R135" i="7"/>
  <c r="U135" i="7"/>
  <c r="X135" i="7"/>
  <c r="AA135" i="7"/>
  <c r="AD135" i="7"/>
  <c r="AG135" i="7"/>
  <c r="AJ135" i="7"/>
  <c r="AM135" i="7"/>
  <c r="AP135" i="7"/>
  <c r="AS135" i="7"/>
  <c r="AV135" i="7"/>
  <c r="AY135" i="7"/>
  <c r="BB135" i="7"/>
  <c r="BE135" i="7"/>
  <c r="BH135" i="7"/>
  <c r="BK135" i="7"/>
  <c r="BN135" i="7"/>
  <c r="BQ135" i="7"/>
  <c r="BT135" i="7"/>
  <c r="BW135" i="7"/>
  <c r="BZ135" i="7"/>
  <c r="CC135" i="7"/>
  <c r="CF135" i="7"/>
  <c r="CI135" i="7"/>
  <c r="CL135" i="7"/>
  <c r="CO135" i="7"/>
  <c r="CR135" i="7"/>
  <c r="CU135" i="7"/>
  <c r="CX135" i="7"/>
  <c r="DA135" i="7"/>
  <c r="DD135" i="7"/>
  <c r="DG135" i="7"/>
  <c r="DJ135" i="7"/>
  <c r="DM135" i="7"/>
  <c r="DP135" i="7"/>
  <c r="DS135" i="7"/>
  <c r="DY135" i="7"/>
  <c r="EB135" i="7"/>
  <c r="EE135" i="7"/>
  <c r="EH135" i="7"/>
  <c r="EK135" i="7"/>
  <c r="EN135" i="7"/>
  <c r="EQ135" i="7"/>
  <c r="F136" i="7"/>
  <c r="I136" i="7"/>
  <c r="L136" i="7"/>
  <c r="O136" i="7"/>
  <c r="R136" i="7"/>
  <c r="U136" i="7"/>
  <c r="X136" i="7"/>
  <c r="AA136" i="7"/>
  <c r="AD136" i="7"/>
  <c r="AG136" i="7"/>
  <c r="AJ136" i="7"/>
  <c r="AM136" i="7"/>
  <c r="AP136" i="7"/>
  <c r="AS136" i="7"/>
  <c r="AV136" i="7"/>
  <c r="AY136" i="7"/>
  <c r="BB136" i="7"/>
  <c r="BE136" i="7"/>
  <c r="BH136" i="7"/>
  <c r="BK136" i="7"/>
  <c r="BN136" i="7"/>
  <c r="BQ136" i="7"/>
  <c r="BT136" i="7"/>
  <c r="BW136" i="7"/>
  <c r="BZ136" i="7"/>
  <c r="CC136" i="7"/>
  <c r="CF136" i="7"/>
  <c r="CI136" i="7"/>
  <c r="CL136" i="7"/>
  <c r="CO136" i="7"/>
  <c r="CR136" i="7"/>
  <c r="CU136" i="7"/>
  <c r="CX136" i="7"/>
  <c r="DA136" i="7"/>
  <c r="DD136" i="7"/>
  <c r="DG136" i="7"/>
  <c r="DJ136" i="7"/>
  <c r="DM136" i="7"/>
  <c r="DP136" i="7"/>
  <c r="DS136" i="7"/>
  <c r="DY136" i="7"/>
  <c r="EB136" i="7"/>
  <c r="EE136" i="7"/>
  <c r="EH136" i="7"/>
  <c r="EK136" i="7"/>
  <c r="EN136" i="7"/>
  <c r="EQ136" i="7"/>
  <c r="F137" i="7"/>
  <c r="I137" i="7"/>
  <c r="L137" i="7"/>
  <c r="O137" i="7"/>
  <c r="R137" i="7"/>
  <c r="U137" i="7"/>
  <c r="X137" i="7"/>
  <c r="AA137" i="7"/>
  <c r="AD137" i="7"/>
  <c r="AG137" i="7"/>
  <c r="AJ137" i="7"/>
  <c r="AM137" i="7"/>
  <c r="AP137" i="7"/>
  <c r="AS137" i="7"/>
  <c r="AV137" i="7"/>
  <c r="AY137" i="7"/>
  <c r="BB137" i="7"/>
  <c r="BE137" i="7"/>
  <c r="BH137" i="7"/>
  <c r="BK137" i="7"/>
  <c r="BN137" i="7"/>
  <c r="BQ137" i="7"/>
  <c r="BT137" i="7"/>
  <c r="BW137" i="7"/>
  <c r="BZ137" i="7"/>
  <c r="CC137" i="7"/>
  <c r="CF137" i="7"/>
  <c r="CI137" i="7"/>
  <c r="CL137" i="7"/>
  <c r="CO137" i="7"/>
  <c r="CR137" i="7"/>
  <c r="CU137" i="7"/>
  <c r="CX137" i="7"/>
  <c r="DA137" i="7"/>
  <c r="DD137" i="7"/>
  <c r="DG137" i="7"/>
  <c r="DJ137" i="7"/>
  <c r="DM137" i="7"/>
  <c r="DP137" i="7"/>
  <c r="DS137" i="7"/>
  <c r="DY137" i="7"/>
  <c r="EB137" i="7"/>
  <c r="EE137" i="7"/>
  <c r="EH137" i="7"/>
  <c r="EK137" i="7"/>
  <c r="EN137" i="7"/>
  <c r="EQ137" i="7"/>
  <c r="F138" i="7"/>
  <c r="I138" i="7"/>
  <c r="L138" i="7"/>
  <c r="O138" i="7"/>
  <c r="R138" i="7"/>
  <c r="U138" i="7"/>
  <c r="X138" i="7"/>
  <c r="AA138" i="7"/>
  <c r="AD138" i="7"/>
  <c r="AG138" i="7"/>
  <c r="AJ138" i="7"/>
  <c r="AM138" i="7"/>
  <c r="AP138" i="7"/>
  <c r="AS138" i="7"/>
  <c r="AV138" i="7"/>
  <c r="AY138" i="7"/>
  <c r="BB138" i="7"/>
  <c r="BE138" i="7"/>
  <c r="BH138" i="7"/>
  <c r="BK138" i="7"/>
  <c r="BN138" i="7"/>
  <c r="BQ138" i="7"/>
  <c r="BT138" i="7"/>
  <c r="BW138" i="7"/>
  <c r="BZ138" i="7"/>
  <c r="CC138" i="7"/>
  <c r="CF138" i="7"/>
  <c r="CI138" i="7"/>
  <c r="CL138" i="7"/>
  <c r="CO138" i="7"/>
  <c r="CR138" i="7"/>
  <c r="CU138" i="7"/>
  <c r="CX138" i="7"/>
  <c r="DA138" i="7"/>
  <c r="DD138" i="7"/>
  <c r="DG138" i="7"/>
  <c r="DJ138" i="7"/>
  <c r="DM138" i="7"/>
  <c r="DP138" i="7"/>
  <c r="DS138" i="7"/>
  <c r="DY138" i="7"/>
  <c r="EB138" i="7"/>
  <c r="EE138" i="7"/>
  <c r="EH138" i="7"/>
  <c r="EK138" i="7"/>
  <c r="EN138" i="7"/>
  <c r="EQ138" i="7"/>
  <c r="F139" i="7"/>
  <c r="I139" i="7"/>
  <c r="L139" i="7"/>
  <c r="O139" i="7"/>
  <c r="R139" i="7"/>
  <c r="U139" i="7"/>
  <c r="X139" i="7"/>
  <c r="AA139" i="7"/>
  <c r="AD139" i="7"/>
  <c r="AG139" i="7"/>
  <c r="AJ139" i="7"/>
  <c r="AM139" i="7"/>
  <c r="AP139" i="7"/>
  <c r="AS139" i="7"/>
  <c r="AV139" i="7"/>
  <c r="AY139" i="7"/>
  <c r="BB139" i="7"/>
  <c r="BE139" i="7"/>
  <c r="BH139" i="7"/>
  <c r="BK139" i="7"/>
  <c r="BN139" i="7"/>
  <c r="BQ139" i="7"/>
  <c r="BT139" i="7"/>
  <c r="BW139" i="7"/>
  <c r="BZ139" i="7"/>
  <c r="CC139" i="7"/>
  <c r="CF139" i="7"/>
  <c r="CI139" i="7"/>
  <c r="CL139" i="7"/>
  <c r="CO139" i="7"/>
  <c r="CR139" i="7"/>
  <c r="CU139" i="7"/>
  <c r="CX139" i="7"/>
  <c r="DA139" i="7"/>
  <c r="DD139" i="7"/>
  <c r="DG139" i="7"/>
  <c r="DJ139" i="7"/>
  <c r="DM139" i="7"/>
  <c r="DP139" i="7"/>
  <c r="DS139" i="7"/>
  <c r="DY139" i="7"/>
  <c r="EB139" i="7"/>
  <c r="EE139" i="7"/>
  <c r="EH139" i="7"/>
  <c r="EK139" i="7"/>
  <c r="EN139" i="7"/>
  <c r="EQ139" i="7"/>
  <c r="E145" i="7"/>
  <c r="G143" i="7"/>
  <c r="G145" i="7"/>
  <c r="H145" i="7"/>
  <c r="J145" i="7"/>
  <c r="K145" i="7"/>
  <c r="M145" i="7"/>
  <c r="N145" i="7"/>
  <c r="P145" i="7"/>
  <c r="Q145" i="7"/>
  <c r="S145" i="7"/>
  <c r="T145" i="7"/>
  <c r="V145" i="7"/>
  <c r="W145" i="7"/>
  <c r="Y145" i="7"/>
  <c r="Z145" i="7"/>
  <c r="AB145" i="7"/>
  <c r="AC145" i="7"/>
  <c r="AE145" i="7"/>
  <c r="AF145" i="7"/>
  <c r="AI143" i="7"/>
  <c r="AI145" i="7"/>
  <c r="AK143" i="7"/>
  <c r="AL143" i="7"/>
  <c r="AL145" i="7"/>
  <c r="AN143" i="7"/>
  <c r="AN145" i="7"/>
  <c r="AO145" i="7"/>
  <c r="AR143" i="7"/>
  <c r="AR145" i="7"/>
  <c r="AT143" i="7"/>
  <c r="AU145" i="7"/>
  <c r="AX143" i="7"/>
  <c r="AX145" i="7"/>
  <c r="AZ143" i="7"/>
  <c r="BA143" i="7"/>
  <c r="BC143" i="7"/>
  <c r="BD145" i="7"/>
  <c r="BG145" i="7"/>
  <c r="BF146" i="7"/>
  <c r="BE146" i="7" s="1"/>
  <c r="BI145" i="7"/>
  <c r="BI146" i="7"/>
  <c r="BH146" i="7" s="1"/>
  <c r="BJ145" i="7"/>
  <c r="BL145" i="7"/>
  <c r="BM145" i="7"/>
  <c r="BN145" i="7" s="1"/>
  <c r="BP208" i="7"/>
  <c r="BP145" i="7" s="1"/>
  <c r="BR145" i="7"/>
  <c r="BS145" i="7"/>
  <c r="BU145" i="7"/>
  <c r="BV145" i="7"/>
  <c r="BX145" i="7"/>
  <c r="BY145" i="7"/>
  <c r="CA208" i="7"/>
  <c r="CA145" i="7" s="1"/>
  <c r="CB145" i="7"/>
  <c r="CD145" i="7"/>
  <c r="CE145" i="7"/>
  <c r="CG145" i="7"/>
  <c r="CH145" i="7"/>
  <c r="CJ145" i="7"/>
  <c r="CK145" i="7"/>
  <c r="CM145" i="7"/>
  <c r="CN145" i="7"/>
  <c r="CP145" i="7"/>
  <c r="CQ208" i="7"/>
  <c r="CQ145" i="7" s="1"/>
  <c r="CS208" i="7"/>
  <c r="CT208" i="7"/>
  <c r="CT145" i="7" s="1"/>
  <c r="CV208" i="7"/>
  <c r="CW145" i="7"/>
  <c r="CY145" i="7"/>
  <c r="CZ208" i="7"/>
  <c r="CZ145" i="7" s="1"/>
  <c r="DB145" i="7"/>
  <c r="DC145" i="7"/>
  <c r="DE145" i="7"/>
  <c r="DF145" i="7"/>
  <c r="DH145" i="7"/>
  <c r="DI145" i="7"/>
  <c r="DK208" i="7"/>
  <c r="AH145" i="7"/>
  <c r="AK145" i="7"/>
  <c r="AQ145" i="7"/>
  <c r="AT145" i="7"/>
  <c r="AW145" i="7"/>
  <c r="AZ145" i="7"/>
  <c r="F146" i="7"/>
  <c r="I146" i="7"/>
  <c r="L146" i="7"/>
  <c r="O146" i="7"/>
  <c r="R146" i="7"/>
  <c r="U146" i="7"/>
  <c r="X146" i="7"/>
  <c r="AA146" i="7"/>
  <c r="AD146" i="7"/>
  <c r="AG146" i="7"/>
  <c r="AJ146" i="7"/>
  <c r="AM146" i="7"/>
  <c r="AP146" i="7"/>
  <c r="AS146" i="7"/>
  <c r="AV146" i="7"/>
  <c r="AY146" i="7"/>
  <c r="BB146" i="7"/>
  <c r="BK146" i="7"/>
  <c r="BN146" i="7"/>
  <c r="BQ146" i="7"/>
  <c r="BT146" i="7"/>
  <c r="BW146" i="7"/>
  <c r="BZ146" i="7"/>
  <c r="CC146" i="7"/>
  <c r="CF146" i="7"/>
  <c r="CI146" i="7"/>
  <c r="CL146" i="7"/>
  <c r="CO146" i="7"/>
  <c r="CR146" i="7"/>
  <c r="CU146" i="7"/>
  <c r="CX146" i="7"/>
  <c r="DA146" i="7"/>
  <c r="DD146" i="7"/>
  <c r="DG146" i="7"/>
  <c r="DJ146" i="7"/>
  <c r="DM146" i="7"/>
  <c r="DP146" i="7"/>
  <c r="DS146" i="7"/>
  <c r="DY146" i="7"/>
  <c r="EB146" i="7"/>
  <c r="EE146" i="7"/>
  <c r="EH146" i="7"/>
  <c r="EK146" i="7"/>
  <c r="EN146" i="7"/>
  <c r="EQ146" i="7"/>
  <c r="E149" i="7"/>
  <c r="F149" i="7"/>
  <c r="G149" i="7"/>
  <c r="H149" i="7"/>
  <c r="I149" i="7"/>
  <c r="J149" i="7"/>
  <c r="K149" i="7"/>
  <c r="L149" i="7"/>
  <c r="M149" i="7"/>
  <c r="N149" i="7"/>
  <c r="O149" i="7"/>
  <c r="P149" i="7"/>
  <c r="Q149" i="7"/>
  <c r="R149" i="7"/>
  <c r="S149" i="7"/>
  <c r="T149" i="7"/>
  <c r="U149" i="7"/>
  <c r="V149" i="7"/>
  <c r="W149" i="7"/>
  <c r="X149" i="7"/>
  <c r="Y149" i="7"/>
  <c r="Z149" i="7"/>
  <c r="AA149" i="7"/>
  <c r="AB149" i="7"/>
  <c r="AC149" i="7"/>
  <c r="AD149" i="7"/>
  <c r="AE149" i="7"/>
  <c r="AF149" i="7"/>
  <c r="AG149" i="7"/>
  <c r="AH149" i="7"/>
  <c r="AI149" i="7"/>
  <c r="AJ149" i="7"/>
  <c r="AK149" i="7"/>
  <c r="AL149" i="7"/>
  <c r="AQ151" i="7"/>
  <c r="AR151" i="7"/>
  <c r="AT151" i="7"/>
  <c r="AU151" i="7"/>
  <c r="AW151" i="7"/>
  <c r="AX151" i="7"/>
  <c r="AZ151" i="7"/>
  <c r="BC151" i="7"/>
  <c r="BF151" i="7"/>
  <c r="BG151" i="7"/>
  <c r="BI151" i="7"/>
  <c r="BJ151" i="7"/>
  <c r="BU155" i="7"/>
  <c r="BI162" i="7"/>
  <c r="E166" i="7"/>
  <c r="G166" i="7"/>
  <c r="H166" i="7"/>
  <c r="J166" i="7"/>
  <c r="K166" i="7"/>
  <c r="M166" i="7"/>
  <c r="N166" i="7"/>
  <c r="P166" i="7"/>
  <c r="Q166" i="7"/>
  <c r="S166" i="7"/>
  <c r="T166" i="7"/>
  <c r="V166" i="7"/>
  <c r="W166" i="7"/>
  <c r="Y166" i="7"/>
  <c r="Z166" i="7"/>
  <c r="AB166" i="7"/>
  <c r="AC166" i="7"/>
  <c r="AE166" i="7"/>
  <c r="AF166" i="7"/>
  <c r="AH166" i="7"/>
  <c r="AI166" i="7"/>
  <c r="AK166" i="7"/>
  <c r="AL166" i="7"/>
  <c r="AN166" i="7"/>
  <c r="AO166" i="7"/>
  <c r="AQ166" i="7"/>
  <c r="AR166" i="7"/>
  <c r="AT166" i="7"/>
  <c r="AU166" i="7"/>
  <c r="AW166" i="7"/>
  <c r="AX166" i="7"/>
  <c r="AZ166" i="7"/>
  <c r="BC166" i="7"/>
  <c r="BD166" i="7"/>
  <c r="BF166" i="7"/>
  <c r="BG166" i="7"/>
  <c r="BI166" i="7"/>
  <c r="BJ166" i="7"/>
  <c r="BO166" i="7"/>
  <c r="AL176" i="7"/>
  <c r="AO176" i="7"/>
  <c r="AR176" i="7"/>
  <c r="AU176" i="7"/>
  <c r="AX176" i="7"/>
  <c r="BD176" i="7"/>
  <c r="BG176" i="7"/>
  <c r="E178" i="7"/>
  <c r="F178" i="7"/>
  <c r="G178" i="7"/>
  <c r="H178" i="7"/>
  <c r="I178" i="7"/>
  <c r="J178" i="7"/>
  <c r="K178" i="7"/>
  <c r="L178" i="7"/>
  <c r="M178" i="7"/>
  <c r="N178" i="7"/>
  <c r="O178" i="7"/>
  <c r="P178" i="7"/>
  <c r="Q178" i="7"/>
  <c r="R178" i="7"/>
  <c r="S178" i="7"/>
  <c r="T178" i="7"/>
  <c r="U178" i="7"/>
  <c r="V178" i="7"/>
  <c r="W178" i="7"/>
  <c r="X178" i="7"/>
  <c r="Y178" i="7"/>
  <c r="Z178" i="7"/>
  <c r="AA178" i="7"/>
  <c r="AB178" i="7"/>
  <c r="AC178" i="7"/>
  <c r="AD178" i="7"/>
  <c r="AE178" i="7"/>
  <c r="AF178" i="7"/>
  <c r="AG178" i="7"/>
  <c r="AH178" i="7"/>
  <c r="AI178" i="7"/>
  <c r="AJ178" i="7"/>
  <c r="AK178" i="7"/>
  <c r="AL178" i="7"/>
  <c r="BI179" i="7"/>
  <c r="BR179" i="7"/>
  <c r="BU179" i="7"/>
  <c r="F180" i="7"/>
  <c r="I180" i="7"/>
  <c r="L180" i="7"/>
  <c r="O180" i="7"/>
  <c r="R180" i="7"/>
  <c r="U180" i="7"/>
  <c r="X180" i="7"/>
  <c r="AA180" i="7"/>
  <c r="AD180" i="7"/>
  <c r="AG180" i="7"/>
  <c r="AJ180" i="7"/>
  <c r="AL180" i="7"/>
  <c r="AM180" i="7" s="1"/>
  <c r="AO180" i="7"/>
  <c r="AP180" i="7" s="1"/>
  <c r="AR180" i="7"/>
  <c r="AW180" i="7"/>
  <c r="BA180" i="7"/>
  <c r="BB180" i="7" s="1"/>
  <c r="BE180" i="7"/>
  <c r="BJ180" i="7"/>
  <c r="BL180" i="7"/>
  <c r="BM180" i="7"/>
  <c r="BO180" i="7"/>
  <c r="BP180" i="7"/>
  <c r="BR180" i="7"/>
  <c r="BS180" i="7"/>
  <c r="BU180" i="7"/>
  <c r="BV180" i="7"/>
  <c r="BX180" i="7"/>
  <c r="BY180" i="7"/>
  <c r="CA180" i="7"/>
  <c r="CB180" i="7"/>
  <c r="CD180" i="7"/>
  <c r="CE180" i="7"/>
  <c r="CG180" i="7"/>
  <c r="CH180" i="7"/>
  <c r="CJ180" i="7"/>
  <c r="CK180" i="7"/>
  <c r="CM180" i="7"/>
  <c r="CN180" i="7"/>
  <c r="CP180" i="7"/>
  <c r="CQ180" i="7"/>
  <c r="CS180" i="7"/>
  <c r="CT180" i="7"/>
  <c r="CV180" i="7"/>
  <c r="CW180" i="7"/>
  <c r="CZ180" i="7"/>
  <c r="DB180" i="7"/>
  <c r="DC180" i="7"/>
  <c r="DE180" i="7"/>
  <c r="DF180" i="7"/>
  <c r="DH180" i="7"/>
  <c r="DI180" i="7"/>
  <c r="DJ180" i="7" s="1"/>
  <c r="F182" i="7"/>
  <c r="I182" i="7"/>
  <c r="L182" i="7"/>
  <c r="O182" i="7"/>
  <c r="R182" i="7"/>
  <c r="U182" i="7"/>
  <c r="X182" i="7"/>
  <c r="AA182" i="7"/>
  <c r="AD182" i="7"/>
  <c r="AG182" i="7"/>
  <c r="AJ182" i="7"/>
  <c r="AM182" i="7"/>
  <c r="AP182" i="7"/>
  <c r="AS182" i="7"/>
  <c r="AV182" i="7"/>
  <c r="AY182" i="7"/>
  <c r="BA182" i="7"/>
  <c r="BB182" i="7" s="1"/>
  <c r="BE182" i="7"/>
  <c r="BI182" i="7"/>
  <c r="BH182" i="7" s="1"/>
  <c r="BL182" i="7"/>
  <c r="BK182" i="7" s="1"/>
  <c r="BN182" i="7"/>
  <c r="BQ182" i="7"/>
  <c r="BU182" i="7"/>
  <c r="BT182" i="7" s="1"/>
  <c r="BW182" i="7"/>
  <c r="CA182" i="7"/>
  <c r="BZ182" i="7" s="1"/>
  <c r="CB182" i="7"/>
  <c r="CC182" i="7" s="1"/>
  <c r="CF182" i="7"/>
  <c r="CI182" i="7"/>
  <c r="CL182" i="7"/>
  <c r="CO182" i="7"/>
  <c r="CQ182" i="7"/>
  <c r="CS182" i="7"/>
  <c r="CT182" i="7"/>
  <c r="CV182" i="7"/>
  <c r="DD182" i="7"/>
  <c r="DG182" i="7"/>
  <c r="DI182" i="7"/>
  <c r="DJ182" i="7" s="1"/>
  <c r="F184" i="7"/>
  <c r="I184" i="7"/>
  <c r="L184" i="7"/>
  <c r="O184" i="7"/>
  <c r="R184" i="7"/>
  <c r="U184" i="7"/>
  <c r="X184" i="7"/>
  <c r="AA184" i="7"/>
  <c r="AD184" i="7"/>
  <c r="AG184" i="7"/>
  <c r="AJ184" i="7"/>
  <c r="AL229" i="7"/>
  <c r="AL234" i="7"/>
  <c r="AL263" i="7"/>
  <c r="AO229" i="7"/>
  <c r="AO234" i="7"/>
  <c r="AO328" i="7" s="1"/>
  <c r="AO263" i="7"/>
  <c r="AR229" i="7"/>
  <c r="AR327" i="7" s="1"/>
  <c r="AR234" i="7"/>
  <c r="AR328" i="7" s="1"/>
  <c r="AR263" i="7"/>
  <c r="AZ229" i="7"/>
  <c r="AZ234" i="7"/>
  <c r="AY234" i="7" s="1"/>
  <c r="AZ263" i="7"/>
  <c r="AY263" i="7" s="1"/>
  <c r="BC229" i="7"/>
  <c r="BB229" i="7" s="1"/>
  <c r="BC234" i="7"/>
  <c r="BB234" i="7" s="1"/>
  <c r="BC263" i="7"/>
  <c r="BB263" i="7" s="1"/>
  <c r="BF229" i="7"/>
  <c r="BF327" i="7" s="1"/>
  <c r="BF234" i="7"/>
  <c r="BF263" i="7"/>
  <c r="BG229" i="7"/>
  <c r="BG327" i="7" s="1"/>
  <c r="BG234" i="7"/>
  <c r="BG263" i="7"/>
  <c r="BG329" i="7" s="1"/>
  <c r="BI184" i="7"/>
  <c r="BJ229" i="7"/>
  <c r="BJ234" i="7"/>
  <c r="BJ328" i="7" s="1"/>
  <c r="BJ263" i="7"/>
  <c r="BJ329" i="7" s="1"/>
  <c r="BL229" i="7"/>
  <c r="BI229" i="7"/>
  <c r="BH229" i="7" s="1"/>
  <c r="BL234" i="7"/>
  <c r="BI234" i="7"/>
  <c r="BL263" i="7"/>
  <c r="BI263" i="7"/>
  <c r="BI329" i="7" s="1"/>
  <c r="BM229" i="7"/>
  <c r="BM234" i="7"/>
  <c r="BM263" i="7"/>
  <c r="BO229" i="7"/>
  <c r="BO234" i="7"/>
  <c r="BO328" i="7" s="1"/>
  <c r="BO263" i="7"/>
  <c r="BN263" i="7" s="1"/>
  <c r="BP229" i="7"/>
  <c r="BP234" i="7"/>
  <c r="BP263" i="7"/>
  <c r="BR229" i="7"/>
  <c r="BQ229" i="7" s="1"/>
  <c r="BR234" i="7"/>
  <c r="BR263" i="7"/>
  <c r="BQ263" i="7" s="1"/>
  <c r="BS229" i="7"/>
  <c r="BS234" i="7"/>
  <c r="BS263" i="7"/>
  <c r="BU229" i="7"/>
  <c r="BT229" i="7" s="1"/>
  <c r="BU234" i="7"/>
  <c r="BT234" i="7" s="1"/>
  <c r="BU263" i="7"/>
  <c r="BT263" i="7" s="1"/>
  <c r="BV229" i="7"/>
  <c r="BV234" i="7"/>
  <c r="BV263" i="7"/>
  <c r="BX229" i="7"/>
  <c r="BW229" i="7" s="1"/>
  <c r="BX234" i="7"/>
  <c r="BX265" i="7"/>
  <c r="BX263" i="7" s="1"/>
  <c r="BY229" i="7"/>
  <c r="BY234" i="7"/>
  <c r="BY263" i="7"/>
  <c r="CA229" i="7"/>
  <c r="BZ229" i="7" s="1"/>
  <c r="CA234" i="7"/>
  <c r="BZ234" i="7" s="1"/>
  <c r="CA265" i="7"/>
  <c r="CA263" i="7" s="1"/>
  <c r="BZ263" i="7" s="1"/>
  <c r="CB229" i="7"/>
  <c r="CB234" i="7"/>
  <c r="CB263" i="7"/>
  <c r="CD229" i="7"/>
  <c r="CC229" i="7" s="1"/>
  <c r="CD234" i="7"/>
  <c r="CC234" i="7" s="1"/>
  <c r="CD265" i="7"/>
  <c r="CD263" i="7" s="1"/>
  <c r="CC263" i="7" s="1"/>
  <c r="CE229" i="7"/>
  <c r="CE234" i="7"/>
  <c r="CE263" i="7"/>
  <c r="CG229" i="7"/>
  <c r="CF229" i="7" s="1"/>
  <c r="CG234" i="7"/>
  <c r="CG263" i="7"/>
  <c r="CF263" i="7" s="1"/>
  <c r="CH229" i="7"/>
  <c r="CH234" i="7"/>
  <c r="CH265" i="7"/>
  <c r="CH263" i="7" s="1"/>
  <c r="CJ229" i="7"/>
  <c r="CI229" i="7" s="1"/>
  <c r="CJ234" i="7"/>
  <c r="CI234" i="7" s="1"/>
  <c r="CK229" i="7"/>
  <c r="CK234" i="7"/>
  <c r="CM229" i="7"/>
  <c r="CL229" i="7" s="1"/>
  <c r="CM234" i="7"/>
  <c r="CN229" i="7"/>
  <c r="CN234" i="7"/>
  <c r="CP229" i="7"/>
  <c r="W38" i="9" s="1"/>
  <c r="CP234" i="7"/>
  <c r="W39" i="9" s="1"/>
  <c r="CQ229" i="7"/>
  <c r="CQ234" i="7"/>
  <c r="CS229" i="7"/>
  <c r="X38" i="9" s="1"/>
  <c r="CS234" i="7"/>
  <c r="X39" i="9" s="1"/>
  <c r="CT229" i="7"/>
  <c r="CT234" i="7"/>
  <c r="CV229" i="7"/>
  <c r="Y38" i="9" s="1"/>
  <c r="CV234" i="7"/>
  <c r="Y39" i="9" s="1"/>
  <c r="CW229" i="7"/>
  <c r="CW234" i="7"/>
  <c r="CY229" i="7"/>
  <c r="Z38" i="9" s="1"/>
  <c r="CY234" i="7"/>
  <c r="Z39" i="9" s="1"/>
  <c r="CZ229" i="7"/>
  <c r="CZ234" i="7"/>
  <c r="DB229" i="7"/>
  <c r="AA38" i="9" s="1"/>
  <c r="DB234" i="7"/>
  <c r="AA39" i="9" s="1"/>
  <c r="DC229" i="7"/>
  <c r="DC234" i="7"/>
  <c r="DE229" i="7"/>
  <c r="AB38" i="9" s="1"/>
  <c r="DE234" i="7"/>
  <c r="AB39" i="9" s="1"/>
  <c r="DF229" i="7"/>
  <c r="DF234" i="7"/>
  <c r="DH229" i="7"/>
  <c r="AC38" i="9" s="1"/>
  <c r="DH234" i="7"/>
  <c r="AC39" i="9" s="1"/>
  <c r="DI229" i="7"/>
  <c r="DI234" i="7"/>
  <c r="F185" i="7"/>
  <c r="I185" i="7"/>
  <c r="L185" i="7"/>
  <c r="O185" i="7"/>
  <c r="R185" i="7"/>
  <c r="U185" i="7"/>
  <c r="X185" i="7"/>
  <c r="AA185" i="7"/>
  <c r="AD185" i="7"/>
  <c r="AG185" i="7"/>
  <c r="AJ185" i="7"/>
  <c r="AL273" i="7"/>
  <c r="AL293" i="7"/>
  <c r="AO273" i="7"/>
  <c r="AO330" i="7" s="1"/>
  <c r="AO293" i="7"/>
  <c r="AO86" i="8" s="1"/>
  <c r="AR273" i="7"/>
  <c r="AR149" i="8" s="1"/>
  <c r="AR293" i="7"/>
  <c r="AR331" i="7" s="1"/>
  <c r="AZ273" i="7"/>
  <c r="AZ330" i="7" s="1"/>
  <c r="AZ293" i="7"/>
  <c r="BF185" i="7"/>
  <c r="BG273" i="7"/>
  <c r="BG330" i="7" s="1"/>
  <c r="BF273" i="7"/>
  <c r="BG293" i="7"/>
  <c r="BF293" i="7"/>
  <c r="BE293" i="7" s="1"/>
  <c r="BI185" i="7"/>
  <c r="BJ273" i="7"/>
  <c r="BJ330" i="7" s="1"/>
  <c r="BJ293" i="7"/>
  <c r="BJ86" i="8" s="1"/>
  <c r="BL273" i="7"/>
  <c r="BI273" i="7"/>
  <c r="BH273" i="7" s="1"/>
  <c r="BL293" i="7"/>
  <c r="BK293" i="7" s="1"/>
  <c r="BI293" i="7"/>
  <c r="BM273" i="7"/>
  <c r="BM293" i="7"/>
  <c r="BM86" i="8" s="1"/>
  <c r="BO273" i="7"/>
  <c r="BO293" i="7"/>
  <c r="BN293" i="7" s="1"/>
  <c r="BP273" i="7"/>
  <c r="BP293" i="7"/>
  <c r="BP86" i="8" s="1"/>
  <c r="BR273" i="7"/>
  <c r="BQ273" i="7" s="1"/>
  <c r="BR293" i="7"/>
  <c r="BS273" i="7"/>
  <c r="BS293" i="7"/>
  <c r="BU273" i="7"/>
  <c r="BT273" i="7" s="1"/>
  <c r="BU293" i="7"/>
  <c r="BV273" i="7"/>
  <c r="BV293" i="7"/>
  <c r="BV86" i="8" s="1"/>
  <c r="BX276" i="7"/>
  <c r="BW276" i="7" s="1"/>
  <c r="BX277" i="7"/>
  <c r="BW277" i="7" s="1"/>
  <c r="BX278" i="7"/>
  <c r="BW278" i="7" s="1"/>
  <c r="BX295" i="7"/>
  <c r="BW295" i="7" s="1"/>
  <c r="BX296" i="7"/>
  <c r="BW296" i="7" s="1"/>
  <c r="BY273" i="7"/>
  <c r="BY293" i="7"/>
  <c r="CA276" i="7"/>
  <c r="BZ276" i="7" s="1"/>
  <c r="CA277" i="7"/>
  <c r="BZ277" i="7" s="1"/>
  <c r="CA278" i="7"/>
  <c r="BZ278" i="7" s="1"/>
  <c r="CA295" i="7"/>
  <c r="BZ295" i="7" s="1"/>
  <c r="CA296" i="7"/>
  <c r="BZ296" i="7" s="1"/>
  <c r="CB273" i="7"/>
  <c r="CB293" i="7"/>
  <c r="CD277" i="7"/>
  <c r="CC277" i="7" s="1"/>
  <c r="CD278" i="7"/>
  <c r="CC278" i="7" s="1"/>
  <c r="CD295" i="7"/>
  <c r="CC295" i="7" s="1"/>
  <c r="CD296" i="7"/>
  <c r="CC296" i="7" s="1"/>
  <c r="CE273" i="7"/>
  <c r="CE293" i="7"/>
  <c r="CH297" i="7"/>
  <c r="CJ279" i="7"/>
  <c r="CI279" i="7" s="1"/>
  <c r="CJ297" i="7"/>
  <c r="CI297" i="7" s="1"/>
  <c r="CM297" i="7"/>
  <c r="CL297" i="7" s="1"/>
  <c r="CN297" i="7"/>
  <c r="CP297" i="7"/>
  <c r="CO297" i="7" s="1"/>
  <c r="CQ297" i="7"/>
  <c r="CS297" i="7"/>
  <c r="CR297" i="7" s="1"/>
  <c r="CT297" i="7"/>
  <c r="CV297" i="7"/>
  <c r="CU297" i="7" s="1"/>
  <c r="CW297" i="7"/>
  <c r="CY297" i="7"/>
  <c r="CX297" i="7" s="1"/>
  <c r="CZ297" i="7"/>
  <c r="DB297" i="7"/>
  <c r="DA297" i="7" s="1"/>
  <c r="DC297" i="7"/>
  <c r="DE297" i="7"/>
  <c r="DD297" i="7" s="1"/>
  <c r="DF297" i="7"/>
  <c r="DH297" i="7"/>
  <c r="DG297" i="7" s="1"/>
  <c r="DI297" i="7"/>
  <c r="F187" i="7"/>
  <c r="I187" i="7"/>
  <c r="L187" i="7"/>
  <c r="O187" i="7"/>
  <c r="R187" i="7"/>
  <c r="U187" i="7"/>
  <c r="X187" i="7"/>
  <c r="AA187" i="7"/>
  <c r="AD187" i="7"/>
  <c r="AG187" i="7"/>
  <c r="AJ187" i="7"/>
  <c r="E188" i="7"/>
  <c r="G188" i="7"/>
  <c r="H188" i="7"/>
  <c r="J188" i="7"/>
  <c r="K188" i="7"/>
  <c r="M188" i="7"/>
  <c r="N188" i="7"/>
  <c r="P188" i="7"/>
  <c r="Q188" i="7"/>
  <c r="S188" i="7"/>
  <c r="T188" i="7"/>
  <c r="V188" i="7"/>
  <c r="W188" i="7"/>
  <c r="Y188" i="7"/>
  <c r="Z188" i="7"/>
  <c r="AB188" i="7"/>
  <c r="AC188" i="7"/>
  <c r="AE188" i="7"/>
  <c r="AF188" i="7"/>
  <c r="AH188" i="7"/>
  <c r="AI188" i="7"/>
  <c r="AK188" i="7"/>
  <c r="AL188" i="7"/>
  <c r="AN188" i="7"/>
  <c r="AO188" i="7"/>
  <c r="AQ188" i="7"/>
  <c r="AR188" i="7"/>
  <c r="AT188" i="7"/>
  <c r="AU188" i="7"/>
  <c r="AW188" i="7"/>
  <c r="AX188" i="7"/>
  <c r="AZ188" i="7"/>
  <c r="BA189" i="7"/>
  <c r="BA188" i="7" s="1"/>
  <c r="BC189" i="7"/>
  <c r="BC292" i="8" s="1"/>
  <c r="BD190" i="7"/>
  <c r="BE190" i="7" s="1"/>
  <c r="BF188" i="7"/>
  <c r="BG188" i="7"/>
  <c r="BI188" i="7"/>
  <c r="BJ189" i="7"/>
  <c r="BK189" i="7" s="1"/>
  <c r="BL190" i="7"/>
  <c r="BL188" i="7" s="1"/>
  <c r="BM188" i="7"/>
  <c r="BM218" i="7" s="1"/>
  <c r="BO188" i="7"/>
  <c r="BO218" i="7" s="1"/>
  <c r="BR188" i="7"/>
  <c r="BR218" i="7" s="1"/>
  <c r="BU189" i="7"/>
  <c r="BU190" i="7"/>
  <c r="BT190" i="7" s="1"/>
  <c r="BV188" i="7"/>
  <c r="BV215" i="7" s="1"/>
  <c r="BX189" i="7"/>
  <c r="BW189" i="7" s="1"/>
  <c r="BY190" i="7"/>
  <c r="BY188" i="7" s="1"/>
  <c r="BY218" i="7" s="1"/>
  <c r="CA188" i="7"/>
  <c r="CD188" i="7"/>
  <c r="CD218" i="7" s="1"/>
  <c r="CE189" i="7"/>
  <c r="CF189" i="7" s="1"/>
  <c r="CG188" i="7"/>
  <c r="CH188" i="7"/>
  <c r="CH215" i="7" s="1"/>
  <c r="CJ188" i="7"/>
  <c r="CJ215" i="7" s="1"/>
  <c r="CK188" i="7"/>
  <c r="CK218" i="7" s="1"/>
  <c r="CM190" i="7"/>
  <c r="CM188" i="7" s="1"/>
  <c r="CM218" i="7" s="1"/>
  <c r="CN190" i="7"/>
  <c r="CN188" i="7" s="1"/>
  <c r="CN218" i="7" s="1"/>
  <c r="CP190" i="7"/>
  <c r="CP188" i="7" s="1"/>
  <c r="CQ190" i="7"/>
  <c r="CQ188" i="7" s="1"/>
  <c r="CQ218" i="7" s="1"/>
  <c r="CS190" i="7"/>
  <c r="CT190" i="7"/>
  <c r="CT188" i="7" s="1"/>
  <c r="CT218" i="7" s="1"/>
  <c r="CV190" i="7"/>
  <c r="CV188" i="7" s="1"/>
  <c r="CZ188" i="7"/>
  <c r="CZ218" i="7" s="1"/>
  <c r="DB190" i="7"/>
  <c r="DA190" i="7" s="1"/>
  <c r="DC190" i="7"/>
  <c r="DC188" i="7" s="1"/>
  <c r="DE190" i="7"/>
  <c r="DF190" i="7"/>
  <c r="DF188" i="7" s="1"/>
  <c r="DH190" i="7"/>
  <c r="DI190" i="7"/>
  <c r="DI188" i="7" s="1"/>
  <c r="DI218" i="7" s="1"/>
  <c r="DK190" i="7"/>
  <c r="DK188" i="7" s="1"/>
  <c r="F189" i="7"/>
  <c r="I189" i="7"/>
  <c r="L189" i="7"/>
  <c r="O189" i="7"/>
  <c r="R189" i="7"/>
  <c r="U189" i="7"/>
  <c r="X189" i="7"/>
  <c r="AA189" i="7"/>
  <c r="AD189" i="7"/>
  <c r="AG189" i="7"/>
  <c r="AJ189" i="7"/>
  <c r="AM189" i="7"/>
  <c r="AP189" i="7"/>
  <c r="AS189" i="7"/>
  <c r="AV189" i="7"/>
  <c r="AY189" i="7"/>
  <c r="BE189" i="7"/>
  <c r="BH189" i="7"/>
  <c r="BN189" i="7"/>
  <c r="BQ189" i="7"/>
  <c r="BZ189" i="7"/>
  <c r="CI189" i="7"/>
  <c r="CL189" i="7"/>
  <c r="CO189" i="7"/>
  <c r="CR189" i="7"/>
  <c r="CU189" i="7"/>
  <c r="CX189" i="7"/>
  <c r="DA189" i="7"/>
  <c r="DD189" i="7"/>
  <c r="DG189" i="7"/>
  <c r="DJ189" i="7"/>
  <c r="F190" i="7"/>
  <c r="I190" i="7"/>
  <c r="L190" i="7"/>
  <c r="O190" i="7"/>
  <c r="R190" i="7"/>
  <c r="U190" i="7"/>
  <c r="X190" i="7"/>
  <c r="AA190" i="7"/>
  <c r="AD190" i="7"/>
  <c r="AG190" i="7"/>
  <c r="AJ190" i="7"/>
  <c r="AJ154" i="8" s="1"/>
  <c r="AM190" i="7"/>
  <c r="AM154" i="8" s="1"/>
  <c r="AP190" i="7"/>
  <c r="AP154" i="8" s="1"/>
  <c r="AS190" i="7"/>
  <c r="AV190" i="7"/>
  <c r="AY190" i="7"/>
  <c r="BH190" i="7"/>
  <c r="BN190" i="7"/>
  <c r="BW190" i="7"/>
  <c r="CF190" i="7"/>
  <c r="CI190" i="7"/>
  <c r="F191" i="7"/>
  <c r="I191" i="7"/>
  <c r="L191" i="7"/>
  <c r="O191" i="7"/>
  <c r="R191" i="7"/>
  <c r="U191" i="7"/>
  <c r="X191" i="7"/>
  <c r="AA191" i="7"/>
  <c r="AD191" i="7"/>
  <c r="AG191" i="7"/>
  <c r="AJ191" i="7"/>
  <c r="AM191" i="7"/>
  <c r="AM156" i="8" s="1"/>
  <c r="AP191" i="7"/>
  <c r="AP156" i="8" s="1"/>
  <c r="AS191" i="7"/>
  <c r="AS156" i="8" s="1"/>
  <c r="AV191" i="7"/>
  <c r="AV156" i="8" s="1"/>
  <c r="AY191" i="7"/>
  <c r="AY156" i="8" s="1"/>
  <c r="BC191" i="7"/>
  <c r="BB191" i="7" s="1"/>
  <c r="BE191" i="7"/>
  <c r="BE156" i="8" s="1"/>
  <c r="BH191" i="7"/>
  <c r="BH156" i="8" s="1"/>
  <c r="BJ191" i="7"/>
  <c r="BL191" i="7"/>
  <c r="BW191" i="7"/>
  <c r="BW156" i="8" s="1"/>
  <c r="E192" i="7"/>
  <c r="G192" i="7"/>
  <c r="H192" i="7"/>
  <c r="J192" i="7"/>
  <c r="K192" i="7"/>
  <c r="M192" i="7"/>
  <c r="N192" i="7"/>
  <c r="P192" i="7"/>
  <c r="Q192" i="7"/>
  <c r="S192" i="7"/>
  <c r="T192" i="7"/>
  <c r="V192" i="7"/>
  <c r="W192" i="7"/>
  <c r="Y192" i="7"/>
  <c r="Z192" i="7"/>
  <c r="AB192" i="7"/>
  <c r="AC192" i="7"/>
  <c r="AE192" i="7"/>
  <c r="AF192" i="7"/>
  <c r="AH192" i="7"/>
  <c r="AI192" i="7"/>
  <c r="AK192" i="7"/>
  <c r="AL192" i="7"/>
  <c r="AN192" i="7"/>
  <c r="AO192" i="7"/>
  <c r="AQ192" i="7"/>
  <c r="AR192" i="7"/>
  <c r="AT192" i="7"/>
  <c r="AU192" i="7"/>
  <c r="AW192" i="7"/>
  <c r="AX192" i="7"/>
  <c r="AZ192" i="7"/>
  <c r="BA192" i="7"/>
  <c r="BD192" i="7"/>
  <c r="BF192" i="7"/>
  <c r="BG194" i="7"/>
  <c r="BH194" i="7" s="1"/>
  <c r="BH159" i="8" s="1"/>
  <c r="BI192" i="7"/>
  <c r="BJ193" i="7"/>
  <c r="BJ194" i="7"/>
  <c r="BK194" i="7" s="1"/>
  <c r="BK159" i="8" s="1"/>
  <c r="BL192" i="7"/>
  <c r="BM194" i="7"/>
  <c r="BM192" i="7" s="1"/>
  <c r="BO194" i="7"/>
  <c r="BO192" i="7" s="1"/>
  <c r="BP194" i="7"/>
  <c r="BR193" i="7"/>
  <c r="BR194" i="7"/>
  <c r="BS193" i="7"/>
  <c r="BT193" i="7" s="1"/>
  <c r="BT158" i="8" s="1"/>
  <c r="BS194" i="7"/>
  <c r="BU194" i="7"/>
  <c r="BU192" i="7" s="1"/>
  <c r="BV194" i="7"/>
  <c r="BX194" i="7"/>
  <c r="BY194" i="7"/>
  <c r="CA194" i="7"/>
  <c r="CB194" i="7"/>
  <c r="CD194" i="7"/>
  <c r="CE194" i="7"/>
  <c r="CG194" i="7"/>
  <c r="CH194" i="7"/>
  <c r="CJ194" i="7"/>
  <c r="CK194" i="7"/>
  <c r="CM194" i="7"/>
  <c r="CN194" i="7"/>
  <c r="CP194" i="7"/>
  <c r="CQ194" i="7"/>
  <c r="CS194" i="7"/>
  <c r="CV194" i="7"/>
  <c r="CU194" i="7" s="1"/>
  <c r="CW194" i="7"/>
  <c r="CY194" i="7"/>
  <c r="CY192" i="7" s="1"/>
  <c r="DB192" i="7"/>
  <c r="DE194" i="7"/>
  <c r="DF194" i="7"/>
  <c r="DH194" i="7"/>
  <c r="DI194" i="7"/>
  <c r="DK194" i="7"/>
  <c r="F193" i="7"/>
  <c r="I193" i="7"/>
  <c r="L193" i="7"/>
  <c r="O193" i="7"/>
  <c r="R193" i="7"/>
  <c r="U193" i="7"/>
  <c r="X193" i="7"/>
  <c r="AA193" i="7"/>
  <c r="AD193" i="7"/>
  <c r="AG193" i="7"/>
  <c r="AJ193" i="7"/>
  <c r="AJ158" i="8" s="1"/>
  <c r="AM193" i="7"/>
  <c r="AM158" i="8" s="1"/>
  <c r="AP193" i="7"/>
  <c r="AP158" i="8" s="1"/>
  <c r="AS193" i="7"/>
  <c r="AS158" i="8" s="1"/>
  <c r="AV193" i="7"/>
  <c r="AV158" i="8" s="1"/>
  <c r="AY193" i="7"/>
  <c r="AY158" i="8" s="1"/>
  <c r="BE193" i="7"/>
  <c r="BE158" i="8" s="1"/>
  <c r="BH193" i="7"/>
  <c r="BH158" i="8" s="1"/>
  <c r="BN193" i="7"/>
  <c r="BN158" i="8" s="1"/>
  <c r="F194" i="7"/>
  <c r="I194" i="7"/>
  <c r="L194" i="7"/>
  <c r="O194" i="7"/>
  <c r="R194" i="7"/>
  <c r="U194" i="7"/>
  <c r="X194" i="7"/>
  <c r="AA194" i="7"/>
  <c r="AD194" i="7"/>
  <c r="AG194" i="7"/>
  <c r="AJ194" i="7"/>
  <c r="AM194" i="7"/>
  <c r="AP194" i="7"/>
  <c r="AS194" i="7"/>
  <c r="AV194" i="7"/>
  <c r="AV159" i="8" s="1"/>
  <c r="AY194" i="7"/>
  <c r="AY159" i="8" s="1"/>
  <c r="BE194" i="7"/>
  <c r="BE159" i="8" s="1"/>
  <c r="DA194" i="7"/>
  <c r="DA159" i="8" s="1"/>
  <c r="E195" i="7"/>
  <c r="G195" i="7"/>
  <c r="H195" i="7"/>
  <c r="J195" i="7"/>
  <c r="K195" i="7"/>
  <c r="M195" i="7"/>
  <c r="N195" i="7"/>
  <c r="P195" i="7"/>
  <c r="Q195" i="7"/>
  <c r="S195" i="7"/>
  <c r="T195" i="7"/>
  <c r="V195" i="7"/>
  <c r="W195" i="7"/>
  <c r="Y195" i="7"/>
  <c r="Z195" i="7"/>
  <c r="AB195" i="7"/>
  <c r="AC195" i="7"/>
  <c r="AE195" i="7"/>
  <c r="AF195" i="7"/>
  <c r="AH195" i="7"/>
  <c r="AI195" i="7"/>
  <c r="AK195" i="7"/>
  <c r="AL195" i="7"/>
  <c r="AN195" i="7"/>
  <c r="AO195" i="7"/>
  <c r="AQ195" i="7"/>
  <c r="AR195" i="7"/>
  <c r="AT195" i="7"/>
  <c r="AU195" i="7"/>
  <c r="AW195" i="7"/>
  <c r="AX195" i="7"/>
  <c r="AZ195" i="7"/>
  <c r="BC196" i="7"/>
  <c r="BC197" i="7"/>
  <c r="BL196" i="7"/>
  <c r="BL195" i="7" s="1"/>
  <c r="BO195" i="7"/>
  <c r="BS197" i="7"/>
  <c r="BT197" i="7" s="1"/>
  <c r="BT162" i="8" s="1"/>
  <c r="F196" i="7"/>
  <c r="I196" i="7"/>
  <c r="L196" i="7"/>
  <c r="O196" i="7"/>
  <c r="R196" i="7"/>
  <c r="U196" i="7"/>
  <c r="X196" i="7"/>
  <c r="AA196" i="7"/>
  <c r="AD196" i="7"/>
  <c r="AG196" i="7"/>
  <c r="AJ196" i="7"/>
  <c r="AM196" i="7"/>
  <c r="AP196" i="7"/>
  <c r="AS196" i="7"/>
  <c r="AS161" i="8" s="1"/>
  <c r="AV196" i="7"/>
  <c r="AV161" i="8" s="1"/>
  <c r="AY196" i="7"/>
  <c r="AY161" i="8" s="1"/>
  <c r="F197" i="7"/>
  <c r="I197" i="7"/>
  <c r="L197" i="7"/>
  <c r="O197" i="7"/>
  <c r="R197" i="7"/>
  <c r="U197" i="7"/>
  <c r="X197" i="7"/>
  <c r="AA197" i="7"/>
  <c r="AD197" i="7"/>
  <c r="AG197" i="7"/>
  <c r="AJ197" i="7"/>
  <c r="AM197" i="7"/>
  <c r="AP197" i="7"/>
  <c r="AS197" i="7"/>
  <c r="AV197" i="7"/>
  <c r="AV162" i="8" s="1"/>
  <c r="AY197" i="7"/>
  <c r="AY162" i="8" s="1"/>
  <c r="CR197" i="7"/>
  <c r="E198" i="7"/>
  <c r="G198" i="7"/>
  <c r="H198" i="7"/>
  <c r="J198" i="7"/>
  <c r="K198" i="7"/>
  <c r="M198" i="7"/>
  <c r="N198" i="7"/>
  <c r="P198" i="7"/>
  <c r="Q198" i="7"/>
  <c r="S198" i="7"/>
  <c r="T198" i="7"/>
  <c r="V198" i="7"/>
  <c r="W198" i="7"/>
  <c r="Y198" i="7"/>
  <c r="Z198" i="7"/>
  <c r="AB198" i="7"/>
  <c r="AC198" i="7"/>
  <c r="AE198" i="7"/>
  <c r="AF198" i="7"/>
  <c r="AH198" i="7"/>
  <c r="AI198" i="7"/>
  <c r="AK198" i="7"/>
  <c r="AL198" i="7"/>
  <c r="AN198" i="7"/>
  <c r="AO198" i="7"/>
  <c r="AQ198" i="7"/>
  <c r="AR198" i="7"/>
  <c r="AT198" i="7"/>
  <c r="AU198" i="7"/>
  <c r="AW198" i="7"/>
  <c r="AZ198" i="7"/>
  <c r="AY198" i="7" s="1"/>
  <c r="BA200" i="7"/>
  <c r="BA201" i="7"/>
  <c r="BC199" i="7"/>
  <c r="BC200" i="7"/>
  <c r="BC201" i="7"/>
  <c r="BD199" i="7"/>
  <c r="BD201" i="7"/>
  <c r="BF199" i="7"/>
  <c r="BF200" i="7"/>
  <c r="BE200" i="7" s="1"/>
  <c r="BF201" i="7"/>
  <c r="BG199" i="7"/>
  <c r="BG200" i="7"/>
  <c r="BI199" i="7"/>
  <c r="BI200" i="7"/>
  <c r="BI201" i="7"/>
  <c r="BH201" i="7" s="1"/>
  <c r="BJ199" i="7"/>
  <c r="BJ200" i="7"/>
  <c r="BJ201" i="7"/>
  <c r="BK201" i="7" s="1"/>
  <c r="BK167" i="8" s="1"/>
  <c r="BL199" i="7"/>
  <c r="BL200" i="7"/>
  <c r="BM199" i="7"/>
  <c r="BM200" i="7"/>
  <c r="BO199" i="7"/>
  <c r="BO200" i="7"/>
  <c r="BP199" i="7"/>
  <c r="BP200" i="7"/>
  <c r="BP201" i="7"/>
  <c r="BQ201" i="7" s="1"/>
  <c r="BQ167" i="8" s="1"/>
  <c r="BR199" i="7"/>
  <c r="BR200" i="7"/>
  <c r="BS199" i="7"/>
  <c r="BS200" i="7"/>
  <c r="BS201" i="7"/>
  <c r="BU199" i="7"/>
  <c r="BU200" i="7"/>
  <c r="BU201" i="7"/>
  <c r="BV199" i="7"/>
  <c r="BV200" i="7"/>
  <c r="BV201" i="7"/>
  <c r="BW201" i="7" s="1"/>
  <c r="BW167" i="8" s="1"/>
  <c r="BX199" i="7"/>
  <c r="BX200" i="7"/>
  <c r="BY199" i="7"/>
  <c r="BY200" i="7"/>
  <c r="CA199" i="7"/>
  <c r="CA200" i="7"/>
  <c r="CB199" i="7"/>
  <c r="CB200" i="7"/>
  <c r="CB201" i="7"/>
  <c r="CC201" i="7" s="1"/>
  <c r="CC167" i="8" s="1"/>
  <c r="CD199" i="7"/>
  <c r="CD200" i="7"/>
  <c r="CE199" i="7"/>
  <c r="CE200" i="7"/>
  <c r="CG199" i="7"/>
  <c r="CG200" i="7"/>
  <c r="CH199" i="7"/>
  <c r="CH200" i="7"/>
  <c r="CJ199" i="7"/>
  <c r="CK199" i="7"/>
  <c r="CK200" i="7"/>
  <c r="CK201" i="7"/>
  <c r="CL201" i="7" s="1"/>
  <c r="CL167" i="8" s="1"/>
  <c r="CM199" i="7"/>
  <c r="CN199" i="7"/>
  <c r="CN200" i="7"/>
  <c r="CN201" i="7"/>
  <c r="CO201" i="7" s="1"/>
  <c r="CO167" i="8" s="1"/>
  <c r="CP199" i="7"/>
  <c r="CP200" i="7"/>
  <c r="CQ199" i="7"/>
  <c r="CQ201" i="7"/>
  <c r="CS199" i="7"/>
  <c r="CS201" i="7"/>
  <c r="CT199" i="7"/>
  <c r="CT200" i="7"/>
  <c r="CT201" i="7"/>
  <c r="CV199" i="7"/>
  <c r="CV200" i="7"/>
  <c r="CV201" i="7"/>
  <c r="CW199" i="7"/>
  <c r="CY199" i="7"/>
  <c r="CY201" i="7"/>
  <c r="CX201" i="7" s="1"/>
  <c r="CZ200" i="7"/>
  <c r="CZ201" i="7"/>
  <c r="DB200" i="7"/>
  <c r="DB201" i="7"/>
  <c r="DC200" i="7"/>
  <c r="DC201" i="7"/>
  <c r="DE200" i="7"/>
  <c r="DE201" i="7"/>
  <c r="DF199" i="7"/>
  <c r="DF200" i="7"/>
  <c r="DF201" i="7"/>
  <c r="DH199" i="7"/>
  <c r="DH200" i="7"/>
  <c r="DH201" i="7"/>
  <c r="DI200" i="7"/>
  <c r="DI201" i="7"/>
  <c r="DK200" i="7"/>
  <c r="DK201" i="7"/>
  <c r="F199" i="7"/>
  <c r="I199" i="7"/>
  <c r="L199" i="7"/>
  <c r="O199" i="7"/>
  <c r="R199" i="7"/>
  <c r="U199" i="7"/>
  <c r="X199" i="7"/>
  <c r="AA199" i="7"/>
  <c r="AD199" i="7"/>
  <c r="AG199" i="7"/>
  <c r="AJ199" i="7"/>
  <c r="AM199" i="7"/>
  <c r="AP199" i="7"/>
  <c r="AS199" i="7"/>
  <c r="AV199" i="7"/>
  <c r="AV165" i="8" s="1"/>
  <c r="AY199" i="7"/>
  <c r="AY165" i="8" s="1"/>
  <c r="DA199" i="7"/>
  <c r="DA165" i="8" s="1"/>
  <c r="DD199" i="7"/>
  <c r="DD165" i="8" s="1"/>
  <c r="DJ199" i="7"/>
  <c r="DM199" i="7"/>
  <c r="F200" i="7"/>
  <c r="I200" i="7"/>
  <c r="L200" i="7"/>
  <c r="O200" i="7"/>
  <c r="R200" i="7"/>
  <c r="U200" i="7"/>
  <c r="X200" i="7"/>
  <c r="AA200" i="7"/>
  <c r="AD200" i="7"/>
  <c r="AG200" i="7"/>
  <c r="AJ200" i="7"/>
  <c r="AM200" i="7"/>
  <c r="AP200" i="7"/>
  <c r="AS200" i="7"/>
  <c r="AV200" i="7"/>
  <c r="AV166" i="8" s="1"/>
  <c r="AY200" i="7"/>
  <c r="AY166" i="8" s="1"/>
  <c r="F201" i="7"/>
  <c r="I201" i="7"/>
  <c r="L201" i="7"/>
  <c r="O201" i="7"/>
  <c r="R201" i="7"/>
  <c r="U201" i="7"/>
  <c r="X201" i="7"/>
  <c r="AA201" i="7"/>
  <c r="AD201" i="7"/>
  <c r="AG201" i="7"/>
  <c r="AJ201" i="7"/>
  <c r="AJ167" i="8" s="1"/>
  <c r="AM201" i="7"/>
  <c r="AM167" i="8" s="1"/>
  <c r="AP201" i="7"/>
  <c r="AP167" i="8" s="1"/>
  <c r="AS201" i="7"/>
  <c r="AV201" i="7"/>
  <c r="AY201" i="7"/>
  <c r="BN201" i="7"/>
  <c r="BN167" i="8" s="1"/>
  <c r="BZ201" i="7"/>
  <c r="BZ167" i="8" s="1"/>
  <c r="CF201" i="7"/>
  <c r="CF167" i="8" s="1"/>
  <c r="CI201" i="7"/>
  <c r="CI167" i="8" s="1"/>
  <c r="F202" i="7"/>
  <c r="I202" i="7"/>
  <c r="L202" i="7"/>
  <c r="O202" i="7"/>
  <c r="R202" i="7"/>
  <c r="U202" i="7"/>
  <c r="X202" i="7"/>
  <c r="AA202" i="7"/>
  <c r="AD202" i="7"/>
  <c r="AG202" i="7"/>
  <c r="AJ202" i="7"/>
  <c r="AM202" i="7"/>
  <c r="AP202" i="7"/>
  <c r="AS202" i="7"/>
  <c r="AS168" i="8" s="1"/>
  <c r="AV202" i="7"/>
  <c r="AV168" i="8" s="1"/>
  <c r="AY202" i="7"/>
  <c r="AY168" i="8" s="1"/>
  <c r="BA202" i="7"/>
  <c r="BC202" i="7"/>
  <c r="BF202" i="7"/>
  <c r="BE202" i="7" s="1"/>
  <c r="BG202" i="7"/>
  <c r="BI202" i="7"/>
  <c r="BJ202" i="7"/>
  <c r="BL202" i="7"/>
  <c r="BO202" i="7"/>
  <c r="BN202" i="7" s="1"/>
  <c r="BP202" i="7"/>
  <c r="BR202" i="7"/>
  <c r="BS202" i="7"/>
  <c r="BU202" i="7"/>
  <c r="BV202" i="7"/>
  <c r="BX202" i="7"/>
  <c r="BY202" i="7"/>
  <c r="CA202" i="7"/>
  <c r="CB202" i="7"/>
  <c r="CD202" i="7"/>
  <c r="CE202" i="7"/>
  <c r="CG202" i="7"/>
  <c r="CH202" i="7"/>
  <c r="CJ202" i="7"/>
  <c r="CK202" i="7"/>
  <c r="CM202" i="7"/>
  <c r="CN202" i="7"/>
  <c r="CP202" i="7"/>
  <c r="CQ202" i="7"/>
  <c r="CS202" i="7"/>
  <c r="CT202" i="7"/>
  <c r="CV202" i="7"/>
  <c r="CW202" i="7"/>
  <c r="CY202" i="7"/>
  <c r="CZ202" i="7"/>
  <c r="DB202" i="7"/>
  <c r="DC202" i="7"/>
  <c r="DE202" i="7"/>
  <c r="DF202" i="7"/>
  <c r="DH202" i="7"/>
  <c r="DI202" i="7"/>
  <c r="DK202" i="7"/>
  <c r="F203" i="7"/>
  <c r="I203" i="7"/>
  <c r="L203" i="7"/>
  <c r="O203" i="7"/>
  <c r="R203" i="7"/>
  <c r="U203" i="7"/>
  <c r="X203" i="7"/>
  <c r="AA203" i="7"/>
  <c r="AD203" i="7"/>
  <c r="AG203" i="7"/>
  <c r="AJ203" i="7"/>
  <c r="AM203" i="7"/>
  <c r="AP203" i="7"/>
  <c r="AS203" i="7"/>
  <c r="AV203" i="7"/>
  <c r="AV169" i="8" s="1"/>
  <c r="AY203" i="7"/>
  <c r="AY169" i="8" s="1"/>
  <c r="BA203" i="7"/>
  <c r="BC203" i="7"/>
  <c r="BD203" i="7"/>
  <c r="BE203" i="7" s="1"/>
  <c r="BI203" i="7"/>
  <c r="BH203" i="7" s="1"/>
  <c r="BJ203" i="7"/>
  <c r="BL203" i="7"/>
  <c r="BN203" i="7"/>
  <c r="BP203" i="7"/>
  <c r="BR203" i="7"/>
  <c r="BS203" i="7"/>
  <c r="BU203" i="7"/>
  <c r="BV203" i="7"/>
  <c r="BX203" i="7"/>
  <c r="BY203" i="7"/>
  <c r="BZ203" i="7" s="1"/>
  <c r="CC203" i="7"/>
  <c r="CE203" i="7"/>
  <c r="CF203" i="7" s="1"/>
  <c r="CI203" i="7"/>
  <c r="CL203" i="7"/>
  <c r="CN203" i="7"/>
  <c r="CO203" i="7" s="1"/>
  <c r="CR203" i="7"/>
  <c r="CV203" i="7"/>
  <c r="CU203" i="7" s="1"/>
  <c r="CW203" i="7"/>
  <c r="CY203" i="7"/>
  <c r="DB203" i="7"/>
  <c r="DA203" i="7" s="1"/>
  <c r="DD203" i="7"/>
  <c r="DJ203" i="7"/>
  <c r="DM203" i="7"/>
  <c r="E205" i="7"/>
  <c r="G205" i="7"/>
  <c r="H205" i="7"/>
  <c r="J205" i="7"/>
  <c r="K205" i="7"/>
  <c r="M205" i="7"/>
  <c r="N205" i="7"/>
  <c r="P205" i="7"/>
  <c r="Q205" i="7"/>
  <c r="S205" i="7"/>
  <c r="T205" i="7"/>
  <c r="V205" i="7"/>
  <c r="W205" i="7"/>
  <c r="Y205" i="7"/>
  <c r="Z205" i="7"/>
  <c r="AB205" i="7"/>
  <c r="AC205" i="7"/>
  <c r="AE205" i="7"/>
  <c r="AF205" i="7"/>
  <c r="AH205" i="7"/>
  <c r="AI205" i="7"/>
  <c r="AK205" i="7"/>
  <c r="AL205" i="7"/>
  <c r="AN205" i="7"/>
  <c r="AO205" i="7"/>
  <c r="AQ205" i="7"/>
  <c r="AR205" i="7"/>
  <c r="AT205" i="7"/>
  <c r="AU205" i="7"/>
  <c r="AW205" i="7"/>
  <c r="AX205" i="7"/>
  <c r="AZ205" i="7"/>
  <c r="BA207" i="7"/>
  <c r="BA205" i="7" s="1"/>
  <c r="BC206" i="7"/>
  <c r="BB206" i="7" s="1"/>
  <c r="BC207" i="7"/>
  <c r="BD207" i="7"/>
  <c r="BD205" i="7" s="1"/>
  <c r="BF207" i="7"/>
  <c r="BF205" i="7" s="1"/>
  <c r="BG207" i="7"/>
  <c r="BG205" i="7" s="1"/>
  <c r="BI207" i="7"/>
  <c r="BJ207" i="7"/>
  <c r="BJ205" i="7" s="1"/>
  <c r="BL207" i="7"/>
  <c r="BL205" i="7" s="1"/>
  <c r="BM207" i="7"/>
  <c r="BM205" i="7" s="1"/>
  <c r="BO206" i="7"/>
  <c r="BN206" i="7" s="1"/>
  <c r="BO207" i="7"/>
  <c r="BP207" i="7"/>
  <c r="BR206" i="7"/>
  <c r="BR207" i="7"/>
  <c r="BS207" i="7"/>
  <c r="BS205" i="7" s="1"/>
  <c r="BU207" i="7"/>
  <c r="BV207" i="7"/>
  <c r="BX207" i="7"/>
  <c r="BX205" i="7" s="1"/>
  <c r="BY207" i="7"/>
  <c r="BY205" i="7" s="1"/>
  <c r="CA206" i="7"/>
  <c r="CA205" i="7" s="1"/>
  <c r="CB206" i="7"/>
  <c r="CB207" i="7"/>
  <c r="CC207" i="7" s="1"/>
  <c r="CD206" i="7"/>
  <c r="CD205" i="7" s="1"/>
  <c r="CE206" i="7"/>
  <c r="CF206" i="7" s="1"/>
  <c r="CE207" i="7"/>
  <c r="CG207" i="7"/>
  <c r="CG205" i="7" s="1"/>
  <c r="CH206" i="7"/>
  <c r="CH207" i="7"/>
  <c r="CJ206" i="7"/>
  <c r="CJ207" i="7"/>
  <c r="CK206" i="7"/>
  <c r="CK207" i="7"/>
  <c r="CL207" i="7" s="1"/>
  <c r="CM206" i="7"/>
  <c r="CM205" i="7" s="1"/>
  <c r="CN206" i="7"/>
  <c r="CN207" i="7"/>
  <c r="CP206" i="7"/>
  <c r="CP207" i="7"/>
  <c r="CQ206" i="7"/>
  <c r="CQ207" i="7"/>
  <c r="CS206" i="7"/>
  <c r="CS207" i="7"/>
  <c r="CT206" i="7"/>
  <c r="CT207" i="7"/>
  <c r="CV206" i="7"/>
  <c r="CV207" i="7"/>
  <c r="CW206" i="7"/>
  <c r="CW207" i="7"/>
  <c r="CY206" i="7"/>
  <c r="CY207" i="7"/>
  <c r="CZ206" i="7"/>
  <c r="CZ207" i="7"/>
  <c r="DB206" i="7"/>
  <c r="DB207" i="7"/>
  <c r="DC207" i="7"/>
  <c r="DC205" i="7" s="1"/>
  <c r="DE207" i="7"/>
  <c r="DF205" i="7"/>
  <c r="DH206" i="7"/>
  <c r="DG206" i="7" s="1"/>
  <c r="DI207" i="7"/>
  <c r="DJ207" i="7" s="1"/>
  <c r="DK205" i="7"/>
  <c r="F206" i="7"/>
  <c r="I206" i="7"/>
  <c r="L206" i="7"/>
  <c r="O206" i="7"/>
  <c r="R206" i="7"/>
  <c r="U206" i="7"/>
  <c r="X206" i="7"/>
  <c r="AA206" i="7"/>
  <c r="AD206" i="7"/>
  <c r="AG206" i="7"/>
  <c r="AJ206" i="7"/>
  <c r="AM206" i="7"/>
  <c r="AP206" i="7"/>
  <c r="AS206" i="7"/>
  <c r="AS172" i="8" s="1"/>
  <c r="AV206" i="7"/>
  <c r="AV172" i="8" s="1"/>
  <c r="AY206" i="7"/>
  <c r="AY172" i="8" s="1"/>
  <c r="BE206" i="7"/>
  <c r="BE172" i="8" s="1"/>
  <c r="BH206" i="7"/>
  <c r="BH172" i="8" s="1"/>
  <c r="BK206" i="7"/>
  <c r="BT206" i="7"/>
  <c r="BW206" i="7"/>
  <c r="DD206" i="7"/>
  <c r="DJ206" i="7"/>
  <c r="DJ172" i="8" s="1"/>
  <c r="DJ171" i="8" s="1"/>
  <c r="DM206" i="7"/>
  <c r="F207" i="7"/>
  <c r="I207" i="7"/>
  <c r="L207" i="7"/>
  <c r="O207" i="7"/>
  <c r="R207" i="7"/>
  <c r="U207" i="7"/>
  <c r="X207" i="7"/>
  <c r="AA207" i="7"/>
  <c r="AD207" i="7"/>
  <c r="AG207" i="7"/>
  <c r="AJ207" i="7"/>
  <c r="AM207" i="7"/>
  <c r="AP207" i="7"/>
  <c r="AS207" i="7"/>
  <c r="AS173" i="8" s="1"/>
  <c r="AV207" i="7"/>
  <c r="AV173" i="8" s="1"/>
  <c r="AY207" i="7"/>
  <c r="AY173" i="8" s="1"/>
  <c r="DG207" i="7"/>
  <c r="F208" i="7"/>
  <c r="I208" i="7"/>
  <c r="L208" i="7"/>
  <c r="O208" i="7"/>
  <c r="R208" i="7"/>
  <c r="U208" i="7"/>
  <c r="X208" i="7"/>
  <c r="AA208" i="7"/>
  <c r="AD208" i="7"/>
  <c r="AG208" i="7"/>
  <c r="AJ208" i="7"/>
  <c r="AM208" i="7"/>
  <c r="AP208" i="7"/>
  <c r="AS208" i="7"/>
  <c r="AV208" i="7"/>
  <c r="AY208" i="7"/>
  <c r="BB208" i="7"/>
  <c r="BE208" i="7"/>
  <c r="BH208" i="7"/>
  <c r="BK208" i="7"/>
  <c r="BN208" i="7"/>
  <c r="BT208" i="7"/>
  <c r="BW208" i="7"/>
  <c r="CC208" i="7"/>
  <c r="CF208" i="7"/>
  <c r="CI208" i="7"/>
  <c r="CL208" i="7"/>
  <c r="CO208" i="7"/>
  <c r="CX208" i="7"/>
  <c r="DD208" i="7"/>
  <c r="DG208" i="7"/>
  <c r="F209" i="7"/>
  <c r="I209" i="7"/>
  <c r="L209" i="7"/>
  <c r="O209" i="7"/>
  <c r="R209" i="7"/>
  <c r="U209" i="7"/>
  <c r="X209" i="7"/>
  <c r="AA209" i="7"/>
  <c r="AD209" i="7"/>
  <c r="AG209" i="7"/>
  <c r="AJ209" i="7"/>
  <c r="AM209" i="7"/>
  <c r="AP209" i="7"/>
  <c r="AS209" i="7"/>
  <c r="AV209" i="7"/>
  <c r="AY209" i="7"/>
  <c r="BC209" i="7"/>
  <c r="BB209" i="7" s="1"/>
  <c r="BE209" i="7"/>
  <c r="BE174" i="8" s="1"/>
  <c r="BG209" i="7"/>
  <c r="BH209" i="7" s="1"/>
  <c r="BH174" i="8" s="1"/>
  <c r="BK209" i="7"/>
  <c r="BN209" i="7"/>
  <c r="BS209" i="7"/>
  <c r="BV209" i="7"/>
  <c r="BX209" i="7"/>
  <c r="BZ209" i="7"/>
  <c r="CD209" i="7"/>
  <c r="CC209" i="7" s="1"/>
  <c r="CI209" i="7"/>
  <c r="CL209" i="7"/>
  <c r="CO209" i="7"/>
  <c r="CS209" i="7"/>
  <c r="CV209" i="7"/>
  <c r="CX209" i="7"/>
  <c r="CX175" i="8" s="1"/>
  <c r="CZ209" i="7"/>
  <c r="DA209" i="7" s="1"/>
  <c r="DA175" i="8" s="1"/>
  <c r="DD209" i="7"/>
  <c r="DD175" i="8" s="1"/>
  <c r="DH209" i="7"/>
  <c r="DI209" i="7"/>
  <c r="DI175" i="8" s="1"/>
  <c r="EH175" i="8"/>
  <c r="EK175" i="8"/>
  <c r="EN175" i="8"/>
  <c r="EQ175" i="8"/>
  <c r="F210" i="7"/>
  <c r="I210" i="7"/>
  <c r="L210" i="7"/>
  <c r="O210" i="7"/>
  <c r="R210" i="7"/>
  <c r="U210" i="7"/>
  <c r="X210" i="7"/>
  <c r="AA210" i="7"/>
  <c r="AD210" i="7"/>
  <c r="AG210" i="7"/>
  <c r="AJ210" i="7"/>
  <c r="AM210" i="7"/>
  <c r="AM176" i="8" s="1"/>
  <c r="AP210" i="7"/>
  <c r="AP176" i="8" s="1"/>
  <c r="AS210" i="7"/>
  <c r="AS176" i="8" s="1"/>
  <c r="AV210" i="7"/>
  <c r="AV176" i="8" s="1"/>
  <c r="AZ210" i="7"/>
  <c r="AY210" i="7" s="1"/>
  <c r="BC210" i="7"/>
  <c r="BC176" i="8" s="1"/>
  <c r="BC174" i="8" s="1"/>
  <c r="BE210" i="7"/>
  <c r="BG210" i="7"/>
  <c r="BG176" i="8" s="1"/>
  <c r="BG174" i="8" s="1"/>
  <c r="BK210" i="7"/>
  <c r="BK176" i="8" s="1"/>
  <c r="BK174" i="8" s="1"/>
  <c r="BN210" i="7"/>
  <c r="BN176" i="8" s="1"/>
  <c r="BP210" i="7"/>
  <c r="BP176" i="8" s="1"/>
  <c r="BS210" i="7"/>
  <c r="BS176" i="8" s="1"/>
  <c r="BW210" i="7"/>
  <c r="BW176" i="8" s="1"/>
  <c r="CC210" i="7"/>
  <c r="CC176" i="8" s="1"/>
  <c r="CF210" i="7"/>
  <c r="CF176" i="8" s="1"/>
  <c r="CI210" i="7"/>
  <c r="CI176" i="8" s="1"/>
  <c r="CM210" i="7"/>
  <c r="CM176" i="8" s="1"/>
  <c r="CO210" i="7"/>
  <c r="CO176" i="8" s="1"/>
  <c r="CQ210" i="7"/>
  <c r="CQ176" i="8" s="1"/>
  <c r="CQ174" i="8" s="1"/>
  <c r="CU210" i="7"/>
  <c r="CU176" i="8" s="1"/>
  <c r="CX210" i="7"/>
  <c r="CX176" i="8" s="1"/>
  <c r="DA210" i="7"/>
  <c r="DA176" i="8" s="1"/>
  <c r="DD210" i="7"/>
  <c r="DD176" i="8" s="1"/>
  <c r="DG210" i="7"/>
  <c r="DG176" i="8" s="1"/>
  <c r="BP214" i="7"/>
  <c r="BQ214" i="7" s="1"/>
  <c r="BQ178" i="8" s="1"/>
  <c r="BU214" i="7"/>
  <c r="BT214" i="7" s="1"/>
  <c r="CZ214" i="7"/>
  <c r="CZ224" i="7" s="1"/>
  <c r="DA222" i="7" s="1"/>
  <c r="DH214" i="7"/>
  <c r="F214" i="7"/>
  <c r="I214" i="7"/>
  <c r="L214" i="7"/>
  <c r="O214" i="7"/>
  <c r="R214" i="7"/>
  <c r="U214" i="7"/>
  <c r="X214" i="7"/>
  <c r="AA214" i="7"/>
  <c r="AD214" i="7"/>
  <c r="AG214" i="7"/>
  <c r="AJ214" i="7"/>
  <c r="AM214" i="7"/>
  <c r="AM178" i="8" s="1"/>
  <c r="AP214" i="7"/>
  <c r="AP178" i="8" s="1"/>
  <c r="AS214" i="7"/>
  <c r="AS178" i="8" s="1"/>
  <c r="AV214" i="7"/>
  <c r="AV178" i="8" s="1"/>
  <c r="AY214" i="7"/>
  <c r="AY178" i="8" s="1"/>
  <c r="BE214" i="7"/>
  <c r="BH214" i="7"/>
  <c r="BH178" i="8" s="1"/>
  <c r="BK214" i="7"/>
  <c r="BK178" i="8" s="1"/>
  <c r="BN214" i="7"/>
  <c r="BN178" i="8" s="1"/>
  <c r="BW214" i="7"/>
  <c r="BW178" i="8" s="1"/>
  <c r="BZ214" i="7"/>
  <c r="CC214" i="7"/>
  <c r="CF214" i="7"/>
  <c r="CI214" i="7"/>
  <c r="CL214" i="7"/>
  <c r="CO214" i="7"/>
  <c r="CR214" i="7"/>
  <c r="CU214" i="7"/>
  <c r="CX214" i="7"/>
  <c r="DD214" i="7"/>
  <c r="DJ214" i="7"/>
  <c r="DM214" i="7"/>
  <c r="E217" i="7"/>
  <c r="G217" i="7"/>
  <c r="H217" i="7"/>
  <c r="J217" i="7"/>
  <c r="K217" i="7"/>
  <c r="M217" i="7"/>
  <c r="N217" i="7"/>
  <c r="P217" i="7"/>
  <c r="Q217" i="7"/>
  <c r="S217" i="7"/>
  <c r="T217" i="7"/>
  <c r="V217" i="7"/>
  <c r="W217" i="7"/>
  <c r="Y217" i="7"/>
  <c r="Z217" i="7"/>
  <c r="AB217" i="7"/>
  <c r="AC217" i="7"/>
  <c r="AE217" i="7"/>
  <c r="AF217" i="7"/>
  <c r="AH217" i="7"/>
  <c r="AI217" i="7"/>
  <c r="AK217" i="7"/>
  <c r="AW217" i="7"/>
  <c r="AZ217" i="7"/>
  <c r="BA217" i="7"/>
  <c r="BC217" i="7"/>
  <c r="BD217" i="7"/>
  <c r="BF217" i="7"/>
  <c r="BG217" i="7"/>
  <c r="BI217" i="7"/>
  <c r="BJ217" i="7"/>
  <c r="BL217" i="7"/>
  <c r="BM217" i="7"/>
  <c r="BO217" i="7"/>
  <c r="BP217" i="7"/>
  <c r="BR217" i="7"/>
  <c r="BS217" i="7"/>
  <c r="BU217" i="7"/>
  <c r="BV217" i="7"/>
  <c r="BX217" i="7"/>
  <c r="BY217" i="7"/>
  <c r="CB217" i="7"/>
  <c r="CD217" i="7"/>
  <c r="CE217" i="7"/>
  <c r="CG217" i="7"/>
  <c r="CH217" i="7"/>
  <c r="CJ217" i="7"/>
  <c r="CK217" i="7"/>
  <c r="CM217" i="7"/>
  <c r="CN217" i="7"/>
  <c r="CP217" i="7"/>
  <c r="CQ217" i="7"/>
  <c r="CS217" i="7"/>
  <c r="CT217" i="7"/>
  <c r="CV217" i="7"/>
  <c r="CW217" i="7"/>
  <c r="CY217" i="7"/>
  <c r="CZ217" i="7"/>
  <c r="DB217" i="7"/>
  <c r="DC217" i="7"/>
  <c r="DE217" i="7"/>
  <c r="DF217" i="7"/>
  <c r="DI217" i="7"/>
  <c r="DK217" i="7"/>
  <c r="E218" i="7"/>
  <c r="G218" i="7"/>
  <c r="H218" i="7"/>
  <c r="J218" i="7"/>
  <c r="K218" i="7"/>
  <c r="M218" i="7"/>
  <c r="N218" i="7"/>
  <c r="P218" i="7"/>
  <c r="Q218" i="7"/>
  <c r="S218" i="7"/>
  <c r="T218" i="7"/>
  <c r="V218" i="7"/>
  <c r="W218" i="7"/>
  <c r="Y218" i="7"/>
  <c r="Z218" i="7"/>
  <c r="AB218" i="7"/>
  <c r="AC218" i="7"/>
  <c r="AE218" i="7"/>
  <c r="AF218" i="7"/>
  <c r="AH218" i="7"/>
  <c r="AI218" i="7"/>
  <c r="AK218" i="7"/>
  <c r="AL218" i="7"/>
  <c r="AN218" i="7"/>
  <c r="AO218" i="7"/>
  <c r="AQ218" i="7"/>
  <c r="AR218" i="7"/>
  <c r="AS218" i="7" s="1"/>
  <c r="AU218" i="7"/>
  <c r="AW218" i="7"/>
  <c r="AX218" i="7"/>
  <c r="AZ218" i="7"/>
  <c r="BD218" i="7"/>
  <c r="BF218" i="7"/>
  <c r="BG218" i="7"/>
  <c r="BI218" i="7"/>
  <c r="BL218" i="7"/>
  <c r="E219" i="7"/>
  <c r="G219" i="7"/>
  <c r="H219" i="7"/>
  <c r="J219" i="7"/>
  <c r="K219" i="7"/>
  <c r="M219" i="7"/>
  <c r="N219" i="7"/>
  <c r="P219" i="7"/>
  <c r="Q219" i="7"/>
  <c r="S219" i="7"/>
  <c r="T219" i="7"/>
  <c r="V219" i="7"/>
  <c r="W219" i="7"/>
  <c r="Y219" i="7"/>
  <c r="Z219" i="7"/>
  <c r="AB219" i="7"/>
  <c r="AC219" i="7"/>
  <c r="AE219" i="7"/>
  <c r="AF219" i="7"/>
  <c r="AH219" i="7"/>
  <c r="AI219" i="7"/>
  <c r="AK219" i="7"/>
  <c r="AL219" i="7"/>
  <c r="AN219" i="7"/>
  <c r="AO219" i="7"/>
  <c r="AQ219" i="7"/>
  <c r="AR219" i="7"/>
  <c r="AT219" i="7"/>
  <c r="AU219" i="7"/>
  <c r="AW219" i="7"/>
  <c r="AX219" i="7"/>
  <c r="AZ219" i="7"/>
  <c r="BA219" i="7"/>
  <c r="BC219" i="7"/>
  <c r="BD219" i="7"/>
  <c r="BF219" i="7"/>
  <c r="BG219" i="7"/>
  <c r="BI219" i="7"/>
  <c r="BJ219" i="7"/>
  <c r="BL219" i="7"/>
  <c r="BM219" i="7"/>
  <c r="BO219" i="7"/>
  <c r="BR219" i="7"/>
  <c r="BS219" i="7"/>
  <c r="BU219" i="7"/>
  <c r="E224" i="7"/>
  <c r="F222" i="7" s="1"/>
  <c r="G222" i="7"/>
  <c r="G224" i="7" s="1"/>
  <c r="AI222" i="7"/>
  <c r="AI224" i="7" s="1"/>
  <c r="AJ222" i="7" s="1"/>
  <c r="AK222" i="7"/>
  <c r="AL222" i="7"/>
  <c r="AL224" i="7" s="1"/>
  <c r="AM222" i="7" s="1"/>
  <c r="AN222" i="7"/>
  <c r="AN224" i="7" s="1"/>
  <c r="BA222" i="7"/>
  <c r="BC222" i="7"/>
  <c r="BC224" i="7" s="1"/>
  <c r="BF222" i="7" s="1"/>
  <c r="BF224" i="7" s="1"/>
  <c r="BS224" i="7"/>
  <c r="BT222" i="7" s="1"/>
  <c r="BY224" i="7"/>
  <c r="BZ222" i="7" s="1"/>
  <c r="CB224" i="7"/>
  <c r="CC222" i="7" s="1"/>
  <c r="CH224" i="7"/>
  <c r="CI222" i="7" s="1"/>
  <c r="CJ222" i="7"/>
  <c r="CJ224" i="7" s="1"/>
  <c r="CM222" i="7" s="1"/>
  <c r="CM224" i="7" s="1"/>
  <c r="CK224" i="7"/>
  <c r="CL222" i="7" s="1"/>
  <c r="CQ223" i="7"/>
  <c r="CR223" i="7" s="1"/>
  <c r="CV223" i="7"/>
  <c r="CU223" i="7" s="1"/>
  <c r="DB224" i="7"/>
  <c r="F223" i="7"/>
  <c r="I223" i="7"/>
  <c r="L223" i="7"/>
  <c r="O223" i="7"/>
  <c r="R223" i="7"/>
  <c r="U223" i="7"/>
  <c r="X223" i="7"/>
  <c r="AA223" i="7"/>
  <c r="AD223" i="7"/>
  <c r="AG223" i="7"/>
  <c r="AJ223" i="7"/>
  <c r="AM223" i="7"/>
  <c r="AP223" i="7"/>
  <c r="AS223" i="7"/>
  <c r="AV223" i="7"/>
  <c r="AY223" i="7"/>
  <c r="BB223" i="7"/>
  <c r="BE223" i="7"/>
  <c r="BH223" i="7"/>
  <c r="BK223" i="7"/>
  <c r="BN223" i="7"/>
  <c r="BQ223" i="7"/>
  <c r="BT223" i="7"/>
  <c r="BW223" i="7"/>
  <c r="BZ223" i="7"/>
  <c r="CC223" i="7"/>
  <c r="CF223" i="7"/>
  <c r="CI223" i="7"/>
  <c r="CL223" i="7"/>
  <c r="CO223" i="7"/>
  <c r="CX223" i="7"/>
  <c r="DA223" i="7"/>
  <c r="DD223" i="7"/>
  <c r="DG223" i="7"/>
  <c r="DJ223" i="7"/>
  <c r="DM223" i="7"/>
  <c r="DP223" i="7"/>
  <c r="DS223" i="7"/>
  <c r="EB223" i="7"/>
  <c r="EE223" i="7"/>
  <c r="EH223" i="7"/>
  <c r="EK223" i="7"/>
  <c r="EN223" i="7"/>
  <c r="EQ223" i="7"/>
  <c r="AG224" i="7"/>
  <c r="AJ224" i="7"/>
  <c r="AY224" i="7"/>
  <c r="CY224" i="7"/>
  <c r="CX224" i="7" s="1"/>
  <c r="BM225" i="7"/>
  <c r="BN225" i="7"/>
  <c r="BP225" i="7"/>
  <c r="BQ225" i="7" s="1"/>
  <c r="BT225" i="7"/>
  <c r="CI225" i="7"/>
  <c r="CK225" i="7"/>
  <c r="CO225" i="7"/>
  <c r="CR225" i="7"/>
  <c r="CS225" i="7"/>
  <c r="DA225" i="7"/>
  <c r="DB225" i="7" s="1"/>
  <c r="E226" i="7"/>
  <c r="F226" i="7"/>
  <c r="G226" i="7"/>
  <c r="H226" i="7"/>
  <c r="I226" i="7"/>
  <c r="J226" i="7"/>
  <c r="K226" i="7"/>
  <c r="L226" i="7"/>
  <c r="M226" i="7"/>
  <c r="N226" i="7"/>
  <c r="O226" i="7"/>
  <c r="P226" i="7"/>
  <c r="Q226" i="7"/>
  <c r="R226" i="7"/>
  <c r="S226" i="7"/>
  <c r="T226" i="7"/>
  <c r="U226" i="7"/>
  <c r="V226" i="7"/>
  <c r="W226" i="7"/>
  <c r="X226" i="7"/>
  <c r="Y226" i="7"/>
  <c r="Z226" i="7"/>
  <c r="AA226" i="7"/>
  <c r="AB226" i="7"/>
  <c r="AC226" i="7"/>
  <c r="AD226" i="7"/>
  <c r="AE226" i="7"/>
  <c r="AF226" i="7"/>
  <c r="AG226" i="7"/>
  <c r="AH226" i="7"/>
  <c r="AI226" i="7"/>
  <c r="AJ226" i="7"/>
  <c r="AK226" i="7"/>
  <c r="AL226" i="7"/>
  <c r="F228" i="7"/>
  <c r="I228" i="7"/>
  <c r="L228" i="7"/>
  <c r="O228" i="7"/>
  <c r="R228" i="7"/>
  <c r="U228" i="7"/>
  <c r="X228" i="7"/>
  <c r="AA228" i="7"/>
  <c r="AD228" i="7"/>
  <c r="AG228" i="7"/>
  <c r="AJ228" i="7"/>
  <c r="AM228" i="7"/>
  <c r="AP228" i="7"/>
  <c r="AS228" i="7"/>
  <c r="AV228" i="7"/>
  <c r="AY228" i="7"/>
  <c r="BB228" i="7"/>
  <c r="BE228" i="7"/>
  <c r="BH228" i="7"/>
  <c r="BK228" i="7"/>
  <c r="BN228" i="7"/>
  <c r="BQ228" i="7"/>
  <c r="BT228" i="7"/>
  <c r="BW228" i="7"/>
  <c r="BZ228" i="7"/>
  <c r="CC228" i="7"/>
  <c r="CF228" i="7"/>
  <c r="CI228" i="7"/>
  <c r="CL228" i="7"/>
  <c r="CO228" i="7"/>
  <c r="CR228" i="7"/>
  <c r="CU228" i="7"/>
  <c r="CX228" i="7"/>
  <c r="DA228" i="7"/>
  <c r="DD228" i="7"/>
  <c r="DG228" i="7"/>
  <c r="DJ228" i="7"/>
  <c r="E229" i="7"/>
  <c r="G229" i="7"/>
  <c r="F229" i="7" s="1"/>
  <c r="H229" i="7"/>
  <c r="J229" i="7"/>
  <c r="I229" i="7" s="1"/>
  <c r="K229" i="7"/>
  <c r="M229" i="7"/>
  <c r="L229" i="7" s="1"/>
  <c r="N229" i="7"/>
  <c r="P229" i="7"/>
  <c r="O229" i="7" s="1"/>
  <c r="Q229" i="7"/>
  <c r="S229" i="7"/>
  <c r="T229" i="7"/>
  <c r="V229" i="7"/>
  <c r="U229" i="7" s="1"/>
  <c r="W229" i="7"/>
  <c r="Y229" i="7"/>
  <c r="X229" i="7" s="1"/>
  <c r="Z229" i="7"/>
  <c r="AB229" i="7"/>
  <c r="AA229" i="7" s="1"/>
  <c r="AC229" i="7"/>
  <c r="AE229" i="7"/>
  <c r="AD229" i="7" s="1"/>
  <c r="AF229" i="7"/>
  <c r="AH229" i="7"/>
  <c r="AG229" i="7" s="1"/>
  <c r="AI229" i="7"/>
  <c r="BA229" i="7"/>
  <c r="BD229" i="7"/>
  <c r="F230" i="7"/>
  <c r="I230" i="7"/>
  <c r="L230" i="7"/>
  <c r="O230" i="7"/>
  <c r="R230" i="7"/>
  <c r="U230" i="7"/>
  <c r="X230" i="7"/>
  <c r="AA230" i="7"/>
  <c r="AD230" i="7"/>
  <c r="AG230" i="7"/>
  <c r="AJ230" i="7"/>
  <c r="AM230" i="7"/>
  <c r="AP230" i="7"/>
  <c r="AS230" i="7"/>
  <c r="AV230" i="7"/>
  <c r="AY230" i="7"/>
  <c r="BB230" i="7"/>
  <c r="BE230" i="7"/>
  <c r="BH230" i="7"/>
  <c r="BK230" i="7"/>
  <c r="BN230" i="7"/>
  <c r="BQ230" i="7"/>
  <c r="BT230" i="7"/>
  <c r="BW230" i="7"/>
  <c r="BZ230" i="7"/>
  <c r="CC230" i="7"/>
  <c r="CF230" i="7"/>
  <c r="CI230" i="7"/>
  <c r="CL230" i="7"/>
  <c r="CO230" i="7"/>
  <c r="CR230" i="7"/>
  <c r="CU230" i="7"/>
  <c r="CX230" i="7"/>
  <c r="DA230" i="7"/>
  <c r="DD230" i="7"/>
  <c r="DG230" i="7"/>
  <c r="DJ230" i="7"/>
  <c r="F231" i="7"/>
  <c r="I231" i="7"/>
  <c r="L231" i="7"/>
  <c r="O231" i="7"/>
  <c r="R231" i="7"/>
  <c r="U231" i="7"/>
  <c r="X231" i="7"/>
  <c r="AA231" i="7"/>
  <c r="AD231" i="7"/>
  <c r="AG231" i="7"/>
  <c r="AJ231" i="7"/>
  <c r="AM231" i="7"/>
  <c r="AP231" i="7"/>
  <c r="AS231" i="7"/>
  <c r="AV231" i="7"/>
  <c r="AY231" i="7"/>
  <c r="BB231" i="7"/>
  <c r="BE231" i="7"/>
  <c r="BH231" i="7"/>
  <c r="BK231" i="7"/>
  <c r="BN231" i="7"/>
  <c r="BQ231" i="7"/>
  <c r="BT231" i="7"/>
  <c r="BW231" i="7"/>
  <c r="BZ231" i="7"/>
  <c r="CC231" i="7"/>
  <c r="CF231" i="7"/>
  <c r="CI231" i="7"/>
  <c r="CL231" i="7"/>
  <c r="CO231" i="7"/>
  <c r="CR231" i="7"/>
  <c r="CU231" i="7"/>
  <c r="CX231" i="7"/>
  <c r="DA231" i="7"/>
  <c r="DD231" i="7"/>
  <c r="DG231" i="7"/>
  <c r="DJ231" i="7"/>
  <c r="DM231" i="7"/>
  <c r="DP231" i="7"/>
  <c r="DS231" i="7"/>
  <c r="DY231" i="7"/>
  <c r="EB231" i="7"/>
  <c r="EE231" i="7"/>
  <c r="EH231" i="7"/>
  <c r="EK231" i="7"/>
  <c r="EN231" i="7"/>
  <c r="EQ231" i="7"/>
  <c r="F232" i="7"/>
  <c r="I232" i="7"/>
  <c r="L232" i="7"/>
  <c r="O232" i="7"/>
  <c r="R232" i="7"/>
  <c r="U232" i="7"/>
  <c r="X232" i="7"/>
  <c r="AA232" i="7"/>
  <c r="AD232" i="7"/>
  <c r="AG232" i="7"/>
  <c r="AJ232" i="7"/>
  <c r="AM232" i="7"/>
  <c r="AP232" i="7"/>
  <c r="AS232" i="7"/>
  <c r="AV232" i="7"/>
  <c r="AY232" i="7"/>
  <c r="BB232" i="7"/>
  <c r="BE232" i="7"/>
  <c r="BH232" i="7"/>
  <c r="BK232" i="7"/>
  <c r="BN232" i="7"/>
  <c r="BQ232" i="7"/>
  <c r="BT232" i="7"/>
  <c r="BW232" i="7"/>
  <c r="BZ232" i="7"/>
  <c r="CC232" i="7"/>
  <c r="CF232" i="7"/>
  <c r="CI232" i="7"/>
  <c r="CL232" i="7"/>
  <c r="CO232" i="7"/>
  <c r="CR232" i="7"/>
  <c r="CU232" i="7"/>
  <c r="CX232" i="7"/>
  <c r="DA232" i="7"/>
  <c r="DD232" i="7"/>
  <c r="DG232" i="7"/>
  <c r="DJ232" i="7"/>
  <c r="DM232" i="7"/>
  <c r="DP232" i="7"/>
  <c r="DS232" i="7"/>
  <c r="DY232" i="7"/>
  <c r="EB232" i="7"/>
  <c r="EE232" i="7"/>
  <c r="EH232" i="7"/>
  <c r="EK232" i="7"/>
  <c r="EN232" i="7"/>
  <c r="EQ232" i="7"/>
  <c r="F233" i="7"/>
  <c r="I233" i="7"/>
  <c r="L233" i="7"/>
  <c r="O233" i="7"/>
  <c r="R233" i="7"/>
  <c r="U233" i="7"/>
  <c r="X233" i="7"/>
  <c r="AA233" i="7"/>
  <c r="AD233" i="7"/>
  <c r="AG233" i="7"/>
  <c r="AJ233" i="7"/>
  <c r="AM233" i="7"/>
  <c r="AP233" i="7"/>
  <c r="AS233" i="7"/>
  <c r="AV233" i="7"/>
  <c r="AY233" i="7"/>
  <c r="BB233" i="7"/>
  <c r="BB100" i="8" s="1"/>
  <c r="BE233" i="7"/>
  <c r="BE100" i="8" s="1"/>
  <c r="BH233" i="7"/>
  <c r="BH100" i="8" s="1"/>
  <c r="BK233" i="7"/>
  <c r="BN233" i="7"/>
  <c r="BQ233" i="7"/>
  <c r="BT233" i="7"/>
  <c r="BX233" i="7"/>
  <c r="BW233" i="7" s="1"/>
  <c r="CA233" i="7"/>
  <c r="BZ233" i="7" s="1"/>
  <c r="CD233" i="7"/>
  <c r="CC233" i="7" s="1"/>
  <c r="CG233" i="7"/>
  <c r="CG576" i="7" s="1"/>
  <c r="CH233" i="7"/>
  <c r="CH576" i="7" s="1"/>
  <c r="CJ233" i="7"/>
  <c r="CI233" i="7" s="1"/>
  <c r="CK233" i="7"/>
  <c r="CM233" i="7"/>
  <c r="CN233" i="7"/>
  <c r="CP233" i="7"/>
  <c r="CO233" i="7" s="1"/>
  <c r="CQ233" i="7"/>
  <c r="CS233" i="7"/>
  <c r="CS576" i="7" s="1"/>
  <c r="CT233" i="7"/>
  <c r="CT576" i="7" s="1"/>
  <c r="CV233" i="7"/>
  <c r="CW233" i="7"/>
  <c r="CY233" i="7"/>
  <c r="DA233" i="7"/>
  <c r="DC233" i="7"/>
  <c r="DE233" i="7"/>
  <c r="DD233" i="7" s="1"/>
  <c r="DF233" i="7"/>
  <c r="DF576" i="7" s="1"/>
  <c r="DH233" i="7"/>
  <c r="DG233" i="7" s="1"/>
  <c r="DI233" i="7"/>
  <c r="DK233" i="7"/>
  <c r="DJ233" i="7" s="1"/>
  <c r="E234" i="7"/>
  <c r="G234" i="7"/>
  <c r="F234" i="7" s="1"/>
  <c r="H234" i="7"/>
  <c r="J234" i="7"/>
  <c r="I234" i="7" s="1"/>
  <c r="K234" i="7"/>
  <c r="M234" i="7"/>
  <c r="N234" i="7"/>
  <c r="P234" i="7"/>
  <c r="O234" i="7" s="1"/>
  <c r="Q234" i="7"/>
  <c r="S234" i="7"/>
  <c r="R234" i="7" s="1"/>
  <c r="T234" i="7"/>
  <c r="V234" i="7"/>
  <c r="W234" i="7"/>
  <c r="Y234" i="7"/>
  <c r="X234" i="7" s="1"/>
  <c r="Z234" i="7"/>
  <c r="AB234" i="7"/>
  <c r="AA234" i="7" s="1"/>
  <c r="AC234" i="7"/>
  <c r="AE234" i="7"/>
  <c r="AF234" i="7"/>
  <c r="AH234" i="7"/>
  <c r="AG234" i="7" s="1"/>
  <c r="AI234" i="7"/>
  <c r="BA234" i="7"/>
  <c r="BD234" i="7"/>
  <c r="F235" i="7"/>
  <c r="I235" i="7"/>
  <c r="L235" i="7"/>
  <c r="O235" i="7"/>
  <c r="R235" i="7"/>
  <c r="U235" i="7"/>
  <c r="X235" i="7"/>
  <c r="AA235" i="7"/>
  <c r="AD235" i="7"/>
  <c r="AG235" i="7"/>
  <c r="AJ235" i="7"/>
  <c r="AM235" i="7"/>
  <c r="AP235" i="7"/>
  <c r="AS235" i="7"/>
  <c r="AV235" i="7"/>
  <c r="AY235" i="7"/>
  <c r="BB235" i="7"/>
  <c r="BE235" i="7"/>
  <c r="BH235" i="7"/>
  <c r="BK235" i="7"/>
  <c r="BN235" i="7"/>
  <c r="BQ235" i="7"/>
  <c r="BT235" i="7"/>
  <c r="BW235" i="7"/>
  <c r="BZ235" i="7"/>
  <c r="CC235" i="7"/>
  <c r="CF235" i="7"/>
  <c r="CI235" i="7"/>
  <c r="CL235" i="7"/>
  <c r="CO235" i="7"/>
  <c r="CR235" i="7"/>
  <c r="CU235" i="7"/>
  <c r="CX235" i="7"/>
  <c r="DA235" i="7"/>
  <c r="DD235" i="7"/>
  <c r="DG235" i="7"/>
  <c r="DJ235" i="7"/>
  <c r="DM235" i="7"/>
  <c r="DP235" i="7"/>
  <c r="DS235" i="7"/>
  <c r="DY235" i="7"/>
  <c r="EB235" i="7"/>
  <c r="EE235" i="7"/>
  <c r="EH235" i="7"/>
  <c r="EK235" i="7"/>
  <c r="EN235" i="7"/>
  <c r="EQ235" i="7"/>
  <c r="F236" i="7"/>
  <c r="I236" i="7"/>
  <c r="L236" i="7"/>
  <c r="O236" i="7"/>
  <c r="R236" i="7"/>
  <c r="U236" i="7"/>
  <c r="X236" i="7"/>
  <c r="AA236" i="7"/>
  <c r="AD236" i="7"/>
  <c r="AG236" i="7"/>
  <c r="AJ236" i="7"/>
  <c r="AM236" i="7"/>
  <c r="AP236" i="7"/>
  <c r="AS236" i="7"/>
  <c r="AV236" i="7"/>
  <c r="AY236" i="7"/>
  <c r="BB236" i="7"/>
  <c r="BE236" i="7"/>
  <c r="BH236" i="7"/>
  <c r="BK236" i="7"/>
  <c r="BN236" i="7"/>
  <c r="BQ236" i="7"/>
  <c r="BT236" i="7"/>
  <c r="BW236" i="7"/>
  <c r="BZ236" i="7"/>
  <c r="CC236" i="7"/>
  <c r="CF236" i="7"/>
  <c r="CI236" i="7"/>
  <c r="CL236" i="7"/>
  <c r="CO236" i="7"/>
  <c r="CR236" i="7"/>
  <c r="CU236" i="7"/>
  <c r="CX236" i="7"/>
  <c r="DA236" i="7"/>
  <c r="DD236" i="7"/>
  <c r="DG236" i="7"/>
  <c r="DJ236" i="7"/>
  <c r="DM236" i="7"/>
  <c r="DP236" i="7"/>
  <c r="DS236" i="7"/>
  <c r="DY236" i="7"/>
  <c r="EB236" i="7"/>
  <c r="EE236" i="7"/>
  <c r="EH236" i="7"/>
  <c r="EK236" i="7"/>
  <c r="EN236" i="7"/>
  <c r="EQ236" i="7"/>
  <c r="F237" i="7"/>
  <c r="I237" i="7"/>
  <c r="L237" i="7"/>
  <c r="O237" i="7"/>
  <c r="R237" i="7"/>
  <c r="U237" i="7"/>
  <c r="X237" i="7"/>
  <c r="AA237" i="7"/>
  <c r="AD237" i="7"/>
  <c r="AG237" i="7"/>
  <c r="AJ237" i="7"/>
  <c r="AM237" i="7"/>
  <c r="AP237" i="7"/>
  <c r="AS237" i="7"/>
  <c r="AV237" i="7"/>
  <c r="AY237" i="7"/>
  <c r="BB237" i="7"/>
  <c r="BE237" i="7"/>
  <c r="BH237" i="7"/>
  <c r="BK237" i="7"/>
  <c r="BN237" i="7"/>
  <c r="BQ237" i="7"/>
  <c r="BT237" i="7"/>
  <c r="BW237" i="7"/>
  <c r="BZ237" i="7"/>
  <c r="CC237" i="7"/>
  <c r="CF237" i="7"/>
  <c r="CI237" i="7"/>
  <c r="CL237" i="7"/>
  <c r="CO237" i="7"/>
  <c r="CR237" i="7"/>
  <c r="CU237" i="7"/>
  <c r="CX237" i="7"/>
  <c r="DA237" i="7"/>
  <c r="DD237" i="7"/>
  <c r="DG237" i="7"/>
  <c r="DJ237" i="7"/>
  <c r="DM237" i="7"/>
  <c r="DP237" i="7"/>
  <c r="DS237" i="7"/>
  <c r="DY237" i="7"/>
  <c r="EB237" i="7"/>
  <c r="EE237" i="7"/>
  <c r="EH237" i="7"/>
  <c r="EK237" i="7"/>
  <c r="EN237" i="7"/>
  <c r="EQ237" i="7"/>
  <c r="F238" i="7"/>
  <c r="I238" i="7"/>
  <c r="L238" i="7"/>
  <c r="O238" i="7"/>
  <c r="R238" i="7"/>
  <c r="U238" i="7"/>
  <c r="X238" i="7"/>
  <c r="AA238" i="7"/>
  <c r="AD238" i="7"/>
  <c r="AG238" i="7"/>
  <c r="AJ238" i="7"/>
  <c r="AM238" i="7"/>
  <c r="AP238" i="7"/>
  <c r="AS238" i="7"/>
  <c r="AV238" i="7"/>
  <c r="AY238" i="7"/>
  <c r="BB238" i="7"/>
  <c r="BE238" i="7"/>
  <c r="BH238" i="7"/>
  <c r="BK238" i="7"/>
  <c r="BN238" i="7"/>
  <c r="BQ238" i="7"/>
  <c r="BT238" i="7"/>
  <c r="BW238" i="7"/>
  <c r="BZ238" i="7"/>
  <c r="CC238" i="7"/>
  <c r="CF238" i="7"/>
  <c r="CI238" i="7"/>
  <c r="CL238" i="7"/>
  <c r="CO238" i="7"/>
  <c r="CR238" i="7"/>
  <c r="CU238" i="7"/>
  <c r="CX238" i="7"/>
  <c r="DA238" i="7"/>
  <c r="DD238" i="7"/>
  <c r="DG238" i="7"/>
  <c r="DJ238" i="7"/>
  <c r="E239" i="7"/>
  <c r="G239" i="7"/>
  <c r="F239" i="7" s="1"/>
  <c r="H239" i="7"/>
  <c r="J239" i="7"/>
  <c r="I239" i="7" s="1"/>
  <c r="K239" i="7"/>
  <c r="M239" i="7"/>
  <c r="L239" i="7" s="1"/>
  <c r="N239" i="7"/>
  <c r="P239" i="7"/>
  <c r="O239" i="7" s="1"/>
  <c r="Q239" i="7"/>
  <c r="S239" i="7"/>
  <c r="R239" i="7" s="1"/>
  <c r="T239" i="7"/>
  <c r="V239" i="7"/>
  <c r="U239" i="7" s="1"/>
  <c r="W239" i="7"/>
  <c r="Y239" i="7"/>
  <c r="X239" i="7" s="1"/>
  <c r="Z239" i="7"/>
  <c r="AB239" i="7"/>
  <c r="AA239" i="7" s="1"/>
  <c r="AC239" i="7"/>
  <c r="AE239" i="7"/>
  <c r="AD239" i="7" s="1"/>
  <c r="AF239" i="7"/>
  <c r="AH239" i="7"/>
  <c r="AG239" i="7" s="1"/>
  <c r="AI239" i="7"/>
  <c r="AK239" i="7"/>
  <c r="AL239" i="7"/>
  <c r="AN239" i="7"/>
  <c r="AO239" i="7"/>
  <c r="AQ239" i="7"/>
  <c r="AP239" i="7" s="1"/>
  <c r="AR239" i="7"/>
  <c r="AT239" i="7"/>
  <c r="AS239" i="7" s="1"/>
  <c r="AU239" i="7"/>
  <c r="AW239" i="7"/>
  <c r="AV239" i="7" s="1"/>
  <c r="AX239" i="7"/>
  <c r="AZ239" i="7"/>
  <c r="BA239" i="7"/>
  <c r="BC239" i="7"/>
  <c r="BB239" i="7" s="1"/>
  <c r="BD239" i="7"/>
  <c r="BF239" i="7"/>
  <c r="BE239" i="7" s="1"/>
  <c r="BG239" i="7"/>
  <c r="BI239" i="7"/>
  <c r="BH239" i="7" s="1"/>
  <c r="BJ239" i="7"/>
  <c r="BL239" i="7"/>
  <c r="BK239" i="7" s="1"/>
  <c r="BM239" i="7"/>
  <c r="BO239" i="7"/>
  <c r="BN239" i="7" s="1"/>
  <c r="BP239" i="7"/>
  <c r="BR239" i="7"/>
  <c r="BQ239" i="7" s="1"/>
  <c r="BS239" i="7"/>
  <c r="BU239" i="7"/>
  <c r="BT239" i="7" s="1"/>
  <c r="BV239" i="7"/>
  <c r="BX240" i="7"/>
  <c r="BW240" i="7" s="1"/>
  <c r="BY239" i="7"/>
  <c r="CA240" i="7"/>
  <c r="CA239" i="7" s="1"/>
  <c r="CB239" i="7"/>
  <c r="CD240" i="7"/>
  <c r="CD239" i="7" s="1"/>
  <c r="CC239" i="7" s="1"/>
  <c r="CE239" i="7"/>
  <c r="CG240" i="7"/>
  <c r="CG239" i="7" s="1"/>
  <c r="CF239" i="7" s="1"/>
  <c r="CH240" i="7"/>
  <c r="CH239" i="7" s="1"/>
  <c r="CJ240" i="7"/>
  <c r="CJ241" i="7"/>
  <c r="CI241" i="7" s="1"/>
  <c r="CK240" i="7"/>
  <c r="CK241" i="7"/>
  <c r="CM240" i="7"/>
  <c r="CL240" i="7" s="1"/>
  <c r="CM241" i="7"/>
  <c r="CL241" i="7" s="1"/>
  <c r="CN240" i="7"/>
  <c r="CN241" i="7"/>
  <c r="CP240" i="7"/>
  <c r="CO240" i="7" s="1"/>
  <c r="CP241" i="7"/>
  <c r="CO241" i="7" s="1"/>
  <c r="CQ240" i="7"/>
  <c r="CQ241" i="7"/>
  <c r="CS240" i="7"/>
  <c r="CR240" i="7" s="1"/>
  <c r="CS241" i="7"/>
  <c r="CR241" i="7" s="1"/>
  <c r="CT240" i="7"/>
  <c r="CT241" i="7"/>
  <c r="CV240" i="7"/>
  <c r="CV241" i="7"/>
  <c r="CU241" i="7" s="1"/>
  <c r="CW240" i="7"/>
  <c r="CW241" i="7"/>
  <c r="CY240" i="7"/>
  <c r="CY241" i="7"/>
  <c r="CX241" i="7" s="1"/>
  <c r="CZ240" i="7"/>
  <c r="CZ241" i="7"/>
  <c r="DB240" i="7"/>
  <c r="DB241" i="7"/>
  <c r="DA241" i="7" s="1"/>
  <c r="DC240" i="7"/>
  <c r="DC241" i="7"/>
  <c r="DE240" i="7"/>
  <c r="DE241" i="7"/>
  <c r="DD241" i="7" s="1"/>
  <c r="DF240" i="7"/>
  <c r="DF241" i="7"/>
  <c r="DH240" i="7"/>
  <c r="DG240" i="7" s="1"/>
  <c r="DH241" i="7"/>
  <c r="DG241" i="7" s="1"/>
  <c r="DI240" i="7"/>
  <c r="DI241" i="7"/>
  <c r="F240" i="7"/>
  <c r="I240" i="7"/>
  <c r="L240" i="7"/>
  <c r="O240" i="7"/>
  <c r="R240" i="7"/>
  <c r="U240" i="7"/>
  <c r="X240" i="7"/>
  <c r="AA240" i="7"/>
  <c r="AD240" i="7"/>
  <c r="AG240" i="7"/>
  <c r="AJ240" i="7"/>
  <c r="AM240" i="7"/>
  <c r="AP240" i="7"/>
  <c r="AS240" i="7"/>
  <c r="AV240" i="7"/>
  <c r="AY240" i="7"/>
  <c r="BB240" i="7"/>
  <c r="BE240" i="7"/>
  <c r="BH240" i="7"/>
  <c r="BK240" i="7"/>
  <c r="BN240" i="7"/>
  <c r="BQ240" i="7"/>
  <c r="BT240" i="7"/>
  <c r="F241" i="7"/>
  <c r="I241" i="7"/>
  <c r="L241" i="7"/>
  <c r="O241" i="7"/>
  <c r="R241" i="7"/>
  <c r="U241" i="7"/>
  <c r="X241" i="7"/>
  <c r="AA241" i="7"/>
  <c r="AD241" i="7"/>
  <c r="AG241" i="7"/>
  <c r="AJ241" i="7"/>
  <c r="AM241" i="7"/>
  <c r="AP241" i="7"/>
  <c r="AS241" i="7"/>
  <c r="AV241" i="7"/>
  <c r="AY241" i="7"/>
  <c r="BB241" i="7"/>
  <c r="BE241" i="7"/>
  <c r="BH241" i="7"/>
  <c r="BK241" i="7"/>
  <c r="BN241" i="7"/>
  <c r="BQ241" i="7"/>
  <c r="BT241" i="7"/>
  <c r="BW241" i="7"/>
  <c r="BZ241" i="7"/>
  <c r="CC241" i="7"/>
  <c r="CF241" i="7"/>
  <c r="F244" i="7"/>
  <c r="I244" i="7"/>
  <c r="L244" i="7"/>
  <c r="O244" i="7"/>
  <c r="R244" i="7"/>
  <c r="U244" i="7"/>
  <c r="X244" i="7"/>
  <c r="AA244" i="7"/>
  <c r="AD244" i="7"/>
  <c r="AG244" i="7"/>
  <c r="AJ244" i="7"/>
  <c r="AM244" i="7"/>
  <c r="AP244" i="7"/>
  <c r="AS244" i="7"/>
  <c r="AV244" i="7"/>
  <c r="AY244" i="7"/>
  <c r="BB244" i="7"/>
  <c r="BE244" i="7"/>
  <c r="BH244" i="7"/>
  <c r="BK244" i="7"/>
  <c r="BN244" i="7"/>
  <c r="BQ244" i="7"/>
  <c r="BT244" i="7"/>
  <c r="BW244" i="7"/>
  <c r="BZ244" i="7"/>
  <c r="CC244" i="7"/>
  <c r="CF244" i="7"/>
  <c r="CJ244" i="7"/>
  <c r="CK244" i="7"/>
  <c r="CM244" i="7"/>
  <c r="CL244" i="7" s="1"/>
  <c r="CP244" i="7"/>
  <c r="CO244" i="7" s="1"/>
  <c r="CQ244" i="7"/>
  <c r="CS244" i="7"/>
  <c r="CR244" i="7" s="1"/>
  <c r="CU244" i="7"/>
  <c r="CX244" i="7"/>
  <c r="DA244" i="7"/>
  <c r="DD244" i="7"/>
  <c r="DG244" i="7"/>
  <c r="DG184" i="8" s="1"/>
  <c r="DJ244" i="7"/>
  <c r="DJ184" i="8" s="1"/>
  <c r="E245" i="7"/>
  <c r="G245" i="7"/>
  <c r="F245" i="7" s="1"/>
  <c r="H245" i="7"/>
  <c r="J245" i="7"/>
  <c r="I245" i="7" s="1"/>
  <c r="K245" i="7"/>
  <c r="M245" i="7"/>
  <c r="L245" i="7" s="1"/>
  <c r="N245" i="7"/>
  <c r="P245" i="7"/>
  <c r="O245" i="7" s="1"/>
  <c r="Q245" i="7"/>
  <c r="S245" i="7"/>
  <c r="R245" i="7" s="1"/>
  <c r="T245" i="7"/>
  <c r="V245" i="7"/>
  <c r="U245" i="7" s="1"/>
  <c r="W245" i="7"/>
  <c r="Y245" i="7"/>
  <c r="X245" i="7" s="1"/>
  <c r="Z245" i="7"/>
  <c r="AB245" i="7"/>
  <c r="AA245" i="7" s="1"/>
  <c r="AC245" i="7"/>
  <c r="AE245" i="7"/>
  <c r="AD245" i="7" s="1"/>
  <c r="AF245" i="7"/>
  <c r="AH245" i="7"/>
  <c r="AG245" i="7" s="1"/>
  <c r="AI245" i="7"/>
  <c r="AK245" i="7"/>
  <c r="AJ245" i="7" s="1"/>
  <c r="AL245" i="7"/>
  <c r="AN245" i="7"/>
  <c r="AM245" i="7" s="1"/>
  <c r="AO245" i="7"/>
  <c r="AQ245" i="7"/>
  <c r="AP245" i="7" s="1"/>
  <c r="AR245" i="7"/>
  <c r="AT245" i="7"/>
  <c r="AS245" i="7" s="1"/>
  <c r="AU245" i="7"/>
  <c r="AW245" i="7"/>
  <c r="AV245" i="7" s="1"/>
  <c r="AX245" i="7"/>
  <c r="AZ245" i="7"/>
  <c r="AY245" i="7" s="1"/>
  <c r="BA245" i="7"/>
  <c r="BC245" i="7"/>
  <c r="BB245" i="7" s="1"/>
  <c r="BD245" i="7"/>
  <c r="BF245" i="7"/>
  <c r="BE245" i="7" s="1"/>
  <c r="BG245" i="7"/>
  <c r="BI245" i="7"/>
  <c r="BH245" i="7" s="1"/>
  <c r="BJ245" i="7"/>
  <c r="BL245" i="7"/>
  <c r="BK245" i="7" s="1"/>
  <c r="BM245" i="7"/>
  <c r="BO245" i="7"/>
  <c r="BN245" i="7" s="1"/>
  <c r="BP245" i="7"/>
  <c r="BR245" i="7"/>
  <c r="BQ245" i="7" s="1"/>
  <c r="BS245" i="7"/>
  <c r="BU245" i="7"/>
  <c r="BT245" i="7" s="1"/>
  <c r="BV245" i="7"/>
  <c r="BV568" i="7" s="1"/>
  <c r="BX246" i="7"/>
  <c r="BX245" i="7" s="1"/>
  <c r="BY245" i="7"/>
  <c r="BY568" i="7" s="1"/>
  <c r="CA246" i="7"/>
  <c r="CA245" i="7" s="1"/>
  <c r="CA568" i="7" s="1"/>
  <c r="CB245" i="7"/>
  <c r="CB568" i="7" s="1"/>
  <c r="CD246" i="7"/>
  <c r="CC246" i="7" s="1"/>
  <c r="CC33" i="8" s="1"/>
  <c r="CE245" i="7"/>
  <c r="CE568" i="7" s="1"/>
  <c r="CG246" i="7"/>
  <c r="CG245" i="7" s="1"/>
  <c r="CH246" i="7"/>
  <c r="CH245" i="7" s="1"/>
  <c r="CJ246" i="7"/>
  <c r="CJ245" i="7" s="1"/>
  <c r="CK246" i="7"/>
  <c r="CK245" i="7" s="1"/>
  <c r="CK568" i="7" s="1"/>
  <c r="CM246" i="7"/>
  <c r="CM245" i="7" s="1"/>
  <c r="CN246" i="7"/>
  <c r="CN245" i="7" s="1"/>
  <c r="CN568" i="7" s="1"/>
  <c r="CP246" i="7"/>
  <c r="CP245" i="7" s="1"/>
  <c r="W42" i="9" s="1"/>
  <c r="CQ246" i="7"/>
  <c r="CQ245" i="7" s="1"/>
  <c r="CQ568" i="7" s="1"/>
  <c r="CS246" i="7"/>
  <c r="CR246" i="7" s="1"/>
  <c r="CR33" i="8" s="1"/>
  <c r="CT246" i="7"/>
  <c r="CT245" i="7" s="1"/>
  <c r="CV246" i="7"/>
  <c r="CU246" i="7" s="1"/>
  <c r="CU33" i="8" s="1"/>
  <c r="CW246" i="7"/>
  <c r="CW245" i="7" s="1"/>
  <c r="CW568" i="7" s="1"/>
  <c r="CY246" i="7"/>
  <c r="DB245" i="7"/>
  <c r="AA42" i="9" s="1"/>
  <c r="DC246" i="7"/>
  <c r="DC245" i="7" s="1"/>
  <c r="DC568" i="7" s="1"/>
  <c r="DE246" i="7"/>
  <c r="DE245" i="7" s="1"/>
  <c r="AB42" i="9" s="1"/>
  <c r="DF247" i="7"/>
  <c r="DF245" i="7" s="1"/>
  <c r="DF568" i="7" s="1"/>
  <c r="DH247" i="7"/>
  <c r="DI246" i="7"/>
  <c r="DI247" i="7"/>
  <c r="DK246" i="7"/>
  <c r="DK247" i="7"/>
  <c r="F246" i="7"/>
  <c r="I246" i="7"/>
  <c r="L246" i="7"/>
  <c r="O246" i="7"/>
  <c r="R246" i="7"/>
  <c r="U246" i="7"/>
  <c r="X246" i="7"/>
  <c r="AA246" i="7"/>
  <c r="AD246" i="7"/>
  <c r="AG246" i="7"/>
  <c r="AJ246" i="7"/>
  <c r="AM246" i="7"/>
  <c r="AP246" i="7"/>
  <c r="AS246" i="7"/>
  <c r="AV246" i="7"/>
  <c r="AY246" i="7"/>
  <c r="BB246" i="7"/>
  <c r="BB33" i="8" s="1"/>
  <c r="BE246" i="7"/>
  <c r="BE33" i="8" s="1"/>
  <c r="BH246" i="7"/>
  <c r="BH33" i="8" s="1"/>
  <c r="BK246" i="7"/>
  <c r="BK33" i="8" s="1"/>
  <c r="BN246" i="7"/>
  <c r="BN33" i="8" s="1"/>
  <c r="BQ246" i="7"/>
  <c r="BQ33" i="8" s="1"/>
  <c r="BT246" i="7"/>
  <c r="BT33" i="8" s="1"/>
  <c r="DA246" i="7"/>
  <c r="F247" i="7"/>
  <c r="I247" i="7"/>
  <c r="L247" i="7"/>
  <c r="O247" i="7"/>
  <c r="O568" i="7" s="1"/>
  <c r="R247" i="7"/>
  <c r="R568" i="7" s="1"/>
  <c r="U247" i="7"/>
  <c r="U568" i="7" s="1"/>
  <c r="X247" i="7"/>
  <c r="AA247" i="7"/>
  <c r="AD247" i="7"/>
  <c r="AD568" i="7" s="1"/>
  <c r="AG247" i="7"/>
  <c r="AG568" i="7" s="1"/>
  <c r="AJ247" i="7"/>
  <c r="AJ568" i="7" s="1"/>
  <c r="AM247" i="7"/>
  <c r="AM568" i="7" s="1"/>
  <c r="AP247" i="7"/>
  <c r="AS247" i="7"/>
  <c r="AS568" i="7" s="1"/>
  <c r="AV247" i="7"/>
  <c r="AV568" i="7" s="1"/>
  <c r="AY247" i="7"/>
  <c r="AY568" i="7" s="1"/>
  <c r="BB247" i="7"/>
  <c r="BE247" i="7"/>
  <c r="BH247" i="7"/>
  <c r="BH568" i="7" s="1"/>
  <c r="BK247" i="7"/>
  <c r="BK568" i="7" s="1"/>
  <c r="BN247" i="7"/>
  <c r="BN568" i="7" s="1"/>
  <c r="BQ247" i="7"/>
  <c r="BQ568" i="7" s="1"/>
  <c r="BT247" i="7"/>
  <c r="BT568" i="7" s="1"/>
  <c r="BW247" i="7"/>
  <c r="BZ247" i="7"/>
  <c r="CC247" i="7"/>
  <c r="CF247" i="7"/>
  <c r="CI247" i="7"/>
  <c r="CL247" i="7"/>
  <c r="CO247" i="7"/>
  <c r="CR247" i="7"/>
  <c r="CU247" i="7"/>
  <c r="CX247" i="7"/>
  <c r="DA247" i="7"/>
  <c r="DD247" i="7"/>
  <c r="F248" i="7"/>
  <c r="I248" i="7"/>
  <c r="L248" i="7"/>
  <c r="O248" i="7"/>
  <c r="R248" i="7"/>
  <c r="U248" i="7"/>
  <c r="X248" i="7"/>
  <c r="AA248" i="7"/>
  <c r="AD248" i="7"/>
  <c r="AG248" i="7"/>
  <c r="BN248" i="7"/>
  <c r="CK248" i="7"/>
  <c r="CN248" i="7"/>
  <c r="CW248" i="7"/>
  <c r="DC248" i="7"/>
  <c r="DI248" i="7"/>
  <c r="F249" i="7"/>
  <c r="I249" i="7"/>
  <c r="L249" i="7"/>
  <c r="O249" i="7"/>
  <c r="R249" i="7"/>
  <c r="U249" i="7"/>
  <c r="X249" i="7"/>
  <c r="AA249" i="7"/>
  <c r="AD249" i="7"/>
  <c r="AG249" i="7"/>
  <c r="AJ249" i="7"/>
  <c r="AM249" i="7"/>
  <c r="AP249" i="7"/>
  <c r="AS249" i="7"/>
  <c r="AV249" i="7"/>
  <c r="AY249" i="7"/>
  <c r="BB249" i="7"/>
  <c r="BE249" i="7"/>
  <c r="BH249" i="7"/>
  <c r="BK249" i="7"/>
  <c r="BN249" i="7"/>
  <c r="BQ249" i="7"/>
  <c r="BT249" i="7"/>
  <c r="BW249" i="7"/>
  <c r="CA249" i="7"/>
  <c r="BZ249" i="7" s="1"/>
  <c r="CD249" i="7"/>
  <c r="CC249" i="7" s="1"/>
  <c r="CG249" i="7"/>
  <c r="CF249" i="7" s="1"/>
  <c r="CH249" i="7"/>
  <c r="CJ249" i="7"/>
  <c r="CI249" i="7" s="1"/>
  <c r="CK249" i="7"/>
  <c r="CM249" i="7"/>
  <c r="CL249" i="7" s="1"/>
  <c r="CN249" i="7"/>
  <c r="CP249" i="7"/>
  <c r="CO249" i="7" s="1"/>
  <c r="CQ249" i="7"/>
  <c r="CS249" i="7"/>
  <c r="CR249" i="7" s="1"/>
  <c r="CT249" i="7"/>
  <c r="CV249" i="7"/>
  <c r="CW249" i="7"/>
  <c r="CY249" i="7"/>
  <c r="CX249" i="7" s="1"/>
  <c r="CZ249" i="7"/>
  <c r="DB249" i="7"/>
  <c r="DA249" i="7" s="1"/>
  <c r="DC249" i="7"/>
  <c r="DE249" i="7"/>
  <c r="DD249" i="7" s="1"/>
  <c r="DH249" i="7"/>
  <c r="DG249" i="7" s="1"/>
  <c r="DI249" i="7"/>
  <c r="DJ249" i="7"/>
  <c r="E253" i="7"/>
  <c r="E250" i="7" s="1"/>
  <c r="G253" i="7"/>
  <c r="G250" i="7" s="1"/>
  <c r="F250" i="7" s="1"/>
  <c r="H253" i="7"/>
  <c r="H250" i="7" s="1"/>
  <c r="J253" i="7"/>
  <c r="J250" i="7" s="1"/>
  <c r="I250" i="7" s="1"/>
  <c r="K253" i="7"/>
  <c r="K250" i="7" s="1"/>
  <c r="M253" i="7"/>
  <c r="L253" i="7" s="1"/>
  <c r="N253" i="7"/>
  <c r="N250" i="7" s="1"/>
  <c r="P253" i="7"/>
  <c r="O253" i="7" s="1"/>
  <c r="O572" i="7" s="1"/>
  <c r="Q253" i="7"/>
  <c r="Q250" i="7" s="1"/>
  <c r="S253" i="7"/>
  <c r="T253" i="7"/>
  <c r="T250" i="7" s="1"/>
  <c r="T576" i="7" s="1"/>
  <c r="V253" i="7"/>
  <c r="U253" i="7" s="1"/>
  <c r="W253" i="7"/>
  <c r="W250" i="7" s="1"/>
  <c r="Y253" i="7"/>
  <c r="Y250" i="7" s="1"/>
  <c r="X250" i="7" s="1"/>
  <c r="Z253" i="7"/>
  <c r="Z250" i="7" s="1"/>
  <c r="Z576" i="7" s="1"/>
  <c r="AB253" i="7"/>
  <c r="AB250" i="7" s="1"/>
  <c r="AA250" i="7" s="1"/>
  <c r="AC253" i="7"/>
  <c r="AC250" i="7" s="1"/>
  <c r="AE253" i="7"/>
  <c r="AD253" i="7" s="1"/>
  <c r="AF253" i="7"/>
  <c r="AF250" i="7" s="1"/>
  <c r="AH253" i="7"/>
  <c r="AH250" i="7" s="1"/>
  <c r="AI253" i="7"/>
  <c r="AI250" i="7" s="1"/>
  <c r="AI576" i="7" s="1"/>
  <c r="AK253" i="7"/>
  <c r="AK250" i="7" s="1"/>
  <c r="AL253" i="7"/>
  <c r="AL250" i="7" s="1"/>
  <c r="AL576" i="7" s="1"/>
  <c r="AN253" i="7"/>
  <c r="AM253" i="7" s="1"/>
  <c r="AO253" i="7"/>
  <c r="AO250" i="7" s="1"/>
  <c r="AQ253" i="7"/>
  <c r="AQ250" i="7" s="1"/>
  <c r="AP250" i="7" s="1"/>
  <c r="AR253" i="7"/>
  <c r="AR250" i="7" s="1"/>
  <c r="F251" i="7"/>
  <c r="I251" i="7"/>
  <c r="L251" i="7"/>
  <c r="O251" i="7"/>
  <c r="R251" i="7"/>
  <c r="U251" i="7"/>
  <c r="X251" i="7"/>
  <c r="AA251" i="7"/>
  <c r="AD251" i="7"/>
  <c r="AG251" i="7"/>
  <c r="AJ251" i="7"/>
  <c r="AM251" i="7"/>
  <c r="AP251" i="7"/>
  <c r="AS251" i="7"/>
  <c r="AV251" i="7"/>
  <c r="AY251" i="7"/>
  <c r="BB251" i="7"/>
  <c r="BE251" i="7"/>
  <c r="BH251" i="7"/>
  <c r="BK251" i="7"/>
  <c r="BN251" i="7"/>
  <c r="BQ251" i="7"/>
  <c r="BT251" i="7"/>
  <c r="BW251" i="7"/>
  <c r="BW572" i="7" s="1"/>
  <c r="BZ251" i="7"/>
  <c r="BZ572" i="7" s="1"/>
  <c r="CC251" i="7"/>
  <c r="CC572" i="7" s="1"/>
  <c r="CF251" i="7"/>
  <c r="CF572" i="7" s="1"/>
  <c r="CI251" i="7"/>
  <c r="CI572" i="7" s="1"/>
  <c r="CL251" i="7"/>
  <c r="CL572" i="7" s="1"/>
  <c r="CO251" i="7"/>
  <c r="CO572" i="7" s="1"/>
  <c r="CR251" i="7"/>
  <c r="CR572" i="7" s="1"/>
  <c r="CU251" i="7"/>
  <c r="CU572" i="7" s="1"/>
  <c r="CX251" i="7"/>
  <c r="CX572" i="7" s="1"/>
  <c r="DA251" i="7"/>
  <c r="DA572" i="7" s="1"/>
  <c r="DD251" i="7"/>
  <c r="DD572" i="7" s="1"/>
  <c r="DG251" i="7"/>
  <c r="DG572" i="7" s="1"/>
  <c r="DJ251" i="7"/>
  <c r="DJ572" i="7" s="1"/>
  <c r="DM251" i="7"/>
  <c r="DM572" i="7" s="1"/>
  <c r="F252" i="7"/>
  <c r="I252" i="7"/>
  <c r="L252" i="7"/>
  <c r="O252" i="7"/>
  <c r="R252" i="7"/>
  <c r="U252" i="7"/>
  <c r="X252" i="7"/>
  <c r="AA252" i="7"/>
  <c r="AD252" i="7"/>
  <c r="AG252" i="7"/>
  <c r="AJ252" i="7"/>
  <c r="AM252" i="7"/>
  <c r="AP252" i="7"/>
  <c r="AS252" i="7"/>
  <c r="AV252" i="7"/>
  <c r="AY252" i="7"/>
  <c r="BB252" i="7"/>
  <c r="BE252" i="7"/>
  <c r="BH252" i="7"/>
  <c r="BK252" i="7"/>
  <c r="BN252" i="7"/>
  <c r="BQ252" i="7"/>
  <c r="BT252" i="7"/>
  <c r="BW252" i="7"/>
  <c r="BZ252" i="7"/>
  <c r="CC252" i="7"/>
  <c r="CF252" i="7"/>
  <c r="CO252" i="7"/>
  <c r="CU252" i="7"/>
  <c r="DA252" i="7"/>
  <c r="DD252" i="7"/>
  <c r="DG252" i="7"/>
  <c r="DJ252" i="7"/>
  <c r="F254" i="7"/>
  <c r="I254" i="7"/>
  <c r="L254" i="7"/>
  <c r="O254" i="7"/>
  <c r="R254" i="7"/>
  <c r="U254" i="7"/>
  <c r="X254" i="7"/>
  <c r="AA254" i="7"/>
  <c r="AD254" i="7"/>
  <c r="AG254" i="7"/>
  <c r="AJ254" i="7"/>
  <c r="AM254" i="7"/>
  <c r="AP254" i="7"/>
  <c r="AS254" i="7"/>
  <c r="AV254" i="7"/>
  <c r="AY254" i="7"/>
  <c r="BB254" i="7"/>
  <c r="BE254" i="7"/>
  <c r="BH254" i="7"/>
  <c r="BK254" i="7"/>
  <c r="BN254" i="7"/>
  <c r="BQ254" i="7"/>
  <c r="BT254" i="7"/>
  <c r="BW254" i="7"/>
  <c r="F255" i="7"/>
  <c r="I255" i="7"/>
  <c r="L255" i="7"/>
  <c r="O255" i="7"/>
  <c r="R255" i="7"/>
  <c r="U255" i="7"/>
  <c r="X255" i="7"/>
  <c r="AA255" i="7"/>
  <c r="AD255" i="7"/>
  <c r="AG255" i="7"/>
  <c r="AJ255" i="7"/>
  <c r="AM255" i="7"/>
  <c r="AP255" i="7"/>
  <c r="AS255" i="7"/>
  <c r="AV255" i="7"/>
  <c r="AY255" i="7"/>
  <c r="BB255" i="7"/>
  <c r="BE255" i="7"/>
  <c r="BH255" i="7"/>
  <c r="BK255" i="7"/>
  <c r="BN255" i="7"/>
  <c r="BQ255" i="7"/>
  <c r="BT255" i="7"/>
  <c r="BW255" i="7"/>
  <c r="BZ255" i="7"/>
  <c r="CC255" i="7"/>
  <c r="CF255" i="7"/>
  <c r="CI255" i="7"/>
  <c r="CL255" i="7"/>
  <c r="CO255" i="7"/>
  <c r="CR255" i="7"/>
  <c r="CU255" i="7"/>
  <c r="CX255" i="7"/>
  <c r="DA255" i="7"/>
  <c r="DD255" i="7"/>
  <c r="DG255" i="7"/>
  <c r="DJ255" i="7"/>
  <c r="E256" i="7"/>
  <c r="G256" i="7"/>
  <c r="F256" i="7" s="1"/>
  <c r="H256" i="7"/>
  <c r="J256" i="7"/>
  <c r="K256" i="7"/>
  <c r="M256" i="7"/>
  <c r="L256" i="7" s="1"/>
  <c r="N256" i="7"/>
  <c r="P256" i="7"/>
  <c r="O256" i="7" s="1"/>
  <c r="Q256" i="7"/>
  <c r="S256" i="7"/>
  <c r="R256" i="7" s="1"/>
  <c r="T256" i="7"/>
  <c r="V256" i="7"/>
  <c r="U256" i="7" s="1"/>
  <c r="W256" i="7"/>
  <c r="Y256" i="7"/>
  <c r="X256" i="7" s="1"/>
  <c r="Z256" i="7"/>
  <c r="AB256" i="7"/>
  <c r="AC256" i="7"/>
  <c r="AE256" i="7"/>
  <c r="AD256" i="7" s="1"/>
  <c r="AF256" i="7"/>
  <c r="AH256" i="7"/>
  <c r="AG256" i="7" s="1"/>
  <c r="AI256" i="7"/>
  <c r="AK256" i="7"/>
  <c r="AJ256" i="7" s="1"/>
  <c r="AL256" i="7"/>
  <c r="AN256" i="7"/>
  <c r="AM256" i="7" s="1"/>
  <c r="AO256" i="7"/>
  <c r="AQ256" i="7"/>
  <c r="AP256" i="7" s="1"/>
  <c r="AR256" i="7"/>
  <c r="AT256" i="7"/>
  <c r="AU256" i="7"/>
  <c r="AW256" i="7"/>
  <c r="AV256" i="7" s="1"/>
  <c r="AX256" i="7"/>
  <c r="AZ256" i="7"/>
  <c r="BA256" i="7"/>
  <c r="BC256" i="7"/>
  <c r="BB256" i="7" s="1"/>
  <c r="BD256" i="7"/>
  <c r="BF256" i="7"/>
  <c r="BG256" i="7"/>
  <c r="BI256" i="7"/>
  <c r="BH256" i="7" s="1"/>
  <c r="BJ256" i="7"/>
  <c r="BL256" i="7"/>
  <c r="BM256" i="7"/>
  <c r="BO256" i="7"/>
  <c r="BN256" i="7" s="1"/>
  <c r="BP256" i="7"/>
  <c r="BR256" i="7"/>
  <c r="BS256" i="7"/>
  <c r="BU256" i="7"/>
  <c r="BT256" i="7" s="1"/>
  <c r="BV256" i="7"/>
  <c r="BX257" i="7"/>
  <c r="BW257" i="7" s="1"/>
  <c r="BY256" i="7"/>
  <c r="CA257" i="7"/>
  <c r="CA256" i="7" s="1"/>
  <c r="BZ256" i="7" s="1"/>
  <c r="CB256" i="7"/>
  <c r="CD257" i="7"/>
  <c r="CC257" i="7" s="1"/>
  <c r="CE256" i="7"/>
  <c r="CG257" i="7"/>
  <c r="CG256" i="7" s="1"/>
  <c r="CF256" i="7" s="1"/>
  <c r="CH257" i="7"/>
  <c r="CH256" i="7" s="1"/>
  <c r="CJ257" i="7"/>
  <c r="CI257" i="7" s="1"/>
  <c r="CK257" i="7"/>
  <c r="CK259" i="7"/>
  <c r="CM257" i="7"/>
  <c r="CL257" i="7" s="1"/>
  <c r="CN257" i="7"/>
  <c r="CP257" i="7"/>
  <c r="CQ257" i="7"/>
  <c r="CS257" i="7"/>
  <c r="CS256" i="7" s="1"/>
  <c r="CR256" i="7" s="1"/>
  <c r="CT257" i="7"/>
  <c r="CT256" i="7" s="1"/>
  <c r="CV257" i="7"/>
  <c r="CU257" i="7" s="1"/>
  <c r="CW257" i="7"/>
  <c r="CW256" i="7" s="1"/>
  <c r="CY257" i="7"/>
  <c r="CX257" i="7" s="1"/>
  <c r="CZ257" i="7"/>
  <c r="CZ256" i="7" s="1"/>
  <c r="DB256" i="7"/>
  <c r="DA256" i="7" s="1"/>
  <c r="DC257" i="7"/>
  <c r="DC259" i="7"/>
  <c r="DE257" i="7"/>
  <c r="DD257" i="7" s="1"/>
  <c r="DF257" i="7"/>
  <c r="DF259" i="7"/>
  <c r="DH257" i="7"/>
  <c r="DH259" i="7"/>
  <c r="DG259" i="7" s="1"/>
  <c r="DI257" i="7"/>
  <c r="DI259" i="7"/>
  <c r="F257" i="7"/>
  <c r="I257" i="7"/>
  <c r="L257" i="7"/>
  <c r="O257" i="7"/>
  <c r="R257" i="7"/>
  <c r="U257" i="7"/>
  <c r="X257" i="7"/>
  <c r="AA257" i="7"/>
  <c r="AD257" i="7"/>
  <c r="AG257" i="7"/>
  <c r="AJ257" i="7"/>
  <c r="AM257" i="7"/>
  <c r="AP257" i="7"/>
  <c r="AS257" i="7"/>
  <c r="AV257" i="7"/>
  <c r="AY257" i="7"/>
  <c r="BB257" i="7"/>
  <c r="BE257" i="7"/>
  <c r="BH257" i="7"/>
  <c r="BK257" i="7"/>
  <c r="BN257" i="7"/>
  <c r="BQ257" i="7"/>
  <c r="BT257" i="7"/>
  <c r="DA257" i="7"/>
  <c r="DJ257" i="7"/>
  <c r="F258" i="7"/>
  <c r="I258" i="7"/>
  <c r="L258" i="7"/>
  <c r="O258" i="7"/>
  <c r="R258" i="7"/>
  <c r="U258" i="7"/>
  <c r="X258" i="7"/>
  <c r="AA258" i="7"/>
  <c r="AD258" i="7"/>
  <c r="AG258" i="7"/>
  <c r="AJ258" i="7"/>
  <c r="AM258" i="7"/>
  <c r="AP258" i="7"/>
  <c r="AS258" i="7"/>
  <c r="AV258" i="7"/>
  <c r="AY258" i="7"/>
  <c r="BB258" i="7"/>
  <c r="BE258" i="7"/>
  <c r="BH258" i="7"/>
  <c r="BK258" i="7"/>
  <c r="BN258" i="7"/>
  <c r="BQ258" i="7"/>
  <c r="BT258" i="7"/>
  <c r="BW258" i="7"/>
  <c r="BZ258" i="7"/>
  <c r="CC258" i="7"/>
  <c r="CF258" i="7"/>
  <c r="CI258" i="7"/>
  <c r="CL258" i="7"/>
  <c r="CO258" i="7"/>
  <c r="CR258" i="7"/>
  <c r="CU258" i="7"/>
  <c r="CX258" i="7"/>
  <c r="DA258" i="7"/>
  <c r="DD258" i="7"/>
  <c r="DG258" i="7"/>
  <c r="DJ258" i="7"/>
  <c r="DM258" i="7"/>
  <c r="F259" i="7"/>
  <c r="I259" i="7"/>
  <c r="L259" i="7"/>
  <c r="O259" i="7"/>
  <c r="R259" i="7"/>
  <c r="U259" i="7"/>
  <c r="X259" i="7"/>
  <c r="AA259" i="7"/>
  <c r="AD259" i="7"/>
  <c r="AG259" i="7"/>
  <c r="AJ259" i="7"/>
  <c r="AM259" i="7"/>
  <c r="AP259" i="7"/>
  <c r="AS259" i="7"/>
  <c r="AV259" i="7"/>
  <c r="AY259" i="7"/>
  <c r="BB259" i="7"/>
  <c r="BE259" i="7"/>
  <c r="BH259" i="7"/>
  <c r="BK259" i="7"/>
  <c r="BN259" i="7"/>
  <c r="BQ259" i="7"/>
  <c r="BT259" i="7"/>
  <c r="BW259" i="7"/>
  <c r="BZ259" i="7"/>
  <c r="CC259" i="7"/>
  <c r="CF259" i="7"/>
  <c r="CI259" i="7"/>
  <c r="CR259" i="7"/>
  <c r="CU259" i="7"/>
  <c r="CX259" i="7"/>
  <c r="DA259" i="7"/>
  <c r="DD259" i="7"/>
  <c r="E263" i="7"/>
  <c r="G263" i="7"/>
  <c r="F263" i="7" s="1"/>
  <c r="H263" i="7"/>
  <c r="J263" i="7"/>
  <c r="I263" i="7" s="1"/>
  <c r="K263" i="7"/>
  <c r="M263" i="7"/>
  <c r="L263" i="7" s="1"/>
  <c r="N263" i="7"/>
  <c r="P263" i="7"/>
  <c r="O263" i="7" s="1"/>
  <c r="Q263" i="7"/>
  <c r="S263" i="7"/>
  <c r="R263" i="7" s="1"/>
  <c r="T263" i="7"/>
  <c r="V263" i="7"/>
  <c r="U263" i="7" s="1"/>
  <c r="W263" i="7"/>
  <c r="Y263" i="7"/>
  <c r="X263" i="7" s="1"/>
  <c r="Z263" i="7"/>
  <c r="AB263" i="7"/>
  <c r="AA263" i="7" s="1"/>
  <c r="AC263" i="7"/>
  <c r="AE263" i="7"/>
  <c r="AD263" i="7" s="1"/>
  <c r="AF263" i="7"/>
  <c r="AH263" i="7"/>
  <c r="AG263" i="7" s="1"/>
  <c r="AI263" i="7"/>
  <c r="BA263" i="7"/>
  <c r="BD263" i="7"/>
  <c r="BD329" i="7" s="1"/>
  <c r="F264" i="7"/>
  <c r="I264" i="7"/>
  <c r="L264" i="7"/>
  <c r="O264" i="7"/>
  <c r="R264" i="7"/>
  <c r="U264" i="7"/>
  <c r="X264" i="7"/>
  <c r="AA264" i="7"/>
  <c r="AD264" i="7"/>
  <c r="AG264" i="7"/>
  <c r="AJ264" i="7"/>
  <c r="AM264" i="7"/>
  <c r="AP264" i="7"/>
  <c r="AS264" i="7"/>
  <c r="AV264" i="7"/>
  <c r="AY264" i="7"/>
  <c r="BB264" i="7"/>
  <c r="BE264" i="7"/>
  <c r="BH264" i="7"/>
  <c r="BK264" i="7"/>
  <c r="BN264" i="7"/>
  <c r="BQ264" i="7"/>
  <c r="BT264" i="7"/>
  <c r="BW264" i="7"/>
  <c r="BZ264" i="7"/>
  <c r="CC264" i="7"/>
  <c r="CF264" i="7"/>
  <c r="CI264" i="7"/>
  <c r="CL264" i="7"/>
  <c r="CO264" i="7"/>
  <c r="CR264" i="7"/>
  <c r="CU264" i="7"/>
  <c r="CX264" i="7"/>
  <c r="DA264" i="7"/>
  <c r="DD264" i="7"/>
  <c r="DG264" i="7"/>
  <c r="DJ264" i="7"/>
  <c r="F265" i="7"/>
  <c r="I265" i="7"/>
  <c r="L265" i="7"/>
  <c r="O265" i="7"/>
  <c r="R265" i="7"/>
  <c r="U265" i="7"/>
  <c r="X265" i="7"/>
  <c r="AA265" i="7"/>
  <c r="AD265" i="7"/>
  <c r="AG265" i="7"/>
  <c r="AJ265" i="7"/>
  <c r="AM265" i="7"/>
  <c r="AP265" i="7"/>
  <c r="AS265" i="7"/>
  <c r="AV265" i="7"/>
  <c r="AY265" i="7"/>
  <c r="BB265" i="7"/>
  <c r="BE265" i="7"/>
  <c r="BH265" i="7"/>
  <c r="BK265" i="7"/>
  <c r="BN265" i="7"/>
  <c r="BQ265" i="7"/>
  <c r="BT265" i="7"/>
  <c r="CF265" i="7"/>
  <c r="DJ265" i="7"/>
  <c r="E266" i="7"/>
  <c r="G266" i="7"/>
  <c r="F266" i="7" s="1"/>
  <c r="H266" i="7"/>
  <c r="J266" i="7"/>
  <c r="I266" i="7" s="1"/>
  <c r="K266" i="7"/>
  <c r="M266" i="7"/>
  <c r="N266" i="7"/>
  <c r="P266" i="7"/>
  <c r="O266" i="7" s="1"/>
  <c r="Q266" i="7"/>
  <c r="S266" i="7"/>
  <c r="R266" i="7" s="1"/>
  <c r="T266" i="7"/>
  <c r="V266" i="7"/>
  <c r="U266" i="7" s="1"/>
  <c r="W266" i="7"/>
  <c r="Y266" i="7"/>
  <c r="X266" i="7" s="1"/>
  <c r="Z266" i="7"/>
  <c r="AB266" i="7"/>
  <c r="AA266" i="7" s="1"/>
  <c r="AC266" i="7"/>
  <c r="AE266" i="7"/>
  <c r="AD266" i="7" s="1"/>
  <c r="AF266" i="7"/>
  <c r="AH266" i="7"/>
  <c r="AG266" i="7" s="1"/>
  <c r="AI266" i="7"/>
  <c r="F267" i="7"/>
  <c r="I267" i="7"/>
  <c r="L267" i="7"/>
  <c r="O267" i="7"/>
  <c r="R267" i="7"/>
  <c r="U267" i="7"/>
  <c r="X267" i="7"/>
  <c r="AA267" i="7"/>
  <c r="AD267" i="7"/>
  <c r="AG267" i="7"/>
  <c r="AJ267" i="7"/>
  <c r="AM267" i="7"/>
  <c r="AP267" i="7"/>
  <c r="AS267" i="7"/>
  <c r="AV267" i="7"/>
  <c r="AY267" i="7"/>
  <c r="BB267" i="7"/>
  <c r="BE267" i="7"/>
  <c r="BH267" i="7"/>
  <c r="BK267" i="7"/>
  <c r="BN267" i="7"/>
  <c r="BQ267" i="7"/>
  <c r="BT267" i="7"/>
  <c r="BW267" i="7"/>
  <c r="BZ267" i="7"/>
  <c r="CC267" i="7"/>
  <c r="CF267" i="7"/>
  <c r="CI267" i="7"/>
  <c r="CL267" i="7"/>
  <c r="CO267" i="7"/>
  <c r="CR267" i="7"/>
  <c r="CU267" i="7"/>
  <c r="CX267" i="7"/>
  <c r="DA267" i="7"/>
  <c r="DD267" i="7"/>
  <c r="DG267" i="7"/>
  <c r="DJ267" i="7"/>
  <c r="F268" i="7"/>
  <c r="I268" i="7"/>
  <c r="L268" i="7"/>
  <c r="O268" i="7"/>
  <c r="R268" i="7"/>
  <c r="U268" i="7"/>
  <c r="X268" i="7"/>
  <c r="AA268" i="7"/>
  <c r="AD268" i="7"/>
  <c r="AG268" i="7"/>
  <c r="AJ268" i="7"/>
  <c r="AM268" i="7"/>
  <c r="AP268" i="7"/>
  <c r="AS268" i="7"/>
  <c r="AV268" i="7"/>
  <c r="AY268" i="7"/>
  <c r="BB268" i="7"/>
  <c r="BE268" i="7"/>
  <c r="BH268" i="7"/>
  <c r="BK268" i="7"/>
  <c r="BN268" i="7"/>
  <c r="BQ268" i="7"/>
  <c r="BT268" i="7"/>
  <c r="F269" i="7"/>
  <c r="I269" i="7"/>
  <c r="L269" i="7"/>
  <c r="O269" i="7"/>
  <c r="R269" i="7"/>
  <c r="U269" i="7"/>
  <c r="X269" i="7"/>
  <c r="AA269" i="7"/>
  <c r="AD269" i="7"/>
  <c r="AG269" i="7"/>
  <c r="AJ269" i="7"/>
  <c r="AM269" i="7"/>
  <c r="AP269" i="7"/>
  <c r="AS269" i="7"/>
  <c r="AV269" i="7"/>
  <c r="AY269" i="7"/>
  <c r="BB269" i="7"/>
  <c r="BE269" i="7"/>
  <c r="BH269" i="7"/>
  <c r="BK269" i="7"/>
  <c r="BN269" i="7"/>
  <c r="BQ269" i="7"/>
  <c r="BT269" i="7"/>
  <c r="F270" i="7"/>
  <c r="I270" i="7"/>
  <c r="L270" i="7"/>
  <c r="O270" i="7"/>
  <c r="R270" i="7"/>
  <c r="U270" i="7"/>
  <c r="X270" i="7"/>
  <c r="AA270" i="7"/>
  <c r="AD270" i="7"/>
  <c r="AG270" i="7"/>
  <c r="AJ270" i="7"/>
  <c r="AM270" i="7"/>
  <c r="AP270" i="7"/>
  <c r="AS270" i="7"/>
  <c r="AV270" i="7"/>
  <c r="AY270" i="7"/>
  <c r="BB270" i="7"/>
  <c r="BE270" i="7"/>
  <c r="BH270" i="7"/>
  <c r="BK270" i="7"/>
  <c r="BN270" i="7"/>
  <c r="BQ270" i="7"/>
  <c r="BT270" i="7"/>
  <c r="F271" i="7"/>
  <c r="I271" i="7"/>
  <c r="L271" i="7"/>
  <c r="O271" i="7"/>
  <c r="R271" i="7"/>
  <c r="U271" i="7"/>
  <c r="X271" i="7"/>
  <c r="AA271" i="7"/>
  <c r="AD271" i="7"/>
  <c r="AG271" i="7"/>
  <c r="AJ271" i="7"/>
  <c r="AM271" i="7"/>
  <c r="AP271" i="7"/>
  <c r="AS271" i="7"/>
  <c r="AV271" i="7"/>
  <c r="AY271" i="7"/>
  <c r="BB271" i="7"/>
  <c r="BE271" i="7"/>
  <c r="BH271" i="7"/>
  <c r="BK271" i="7"/>
  <c r="BN271" i="7"/>
  <c r="BQ271" i="7"/>
  <c r="BT271" i="7"/>
  <c r="F272" i="7"/>
  <c r="I272" i="7"/>
  <c r="L272" i="7"/>
  <c r="O272" i="7"/>
  <c r="R272" i="7"/>
  <c r="U272" i="7"/>
  <c r="X272" i="7"/>
  <c r="AA272" i="7"/>
  <c r="AD272" i="7"/>
  <c r="AG272" i="7"/>
  <c r="AJ272" i="7"/>
  <c r="AM272" i="7"/>
  <c r="AP272" i="7"/>
  <c r="AS272" i="7"/>
  <c r="AV272" i="7"/>
  <c r="AY272" i="7"/>
  <c r="BB272" i="7"/>
  <c r="BE272" i="7"/>
  <c r="BH272" i="7"/>
  <c r="BK272" i="7"/>
  <c r="BN272" i="7"/>
  <c r="BQ272" i="7"/>
  <c r="BT272" i="7"/>
  <c r="CF272" i="7"/>
  <c r="CI272" i="7"/>
  <c r="DA272" i="7"/>
  <c r="E273" i="7"/>
  <c r="G273" i="7"/>
  <c r="F273" i="7" s="1"/>
  <c r="H273" i="7"/>
  <c r="J273" i="7"/>
  <c r="I273" i="7" s="1"/>
  <c r="K273" i="7"/>
  <c r="M273" i="7"/>
  <c r="L273" i="7" s="1"/>
  <c r="N273" i="7"/>
  <c r="P273" i="7"/>
  <c r="O273" i="7" s="1"/>
  <c r="Q273" i="7"/>
  <c r="S273" i="7"/>
  <c r="R273" i="7" s="1"/>
  <c r="T273" i="7"/>
  <c r="V273" i="7"/>
  <c r="U273" i="7" s="1"/>
  <c r="W273" i="7"/>
  <c r="Y273" i="7"/>
  <c r="X273" i="7" s="1"/>
  <c r="Z273" i="7"/>
  <c r="AB273" i="7"/>
  <c r="AA273" i="7" s="1"/>
  <c r="AC273" i="7"/>
  <c r="AE273" i="7"/>
  <c r="AD273" i="7" s="1"/>
  <c r="AF273" i="7"/>
  <c r="AH273" i="7"/>
  <c r="AG273" i="7" s="1"/>
  <c r="AI273" i="7"/>
  <c r="BA273" i="7"/>
  <c r="BC273" i="7"/>
  <c r="BC149" i="8" s="1"/>
  <c r="BD273" i="7"/>
  <c r="BD149" i="8" s="1"/>
  <c r="F274" i="7"/>
  <c r="I274" i="7"/>
  <c r="L274" i="7"/>
  <c r="O274" i="7"/>
  <c r="R274" i="7"/>
  <c r="U274" i="7"/>
  <c r="X274" i="7"/>
  <c r="AA274" i="7"/>
  <c r="AD274" i="7"/>
  <c r="AG274" i="7"/>
  <c r="AJ274" i="7"/>
  <c r="AM274" i="7"/>
  <c r="AP274" i="7"/>
  <c r="AS274" i="7"/>
  <c r="AV274" i="7"/>
  <c r="AY274" i="7"/>
  <c r="BB274" i="7"/>
  <c r="BE274" i="7"/>
  <c r="BH274" i="7"/>
  <c r="BK274" i="7"/>
  <c r="BN274" i="7"/>
  <c r="BQ274" i="7"/>
  <c r="BT274" i="7"/>
  <c r="BW274" i="7"/>
  <c r="BZ274" i="7"/>
  <c r="CC274" i="7"/>
  <c r="CF274" i="7"/>
  <c r="F275" i="7"/>
  <c r="I275" i="7"/>
  <c r="L275" i="7"/>
  <c r="O275" i="7"/>
  <c r="R275" i="7"/>
  <c r="U275" i="7"/>
  <c r="X275" i="7"/>
  <c r="AA275" i="7"/>
  <c r="AD275" i="7"/>
  <c r="AG275" i="7"/>
  <c r="AJ275" i="7"/>
  <c r="AM275" i="7"/>
  <c r="AP275" i="7"/>
  <c r="AS275" i="7"/>
  <c r="AV275" i="7"/>
  <c r="AY275" i="7"/>
  <c r="BB275" i="7"/>
  <c r="BE275" i="7"/>
  <c r="BH275" i="7"/>
  <c r="BK275" i="7"/>
  <c r="BN275" i="7"/>
  <c r="BQ275" i="7"/>
  <c r="BT275" i="7"/>
  <c r="BW275" i="7"/>
  <c r="BW68" i="8" s="1"/>
  <c r="BZ275" i="7"/>
  <c r="BZ68" i="8" s="1"/>
  <c r="CC275" i="7"/>
  <c r="CC68" i="8" s="1"/>
  <c r="CF275" i="7"/>
  <c r="CF68" i="8" s="1"/>
  <c r="CI275" i="7"/>
  <c r="CI68" i="8" s="1"/>
  <c r="CL275" i="7"/>
  <c r="CL68" i="8" s="1"/>
  <c r="CO275" i="7"/>
  <c r="CO68" i="8" s="1"/>
  <c r="CR275" i="7"/>
  <c r="CR68" i="8" s="1"/>
  <c r="CU275" i="7"/>
  <c r="CU68" i="8" s="1"/>
  <c r="CX275" i="7"/>
  <c r="CX68" i="8" s="1"/>
  <c r="DA275" i="7"/>
  <c r="DA68" i="8" s="1"/>
  <c r="DD275" i="7"/>
  <c r="DD68" i="8" s="1"/>
  <c r="DG275" i="7"/>
  <c r="DG68" i="8" s="1"/>
  <c r="DJ275" i="7"/>
  <c r="DJ68" i="8" s="1"/>
  <c r="DM275" i="7"/>
  <c r="F276" i="7"/>
  <c r="I276" i="7"/>
  <c r="L276" i="7"/>
  <c r="O276" i="7"/>
  <c r="R276" i="7"/>
  <c r="U276" i="7"/>
  <c r="X276" i="7"/>
  <c r="AA276" i="7"/>
  <c r="AD276" i="7"/>
  <c r="AG276" i="7"/>
  <c r="AJ276" i="7"/>
  <c r="AM276" i="7"/>
  <c r="AP276" i="7"/>
  <c r="AS276" i="7"/>
  <c r="AV276" i="7"/>
  <c r="AY276" i="7"/>
  <c r="BB276" i="7"/>
  <c r="BE276" i="7"/>
  <c r="BH276" i="7"/>
  <c r="BK276" i="7"/>
  <c r="BN276" i="7"/>
  <c r="BQ276" i="7"/>
  <c r="BT276" i="7"/>
  <c r="CC276" i="7"/>
  <c r="CF276" i="7"/>
  <c r="CI276" i="7"/>
  <c r="F277" i="7"/>
  <c r="I277" i="7"/>
  <c r="L277" i="7"/>
  <c r="O277" i="7"/>
  <c r="R277" i="7"/>
  <c r="U277" i="7"/>
  <c r="X277" i="7"/>
  <c r="AA277" i="7"/>
  <c r="AD277" i="7"/>
  <c r="AG277" i="7"/>
  <c r="AJ277" i="7"/>
  <c r="AM277" i="7"/>
  <c r="AP277" i="7"/>
  <c r="AS277" i="7"/>
  <c r="AV277" i="7"/>
  <c r="AY277" i="7"/>
  <c r="BB277" i="7"/>
  <c r="BE277" i="7"/>
  <c r="BH277" i="7"/>
  <c r="BK277" i="7"/>
  <c r="BN277" i="7"/>
  <c r="BQ277" i="7"/>
  <c r="BT277" i="7"/>
  <c r="F278" i="7"/>
  <c r="I278" i="7"/>
  <c r="L278" i="7"/>
  <c r="O278" i="7"/>
  <c r="R278" i="7"/>
  <c r="U278" i="7"/>
  <c r="X278" i="7"/>
  <c r="AA278" i="7"/>
  <c r="AD278" i="7"/>
  <c r="AG278" i="7"/>
  <c r="AJ278" i="7"/>
  <c r="AM278" i="7"/>
  <c r="AP278" i="7"/>
  <c r="AS278" i="7"/>
  <c r="AV278" i="7"/>
  <c r="AY278" i="7"/>
  <c r="BB278" i="7"/>
  <c r="BE278" i="7"/>
  <c r="BH278" i="7"/>
  <c r="BK278" i="7"/>
  <c r="BN278" i="7"/>
  <c r="BQ278" i="7"/>
  <c r="BT278" i="7"/>
  <c r="F279" i="7"/>
  <c r="I279" i="7"/>
  <c r="L279" i="7"/>
  <c r="O279" i="7"/>
  <c r="R279" i="7"/>
  <c r="U279" i="7"/>
  <c r="X279" i="7"/>
  <c r="AA279" i="7"/>
  <c r="AD279" i="7"/>
  <c r="AG279" i="7"/>
  <c r="AJ279" i="7"/>
  <c r="AM279" i="7"/>
  <c r="AP279" i="7"/>
  <c r="AS279" i="7"/>
  <c r="AV279" i="7"/>
  <c r="AY279" i="7"/>
  <c r="BB279" i="7"/>
  <c r="BE279" i="7"/>
  <c r="BH279" i="7"/>
  <c r="BK279" i="7"/>
  <c r="BN279" i="7"/>
  <c r="BQ279" i="7"/>
  <c r="BT279" i="7"/>
  <c r="E280" i="7"/>
  <c r="G280" i="7"/>
  <c r="F280" i="7" s="1"/>
  <c r="H280" i="7"/>
  <c r="J280" i="7"/>
  <c r="I280" i="7" s="1"/>
  <c r="K280" i="7"/>
  <c r="M280" i="7"/>
  <c r="L280" i="7" s="1"/>
  <c r="N280" i="7"/>
  <c r="P280" i="7"/>
  <c r="O280" i="7" s="1"/>
  <c r="Q280" i="7"/>
  <c r="S280" i="7"/>
  <c r="R280" i="7" s="1"/>
  <c r="T280" i="7"/>
  <c r="V280" i="7"/>
  <c r="U280" i="7" s="1"/>
  <c r="W280" i="7"/>
  <c r="Y280" i="7"/>
  <c r="X280" i="7" s="1"/>
  <c r="Z280" i="7"/>
  <c r="AB280" i="7"/>
  <c r="AA280" i="7" s="1"/>
  <c r="AC280" i="7"/>
  <c r="AE280" i="7"/>
  <c r="AD280" i="7" s="1"/>
  <c r="AF280" i="7"/>
  <c r="AH280" i="7"/>
  <c r="AG280" i="7" s="1"/>
  <c r="AI280" i="7"/>
  <c r="AK280" i="7"/>
  <c r="AJ280" i="7" s="1"/>
  <c r="AL280" i="7"/>
  <c r="AN280" i="7"/>
  <c r="AO280" i="7"/>
  <c r="AQ280" i="7"/>
  <c r="AP280" i="7" s="1"/>
  <c r="AR280" i="7"/>
  <c r="AT280" i="7"/>
  <c r="AS280" i="7" s="1"/>
  <c r="AU280" i="7"/>
  <c r="AW280" i="7"/>
  <c r="AV280" i="7" s="1"/>
  <c r="AX280" i="7"/>
  <c r="AZ280" i="7"/>
  <c r="AY280" i="7" s="1"/>
  <c r="BA280" i="7"/>
  <c r="BC280" i="7"/>
  <c r="BB280" i="7" s="1"/>
  <c r="BD280" i="7"/>
  <c r="BF280" i="7"/>
  <c r="BG280" i="7"/>
  <c r="BI280" i="7"/>
  <c r="BH280" i="7" s="1"/>
  <c r="BJ280" i="7"/>
  <c r="BL280" i="7"/>
  <c r="BM280" i="7"/>
  <c r="BO280" i="7"/>
  <c r="BN280" i="7" s="1"/>
  <c r="BP280" i="7"/>
  <c r="BR280" i="7"/>
  <c r="BQ280" i="7" s="1"/>
  <c r="BS280" i="7"/>
  <c r="BU280" i="7"/>
  <c r="BT280" i="7" s="1"/>
  <c r="BV280" i="7"/>
  <c r="BX281" i="7"/>
  <c r="BX280" i="7" s="1"/>
  <c r="BW280" i="7" s="1"/>
  <c r="BY280" i="7"/>
  <c r="CA281" i="7"/>
  <c r="CA280" i="7" s="1"/>
  <c r="BZ280" i="7" s="1"/>
  <c r="CB280" i="7"/>
  <c r="CD281" i="7"/>
  <c r="CD280" i="7" s="1"/>
  <c r="CC280" i="7" s="1"/>
  <c r="CE280" i="7"/>
  <c r="CG281" i="7"/>
  <c r="CF281" i="7" s="1"/>
  <c r="CH281" i="7"/>
  <c r="CH282" i="7"/>
  <c r="CJ281" i="7"/>
  <c r="CJ280" i="7" s="1"/>
  <c r="CI280" i="7" s="1"/>
  <c r="CK281" i="7"/>
  <c r="CK282" i="7"/>
  <c r="CM281" i="7"/>
  <c r="CM282" i="7"/>
  <c r="CL282" i="7" s="1"/>
  <c r="CN281" i="7"/>
  <c r="CN282" i="7"/>
  <c r="CP281" i="7"/>
  <c r="CO281" i="7" s="1"/>
  <c r="CP282" i="7"/>
  <c r="CO282" i="7" s="1"/>
  <c r="CQ281" i="7"/>
  <c r="CQ282" i="7"/>
  <c r="CS281" i="7"/>
  <c r="CR281" i="7" s="1"/>
  <c r="CS282" i="7"/>
  <c r="CR282" i="7" s="1"/>
  <c r="CT281" i="7"/>
  <c r="CT282" i="7"/>
  <c r="CV281" i="7"/>
  <c r="CU281" i="7" s="1"/>
  <c r="CV282" i="7"/>
  <c r="CU282" i="7" s="1"/>
  <c r="CW281" i="7"/>
  <c r="CW282" i="7"/>
  <c r="CY281" i="7"/>
  <c r="CX281" i="7" s="1"/>
  <c r="CY282" i="7"/>
  <c r="CX282" i="7" s="1"/>
  <c r="CZ281" i="7"/>
  <c r="CZ282" i="7"/>
  <c r="DB281" i="7"/>
  <c r="DA281" i="7" s="1"/>
  <c r="DB282" i="7"/>
  <c r="DA282" i="7" s="1"/>
  <c r="DC281" i="7"/>
  <c r="DC282" i="7"/>
  <c r="DE281" i="7"/>
  <c r="DE282" i="7"/>
  <c r="DD282" i="7" s="1"/>
  <c r="DF281" i="7"/>
  <c r="DF282" i="7"/>
  <c r="DH281" i="7"/>
  <c r="DG281" i="7" s="1"/>
  <c r="DH282" i="7"/>
  <c r="DG282" i="7" s="1"/>
  <c r="DI281" i="7"/>
  <c r="DI282" i="7"/>
  <c r="F281" i="7"/>
  <c r="I281" i="7"/>
  <c r="L281" i="7"/>
  <c r="O281" i="7"/>
  <c r="R281" i="7"/>
  <c r="U281" i="7"/>
  <c r="X281" i="7"/>
  <c r="AA281" i="7"/>
  <c r="AD281" i="7"/>
  <c r="AG281" i="7"/>
  <c r="AJ281" i="7"/>
  <c r="AM281" i="7"/>
  <c r="AP281" i="7"/>
  <c r="AS281" i="7"/>
  <c r="AV281" i="7"/>
  <c r="AY281" i="7"/>
  <c r="BB281" i="7"/>
  <c r="BE281" i="7"/>
  <c r="BH281" i="7"/>
  <c r="BK281" i="7"/>
  <c r="BN281" i="7"/>
  <c r="BQ281" i="7"/>
  <c r="BT281" i="7"/>
  <c r="F282" i="7"/>
  <c r="I282" i="7"/>
  <c r="L282" i="7"/>
  <c r="O282" i="7"/>
  <c r="R282" i="7"/>
  <c r="U282" i="7"/>
  <c r="X282" i="7"/>
  <c r="AA282" i="7"/>
  <c r="AD282" i="7"/>
  <c r="AG282" i="7"/>
  <c r="AJ282" i="7"/>
  <c r="AM282" i="7"/>
  <c r="AP282" i="7"/>
  <c r="AS282" i="7"/>
  <c r="AV282" i="7"/>
  <c r="AY282" i="7"/>
  <c r="BB282" i="7"/>
  <c r="BE282" i="7"/>
  <c r="BH282" i="7"/>
  <c r="BK282" i="7"/>
  <c r="BN282" i="7"/>
  <c r="BQ282" i="7"/>
  <c r="BT282" i="7"/>
  <c r="BW282" i="7"/>
  <c r="BZ282" i="7"/>
  <c r="CC282" i="7"/>
  <c r="CF282" i="7"/>
  <c r="CI282" i="7"/>
  <c r="F285" i="7"/>
  <c r="I285" i="7"/>
  <c r="L285" i="7"/>
  <c r="O285" i="7"/>
  <c r="R285" i="7"/>
  <c r="U285" i="7"/>
  <c r="X285" i="7"/>
  <c r="AA285" i="7"/>
  <c r="AD285" i="7"/>
  <c r="AG285" i="7"/>
  <c r="AJ285" i="7"/>
  <c r="AM285" i="7"/>
  <c r="AP285" i="7"/>
  <c r="AS285" i="7"/>
  <c r="AV285" i="7"/>
  <c r="AY285" i="7"/>
  <c r="BB285" i="7"/>
  <c r="BE285" i="7"/>
  <c r="BH285" i="7"/>
  <c r="BK285" i="7"/>
  <c r="BN285" i="7"/>
  <c r="BQ285" i="7"/>
  <c r="BT285" i="7"/>
  <c r="BX285" i="7"/>
  <c r="BW285" i="7" s="1"/>
  <c r="CA285" i="7"/>
  <c r="BZ285" i="7" s="1"/>
  <c r="CD285" i="7"/>
  <c r="CF285" i="7"/>
  <c r="CI285" i="7"/>
  <c r="CL285" i="7"/>
  <c r="CN285" i="7"/>
  <c r="CO285" i="7"/>
  <c r="CR285" i="7"/>
  <c r="CU285" i="7"/>
  <c r="CX285" i="7"/>
  <c r="DA285" i="7"/>
  <c r="DD285" i="7"/>
  <c r="DG285" i="7"/>
  <c r="DI285" i="7"/>
  <c r="DJ285" i="7"/>
  <c r="E286" i="7"/>
  <c r="G286" i="7"/>
  <c r="F286" i="7" s="1"/>
  <c r="H286" i="7"/>
  <c r="J286" i="7"/>
  <c r="K286" i="7"/>
  <c r="M286" i="7"/>
  <c r="L286" i="7" s="1"/>
  <c r="N286" i="7"/>
  <c r="P286" i="7"/>
  <c r="Q286" i="7"/>
  <c r="S286" i="7"/>
  <c r="R286" i="7" s="1"/>
  <c r="T286" i="7"/>
  <c r="V286" i="7"/>
  <c r="W286" i="7"/>
  <c r="Y286" i="7"/>
  <c r="X286" i="7" s="1"/>
  <c r="Z286" i="7"/>
  <c r="AB286" i="7"/>
  <c r="AC286" i="7"/>
  <c r="AE286" i="7"/>
  <c r="AD286" i="7" s="1"/>
  <c r="AF286" i="7"/>
  <c r="AH286" i="7"/>
  <c r="AI286" i="7"/>
  <c r="F287" i="7"/>
  <c r="I287" i="7"/>
  <c r="L287" i="7"/>
  <c r="O287" i="7"/>
  <c r="R287" i="7"/>
  <c r="U287" i="7"/>
  <c r="X287" i="7"/>
  <c r="AA287" i="7"/>
  <c r="AD287" i="7"/>
  <c r="AG287" i="7"/>
  <c r="AJ287" i="7"/>
  <c r="AM287" i="7"/>
  <c r="AP287" i="7"/>
  <c r="AS287" i="7"/>
  <c r="AV287" i="7"/>
  <c r="AY287" i="7"/>
  <c r="BB287" i="7"/>
  <c r="BE287" i="7"/>
  <c r="BH287" i="7"/>
  <c r="BK287" i="7"/>
  <c r="BN287" i="7"/>
  <c r="BQ287" i="7"/>
  <c r="BT287" i="7"/>
  <c r="BW287" i="7"/>
  <c r="BZ287" i="7"/>
  <c r="CC287" i="7"/>
  <c r="CF287" i="7"/>
  <c r="CI287" i="7"/>
  <c r="CL287" i="7"/>
  <c r="CO287" i="7"/>
  <c r="CR287" i="7"/>
  <c r="CU287" i="7"/>
  <c r="CX287" i="7"/>
  <c r="DA287" i="7"/>
  <c r="DD287" i="7"/>
  <c r="DG287" i="7"/>
  <c r="DJ287" i="7"/>
  <c r="F288" i="7"/>
  <c r="I288" i="7"/>
  <c r="L288" i="7"/>
  <c r="O288" i="7"/>
  <c r="R288" i="7"/>
  <c r="U288" i="7"/>
  <c r="X288" i="7"/>
  <c r="AA288" i="7"/>
  <c r="AD288" i="7"/>
  <c r="AG288" i="7"/>
  <c r="AJ288" i="7"/>
  <c r="AM288" i="7"/>
  <c r="AP288" i="7"/>
  <c r="AS288" i="7"/>
  <c r="AV288" i="7"/>
  <c r="AY288" i="7"/>
  <c r="BB288" i="7"/>
  <c r="BE288" i="7"/>
  <c r="BH288" i="7"/>
  <c r="BK288" i="7"/>
  <c r="BN288" i="7"/>
  <c r="BQ288" i="7"/>
  <c r="BT288" i="7"/>
  <c r="F289" i="7"/>
  <c r="I289" i="7"/>
  <c r="L289" i="7"/>
  <c r="O289" i="7"/>
  <c r="R289" i="7"/>
  <c r="U289" i="7"/>
  <c r="X289" i="7"/>
  <c r="AA289" i="7"/>
  <c r="AD289" i="7"/>
  <c r="AG289" i="7"/>
  <c r="AJ289" i="7"/>
  <c r="AM289" i="7"/>
  <c r="AP289" i="7"/>
  <c r="AS289" i="7"/>
  <c r="AV289" i="7"/>
  <c r="AY289" i="7"/>
  <c r="BB289" i="7"/>
  <c r="BE289" i="7"/>
  <c r="BH289" i="7"/>
  <c r="BK289" i="7"/>
  <c r="BN289" i="7"/>
  <c r="BQ289" i="7"/>
  <c r="BT289" i="7"/>
  <c r="F290" i="7"/>
  <c r="I290" i="7"/>
  <c r="L290" i="7"/>
  <c r="O290" i="7"/>
  <c r="R290" i="7"/>
  <c r="U290" i="7"/>
  <c r="X290" i="7"/>
  <c r="AA290" i="7"/>
  <c r="AD290" i="7"/>
  <c r="AG290" i="7"/>
  <c r="AJ290" i="7"/>
  <c r="AM290" i="7"/>
  <c r="AP290" i="7"/>
  <c r="AS290" i="7"/>
  <c r="AV290" i="7"/>
  <c r="AY290" i="7"/>
  <c r="BB290" i="7"/>
  <c r="BE290" i="7"/>
  <c r="BH290" i="7"/>
  <c r="BK290" i="7"/>
  <c r="BN290" i="7"/>
  <c r="BQ290" i="7"/>
  <c r="BT290" i="7"/>
  <c r="F291" i="7"/>
  <c r="I291" i="7"/>
  <c r="L291" i="7"/>
  <c r="O291" i="7"/>
  <c r="R291" i="7"/>
  <c r="U291" i="7"/>
  <c r="X291" i="7"/>
  <c r="AA291" i="7"/>
  <c r="AD291" i="7"/>
  <c r="AG291" i="7"/>
  <c r="AJ291" i="7"/>
  <c r="AM291" i="7"/>
  <c r="AP291" i="7"/>
  <c r="AS291" i="7"/>
  <c r="AV291" i="7"/>
  <c r="AY291" i="7"/>
  <c r="BB291" i="7"/>
  <c r="BE291" i="7"/>
  <c r="BH291" i="7"/>
  <c r="BK291" i="7"/>
  <c r="BN291" i="7"/>
  <c r="BQ291" i="7"/>
  <c r="BT291" i="7"/>
  <c r="BZ291" i="7"/>
  <c r="CF291" i="7"/>
  <c r="CF179" i="8" s="1"/>
  <c r="DA291" i="7"/>
  <c r="DA179" i="8" s="1"/>
  <c r="DG291" i="7"/>
  <c r="DG179" i="8" s="1"/>
  <c r="F292" i="7"/>
  <c r="I292" i="7"/>
  <c r="L292" i="7"/>
  <c r="O292" i="7"/>
  <c r="R292" i="7"/>
  <c r="U292" i="7"/>
  <c r="X292" i="7"/>
  <c r="AA292" i="7"/>
  <c r="AD292" i="7"/>
  <c r="AG292" i="7"/>
  <c r="AJ292" i="7"/>
  <c r="AM292" i="7"/>
  <c r="AP292" i="7"/>
  <c r="AS292" i="7"/>
  <c r="AV292" i="7"/>
  <c r="AY292" i="7"/>
  <c r="BB292" i="7"/>
  <c r="BE292" i="7"/>
  <c r="BH292" i="7"/>
  <c r="BK292" i="7"/>
  <c r="BN292" i="7"/>
  <c r="BQ292" i="7"/>
  <c r="BT292" i="7"/>
  <c r="E293" i="7"/>
  <c r="E86" i="8" s="1"/>
  <c r="G293" i="7"/>
  <c r="F293" i="7" s="1"/>
  <c r="H293" i="7"/>
  <c r="H86" i="8" s="1"/>
  <c r="J293" i="7"/>
  <c r="I293" i="7" s="1"/>
  <c r="K293" i="7"/>
  <c r="K86" i="8" s="1"/>
  <c r="M293" i="7"/>
  <c r="L293" i="7" s="1"/>
  <c r="N293" i="7"/>
  <c r="N86" i="8" s="1"/>
  <c r="P293" i="7"/>
  <c r="O293" i="7" s="1"/>
  <c r="Q293" i="7"/>
  <c r="Q86" i="8" s="1"/>
  <c r="S293" i="7"/>
  <c r="R293" i="7" s="1"/>
  <c r="T293" i="7"/>
  <c r="T86" i="8" s="1"/>
  <c r="V293" i="7"/>
  <c r="U293" i="7" s="1"/>
  <c r="W293" i="7"/>
  <c r="W86" i="8" s="1"/>
  <c r="Y293" i="7"/>
  <c r="X293" i="7" s="1"/>
  <c r="Z293" i="7"/>
  <c r="Z86" i="8" s="1"/>
  <c r="AB293" i="7"/>
  <c r="AA293" i="7" s="1"/>
  <c r="AC293" i="7"/>
  <c r="AC86" i="8" s="1"/>
  <c r="AE293" i="7"/>
  <c r="AD293" i="7" s="1"/>
  <c r="AF293" i="7"/>
  <c r="AF86" i="8" s="1"/>
  <c r="AH293" i="7"/>
  <c r="AG293" i="7" s="1"/>
  <c r="AI293" i="7"/>
  <c r="AI86" i="8" s="1"/>
  <c r="BA293" i="7"/>
  <c r="BA86" i="8" s="1"/>
  <c r="BC293" i="7"/>
  <c r="BB293" i="7" s="1"/>
  <c r="BD293" i="7"/>
  <c r="BD331" i="7" s="1"/>
  <c r="F294" i="7"/>
  <c r="I294" i="7"/>
  <c r="L294" i="7"/>
  <c r="O294" i="7"/>
  <c r="R294" i="7"/>
  <c r="U294" i="7"/>
  <c r="X294" i="7"/>
  <c r="AA294" i="7"/>
  <c r="AD294" i="7"/>
  <c r="AG294" i="7"/>
  <c r="AJ294" i="7"/>
  <c r="AM294" i="7"/>
  <c r="AP294" i="7"/>
  <c r="AS294" i="7"/>
  <c r="AV294" i="7"/>
  <c r="AY294" i="7"/>
  <c r="BB294" i="7"/>
  <c r="BE294" i="7"/>
  <c r="BH294" i="7"/>
  <c r="BK294" i="7"/>
  <c r="BN294" i="7"/>
  <c r="BQ294" i="7"/>
  <c r="BT294" i="7"/>
  <c r="BW294" i="7"/>
  <c r="BZ294" i="7"/>
  <c r="CC294" i="7"/>
  <c r="CF294" i="7"/>
  <c r="CI294" i="7"/>
  <c r="CL294" i="7"/>
  <c r="CO294" i="7"/>
  <c r="CR294" i="7"/>
  <c r="CU294" i="7"/>
  <c r="CX294" i="7"/>
  <c r="DA294" i="7"/>
  <c r="DD294" i="7"/>
  <c r="DG294" i="7"/>
  <c r="DJ294" i="7"/>
  <c r="DM294" i="7"/>
  <c r="F295" i="7"/>
  <c r="I295" i="7"/>
  <c r="L295" i="7"/>
  <c r="O295" i="7"/>
  <c r="R295" i="7"/>
  <c r="U295" i="7"/>
  <c r="X295" i="7"/>
  <c r="AA295" i="7"/>
  <c r="AD295" i="7"/>
  <c r="AG295" i="7"/>
  <c r="AJ295" i="7"/>
  <c r="AM295" i="7"/>
  <c r="AP295" i="7"/>
  <c r="AS295" i="7"/>
  <c r="AV295" i="7"/>
  <c r="AY295" i="7"/>
  <c r="BB295" i="7"/>
  <c r="BE295" i="7"/>
  <c r="BH295" i="7"/>
  <c r="BK295" i="7"/>
  <c r="BN295" i="7"/>
  <c r="BQ295" i="7"/>
  <c r="BT295" i="7"/>
  <c r="F296" i="7"/>
  <c r="I296" i="7"/>
  <c r="L296" i="7"/>
  <c r="O296" i="7"/>
  <c r="R296" i="7"/>
  <c r="U296" i="7"/>
  <c r="X296" i="7"/>
  <c r="AA296" i="7"/>
  <c r="AD296" i="7"/>
  <c r="AG296" i="7"/>
  <c r="AJ296" i="7"/>
  <c r="AM296" i="7"/>
  <c r="AP296" i="7"/>
  <c r="AS296" i="7"/>
  <c r="AV296" i="7"/>
  <c r="AY296" i="7"/>
  <c r="BB296" i="7"/>
  <c r="BE296" i="7"/>
  <c r="BH296" i="7"/>
  <c r="BK296" i="7"/>
  <c r="BN296" i="7"/>
  <c r="BQ296" i="7"/>
  <c r="BT296" i="7"/>
  <c r="F297" i="7"/>
  <c r="I297" i="7"/>
  <c r="L297" i="7"/>
  <c r="O297" i="7"/>
  <c r="R297" i="7"/>
  <c r="U297" i="7"/>
  <c r="X297" i="7"/>
  <c r="AA297" i="7"/>
  <c r="AD297" i="7"/>
  <c r="AG297" i="7"/>
  <c r="AJ297" i="7"/>
  <c r="AM297" i="7"/>
  <c r="AP297" i="7"/>
  <c r="AS297" i="7"/>
  <c r="AV297" i="7"/>
  <c r="AY297" i="7"/>
  <c r="BB297" i="7"/>
  <c r="BE297" i="7"/>
  <c r="BH297" i="7"/>
  <c r="BK297" i="7"/>
  <c r="BN297" i="7"/>
  <c r="BQ297" i="7"/>
  <c r="BT297" i="7"/>
  <c r="BW297" i="7"/>
  <c r="BZ297" i="7"/>
  <c r="CC297" i="7"/>
  <c r="CF297" i="7"/>
  <c r="DM297" i="7"/>
  <c r="F298" i="7"/>
  <c r="I298" i="7"/>
  <c r="L298" i="7"/>
  <c r="O298" i="7"/>
  <c r="R298" i="7"/>
  <c r="U298" i="7"/>
  <c r="X298" i="7"/>
  <c r="AA298" i="7"/>
  <c r="AD298" i="7"/>
  <c r="AG298" i="7"/>
  <c r="AJ298" i="7"/>
  <c r="AM298" i="7"/>
  <c r="AP298" i="7"/>
  <c r="AS298" i="7"/>
  <c r="AV298" i="7"/>
  <c r="AY298" i="7"/>
  <c r="BB298" i="7"/>
  <c r="BE298" i="7"/>
  <c r="BH298" i="7"/>
  <c r="BK298" i="7"/>
  <c r="BN298" i="7"/>
  <c r="BQ298" i="7"/>
  <c r="BT298" i="7"/>
  <c r="BW298" i="7"/>
  <c r="BZ298" i="7"/>
  <c r="CC298" i="7"/>
  <c r="CF298" i="7"/>
  <c r="CH298" i="7"/>
  <c r="CI298" i="7"/>
  <c r="F305" i="7"/>
  <c r="I305" i="7"/>
  <c r="L305" i="7"/>
  <c r="O305" i="7"/>
  <c r="R305" i="7"/>
  <c r="U305" i="7"/>
  <c r="X305" i="7"/>
  <c r="AA305" i="7"/>
  <c r="AD305" i="7"/>
  <c r="AG305" i="7"/>
  <c r="AJ305" i="7"/>
  <c r="AM305" i="7"/>
  <c r="AP305" i="7"/>
  <c r="AS305" i="7"/>
  <c r="AV305" i="7"/>
  <c r="AY305" i="7"/>
  <c r="BB305" i="7"/>
  <c r="BE305" i="7"/>
  <c r="BH305" i="7"/>
  <c r="BK305" i="7"/>
  <c r="BN305" i="7"/>
  <c r="BQ305" i="7"/>
  <c r="BT305" i="7"/>
  <c r="CI305" i="7"/>
  <c r="CL305" i="7"/>
  <c r="CO305" i="7"/>
  <c r="CR305" i="7"/>
  <c r="CX305" i="7"/>
  <c r="DA305" i="7"/>
  <c r="DD305" i="7"/>
  <c r="DG305" i="7"/>
  <c r="DJ305" i="7"/>
  <c r="F306" i="7"/>
  <c r="I306" i="7"/>
  <c r="L306" i="7"/>
  <c r="O306" i="7"/>
  <c r="R306" i="7"/>
  <c r="U306" i="7"/>
  <c r="X306" i="7"/>
  <c r="AA306" i="7"/>
  <c r="AD306" i="7"/>
  <c r="AG306" i="7"/>
  <c r="AJ306" i="7"/>
  <c r="AM306" i="7"/>
  <c r="AP306" i="7"/>
  <c r="AS306" i="7"/>
  <c r="AV306" i="7"/>
  <c r="AY306" i="7"/>
  <c r="BB306" i="7"/>
  <c r="BE306" i="7"/>
  <c r="BH306" i="7"/>
  <c r="BK306" i="7"/>
  <c r="BN306" i="7"/>
  <c r="BQ306" i="7"/>
  <c r="BT306" i="7"/>
  <c r="BW306" i="7"/>
  <c r="BZ306" i="7"/>
  <c r="CC306" i="7"/>
  <c r="CF306" i="7"/>
  <c r="CI306" i="7"/>
  <c r="CL306" i="7"/>
  <c r="CO306" i="7"/>
  <c r="CR306" i="7"/>
  <c r="CU306" i="7"/>
  <c r="CX306" i="7"/>
  <c r="DA306" i="7"/>
  <c r="DD306" i="7"/>
  <c r="DG306" i="7"/>
  <c r="DJ306" i="7"/>
  <c r="DM306" i="7"/>
  <c r="DP306" i="7"/>
  <c r="DS306" i="7"/>
  <c r="DY306" i="7"/>
  <c r="EB306" i="7"/>
  <c r="EE306" i="7"/>
  <c r="EH306" i="7"/>
  <c r="EK306" i="7"/>
  <c r="EN306" i="7"/>
  <c r="EQ306" i="7"/>
  <c r="E307" i="7"/>
  <c r="E315" i="7" s="1"/>
  <c r="G307" i="7"/>
  <c r="G315" i="7" s="1"/>
  <c r="H307" i="7"/>
  <c r="H315" i="7" s="1"/>
  <c r="J307" i="7"/>
  <c r="J315" i="7" s="1"/>
  <c r="K307" i="7"/>
  <c r="K315" i="7" s="1"/>
  <c r="M307" i="7"/>
  <c r="M315" i="7" s="1"/>
  <c r="N307" i="7"/>
  <c r="N315" i="7" s="1"/>
  <c r="P307" i="7"/>
  <c r="P315" i="7" s="1"/>
  <c r="Q307" i="7"/>
  <c r="Q315" i="7" s="1"/>
  <c r="S307" i="7"/>
  <c r="S315" i="7" s="1"/>
  <c r="T307" i="7"/>
  <c r="T315" i="7" s="1"/>
  <c r="V307" i="7"/>
  <c r="V315" i="7" s="1"/>
  <c r="W307" i="7"/>
  <c r="W315" i="7" s="1"/>
  <c r="Y307" i="7"/>
  <c r="Y315" i="7" s="1"/>
  <c r="Z307" i="7"/>
  <c r="Z315" i="7" s="1"/>
  <c r="AB307" i="7"/>
  <c r="AB315" i="7" s="1"/>
  <c r="AC307" i="7"/>
  <c r="AC315" i="7" s="1"/>
  <c r="AE307" i="7"/>
  <c r="AE315" i="7" s="1"/>
  <c r="AF307" i="7"/>
  <c r="AF315" i="7" s="1"/>
  <c r="AH307" i="7"/>
  <c r="AH315" i="7" s="1"/>
  <c r="AI307" i="7"/>
  <c r="AI315" i="7" s="1"/>
  <c r="AK307" i="7"/>
  <c r="AK315" i="7" s="1"/>
  <c r="AL307" i="7"/>
  <c r="AL315" i="7" s="1"/>
  <c r="AN307" i="7"/>
  <c r="AN315" i="7" s="1"/>
  <c r="AO307" i="7"/>
  <c r="AO315" i="7" s="1"/>
  <c r="AQ307" i="7"/>
  <c r="AQ315" i="7" s="1"/>
  <c r="AR307" i="7"/>
  <c r="AR315" i="7" s="1"/>
  <c r="F308" i="7"/>
  <c r="I308" i="7"/>
  <c r="L308" i="7"/>
  <c r="O308" i="7"/>
  <c r="R308" i="7"/>
  <c r="U308" i="7"/>
  <c r="X308" i="7"/>
  <c r="AA308" i="7"/>
  <c r="AD308" i="7"/>
  <c r="AG308" i="7"/>
  <c r="AJ308" i="7"/>
  <c r="AM308" i="7"/>
  <c r="AP308" i="7"/>
  <c r="AS308" i="7"/>
  <c r="AV308" i="7"/>
  <c r="AY308" i="7"/>
  <c r="BB308" i="7"/>
  <c r="BE308" i="7"/>
  <c r="BH308" i="7"/>
  <c r="BK308" i="7"/>
  <c r="BN308" i="7"/>
  <c r="BQ308" i="7"/>
  <c r="BT308" i="7"/>
  <c r="BW308" i="7"/>
  <c r="CC308" i="7"/>
  <c r="CF308" i="7"/>
  <c r="CI308" i="7"/>
  <c r="CL308" i="7"/>
  <c r="CO308" i="7"/>
  <c r="CR308" i="7"/>
  <c r="CU308" i="7"/>
  <c r="CX308" i="7"/>
  <c r="DA308" i="7"/>
  <c r="DD308" i="7"/>
  <c r="DG308" i="7"/>
  <c r="F309" i="7"/>
  <c r="I309" i="7"/>
  <c r="L309" i="7"/>
  <c r="O309" i="7"/>
  <c r="R309" i="7"/>
  <c r="U309" i="7"/>
  <c r="X309" i="7"/>
  <c r="AA309" i="7"/>
  <c r="AD309" i="7"/>
  <c r="AG309" i="7"/>
  <c r="AJ309" i="7"/>
  <c r="AM309" i="7"/>
  <c r="AP309" i="7"/>
  <c r="AS309" i="7"/>
  <c r="AV309" i="7"/>
  <c r="AY309" i="7"/>
  <c r="BB309" i="7"/>
  <c r="BE309" i="7"/>
  <c r="BH309" i="7"/>
  <c r="BK309" i="7"/>
  <c r="BN309" i="7"/>
  <c r="BQ309" i="7"/>
  <c r="BT309" i="7"/>
  <c r="BW309" i="7"/>
  <c r="BZ309" i="7"/>
  <c r="CC309" i="7"/>
  <c r="CF309" i="7"/>
  <c r="CI309" i="7"/>
  <c r="CL309" i="7"/>
  <c r="CO309" i="7"/>
  <c r="CR309" i="7"/>
  <c r="CU309" i="7"/>
  <c r="CX309" i="7"/>
  <c r="DA309" i="7"/>
  <c r="DD309" i="7"/>
  <c r="DJ309" i="7"/>
  <c r="DM309" i="7"/>
  <c r="DP309" i="7"/>
  <c r="DS309" i="7"/>
  <c r="DY309" i="7"/>
  <c r="EB309" i="7"/>
  <c r="EE309" i="7"/>
  <c r="EH309" i="7"/>
  <c r="EK309" i="7"/>
  <c r="EN309" i="7"/>
  <c r="EQ309" i="7"/>
  <c r="F310" i="7"/>
  <c r="I310" i="7"/>
  <c r="L310" i="7"/>
  <c r="O310" i="7"/>
  <c r="R310" i="7"/>
  <c r="U310" i="7"/>
  <c r="X310" i="7"/>
  <c r="AA310" i="7"/>
  <c r="AD310" i="7"/>
  <c r="AG310" i="7"/>
  <c r="AJ310" i="7"/>
  <c r="AM310" i="7"/>
  <c r="AP310" i="7"/>
  <c r="AS310" i="7"/>
  <c r="AV310" i="7"/>
  <c r="AY310" i="7"/>
  <c r="BB310" i="7"/>
  <c r="BE310" i="7"/>
  <c r="BH310" i="7"/>
  <c r="BK310" i="7"/>
  <c r="BN310" i="7"/>
  <c r="BQ310" i="7"/>
  <c r="BT310" i="7"/>
  <c r="BW310" i="7"/>
  <c r="BZ310" i="7"/>
  <c r="CC310" i="7"/>
  <c r="CF310" i="7"/>
  <c r="CI310" i="7"/>
  <c r="CL310" i="7"/>
  <c r="CO310" i="7"/>
  <c r="CR310" i="7"/>
  <c r="CU310" i="7"/>
  <c r="CX310" i="7"/>
  <c r="DA310" i="7"/>
  <c r="DD310" i="7"/>
  <c r="DG310" i="7"/>
  <c r="DJ310" i="7"/>
  <c r="DM310" i="7"/>
  <c r="DP310" i="7"/>
  <c r="DS310" i="7"/>
  <c r="DY310" i="7"/>
  <c r="EB310" i="7"/>
  <c r="EE310" i="7"/>
  <c r="EH310" i="7"/>
  <c r="EK310" i="7"/>
  <c r="EN310" i="7"/>
  <c r="EQ310" i="7"/>
  <c r="F311" i="7"/>
  <c r="I311" i="7"/>
  <c r="L311" i="7"/>
  <c r="O311" i="7"/>
  <c r="R311" i="7"/>
  <c r="U311" i="7"/>
  <c r="X311" i="7"/>
  <c r="AA311" i="7"/>
  <c r="AD311" i="7"/>
  <c r="AG311" i="7"/>
  <c r="AJ311" i="7"/>
  <c r="AM311" i="7"/>
  <c r="AP311" i="7"/>
  <c r="AS311" i="7"/>
  <c r="AV311" i="7"/>
  <c r="AY311" i="7"/>
  <c r="BB311" i="7"/>
  <c r="BE311" i="7"/>
  <c r="BH311" i="7"/>
  <c r="BK311" i="7"/>
  <c r="BN311" i="7"/>
  <c r="BQ311" i="7"/>
  <c r="BT311" i="7"/>
  <c r="BW311" i="7"/>
  <c r="BZ311" i="7"/>
  <c r="CC311" i="7"/>
  <c r="CF311" i="7"/>
  <c r="CI311" i="7"/>
  <c r="CL311" i="7"/>
  <c r="CO311" i="7"/>
  <c r="CR311" i="7"/>
  <c r="CU311" i="7"/>
  <c r="CX311" i="7"/>
  <c r="DA311" i="7"/>
  <c r="DD311" i="7"/>
  <c r="DG311" i="7"/>
  <c r="DJ311" i="7"/>
  <c r="DM311" i="7"/>
  <c r="DP311" i="7"/>
  <c r="DS311" i="7"/>
  <c r="DY311" i="7"/>
  <c r="EB311" i="7"/>
  <c r="EE311" i="7"/>
  <c r="EH311" i="7"/>
  <c r="EK311" i="7"/>
  <c r="EN311" i="7"/>
  <c r="EQ311" i="7"/>
  <c r="F312" i="7"/>
  <c r="I312" i="7"/>
  <c r="L312" i="7"/>
  <c r="O312" i="7"/>
  <c r="R312" i="7"/>
  <c r="U312" i="7"/>
  <c r="X312" i="7"/>
  <c r="AA312" i="7"/>
  <c r="AD312" i="7"/>
  <c r="AG312" i="7"/>
  <c r="AJ312" i="7"/>
  <c r="AM312" i="7"/>
  <c r="AP312" i="7"/>
  <c r="AS312" i="7"/>
  <c r="AV312" i="7"/>
  <c r="AY312" i="7"/>
  <c r="BB312" i="7"/>
  <c r="BE312" i="7"/>
  <c r="BH312" i="7"/>
  <c r="BK312" i="7"/>
  <c r="BN312" i="7"/>
  <c r="BQ312" i="7"/>
  <c r="BT312" i="7"/>
  <c r="BW312" i="7"/>
  <c r="BZ312" i="7"/>
  <c r="CC312" i="7"/>
  <c r="CF312" i="7"/>
  <c r="CI312" i="7"/>
  <c r="CL312" i="7"/>
  <c r="CO312" i="7"/>
  <c r="CR312" i="7"/>
  <c r="CU312" i="7"/>
  <c r="CX312" i="7"/>
  <c r="DA312" i="7"/>
  <c r="DD312" i="7"/>
  <c r="DG312" i="7"/>
  <c r="DJ312" i="7"/>
  <c r="DM312" i="7"/>
  <c r="DP312" i="7"/>
  <c r="DS312" i="7"/>
  <c r="DY312" i="7"/>
  <c r="EB312" i="7"/>
  <c r="EE312" i="7"/>
  <c r="EH312" i="7"/>
  <c r="EK312" i="7"/>
  <c r="EN312" i="7"/>
  <c r="EQ312" i="7"/>
  <c r="F313" i="7"/>
  <c r="I313" i="7"/>
  <c r="L313" i="7"/>
  <c r="O313" i="7"/>
  <c r="R313" i="7"/>
  <c r="U313" i="7"/>
  <c r="X313" i="7"/>
  <c r="AA313" i="7"/>
  <c r="AD313" i="7"/>
  <c r="AG313" i="7"/>
  <c r="AJ313" i="7"/>
  <c r="AM313" i="7"/>
  <c r="AP313" i="7"/>
  <c r="AS313" i="7"/>
  <c r="AV313" i="7"/>
  <c r="AY313" i="7"/>
  <c r="BB313" i="7"/>
  <c r="BE313" i="7"/>
  <c r="BH313" i="7"/>
  <c r="BK313" i="7"/>
  <c r="BN313" i="7"/>
  <c r="BQ313" i="7"/>
  <c r="BT313" i="7"/>
  <c r="BW313" i="7"/>
  <c r="BZ313" i="7"/>
  <c r="CC313" i="7"/>
  <c r="CF313" i="7"/>
  <c r="CI313" i="7"/>
  <c r="CL313" i="7"/>
  <c r="CO313" i="7"/>
  <c r="CR313" i="7"/>
  <c r="CU313" i="7"/>
  <c r="CX313" i="7"/>
  <c r="DA313" i="7"/>
  <c r="DD313" i="7"/>
  <c r="DG313" i="7"/>
  <c r="DJ313" i="7"/>
  <c r="DM313" i="7"/>
  <c r="DP313" i="7"/>
  <c r="DS313" i="7"/>
  <c r="DY313" i="7"/>
  <c r="EB313" i="7"/>
  <c r="EE313" i="7"/>
  <c r="EH313" i="7"/>
  <c r="EK313" i="7"/>
  <c r="EN313" i="7"/>
  <c r="EQ313" i="7"/>
  <c r="F314" i="7"/>
  <c r="I314" i="7"/>
  <c r="L314" i="7"/>
  <c r="O314" i="7"/>
  <c r="R314" i="7"/>
  <c r="U314" i="7"/>
  <c r="X314" i="7"/>
  <c r="AA314" i="7"/>
  <c r="AD314" i="7"/>
  <c r="AG314" i="7"/>
  <c r="AJ314" i="7"/>
  <c r="AM314" i="7"/>
  <c r="AP314" i="7"/>
  <c r="AS314" i="7"/>
  <c r="AV314" i="7"/>
  <c r="AY314" i="7"/>
  <c r="BB314" i="7"/>
  <c r="BE314" i="7"/>
  <c r="BH314" i="7"/>
  <c r="BK314" i="7"/>
  <c r="BN314" i="7"/>
  <c r="BQ314" i="7"/>
  <c r="BT314" i="7"/>
  <c r="BW314" i="7"/>
  <c r="BZ314" i="7"/>
  <c r="CC314" i="7"/>
  <c r="CF314" i="7"/>
  <c r="CI314" i="7"/>
  <c r="CL314" i="7"/>
  <c r="CO314" i="7"/>
  <c r="CR314" i="7"/>
  <c r="CU314" i="7"/>
  <c r="CX314" i="7"/>
  <c r="DA314" i="7"/>
  <c r="DD314" i="7"/>
  <c r="DG314" i="7"/>
  <c r="DJ314" i="7"/>
  <c r="E316" i="7"/>
  <c r="G316" i="7"/>
  <c r="F316" i="7" s="1"/>
  <c r="H316" i="7"/>
  <c r="J316" i="7"/>
  <c r="I316" i="7" s="1"/>
  <c r="K316" i="7"/>
  <c r="M316" i="7"/>
  <c r="L316" i="7" s="1"/>
  <c r="N316" i="7"/>
  <c r="P316" i="7"/>
  <c r="O316" i="7" s="1"/>
  <c r="Q316" i="7"/>
  <c r="S316" i="7"/>
  <c r="R316" i="7" s="1"/>
  <c r="T316" i="7"/>
  <c r="V316" i="7"/>
  <c r="U316" i="7" s="1"/>
  <c r="W316" i="7"/>
  <c r="Y316" i="7"/>
  <c r="X316" i="7" s="1"/>
  <c r="Z316" i="7"/>
  <c r="AB316" i="7"/>
  <c r="AA316" i="7" s="1"/>
  <c r="AC316" i="7"/>
  <c r="AE316" i="7"/>
  <c r="AD316" i="7" s="1"/>
  <c r="AF316" i="7"/>
  <c r="AH316" i="7"/>
  <c r="AG316" i="7" s="1"/>
  <c r="AI316" i="7"/>
  <c r="AK316" i="7"/>
  <c r="AJ316" i="7" s="1"/>
  <c r="AL316" i="7"/>
  <c r="AN316" i="7"/>
  <c r="AM316" i="7" s="1"/>
  <c r="AO316" i="7"/>
  <c r="AQ316" i="7"/>
  <c r="AP316" i="7" s="1"/>
  <c r="AR316" i="7"/>
  <c r="AT316" i="7"/>
  <c r="AU316" i="7"/>
  <c r="AW316" i="7"/>
  <c r="AX316" i="7"/>
  <c r="AZ316" i="7"/>
  <c r="AY316" i="7" s="1"/>
  <c r="BD316" i="7"/>
  <c r="BF316" i="7"/>
  <c r="BE316" i="7" s="1"/>
  <c r="BX316" i="7"/>
  <c r="BW316" i="7" s="1"/>
  <c r="CA316" i="7"/>
  <c r="BZ316" i="7" s="1"/>
  <c r="CD316" i="7"/>
  <c r="CC316" i="7" s="1"/>
  <c r="CG316" i="7"/>
  <c r="CH316" i="7"/>
  <c r="CK316" i="7"/>
  <c r="CM316" i="7"/>
  <c r="CL316" i="7" s="1"/>
  <c r="CN316" i="7"/>
  <c r="CP316" i="7"/>
  <c r="W57" i="9" s="1"/>
  <c r="CX316" i="7"/>
  <c r="DA316" i="7"/>
  <c r="DC316" i="7"/>
  <c r="DE316" i="7"/>
  <c r="AB57" i="9" s="1"/>
  <c r="DF316" i="7"/>
  <c r="DH316" i="7"/>
  <c r="AC57" i="9" s="1"/>
  <c r="DI316" i="7"/>
  <c r="DK316" i="7"/>
  <c r="AD57" i="9" s="1"/>
  <c r="E321" i="7"/>
  <c r="F321" i="7"/>
  <c r="G321" i="7"/>
  <c r="H321" i="7"/>
  <c r="I321" i="7"/>
  <c r="J321" i="7"/>
  <c r="K321" i="7"/>
  <c r="L321" i="7"/>
  <c r="M321" i="7"/>
  <c r="N321" i="7"/>
  <c r="O321" i="7"/>
  <c r="P321" i="7"/>
  <c r="Q321" i="7"/>
  <c r="R321" i="7"/>
  <c r="S321" i="7"/>
  <c r="T321" i="7"/>
  <c r="U321" i="7"/>
  <c r="V321" i="7"/>
  <c r="W321" i="7"/>
  <c r="X321" i="7"/>
  <c r="Y321" i="7"/>
  <c r="Z321" i="7"/>
  <c r="AA321" i="7"/>
  <c r="AB321" i="7"/>
  <c r="AC321" i="7"/>
  <c r="AD321" i="7"/>
  <c r="AE321" i="7"/>
  <c r="AF321" i="7"/>
  <c r="AG321" i="7"/>
  <c r="AH321" i="7"/>
  <c r="AI321" i="7"/>
  <c r="AJ321" i="7"/>
  <c r="AK321" i="7"/>
  <c r="AL321" i="7"/>
  <c r="E340" i="7"/>
  <c r="E200" i="8" s="1"/>
  <c r="F340" i="7"/>
  <c r="F200" i="8" s="1"/>
  <c r="G340" i="7"/>
  <c r="H340" i="7"/>
  <c r="I340" i="7"/>
  <c r="J340" i="7"/>
  <c r="K340" i="7"/>
  <c r="L340" i="7"/>
  <c r="M340" i="7"/>
  <c r="N340" i="7"/>
  <c r="O340" i="7"/>
  <c r="P340" i="7"/>
  <c r="Q340" i="7"/>
  <c r="R340" i="7"/>
  <c r="S340" i="7"/>
  <c r="T340" i="7"/>
  <c r="U340" i="7"/>
  <c r="V340" i="7"/>
  <c r="W340" i="7"/>
  <c r="X340" i="7"/>
  <c r="Y340" i="7"/>
  <c r="Z340" i="7"/>
  <c r="AA340" i="7"/>
  <c r="AB340" i="7"/>
  <c r="AC340" i="7"/>
  <c r="AD340" i="7"/>
  <c r="AE340" i="7"/>
  <c r="AF340" i="7"/>
  <c r="AG340" i="7"/>
  <c r="AH340" i="7"/>
  <c r="AI340" i="7"/>
  <c r="AJ340" i="7"/>
  <c r="AK340" i="7"/>
  <c r="AL340" i="7"/>
  <c r="F342" i="7"/>
  <c r="I342" i="7"/>
  <c r="L342" i="7"/>
  <c r="O342" i="7"/>
  <c r="R342" i="7"/>
  <c r="U342" i="7"/>
  <c r="X342" i="7"/>
  <c r="AA342" i="7"/>
  <c r="AD342" i="7"/>
  <c r="AG342" i="7"/>
  <c r="AJ342" i="7"/>
  <c r="AM342" i="7"/>
  <c r="AP342" i="7"/>
  <c r="AS342" i="7"/>
  <c r="AV342" i="7"/>
  <c r="AY342" i="7"/>
  <c r="BH342" i="7"/>
  <c r="E201" i="8"/>
  <c r="F201" i="8"/>
  <c r="H201" i="8"/>
  <c r="I201" i="8"/>
  <c r="K201" i="8"/>
  <c r="L201" i="8"/>
  <c r="N201" i="8"/>
  <c r="O201" i="8"/>
  <c r="Q201" i="8"/>
  <c r="R201" i="8"/>
  <c r="T201" i="8"/>
  <c r="U201" i="8"/>
  <c r="W201" i="8"/>
  <c r="X201" i="8"/>
  <c r="Z201" i="8"/>
  <c r="AA201" i="8"/>
  <c r="AC201" i="8"/>
  <c r="AD201" i="8"/>
  <c r="AF201" i="8"/>
  <c r="AG201" i="8"/>
  <c r="AI201" i="8"/>
  <c r="AJ201" i="8"/>
  <c r="AL201" i="8"/>
  <c r="AM201" i="8"/>
  <c r="AO201" i="8"/>
  <c r="AP201" i="8"/>
  <c r="AR201" i="8"/>
  <c r="AS201" i="8"/>
  <c r="AU201" i="8"/>
  <c r="AV201" i="8"/>
  <c r="AX201" i="8"/>
  <c r="AY201" i="8"/>
  <c r="AZ201" i="8"/>
  <c r="BD347" i="7"/>
  <c r="BD348" i="7" s="1"/>
  <c r="BE347" i="7"/>
  <c r="BG347" i="7"/>
  <c r="BH347" i="7"/>
  <c r="BJ347" i="7"/>
  <c r="BK347" i="7"/>
  <c r="BM347" i="7"/>
  <c r="BN347" i="7"/>
  <c r="BP347" i="7"/>
  <c r="BQ347" i="7"/>
  <c r="BS347" i="7"/>
  <c r="BT347" i="7"/>
  <c r="BV347" i="7"/>
  <c r="BW347" i="7"/>
  <c r="BY347" i="7"/>
  <c r="BZ347" i="7"/>
  <c r="CB347" i="7"/>
  <c r="CC347" i="7"/>
  <c r="CE347" i="7"/>
  <c r="CF347" i="7"/>
  <c r="CH347" i="7"/>
  <c r="CI347" i="7"/>
  <c r="CK347" i="7"/>
  <c r="CL347" i="7"/>
  <c r="CN347" i="7"/>
  <c r="CO347" i="7"/>
  <c r="CQ347" i="7"/>
  <c r="CR347" i="7"/>
  <c r="CT347" i="7"/>
  <c r="CU347" i="7"/>
  <c r="CW347" i="7"/>
  <c r="CX347" i="7"/>
  <c r="CZ347" i="7"/>
  <c r="DA347" i="7"/>
  <c r="DC347" i="7"/>
  <c r="DD347" i="7"/>
  <c r="DF347" i="7"/>
  <c r="DG347" i="7"/>
  <c r="DI347" i="7"/>
  <c r="DJ347" i="7"/>
  <c r="EQ347" i="7"/>
  <c r="E348" i="7"/>
  <c r="E203" i="8" s="1"/>
  <c r="F348" i="7"/>
  <c r="F203" i="8" s="1"/>
  <c r="H348" i="7"/>
  <c r="H203" i="8" s="1"/>
  <c r="I348" i="7"/>
  <c r="I203" i="8" s="1"/>
  <c r="K348" i="7"/>
  <c r="K203" i="8" s="1"/>
  <c r="L348" i="7"/>
  <c r="L203" i="8" s="1"/>
  <c r="N348" i="7"/>
  <c r="N203" i="8" s="1"/>
  <c r="O348" i="7"/>
  <c r="O203" i="8" s="1"/>
  <c r="Q348" i="7"/>
  <c r="Q203" i="8" s="1"/>
  <c r="R348" i="7"/>
  <c r="R203" i="8" s="1"/>
  <c r="T348" i="7"/>
  <c r="T203" i="8" s="1"/>
  <c r="U348" i="7"/>
  <c r="U203" i="8" s="1"/>
  <c r="W348" i="7"/>
  <c r="W203" i="8" s="1"/>
  <c r="X348" i="7"/>
  <c r="X203" i="8" s="1"/>
  <c r="Z348" i="7"/>
  <c r="AA348" i="7"/>
  <c r="AA203" i="8" s="1"/>
  <c r="AC348" i="7"/>
  <c r="AC203" i="8" s="1"/>
  <c r="AD348" i="7"/>
  <c r="AD203" i="8" s="1"/>
  <c r="AF348" i="7"/>
  <c r="AG348" i="7"/>
  <c r="AG203" i="8" s="1"/>
  <c r="AI348" i="7"/>
  <c r="AI203" i="8" s="1"/>
  <c r="AJ348" i="7"/>
  <c r="AJ203" i="8" s="1"/>
  <c r="AL348" i="7"/>
  <c r="AL203" i="8" s="1"/>
  <c r="AM348" i="7"/>
  <c r="AM203" i="8" s="1"/>
  <c r="AO348" i="7"/>
  <c r="AO203" i="8" s="1"/>
  <c r="AP348" i="7"/>
  <c r="AP203" i="8" s="1"/>
  <c r="AR348" i="7"/>
  <c r="AR203" i="8" s="1"/>
  <c r="AS348" i="7"/>
  <c r="AS203" i="8" s="1"/>
  <c r="AU348" i="7"/>
  <c r="AU203" i="8" s="1"/>
  <c r="AV348" i="7"/>
  <c r="AV203" i="8" s="1"/>
  <c r="AX348" i="7"/>
  <c r="AX203" i="8" s="1"/>
  <c r="AY348" i="7"/>
  <c r="AY203" i="8" s="1"/>
  <c r="BA348" i="7"/>
  <c r="BB348" i="7"/>
  <c r="BE348" i="7"/>
  <c r="BI348" i="7"/>
  <c r="BI203" i="8" s="1"/>
  <c r="BJ348" i="7"/>
  <c r="BK348" i="7"/>
  <c r="BM348" i="7"/>
  <c r="BN348" i="7"/>
  <c r="BP348" i="7"/>
  <c r="BQ348" i="7"/>
  <c r="BS348" i="7"/>
  <c r="BT348" i="7"/>
  <c r="BV348" i="7"/>
  <c r="BW348" i="7"/>
  <c r="BY348" i="7"/>
  <c r="BZ348" i="7"/>
  <c r="CB348" i="7"/>
  <c r="CC348" i="7"/>
  <c r="CE348" i="7"/>
  <c r="CF348" i="7"/>
  <c r="CH348" i="7"/>
  <c r="CI348" i="7"/>
  <c r="CK348" i="7"/>
  <c r="CL348" i="7"/>
  <c r="CN348" i="7"/>
  <c r="CO348" i="7"/>
  <c r="CQ348" i="7"/>
  <c r="CR348" i="7"/>
  <c r="CT348" i="7"/>
  <c r="CU348" i="7"/>
  <c r="CW348" i="7"/>
  <c r="CX348" i="7"/>
  <c r="CZ348" i="7"/>
  <c r="DA348" i="7"/>
  <c r="DC348" i="7"/>
  <c r="DD348" i="7"/>
  <c r="DF348" i="7"/>
  <c r="DG348" i="7"/>
  <c r="DI348" i="7"/>
  <c r="BD350" i="7"/>
  <c r="BD208" i="8" s="1"/>
  <c r="BE350" i="7"/>
  <c r="BE208" i="8" s="1"/>
  <c r="E351" i="7"/>
  <c r="E204" i="8" s="1"/>
  <c r="F351" i="7"/>
  <c r="F204" i="8" s="1"/>
  <c r="H351" i="7"/>
  <c r="H204" i="8" s="1"/>
  <c r="I351" i="7"/>
  <c r="I204" i="8" s="1"/>
  <c r="K351" i="7"/>
  <c r="K204" i="8" s="1"/>
  <c r="L351" i="7"/>
  <c r="L204" i="8" s="1"/>
  <c r="N351" i="7"/>
  <c r="N204" i="8" s="1"/>
  <c r="O351" i="7"/>
  <c r="O204" i="8" s="1"/>
  <c r="Q351" i="7"/>
  <c r="Q204" i="8" s="1"/>
  <c r="R351" i="7"/>
  <c r="R204" i="8" s="1"/>
  <c r="T351" i="7"/>
  <c r="T204" i="8" s="1"/>
  <c r="U351" i="7"/>
  <c r="U204" i="8" s="1"/>
  <c r="W351" i="7"/>
  <c r="W204" i="8" s="1"/>
  <c r="X351" i="7"/>
  <c r="X204" i="8" s="1"/>
  <c r="Z351" i="7"/>
  <c r="Z204" i="8" s="1"/>
  <c r="AA351" i="7"/>
  <c r="AA204" i="8" s="1"/>
  <c r="AC351" i="7"/>
  <c r="AC204" i="8" s="1"/>
  <c r="AD351" i="7"/>
  <c r="AD204" i="8" s="1"/>
  <c r="AF351" i="7"/>
  <c r="AF204" i="8" s="1"/>
  <c r="AG351" i="7"/>
  <c r="AG204" i="8" s="1"/>
  <c r="AI351" i="7"/>
  <c r="AI204" i="8" s="1"/>
  <c r="AJ351" i="7"/>
  <c r="AJ204" i="8" s="1"/>
  <c r="AL351" i="7"/>
  <c r="AL204" i="8" s="1"/>
  <c r="AM351" i="7"/>
  <c r="AM204" i="8" s="1"/>
  <c r="AO351" i="7"/>
  <c r="AO204" i="8" s="1"/>
  <c r="AP351" i="7"/>
  <c r="AP204" i="8" s="1"/>
  <c r="AR351" i="7"/>
  <c r="AR204" i="8" s="1"/>
  <c r="AS351" i="7"/>
  <c r="AS204" i="8" s="1"/>
  <c r="AU351" i="7"/>
  <c r="AU204" i="8" s="1"/>
  <c r="AV351" i="7"/>
  <c r="AV204" i="8" s="1"/>
  <c r="AX351" i="7"/>
  <c r="BE351" i="7"/>
  <c r="BG351" i="7"/>
  <c r="BH351" i="7"/>
  <c r="BJ351" i="7"/>
  <c r="BK351" i="7"/>
  <c r="BM351" i="7"/>
  <c r="BN351" i="7"/>
  <c r="BP351" i="7"/>
  <c r="BQ351" i="7"/>
  <c r="BS351" i="7"/>
  <c r="BT351" i="7"/>
  <c r="BV351" i="7"/>
  <c r="BW351" i="7"/>
  <c r="BY351" i="7"/>
  <c r="BZ351" i="7"/>
  <c r="CB351" i="7"/>
  <c r="CC351" i="7"/>
  <c r="CE351" i="7"/>
  <c r="CF351" i="7"/>
  <c r="CH351" i="7"/>
  <c r="CI351" i="7"/>
  <c r="CK351" i="7"/>
  <c r="CL351" i="7"/>
  <c r="CN351" i="7"/>
  <c r="CO351" i="7"/>
  <c r="CQ351" i="7"/>
  <c r="CR351" i="7"/>
  <c r="CT351" i="7"/>
  <c r="CU351" i="7"/>
  <c r="CW351" i="7"/>
  <c r="CX351" i="7"/>
  <c r="CZ351" i="7"/>
  <c r="DA351" i="7"/>
  <c r="DC351" i="7"/>
  <c r="DD351" i="7"/>
  <c r="DF351" i="7"/>
  <c r="DG351" i="7"/>
  <c r="DI351" i="7"/>
  <c r="DJ351" i="7"/>
  <c r="E352" i="7"/>
  <c r="F354" i="7" s="1"/>
  <c r="F352" i="7"/>
  <c r="H354" i="7" s="1"/>
  <c r="H352" i="7"/>
  <c r="I354" i="7" s="1"/>
  <c r="I352" i="7"/>
  <c r="K354" i="7" s="1"/>
  <c r="K352" i="7"/>
  <c r="L354" i="7" s="1"/>
  <c r="L352" i="7"/>
  <c r="N354" i="7" s="1"/>
  <c r="N352" i="7"/>
  <c r="O354" i="7" s="1"/>
  <c r="O352" i="7"/>
  <c r="Q354" i="7" s="1"/>
  <c r="Q352" i="7"/>
  <c r="R354" i="7" s="1"/>
  <c r="R352" i="7"/>
  <c r="T354" i="7" s="1"/>
  <c r="T352" i="7"/>
  <c r="U354" i="7" s="1"/>
  <c r="U352" i="7"/>
  <c r="W354" i="7" s="1"/>
  <c r="W352" i="7"/>
  <c r="X354" i="7" s="1"/>
  <c r="X352" i="7"/>
  <c r="Z354" i="7" s="1"/>
  <c r="Z352" i="7"/>
  <c r="AA354" i="7" s="1"/>
  <c r="AA352" i="7"/>
  <c r="AC354" i="7" s="1"/>
  <c r="AC352" i="7"/>
  <c r="AD354" i="7" s="1"/>
  <c r="AD352" i="7"/>
  <c r="AF354" i="7" s="1"/>
  <c r="AF352" i="7"/>
  <c r="AG354" i="7" s="1"/>
  <c r="AG352" i="7"/>
  <c r="AI354" i="7" s="1"/>
  <c r="AI352" i="7"/>
  <c r="AJ354" i="7" s="1"/>
  <c r="AJ352" i="7"/>
  <c r="AL354" i="7" s="1"/>
  <c r="AL352" i="7"/>
  <c r="AM354" i="7" s="1"/>
  <c r="AM352" i="7"/>
  <c r="AO354" i="7" s="1"/>
  <c r="AO352" i="7"/>
  <c r="AP354" i="7" s="1"/>
  <c r="AP352" i="7"/>
  <c r="AR354" i="7" s="1"/>
  <c r="AR352" i="7"/>
  <c r="AS354" i="7" s="1"/>
  <c r="AS352" i="7"/>
  <c r="AU354" i="7" s="1"/>
  <c r="AU352" i="7"/>
  <c r="AV354" i="7" s="1"/>
  <c r="AV352" i="7"/>
  <c r="AX354" i="7" s="1"/>
  <c r="AX352" i="7"/>
  <c r="AY354" i="7" s="1"/>
  <c r="BE352" i="7"/>
  <c r="BG352" i="7"/>
  <c r="BH352" i="7"/>
  <c r="BJ352" i="7"/>
  <c r="BK352" i="7"/>
  <c r="BM352" i="7"/>
  <c r="BN352" i="7"/>
  <c r="BP352" i="7"/>
  <c r="BQ352" i="7"/>
  <c r="BS352" i="7"/>
  <c r="BT352" i="7"/>
  <c r="BV352" i="7"/>
  <c r="BW352" i="7"/>
  <c r="BY352" i="7"/>
  <c r="BZ352" i="7"/>
  <c r="CB352" i="7"/>
  <c r="CC352" i="7"/>
  <c r="CE352" i="7"/>
  <c r="CF352" i="7"/>
  <c r="CH352" i="7"/>
  <c r="CI352" i="7"/>
  <c r="CK352" i="7"/>
  <c r="CL352" i="7"/>
  <c r="CN352" i="7"/>
  <c r="CO352" i="7"/>
  <c r="CQ352" i="7"/>
  <c r="CR352" i="7"/>
  <c r="CT352" i="7"/>
  <c r="CU352" i="7"/>
  <c r="CW352" i="7"/>
  <c r="CX352" i="7"/>
  <c r="CZ352" i="7"/>
  <c r="DA352" i="7"/>
  <c r="DC352" i="7"/>
  <c r="DD352" i="7"/>
  <c r="DF352" i="7"/>
  <c r="DG352" i="7"/>
  <c r="BD353" i="7"/>
  <c r="BE353" i="7"/>
  <c r="BG353" i="7"/>
  <c r="BH353" i="7"/>
  <c r="BJ353" i="7"/>
  <c r="BK353" i="7"/>
  <c r="BM353" i="7"/>
  <c r="BN353" i="7"/>
  <c r="BP353" i="7"/>
  <c r="BQ353" i="7"/>
  <c r="BS353" i="7"/>
  <c r="BT353" i="7"/>
  <c r="BV353" i="7"/>
  <c r="BW353" i="7"/>
  <c r="BY353" i="7"/>
  <c r="BZ353" i="7"/>
  <c r="CB353" i="7"/>
  <c r="CC353" i="7"/>
  <c r="CE353" i="7"/>
  <c r="CF353" i="7"/>
  <c r="CH353" i="7"/>
  <c r="CI353" i="7"/>
  <c r="CK353" i="7"/>
  <c r="CL353" i="7"/>
  <c r="CN353" i="7"/>
  <c r="CO353" i="7"/>
  <c r="CQ353" i="7"/>
  <c r="CR353" i="7"/>
  <c r="CT353" i="7"/>
  <c r="CU353" i="7"/>
  <c r="CW353" i="7"/>
  <c r="CX353" i="7"/>
  <c r="CZ353" i="7"/>
  <c r="DA353" i="7"/>
  <c r="DC353" i="7"/>
  <c r="DD353" i="7"/>
  <c r="DF353" i="7"/>
  <c r="DG353" i="7"/>
  <c r="EQ353" i="7"/>
  <c r="E354" i="7"/>
  <c r="E355" i="7" s="1"/>
  <c r="BA354" i="7"/>
  <c r="BB354" i="7"/>
  <c r="BD354" i="7"/>
  <c r="F360" i="7"/>
  <c r="F207" i="8" s="1"/>
  <c r="I360" i="7"/>
  <c r="I207" i="8" s="1"/>
  <c r="L360" i="7"/>
  <c r="L207" i="8" s="1"/>
  <c r="O360" i="7"/>
  <c r="O207" i="8" s="1"/>
  <c r="R360" i="7"/>
  <c r="R207" i="8" s="1"/>
  <c r="U360" i="7"/>
  <c r="U207" i="8" s="1"/>
  <c r="X360" i="7"/>
  <c r="X207" i="8" s="1"/>
  <c r="AA360" i="7"/>
  <c r="AA207" i="8" s="1"/>
  <c r="AD360" i="7"/>
  <c r="AD207" i="8" s="1"/>
  <c r="AG360" i="7"/>
  <c r="AG207" i="8" s="1"/>
  <c r="AJ360" i="7"/>
  <c r="AJ207" i="8" s="1"/>
  <c r="AM360" i="7"/>
  <c r="AM207" i="8" s="1"/>
  <c r="AP360" i="7"/>
  <c r="AP207" i="8" s="1"/>
  <c r="AS360" i="7"/>
  <c r="AS207" i="8" s="1"/>
  <c r="AV360" i="7"/>
  <c r="AV207" i="8" s="1"/>
  <c r="BA360" i="7"/>
  <c r="BC360" i="7"/>
  <c r="BB360" i="7" s="1"/>
  <c r="BD360" i="7"/>
  <c r="BF360" i="7"/>
  <c r="BE360" i="7" s="1"/>
  <c r="BG360" i="7"/>
  <c r="BI360" i="7"/>
  <c r="BH360" i="7" s="1"/>
  <c r="BJ360" i="7"/>
  <c r="BL360" i="7"/>
  <c r="BK360" i="7" s="1"/>
  <c r="BM360" i="7"/>
  <c r="BO360" i="7"/>
  <c r="BN360" i="7" s="1"/>
  <c r="BP360" i="7"/>
  <c r="BR360" i="7"/>
  <c r="BQ360" i="7" s="1"/>
  <c r="BS360" i="7"/>
  <c r="BU360" i="7"/>
  <c r="BT360" i="7" s="1"/>
  <c r="BV360" i="7"/>
  <c r="BX360" i="7"/>
  <c r="BW360" i="7" s="1"/>
  <c r="BY360" i="7"/>
  <c r="CA360" i="7"/>
  <c r="BZ360" i="7" s="1"/>
  <c r="CB360" i="7"/>
  <c r="CD360" i="7"/>
  <c r="CC360" i="7" s="1"/>
  <c r="CE360" i="7"/>
  <c r="CG360" i="7"/>
  <c r="CF360" i="7" s="1"/>
  <c r="CH360" i="7"/>
  <c r="CJ360" i="7"/>
  <c r="CI360" i="7" s="1"/>
  <c r="CK360" i="7"/>
  <c r="CM360" i="7"/>
  <c r="CL360" i="7" s="1"/>
  <c r="CN360" i="7"/>
  <c r="CP360" i="7"/>
  <c r="CO360" i="7" s="1"/>
  <c r="CQ360" i="7"/>
  <c r="CS360" i="7"/>
  <c r="CR360" i="7" s="1"/>
  <c r="CT360" i="7"/>
  <c r="CV360" i="7"/>
  <c r="CU360" i="7" s="1"/>
  <c r="CW360" i="7"/>
  <c r="CY360" i="7"/>
  <c r="CX360" i="7" s="1"/>
  <c r="CZ360" i="7"/>
  <c r="DB360" i="7"/>
  <c r="DA360" i="7" s="1"/>
  <c r="DC360" i="7"/>
  <c r="DE360" i="7"/>
  <c r="DD360" i="7" s="1"/>
  <c r="DF360" i="7"/>
  <c r="DH360" i="7"/>
  <c r="DG360" i="7" s="1"/>
  <c r="DI360" i="7"/>
  <c r="DK360" i="7"/>
  <c r="DJ360" i="7" s="1"/>
  <c r="DL360" i="7"/>
  <c r="DN360" i="7"/>
  <c r="DM360" i="7" s="1"/>
  <c r="DO360" i="7"/>
  <c r="DQ360" i="7"/>
  <c r="DP360" i="7" s="1"/>
  <c r="DR360" i="7"/>
  <c r="DT360" i="7"/>
  <c r="DS360" i="7" s="1"/>
  <c r="DU360" i="7"/>
  <c r="DX360" i="7"/>
  <c r="DZ360" i="7"/>
  <c r="DY360" i="7" s="1"/>
  <c r="EA360" i="7"/>
  <c r="EC360" i="7"/>
  <c r="EB360" i="7" s="1"/>
  <c r="ED360" i="7"/>
  <c r="EF360" i="7"/>
  <c r="EE360" i="7" s="1"/>
  <c r="EG360" i="7"/>
  <c r="EI360" i="7"/>
  <c r="EH360" i="7" s="1"/>
  <c r="EJ360" i="7"/>
  <c r="EL360" i="7"/>
  <c r="EK360" i="7" s="1"/>
  <c r="EM360" i="7"/>
  <c r="EO360" i="7"/>
  <c r="EN360" i="7" s="1"/>
  <c r="EP360" i="7"/>
  <c r="ER360" i="7"/>
  <c r="EQ360" i="7" s="1"/>
  <c r="BA361" i="7"/>
  <c r="BB361" i="7"/>
  <c r="BD361" i="7"/>
  <c r="BE361" i="7"/>
  <c r="BG361" i="7"/>
  <c r="BH361" i="7"/>
  <c r="BJ361" i="7"/>
  <c r="BK361" i="7"/>
  <c r="BM361" i="7"/>
  <c r="BN361" i="7"/>
  <c r="BP361" i="7"/>
  <c r="BQ361" i="7"/>
  <c r="BS361" i="7"/>
  <c r="BT361" i="7"/>
  <c r="BV361" i="7"/>
  <c r="BW361" i="7"/>
  <c r="BY361" i="7"/>
  <c r="BZ361" i="7"/>
  <c r="CB361" i="7"/>
  <c r="CC361" i="7"/>
  <c r="CE361" i="7"/>
  <c r="CF361" i="7"/>
  <c r="CH361" i="7"/>
  <c r="CI361" i="7"/>
  <c r="CK361" i="7"/>
  <c r="CL361" i="7"/>
  <c r="CN361" i="7"/>
  <c r="CO361" i="7"/>
  <c r="CQ361" i="7"/>
  <c r="CR361" i="7"/>
  <c r="CT361" i="7"/>
  <c r="CU361" i="7"/>
  <c r="CW361" i="7"/>
  <c r="CX361" i="7"/>
  <c r="CZ361" i="7"/>
  <c r="DA361" i="7"/>
  <c r="DC361" i="7"/>
  <c r="DD361" i="7"/>
  <c r="DF361" i="7"/>
  <c r="DG361" i="7"/>
  <c r="DI361" i="7"/>
  <c r="DJ361" i="7"/>
  <c r="DL361" i="7"/>
  <c r="DM361" i="7"/>
  <c r="DO361" i="7"/>
  <c r="DP361" i="7"/>
  <c r="DR361" i="7"/>
  <c r="DS361" i="7"/>
  <c r="DU361" i="7"/>
  <c r="DX361" i="7"/>
  <c r="DY361" i="7"/>
  <c r="EA361" i="7"/>
  <c r="EB361" i="7"/>
  <c r="ED361" i="7"/>
  <c r="EE361" i="7"/>
  <c r="EG361" i="7"/>
  <c r="EH361" i="7"/>
  <c r="EJ361" i="7"/>
  <c r="EK361" i="7"/>
  <c r="EM361" i="7"/>
  <c r="EN361" i="7"/>
  <c r="EP361" i="7"/>
  <c r="EQ361" i="7"/>
  <c r="BA362" i="7"/>
  <c r="BB362" i="7"/>
  <c r="BD362" i="7"/>
  <c r="BE362" i="7"/>
  <c r="BG362" i="7"/>
  <c r="BH362" i="7"/>
  <c r="BJ362" i="7"/>
  <c r="BK362" i="7"/>
  <c r="BM362" i="7"/>
  <c r="BN362" i="7"/>
  <c r="BP362" i="7"/>
  <c r="BQ362" i="7"/>
  <c r="BS362" i="7"/>
  <c r="BT362" i="7"/>
  <c r="BV362" i="7"/>
  <c r="BW362" i="7"/>
  <c r="BY362" i="7"/>
  <c r="BZ362" i="7"/>
  <c r="CB362" i="7"/>
  <c r="CC362" i="7"/>
  <c r="CE362" i="7"/>
  <c r="CF362" i="7"/>
  <c r="CH362" i="7"/>
  <c r="CI362" i="7"/>
  <c r="CK362" i="7"/>
  <c r="CL362" i="7"/>
  <c r="CN362" i="7"/>
  <c r="CO362" i="7"/>
  <c r="CQ362" i="7"/>
  <c r="CR362" i="7"/>
  <c r="CT362" i="7"/>
  <c r="CU362" i="7"/>
  <c r="CW362" i="7"/>
  <c r="CX362" i="7"/>
  <c r="CZ362" i="7"/>
  <c r="DA362" i="7"/>
  <c r="DC362" i="7"/>
  <c r="DD362" i="7"/>
  <c r="DF362" i="7"/>
  <c r="DG362" i="7"/>
  <c r="DI362" i="7"/>
  <c r="DJ362" i="7"/>
  <c r="DL362" i="7"/>
  <c r="DM362" i="7"/>
  <c r="DO362" i="7"/>
  <c r="DP362" i="7"/>
  <c r="DR362" i="7"/>
  <c r="DS362" i="7"/>
  <c r="DU362" i="7"/>
  <c r="DX362" i="7"/>
  <c r="DY362" i="7"/>
  <c r="EA362" i="7"/>
  <c r="EB362" i="7"/>
  <c r="ED362" i="7"/>
  <c r="EE362" i="7"/>
  <c r="EG362" i="7"/>
  <c r="EH362" i="7"/>
  <c r="EJ362" i="7"/>
  <c r="EK362" i="7"/>
  <c r="EM362" i="7"/>
  <c r="EN362" i="7"/>
  <c r="EP362" i="7"/>
  <c r="EQ362" i="7"/>
  <c r="E365" i="7"/>
  <c r="F365" i="7"/>
  <c r="G365" i="7"/>
  <c r="H365" i="7"/>
  <c r="I365" i="7"/>
  <c r="J365" i="7"/>
  <c r="K365" i="7"/>
  <c r="L365" i="7"/>
  <c r="M365" i="7"/>
  <c r="N365" i="7"/>
  <c r="O365" i="7"/>
  <c r="P365" i="7"/>
  <c r="Q365" i="7"/>
  <c r="R365" i="7"/>
  <c r="S365" i="7"/>
  <c r="T365" i="7"/>
  <c r="U365" i="7"/>
  <c r="V365" i="7"/>
  <c r="W365" i="7"/>
  <c r="X365" i="7"/>
  <c r="Y365" i="7"/>
  <c r="Z365" i="7"/>
  <c r="AA365" i="7"/>
  <c r="AB365" i="7"/>
  <c r="AC365" i="7"/>
  <c r="AD365" i="7"/>
  <c r="AE365" i="7"/>
  <c r="AF365" i="7"/>
  <c r="AG365" i="7"/>
  <c r="AH365" i="7"/>
  <c r="AI365" i="7"/>
  <c r="AJ365" i="7"/>
  <c r="AK365" i="7"/>
  <c r="AL365" i="7"/>
  <c r="E378" i="7"/>
  <c r="F367" i="7" s="1"/>
  <c r="G367" i="7"/>
  <c r="G389" i="7" s="1"/>
  <c r="H378" i="7"/>
  <c r="I367" i="7" s="1"/>
  <c r="J367" i="7"/>
  <c r="J389" i="7" s="1"/>
  <c r="K378" i="7"/>
  <c r="L367" i="7" s="1"/>
  <c r="M367" i="7"/>
  <c r="M389" i="7" s="1"/>
  <c r="N378" i="7"/>
  <c r="O367" i="7" s="1"/>
  <c r="P367" i="7"/>
  <c r="P389" i="7" s="1"/>
  <c r="Q378" i="7"/>
  <c r="R367" i="7" s="1"/>
  <c r="S367" i="7"/>
  <c r="S370" i="7"/>
  <c r="S371" i="7"/>
  <c r="S372" i="7"/>
  <c r="S373" i="7"/>
  <c r="S374" i="7"/>
  <c r="S375" i="7"/>
  <c r="S376" i="7"/>
  <c r="V370" i="7"/>
  <c r="V371" i="7"/>
  <c r="V372" i="7"/>
  <c r="V373" i="7"/>
  <c r="V374" i="7"/>
  <c r="V375" i="7"/>
  <c r="V376" i="7"/>
  <c r="Y370" i="7"/>
  <c r="Y371" i="7"/>
  <c r="Y372" i="7"/>
  <c r="Y373" i="7"/>
  <c r="Y374" i="7"/>
  <c r="Y375" i="7"/>
  <c r="Y376" i="7"/>
  <c r="AB370" i="7"/>
  <c r="AB371" i="7"/>
  <c r="AB372" i="7"/>
  <c r="AB373" i="7"/>
  <c r="AB374" i="7"/>
  <c r="AB375" i="7"/>
  <c r="AB376" i="7"/>
  <c r="AE370" i="7"/>
  <c r="AE371" i="7"/>
  <c r="AE372" i="7"/>
  <c r="AE373" i="7"/>
  <c r="AE374" i="7"/>
  <c r="AE375" i="7"/>
  <c r="AE376" i="7"/>
  <c r="AH370" i="7"/>
  <c r="AH371" i="7"/>
  <c r="AH372" i="7"/>
  <c r="AH373" i="7"/>
  <c r="AH374" i="7"/>
  <c r="AH375" i="7"/>
  <c r="AH376" i="7"/>
  <c r="AK370" i="7"/>
  <c r="AK371" i="7"/>
  <c r="AK372" i="7"/>
  <c r="AK373" i="7"/>
  <c r="AK374" i="7"/>
  <c r="AK375" i="7"/>
  <c r="AK376" i="7"/>
  <c r="AN370" i="7"/>
  <c r="AN371" i="7"/>
  <c r="AN372" i="7"/>
  <c r="AN373" i="7"/>
  <c r="AN374" i="7"/>
  <c r="AN375" i="7"/>
  <c r="AN376" i="7"/>
  <c r="AQ370" i="7"/>
  <c r="AQ371" i="7"/>
  <c r="AQ372" i="7"/>
  <c r="AQ373" i="7"/>
  <c r="AQ374" i="7"/>
  <c r="AQ375" i="7"/>
  <c r="AQ376" i="7"/>
  <c r="G370" i="7"/>
  <c r="J370" i="7"/>
  <c r="M370" i="7"/>
  <c r="P370" i="7"/>
  <c r="AT370" i="7"/>
  <c r="G371" i="7"/>
  <c r="J371" i="7"/>
  <c r="M371" i="7"/>
  <c r="P371" i="7"/>
  <c r="AT371" i="7"/>
  <c r="G372" i="7"/>
  <c r="J372" i="7"/>
  <c r="M372" i="7"/>
  <c r="P372" i="7"/>
  <c r="AT372" i="7"/>
  <c r="G373" i="7"/>
  <c r="J373" i="7"/>
  <c r="M373" i="7"/>
  <c r="P373" i="7"/>
  <c r="AT373" i="7"/>
  <c r="G374" i="7"/>
  <c r="J374" i="7"/>
  <c r="M374" i="7"/>
  <c r="P374" i="7"/>
  <c r="AT374" i="7"/>
  <c r="G375" i="7"/>
  <c r="J375" i="7"/>
  <c r="M375" i="7"/>
  <c r="P375" i="7"/>
  <c r="AT375" i="7"/>
  <c r="G376" i="7"/>
  <c r="J376" i="7"/>
  <c r="M376" i="7"/>
  <c r="P376" i="7"/>
  <c r="AT376" i="7"/>
  <c r="CF387" i="7"/>
  <c r="E389" i="7"/>
  <c r="H389" i="7"/>
  <c r="K389" i="7"/>
  <c r="N389" i="7"/>
  <c r="Q389" i="7"/>
  <c r="AK389" i="7"/>
  <c r="E398" i="7"/>
  <c r="E390" i="7" s="1"/>
  <c r="AJ392" i="7"/>
  <c r="AI392" i="7" s="1"/>
  <c r="AH392" i="7" s="1"/>
  <c r="AG392" i="7" s="1"/>
  <c r="AF392" i="7" s="1"/>
  <c r="AE392" i="7" s="1"/>
  <c r="AD392" i="7" s="1"/>
  <c r="AC392" i="7" s="1"/>
  <c r="AB392" i="7" s="1"/>
  <c r="AA392" i="7" s="1"/>
  <c r="Z392" i="7" s="1"/>
  <c r="Y392" i="7" s="1"/>
  <c r="X392" i="7" s="1"/>
  <c r="W392" i="7" s="1"/>
  <c r="V392" i="7" s="1"/>
  <c r="U392" i="7" s="1"/>
  <c r="T392" i="7" s="1"/>
  <c r="S392" i="7" s="1"/>
  <c r="R392" i="7" s="1"/>
  <c r="Q392" i="7" s="1"/>
  <c r="AM392" i="7"/>
  <c r="AP392" i="7"/>
  <c r="AO392" i="7" s="1"/>
  <c r="AS392" i="7"/>
  <c r="AR392" i="7" s="1"/>
  <c r="G396" i="7"/>
  <c r="F396" i="7" s="1"/>
  <c r="H396" i="7"/>
  <c r="J396" i="7"/>
  <c r="I396" i="7" s="1"/>
  <c r="K396" i="7"/>
  <c r="M396" i="7"/>
  <c r="L396" i="7" s="1"/>
  <c r="N396" i="7"/>
  <c r="P396" i="7"/>
  <c r="O396" i="7" s="1"/>
  <c r="Q396" i="7"/>
  <c r="S396" i="7"/>
  <c r="R396" i="7" s="1"/>
  <c r="T396" i="7"/>
  <c r="V396" i="7"/>
  <c r="U396" i="7" s="1"/>
  <c r="W396" i="7"/>
  <c r="Y396" i="7"/>
  <c r="X396" i="7" s="1"/>
  <c r="Z396" i="7"/>
  <c r="AB396" i="7"/>
  <c r="AA396" i="7" s="1"/>
  <c r="AC396" i="7"/>
  <c r="AE396" i="7"/>
  <c r="AD396" i="7" s="1"/>
  <c r="AF396" i="7"/>
  <c r="AH396" i="7"/>
  <c r="AG396" i="7" s="1"/>
  <c r="AI396" i="7"/>
  <c r="AK396" i="7"/>
  <c r="AJ396" i="7" s="1"/>
  <c r="AL396" i="7"/>
  <c r="AO396" i="7"/>
  <c r="AO404" i="7" s="1"/>
  <c r="AR396" i="7"/>
  <c r="AR404" i="7" s="1"/>
  <c r="BO396" i="7"/>
  <c r="BN396" i="7" s="1"/>
  <c r="BR396" i="7"/>
  <c r="BQ396" i="7" s="1"/>
  <c r="BU396" i="7"/>
  <c r="BT396" i="7" s="1"/>
  <c r="BX396" i="7"/>
  <c r="BW396" i="7" s="1"/>
  <c r="CA396" i="7"/>
  <c r="BZ396" i="7" s="1"/>
  <c r="CD396" i="7"/>
  <c r="CC396" i="7" s="1"/>
  <c r="CG396" i="7"/>
  <c r="CF396" i="7" s="1"/>
  <c r="CJ396" i="7"/>
  <c r="CI396" i="7" s="1"/>
  <c r="CM396" i="7"/>
  <c r="CL396" i="7" s="1"/>
  <c r="CP396" i="7"/>
  <c r="CO396" i="7" s="1"/>
  <c r="CS396" i="7"/>
  <c r="CR396" i="7" s="1"/>
  <c r="CV396" i="7"/>
  <c r="CU396" i="7" s="1"/>
  <c r="CY396" i="7"/>
  <c r="CX396" i="7" s="1"/>
  <c r="DB396" i="7"/>
  <c r="DA396" i="7" s="1"/>
  <c r="DE396" i="7"/>
  <c r="DD396" i="7" s="1"/>
  <c r="DH396" i="7"/>
  <c r="DG396" i="7" s="1"/>
  <c r="DK396" i="7"/>
  <c r="DJ396" i="7" s="1"/>
  <c r="DN396" i="7"/>
  <c r="DM396" i="7" s="1"/>
  <c r="DQ396" i="7"/>
  <c r="DP396" i="7" s="1"/>
  <c r="DT396" i="7"/>
  <c r="DS396" i="7" s="1"/>
  <c r="DW396" i="7"/>
  <c r="DV396" i="7" s="1"/>
  <c r="DZ396" i="7"/>
  <c r="DY396" i="7" s="1"/>
  <c r="EC396" i="7"/>
  <c r="EB396" i="7" s="1"/>
  <c r="EF396" i="7"/>
  <c r="EE396" i="7" s="1"/>
  <c r="EI396" i="7"/>
  <c r="EH396" i="7" s="1"/>
  <c r="EL396" i="7"/>
  <c r="EK396" i="7" s="1"/>
  <c r="EO396" i="7"/>
  <c r="EN396" i="7" s="1"/>
  <c r="ER396" i="7"/>
  <c r="EQ396" i="7" s="1"/>
  <c r="CW402" i="7"/>
  <c r="DH402" i="7"/>
  <c r="E399" i="7"/>
  <c r="E400" i="7"/>
  <c r="F402" i="7"/>
  <c r="I402" i="7"/>
  <c r="L402" i="7"/>
  <c r="O402" i="7"/>
  <c r="R402" i="7"/>
  <c r="U402" i="7"/>
  <c r="X402" i="7"/>
  <c r="AA402" i="7"/>
  <c r="AD402" i="7"/>
  <c r="AG402" i="7"/>
  <c r="AJ402" i="7"/>
  <c r="AM402" i="7"/>
  <c r="AP402" i="7"/>
  <c r="AS402" i="7"/>
  <c r="BN402" i="7"/>
  <c r="BU402" i="7"/>
  <c r="BT402" i="7" s="1"/>
  <c r="CU402" i="7"/>
  <c r="CX402" i="7"/>
  <c r="DE402" i="7"/>
  <c r="DD402" i="7" s="1"/>
  <c r="F403" i="7"/>
  <c r="I403" i="7"/>
  <c r="L403" i="7"/>
  <c r="O403" i="7"/>
  <c r="R403" i="7"/>
  <c r="U403" i="7"/>
  <c r="X403" i="7"/>
  <c r="AA403" i="7"/>
  <c r="AD403" i="7"/>
  <c r="AG403" i="7"/>
  <c r="AJ403" i="7"/>
  <c r="AM403" i="7"/>
  <c r="AP403" i="7"/>
  <c r="AS403" i="7"/>
  <c r="BN403" i="7"/>
  <c r="BQ403" i="7"/>
  <c r="BT403" i="7"/>
  <c r="BW403" i="7"/>
  <c r="BZ403" i="7"/>
  <c r="CC403" i="7"/>
  <c r="CF403" i="7"/>
  <c r="CI403" i="7"/>
  <c r="CL403" i="7"/>
  <c r="CO403" i="7"/>
  <c r="CR403" i="7"/>
  <c r="CU403" i="7"/>
  <c r="CX403" i="7"/>
  <c r="DA403" i="7"/>
  <c r="DD403" i="7"/>
  <c r="DG403" i="7"/>
  <c r="DJ403" i="7"/>
  <c r="DM403" i="7"/>
  <c r="DP403" i="7"/>
  <c r="DS403" i="7"/>
  <c r="DV403" i="7"/>
  <c r="DY403" i="7"/>
  <c r="EB403" i="7"/>
  <c r="EE403" i="7"/>
  <c r="EH403" i="7"/>
  <c r="EK403" i="7"/>
  <c r="EN403" i="7"/>
  <c r="EQ403" i="7"/>
  <c r="F404" i="7"/>
  <c r="I404" i="7"/>
  <c r="L404" i="7"/>
  <c r="O404" i="7"/>
  <c r="R404" i="7"/>
  <c r="U404" i="7"/>
  <c r="X404" i="7"/>
  <c r="AA404" i="7"/>
  <c r="AD404" i="7"/>
  <c r="AG404" i="7"/>
  <c r="AJ404" i="7"/>
  <c r="F407" i="7"/>
  <c r="I407" i="7"/>
  <c r="L407" i="7"/>
  <c r="O407" i="7"/>
  <c r="R407" i="7"/>
  <c r="U407" i="7"/>
  <c r="X407" i="7"/>
  <c r="AA407" i="7"/>
  <c r="AD407" i="7"/>
  <c r="AG407" i="7"/>
  <c r="AJ407" i="7"/>
  <c r="AM407" i="7"/>
  <c r="AP407" i="7"/>
  <c r="AS407" i="7"/>
  <c r="AV407" i="7"/>
  <c r="AY407" i="7"/>
  <c r="BB407" i="7"/>
  <c r="BE407" i="7"/>
  <c r="BH407" i="7"/>
  <c r="BK407" i="7"/>
  <c r="BN407" i="7"/>
  <c r="BQ407" i="7"/>
  <c r="BT407" i="7"/>
  <c r="BW407" i="7"/>
  <c r="BZ407" i="7"/>
  <c r="CC407" i="7"/>
  <c r="CF407" i="7"/>
  <c r="CI407" i="7"/>
  <c r="CL407" i="7"/>
  <c r="CO407" i="7"/>
  <c r="CR407" i="7"/>
  <c r="CU407" i="7"/>
  <c r="CX407" i="7"/>
  <c r="DA407" i="7"/>
  <c r="DD407" i="7"/>
  <c r="DG407" i="7"/>
  <c r="DJ407" i="7"/>
  <c r="DM407" i="7"/>
  <c r="DP407" i="7"/>
  <c r="DS407" i="7"/>
  <c r="DV407" i="7"/>
  <c r="DY407" i="7"/>
  <c r="EB407" i="7"/>
  <c r="EE407" i="7"/>
  <c r="EH407" i="7"/>
  <c r="EK407" i="7"/>
  <c r="EN407" i="7"/>
  <c r="EQ407" i="7"/>
  <c r="F408" i="7"/>
  <c r="I408" i="7"/>
  <c r="L408" i="7"/>
  <c r="O408" i="7"/>
  <c r="R408" i="7"/>
  <c r="U408" i="7"/>
  <c r="X408" i="7"/>
  <c r="AA408" i="7"/>
  <c r="AD408" i="7"/>
  <c r="AG408" i="7"/>
  <c r="AJ408" i="7"/>
  <c r="AM408" i="7"/>
  <c r="AP408" i="7"/>
  <c r="AS408" i="7"/>
  <c r="AV408" i="7"/>
  <c r="AY408" i="7"/>
  <c r="BB408" i="7"/>
  <c r="BE408" i="7"/>
  <c r="BH408" i="7"/>
  <c r="BK408" i="7"/>
  <c r="BN408" i="7"/>
  <c r="BQ408" i="7"/>
  <c r="BT408" i="7"/>
  <c r="BW408" i="7"/>
  <c r="BZ408" i="7"/>
  <c r="CC408" i="7"/>
  <c r="CF408" i="7"/>
  <c r="CI408" i="7"/>
  <c r="CL408" i="7"/>
  <c r="CO408" i="7"/>
  <c r="CR408" i="7"/>
  <c r="CU408" i="7"/>
  <c r="CX408" i="7"/>
  <c r="DA408" i="7"/>
  <c r="DD408" i="7"/>
  <c r="DG408" i="7"/>
  <c r="DJ408" i="7"/>
  <c r="DM408" i="7"/>
  <c r="DP408" i="7"/>
  <c r="DS408" i="7"/>
  <c r="DV408" i="7"/>
  <c r="DY408" i="7"/>
  <c r="EB408" i="7"/>
  <c r="EE408" i="7"/>
  <c r="EH408" i="7"/>
  <c r="EK408" i="7"/>
  <c r="EN408" i="7"/>
  <c r="EQ408" i="7"/>
  <c r="F409" i="7"/>
  <c r="I409" i="7"/>
  <c r="L409" i="7"/>
  <c r="O409" i="7"/>
  <c r="R409" i="7"/>
  <c r="U409" i="7"/>
  <c r="X409" i="7"/>
  <c r="AA409" i="7"/>
  <c r="AD409" i="7"/>
  <c r="AG409" i="7"/>
  <c r="AJ409" i="7"/>
  <c r="AM409" i="7"/>
  <c r="AP409" i="7"/>
  <c r="AS409" i="7"/>
  <c r="AV409" i="7"/>
  <c r="AY409" i="7"/>
  <c r="BB409" i="7"/>
  <c r="BE409" i="7"/>
  <c r="BH409" i="7"/>
  <c r="BK409" i="7"/>
  <c r="BN409" i="7"/>
  <c r="BQ409" i="7"/>
  <c r="BT409" i="7"/>
  <c r="BW409" i="7"/>
  <c r="BZ409" i="7"/>
  <c r="CC409" i="7"/>
  <c r="CF409" i="7"/>
  <c r="CI409" i="7"/>
  <c r="CL409" i="7"/>
  <c r="CO409" i="7"/>
  <c r="CR409" i="7"/>
  <c r="CU409" i="7"/>
  <c r="CX409" i="7"/>
  <c r="DA409" i="7"/>
  <c r="DD409" i="7"/>
  <c r="DG409" i="7"/>
  <c r="DJ409" i="7"/>
  <c r="DM409" i="7"/>
  <c r="DP409" i="7"/>
  <c r="DS409" i="7"/>
  <c r="DV409" i="7"/>
  <c r="DY409" i="7"/>
  <c r="EB409" i="7"/>
  <c r="EE409" i="7"/>
  <c r="EH409" i="7"/>
  <c r="EK409" i="7"/>
  <c r="EN409" i="7"/>
  <c r="EQ409" i="7"/>
  <c r="F412" i="7"/>
  <c r="I412" i="7"/>
  <c r="L412" i="7"/>
  <c r="O412" i="7"/>
  <c r="R412" i="7"/>
  <c r="U412" i="7"/>
  <c r="X412" i="7"/>
  <c r="AA412" i="7"/>
  <c r="AD412" i="7"/>
  <c r="AG412" i="7"/>
  <c r="AJ412" i="7"/>
  <c r="AM412" i="7"/>
  <c r="AP412" i="7"/>
  <c r="AS412" i="7"/>
  <c r="AV412" i="7"/>
  <c r="AY412" i="7"/>
  <c r="BB412" i="7"/>
  <c r="BE412" i="7"/>
  <c r="BH412" i="7"/>
  <c r="BK412" i="7"/>
  <c r="BN412" i="7"/>
  <c r="BQ412" i="7"/>
  <c r="BT412" i="7"/>
  <c r="BW412" i="7"/>
  <c r="BZ412" i="7"/>
  <c r="CC412" i="7"/>
  <c r="CF412" i="7"/>
  <c r="CI412" i="7"/>
  <c r="CL412" i="7"/>
  <c r="CO412" i="7"/>
  <c r="CR412" i="7"/>
  <c r="CU412" i="7"/>
  <c r="CX412" i="7"/>
  <c r="DA412" i="7"/>
  <c r="DD412" i="7"/>
  <c r="DG412" i="7"/>
  <c r="DJ412" i="7"/>
  <c r="DM412" i="7"/>
  <c r="DP412" i="7"/>
  <c r="DS412" i="7"/>
  <c r="DV412" i="7"/>
  <c r="DY412" i="7"/>
  <c r="EB412" i="7"/>
  <c r="EE412" i="7"/>
  <c r="EH412" i="7"/>
  <c r="EK412" i="7"/>
  <c r="EN412" i="7"/>
  <c r="EQ412" i="7"/>
  <c r="F413" i="7"/>
  <c r="I413" i="7"/>
  <c r="L413" i="7"/>
  <c r="O413" i="7"/>
  <c r="R413" i="7"/>
  <c r="U413" i="7"/>
  <c r="X413" i="7"/>
  <c r="AA413" i="7"/>
  <c r="AD413" i="7"/>
  <c r="AG413" i="7"/>
  <c r="AJ413" i="7"/>
  <c r="AM413" i="7"/>
  <c r="AP413" i="7"/>
  <c r="AS413" i="7"/>
  <c r="AV413" i="7"/>
  <c r="AY413" i="7"/>
  <c r="BB413" i="7"/>
  <c r="BE413" i="7"/>
  <c r="BH413" i="7"/>
  <c r="BK413" i="7"/>
  <c r="BN413" i="7"/>
  <c r="BQ413" i="7"/>
  <c r="BT413" i="7"/>
  <c r="BW413" i="7"/>
  <c r="BZ413" i="7"/>
  <c r="CC413" i="7"/>
  <c r="CF413" i="7"/>
  <c r="CI413" i="7"/>
  <c r="CL413" i="7"/>
  <c r="CO413" i="7"/>
  <c r="CR413" i="7"/>
  <c r="CU413" i="7"/>
  <c r="CX413" i="7"/>
  <c r="DA413" i="7"/>
  <c r="DD413" i="7"/>
  <c r="DG413" i="7"/>
  <c r="DJ413" i="7"/>
  <c r="DM413" i="7"/>
  <c r="DP413" i="7"/>
  <c r="DS413" i="7"/>
  <c r="DV413" i="7"/>
  <c r="DY413" i="7"/>
  <c r="EB413" i="7"/>
  <c r="EE413" i="7"/>
  <c r="EH413" i="7"/>
  <c r="EK413" i="7"/>
  <c r="EN413" i="7"/>
  <c r="EQ413" i="7"/>
  <c r="F414" i="7"/>
  <c r="I414" i="7"/>
  <c r="L414" i="7"/>
  <c r="O414" i="7"/>
  <c r="R414" i="7"/>
  <c r="U414" i="7"/>
  <c r="X414" i="7"/>
  <c r="AA414" i="7"/>
  <c r="AD414" i="7"/>
  <c r="AG414" i="7"/>
  <c r="AJ414" i="7"/>
  <c r="AM414" i="7"/>
  <c r="AP414" i="7"/>
  <c r="AS414" i="7"/>
  <c r="AV414" i="7"/>
  <c r="AY414" i="7"/>
  <c r="BB414" i="7"/>
  <c r="BE414" i="7"/>
  <c r="BH414" i="7"/>
  <c r="BK414" i="7"/>
  <c r="BN414" i="7"/>
  <c r="BQ414" i="7"/>
  <c r="BT414" i="7"/>
  <c r="BW414" i="7"/>
  <c r="BZ414" i="7"/>
  <c r="CC414" i="7"/>
  <c r="CF414" i="7"/>
  <c r="CI414" i="7"/>
  <c r="CL414" i="7"/>
  <c r="CO414" i="7"/>
  <c r="CR414" i="7"/>
  <c r="CU414" i="7"/>
  <c r="CX414" i="7"/>
  <c r="DA414" i="7"/>
  <c r="DD414" i="7"/>
  <c r="DG414" i="7"/>
  <c r="DJ414" i="7"/>
  <c r="DM414" i="7"/>
  <c r="DP414" i="7"/>
  <c r="DS414" i="7"/>
  <c r="DV414" i="7"/>
  <c r="DY414" i="7"/>
  <c r="EB414" i="7"/>
  <c r="EE414" i="7"/>
  <c r="EH414" i="7"/>
  <c r="EK414" i="7"/>
  <c r="EN414" i="7"/>
  <c r="EQ414" i="7"/>
  <c r="F417" i="7"/>
  <c r="I417" i="7"/>
  <c r="L417" i="7"/>
  <c r="O417" i="7"/>
  <c r="R417" i="7"/>
  <c r="U417" i="7"/>
  <c r="X417" i="7"/>
  <c r="AA417" i="7"/>
  <c r="AD417" i="7"/>
  <c r="AG417" i="7"/>
  <c r="AJ417" i="7"/>
  <c r="AM417" i="7"/>
  <c r="AP417" i="7"/>
  <c r="AS417" i="7"/>
  <c r="AV417" i="7"/>
  <c r="AY417" i="7"/>
  <c r="BB417" i="7"/>
  <c r="BE417" i="7"/>
  <c r="BH417" i="7"/>
  <c r="BK417" i="7"/>
  <c r="BN417" i="7"/>
  <c r="BQ417" i="7"/>
  <c r="BT417" i="7"/>
  <c r="BW417" i="7"/>
  <c r="BZ417" i="7"/>
  <c r="CC417" i="7"/>
  <c r="CF417" i="7"/>
  <c r="CI417" i="7"/>
  <c r="CL417" i="7"/>
  <c r="CO417" i="7"/>
  <c r="CR417" i="7"/>
  <c r="CU417" i="7"/>
  <c r="CX417" i="7"/>
  <c r="DA417" i="7"/>
  <c r="DD417" i="7"/>
  <c r="DG417" i="7"/>
  <c r="DJ417" i="7"/>
  <c r="DM417" i="7"/>
  <c r="DP417" i="7"/>
  <c r="DS417" i="7"/>
  <c r="DV417" i="7"/>
  <c r="DY417" i="7"/>
  <c r="EB417" i="7"/>
  <c r="EE417" i="7"/>
  <c r="EH417" i="7"/>
  <c r="EK417" i="7"/>
  <c r="EN417" i="7"/>
  <c r="EQ417" i="7"/>
  <c r="F418" i="7"/>
  <c r="I418" i="7"/>
  <c r="L418" i="7"/>
  <c r="O418" i="7"/>
  <c r="R418" i="7"/>
  <c r="U418" i="7"/>
  <c r="X418" i="7"/>
  <c r="AA418" i="7"/>
  <c r="AD418" i="7"/>
  <c r="AG418" i="7"/>
  <c r="AJ418" i="7"/>
  <c r="AM418" i="7"/>
  <c r="AP418" i="7"/>
  <c r="AS418" i="7"/>
  <c r="AV418" i="7"/>
  <c r="AY418" i="7"/>
  <c r="BB418" i="7"/>
  <c r="BE418" i="7"/>
  <c r="BH418" i="7"/>
  <c r="BK418" i="7"/>
  <c r="BN418" i="7"/>
  <c r="BQ418" i="7"/>
  <c r="BT418" i="7"/>
  <c r="BW418" i="7"/>
  <c r="BZ418" i="7"/>
  <c r="CC418" i="7"/>
  <c r="CF418" i="7"/>
  <c r="CI418" i="7"/>
  <c r="CL418" i="7"/>
  <c r="CO418" i="7"/>
  <c r="CR418" i="7"/>
  <c r="CU418" i="7"/>
  <c r="CX418" i="7"/>
  <c r="DA418" i="7"/>
  <c r="DD418" i="7"/>
  <c r="DG418" i="7"/>
  <c r="DJ418" i="7"/>
  <c r="DM418" i="7"/>
  <c r="DP418" i="7"/>
  <c r="DS418" i="7"/>
  <c r="DV418" i="7"/>
  <c r="DY418" i="7"/>
  <c r="EB418" i="7"/>
  <c r="EE418" i="7"/>
  <c r="EH418" i="7"/>
  <c r="EK418" i="7"/>
  <c r="EN418" i="7"/>
  <c r="EQ418" i="7"/>
  <c r="F419" i="7"/>
  <c r="I419" i="7"/>
  <c r="L419" i="7"/>
  <c r="O419" i="7"/>
  <c r="R419" i="7"/>
  <c r="U419" i="7"/>
  <c r="X419" i="7"/>
  <c r="AA419" i="7"/>
  <c r="AD419" i="7"/>
  <c r="AG419" i="7"/>
  <c r="AJ419" i="7"/>
  <c r="AM419" i="7"/>
  <c r="AP419" i="7"/>
  <c r="AS419" i="7"/>
  <c r="AV419" i="7"/>
  <c r="AY419" i="7"/>
  <c r="BB419" i="7"/>
  <c r="BE419" i="7"/>
  <c r="BH419" i="7"/>
  <c r="BK419" i="7"/>
  <c r="BN419" i="7"/>
  <c r="BQ419" i="7"/>
  <c r="BT419" i="7"/>
  <c r="BW419" i="7"/>
  <c r="BZ419" i="7"/>
  <c r="CC419" i="7"/>
  <c r="CF419" i="7"/>
  <c r="CI419" i="7"/>
  <c r="CL419" i="7"/>
  <c r="CO419" i="7"/>
  <c r="CR419" i="7"/>
  <c r="CU419" i="7"/>
  <c r="CX419" i="7"/>
  <c r="DA419" i="7"/>
  <c r="DD419" i="7"/>
  <c r="DG419" i="7"/>
  <c r="DJ419" i="7"/>
  <c r="DM419" i="7"/>
  <c r="DP419" i="7"/>
  <c r="DS419" i="7"/>
  <c r="DV419" i="7"/>
  <c r="DY419" i="7"/>
  <c r="EB419" i="7"/>
  <c r="EE419" i="7"/>
  <c r="EH419" i="7"/>
  <c r="EK419" i="7"/>
  <c r="EN419" i="7"/>
  <c r="EQ419" i="7"/>
  <c r="F422" i="7"/>
  <c r="I422" i="7"/>
  <c r="L422" i="7"/>
  <c r="O422" i="7"/>
  <c r="R422" i="7"/>
  <c r="U422" i="7"/>
  <c r="X422" i="7"/>
  <c r="AA422" i="7"/>
  <c r="AD422" i="7"/>
  <c r="AG422" i="7"/>
  <c r="AJ422" i="7"/>
  <c r="AM422" i="7"/>
  <c r="AP422" i="7"/>
  <c r="AS422" i="7"/>
  <c r="AV422" i="7"/>
  <c r="AY422" i="7"/>
  <c r="BB422" i="7"/>
  <c r="BE422" i="7"/>
  <c r="BH422" i="7"/>
  <c r="BK422" i="7"/>
  <c r="BN422" i="7"/>
  <c r="BQ422" i="7"/>
  <c r="BT422" i="7"/>
  <c r="BW422" i="7"/>
  <c r="BZ422" i="7"/>
  <c r="CC422" i="7"/>
  <c r="CF422" i="7"/>
  <c r="CI422" i="7"/>
  <c r="CL422" i="7"/>
  <c r="CO422" i="7"/>
  <c r="CR422" i="7"/>
  <c r="CU422" i="7"/>
  <c r="CX422" i="7"/>
  <c r="DA422" i="7"/>
  <c r="DD422" i="7"/>
  <c r="DG422" i="7"/>
  <c r="DJ422" i="7"/>
  <c r="DM422" i="7"/>
  <c r="DP422" i="7"/>
  <c r="DS422" i="7"/>
  <c r="DV422" i="7"/>
  <c r="DY422" i="7"/>
  <c r="EB422" i="7"/>
  <c r="EE422" i="7"/>
  <c r="EH422" i="7"/>
  <c r="EK422" i="7"/>
  <c r="EN422" i="7"/>
  <c r="EQ422" i="7"/>
  <c r="F423" i="7"/>
  <c r="I423" i="7"/>
  <c r="L423" i="7"/>
  <c r="O423" i="7"/>
  <c r="R423" i="7"/>
  <c r="U423" i="7"/>
  <c r="X423" i="7"/>
  <c r="AA423" i="7"/>
  <c r="AD423" i="7"/>
  <c r="AG423" i="7"/>
  <c r="AJ423" i="7"/>
  <c r="AM423" i="7"/>
  <c r="AP423" i="7"/>
  <c r="AS423" i="7"/>
  <c r="AV423" i="7"/>
  <c r="AY423" i="7"/>
  <c r="BB423" i="7"/>
  <c r="BE423" i="7"/>
  <c r="BH423" i="7"/>
  <c r="BK423" i="7"/>
  <c r="BN423" i="7"/>
  <c r="BQ423" i="7"/>
  <c r="BT423" i="7"/>
  <c r="BW423" i="7"/>
  <c r="BZ423" i="7"/>
  <c r="CC423" i="7"/>
  <c r="CF423" i="7"/>
  <c r="CI423" i="7"/>
  <c r="CL423" i="7"/>
  <c r="CO423" i="7"/>
  <c r="CR423" i="7"/>
  <c r="CU423" i="7"/>
  <c r="CX423" i="7"/>
  <c r="DA423" i="7"/>
  <c r="DD423" i="7"/>
  <c r="DG423" i="7"/>
  <c r="DJ423" i="7"/>
  <c r="DM423" i="7"/>
  <c r="DP423" i="7"/>
  <c r="DS423" i="7"/>
  <c r="DV423" i="7"/>
  <c r="DY423" i="7"/>
  <c r="EB423" i="7"/>
  <c r="EE423" i="7"/>
  <c r="EH423" i="7"/>
  <c r="EK423" i="7"/>
  <c r="EN423" i="7"/>
  <c r="EQ423" i="7"/>
  <c r="F424" i="7"/>
  <c r="I424" i="7"/>
  <c r="L424" i="7"/>
  <c r="O424" i="7"/>
  <c r="R424" i="7"/>
  <c r="U424" i="7"/>
  <c r="X424" i="7"/>
  <c r="AA424" i="7"/>
  <c r="AD424" i="7"/>
  <c r="AG424" i="7"/>
  <c r="AJ424" i="7"/>
  <c r="AM424" i="7"/>
  <c r="AP424" i="7"/>
  <c r="AS424" i="7"/>
  <c r="AV424" i="7"/>
  <c r="AY424" i="7"/>
  <c r="BB424" i="7"/>
  <c r="BE424" i="7"/>
  <c r="BH424" i="7"/>
  <c r="BK424" i="7"/>
  <c r="BN424" i="7"/>
  <c r="BQ424" i="7"/>
  <c r="BT424" i="7"/>
  <c r="BW424" i="7"/>
  <c r="BZ424" i="7"/>
  <c r="CC424" i="7"/>
  <c r="CF424" i="7"/>
  <c r="CI424" i="7"/>
  <c r="CL424" i="7"/>
  <c r="CO424" i="7"/>
  <c r="CR424" i="7"/>
  <c r="CU424" i="7"/>
  <c r="CX424" i="7"/>
  <c r="DA424" i="7"/>
  <c r="DD424" i="7"/>
  <c r="DG424" i="7"/>
  <c r="DJ424" i="7"/>
  <c r="DM424" i="7"/>
  <c r="DP424" i="7"/>
  <c r="DS424" i="7"/>
  <c r="DV424" i="7"/>
  <c r="DY424" i="7"/>
  <c r="EB424" i="7"/>
  <c r="EE424" i="7"/>
  <c r="EH424" i="7"/>
  <c r="EK424" i="7"/>
  <c r="EN424" i="7"/>
  <c r="EQ424" i="7"/>
  <c r="F427" i="7"/>
  <c r="I427" i="7"/>
  <c r="L427" i="7"/>
  <c r="O427" i="7"/>
  <c r="R427" i="7"/>
  <c r="U427" i="7"/>
  <c r="X427" i="7"/>
  <c r="AA427" i="7"/>
  <c r="AD427" i="7"/>
  <c r="AG427" i="7"/>
  <c r="AJ427" i="7"/>
  <c r="AM427" i="7"/>
  <c r="AP427" i="7"/>
  <c r="AS427" i="7"/>
  <c r="AV427" i="7"/>
  <c r="AY427" i="7"/>
  <c r="BB427" i="7"/>
  <c r="BE427" i="7"/>
  <c r="BH427" i="7"/>
  <c r="BK427" i="7"/>
  <c r="BN427" i="7"/>
  <c r="BQ427" i="7"/>
  <c r="BT427" i="7"/>
  <c r="BW427" i="7"/>
  <c r="BZ427" i="7"/>
  <c r="CC427" i="7"/>
  <c r="CF427" i="7"/>
  <c r="CI427" i="7"/>
  <c r="CL427" i="7"/>
  <c r="CO427" i="7"/>
  <c r="CR427" i="7"/>
  <c r="CU427" i="7"/>
  <c r="CX427" i="7"/>
  <c r="DA427" i="7"/>
  <c r="DD427" i="7"/>
  <c r="DG427" i="7"/>
  <c r="DJ427" i="7"/>
  <c r="DM427" i="7"/>
  <c r="DP427" i="7"/>
  <c r="DS427" i="7"/>
  <c r="DV427" i="7"/>
  <c r="DY427" i="7"/>
  <c r="EB427" i="7"/>
  <c r="EE427" i="7"/>
  <c r="EH427" i="7"/>
  <c r="EK427" i="7"/>
  <c r="EN427" i="7"/>
  <c r="EQ427" i="7"/>
  <c r="F428" i="7"/>
  <c r="I428" i="7"/>
  <c r="L428" i="7"/>
  <c r="O428" i="7"/>
  <c r="R428" i="7"/>
  <c r="U428" i="7"/>
  <c r="X428" i="7"/>
  <c r="AA428" i="7"/>
  <c r="AD428" i="7"/>
  <c r="AG428" i="7"/>
  <c r="AJ428" i="7"/>
  <c r="AM428" i="7"/>
  <c r="AP428" i="7"/>
  <c r="AS428" i="7"/>
  <c r="AV428" i="7"/>
  <c r="AY428" i="7"/>
  <c r="BB428" i="7"/>
  <c r="BE428" i="7"/>
  <c r="BH428" i="7"/>
  <c r="BK428" i="7"/>
  <c r="BN428" i="7"/>
  <c r="BQ428" i="7"/>
  <c r="BT428" i="7"/>
  <c r="BW428" i="7"/>
  <c r="BZ428" i="7"/>
  <c r="CC428" i="7"/>
  <c r="CF428" i="7"/>
  <c r="CI428" i="7"/>
  <c r="CL428" i="7"/>
  <c r="CO428" i="7"/>
  <c r="CR428" i="7"/>
  <c r="CU428" i="7"/>
  <c r="CX428" i="7"/>
  <c r="DA428" i="7"/>
  <c r="DD428" i="7"/>
  <c r="DG428" i="7"/>
  <c r="DJ428" i="7"/>
  <c r="DM428" i="7"/>
  <c r="DP428" i="7"/>
  <c r="DS428" i="7"/>
  <c r="DV428" i="7"/>
  <c r="DY428" i="7"/>
  <c r="EB428" i="7"/>
  <c r="EE428" i="7"/>
  <c r="EH428" i="7"/>
  <c r="EK428" i="7"/>
  <c r="EN428" i="7"/>
  <c r="EQ428" i="7"/>
  <c r="F429" i="7"/>
  <c r="I429" i="7"/>
  <c r="L429" i="7"/>
  <c r="O429" i="7"/>
  <c r="R429" i="7"/>
  <c r="U429" i="7"/>
  <c r="X429" i="7"/>
  <c r="AA429" i="7"/>
  <c r="AD429" i="7"/>
  <c r="AG429" i="7"/>
  <c r="AJ429" i="7"/>
  <c r="AM429" i="7"/>
  <c r="AP429" i="7"/>
  <c r="AS429" i="7"/>
  <c r="AV429" i="7"/>
  <c r="AY429" i="7"/>
  <c r="BB429" i="7"/>
  <c r="BE429" i="7"/>
  <c r="BH429" i="7"/>
  <c r="BK429" i="7"/>
  <c r="BN429" i="7"/>
  <c r="BQ429" i="7"/>
  <c r="BT429" i="7"/>
  <c r="BW429" i="7"/>
  <c r="BZ429" i="7"/>
  <c r="CC429" i="7"/>
  <c r="CF429" i="7"/>
  <c r="CI429" i="7"/>
  <c r="CL429" i="7"/>
  <c r="CO429" i="7"/>
  <c r="CR429" i="7"/>
  <c r="CU429" i="7"/>
  <c r="CX429" i="7"/>
  <c r="DA429" i="7"/>
  <c r="DD429" i="7"/>
  <c r="DG429" i="7"/>
  <c r="DJ429" i="7"/>
  <c r="DM429" i="7"/>
  <c r="DP429" i="7"/>
  <c r="DS429" i="7"/>
  <c r="DV429" i="7"/>
  <c r="DY429" i="7"/>
  <c r="EB429" i="7"/>
  <c r="EE429" i="7"/>
  <c r="EH429" i="7"/>
  <c r="EK429" i="7"/>
  <c r="EN429" i="7"/>
  <c r="EQ429" i="7"/>
  <c r="F432" i="7"/>
  <c r="I432" i="7"/>
  <c r="L432" i="7"/>
  <c r="O432" i="7"/>
  <c r="R432" i="7"/>
  <c r="U432" i="7"/>
  <c r="X432" i="7"/>
  <c r="AA432" i="7"/>
  <c r="AD432" i="7"/>
  <c r="AG432" i="7"/>
  <c r="AJ432" i="7"/>
  <c r="AM432" i="7"/>
  <c r="AP432" i="7"/>
  <c r="AS432" i="7"/>
  <c r="AV432" i="7"/>
  <c r="AY432" i="7"/>
  <c r="BB432" i="7"/>
  <c r="BE432" i="7"/>
  <c r="BH432" i="7"/>
  <c r="BK432" i="7"/>
  <c r="BN432" i="7"/>
  <c r="BQ432" i="7"/>
  <c r="BT432" i="7"/>
  <c r="BW432" i="7"/>
  <c r="BZ432" i="7"/>
  <c r="CC432" i="7"/>
  <c r="CF432" i="7"/>
  <c r="CI432" i="7"/>
  <c r="CL432" i="7"/>
  <c r="CO432" i="7"/>
  <c r="CR432" i="7"/>
  <c r="CU432" i="7"/>
  <c r="CX432" i="7"/>
  <c r="DA432" i="7"/>
  <c r="DD432" i="7"/>
  <c r="DG432" i="7"/>
  <c r="DJ432" i="7"/>
  <c r="DM432" i="7"/>
  <c r="DP432" i="7"/>
  <c r="DS432" i="7"/>
  <c r="DV432" i="7"/>
  <c r="DY432" i="7"/>
  <c r="EB432" i="7"/>
  <c r="EE432" i="7"/>
  <c r="EH432" i="7"/>
  <c r="EK432" i="7"/>
  <c r="EN432" i="7"/>
  <c r="EQ432" i="7"/>
  <c r="F433" i="7"/>
  <c r="I433" i="7"/>
  <c r="L433" i="7"/>
  <c r="O433" i="7"/>
  <c r="R433" i="7"/>
  <c r="U433" i="7"/>
  <c r="X433" i="7"/>
  <c r="AA433" i="7"/>
  <c r="AD433" i="7"/>
  <c r="AG433" i="7"/>
  <c r="AJ433" i="7"/>
  <c r="AM433" i="7"/>
  <c r="AP433" i="7"/>
  <c r="AS433" i="7"/>
  <c r="AV433" i="7"/>
  <c r="AY433" i="7"/>
  <c r="BB433" i="7"/>
  <c r="BE433" i="7"/>
  <c r="BH433" i="7"/>
  <c r="BK433" i="7"/>
  <c r="BN433" i="7"/>
  <c r="BQ433" i="7"/>
  <c r="BT433" i="7"/>
  <c r="BW433" i="7"/>
  <c r="BZ433" i="7"/>
  <c r="CC433" i="7"/>
  <c r="CF433" i="7"/>
  <c r="CI433" i="7"/>
  <c r="CL433" i="7"/>
  <c r="CO433" i="7"/>
  <c r="CR433" i="7"/>
  <c r="CU433" i="7"/>
  <c r="CX433" i="7"/>
  <c r="DA433" i="7"/>
  <c r="DD433" i="7"/>
  <c r="DG433" i="7"/>
  <c r="DJ433" i="7"/>
  <c r="DM433" i="7"/>
  <c r="DP433" i="7"/>
  <c r="DS433" i="7"/>
  <c r="DV433" i="7"/>
  <c r="DY433" i="7"/>
  <c r="EB433" i="7"/>
  <c r="EE433" i="7"/>
  <c r="EH433" i="7"/>
  <c r="EK433" i="7"/>
  <c r="EN433" i="7"/>
  <c r="EQ433" i="7"/>
  <c r="F434" i="7"/>
  <c r="I434" i="7"/>
  <c r="L434" i="7"/>
  <c r="O434" i="7"/>
  <c r="R434" i="7"/>
  <c r="U434" i="7"/>
  <c r="X434" i="7"/>
  <c r="AA434" i="7"/>
  <c r="AD434" i="7"/>
  <c r="AG434" i="7"/>
  <c r="AJ434" i="7"/>
  <c r="AM434" i="7"/>
  <c r="AP434" i="7"/>
  <c r="AS434" i="7"/>
  <c r="AV434" i="7"/>
  <c r="AY434" i="7"/>
  <c r="BB434" i="7"/>
  <c r="BE434" i="7"/>
  <c r="BH434" i="7"/>
  <c r="BK434" i="7"/>
  <c r="BN434" i="7"/>
  <c r="BQ434" i="7"/>
  <c r="BT434" i="7"/>
  <c r="BW434" i="7"/>
  <c r="BZ434" i="7"/>
  <c r="CC434" i="7"/>
  <c r="CF434" i="7"/>
  <c r="CI434" i="7"/>
  <c r="CL434" i="7"/>
  <c r="CO434" i="7"/>
  <c r="CR434" i="7"/>
  <c r="CU434" i="7"/>
  <c r="CX434" i="7"/>
  <c r="DA434" i="7"/>
  <c r="DD434" i="7"/>
  <c r="DG434" i="7"/>
  <c r="DJ434" i="7"/>
  <c r="DM434" i="7"/>
  <c r="DP434" i="7"/>
  <c r="DS434" i="7"/>
  <c r="DV434" i="7"/>
  <c r="DY434" i="7"/>
  <c r="EB434" i="7"/>
  <c r="EE434" i="7"/>
  <c r="EH434" i="7"/>
  <c r="EK434" i="7"/>
  <c r="EN434" i="7"/>
  <c r="EQ434" i="7"/>
  <c r="F437" i="7"/>
  <c r="I437" i="7"/>
  <c r="L437" i="7"/>
  <c r="O437" i="7"/>
  <c r="R437" i="7"/>
  <c r="U437" i="7"/>
  <c r="X437" i="7"/>
  <c r="AA437" i="7"/>
  <c r="AD437" i="7"/>
  <c r="AG437" i="7"/>
  <c r="AJ437" i="7"/>
  <c r="AM437" i="7"/>
  <c r="AP437" i="7"/>
  <c r="AS437" i="7"/>
  <c r="AV437" i="7"/>
  <c r="AY437" i="7"/>
  <c r="BB437" i="7"/>
  <c r="BE437" i="7"/>
  <c r="BH437" i="7"/>
  <c r="BK437" i="7"/>
  <c r="BN437" i="7"/>
  <c r="BQ437" i="7"/>
  <c r="BT437" i="7"/>
  <c r="BW437" i="7"/>
  <c r="BZ437" i="7"/>
  <c r="CC437" i="7"/>
  <c r="CF437" i="7"/>
  <c r="CI437" i="7"/>
  <c r="CL437" i="7"/>
  <c r="CO437" i="7"/>
  <c r="CR437" i="7"/>
  <c r="CU437" i="7"/>
  <c r="CX437" i="7"/>
  <c r="DA437" i="7"/>
  <c r="DD437" i="7"/>
  <c r="DG437" i="7"/>
  <c r="DJ437" i="7"/>
  <c r="DM437" i="7"/>
  <c r="DP437" i="7"/>
  <c r="DS437" i="7"/>
  <c r="DV437" i="7"/>
  <c r="DY437" i="7"/>
  <c r="EB437" i="7"/>
  <c r="EE437" i="7"/>
  <c r="EH437" i="7"/>
  <c r="EK437" i="7"/>
  <c r="EN437" i="7"/>
  <c r="EQ437" i="7"/>
  <c r="F438" i="7"/>
  <c r="I438" i="7"/>
  <c r="L438" i="7"/>
  <c r="O438" i="7"/>
  <c r="R438" i="7"/>
  <c r="U438" i="7"/>
  <c r="X438" i="7"/>
  <c r="AA438" i="7"/>
  <c r="AD438" i="7"/>
  <c r="AG438" i="7"/>
  <c r="AJ438" i="7"/>
  <c r="AM438" i="7"/>
  <c r="AP438" i="7"/>
  <c r="AS438" i="7"/>
  <c r="AV438" i="7"/>
  <c r="AY438" i="7"/>
  <c r="BB438" i="7"/>
  <c r="BE438" i="7"/>
  <c r="BH438" i="7"/>
  <c r="BK438" i="7"/>
  <c r="BN438" i="7"/>
  <c r="BQ438" i="7"/>
  <c r="BT438" i="7"/>
  <c r="BW438" i="7"/>
  <c r="BZ438" i="7"/>
  <c r="CC438" i="7"/>
  <c r="CF438" i="7"/>
  <c r="CI438" i="7"/>
  <c r="CL438" i="7"/>
  <c r="CO438" i="7"/>
  <c r="CR438" i="7"/>
  <c r="CU438" i="7"/>
  <c r="CX438" i="7"/>
  <c r="DA438" i="7"/>
  <c r="DD438" i="7"/>
  <c r="DG438" i="7"/>
  <c r="DJ438" i="7"/>
  <c r="DM438" i="7"/>
  <c r="DP438" i="7"/>
  <c r="DS438" i="7"/>
  <c r="DV438" i="7"/>
  <c r="DY438" i="7"/>
  <c r="EB438" i="7"/>
  <c r="EE438" i="7"/>
  <c r="EH438" i="7"/>
  <c r="EK438" i="7"/>
  <c r="EN438" i="7"/>
  <c r="EQ438" i="7"/>
  <c r="F439" i="7"/>
  <c r="I439" i="7"/>
  <c r="L439" i="7"/>
  <c r="O439" i="7"/>
  <c r="R439" i="7"/>
  <c r="U439" i="7"/>
  <c r="X439" i="7"/>
  <c r="AA439" i="7"/>
  <c r="AD439" i="7"/>
  <c r="AG439" i="7"/>
  <c r="AJ439" i="7"/>
  <c r="AM439" i="7"/>
  <c r="AP439" i="7"/>
  <c r="AS439" i="7"/>
  <c r="AV439" i="7"/>
  <c r="AY439" i="7"/>
  <c r="BB439" i="7"/>
  <c r="BE439" i="7"/>
  <c r="BH439" i="7"/>
  <c r="BK439" i="7"/>
  <c r="BN439" i="7"/>
  <c r="BQ439" i="7"/>
  <c r="BT439" i="7"/>
  <c r="BW439" i="7"/>
  <c r="BZ439" i="7"/>
  <c r="CC439" i="7"/>
  <c r="CF439" i="7"/>
  <c r="CI439" i="7"/>
  <c r="CL439" i="7"/>
  <c r="CO439" i="7"/>
  <c r="CR439" i="7"/>
  <c r="CU439" i="7"/>
  <c r="CX439" i="7"/>
  <c r="DA439" i="7"/>
  <c r="DD439" i="7"/>
  <c r="DG439" i="7"/>
  <c r="DJ439" i="7"/>
  <c r="DM439" i="7"/>
  <c r="DP439" i="7"/>
  <c r="DS439" i="7"/>
  <c r="DV439" i="7"/>
  <c r="DY439" i="7"/>
  <c r="EB439" i="7"/>
  <c r="EE439" i="7"/>
  <c r="EH439" i="7"/>
  <c r="EK439" i="7"/>
  <c r="EN439" i="7"/>
  <c r="EQ439" i="7"/>
  <c r="D442" i="7"/>
  <c r="E442" i="7"/>
  <c r="F442" i="7"/>
  <c r="G442" i="7"/>
  <c r="H442" i="7"/>
  <c r="I442" i="7"/>
  <c r="J442" i="7"/>
  <c r="K442" i="7"/>
  <c r="L442" i="7"/>
  <c r="M442" i="7"/>
  <c r="N442" i="7"/>
  <c r="O442" i="7"/>
  <c r="P442" i="7"/>
  <c r="Q442" i="7"/>
  <c r="R442" i="7"/>
  <c r="S442" i="7"/>
  <c r="T442" i="7"/>
  <c r="U442" i="7"/>
  <c r="V442" i="7"/>
  <c r="W442" i="7"/>
  <c r="X442" i="7"/>
  <c r="Y442" i="7"/>
  <c r="Z442" i="7"/>
  <c r="AA442" i="7"/>
  <c r="AB442" i="7"/>
  <c r="AC442" i="7"/>
  <c r="AD442" i="7"/>
  <c r="AE442" i="7"/>
  <c r="AF442" i="7"/>
  <c r="AG442" i="7"/>
  <c r="AH442" i="7"/>
  <c r="AI442" i="7"/>
  <c r="AJ442" i="7"/>
  <c r="AK442" i="7"/>
  <c r="AL442" i="7"/>
  <c r="AM442" i="7"/>
  <c r="AN442" i="7"/>
  <c r="AO442" i="7"/>
  <c r="AP442" i="7"/>
  <c r="AQ442" i="7"/>
  <c r="AR442" i="7"/>
  <c r="AS442" i="7"/>
  <c r="AT442" i="7"/>
  <c r="AU442" i="7"/>
  <c r="AV442" i="7"/>
  <c r="AW443" i="7"/>
  <c r="AX443" i="7"/>
  <c r="AZ443" i="7"/>
  <c r="BA443" i="7"/>
  <c r="BB443" i="7"/>
  <c r="BC443" i="7"/>
  <c r="BD443" i="7"/>
  <c r="BE443" i="7"/>
  <c r="BF443" i="7"/>
  <c r="BG443" i="7"/>
  <c r="BH443" i="7"/>
  <c r="BI443" i="7"/>
  <c r="BJ443" i="7"/>
  <c r="BL443" i="7"/>
  <c r="BM443" i="7"/>
  <c r="BS443" i="7"/>
  <c r="H444" i="7"/>
  <c r="I444" i="7"/>
  <c r="K444" i="7"/>
  <c r="L444" i="7"/>
  <c r="N444" i="7"/>
  <c r="O444" i="7"/>
  <c r="Q444" i="7"/>
  <c r="R444" i="7"/>
  <c r="T444" i="7"/>
  <c r="U444" i="7"/>
  <c r="W444" i="7"/>
  <c r="X444" i="7"/>
  <c r="Z444" i="7"/>
  <c r="AA444" i="7"/>
  <c r="AC444" i="7"/>
  <c r="AD444" i="7"/>
  <c r="AF444" i="7"/>
  <c r="AG444" i="7"/>
  <c r="AI444" i="7"/>
  <c r="AJ444" i="7"/>
  <c r="AL444" i="7"/>
  <c r="AM444" i="7"/>
  <c r="AO444" i="7"/>
  <c r="AP444" i="7"/>
  <c r="AR444" i="7"/>
  <c r="AS444" i="7"/>
  <c r="AU444" i="7"/>
  <c r="BG444" i="7"/>
  <c r="BH444" i="7"/>
  <c r="BI444" i="7"/>
  <c r="BJ444" i="7"/>
  <c r="BK444" i="7"/>
  <c r="BL444" i="7"/>
  <c r="BM444" i="7"/>
  <c r="BN444" i="7"/>
  <c r="BO444" i="7"/>
  <c r="BP444" i="7"/>
  <c r="BQ444" i="7"/>
  <c r="BR444" i="7"/>
  <c r="BT444" i="7"/>
  <c r="BU444" i="7" s="1"/>
  <c r="CH444" i="7"/>
  <c r="CI444" i="7"/>
  <c r="CJ444" i="7"/>
  <c r="CK444" i="7"/>
  <c r="CL444" i="7"/>
  <c r="CM444" i="7"/>
  <c r="CO444" i="7"/>
  <c r="CR444" i="7"/>
  <c r="CS444" i="7"/>
  <c r="CU444" i="7"/>
  <c r="CV444" i="7"/>
  <c r="DB444" i="7"/>
  <c r="O445" i="7"/>
  <c r="P445" i="7" s="1"/>
  <c r="Q445" i="7" s="1"/>
  <c r="R445" i="7" s="1"/>
  <c r="S445" i="7" s="1"/>
  <c r="T445" i="7" s="1"/>
  <c r="U445" i="7" s="1"/>
  <c r="V445" i="7" s="1"/>
  <c r="W445" i="7" s="1"/>
  <c r="X445" i="7" s="1"/>
  <c r="Y445" i="7" s="1"/>
  <c r="Z445" i="7" s="1"/>
  <c r="AA445" i="7" s="1"/>
  <c r="AB445" i="7" s="1"/>
  <c r="AC445" i="7" s="1"/>
  <c r="AD445" i="7" s="1"/>
  <c r="AE445" i="7" s="1"/>
  <c r="AF445" i="7" s="1"/>
  <c r="AG445" i="7" s="1"/>
  <c r="AH445" i="7" s="1"/>
  <c r="AI445" i="7" s="1"/>
  <c r="AJ445" i="7" s="1"/>
  <c r="AK445" i="7" s="1"/>
  <c r="AL445" i="7" s="1"/>
  <c r="AM445" i="7" s="1"/>
  <c r="AN445" i="7" s="1"/>
  <c r="AO445" i="7" s="1"/>
  <c r="AP445" i="7" s="1"/>
  <c r="AQ445" i="7" s="1"/>
  <c r="AR445" i="7" s="1"/>
  <c r="AS445" i="7" s="1"/>
  <c r="AT445" i="7" s="1"/>
  <c r="AU445" i="7" s="1"/>
  <c r="AV445" i="7" s="1"/>
  <c r="AW445" i="7" s="1"/>
  <c r="AX445" i="7"/>
  <c r="AZ445" i="7"/>
  <c r="BC445" i="7"/>
  <c r="BD445" i="7" s="1"/>
  <c r="BE445" i="7" s="1"/>
  <c r="BF445" i="7" s="1"/>
  <c r="BG445" i="7" s="1"/>
  <c r="BH445" i="7" s="1"/>
  <c r="BI445" i="7" s="1"/>
  <c r="BJ445" i="7" s="1"/>
  <c r="BK445" i="7" s="1"/>
  <c r="BL445" i="7" s="1"/>
  <c r="BM445" i="7" s="1"/>
  <c r="BN445" i="7" s="1"/>
  <c r="BO445" i="7" s="1"/>
  <c r="BP445" i="7" s="1"/>
  <c r="BQ445" i="7" s="1"/>
  <c r="BR445" i="7" s="1"/>
  <c r="BS445" i="7" s="1"/>
  <c r="BT445" i="7" s="1"/>
  <c r="BU445" i="7" s="1"/>
  <c r="BV445" i="7" s="1"/>
  <c r="BW445" i="7" s="1"/>
  <c r="BX445" i="7" s="1"/>
  <c r="BY445" i="7" s="1"/>
  <c r="BZ445" i="7" s="1"/>
  <c r="CA445" i="7" s="1"/>
  <c r="CB445" i="7" s="1"/>
  <c r="CC445" i="7" s="1"/>
  <c r="CD445" i="7" s="1"/>
  <c r="CE445" i="7" s="1"/>
  <c r="CF445" i="7" s="1"/>
  <c r="CG445" i="7" s="1"/>
  <c r="CH445" i="7" s="1"/>
  <c r="CI445" i="7" s="1"/>
  <c r="CJ445" i="7" s="1"/>
  <c r="CK445" i="7" s="1"/>
  <c r="CL445" i="7" s="1"/>
  <c r="CM445" i="7" s="1"/>
  <c r="CU445" i="7"/>
  <c r="CV445" i="7" s="1"/>
  <c r="CW445" i="7" s="1"/>
  <c r="CX445" i="7" s="1"/>
  <c r="CY445" i="7" s="1"/>
  <c r="DC445" i="7"/>
  <c r="DD445" i="7" s="1"/>
  <c r="DE445" i="7" s="1"/>
  <c r="BW446" i="7"/>
  <c r="BX446" i="7" s="1"/>
  <c r="BY446" i="7" s="1"/>
  <c r="BZ446" i="7" s="1"/>
  <c r="CA446" i="7" s="1"/>
  <c r="CB446" i="7" s="1"/>
  <c r="CC446" i="7" s="1"/>
  <c r="CD446" i="7" s="1"/>
  <c r="CE446" i="7" s="1"/>
  <c r="CF446" i="7" s="1"/>
  <c r="CG446" i="7" s="1"/>
  <c r="CH446" i="7" s="1"/>
  <c r="CI446" i="7" s="1"/>
  <c r="CJ446" i="7" s="1"/>
  <c r="CK446" i="7" s="1"/>
  <c r="CL446" i="7" s="1"/>
  <c r="CM446" i="7" s="1"/>
  <c r="CN446" i="7" s="1"/>
  <c r="CO446" i="7" s="1"/>
  <c r="CP446" i="7" s="1"/>
  <c r="CQ446" i="7" s="1"/>
  <c r="CR446" i="7" s="1"/>
  <c r="CS446" i="7" s="1"/>
  <c r="CT446" i="7" s="1"/>
  <c r="CU446" i="7" s="1"/>
  <c r="CV446" i="7" s="1"/>
  <c r="CW446" i="7" s="1"/>
  <c r="CX446" i="7" s="1"/>
  <c r="CY446" i="7" s="1"/>
  <c r="CZ446" i="7" s="1"/>
  <c r="DA446" i="7" s="1"/>
  <c r="DB446" i="7" s="1"/>
  <c r="DC446" i="7" s="1"/>
  <c r="DD446" i="7" s="1"/>
  <c r="DE446" i="7" s="1"/>
  <c r="DF446" i="7" s="1"/>
  <c r="DG446" i="7" s="1"/>
  <c r="DH446" i="7" s="1"/>
  <c r="DI446" i="7" s="1"/>
  <c r="DJ446" i="7" s="1"/>
  <c r="DK446" i="7" s="1"/>
  <c r="DL446" i="7" s="1"/>
  <c r="DM446" i="7" s="1"/>
  <c r="DN446" i="7" s="1"/>
  <c r="DO446" i="7" s="1"/>
  <c r="DP446" i="7" s="1"/>
  <c r="DQ446" i="7" s="1"/>
  <c r="DR446" i="7" s="1"/>
  <c r="DS446" i="7" s="1"/>
  <c r="DT446" i="7" s="1"/>
  <c r="DU446" i="7" s="1"/>
  <c r="DV446" i="7" s="1"/>
  <c r="DW446" i="7" s="1"/>
  <c r="BW447" i="7"/>
  <c r="BX447" i="7" s="1"/>
  <c r="BY447" i="7" s="1"/>
  <c r="BZ447" i="7" s="1"/>
  <c r="CA447" i="7" s="1"/>
  <c r="CB447" i="7" s="1"/>
  <c r="CC447" i="7" s="1"/>
  <c r="CD447" i="7" s="1"/>
  <c r="CE447" i="7" s="1"/>
  <c r="CF447" i="7" s="1"/>
  <c r="CG447" i="7" s="1"/>
  <c r="CH447" i="7" s="1"/>
  <c r="CI447" i="7" s="1"/>
  <c r="CJ447" i="7" s="1"/>
  <c r="CK447" i="7" s="1"/>
  <c r="CL447" i="7" s="1"/>
  <c r="CM447" i="7" s="1"/>
  <c r="CN447" i="7" s="1"/>
  <c r="CO447" i="7" s="1"/>
  <c r="CP447" i="7" s="1"/>
  <c r="CQ447" i="7" s="1"/>
  <c r="CR447" i="7" s="1"/>
  <c r="CS447" i="7" s="1"/>
  <c r="CT447" i="7" s="1"/>
  <c r="CU447" i="7" s="1"/>
  <c r="CV447" i="7" s="1"/>
  <c r="CW447" i="7" s="1"/>
  <c r="CX447" i="7" s="1"/>
  <c r="CY447" i="7" s="1"/>
  <c r="CZ447" i="7" s="1"/>
  <c r="DA447" i="7" s="1"/>
  <c r="DB447" i="7" s="1"/>
  <c r="DC447" i="7" s="1"/>
  <c r="DD447" i="7" s="1"/>
  <c r="DE447" i="7" s="1"/>
  <c r="DF447" i="7" s="1"/>
  <c r="DG447" i="7" s="1"/>
  <c r="DH447" i="7" s="1"/>
  <c r="DI447" i="7" s="1"/>
  <c r="DJ447" i="7" s="1"/>
  <c r="DK447" i="7" s="1"/>
  <c r="DL447" i="7" s="1"/>
  <c r="DM447" i="7" s="1"/>
  <c r="DN447" i="7" s="1"/>
  <c r="DO447" i="7" s="1"/>
  <c r="DP447" i="7" s="1"/>
  <c r="DQ447" i="7" s="1"/>
  <c r="DR447" i="7" s="1"/>
  <c r="DS447" i="7" s="1"/>
  <c r="DT447" i="7" s="1"/>
  <c r="DU447" i="7" s="1"/>
  <c r="DV447" i="7" s="1"/>
  <c r="DW447" i="7" s="1"/>
  <c r="BW450" i="7"/>
  <c r="BX450" i="7" s="1"/>
  <c r="BY450" i="7" s="1"/>
  <c r="BZ450" i="7" s="1"/>
  <c r="CA450" i="7" s="1"/>
  <c r="CB450" i="7" s="1"/>
  <c r="CC450" i="7" s="1"/>
  <c r="CD450" i="7" s="1"/>
  <c r="CE450" i="7" s="1"/>
  <c r="CF450" i="7" s="1"/>
  <c r="CG450" i="7" s="1"/>
  <c r="CH450" i="7" s="1"/>
  <c r="CI450" i="7" s="1"/>
  <c r="CJ450" i="7" s="1"/>
  <c r="CK450" i="7" s="1"/>
  <c r="CL450" i="7" s="1"/>
  <c r="CM450" i="7" s="1"/>
  <c r="CN450" i="7" s="1"/>
  <c r="CO450" i="7" s="1"/>
  <c r="CP450" i="7" s="1"/>
  <c r="CQ450" i="7" s="1"/>
  <c r="CR450" i="7" s="1"/>
  <c r="CS450" i="7" s="1"/>
  <c r="CT450" i="7" s="1"/>
  <c r="CU450" i="7" s="1"/>
  <c r="CV450" i="7" s="1"/>
  <c r="CW450" i="7" s="1"/>
  <c r="CX450" i="7" s="1"/>
  <c r="CY450" i="7" s="1"/>
  <c r="CZ450" i="7" s="1"/>
  <c r="DA450" i="7" s="1"/>
  <c r="DB450" i="7" s="1"/>
  <c r="DC450" i="7" s="1"/>
  <c r="DD450" i="7" s="1"/>
  <c r="DE450" i="7" s="1"/>
  <c r="DF450" i="7" s="1"/>
  <c r="DG450" i="7" s="1"/>
  <c r="DH450" i="7" s="1"/>
  <c r="DI450" i="7" s="1"/>
  <c r="DJ450" i="7" s="1"/>
  <c r="DK450" i="7" s="1"/>
  <c r="DL450" i="7" s="1"/>
  <c r="DM450" i="7" s="1"/>
  <c r="DN450" i="7" s="1"/>
  <c r="DO450" i="7" s="1"/>
  <c r="DP450" i="7" s="1"/>
  <c r="DQ450" i="7" s="1"/>
  <c r="DR450" i="7" s="1"/>
  <c r="DS450" i="7" s="1"/>
  <c r="DT450" i="7" s="1"/>
  <c r="DU450" i="7" s="1"/>
  <c r="DV450" i="7" s="1"/>
  <c r="DW450" i="7" s="1"/>
  <c r="E451" i="7"/>
  <c r="F451" i="7"/>
  <c r="G451" i="7"/>
  <c r="H451" i="7"/>
  <c r="I451" i="7"/>
  <c r="J451" i="7"/>
  <c r="K451" i="7"/>
  <c r="L451" i="7"/>
  <c r="M451" i="7"/>
  <c r="N451" i="7"/>
  <c r="O451" i="7"/>
  <c r="P451" i="7"/>
  <c r="Q451" i="7"/>
  <c r="R451" i="7"/>
  <c r="S451" i="7"/>
  <c r="T451" i="7"/>
  <c r="U451" i="7"/>
  <c r="V451" i="7"/>
  <c r="W451" i="7"/>
  <c r="X451" i="7"/>
  <c r="Y451" i="7"/>
  <c r="Z451" i="7"/>
  <c r="AA451" i="7"/>
  <c r="AB451" i="7"/>
  <c r="AC451" i="7"/>
  <c r="AD451" i="7"/>
  <c r="AE451" i="7"/>
  <c r="AF451" i="7"/>
  <c r="AG451" i="7"/>
  <c r="AH451" i="7"/>
  <c r="AI451" i="7"/>
  <c r="AJ451" i="7"/>
  <c r="AK451" i="7"/>
  <c r="AL451" i="7"/>
  <c r="AN454" i="7"/>
  <c r="AO454" i="7"/>
  <c r="AQ454" i="7"/>
  <c r="AP454" i="7" s="1"/>
  <c r="AR454" i="7"/>
  <c r="AT454" i="7"/>
  <c r="AS454" i="7" s="1"/>
  <c r="AU454" i="7"/>
  <c r="AW454" i="7"/>
  <c r="AV454" i="7" s="1"/>
  <c r="AX454" i="7"/>
  <c r="AZ454" i="7"/>
  <c r="AY454" i="7" s="1"/>
  <c r="BA454" i="7"/>
  <c r="BC454" i="7"/>
  <c r="BB454" i="7" s="1"/>
  <c r="BD454" i="7"/>
  <c r="BF454" i="7"/>
  <c r="BE454" i="7" s="1"/>
  <c r="BG454" i="7"/>
  <c r="BI454" i="7"/>
  <c r="BH454" i="7" s="1"/>
  <c r="BJ454" i="7"/>
  <c r="BL454" i="7"/>
  <c r="BK454" i="7" s="1"/>
  <c r="BM454" i="7"/>
  <c r="BO454" i="7"/>
  <c r="BN454" i="7" s="1"/>
  <c r="BP454" i="7"/>
  <c r="BR454" i="7"/>
  <c r="BQ454" i="7" s="1"/>
  <c r="BS454" i="7"/>
  <c r="BU454" i="7"/>
  <c r="BT454" i="7" s="1"/>
  <c r="BV454" i="7"/>
  <c r="BX454" i="7"/>
  <c r="BW454" i="7" s="1"/>
  <c r="BY454" i="7"/>
  <c r="CA456" i="7"/>
  <c r="CA454" i="7" s="1"/>
  <c r="CB454" i="7"/>
  <c r="CD454" i="7"/>
  <c r="CE454" i="7"/>
  <c r="CG454" i="7"/>
  <c r="CF454" i="7" s="1"/>
  <c r="CH454" i="7"/>
  <c r="CJ454" i="7"/>
  <c r="CK454" i="7"/>
  <c r="CM454" i="7"/>
  <c r="CL454" i="7" s="1"/>
  <c r="CN454" i="7"/>
  <c r="CP454" i="7"/>
  <c r="CQ454" i="7"/>
  <c r="CS454" i="7"/>
  <c r="CT454" i="7"/>
  <c r="CV454" i="7"/>
  <c r="CW454" i="7"/>
  <c r="CY454" i="7"/>
  <c r="CX454" i="7" s="1"/>
  <c r="CZ454" i="7"/>
  <c r="DB454" i="7"/>
  <c r="DC454" i="7"/>
  <c r="DE454" i="7"/>
  <c r="DD454" i="7" s="1"/>
  <c r="DF454" i="7"/>
  <c r="DH454" i="7"/>
  <c r="DI454" i="7"/>
  <c r="DK454" i="7"/>
  <c r="DJ454" i="7" s="1"/>
  <c r="DL454" i="7"/>
  <c r="DN454" i="7"/>
  <c r="DO454" i="7"/>
  <c r="DQ454" i="7"/>
  <c r="DP454" i="7" s="1"/>
  <c r="DR454" i="7"/>
  <c r="DT454" i="7"/>
  <c r="DU454" i="7"/>
  <c r="DW454" i="7"/>
  <c r="DV454" i="7" s="1"/>
  <c r="DX454" i="7"/>
  <c r="DZ454" i="7"/>
  <c r="EA454" i="7"/>
  <c r="EC454" i="7"/>
  <c r="ED454" i="7"/>
  <c r="EF454" i="7"/>
  <c r="EG454" i="7"/>
  <c r="EI454" i="7"/>
  <c r="EH454" i="7" s="1"/>
  <c r="EJ454" i="7"/>
  <c r="EL454" i="7"/>
  <c r="EM454" i="7"/>
  <c r="EO454" i="7"/>
  <c r="EN454" i="7" s="1"/>
  <c r="EP454" i="7"/>
  <c r="ER454" i="7"/>
  <c r="AP455" i="7"/>
  <c r="AS455" i="7"/>
  <c r="AV455" i="7"/>
  <c r="AY455" i="7"/>
  <c r="BB455" i="7"/>
  <c r="BE455" i="7"/>
  <c r="BH455" i="7"/>
  <c r="BK455" i="7"/>
  <c r="BN455" i="7"/>
  <c r="BQ455" i="7"/>
  <c r="BT455" i="7"/>
  <c r="BW455" i="7"/>
  <c r="BZ455" i="7"/>
  <c r="CC455" i="7"/>
  <c r="CF455" i="7"/>
  <c r="CI455" i="7"/>
  <c r="CL455" i="7"/>
  <c r="CO455" i="7"/>
  <c r="CR455" i="7"/>
  <c r="CU455" i="7"/>
  <c r="CX455" i="7"/>
  <c r="DA455" i="7"/>
  <c r="DD455" i="7"/>
  <c r="DG455" i="7"/>
  <c r="DJ455" i="7"/>
  <c r="DM455" i="7"/>
  <c r="DP455" i="7"/>
  <c r="DS455" i="7"/>
  <c r="DV455" i="7"/>
  <c r="DY455" i="7"/>
  <c r="EB455" i="7"/>
  <c r="EE455" i="7"/>
  <c r="EH455" i="7"/>
  <c r="EK455" i="7"/>
  <c r="EN455" i="7"/>
  <c r="EQ455" i="7"/>
  <c r="AP456" i="7"/>
  <c r="AS456" i="7"/>
  <c r="AV456" i="7"/>
  <c r="AY456" i="7"/>
  <c r="BB456" i="7"/>
  <c r="BE456" i="7"/>
  <c r="BH456" i="7"/>
  <c r="BK456" i="7"/>
  <c r="BN456" i="7"/>
  <c r="BQ456" i="7"/>
  <c r="BT456" i="7"/>
  <c r="BW456" i="7"/>
  <c r="CC456" i="7"/>
  <c r="CF456" i="7"/>
  <c r="CI456" i="7"/>
  <c r="CL456" i="7"/>
  <c r="CO456" i="7"/>
  <c r="CR456" i="7"/>
  <c r="CU456" i="7"/>
  <c r="CX456" i="7"/>
  <c r="DA456" i="7"/>
  <c r="DD456" i="7"/>
  <c r="DG456" i="7"/>
  <c r="DJ456" i="7"/>
  <c r="DM456" i="7"/>
  <c r="DP456" i="7"/>
  <c r="DS456" i="7"/>
  <c r="DV456" i="7"/>
  <c r="DY456" i="7"/>
  <c r="EB456" i="7"/>
  <c r="EE456" i="7"/>
  <c r="EH456" i="7"/>
  <c r="EK456" i="7"/>
  <c r="EN456" i="7"/>
  <c r="EQ456" i="7"/>
  <c r="AN457" i="7"/>
  <c r="AO457" i="7"/>
  <c r="AQ457" i="7"/>
  <c r="AP457" i="7" s="1"/>
  <c r="AR457" i="7"/>
  <c r="AT457" i="7"/>
  <c r="AS457" i="7" s="1"/>
  <c r="AU457" i="7"/>
  <c r="AW457" i="7"/>
  <c r="AV457" i="7" s="1"/>
  <c r="AX457" i="7"/>
  <c r="AZ457" i="7"/>
  <c r="AY457" i="7" s="1"/>
  <c r="BA457" i="7"/>
  <c r="BC457" i="7"/>
  <c r="BB457" i="7" s="1"/>
  <c r="BD457" i="7"/>
  <c r="BF457" i="7"/>
  <c r="BE457" i="7" s="1"/>
  <c r="BG457" i="7"/>
  <c r="BI457" i="7"/>
  <c r="BH457" i="7" s="1"/>
  <c r="BJ457" i="7"/>
  <c r="BL457" i="7"/>
  <c r="BK457" i="7" s="1"/>
  <c r="BM457" i="7"/>
  <c r="BO457" i="7"/>
  <c r="BN457" i="7" s="1"/>
  <c r="BP457" i="7"/>
  <c r="BR457" i="7"/>
  <c r="BQ457" i="7" s="1"/>
  <c r="BS457" i="7"/>
  <c r="BU457" i="7"/>
  <c r="BT457" i="7" s="1"/>
  <c r="BV457" i="7"/>
  <c r="BX457" i="7"/>
  <c r="BW457" i="7" s="1"/>
  <c r="BY457" i="7"/>
  <c r="CA457" i="7"/>
  <c r="BZ457" i="7" s="1"/>
  <c r="CB457" i="7"/>
  <c r="CD457" i="7"/>
  <c r="CC457" i="7" s="1"/>
  <c r="CE457" i="7"/>
  <c r="CG457" i="7"/>
  <c r="CF457" i="7" s="1"/>
  <c r="CH457" i="7"/>
  <c r="CJ457" i="7"/>
  <c r="CI457" i="7" s="1"/>
  <c r="CK457" i="7"/>
  <c r="CM457" i="7"/>
  <c r="CL457" i="7" s="1"/>
  <c r="CN457" i="7"/>
  <c r="CP457" i="7"/>
  <c r="CO457" i="7" s="1"/>
  <c r="CQ457" i="7"/>
  <c r="CS457" i="7"/>
  <c r="CR457" i="7" s="1"/>
  <c r="CT457" i="7"/>
  <c r="CV457" i="7"/>
  <c r="CU457" i="7" s="1"/>
  <c r="CW457" i="7"/>
  <c r="CY457" i="7"/>
  <c r="CX457" i="7" s="1"/>
  <c r="CZ457" i="7"/>
  <c r="DB457" i="7"/>
  <c r="DA457" i="7" s="1"/>
  <c r="DC457" i="7"/>
  <c r="DE457" i="7"/>
  <c r="DD457" i="7" s="1"/>
  <c r="DF457" i="7"/>
  <c r="DH457" i="7"/>
  <c r="DG457" i="7" s="1"/>
  <c r="DI457" i="7"/>
  <c r="DK457" i="7"/>
  <c r="DJ457" i="7" s="1"/>
  <c r="DL457" i="7"/>
  <c r="DN457" i="7"/>
  <c r="DM457" i="7" s="1"/>
  <c r="DO457" i="7"/>
  <c r="DQ457" i="7"/>
  <c r="DP457" i="7" s="1"/>
  <c r="DR457" i="7"/>
  <c r="DT457" i="7"/>
  <c r="DS457" i="7" s="1"/>
  <c r="DU457" i="7"/>
  <c r="DW457" i="7"/>
  <c r="DV457" i="7" s="1"/>
  <c r="DX457" i="7"/>
  <c r="DZ457" i="7"/>
  <c r="DY457" i="7" s="1"/>
  <c r="EA457" i="7"/>
  <c r="EC457" i="7"/>
  <c r="EB457" i="7" s="1"/>
  <c r="ED457" i="7"/>
  <c r="EF457" i="7"/>
  <c r="EE457" i="7" s="1"/>
  <c r="EG457" i="7"/>
  <c r="EI457" i="7"/>
  <c r="EH457" i="7" s="1"/>
  <c r="EJ457" i="7"/>
  <c r="EL457" i="7"/>
  <c r="EK457" i="7" s="1"/>
  <c r="EM457" i="7"/>
  <c r="EO457" i="7"/>
  <c r="EN457" i="7" s="1"/>
  <c r="EP457" i="7"/>
  <c r="ER457" i="7"/>
  <c r="EQ457" i="7" s="1"/>
  <c r="AP458" i="7"/>
  <c r="AS458" i="7"/>
  <c r="AV458" i="7"/>
  <c r="AY458" i="7"/>
  <c r="BB458" i="7"/>
  <c r="BE458" i="7"/>
  <c r="BH458" i="7"/>
  <c r="BK458" i="7"/>
  <c r="BN458" i="7"/>
  <c r="BQ458" i="7"/>
  <c r="BT458" i="7"/>
  <c r="BW458" i="7"/>
  <c r="BZ458" i="7"/>
  <c r="CC458" i="7"/>
  <c r="CF458" i="7"/>
  <c r="CI458" i="7"/>
  <c r="CL458" i="7"/>
  <c r="CO458" i="7"/>
  <c r="CR458" i="7"/>
  <c r="CU458" i="7"/>
  <c r="CX458" i="7"/>
  <c r="DA458" i="7"/>
  <c r="DD458" i="7"/>
  <c r="DG458" i="7"/>
  <c r="DJ458" i="7"/>
  <c r="DM458" i="7"/>
  <c r="DP458" i="7"/>
  <c r="DS458" i="7"/>
  <c r="DV458" i="7"/>
  <c r="DY458" i="7"/>
  <c r="EB458" i="7"/>
  <c r="EE458" i="7"/>
  <c r="EH458" i="7"/>
  <c r="EK458" i="7"/>
  <c r="EN458" i="7"/>
  <c r="EQ458" i="7"/>
  <c r="AP459" i="7"/>
  <c r="AS459" i="7"/>
  <c r="AV459" i="7"/>
  <c r="AY459" i="7"/>
  <c r="BB459" i="7"/>
  <c r="BE459" i="7"/>
  <c r="BH459" i="7"/>
  <c r="BK459" i="7"/>
  <c r="BN459" i="7"/>
  <c r="BQ459" i="7"/>
  <c r="BT459" i="7"/>
  <c r="BW459" i="7"/>
  <c r="BZ459" i="7"/>
  <c r="CC459" i="7"/>
  <c r="CF459" i="7"/>
  <c r="CI459" i="7"/>
  <c r="CL459" i="7"/>
  <c r="CO459" i="7"/>
  <c r="CR459" i="7"/>
  <c r="CU459" i="7"/>
  <c r="CX459" i="7"/>
  <c r="DA459" i="7"/>
  <c r="DD459" i="7"/>
  <c r="DG459" i="7"/>
  <c r="DJ459" i="7"/>
  <c r="DM459" i="7"/>
  <c r="DP459" i="7"/>
  <c r="DS459" i="7"/>
  <c r="DV459" i="7"/>
  <c r="DY459" i="7"/>
  <c r="EB459" i="7"/>
  <c r="EE459" i="7"/>
  <c r="EH459" i="7"/>
  <c r="EK459" i="7"/>
  <c r="EN459" i="7"/>
  <c r="EQ459" i="7"/>
  <c r="AP464" i="7"/>
  <c r="AS464" i="7"/>
  <c r="AV464" i="7"/>
  <c r="AY464" i="7"/>
  <c r="BB464" i="7"/>
  <c r="BE464" i="7"/>
  <c r="BH464" i="7"/>
  <c r="BK464" i="7"/>
  <c r="BN464" i="7"/>
  <c r="BQ464" i="7"/>
  <c r="BT464" i="7"/>
  <c r="BW464" i="7"/>
  <c r="BZ464" i="7"/>
  <c r="CC464" i="7"/>
  <c r="CF464" i="7"/>
  <c r="CI464" i="7"/>
  <c r="CL464" i="7"/>
  <c r="CO464" i="7"/>
  <c r="CR464" i="7"/>
  <c r="CU464" i="7"/>
  <c r="CX464" i="7"/>
  <c r="DA464" i="7"/>
  <c r="DD464" i="7"/>
  <c r="DG464" i="7"/>
  <c r="DJ464" i="7"/>
  <c r="DM464" i="7"/>
  <c r="DP464" i="7"/>
  <c r="DS464" i="7"/>
  <c r="DV464" i="7"/>
  <c r="DY464" i="7"/>
  <c r="EB464" i="7"/>
  <c r="EE464" i="7"/>
  <c r="EH464" i="7"/>
  <c r="EK464" i="7"/>
  <c r="EN464" i="7"/>
  <c r="EQ464" i="7"/>
  <c r="AP465" i="7"/>
  <c r="AS465" i="7"/>
  <c r="AV465" i="7"/>
  <c r="AY465" i="7"/>
  <c r="BB465" i="7"/>
  <c r="BE465" i="7"/>
  <c r="BH465" i="7"/>
  <c r="BK465" i="7"/>
  <c r="BN465" i="7"/>
  <c r="BQ465" i="7"/>
  <c r="BT465" i="7"/>
  <c r="BW465" i="7"/>
  <c r="BZ465" i="7"/>
  <c r="CC465" i="7"/>
  <c r="CF465" i="7"/>
  <c r="CI465" i="7"/>
  <c r="CL465" i="7"/>
  <c r="CO465" i="7"/>
  <c r="CR465" i="7"/>
  <c r="CU465" i="7"/>
  <c r="CX465" i="7"/>
  <c r="DA465" i="7"/>
  <c r="DD465" i="7"/>
  <c r="DG465" i="7"/>
  <c r="DJ465" i="7"/>
  <c r="DM465" i="7"/>
  <c r="DP465" i="7"/>
  <c r="DS465" i="7"/>
  <c r="DV465" i="7"/>
  <c r="DY465" i="7"/>
  <c r="EB465" i="7"/>
  <c r="EE465" i="7"/>
  <c r="EH465" i="7"/>
  <c r="EK465" i="7"/>
  <c r="EN465" i="7"/>
  <c r="EQ465" i="7"/>
  <c r="AP466" i="7"/>
  <c r="AS466" i="7"/>
  <c r="AV466" i="7"/>
  <c r="AY466" i="7"/>
  <c r="BB466" i="7"/>
  <c r="BE466" i="7"/>
  <c r="BH466" i="7"/>
  <c r="BK466" i="7"/>
  <c r="BN466" i="7"/>
  <c r="BQ466" i="7"/>
  <c r="BT466" i="7"/>
  <c r="BW466" i="7"/>
  <c r="BZ466" i="7"/>
  <c r="CC466" i="7"/>
  <c r="CF466" i="7"/>
  <c r="CI466" i="7"/>
  <c r="CL466" i="7"/>
  <c r="CO466" i="7"/>
  <c r="CR466" i="7"/>
  <c r="CU466" i="7"/>
  <c r="CX466" i="7"/>
  <c r="DA466" i="7"/>
  <c r="DD466" i="7"/>
  <c r="DG466" i="7"/>
  <c r="DJ466" i="7"/>
  <c r="DM466" i="7"/>
  <c r="DP466" i="7"/>
  <c r="DS466" i="7"/>
  <c r="DV466" i="7"/>
  <c r="DY466" i="7"/>
  <c r="EB466" i="7"/>
  <c r="EE466" i="7"/>
  <c r="EH466" i="7"/>
  <c r="EK466" i="7"/>
  <c r="EN466" i="7"/>
  <c r="EQ466" i="7"/>
  <c r="AP467" i="7"/>
  <c r="AS467" i="7"/>
  <c r="AV467" i="7"/>
  <c r="AY467" i="7"/>
  <c r="BB467" i="7"/>
  <c r="BE467" i="7"/>
  <c r="BH467" i="7"/>
  <c r="BK467" i="7"/>
  <c r="BN467" i="7"/>
  <c r="BQ467" i="7"/>
  <c r="BT467" i="7"/>
  <c r="BW467" i="7"/>
  <c r="BZ467" i="7"/>
  <c r="CC467" i="7"/>
  <c r="CF467" i="7"/>
  <c r="CI467" i="7"/>
  <c r="CL467" i="7"/>
  <c r="CO467" i="7"/>
  <c r="CR467" i="7"/>
  <c r="CU467" i="7"/>
  <c r="CX467" i="7"/>
  <c r="DA467" i="7"/>
  <c r="DD467" i="7"/>
  <c r="DG467" i="7"/>
  <c r="DJ467" i="7"/>
  <c r="DM467" i="7"/>
  <c r="DP467" i="7"/>
  <c r="DS467" i="7"/>
  <c r="DV467" i="7"/>
  <c r="DY467" i="7"/>
  <c r="EB467" i="7"/>
  <c r="EE467" i="7"/>
  <c r="EH467" i="7"/>
  <c r="EK467" i="7"/>
  <c r="EN467" i="7"/>
  <c r="EQ467" i="7"/>
  <c r="AP469" i="7"/>
  <c r="AS469" i="7"/>
  <c r="AV469" i="7"/>
  <c r="AY469" i="7"/>
  <c r="BB469" i="7"/>
  <c r="BE469" i="7"/>
  <c r="BH469" i="7"/>
  <c r="BK469" i="7"/>
  <c r="BN469" i="7"/>
  <c r="BQ469" i="7"/>
  <c r="BT469" i="7"/>
  <c r="BW469" i="7"/>
  <c r="BZ469" i="7"/>
  <c r="CC469" i="7"/>
  <c r="CF469" i="7"/>
  <c r="CI469" i="7"/>
  <c r="CL469" i="7"/>
  <c r="CO469" i="7"/>
  <c r="CR469" i="7"/>
  <c r="CU469" i="7"/>
  <c r="CX469" i="7"/>
  <c r="DA469" i="7"/>
  <c r="DD469" i="7"/>
  <c r="DG469" i="7"/>
  <c r="DJ469" i="7"/>
  <c r="DM469" i="7"/>
  <c r="DP469" i="7"/>
  <c r="DS469" i="7"/>
  <c r="DV469" i="7"/>
  <c r="DY469" i="7"/>
  <c r="EB469" i="7"/>
  <c r="EE469" i="7"/>
  <c r="EH469" i="7"/>
  <c r="EK469" i="7"/>
  <c r="EN469" i="7"/>
  <c r="EQ469" i="7"/>
  <c r="AP470" i="7"/>
  <c r="AS470" i="7"/>
  <c r="AV470" i="7"/>
  <c r="AY470" i="7"/>
  <c r="BB470" i="7"/>
  <c r="BE470" i="7"/>
  <c r="BH470" i="7"/>
  <c r="BK470" i="7"/>
  <c r="BN470" i="7"/>
  <c r="BQ470" i="7"/>
  <c r="BT470" i="7"/>
  <c r="BW470" i="7"/>
  <c r="BZ470" i="7"/>
  <c r="CC470" i="7"/>
  <c r="CF470" i="7"/>
  <c r="CI470" i="7"/>
  <c r="CL470" i="7"/>
  <c r="CO470" i="7"/>
  <c r="CR470" i="7"/>
  <c r="CU470" i="7"/>
  <c r="CX470" i="7"/>
  <c r="DA470" i="7"/>
  <c r="DD470" i="7"/>
  <c r="DG470" i="7"/>
  <c r="DJ470" i="7"/>
  <c r="DM470" i="7"/>
  <c r="DP470" i="7"/>
  <c r="DS470" i="7"/>
  <c r="DV470" i="7"/>
  <c r="DY470" i="7"/>
  <c r="EB470" i="7"/>
  <c r="EE470" i="7"/>
  <c r="EH470" i="7"/>
  <c r="EK470" i="7"/>
  <c r="EN470" i="7"/>
  <c r="EQ470" i="7"/>
  <c r="AP471" i="7"/>
  <c r="AS471" i="7"/>
  <c r="AV471" i="7"/>
  <c r="AY471" i="7"/>
  <c r="BB471" i="7"/>
  <c r="BE471" i="7"/>
  <c r="BH471" i="7"/>
  <c r="BK471" i="7"/>
  <c r="BN471" i="7"/>
  <c r="BQ471" i="7"/>
  <c r="BT471" i="7"/>
  <c r="BW471" i="7"/>
  <c r="BZ471" i="7"/>
  <c r="CC471" i="7"/>
  <c r="CF471" i="7"/>
  <c r="CI471" i="7"/>
  <c r="CL471" i="7"/>
  <c r="CO471" i="7"/>
  <c r="CR471" i="7"/>
  <c r="CU471" i="7"/>
  <c r="CX471" i="7"/>
  <c r="DA471" i="7"/>
  <c r="DD471" i="7"/>
  <c r="DG471" i="7"/>
  <c r="DJ471" i="7"/>
  <c r="DM471" i="7"/>
  <c r="DP471" i="7"/>
  <c r="DS471" i="7"/>
  <c r="DV471" i="7"/>
  <c r="DY471" i="7"/>
  <c r="EB471" i="7"/>
  <c r="EE471" i="7"/>
  <c r="EH471" i="7"/>
  <c r="EK471" i="7"/>
  <c r="EN471" i="7"/>
  <c r="EQ471" i="7"/>
  <c r="AP472" i="7"/>
  <c r="AS472" i="7"/>
  <c r="AV472" i="7"/>
  <c r="AY472" i="7"/>
  <c r="BB472" i="7"/>
  <c r="BE472" i="7"/>
  <c r="BH472" i="7"/>
  <c r="BK472" i="7"/>
  <c r="BN472" i="7"/>
  <c r="BQ472" i="7"/>
  <c r="BT472" i="7"/>
  <c r="BW472" i="7"/>
  <c r="BZ472" i="7"/>
  <c r="CC472" i="7"/>
  <c r="CF472" i="7"/>
  <c r="CI472" i="7"/>
  <c r="CL472" i="7"/>
  <c r="CO472" i="7"/>
  <c r="CR472" i="7"/>
  <c r="CU472" i="7"/>
  <c r="CX472" i="7"/>
  <c r="DA472" i="7"/>
  <c r="DD472" i="7"/>
  <c r="DG472" i="7"/>
  <c r="DJ472" i="7"/>
  <c r="DM472" i="7"/>
  <c r="DP472" i="7"/>
  <c r="DS472" i="7"/>
  <c r="DV472" i="7"/>
  <c r="DY472" i="7"/>
  <c r="EB472" i="7"/>
  <c r="EE472" i="7"/>
  <c r="EH472" i="7"/>
  <c r="EK472" i="7"/>
  <c r="EN472" i="7"/>
  <c r="EQ472" i="7"/>
  <c r="AP473" i="7"/>
  <c r="AS473" i="7"/>
  <c r="AV473" i="7"/>
  <c r="AY473" i="7"/>
  <c r="BB473" i="7"/>
  <c r="BE473" i="7"/>
  <c r="BH473" i="7"/>
  <c r="BK473" i="7"/>
  <c r="BN473" i="7"/>
  <c r="BQ473" i="7"/>
  <c r="BT473" i="7"/>
  <c r="BW473" i="7"/>
  <c r="BZ473" i="7"/>
  <c r="CC473" i="7"/>
  <c r="CF473" i="7"/>
  <c r="CI473" i="7"/>
  <c r="CL473" i="7"/>
  <c r="CO473" i="7"/>
  <c r="CR473" i="7"/>
  <c r="CU473" i="7"/>
  <c r="CX473" i="7"/>
  <c r="DA473" i="7"/>
  <c r="DD473" i="7"/>
  <c r="DG473" i="7"/>
  <c r="DJ473" i="7"/>
  <c r="DM473" i="7"/>
  <c r="DP473" i="7"/>
  <c r="DS473" i="7"/>
  <c r="DV473" i="7"/>
  <c r="DY473" i="7"/>
  <c r="EB473" i="7"/>
  <c r="EE473" i="7"/>
  <c r="EH473" i="7"/>
  <c r="EK473" i="7"/>
  <c r="EN473" i="7"/>
  <c r="EQ473" i="7"/>
  <c r="AP474" i="7"/>
  <c r="AS474" i="7"/>
  <c r="AV474" i="7"/>
  <c r="AY474" i="7"/>
  <c r="BB474" i="7"/>
  <c r="BE474" i="7"/>
  <c r="BH474" i="7"/>
  <c r="BK474" i="7"/>
  <c r="BN474" i="7"/>
  <c r="BQ474" i="7"/>
  <c r="BT474" i="7"/>
  <c r="BW474" i="7"/>
  <c r="BZ474" i="7"/>
  <c r="CC474" i="7"/>
  <c r="CF474" i="7"/>
  <c r="CI474" i="7"/>
  <c r="CL474" i="7"/>
  <c r="CO474" i="7"/>
  <c r="CR474" i="7"/>
  <c r="CU474" i="7"/>
  <c r="CX474" i="7"/>
  <c r="DA474" i="7"/>
  <c r="DD474" i="7"/>
  <c r="DG474" i="7"/>
  <c r="DJ474" i="7"/>
  <c r="DM474" i="7"/>
  <c r="DP474" i="7"/>
  <c r="DS474" i="7"/>
  <c r="DV474" i="7"/>
  <c r="DY474" i="7"/>
  <c r="EB474" i="7"/>
  <c r="EE474" i="7"/>
  <c r="EH474" i="7"/>
  <c r="EK474" i="7"/>
  <c r="EN474" i="7"/>
  <c r="EQ474" i="7"/>
  <c r="AP475" i="7"/>
  <c r="AS475" i="7"/>
  <c r="AV475" i="7"/>
  <c r="AY475" i="7"/>
  <c r="BB475" i="7"/>
  <c r="BE475" i="7"/>
  <c r="BH475" i="7"/>
  <c r="BK475" i="7"/>
  <c r="BN475" i="7"/>
  <c r="BQ475" i="7"/>
  <c r="BT475" i="7"/>
  <c r="BW475" i="7"/>
  <c r="BZ475" i="7"/>
  <c r="CC475" i="7"/>
  <c r="CF475" i="7"/>
  <c r="CI475" i="7"/>
  <c r="CL475" i="7"/>
  <c r="CO475" i="7"/>
  <c r="CR475" i="7"/>
  <c r="CU475" i="7"/>
  <c r="CX475" i="7"/>
  <c r="DA475" i="7"/>
  <c r="DD475" i="7"/>
  <c r="DG475" i="7"/>
  <c r="DJ475" i="7"/>
  <c r="DM475" i="7"/>
  <c r="DP475" i="7"/>
  <c r="DS475" i="7"/>
  <c r="DV475" i="7"/>
  <c r="DY475" i="7"/>
  <c r="EB475" i="7"/>
  <c r="EE475" i="7"/>
  <c r="EH475" i="7"/>
  <c r="EK475" i="7"/>
  <c r="EN475" i="7"/>
  <c r="EQ475" i="7"/>
  <c r="AP476" i="7"/>
  <c r="AS476" i="7"/>
  <c r="AV476" i="7"/>
  <c r="AY476" i="7"/>
  <c r="BB476" i="7"/>
  <c r="BE476" i="7"/>
  <c r="BH476" i="7"/>
  <c r="BK476" i="7"/>
  <c r="BN476" i="7"/>
  <c r="BQ476" i="7"/>
  <c r="BT476" i="7"/>
  <c r="BW476" i="7"/>
  <c r="BZ476" i="7"/>
  <c r="CC476" i="7"/>
  <c r="CF476" i="7"/>
  <c r="CI476" i="7"/>
  <c r="CL476" i="7"/>
  <c r="CO476" i="7"/>
  <c r="CR476" i="7"/>
  <c r="CU476" i="7"/>
  <c r="CX476" i="7"/>
  <c r="DA476" i="7"/>
  <c r="DD476" i="7"/>
  <c r="DG476" i="7"/>
  <c r="DJ476" i="7"/>
  <c r="DM476" i="7"/>
  <c r="DP476" i="7"/>
  <c r="DS476" i="7"/>
  <c r="DV476" i="7"/>
  <c r="DY476" i="7"/>
  <c r="EB476" i="7"/>
  <c r="EE476" i="7"/>
  <c r="EH476" i="7"/>
  <c r="EK476" i="7"/>
  <c r="EN476" i="7"/>
  <c r="EQ476" i="7"/>
  <c r="AP477" i="7"/>
  <c r="AS477" i="7"/>
  <c r="AV477" i="7"/>
  <c r="AY477" i="7"/>
  <c r="BB477" i="7"/>
  <c r="BE477" i="7"/>
  <c r="BH477" i="7"/>
  <c r="BK477" i="7"/>
  <c r="BN477" i="7"/>
  <c r="BQ477" i="7"/>
  <c r="BT477" i="7"/>
  <c r="BW477" i="7"/>
  <c r="BZ477" i="7"/>
  <c r="CC477" i="7"/>
  <c r="CF477" i="7"/>
  <c r="CI477" i="7"/>
  <c r="CL477" i="7"/>
  <c r="CO477" i="7"/>
  <c r="CR477" i="7"/>
  <c r="CU477" i="7"/>
  <c r="CX477" i="7"/>
  <c r="DA477" i="7"/>
  <c r="DD477" i="7"/>
  <c r="DG477" i="7"/>
  <c r="DJ477" i="7"/>
  <c r="DM477" i="7"/>
  <c r="DP477" i="7"/>
  <c r="DS477" i="7"/>
  <c r="DV477" i="7"/>
  <c r="DY477" i="7"/>
  <c r="EB477" i="7"/>
  <c r="EE477" i="7"/>
  <c r="EH477" i="7"/>
  <c r="EK477" i="7"/>
  <c r="EN477" i="7"/>
  <c r="EQ477" i="7"/>
  <c r="AP479" i="7"/>
  <c r="AS479" i="7"/>
  <c r="AV479" i="7"/>
  <c r="AY479" i="7"/>
  <c r="BB479" i="7"/>
  <c r="BE479" i="7"/>
  <c r="BH479" i="7"/>
  <c r="BK479" i="7"/>
  <c r="BN479" i="7"/>
  <c r="BQ479" i="7"/>
  <c r="BT479" i="7"/>
  <c r="BW479" i="7"/>
  <c r="BZ479" i="7"/>
  <c r="CC479" i="7"/>
  <c r="CF479" i="7"/>
  <c r="CI479" i="7"/>
  <c r="CL479" i="7"/>
  <c r="CO479" i="7"/>
  <c r="CR479" i="7"/>
  <c r="CU479" i="7"/>
  <c r="CX479" i="7"/>
  <c r="DA479" i="7"/>
  <c r="DD479" i="7"/>
  <c r="DG479" i="7"/>
  <c r="DJ479" i="7"/>
  <c r="DM479" i="7"/>
  <c r="DP479" i="7"/>
  <c r="DS479" i="7"/>
  <c r="DV479" i="7"/>
  <c r="DY479" i="7"/>
  <c r="EB479" i="7"/>
  <c r="EE479" i="7"/>
  <c r="EH479" i="7"/>
  <c r="EK479" i="7"/>
  <c r="EN479" i="7"/>
  <c r="EQ479" i="7"/>
  <c r="AP480" i="7"/>
  <c r="AS480" i="7"/>
  <c r="AV480" i="7"/>
  <c r="AY480" i="7"/>
  <c r="BB480" i="7"/>
  <c r="BE480" i="7"/>
  <c r="BH480" i="7"/>
  <c r="BK480" i="7"/>
  <c r="BN480" i="7"/>
  <c r="BQ480" i="7"/>
  <c r="BT480" i="7"/>
  <c r="BW480" i="7"/>
  <c r="BZ480" i="7"/>
  <c r="CC480" i="7"/>
  <c r="CF480" i="7"/>
  <c r="CI480" i="7"/>
  <c r="CL480" i="7"/>
  <c r="CO480" i="7"/>
  <c r="CR480" i="7"/>
  <c r="CU480" i="7"/>
  <c r="CX480" i="7"/>
  <c r="DA480" i="7"/>
  <c r="DD480" i="7"/>
  <c r="DG480" i="7"/>
  <c r="DJ480" i="7"/>
  <c r="DM480" i="7"/>
  <c r="DP480" i="7"/>
  <c r="DS480" i="7"/>
  <c r="DV480" i="7"/>
  <c r="DY480" i="7"/>
  <c r="EB480" i="7"/>
  <c r="EE480" i="7"/>
  <c r="EH480" i="7"/>
  <c r="EK480" i="7"/>
  <c r="EN480" i="7"/>
  <c r="EQ480" i="7"/>
  <c r="AP481" i="7"/>
  <c r="AS481" i="7"/>
  <c r="AV481" i="7"/>
  <c r="AY481" i="7"/>
  <c r="BB481" i="7"/>
  <c r="BE481" i="7"/>
  <c r="BH481" i="7"/>
  <c r="BK481" i="7"/>
  <c r="BN481" i="7"/>
  <c r="BQ481" i="7"/>
  <c r="BT481" i="7"/>
  <c r="BW481" i="7"/>
  <c r="BZ481" i="7"/>
  <c r="CC481" i="7"/>
  <c r="CF481" i="7"/>
  <c r="CI481" i="7"/>
  <c r="CL481" i="7"/>
  <c r="CO481" i="7"/>
  <c r="CR481" i="7"/>
  <c r="CU481" i="7"/>
  <c r="CX481" i="7"/>
  <c r="DA481" i="7"/>
  <c r="DD481" i="7"/>
  <c r="DG481" i="7"/>
  <c r="DJ481" i="7"/>
  <c r="DM481" i="7"/>
  <c r="DP481" i="7"/>
  <c r="DS481" i="7"/>
  <c r="DV481" i="7"/>
  <c r="DY481" i="7"/>
  <c r="EB481" i="7"/>
  <c r="EE481" i="7"/>
  <c r="EH481" i="7"/>
  <c r="EK481" i="7"/>
  <c r="EN481" i="7"/>
  <c r="EQ481" i="7"/>
  <c r="AP482" i="7"/>
  <c r="AS482" i="7"/>
  <c r="AV482" i="7"/>
  <c r="AY482" i="7"/>
  <c r="BB482" i="7"/>
  <c r="BE482" i="7"/>
  <c r="BH482" i="7"/>
  <c r="BK482" i="7"/>
  <c r="BN482" i="7"/>
  <c r="BQ482" i="7"/>
  <c r="BT482" i="7"/>
  <c r="BW482" i="7"/>
  <c r="BZ482" i="7"/>
  <c r="CC482" i="7"/>
  <c r="CF482" i="7"/>
  <c r="CI482" i="7"/>
  <c r="CL482" i="7"/>
  <c r="CO482" i="7"/>
  <c r="CR482" i="7"/>
  <c r="CU482" i="7"/>
  <c r="CX482" i="7"/>
  <c r="DA482" i="7"/>
  <c r="DD482" i="7"/>
  <c r="DG482" i="7"/>
  <c r="DJ482" i="7"/>
  <c r="DM482" i="7"/>
  <c r="DP482" i="7"/>
  <c r="DS482" i="7"/>
  <c r="DV482" i="7"/>
  <c r="DY482" i="7"/>
  <c r="EB482" i="7"/>
  <c r="EE482" i="7"/>
  <c r="EH482" i="7"/>
  <c r="EK482" i="7"/>
  <c r="EN482" i="7"/>
  <c r="EQ482" i="7"/>
  <c r="AP484" i="7"/>
  <c r="AS484" i="7"/>
  <c r="AV484" i="7"/>
  <c r="AY484" i="7"/>
  <c r="BB484" i="7"/>
  <c r="BE484" i="7"/>
  <c r="BH484" i="7"/>
  <c r="BK484" i="7"/>
  <c r="BN484" i="7"/>
  <c r="BQ484" i="7"/>
  <c r="BT484" i="7"/>
  <c r="BW484" i="7"/>
  <c r="BZ484" i="7"/>
  <c r="CC484" i="7"/>
  <c r="CF484" i="7"/>
  <c r="CI484" i="7"/>
  <c r="CL484" i="7"/>
  <c r="CO484" i="7"/>
  <c r="CR484" i="7"/>
  <c r="CU484" i="7"/>
  <c r="CX484" i="7"/>
  <c r="DA484" i="7"/>
  <c r="DD484" i="7"/>
  <c r="DG484" i="7"/>
  <c r="DJ484" i="7"/>
  <c r="DM484" i="7"/>
  <c r="DP484" i="7"/>
  <c r="DS484" i="7"/>
  <c r="DV484" i="7"/>
  <c r="DY484" i="7"/>
  <c r="EB484" i="7"/>
  <c r="EE484" i="7"/>
  <c r="EH484" i="7"/>
  <c r="EK484" i="7"/>
  <c r="EN484" i="7"/>
  <c r="EQ484" i="7"/>
  <c r="AP485" i="7"/>
  <c r="AS485" i="7"/>
  <c r="AV485" i="7"/>
  <c r="AY485" i="7"/>
  <c r="BB485" i="7"/>
  <c r="BE485" i="7"/>
  <c r="BH485" i="7"/>
  <c r="BK485" i="7"/>
  <c r="BN485" i="7"/>
  <c r="BQ485" i="7"/>
  <c r="BT485" i="7"/>
  <c r="BW485" i="7"/>
  <c r="BZ485" i="7"/>
  <c r="CC485" i="7"/>
  <c r="CF485" i="7"/>
  <c r="CI485" i="7"/>
  <c r="CL485" i="7"/>
  <c r="CO485" i="7"/>
  <c r="CR485" i="7"/>
  <c r="CU485" i="7"/>
  <c r="CX485" i="7"/>
  <c r="DA485" i="7"/>
  <c r="DD485" i="7"/>
  <c r="DG485" i="7"/>
  <c r="DJ485" i="7"/>
  <c r="DM485" i="7"/>
  <c r="DP485" i="7"/>
  <c r="DS485" i="7"/>
  <c r="DV485" i="7"/>
  <c r="DY485" i="7"/>
  <c r="EB485" i="7"/>
  <c r="EE485" i="7"/>
  <c r="EH485" i="7"/>
  <c r="EK485" i="7"/>
  <c r="EN485" i="7"/>
  <c r="EQ485" i="7"/>
  <c r="AP486" i="7"/>
  <c r="AS486" i="7"/>
  <c r="AV486" i="7"/>
  <c r="AY486" i="7"/>
  <c r="BB486" i="7"/>
  <c r="BE486" i="7"/>
  <c r="BH486" i="7"/>
  <c r="BK486" i="7"/>
  <c r="BN486" i="7"/>
  <c r="BQ486" i="7"/>
  <c r="BT486" i="7"/>
  <c r="BW486" i="7"/>
  <c r="BZ486" i="7"/>
  <c r="CC486" i="7"/>
  <c r="CF486" i="7"/>
  <c r="CI486" i="7"/>
  <c r="CL486" i="7"/>
  <c r="CO486" i="7"/>
  <c r="CR486" i="7"/>
  <c r="CU486" i="7"/>
  <c r="CX486" i="7"/>
  <c r="DA486" i="7"/>
  <c r="DD486" i="7"/>
  <c r="DG486" i="7"/>
  <c r="DJ486" i="7"/>
  <c r="DM486" i="7"/>
  <c r="DP486" i="7"/>
  <c r="DS486" i="7"/>
  <c r="DV486" i="7"/>
  <c r="DY486" i="7"/>
  <c r="EB486" i="7"/>
  <c r="EE486" i="7"/>
  <c r="EH486" i="7"/>
  <c r="EK486" i="7"/>
  <c r="EN486" i="7"/>
  <c r="EQ486" i="7"/>
  <c r="AP487" i="7"/>
  <c r="AS487" i="7"/>
  <c r="AV487" i="7"/>
  <c r="AY487" i="7"/>
  <c r="BB487" i="7"/>
  <c r="BE487" i="7"/>
  <c r="BH487" i="7"/>
  <c r="BK487" i="7"/>
  <c r="BN487" i="7"/>
  <c r="BQ487" i="7"/>
  <c r="BT487" i="7"/>
  <c r="BW487" i="7"/>
  <c r="BZ487" i="7"/>
  <c r="CC487" i="7"/>
  <c r="CF487" i="7"/>
  <c r="CI487" i="7"/>
  <c r="CL487" i="7"/>
  <c r="CO487" i="7"/>
  <c r="CR487" i="7"/>
  <c r="CU487" i="7"/>
  <c r="CX487" i="7"/>
  <c r="DA487" i="7"/>
  <c r="DD487" i="7"/>
  <c r="DG487" i="7"/>
  <c r="DJ487" i="7"/>
  <c r="DM487" i="7"/>
  <c r="DP487" i="7"/>
  <c r="DS487" i="7"/>
  <c r="DV487" i="7"/>
  <c r="DY487" i="7"/>
  <c r="EB487" i="7"/>
  <c r="EE487" i="7"/>
  <c r="EH487" i="7"/>
  <c r="EK487" i="7"/>
  <c r="EN487" i="7"/>
  <c r="EQ487" i="7"/>
  <c r="AN488" i="7"/>
  <c r="AO488" i="7"/>
  <c r="AQ488" i="7"/>
  <c r="AP488" i="7" s="1"/>
  <c r="AR488" i="7"/>
  <c r="AT488" i="7"/>
  <c r="AS488" i="7" s="1"/>
  <c r="AU488" i="7"/>
  <c r="AW488" i="7"/>
  <c r="AV488" i="7" s="1"/>
  <c r="AX488" i="7"/>
  <c r="AZ488" i="7"/>
  <c r="AY488" i="7" s="1"/>
  <c r="BA488" i="7"/>
  <c r="BC488" i="7"/>
  <c r="BB488" i="7" s="1"/>
  <c r="BD488" i="7"/>
  <c r="BF488" i="7"/>
  <c r="BE488" i="7" s="1"/>
  <c r="BG488" i="7"/>
  <c r="BI488" i="7"/>
  <c r="BH488" i="7" s="1"/>
  <c r="BJ488" i="7"/>
  <c r="BL488" i="7"/>
  <c r="BK488" i="7" s="1"/>
  <c r="BM488" i="7"/>
  <c r="BO488" i="7"/>
  <c r="BN488" i="7" s="1"/>
  <c r="BP488" i="7"/>
  <c r="BR488" i="7"/>
  <c r="BQ488" i="7" s="1"/>
  <c r="BS488" i="7"/>
  <c r="BU488" i="7"/>
  <c r="BT488" i="7" s="1"/>
  <c r="BV488" i="7"/>
  <c r="BX488" i="7"/>
  <c r="BW488" i="7" s="1"/>
  <c r="BY488" i="7"/>
  <c r="CA488" i="7"/>
  <c r="BZ488" i="7" s="1"/>
  <c r="CB488" i="7"/>
  <c r="CD488" i="7"/>
  <c r="CC488" i="7" s="1"/>
  <c r="CE488" i="7"/>
  <c r="CG488" i="7"/>
  <c r="CF488" i="7" s="1"/>
  <c r="CH488" i="7"/>
  <c r="CJ488" i="7"/>
  <c r="CI488" i="7" s="1"/>
  <c r="CK488" i="7"/>
  <c r="CM488" i="7"/>
  <c r="CL488" i="7" s="1"/>
  <c r="CN488" i="7"/>
  <c r="CP488" i="7"/>
  <c r="CO488" i="7" s="1"/>
  <c r="CQ488" i="7"/>
  <c r="CS488" i="7"/>
  <c r="CR488" i="7" s="1"/>
  <c r="CT488" i="7"/>
  <c r="CV488" i="7"/>
  <c r="CU488" i="7" s="1"/>
  <c r="CW488" i="7"/>
  <c r="CY488" i="7"/>
  <c r="CX488" i="7" s="1"/>
  <c r="CZ488" i="7"/>
  <c r="DB488" i="7"/>
  <c r="DA488" i="7" s="1"/>
  <c r="DC488" i="7"/>
  <c r="DE488" i="7"/>
  <c r="DD488" i="7" s="1"/>
  <c r="DF488" i="7"/>
  <c r="DH488" i="7"/>
  <c r="DG488" i="7" s="1"/>
  <c r="DI488" i="7"/>
  <c r="DK488" i="7"/>
  <c r="DJ488" i="7" s="1"/>
  <c r="DL488" i="7"/>
  <c r="DN488" i="7"/>
  <c r="DM488" i="7" s="1"/>
  <c r="DO488" i="7"/>
  <c r="DQ488" i="7"/>
  <c r="DP488" i="7" s="1"/>
  <c r="DR488" i="7"/>
  <c r="DT488" i="7"/>
  <c r="DS488" i="7" s="1"/>
  <c r="DU488" i="7"/>
  <c r="DW488" i="7"/>
  <c r="DV488" i="7" s="1"/>
  <c r="DX488" i="7"/>
  <c r="DZ488" i="7"/>
  <c r="DY488" i="7" s="1"/>
  <c r="EA488" i="7"/>
  <c r="EC488" i="7"/>
  <c r="EB488" i="7" s="1"/>
  <c r="ED488" i="7"/>
  <c r="EF488" i="7"/>
  <c r="EE488" i="7" s="1"/>
  <c r="EG488" i="7"/>
  <c r="EI488" i="7"/>
  <c r="EH488" i="7" s="1"/>
  <c r="EJ488" i="7"/>
  <c r="EL488" i="7"/>
  <c r="EK488" i="7" s="1"/>
  <c r="EM488" i="7"/>
  <c r="EO488" i="7"/>
  <c r="EN488" i="7" s="1"/>
  <c r="EP488" i="7"/>
  <c r="ER488" i="7"/>
  <c r="EQ488" i="7" s="1"/>
  <c r="K553" i="7"/>
  <c r="M553" i="7"/>
  <c r="P553" i="7"/>
  <c r="T553" i="7"/>
  <c r="W553" i="7"/>
  <c r="Y553" i="7"/>
  <c r="Z553" i="7"/>
  <c r="AB553" i="7"/>
  <c r="AE553" i="7"/>
  <c r="AI553" i="7"/>
  <c r="AK553" i="7"/>
  <c r="AL553" i="7"/>
  <c r="AN553" i="7"/>
  <c r="AO553" i="7"/>
  <c r="AQ553" i="7"/>
  <c r="AT553" i="7"/>
  <c r="AX553" i="7"/>
  <c r="BD553" i="7"/>
  <c r="BV553" i="7"/>
  <c r="BX553" i="7"/>
  <c r="BY553" i="7"/>
  <c r="CA553" i="7"/>
  <c r="CB553" i="7"/>
  <c r="CD553" i="7"/>
  <c r="CE553" i="7"/>
  <c r="CG553" i="7"/>
  <c r="CH553" i="7"/>
  <c r="CJ553" i="7"/>
  <c r="CK553" i="7"/>
  <c r="CN553" i="7"/>
  <c r="CT553" i="7"/>
  <c r="K554" i="7"/>
  <c r="M554" i="7"/>
  <c r="P554" i="7"/>
  <c r="T554" i="7"/>
  <c r="W554" i="7"/>
  <c r="Y554" i="7"/>
  <c r="Z554" i="7"/>
  <c r="AB554" i="7"/>
  <c r="AE554" i="7"/>
  <c r="AI554" i="7"/>
  <c r="AK554" i="7"/>
  <c r="AL554" i="7"/>
  <c r="AN554" i="7"/>
  <c r="AO554" i="7"/>
  <c r="AQ554" i="7"/>
  <c r="AT554" i="7"/>
  <c r="AX554" i="7"/>
  <c r="BD554" i="7"/>
  <c r="AE561" i="7"/>
  <c r="AG561" i="7"/>
  <c r="AI561" i="7"/>
  <c r="AJ561" i="7"/>
  <c r="AK561" i="7"/>
  <c r="AL561" i="7"/>
  <c r="AM561" i="7"/>
  <c r="AN561" i="7"/>
  <c r="AO561" i="7"/>
  <c r="AQ561" i="7"/>
  <c r="AS561" i="7"/>
  <c r="AT561" i="7"/>
  <c r="AV561" i="7"/>
  <c r="AX561" i="7"/>
  <c r="AY561" i="7"/>
  <c r="BA561" i="7"/>
  <c r="BC561" i="7"/>
  <c r="BD561" i="7"/>
  <c r="BF561" i="7"/>
  <c r="BH561" i="7"/>
  <c r="BI561" i="7"/>
  <c r="BK561" i="7"/>
  <c r="BM561" i="7"/>
  <c r="BN561" i="7"/>
  <c r="BO561" i="7"/>
  <c r="BP561" i="7"/>
  <c r="BQ561" i="7"/>
  <c r="BR561" i="7"/>
  <c r="BS561" i="7"/>
  <c r="BT561" i="7"/>
  <c r="BU561" i="7"/>
  <c r="BV561" i="7"/>
  <c r="BW561" i="7"/>
  <c r="BX561" i="7"/>
  <c r="BY561" i="7"/>
  <c r="BZ561" i="7"/>
  <c r="CA561" i="7"/>
  <c r="CB561" i="7"/>
  <c r="CC561" i="7"/>
  <c r="CD561" i="7"/>
  <c r="CE561" i="7"/>
  <c r="CF561" i="7"/>
  <c r="CG561" i="7"/>
  <c r="CH561" i="7"/>
  <c r="CI561" i="7"/>
  <c r="CJ561" i="7"/>
  <c r="CK561" i="7"/>
  <c r="CL561" i="7"/>
  <c r="CM561" i="7"/>
  <c r="CN561" i="7"/>
  <c r="CO561" i="7"/>
  <c r="CP561" i="7"/>
  <c r="CQ561" i="7"/>
  <c r="CR561" i="7"/>
  <c r="CS561" i="7"/>
  <c r="CT561" i="7"/>
  <c r="CU561" i="7"/>
  <c r="CV561" i="7"/>
  <c r="CW561" i="7"/>
  <c r="CX561" i="7"/>
  <c r="CY561" i="7"/>
  <c r="CZ561" i="7"/>
  <c r="DA561" i="7"/>
  <c r="DB561" i="7"/>
  <c r="DC561" i="7"/>
  <c r="DD561" i="7"/>
  <c r="DE561" i="7"/>
  <c r="DF561" i="7"/>
  <c r="DG561" i="7"/>
  <c r="DH561" i="7"/>
  <c r="DI561" i="7"/>
  <c r="DJ561" i="7"/>
  <c r="DK561" i="7"/>
  <c r="DL561" i="7"/>
  <c r="DM561" i="7"/>
  <c r="DN561" i="7"/>
  <c r="DO561" i="7"/>
  <c r="DP561" i="7"/>
  <c r="DQ561" i="7"/>
  <c r="DR561" i="7"/>
  <c r="DS561" i="7"/>
  <c r="DT561" i="7"/>
  <c r="DU561" i="7"/>
  <c r="DV561" i="7"/>
  <c r="DW561" i="7"/>
  <c r="DX561" i="7"/>
  <c r="DY561" i="7"/>
  <c r="DZ561" i="7"/>
  <c r="EA561" i="7"/>
  <c r="EB561" i="7"/>
  <c r="EC561" i="7"/>
  <c r="ED561" i="7"/>
  <c r="EE561" i="7"/>
  <c r="EF561" i="7"/>
  <c r="EG561" i="7"/>
  <c r="EH561" i="7"/>
  <c r="EI561" i="7"/>
  <c r="EJ561" i="7"/>
  <c r="EK561" i="7"/>
  <c r="EL561" i="7"/>
  <c r="EM561" i="7"/>
  <c r="EN561" i="7"/>
  <c r="EO561" i="7"/>
  <c r="EP561" i="7"/>
  <c r="EQ561" i="7"/>
  <c r="ER561" i="7"/>
  <c r="K564" i="7"/>
  <c r="M564" i="7"/>
  <c r="P564" i="7"/>
  <c r="T564" i="7"/>
  <c r="W564" i="7"/>
  <c r="Y564" i="7"/>
  <c r="Z564" i="7"/>
  <c r="AB564" i="7"/>
  <c r="AE564" i="7"/>
  <c r="AI564" i="7"/>
  <c r="AK564" i="7"/>
  <c r="AL564" i="7"/>
  <c r="AN564" i="7"/>
  <c r="AO564" i="7"/>
  <c r="AQ564" i="7"/>
  <c r="AT564" i="7"/>
  <c r="AX564" i="7"/>
  <c r="BA564" i="7"/>
  <c r="BC564" i="7"/>
  <c r="BD564" i="7"/>
  <c r="BF564" i="7"/>
  <c r="BI564" i="7"/>
  <c r="BM564" i="7"/>
  <c r="BO564" i="7"/>
  <c r="BP564" i="7"/>
  <c r="BR564" i="7"/>
  <c r="BS564" i="7"/>
  <c r="BU564" i="7"/>
  <c r="K565" i="7"/>
  <c r="M565" i="7"/>
  <c r="P565" i="7"/>
  <c r="T565" i="7"/>
  <c r="W565" i="7"/>
  <c r="Y565" i="7"/>
  <c r="Z565" i="7"/>
  <c r="AB565" i="7"/>
  <c r="AE565" i="7"/>
  <c r="AI565" i="7"/>
  <c r="AK565" i="7"/>
  <c r="AL565" i="7"/>
  <c r="AN565" i="7"/>
  <c r="AO565" i="7"/>
  <c r="AQ565" i="7"/>
  <c r="AT565" i="7"/>
  <c r="AX565" i="7"/>
  <c r="BA565" i="7"/>
  <c r="BC565" i="7"/>
  <c r="BD565" i="7"/>
  <c r="BF565" i="7"/>
  <c r="BI565" i="7"/>
  <c r="BM565" i="7"/>
  <c r="BO565" i="7"/>
  <c r="BP565" i="7"/>
  <c r="BR565" i="7"/>
  <c r="BS565" i="7"/>
  <c r="BU565" i="7"/>
  <c r="K568" i="7"/>
  <c r="M568" i="7"/>
  <c r="P568" i="7"/>
  <c r="T568" i="7"/>
  <c r="W568" i="7"/>
  <c r="Y568" i="7"/>
  <c r="Z568" i="7"/>
  <c r="AB568" i="7"/>
  <c r="AE568" i="7"/>
  <c r="AI568" i="7"/>
  <c r="AK568" i="7"/>
  <c r="AL568" i="7"/>
  <c r="AN568" i="7"/>
  <c r="AO568" i="7"/>
  <c r="AQ568" i="7"/>
  <c r="AT568" i="7"/>
  <c r="AX568" i="7"/>
  <c r="BA568" i="7"/>
  <c r="BC568" i="7"/>
  <c r="BD568" i="7"/>
  <c r="BF568" i="7"/>
  <c r="BI568" i="7"/>
  <c r="BM568" i="7"/>
  <c r="BO568" i="7"/>
  <c r="BP568" i="7"/>
  <c r="BR568" i="7"/>
  <c r="BS568" i="7"/>
  <c r="BU568" i="7"/>
  <c r="BV572" i="7"/>
  <c r="BX572" i="7"/>
  <c r="BY572" i="7"/>
  <c r="CA572" i="7"/>
  <c r="CB572" i="7"/>
  <c r="CD572" i="7"/>
  <c r="CE572" i="7"/>
  <c r="CG572" i="7"/>
  <c r="CH572" i="7"/>
  <c r="CJ572" i="7"/>
  <c r="CK572" i="7"/>
  <c r="CM572" i="7"/>
  <c r="CN572" i="7"/>
  <c r="CP572" i="7"/>
  <c r="CQ572" i="7"/>
  <c r="CS572" i="7"/>
  <c r="CT572" i="7"/>
  <c r="CV572" i="7"/>
  <c r="CW572" i="7"/>
  <c r="CY572" i="7"/>
  <c r="CZ572" i="7"/>
  <c r="DB572" i="7"/>
  <c r="DC572" i="7"/>
  <c r="DE572" i="7"/>
  <c r="DF572" i="7"/>
  <c r="DH572" i="7"/>
  <c r="DI572" i="7"/>
  <c r="DK572" i="7"/>
  <c r="DL572" i="7"/>
  <c r="DN572" i="7"/>
  <c r="K575" i="7"/>
  <c r="M575" i="7"/>
  <c r="P575" i="7"/>
  <c r="T575" i="7"/>
  <c r="W575" i="7"/>
  <c r="Y575" i="7"/>
  <c r="Z575" i="7"/>
  <c r="AB575" i="7"/>
  <c r="AE575" i="7"/>
  <c r="AI575" i="7"/>
  <c r="AK575" i="7"/>
  <c r="AL575" i="7"/>
  <c r="AN575" i="7"/>
  <c r="AO575" i="7"/>
  <c r="AQ575" i="7"/>
  <c r="AT575" i="7"/>
  <c r="AX575" i="7"/>
  <c r="BA575" i="7"/>
  <c r="BC575" i="7"/>
  <c r="BD575" i="7"/>
  <c r="BF575" i="7"/>
  <c r="BI575" i="7"/>
  <c r="BM575" i="7"/>
  <c r="BO575" i="7"/>
  <c r="BP575" i="7"/>
  <c r="BR575" i="7"/>
  <c r="BS575" i="7"/>
  <c r="BU575" i="7"/>
  <c r="BV576" i="7"/>
  <c r="BY576" i="7"/>
  <c r="CB576" i="7"/>
  <c r="CE576" i="7"/>
  <c r="DB576" i="7"/>
  <c r="DX370" i="7" l="1"/>
  <c r="DZ206" i="7"/>
  <c r="AJ6" i="9"/>
  <c r="DX29" i="7"/>
  <c r="DX40" i="7"/>
  <c r="DX209" i="45"/>
  <c r="DX215" i="45"/>
  <c r="EA215" i="45" s="1"/>
  <c r="ED215" i="45" s="1"/>
  <c r="EG215" i="45" s="1"/>
  <c r="EJ215" i="45" s="1"/>
  <c r="EM215" i="45" s="1"/>
  <c r="EP215" i="45" s="1"/>
  <c r="ES215" i="45" s="1"/>
  <c r="EV215" i="45" s="1"/>
  <c r="EY215" i="45" s="1"/>
  <c r="DX212" i="45"/>
  <c r="EA212" i="45" s="1"/>
  <c r="ED212" i="45" s="1"/>
  <c r="EG212" i="45" s="1"/>
  <c r="EJ212" i="45" s="1"/>
  <c r="EM212" i="45" s="1"/>
  <c r="EP212" i="45" s="1"/>
  <c r="ES212" i="45" s="1"/>
  <c r="EV212" i="45" s="1"/>
  <c r="EY212" i="45" s="1"/>
  <c r="DX221" i="45"/>
  <c r="EC178" i="7"/>
  <c r="R6" i="9"/>
  <c r="DY2" i="8"/>
  <c r="DY220" i="8" s="1"/>
  <c r="DY285" i="8" s="1"/>
  <c r="AK6" i="9"/>
  <c r="EF226" i="7"/>
  <c r="S6" i="9"/>
  <c r="DV101" i="8"/>
  <c r="DW101" i="8" s="1"/>
  <c r="DV215" i="45"/>
  <c r="DW289" i="7"/>
  <c r="DV222" i="8"/>
  <c r="DW222" i="8" s="1"/>
  <c r="DX222" i="8" s="1"/>
  <c r="DY222" i="8" s="1"/>
  <c r="DZ222" i="8" s="1"/>
  <c r="EA222" i="8" s="1"/>
  <c r="EB222" i="8" s="1"/>
  <c r="EC222" i="8" s="1"/>
  <c r="ED222" i="8" s="1"/>
  <c r="EE222" i="8" s="1"/>
  <c r="EF222" i="8" s="1"/>
  <c r="EG222" i="8" s="1"/>
  <c r="EH222" i="8" s="1"/>
  <c r="EI222" i="8" s="1"/>
  <c r="EJ222" i="8" s="1"/>
  <c r="EK222" i="8" s="1"/>
  <c r="EL222" i="8" s="1"/>
  <c r="EM222" i="8" s="1"/>
  <c r="EN222" i="8" s="1"/>
  <c r="EO222" i="8" s="1"/>
  <c r="EP222" i="8" s="1"/>
  <c r="EQ222" i="8" s="1"/>
  <c r="ER222" i="8" s="1"/>
  <c r="ES222" i="8" s="1"/>
  <c r="ET222" i="8" s="1"/>
  <c r="EU222" i="8" s="1"/>
  <c r="EV222" i="8" s="1"/>
  <c r="EW222" i="8" s="1"/>
  <c r="EX222" i="8" s="1"/>
  <c r="EY222" i="8" s="1"/>
  <c r="EZ222" i="8" s="1"/>
  <c r="FA222" i="8" s="1"/>
  <c r="DV212" i="45"/>
  <c r="DY212" i="45" s="1"/>
  <c r="EB212" i="45" s="1"/>
  <c r="EE212" i="45" s="1"/>
  <c r="EH212" i="45" s="1"/>
  <c r="EK212" i="45" s="1"/>
  <c r="EN212" i="45" s="1"/>
  <c r="EQ212" i="45" s="1"/>
  <c r="ET212" i="45" s="1"/>
  <c r="EW212" i="45" s="1"/>
  <c r="EZ212" i="45" s="1"/>
  <c r="DV194" i="8"/>
  <c r="DW194" i="8" s="1"/>
  <c r="DX194" i="8" s="1"/>
  <c r="DY194" i="8" s="1"/>
  <c r="DZ194" i="8" s="1"/>
  <c r="EA194" i="8" s="1"/>
  <c r="EB194" i="8" s="1"/>
  <c r="EC194" i="8" s="1"/>
  <c r="ED194" i="8" s="1"/>
  <c r="EE194" i="8" s="1"/>
  <c r="EF194" i="8" s="1"/>
  <c r="EG194" i="8" s="1"/>
  <c r="EH194" i="8" s="1"/>
  <c r="EI194" i="8" s="1"/>
  <c r="EJ194" i="8" s="1"/>
  <c r="EK194" i="8" s="1"/>
  <c r="EL194" i="8" s="1"/>
  <c r="EM194" i="8" s="1"/>
  <c r="EN194" i="8" s="1"/>
  <c r="EO194" i="8" s="1"/>
  <c r="EP194" i="8" s="1"/>
  <c r="EQ194" i="8" s="1"/>
  <c r="ER194" i="8" s="1"/>
  <c r="ES194" i="8" s="1"/>
  <c r="ET194" i="8" s="1"/>
  <c r="EU194" i="8" s="1"/>
  <c r="EV194" i="8" s="1"/>
  <c r="EW194" i="8" s="1"/>
  <c r="EX194" i="8" s="1"/>
  <c r="EY194" i="8" s="1"/>
  <c r="EZ194" i="8" s="1"/>
  <c r="FA194" i="8" s="1"/>
  <c r="DV209" i="45"/>
  <c r="DY209" i="45" s="1"/>
  <c r="EB209" i="45" s="1"/>
  <c r="EE209" i="45" s="1"/>
  <c r="EH209" i="45" s="1"/>
  <c r="EK209" i="45" s="1"/>
  <c r="EN209" i="45" s="1"/>
  <c r="EQ209" i="45" s="1"/>
  <c r="ET209" i="45" s="1"/>
  <c r="EW209" i="45" s="1"/>
  <c r="EZ209" i="45" s="1"/>
  <c r="DS249" i="7"/>
  <c r="P6" i="9"/>
  <c r="P36" i="9" s="1"/>
  <c r="DW178" i="7"/>
  <c r="DW340" i="7"/>
  <c r="DW149" i="7"/>
  <c r="DW321" i="7"/>
  <c r="DW226" i="7"/>
  <c r="DW29" i="7"/>
  <c r="AI6" i="9"/>
  <c r="DV29" i="7"/>
  <c r="DV149" i="7"/>
  <c r="DV340" i="7"/>
  <c r="DV321" i="7"/>
  <c r="DV226" i="7"/>
  <c r="DV178" i="7"/>
  <c r="DV203" i="8"/>
  <c r="AM9" i="7"/>
  <c r="AM5" i="45" s="1"/>
  <c r="AM4" i="45" s="1"/>
  <c r="CV93" i="7"/>
  <c r="CU93" i="7" s="1"/>
  <c r="CV509" i="7"/>
  <c r="DJ37" i="7"/>
  <c r="CU196" i="7"/>
  <c r="CU161" i="8" s="1"/>
  <c r="CO38" i="7"/>
  <c r="CL38" i="7"/>
  <c r="CF191" i="7"/>
  <c r="CF156" i="8" s="1"/>
  <c r="EN202" i="7"/>
  <c r="EN168" i="8" s="1"/>
  <c r="EH202" i="7"/>
  <c r="EH168" i="8" s="1"/>
  <c r="EB202" i="7"/>
  <c r="EB168" i="8" s="1"/>
  <c r="DV168" i="8"/>
  <c r="E4" i="45"/>
  <c r="AE8" i="9"/>
  <c r="EQ207" i="7"/>
  <c r="EN203" i="7"/>
  <c r="AP330" i="7"/>
  <c r="EQ203" i="7"/>
  <c r="EN207" i="7"/>
  <c r="EH207" i="7"/>
  <c r="EB207" i="7"/>
  <c r="EQ202" i="7"/>
  <c r="EQ168" i="8" s="1"/>
  <c r="EH206" i="7"/>
  <c r="EB206" i="7"/>
  <c r="DY202" i="7"/>
  <c r="DY168" i="8" s="1"/>
  <c r="L30" i="9"/>
  <c r="J30" i="9"/>
  <c r="DJ38" i="7"/>
  <c r="DG38" i="7"/>
  <c r="CX37" i="7"/>
  <c r="CU197" i="7"/>
  <c r="CU162" i="8" s="1"/>
  <c r="EH203" i="7"/>
  <c r="EB203" i="7"/>
  <c r="DM197" i="7"/>
  <c r="DM162" i="8" s="1"/>
  <c r="CI60" i="7"/>
  <c r="K30" i="9"/>
  <c r="ED134" i="45"/>
  <c r="EE134" i="45" s="1"/>
  <c r="EB447" i="45"/>
  <c r="ED447" i="45" s="1"/>
  <c r="AB54" i="9"/>
  <c r="AD18" i="9"/>
  <c r="L36" i="9"/>
  <c r="L18" i="9"/>
  <c r="AD36" i="9"/>
  <c r="AD60" i="9" s="1"/>
  <c r="Z18" i="9"/>
  <c r="H36" i="9"/>
  <c r="Z36" i="9"/>
  <c r="Z60" i="9" s="1"/>
  <c r="H18" i="9"/>
  <c r="Q18" i="9"/>
  <c r="AI36" i="9"/>
  <c r="AI60" i="9" s="1"/>
  <c r="AI18" i="9"/>
  <c r="Q36" i="9"/>
  <c r="M18" i="9"/>
  <c r="AE36" i="9"/>
  <c r="AE60" i="9" s="1"/>
  <c r="M36" i="9"/>
  <c r="AE18" i="9"/>
  <c r="I18" i="9"/>
  <c r="AA36" i="9"/>
  <c r="AA60" i="9" s="1"/>
  <c r="AA18" i="9"/>
  <c r="I36" i="9"/>
  <c r="E18" i="9"/>
  <c r="W36" i="9"/>
  <c r="W60" i="9" s="1"/>
  <c r="E36" i="9"/>
  <c r="W18" i="9"/>
  <c r="X54" i="9"/>
  <c r="N18" i="9"/>
  <c r="AF36" i="9"/>
  <c r="AF60" i="9" s="1"/>
  <c r="AF18" i="9"/>
  <c r="N36" i="9"/>
  <c r="J18" i="9"/>
  <c r="AB36" i="9"/>
  <c r="AB60" i="9" s="1"/>
  <c r="AB18" i="9"/>
  <c r="J36" i="9"/>
  <c r="F18" i="9"/>
  <c r="X36" i="9"/>
  <c r="X60" i="9" s="1"/>
  <c r="X18" i="9"/>
  <c r="F36" i="9"/>
  <c r="AA54" i="9"/>
  <c r="AG18" i="9"/>
  <c r="O18" i="9"/>
  <c r="AG36" i="9"/>
  <c r="AG60" i="9" s="1"/>
  <c r="O36" i="9"/>
  <c r="AC18" i="9"/>
  <c r="K36" i="9"/>
  <c r="K18" i="9"/>
  <c r="AC36" i="9"/>
  <c r="AC60" i="9" s="1"/>
  <c r="Y18" i="9"/>
  <c r="G18" i="9"/>
  <c r="G36" i="9"/>
  <c r="Y36" i="9"/>
  <c r="Y60" i="9" s="1"/>
  <c r="EA170" i="45"/>
  <c r="ED170" i="45" s="1"/>
  <c r="EG170" i="45" s="1"/>
  <c r="EJ170" i="45" s="1"/>
  <c r="EM170" i="45" s="1"/>
  <c r="CL37" i="7"/>
  <c r="CO196" i="7"/>
  <c r="CO161" i="8" s="1"/>
  <c r="CO36" i="7"/>
  <c r="CL196" i="7"/>
  <c r="CL161" i="8" s="1"/>
  <c r="CI196" i="7"/>
  <c r="CI161" i="8" s="1"/>
  <c r="CF197" i="7"/>
  <c r="CF162" i="8" s="1"/>
  <c r="BT37" i="7"/>
  <c r="BH37" i="7"/>
  <c r="DV2" i="8"/>
  <c r="CR321" i="7"/>
  <c r="EI340" i="7"/>
  <c r="ES79" i="8"/>
  <c r="EU79" i="8"/>
  <c r="EU415" i="7"/>
  <c r="EV415" i="7" s="1"/>
  <c r="EX415" i="7" s="1"/>
  <c r="EY415" i="7" s="1"/>
  <c r="FA415" i="7" s="1"/>
  <c r="G220" i="8"/>
  <c r="AQ327" i="7"/>
  <c r="BK36" i="8"/>
  <c r="BT36" i="8"/>
  <c r="BB36" i="8"/>
  <c r="DM196" i="7"/>
  <c r="DM161" i="8" s="1"/>
  <c r="DK517" i="7"/>
  <c r="DE340" i="7"/>
  <c r="EC442" i="7"/>
  <c r="DQ442" i="7"/>
  <c r="CM451" i="7"/>
  <c r="CA442" i="7"/>
  <c r="DE365" i="7"/>
  <c r="AW226" i="7"/>
  <c r="CM365" i="7"/>
  <c r="DJ36" i="7"/>
  <c r="DD197" i="7"/>
  <c r="DD162" i="8" s="1"/>
  <c r="BI451" i="7"/>
  <c r="CM442" i="7"/>
  <c r="CS451" i="7"/>
  <c r="EO442" i="7"/>
  <c r="BO442" i="7"/>
  <c r="DW365" i="7"/>
  <c r="BU321" i="7"/>
  <c r="DK178" i="7"/>
  <c r="CY517" i="7"/>
  <c r="DE442" i="7"/>
  <c r="BI365" i="7"/>
  <c r="DQ226" i="7"/>
  <c r="BR9" i="7"/>
  <c r="BR5" i="45" s="1"/>
  <c r="CO37" i="7"/>
  <c r="CL36" i="7"/>
  <c r="CX196" i="7"/>
  <c r="CX161" i="8" s="1"/>
  <c r="DZ9" i="7"/>
  <c r="DZ5" i="45" s="1"/>
  <c r="DZ330" i="45" s="1"/>
  <c r="DZ39" i="7"/>
  <c r="DY39" i="7" s="1"/>
  <c r="DU2" i="8"/>
  <c r="DU220" i="8" s="1"/>
  <c r="DU285" i="8" s="1"/>
  <c r="BT36" i="7"/>
  <c r="DG36" i="7"/>
  <c r="BK37" i="7"/>
  <c r="CI71" i="7"/>
  <c r="CX38" i="7"/>
  <c r="DS9" i="7"/>
  <c r="DS5" i="45" s="1"/>
  <c r="DS330" i="45" s="1"/>
  <c r="CI67" i="7"/>
  <c r="CZ350" i="7"/>
  <c r="CZ208" i="8" s="1"/>
  <c r="BY350" i="7"/>
  <c r="BY208" i="8" s="1"/>
  <c r="EQ206" i="7"/>
  <c r="Y576" i="7"/>
  <c r="DJ197" i="7"/>
  <c r="DJ162" i="8" s="1"/>
  <c r="DG197" i="7"/>
  <c r="DG162" i="8" s="1"/>
  <c r="CA365" i="7"/>
  <c r="BC340" i="7"/>
  <c r="DQ321" i="7"/>
  <c r="BX340" i="7"/>
  <c r="CQ35" i="7"/>
  <c r="BX451" i="7"/>
  <c r="AZ442" i="7"/>
  <c r="EF365" i="7"/>
  <c r="AT451" i="7"/>
  <c r="DH451" i="7"/>
  <c r="AU299" i="7"/>
  <c r="CH554" i="7"/>
  <c r="CY576" i="7"/>
  <c r="AW317" i="7"/>
  <c r="AV317" i="7" s="1"/>
  <c r="AV560" i="7" s="1"/>
  <c r="AV562" i="7" s="1"/>
  <c r="CF451" i="7"/>
  <c r="EB442" i="7"/>
  <c r="BB149" i="7"/>
  <c r="CR451" i="7"/>
  <c r="EB365" i="7"/>
  <c r="DH517" i="7"/>
  <c r="BU451" i="7"/>
  <c r="AQ451" i="7"/>
  <c r="EL442" i="7"/>
  <c r="DK442" i="7"/>
  <c r="CG442" i="7"/>
  <c r="BL442" i="7"/>
  <c r="CS553" i="7"/>
  <c r="DE517" i="7"/>
  <c r="DK451" i="7"/>
  <c r="CP451" i="7"/>
  <c r="BO451" i="7"/>
  <c r="EI442" i="7"/>
  <c r="DH442" i="7"/>
  <c r="CD442" i="7"/>
  <c r="BI442" i="7"/>
  <c r="CY365" i="7"/>
  <c r="BO365" i="7"/>
  <c r="DI350" i="7"/>
  <c r="DI208" i="8" s="1"/>
  <c r="BG350" i="7"/>
  <c r="BG208" i="8" s="1"/>
  <c r="EO340" i="7"/>
  <c r="CA340" i="7"/>
  <c r="AQ340" i="7"/>
  <c r="DH321" i="7"/>
  <c r="BR299" i="7"/>
  <c r="BQ299" i="7" s="1"/>
  <c r="Y220" i="8"/>
  <c r="DT517" i="7"/>
  <c r="CS517" i="7"/>
  <c r="DE451" i="7"/>
  <c r="CG451" i="7"/>
  <c r="BC451" i="7"/>
  <c r="CY442" i="7"/>
  <c r="BX442" i="7"/>
  <c r="AW442" i="7"/>
  <c r="DT365" i="7"/>
  <c r="CG365" i="7"/>
  <c r="BF365" i="7"/>
  <c r="CQ350" i="7"/>
  <c r="CQ208" i="8" s="1"/>
  <c r="EF340" i="7"/>
  <c r="BU340" i="7"/>
  <c r="CD321" i="7"/>
  <c r="DN226" i="7"/>
  <c r="BU178" i="7"/>
  <c r="DQ517" i="7"/>
  <c r="CP517" i="7"/>
  <c r="CY451" i="7"/>
  <c r="AW451" i="7"/>
  <c r="DT442" i="7"/>
  <c r="CP442" i="7"/>
  <c r="BU442" i="7"/>
  <c r="DK365" i="7"/>
  <c r="CD365" i="7"/>
  <c r="AN365" i="7"/>
  <c r="CH350" i="7"/>
  <c r="CH208" i="8" s="1"/>
  <c r="DK340" i="7"/>
  <c r="BL340" i="7"/>
  <c r="ER321" i="7"/>
  <c r="CA321" i="7"/>
  <c r="CI291" i="7"/>
  <c r="CI179" i="8" s="1"/>
  <c r="CY226" i="7"/>
  <c r="EC365" i="7"/>
  <c r="DB365" i="7"/>
  <c r="BR365" i="7"/>
  <c r="BP350" i="7"/>
  <c r="BP208" i="8" s="1"/>
  <c r="CY340" i="7"/>
  <c r="AW340" i="7"/>
  <c r="DK321" i="7"/>
  <c r="DD307" i="7"/>
  <c r="AT226" i="7"/>
  <c r="BZ576" i="7"/>
  <c r="AQ576" i="7"/>
  <c r="AQ572" i="7"/>
  <c r="BN253" i="7"/>
  <c r="BN572" i="7" s="1"/>
  <c r="AV576" i="7"/>
  <c r="BF576" i="7"/>
  <c r="BA572" i="7"/>
  <c r="DG307" i="7"/>
  <c r="DO221" i="45"/>
  <c r="DL220" i="45"/>
  <c r="DZ232" i="45"/>
  <c r="DJ8" i="45"/>
  <c r="C33" i="45"/>
  <c r="DM8" i="45"/>
  <c r="CU451" i="7"/>
  <c r="EK451" i="7"/>
  <c r="CO442" i="7"/>
  <c r="CU517" i="7"/>
  <c r="DM517" i="7"/>
  <c r="DM451" i="7"/>
  <c r="BE451" i="7"/>
  <c r="AM451" i="7"/>
  <c r="DG442" i="7"/>
  <c r="DA442" i="7"/>
  <c r="P572" i="7"/>
  <c r="P555" i="7"/>
  <c r="P556" i="7" s="1"/>
  <c r="DA517" i="7"/>
  <c r="CC442" i="7"/>
  <c r="BK442" i="7"/>
  <c r="BQ293" i="7"/>
  <c r="BQ86" i="8" s="1"/>
  <c r="BQ88" i="8" s="1"/>
  <c r="AM178" i="7"/>
  <c r="EQ442" i="7"/>
  <c r="AY442" i="7"/>
  <c r="BW451" i="7"/>
  <c r="DS442" i="7"/>
  <c r="EQ451" i="7"/>
  <c r="CI451" i="7"/>
  <c r="AS451" i="7"/>
  <c r="EE442" i="7"/>
  <c r="BH263" i="7"/>
  <c r="BH336" i="7" s="1"/>
  <c r="CL289" i="7"/>
  <c r="K20" i="8"/>
  <c r="BU332" i="7"/>
  <c r="BL336" i="7"/>
  <c r="Q220" i="8"/>
  <c r="AI285" i="8"/>
  <c r="DM191" i="7"/>
  <c r="DM156" i="8" s="1"/>
  <c r="K285" i="8"/>
  <c r="CD332" i="7"/>
  <c r="CH332" i="7"/>
  <c r="BY332" i="7"/>
  <c r="DA71" i="7"/>
  <c r="BY575" i="7"/>
  <c r="BK263" i="7"/>
  <c r="AG554" i="7"/>
  <c r="R332" i="7"/>
  <c r="CW198" i="7"/>
  <c r="CL200" i="7"/>
  <c r="CL166" i="8" s="1"/>
  <c r="BE331" i="7"/>
  <c r="E285" i="8"/>
  <c r="W220" i="8"/>
  <c r="E20" i="8"/>
  <c r="BS572" i="7"/>
  <c r="EE451" i="7"/>
  <c r="DG451" i="7"/>
  <c r="BQ451" i="7"/>
  <c r="AY451" i="7"/>
  <c r="CI442" i="7"/>
  <c r="BW442" i="7"/>
  <c r="EC340" i="7"/>
  <c r="CS340" i="7"/>
  <c r="BO340" i="7"/>
  <c r="DE321" i="7"/>
  <c r="DB317" i="7"/>
  <c r="DB520" i="7" s="1"/>
  <c r="CG226" i="7"/>
  <c r="DP203" i="7"/>
  <c r="AC285" i="8"/>
  <c r="K220" i="8"/>
  <c r="DY451" i="7"/>
  <c r="CC451" i="7"/>
  <c r="DY442" i="7"/>
  <c r="CU442" i="7"/>
  <c r="BE442" i="7"/>
  <c r="EO365" i="7"/>
  <c r="CU365" i="7"/>
  <c r="EK226" i="7"/>
  <c r="BW226" i="7"/>
  <c r="W285" i="8"/>
  <c r="AI220" i="8"/>
  <c r="AC20" i="8"/>
  <c r="DH560" i="7"/>
  <c r="DH562" i="7" s="1"/>
  <c r="DM442" i="7"/>
  <c r="BO572" i="7"/>
  <c r="DB560" i="7"/>
  <c r="DB562" i="7" s="1"/>
  <c r="DG517" i="7"/>
  <c r="BO576" i="7"/>
  <c r="BF572" i="7"/>
  <c r="CP553" i="7"/>
  <c r="DS517" i="7"/>
  <c r="DS451" i="7"/>
  <c r="DA451" i="7"/>
  <c r="CO451" i="7"/>
  <c r="BK451" i="7"/>
  <c r="EK442" i="7"/>
  <c r="DW442" i="7"/>
  <c r="CS442" i="7"/>
  <c r="BQ442" i="7"/>
  <c r="EI365" i="7"/>
  <c r="DQ365" i="7"/>
  <c r="CS365" i="7"/>
  <c r="DQ340" i="7"/>
  <c r="CG340" i="7"/>
  <c r="BE147" i="8"/>
  <c r="Q285" i="8"/>
  <c r="AC220" i="8"/>
  <c r="E220" i="8"/>
  <c r="W20" i="8"/>
  <c r="BR576" i="7"/>
  <c r="W555" i="7"/>
  <c r="W556" i="7" s="1"/>
  <c r="BO35" i="7"/>
  <c r="BO32" i="7" s="1"/>
  <c r="BN32" i="7" s="1"/>
  <c r="AK285" i="8"/>
  <c r="G285" i="8"/>
  <c r="AE220" i="8"/>
  <c r="M220" i="8"/>
  <c r="EM442" i="7"/>
  <c r="CW340" i="7"/>
  <c r="AY444" i="7"/>
  <c r="BI327" i="7"/>
  <c r="CR289" i="7"/>
  <c r="BZ265" i="7"/>
  <c r="BN36" i="8"/>
  <c r="CS178" i="7"/>
  <c r="AQ555" i="7"/>
  <c r="AQ556" i="7" s="1"/>
  <c r="AO179" i="7"/>
  <c r="AS554" i="7"/>
  <c r="BK64" i="7"/>
  <c r="AB555" i="7"/>
  <c r="AB556" i="7" s="1"/>
  <c r="AN330" i="7"/>
  <c r="DA307" i="7"/>
  <c r="CS82" i="7"/>
  <c r="CS519" i="7" s="1"/>
  <c r="EE194" i="7"/>
  <c r="EE159" i="8" s="1"/>
  <c r="AK220" i="8"/>
  <c r="S220" i="8"/>
  <c r="AV321" i="7"/>
  <c r="EH29" i="7"/>
  <c r="CP560" i="7"/>
  <c r="CP562" i="7" s="1"/>
  <c r="BN451" i="7"/>
  <c r="DJ442" i="7"/>
  <c r="EN340" i="7"/>
  <c r="BI325" i="7"/>
  <c r="DP321" i="7"/>
  <c r="DP289" i="7"/>
  <c r="CF289" i="7"/>
  <c r="EB226" i="7"/>
  <c r="BZ178" i="7"/>
  <c r="CX149" i="7"/>
  <c r="DP29" i="7"/>
  <c r="BB64" i="7"/>
  <c r="AV444" i="7"/>
  <c r="BZ442" i="7"/>
  <c r="BH365" i="7"/>
  <c r="BT340" i="7"/>
  <c r="CK317" i="7"/>
  <c r="EH451" i="7"/>
  <c r="AV451" i="7"/>
  <c r="AP365" i="7"/>
  <c r="DJ289" i="7"/>
  <c r="AJ332" i="7"/>
  <c r="AL332" i="7"/>
  <c r="BI180" i="7"/>
  <c r="BH180" i="7" s="1"/>
  <c r="CL149" i="7"/>
  <c r="CB554" i="7"/>
  <c r="DD29" i="7"/>
  <c r="AT332" i="7"/>
  <c r="AT334" i="7" s="1"/>
  <c r="EE191" i="7"/>
  <c r="EE156" i="8" s="1"/>
  <c r="EB201" i="7"/>
  <c r="EB167" i="8" s="1"/>
  <c r="BH196" i="7"/>
  <c r="BH161" i="8" s="1"/>
  <c r="BU316" i="7"/>
  <c r="BT316" i="7" s="1"/>
  <c r="BZ226" i="7"/>
  <c r="BL328" i="7"/>
  <c r="AP149" i="7"/>
  <c r="DJ451" i="7"/>
  <c r="CR442" i="7"/>
  <c r="BH442" i="7"/>
  <c r="CR365" i="7"/>
  <c r="DD340" i="7"/>
  <c r="AQ330" i="7"/>
  <c r="DD289" i="7"/>
  <c r="AY445" i="7"/>
  <c r="DO451" i="7"/>
  <c r="BQ36" i="8"/>
  <c r="EB178" i="7"/>
  <c r="BS178" i="7"/>
  <c r="BZ149" i="7"/>
  <c r="AV117" i="7"/>
  <c r="CL29" i="7"/>
  <c r="BZ345" i="7"/>
  <c r="BZ24" i="7" s="1"/>
  <c r="DP451" i="7"/>
  <c r="DJ149" i="7"/>
  <c r="BH38" i="7"/>
  <c r="BP572" i="7"/>
  <c r="AL555" i="7"/>
  <c r="AL556" i="7" s="1"/>
  <c r="CW553" i="7"/>
  <c r="DD517" i="7"/>
  <c r="BM321" i="7"/>
  <c r="CX289" i="7"/>
  <c r="BL329" i="7"/>
  <c r="DP178" i="7"/>
  <c r="EH149" i="7"/>
  <c r="BN149" i="7"/>
  <c r="BH29" i="7"/>
  <c r="DP206" i="7"/>
  <c r="DM67" i="7"/>
  <c r="BG321" i="7"/>
  <c r="BQ60" i="7"/>
  <c r="CX350" i="7"/>
  <c r="CX208" i="8" s="1"/>
  <c r="BN350" i="7"/>
  <c r="BN208" i="8" s="1"/>
  <c r="BG178" i="7"/>
  <c r="CV517" i="7"/>
  <c r="CV451" i="7"/>
  <c r="CD451" i="7"/>
  <c r="BL451" i="7"/>
  <c r="AZ451" i="7"/>
  <c r="EA442" i="7"/>
  <c r="CV442" i="7"/>
  <c r="AS396" i="7"/>
  <c r="DO365" i="7"/>
  <c r="CP365" i="7"/>
  <c r="BL365" i="7"/>
  <c r="AZ365" i="7"/>
  <c r="AW358" i="7"/>
  <c r="AW205" i="8" s="1"/>
  <c r="DF350" i="7"/>
  <c r="DF208" i="8" s="1"/>
  <c r="CW350" i="7"/>
  <c r="CW208" i="8" s="1"/>
  <c r="CN350" i="7"/>
  <c r="CN208" i="8" s="1"/>
  <c r="CE350" i="7"/>
  <c r="CE208" i="8" s="1"/>
  <c r="BV350" i="7"/>
  <c r="BV208" i="8" s="1"/>
  <c r="BM350" i="7"/>
  <c r="BM208" i="8" s="1"/>
  <c r="AE201" i="8"/>
  <c r="ER340" i="7"/>
  <c r="EA340" i="7"/>
  <c r="CP340" i="7"/>
  <c r="DT321" i="7"/>
  <c r="BA321" i="7"/>
  <c r="AN321" i="7"/>
  <c r="BE307" i="7"/>
  <c r="DH226" i="7"/>
  <c r="AU178" i="7"/>
  <c r="BW345" i="7"/>
  <c r="BW24" i="7" s="1"/>
  <c r="EO40" i="7"/>
  <c r="EL40" i="7"/>
  <c r="AW396" i="7"/>
  <c r="AV396" i="7" s="1"/>
  <c r="AX555" i="7"/>
  <c r="AX556" i="7" s="1"/>
  <c r="BM451" i="7"/>
  <c r="CF350" i="7"/>
  <c r="CF208" i="8" s="1"/>
  <c r="DI340" i="7"/>
  <c r="AO321" i="7"/>
  <c r="CW82" i="7"/>
  <c r="CW519" i="7" s="1"/>
  <c r="EH200" i="7"/>
  <c r="EH166" i="8" s="1"/>
  <c r="BD572" i="7"/>
  <c r="CK451" i="7"/>
  <c r="BR451" i="7"/>
  <c r="AN451" i="7"/>
  <c r="BT443" i="7"/>
  <c r="ER442" i="7"/>
  <c r="DZ442" i="7"/>
  <c r="DN442" i="7"/>
  <c r="CK442" i="7"/>
  <c r="BR442" i="7"/>
  <c r="AS404" i="7"/>
  <c r="ER365" i="7"/>
  <c r="DN365" i="7"/>
  <c r="CW365" i="7"/>
  <c r="BX365" i="7"/>
  <c r="AU365" i="7"/>
  <c r="DD350" i="7"/>
  <c r="DD208" i="8" s="1"/>
  <c r="CU350" i="7"/>
  <c r="CU208" i="8" s="1"/>
  <c r="CL350" i="7"/>
  <c r="CL208" i="8" s="1"/>
  <c r="CC350" i="7"/>
  <c r="CC208" i="8" s="1"/>
  <c r="BT350" i="7"/>
  <c r="BT208" i="8" s="1"/>
  <c r="BK350" i="7"/>
  <c r="BK208" i="8" s="1"/>
  <c r="BA340" i="7"/>
  <c r="AZ321" i="7"/>
  <c r="BH36" i="8"/>
  <c r="CC36" i="8"/>
  <c r="BR226" i="7"/>
  <c r="AT178" i="7"/>
  <c r="CJ149" i="7"/>
  <c r="ED39" i="7"/>
  <c r="EE39" i="7" s="1"/>
  <c r="BT35" i="7"/>
  <c r="CW442" i="7"/>
  <c r="CO350" i="7"/>
  <c r="CO208" i="8" s="1"/>
  <c r="BR572" i="7"/>
  <c r="DC553" i="7"/>
  <c r="DN517" i="7"/>
  <c r="DC451" i="7"/>
  <c r="CJ451" i="7"/>
  <c r="EF442" i="7"/>
  <c r="DB442" i="7"/>
  <c r="CJ442" i="7"/>
  <c r="BF442" i="7"/>
  <c r="DZ365" i="7"/>
  <c r="CV365" i="7"/>
  <c r="CK365" i="7"/>
  <c r="AT365" i="7"/>
  <c r="DC350" i="7"/>
  <c r="DC208" i="8" s="1"/>
  <c r="CT350" i="7"/>
  <c r="CT208" i="8" s="1"/>
  <c r="CK350" i="7"/>
  <c r="CK208" i="8" s="1"/>
  <c r="CB350" i="7"/>
  <c r="CB208" i="8" s="1"/>
  <c r="BS350" i="7"/>
  <c r="BS208" i="8" s="1"/>
  <c r="BJ350" i="7"/>
  <c r="BJ208" i="8" s="1"/>
  <c r="DB340" i="7"/>
  <c r="BS340" i="7"/>
  <c r="AZ340" i="7"/>
  <c r="CQ321" i="7"/>
  <c r="BS321" i="7"/>
  <c r="BH253" i="7"/>
  <c r="BH572" i="7" s="1"/>
  <c r="CP226" i="7"/>
  <c r="BX178" i="7"/>
  <c r="BA365" i="7"/>
  <c r="DG350" i="7"/>
  <c r="DG208" i="8" s="1"/>
  <c r="BW350" i="7"/>
  <c r="BW208" i="8" s="1"/>
  <c r="BU133" i="8"/>
  <c r="DF519" i="7"/>
  <c r="DB517" i="7"/>
  <c r="CQ517" i="7"/>
  <c r="DB451" i="7"/>
  <c r="BY451" i="7"/>
  <c r="BF451" i="7"/>
  <c r="BY442" i="7"/>
  <c r="EL365" i="7"/>
  <c r="DH365" i="7"/>
  <c r="CJ365" i="7"/>
  <c r="BS365" i="7"/>
  <c r="BG365" i="7"/>
  <c r="DJ350" i="7"/>
  <c r="DJ208" i="8" s="1"/>
  <c r="DA350" i="7"/>
  <c r="DA208" i="8" s="1"/>
  <c r="CR350" i="7"/>
  <c r="CR208" i="8" s="1"/>
  <c r="CI350" i="7"/>
  <c r="CI208" i="8" s="1"/>
  <c r="BZ350" i="7"/>
  <c r="BZ208" i="8" s="1"/>
  <c r="BQ350" i="7"/>
  <c r="BQ208" i="8" s="1"/>
  <c r="BH350" i="7"/>
  <c r="BH208" i="8" s="1"/>
  <c r="DN340" i="7"/>
  <c r="CE340" i="7"/>
  <c r="DO321" i="7"/>
  <c r="CK321" i="7"/>
  <c r="BR321" i="7"/>
  <c r="CJ226" i="7"/>
  <c r="DZ178" i="7"/>
  <c r="BN76" i="7"/>
  <c r="BN105" i="8" s="1"/>
  <c r="DA196" i="7"/>
  <c r="DA161" i="8" s="1"/>
  <c r="EE201" i="7"/>
  <c r="EE167" i="8" s="1"/>
  <c r="EB194" i="7"/>
  <c r="EB159" i="8" s="1"/>
  <c r="DY201" i="7"/>
  <c r="DY167" i="8" s="1"/>
  <c r="EN165" i="8"/>
  <c r="CL118" i="7"/>
  <c r="AO555" i="7"/>
  <c r="AO556" i="7" s="1"/>
  <c r="EK365" i="7"/>
  <c r="CJ340" i="7"/>
  <c r="AT340" i="7"/>
  <c r="CP321" i="7"/>
  <c r="CC321" i="7"/>
  <c r="AM321" i="7"/>
  <c r="AT299" i="7"/>
  <c r="AS299" i="7" s="1"/>
  <c r="AY253" i="7"/>
  <c r="AY572" i="7" s="1"/>
  <c r="DJ234" i="7"/>
  <c r="DJ332" i="7" s="1"/>
  <c r="DB226" i="7"/>
  <c r="AN226" i="7"/>
  <c r="CA217" i="7"/>
  <c r="BZ217" i="7" s="1"/>
  <c r="DC82" i="7"/>
  <c r="DC519" i="7" s="1"/>
  <c r="CU29" i="7"/>
  <c r="DE560" i="7"/>
  <c r="DE562" i="7" s="1"/>
  <c r="M555" i="7"/>
  <c r="M556" i="7" s="1"/>
  <c r="AV402" i="7"/>
  <c r="EL340" i="7"/>
  <c r="DZ340" i="7"/>
  <c r="BF340" i="7"/>
  <c r="AX330" i="7"/>
  <c r="EL321" i="7"/>
  <c r="DB321" i="7"/>
  <c r="CO321" i="7"/>
  <c r="BL321" i="7"/>
  <c r="CR307" i="7"/>
  <c r="CI277" i="7"/>
  <c r="CF270" i="7"/>
  <c r="AV327" i="7"/>
  <c r="DZ226" i="7"/>
  <c r="DA226" i="7"/>
  <c r="CD226" i="7"/>
  <c r="BL226" i="7"/>
  <c r="EL178" i="7"/>
  <c r="BL178" i="7"/>
  <c r="BW149" i="7"/>
  <c r="BH60" i="7"/>
  <c r="EE64" i="7"/>
  <c r="BI576" i="7"/>
  <c r="BM572" i="7"/>
  <c r="AE555" i="7"/>
  <c r="AE556" i="7" s="1"/>
  <c r="BQ365" i="7"/>
  <c r="EK340" i="7"/>
  <c r="DH340" i="7"/>
  <c r="CV340" i="7"/>
  <c r="AN340" i="7"/>
  <c r="AQ335" i="7"/>
  <c r="EF321" i="7"/>
  <c r="DN321" i="7"/>
  <c r="DA321" i="7"/>
  <c r="BX321" i="7"/>
  <c r="AT321" i="7"/>
  <c r="CO307" i="7"/>
  <c r="CX291" i="7"/>
  <c r="CX179" i="8" s="1"/>
  <c r="CF277" i="7"/>
  <c r="BQ576" i="7"/>
  <c r="ER226" i="7"/>
  <c r="DS226" i="7"/>
  <c r="BF226" i="7"/>
  <c r="EE178" i="7"/>
  <c r="AY57" i="7"/>
  <c r="AY26" i="8" s="1"/>
  <c r="DQ39" i="7"/>
  <c r="DP39" i="7" s="1"/>
  <c r="ER29" i="7"/>
  <c r="DO40" i="7"/>
  <c r="BI572" i="7"/>
  <c r="CS560" i="7"/>
  <c r="CS562" i="7" s="1"/>
  <c r="BD444" i="7"/>
  <c r="AP396" i="7"/>
  <c r="DT340" i="7"/>
  <c r="CD340" i="7"/>
  <c r="BR340" i="7"/>
  <c r="DZ321" i="7"/>
  <c r="DM321" i="7"/>
  <c r="CV321" i="7"/>
  <c r="CJ321" i="7"/>
  <c r="BF321" i="7"/>
  <c r="BQ253" i="7"/>
  <c r="BQ572" i="7" s="1"/>
  <c r="EL226" i="7"/>
  <c r="CV226" i="7"/>
  <c r="BX226" i="7"/>
  <c r="AZ226" i="7"/>
  <c r="AT29" i="7"/>
  <c r="EK200" i="7"/>
  <c r="EK166" i="8" s="1"/>
  <c r="DY365" i="7"/>
  <c r="DY340" i="7"/>
  <c r="DM340" i="7"/>
  <c r="CU340" i="7"/>
  <c r="CI340" i="7"/>
  <c r="BQ340" i="7"/>
  <c r="BE340" i="7"/>
  <c r="EK321" i="7"/>
  <c r="DS321" i="7"/>
  <c r="BQ321" i="7"/>
  <c r="BE321" i="7"/>
  <c r="CI226" i="7"/>
  <c r="BE226" i="7"/>
  <c r="AM226" i="7"/>
  <c r="H179" i="7"/>
  <c r="BK178" i="7"/>
  <c r="CU149" i="7"/>
  <c r="BQ149" i="7"/>
  <c r="CX68" i="7"/>
  <c r="CU67" i="7"/>
  <c r="BZ68" i="7"/>
  <c r="DM365" i="7"/>
  <c r="DA365" i="7"/>
  <c r="CI365" i="7"/>
  <c r="BW365" i="7"/>
  <c r="BE365" i="7"/>
  <c r="AS365" i="7"/>
  <c r="EQ340" i="7"/>
  <c r="BW340" i="7"/>
  <c r="AS340" i="7"/>
  <c r="CU321" i="7"/>
  <c r="AS321" i="7"/>
  <c r="EE226" i="7"/>
  <c r="BQ226" i="7"/>
  <c r="DG178" i="7"/>
  <c r="BW178" i="7"/>
  <c r="CO149" i="7"/>
  <c r="EK196" i="7"/>
  <c r="EK161" i="8" s="1"/>
  <c r="DG64" i="7"/>
  <c r="DD68" i="7"/>
  <c r="CR68" i="7"/>
  <c r="EQ365" i="7"/>
  <c r="EE365" i="7"/>
  <c r="BK365" i="7"/>
  <c r="EE340" i="7"/>
  <c r="DA340" i="7"/>
  <c r="AW329" i="7"/>
  <c r="EE321" i="7"/>
  <c r="DG321" i="7"/>
  <c r="CI321" i="7"/>
  <c r="BW321" i="7"/>
  <c r="DM226" i="7"/>
  <c r="CU226" i="7"/>
  <c r="EQ178" i="7"/>
  <c r="DA178" i="7"/>
  <c r="DS149" i="7"/>
  <c r="AY29" i="7"/>
  <c r="EQ68" i="7"/>
  <c r="EQ60" i="7"/>
  <c r="EN68" i="7"/>
  <c r="DS365" i="7"/>
  <c r="CO365" i="7"/>
  <c r="DS340" i="7"/>
  <c r="CO340" i="7"/>
  <c r="BK340" i="7"/>
  <c r="EQ321" i="7"/>
  <c r="BK321" i="7"/>
  <c r="AY321" i="7"/>
  <c r="EQ226" i="7"/>
  <c r="DY178" i="7"/>
  <c r="CU178" i="7"/>
  <c r="DM149" i="7"/>
  <c r="AY149" i="7"/>
  <c r="DG365" i="7"/>
  <c r="CC365" i="7"/>
  <c r="AY365" i="7"/>
  <c r="AM365" i="7"/>
  <c r="DG340" i="7"/>
  <c r="CC340" i="7"/>
  <c r="AY340" i="7"/>
  <c r="AM340" i="7"/>
  <c r="DY321" i="7"/>
  <c r="DY226" i="7"/>
  <c r="CO226" i="7"/>
  <c r="BK226" i="7"/>
  <c r="AS226" i="7"/>
  <c r="EK178" i="7"/>
  <c r="DS178" i="7"/>
  <c r="BQ178" i="7"/>
  <c r="AS178" i="7"/>
  <c r="AS149" i="7"/>
  <c r="EQ165" i="8"/>
  <c r="ER40" i="7"/>
  <c r="AO572" i="7"/>
  <c r="BC329" i="7"/>
  <c r="CC254" i="7"/>
  <c r="BN576" i="7"/>
  <c r="DH178" i="7"/>
  <c r="DN149" i="7"/>
  <c r="CV149" i="7"/>
  <c r="CD149" i="7"/>
  <c r="AT149" i="7"/>
  <c r="AN29" i="7"/>
  <c r="EL451" i="7"/>
  <c r="W572" i="7"/>
  <c r="CL307" i="7"/>
  <c r="DD291" i="7"/>
  <c r="DD179" i="8" s="1"/>
  <c r="BZ254" i="7"/>
  <c r="BE253" i="7"/>
  <c r="BH145" i="8"/>
  <c r="BH141" i="8" s="1"/>
  <c r="EF178" i="7"/>
  <c r="DT178" i="7"/>
  <c r="CP178" i="7"/>
  <c r="AN178" i="7"/>
  <c r="AM176" i="7"/>
  <c r="EF149" i="7"/>
  <c r="CD29" i="7"/>
  <c r="EF451" i="7"/>
  <c r="CC253" i="7"/>
  <c r="CW576" i="7"/>
  <c r="DH217" i="7"/>
  <c r="DG217" i="7" s="1"/>
  <c r="BF336" i="7"/>
  <c r="DB178" i="7"/>
  <c r="BF178" i="7"/>
  <c r="DZ149" i="7"/>
  <c r="CP149" i="7"/>
  <c r="BX149" i="7"/>
  <c r="DN29" i="7"/>
  <c r="BX29" i="7"/>
  <c r="DT451" i="7"/>
  <c r="CD576" i="7"/>
  <c r="BZ253" i="7"/>
  <c r="AV253" i="7"/>
  <c r="AV572" i="7" s="1"/>
  <c r="DT226" i="7"/>
  <c r="ER178" i="7"/>
  <c r="CD178" i="7"/>
  <c r="BR178" i="7"/>
  <c r="AZ178" i="7"/>
  <c r="DH149" i="7"/>
  <c r="AN149" i="7"/>
  <c r="DH29" i="7"/>
  <c r="DH576" i="7"/>
  <c r="AT336" i="7"/>
  <c r="CH317" i="7"/>
  <c r="BH147" i="8"/>
  <c r="DN178" i="7"/>
  <c r="CV178" i="7"/>
  <c r="DT149" i="7"/>
  <c r="DB149" i="7"/>
  <c r="BQ565" i="7"/>
  <c r="AY565" i="7"/>
  <c r="O565" i="7"/>
  <c r="BE196" i="7"/>
  <c r="BE161" i="8" s="1"/>
  <c r="AW335" i="7"/>
  <c r="AP329" i="7"/>
  <c r="AN332" i="7"/>
  <c r="AN334" i="7" s="1"/>
  <c r="DY67" i="7"/>
  <c r="BQ67" i="7"/>
  <c r="BH68" i="7"/>
  <c r="BK565" i="7"/>
  <c r="AS565" i="7"/>
  <c r="CG195" i="7"/>
  <c r="BY195" i="7"/>
  <c r="BP195" i="7"/>
  <c r="DR40" i="7"/>
  <c r="AR299" i="7"/>
  <c r="BB68" i="7"/>
  <c r="CX200" i="7"/>
  <c r="CX166" i="8" s="1"/>
  <c r="BL331" i="7"/>
  <c r="AN327" i="7"/>
  <c r="AN147" i="8" s="1"/>
  <c r="AN143" i="8" s="1"/>
  <c r="BL299" i="7"/>
  <c r="BK299" i="7" s="1"/>
  <c r="DM289" i="7"/>
  <c r="CU289" i="7"/>
  <c r="CF196" i="7"/>
  <c r="CF161" i="8" s="1"/>
  <c r="CI191" i="7"/>
  <c r="CI156" i="8" s="1"/>
  <c r="CC178" i="7"/>
  <c r="BE178" i="7"/>
  <c r="BH166" i="7"/>
  <c r="AY166" i="7"/>
  <c r="EQ149" i="7"/>
  <c r="EE149" i="7"/>
  <c r="DA149" i="7"/>
  <c r="BK149" i="7"/>
  <c r="CU95" i="7"/>
  <c r="DY29" i="7"/>
  <c r="BQ575" i="7"/>
  <c r="AY575" i="7"/>
  <c r="O575" i="7"/>
  <c r="BZ196" i="7"/>
  <c r="BZ161" i="8" s="1"/>
  <c r="Z155" i="8"/>
  <c r="Q155" i="8"/>
  <c r="H155" i="8"/>
  <c r="BR332" i="7"/>
  <c r="AY329" i="7"/>
  <c r="AS29" i="7"/>
  <c r="AX336" i="7"/>
  <c r="CE575" i="7"/>
  <c r="BE60" i="7"/>
  <c r="AE572" i="7"/>
  <c r="Y572" i="7"/>
  <c r="AT331" i="7"/>
  <c r="DG289" i="7"/>
  <c r="CO289" i="7"/>
  <c r="AS229" i="7"/>
  <c r="AS335" i="7" s="1"/>
  <c r="DG226" i="7"/>
  <c r="CC226" i="7"/>
  <c r="AY226" i="7"/>
  <c r="BV218" i="7"/>
  <c r="CO178" i="7"/>
  <c r="AY178" i="7"/>
  <c r="EK149" i="7"/>
  <c r="DY149" i="7"/>
  <c r="CI149" i="7"/>
  <c r="BE149" i="7"/>
  <c r="BK117" i="7"/>
  <c r="AZ102" i="8"/>
  <c r="BN191" i="7"/>
  <c r="BN156" i="8" s="1"/>
  <c r="AO335" i="7"/>
  <c r="AP94" i="7"/>
  <c r="AJ75" i="7"/>
  <c r="DN39" i="7"/>
  <c r="DM39" i="7" s="1"/>
  <c r="BQ196" i="7"/>
  <c r="BQ161" i="8" s="1"/>
  <c r="BQ29" i="7"/>
  <c r="AM29" i="7"/>
  <c r="CU68" i="7"/>
  <c r="DS117" i="7"/>
  <c r="AY93" i="7"/>
  <c r="AR330" i="7"/>
  <c r="DS289" i="7"/>
  <c r="DA289" i="7"/>
  <c r="CI289" i="7"/>
  <c r="AV336" i="7"/>
  <c r="BZ332" i="7"/>
  <c r="DM178" i="7"/>
  <c r="CI178" i="7"/>
  <c r="DG149" i="7"/>
  <c r="CC149" i="7"/>
  <c r="AM149" i="7"/>
  <c r="EQ29" i="7"/>
  <c r="BM178" i="7"/>
  <c r="M572" i="7"/>
  <c r="DC517" i="7"/>
  <c r="CW451" i="7"/>
  <c r="BG451" i="7"/>
  <c r="BN443" i="7"/>
  <c r="EG442" i="7"/>
  <c r="DI442" i="7"/>
  <c r="BS442" i="7"/>
  <c r="EM365" i="7"/>
  <c r="CE365" i="7"/>
  <c r="BM365" i="7"/>
  <c r="EM340" i="7"/>
  <c r="DU340" i="7"/>
  <c r="BM340" i="7"/>
  <c r="AU340" i="7"/>
  <c r="BG336" i="7"/>
  <c r="CB332" i="7"/>
  <c r="BO331" i="7"/>
  <c r="AN331" i="7"/>
  <c r="AT327" i="7"/>
  <c r="EM321" i="7"/>
  <c r="EA321" i="7"/>
  <c r="DI321" i="7"/>
  <c r="CE321" i="7"/>
  <c r="CF254" i="7"/>
  <c r="EA451" i="7"/>
  <c r="CQ451" i="7"/>
  <c r="CQ248" i="7" s="1"/>
  <c r="CQ576" i="7" s="1"/>
  <c r="CE178" i="7"/>
  <c r="BH176" i="7"/>
  <c r="BT60" i="7"/>
  <c r="DQ102" i="8"/>
  <c r="EG451" i="7"/>
  <c r="DY156" i="8"/>
  <c r="BH330" i="7"/>
  <c r="BA178" i="7"/>
  <c r="AO178" i="7"/>
  <c r="AT555" i="7"/>
  <c r="AT556" i="7" s="1"/>
  <c r="CV576" i="7"/>
  <c r="AN572" i="7"/>
  <c r="Z555" i="7"/>
  <c r="Z556" i="7" s="1"/>
  <c r="BV554" i="7"/>
  <c r="DI517" i="7"/>
  <c r="CE451" i="7"/>
  <c r="AO451" i="7"/>
  <c r="DO442" i="7"/>
  <c r="CQ442" i="7"/>
  <c r="BA442" i="7"/>
  <c r="DU365" i="7"/>
  <c r="DC365" i="7"/>
  <c r="DC340" i="7"/>
  <c r="CK340" i="7"/>
  <c r="CS332" i="7"/>
  <c r="AZ332" i="7"/>
  <c r="AZ334" i="7" s="1"/>
  <c r="BI330" i="7"/>
  <c r="AQ329" i="7"/>
  <c r="CW321" i="7"/>
  <c r="BZ308" i="7"/>
  <c r="BN307" i="7"/>
  <c r="CU70" i="8"/>
  <c r="CC70" i="8"/>
  <c r="DU451" i="7"/>
  <c r="BB196" i="7"/>
  <c r="BB161" i="8" s="1"/>
  <c r="CU80" i="7"/>
  <c r="CU132" i="8" s="1"/>
  <c r="DN40" i="7"/>
  <c r="DO517" i="7"/>
  <c r="BS451" i="7"/>
  <c r="AU451" i="7"/>
  <c r="DU442" i="7"/>
  <c r="CE442" i="7"/>
  <c r="BG442" i="7"/>
  <c r="EA365" i="7"/>
  <c r="DI365" i="7"/>
  <c r="AO365" i="7"/>
  <c r="CQ340" i="7"/>
  <c r="BY340" i="7"/>
  <c r="AR336" i="7"/>
  <c r="CG332" i="7"/>
  <c r="BX332" i="7"/>
  <c r="AU331" i="7"/>
  <c r="AZ328" i="7"/>
  <c r="EG321" i="7"/>
  <c r="DU321" i="7"/>
  <c r="AV307" i="7"/>
  <c r="AM330" i="7"/>
  <c r="CF253" i="7"/>
  <c r="DI576" i="7"/>
  <c r="O564" i="7"/>
  <c r="DJ229" i="7"/>
  <c r="DL40" i="7"/>
  <c r="X285" i="8"/>
  <c r="AI555" i="7"/>
  <c r="AI556" i="7" s="1"/>
  <c r="DF553" i="7"/>
  <c r="CQ553" i="7"/>
  <c r="CW517" i="7"/>
  <c r="DI451" i="7"/>
  <c r="BA451" i="7"/>
  <c r="DC442" i="7"/>
  <c r="BM442" i="7"/>
  <c r="EG365" i="7"/>
  <c r="CQ365" i="7"/>
  <c r="BY365" i="7"/>
  <c r="EG340" i="7"/>
  <c r="DO340" i="7"/>
  <c r="BG340" i="7"/>
  <c r="AO340" i="7"/>
  <c r="BL335" i="7"/>
  <c r="CE332" i="7"/>
  <c r="BV332" i="7"/>
  <c r="BC327" i="7"/>
  <c r="DC321" i="7"/>
  <c r="BY321" i="7"/>
  <c r="AU321" i="7"/>
  <c r="CL276" i="7"/>
  <c r="EM451" i="7"/>
  <c r="AM327" i="7"/>
  <c r="AM147" i="8" s="1"/>
  <c r="EB191" i="7"/>
  <c r="EB156" i="8" s="1"/>
  <c r="BY178" i="7"/>
  <c r="DA60" i="7"/>
  <c r="AT335" i="7"/>
  <c r="EK201" i="7"/>
  <c r="EK167" i="8" s="1"/>
  <c r="BE66" i="7"/>
  <c r="CE195" i="7"/>
  <c r="BW37" i="7"/>
  <c r="AX335" i="7"/>
  <c r="EQ200" i="7"/>
  <c r="EQ166" i="8" s="1"/>
  <c r="EN200" i="7"/>
  <c r="EN166" i="8" s="1"/>
  <c r="EK194" i="7"/>
  <c r="EK159" i="8" s="1"/>
  <c r="EH201" i="7"/>
  <c r="EH167" i="8" s="1"/>
  <c r="EH194" i="7"/>
  <c r="EH159" i="8" s="1"/>
  <c r="EE202" i="7"/>
  <c r="EE168" i="8" s="1"/>
  <c r="DS203" i="7"/>
  <c r="DP197" i="7"/>
  <c r="DP162" i="8" s="1"/>
  <c r="DJ60" i="7"/>
  <c r="DG67" i="7"/>
  <c r="DD59" i="7"/>
  <c r="DA64" i="7"/>
  <c r="CR60" i="7"/>
  <c r="CO64" i="7"/>
  <c r="CL60" i="7"/>
  <c r="CF60" i="7"/>
  <c r="CC67" i="7"/>
  <c r="BW67" i="7"/>
  <c r="BT71" i="7"/>
  <c r="BN564" i="7"/>
  <c r="BN575" i="7"/>
  <c r="AD575" i="7"/>
  <c r="BN565" i="7"/>
  <c r="AV565" i="7"/>
  <c r="AD565" i="7"/>
  <c r="AC332" i="7"/>
  <c r="T332" i="7"/>
  <c r="CA195" i="7"/>
  <c r="BZ197" i="7"/>
  <c r="BZ162" i="8" s="1"/>
  <c r="BM195" i="7"/>
  <c r="BN195" i="7" s="1"/>
  <c r="BD195" i="7"/>
  <c r="AQ332" i="7"/>
  <c r="AQ334" i="7" s="1"/>
  <c r="EQ194" i="7"/>
  <c r="EQ159" i="8" s="1"/>
  <c r="EN194" i="7"/>
  <c r="EN159" i="8" s="1"/>
  <c r="U565" i="7"/>
  <c r="BJ192" i="7"/>
  <c r="BK192" i="7" s="1"/>
  <c r="CN332" i="7"/>
  <c r="AV575" i="7"/>
  <c r="BK564" i="7"/>
  <c r="CK576" i="7"/>
  <c r="CC196" i="7"/>
  <c r="CC161" i="8" s="1"/>
  <c r="BQ41" i="7"/>
  <c r="BM328" i="7"/>
  <c r="DV162" i="8"/>
  <c r="BZ71" i="7"/>
  <c r="EQ117" i="7"/>
  <c r="EK93" i="7"/>
  <c r="DY117" i="7"/>
  <c r="DS93" i="7"/>
  <c r="DG117" i="7"/>
  <c r="DA93" i="7"/>
  <c r="CO117" i="7"/>
  <c r="CI93" i="7"/>
  <c r="BW117" i="7"/>
  <c r="BQ93" i="7"/>
  <c r="BB117" i="7"/>
  <c r="BK22" i="7"/>
  <c r="AW201" i="8"/>
  <c r="CL340" i="7"/>
  <c r="BB340" i="7"/>
  <c r="AW327" i="7"/>
  <c r="EB321" i="7"/>
  <c r="CF321" i="7"/>
  <c r="BH321" i="7"/>
  <c r="DI317" i="7"/>
  <c r="DI520" i="7" s="1"/>
  <c r="BP283" i="7"/>
  <c r="BG283" i="7"/>
  <c r="EH226" i="7"/>
  <c r="CF226" i="7"/>
  <c r="BT226" i="7"/>
  <c r="DA208" i="7"/>
  <c r="AS180" i="7"/>
  <c r="BN178" i="7"/>
  <c r="AV178" i="7"/>
  <c r="EB149" i="7"/>
  <c r="DP149" i="7"/>
  <c r="DD149" i="7"/>
  <c r="CR149" i="7"/>
  <c r="CF149" i="7"/>
  <c r="BT149" i="7"/>
  <c r="BH149" i="7"/>
  <c r="AV149" i="7"/>
  <c r="BW71" i="7"/>
  <c r="DJ29" i="7"/>
  <c r="BA444" i="7"/>
  <c r="BZ365" i="7"/>
  <c r="CE554" i="7"/>
  <c r="DJ517" i="7"/>
  <c r="CX451" i="7"/>
  <c r="BT451" i="7"/>
  <c r="DP442" i="7"/>
  <c r="CF442" i="7"/>
  <c r="DP365" i="7"/>
  <c r="CF365" i="7"/>
  <c r="BB365" i="7"/>
  <c r="EB340" i="7"/>
  <c r="CR340" i="7"/>
  <c r="BH340" i="7"/>
  <c r="BJ336" i="7"/>
  <c r="BC332" i="7"/>
  <c r="BC334" i="7" s="1"/>
  <c r="BJ331" i="7"/>
  <c r="AO331" i="7"/>
  <c r="BO329" i="7"/>
  <c r="BC328" i="7"/>
  <c r="DD321" i="7"/>
  <c r="CL321" i="7"/>
  <c r="BW265" i="7"/>
  <c r="BB332" i="7"/>
  <c r="DJ226" i="7"/>
  <c r="BH226" i="7"/>
  <c r="DJ178" i="7"/>
  <c r="CX178" i="7"/>
  <c r="EN29" i="7"/>
  <c r="CR29" i="7"/>
  <c r="CC29" i="7"/>
  <c r="BN29" i="7"/>
  <c r="AV29" i="7"/>
  <c r="DJ365" i="7"/>
  <c r="BX576" i="7"/>
  <c r="AX572" i="7"/>
  <c r="AI572" i="7"/>
  <c r="DP517" i="7"/>
  <c r="EB451" i="7"/>
  <c r="DD451" i="7"/>
  <c r="BZ451" i="7"/>
  <c r="AP451" i="7"/>
  <c r="DV442" i="7"/>
  <c r="CL442" i="7"/>
  <c r="BB442" i="7"/>
  <c r="DV365" i="7"/>
  <c r="CL365" i="7"/>
  <c r="AW359" i="7"/>
  <c r="AW206" i="8" s="1"/>
  <c r="Y201" i="8"/>
  <c r="EH340" i="7"/>
  <c r="CX340" i="7"/>
  <c r="BN340" i="7"/>
  <c r="BI336" i="7"/>
  <c r="BF331" i="7"/>
  <c r="AU330" i="7"/>
  <c r="EH321" i="7"/>
  <c r="DJ321" i="7"/>
  <c r="BN321" i="7"/>
  <c r="AP321" i="7"/>
  <c r="AU283" i="7"/>
  <c r="EN226" i="7"/>
  <c r="CX226" i="7"/>
  <c r="CL226" i="7"/>
  <c r="AV226" i="7"/>
  <c r="BN196" i="7"/>
  <c r="BN161" i="8" s="1"/>
  <c r="CS195" i="7"/>
  <c r="BE293" i="8"/>
  <c r="EN178" i="7"/>
  <c r="CL178" i="7"/>
  <c r="BT178" i="7"/>
  <c r="BB178" i="7"/>
  <c r="CO81" i="7"/>
  <c r="CO553" i="7" s="1"/>
  <c r="BD74" i="7"/>
  <c r="EK29" i="7"/>
  <c r="DS29" i="7"/>
  <c r="DG29" i="7"/>
  <c r="CO29" i="7"/>
  <c r="BZ29" i="7"/>
  <c r="BK29" i="7"/>
  <c r="DM59" i="7"/>
  <c r="CX59" i="7"/>
  <c r="CI64" i="7"/>
  <c r="Z572" i="7"/>
  <c r="DB568" i="7"/>
  <c r="CR517" i="7"/>
  <c r="EN451" i="7"/>
  <c r="DV451" i="7"/>
  <c r="CL451" i="7"/>
  <c r="BB451" i="7"/>
  <c r="EH442" i="7"/>
  <c r="CX442" i="7"/>
  <c r="BN442" i="7"/>
  <c r="EH365" i="7"/>
  <c r="CX365" i="7"/>
  <c r="BN365" i="7"/>
  <c r="AK201" i="8"/>
  <c r="G201" i="8"/>
  <c r="DJ340" i="7"/>
  <c r="BZ340" i="7"/>
  <c r="AP340" i="7"/>
  <c r="EN321" i="7"/>
  <c r="BT321" i="7"/>
  <c r="BB321" i="7"/>
  <c r="BJ299" i="7"/>
  <c r="DP226" i="7"/>
  <c r="DD226" i="7"/>
  <c r="BN226" i="7"/>
  <c r="BB226" i="7"/>
  <c r="BP206" i="7"/>
  <c r="BQ206" i="7" s="1"/>
  <c r="DD178" i="7"/>
  <c r="BH178" i="7"/>
  <c r="AP178" i="7"/>
  <c r="CP82" i="7"/>
  <c r="CP519" i="7" s="1"/>
  <c r="CR80" i="7"/>
  <c r="CR132" i="8" s="1"/>
  <c r="CS132" i="8" s="1"/>
  <c r="EE29" i="7"/>
  <c r="DA29" i="7"/>
  <c r="CI29" i="7"/>
  <c r="BW29" i="7"/>
  <c r="BE29" i="7"/>
  <c r="AP29" i="7"/>
  <c r="BE101" i="8"/>
  <c r="CX517" i="7"/>
  <c r="BH451" i="7"/>
  <c r="EN442" i="7"/>
  <c r="DD442" i="7"/>
  <c r="BT442" i="7"/>
  <c r="EN365" i="7"/>
  <c r="DD365" i="7"/>
  <c r="BT365" i="7"/>
  <c r="AV365" i="7"/>
  <c r="AQ201" i="8"/>
  <c r="M201" i="8"/>
  <c r="DP340" i="7"/>
  <c r="CF340" i="7"/>
  <c r="AV340" i="7"/>
  <c r="AN335" i="7"/>
  <c r="BM331" i="7"/>
  <c r="CX321" i="7"/>
  <c r="BZ321" i="7"/>
  <c r="BO316" i="7"/>
  <c r="BO317" i="7" s="1"/>
  <c r="BO560" i="7" s="1"/>
  <c r="BO562" i="7" s="1"/>
  <c r="CC265" i="7"/>
  <c r="CX229" i="7"/>
  <c r="CR226" i="7"/>
  <c r="AP226" i="7"/>
  <c r="BD179" i="7"/>
  <c r="EH178" i="7"/>
  <c r="CR178" i="7"/>
  <c r="CF178" i="7"/>
  <c r="EN149" i="7"/>
  <c r="EB29" i="7"/>
  <c r="DM29" i="7"/>
  <c r="CX29" i="7"/>
  <c r="CF29" i="7"/>
  <c r="BT29" i="7"/>
  <c r="BB29" i="7"/>
  <c r="AY9" i="7"/>
  <c r="AY5" i="45" s="1"/>
  <c r="AY4" i="45" s="1"/>
  <c r="BA49" i="8"/>
  <c r="DM36" i="7"/>
  <c r="CZ195" i="7"/>
  <c r="CW195" i="7"/>
  <c r="CV195" i="7"/>
  <c r="CA315" i="7"/>
  <c r="CA560" i="7" s="1"/>
  <c r="CA562" i="7" s="1"/>
  <c r="EN197" i="7"/>
  <c r="EN162" i="8" s="1"/>
  <c r="EK59" i="7"/>
  <c r="EE200" i="7"/>
  <c r="EE166" i="8" s="1"/>
  <c r="DV166" i="8"/>
  <c r="DP59" i="7"/>
  <c r="CO60" i="7"/>
  <c r="CF64" i="7"/>
  <c r="CB575" i="7"/>
  <c r="BE68" i="7"/>
  <c r="BW9" i="7"/>
  <c r="BW5" i="45" s="1"/>
  <c r="BO336" i="7"/>
  <c r="O554" i="7"/>
  <c r="W181" i="7"/>
  <c r="W183" i="7" s="1"/>
  <c r="W186" i="7" s="1"/>
  <c r="DI195" i="7"/>
  <c r="AM331" i="7"/>
  <c r="EE206" i="7"/>
  <c r="DS207" i="7"/>
  <c r="DS68" i="7"/>
  <c r="DP202" i="7"/>
  <c r="DP168" i="8" s="1"/>
  <c r="CL71" i="7"/>
  <c r="CF71" i="7"/>
  <c r="BW64" i="7"/>
  <c r="BR70" i="8"/>
  <c r="BF70" i="8"/>
  <c r="AZ70" i="8"/>
  <c r="AN70" i="8"/>
  <c r="AH70" i="8"/>
  <c r="AB70" i="8"/>
  <c r="V70" i="8"/>
  <c r="P70" i="8"/>
  <c r="J70" i="8"/>
  <c r="BF299" i="7"/>
  <c r="BE299" i="7" s="1"/>
  <c r="AO299" i="7"/>
  <c r="CL83" i="7"/>
  <c r="BT84" i="7"/>
  <c r="BT554" i="7" s="1"/>
  <c r="BH565" i="7"/>
  <c r="AV554" i="7"/>
  <c r="AD554" i="7"/>
  <c r="CC60" i="7"/>
  <c r="BZ64" i="7"/>
  <c r="EQ94" i="7"/>
  <c r="EN118" i="7"/>
  <c r="EH94" i="7"/>
  <c r="EE118" i="7"/>
  <c r="DY94" i="7"/>
  <c r="DP94" i="7"/>
  <c r="DM118" i="7"/>
  <c r="DG94" i="7"/>
  <c r="DD118" i="7"/>
  <c r="CX94" i="7"/>
  <c r="CU118" i="7"/>
  <c r="CO94" i="7"/>
  <c r="CF94" i="7"/>
  <c r="CC118" i="7"/>
  <c r="BW94" i="7"/>
  <c r="BT118" i="7"/>
  <c r="BN94" i="7"/>
  <c r="BH118" i="7"/>
  <c r="BB94" i="7"/>
  <c r="AY118" i="7"/>
  <c r="CI9" i="7"/>
  <c r="CI5" i="45" s="1"/>
  <c r="CI4" i="45" s="1"/>
  <c r="CE86" i="8"/>
  <c r="CE299" i="7"/>
  <c r="CB86" i="8"/>
  <c r="CB299" i="7"/>
  <c r="BS86" i="8"/>
  <c r="BS299" i="7"/>
  <c r="BG86" i="8"/>
  <c r="BG331" i="7"/>
  <c r="BG299" i="7"/>
  <c r="CF234" i="7"/>
  <c r="CF332" i="7" s="1"/>
  <c r="CJ332" i="7"/>
  <c r="BW234" i="7"/>
  <c r="BW332" i="7" s="1"/>
  <c r="CA332" i="7"/>
  <c r="BQ234" i="7"/>
  <c r="BQ332" i="7" s="1"/>
  <c r="BS332" i="7"/>
  <c r="BO146" i="8"/>
  <c r="BO142" i="8" s="1"/>
  <c r="BP332" i="7"/>
  <c r="BF329" i="7"/>
  <c r="BE263" i="7"/>
  <c r="BL330" i="7"/>
  <c r="BK273" i="7"/>
  <c r="BE273" i="7"/>
  <c r="BE330" i="7" s="1"/>
  <c r="BF330" i="7"/>
  <c r="AV176" i="7"/>
  <c r="AV169" i="7"/>
  <c r="AX169" i="7"/>
  <c r="DK307" i="7"/>
  <c r="DJ307" i="7" s="1"/>
  <c r="DJ308" i="7"/>
  <c r="AM234" i="7"/>
  <c r="AM142" i="8" s="1"/>
  <c r="AN328" i="7"/>
  <c r="AO332" i="7"/>
  <c r="AO334" i="7" s="1"/>
  <c r="EQ201" i="7"/>
  <c r="EQ167" i="8" s="1"/>
  <c r="EN201" i="7"/>
  <c r="EN167" i="8" s="1"/>
  <c r="EK202" i="7"/>
  <c r="EK168" i="8" s="1"/>
  <c r="EE203" i="7"/>
  <c r="DS206" i="7"/>
  <c r="DT39" i="7"/>
  <c r="CH296" i="7"/>
  <c r="CJ296" i="7" s="1"/>
  <c r="CF296" i="7"/>
  <c r="CQ276" i="7"/>
  <c r="CS276" i="7" s="1"/>
  <c r="CO276" i="7"/>
  <c r="DG68" i="7"/>
  <c r="DD60" i="7"/>
  <c r="CS179" i="8"/>
  <c r="CR291" i="7"/>
  <c r="CR179" i="8" s="1"/>
  <c r="CO67" i="7"/>
  <c r="CM179" i="8"/>
  <c r="CL291" i="7"/>
  <c r="CL179" i="8" s="1"/>
  <c r="DJ208" i="7"/>
  <c r="DG191" i="7"/>
  <c r="DG156" i="8" s="1"/>
  <c r="DD191" i="7"/>
  <c r="DD156" i="8" s="1"/>
  <c r="S22" i="7"/>
  <c r="S201" i="8"/>
  <c r="AW149" i="8"/>
  <c r="AV273" i="7"/>
  <c r="AV149" i="8" s="1"/>
  <c r="AP234" i="7"/>
  <c r="AP328" i="7" s="1"/>
  <c r="AQ328" i="7"/>
  <c r="AR332" i="7"/>
  <c r="AR334" i="7" s="1"/>
  <c r="DU40" i="7"/>
  <c r="DV40" i="7" s="1"/>
  <c r="DV161" i="8"/>
  <c r="CN298" i="7"/>
  <c r="CP298" i="7" s="1"/>
  <c r="CL298" i="7"/>
  <c r="CH295" i="7"/>
  <c r="CJ295" i="7" s="1"/>
  <c r="CG293" i="7"/>
  <c r="CF293" i="7" s="1"/>
  <c r="CF295" i="7"/>
  <c r="DK179" i="8"/>
  <c r="DJ291" i="7"/>
  <c r="DJ179" i="8" s="1"/>
  <c r="AR335" i="7"/>
  <c r="Z332" i="7"/>
  <c r="AH332" i="7"/>
  <c r="Y332" i="7"/>
  <c r="P332" i="7"/>
  <c r="BT564" i="7"/>
  <c r="AJ564" i="7"/>
  <c r="R564" i="7"/>
  <c r="BZ190" i="7"/>
  <c r="AV292" i="8"/>
  <c r="CA82" i="7"/>
  <c r="AV150" i="8"/>
  <c r="AV147" i="8"/>
  <c r="AV143" i="8" s="1"/>
  <c r="AV564" i="7"/>
  <c r="AD564" i="7"/>
  <c r="CH342" i="7"/>
  <c r="CH219" i="7" s="1"/>
  <c r="AF155" i="8"/>
  <c r="W155" i="8"/>
  <c r="N155" i="8"/>
  <c r="AT164" i="7"/>
  <c r="AT116" i="7"/>
  <c r="AT140" i="7" s="1"/>
  <c r="AT144" i="7" s="1"/>
  <c r="AT147" i="7" s="1"/>
  <c r="BY554" i="7"/>
  <c r="BQ71" i="7"/>
  <c r="BQ125" i="8" s="1"/>
  <c r="EH31" i="8"/>
  <c r="DP31" i="8"/>
  <c r="DG31" i="8"/>
  <c r="DC317" i="7"/>
  <c r="DC520" i="7" s="1"/>
  <c r="AM565" i="7"/>
  <c r="AV145" i="8"/>
  <c r="AV141" i="8" s="1"/>
  <c r="AS94" i="7"/>
  <c r="CQ82" i="7"/>
  <c r="CQ519" i="7" s="1"/>
  <c r="CR81" i="7"/>
  <c r="CR553" i="7" s="1"/>
  <c r="BN68" i="7"/>
  <c r="CT195" i="7"/>
  <c r="EQ59" i="7"/>
  <c r="EQ67" i="7"/>
  <c r="EN59" i="7"/>
  <c r="EK68" i="7"/>
  <c r="EH196" i="7"/>
  <c r="EH161" i="8" s="1"/>
  <c r="EH60" i="7"/>
  <c r="EH68" i="7"/>
  <c r="EE197" i="7"/>
  <c r="EE162" i="8" s="1"/>
  <c r="EB64" i="7"/>
  <c r="EB197" i="7"/>
  <c r="EB162" i="8" s="1"/>
  <c r="DY64" i="7"/>
  <c r="DS199" i="7"/>
  <c r="DS165" i="8" s="1"/>
  <c r="DS201" i="7"/>
  <c r="DS167" i="8" s="1"/>
  <c r="DM71" i="7"/>
  <c r="CX71" i="7"/>
  <c r="CU60" i="7"/>
  <c r="CC68" i="7"/>
  <c r="BW68" i="7"/>
  <c r="DD86" i="7"/>
  <c r="CL86" i="7"/>
  <c r="BT67" i="7"/>
  <c r="AW181" i="7"/>
  <c r="AO283" i="7"/>
  <c r="AN242" i="7"/>
  <c r="AM242" i="7" s="1"/>
  <c r="AC155" i="8"/>
  <c r="T155" i="8"/>
  <c r="K155" i="8"/>
  <c r="DG80" i="7"/>
  <c r="EE31" i="8"/>
  <c r="DM31" i="8"/>
  <c r="DD31" i="8"/>
  <c r="D2" i="8"/>
  <c r="D226" i="7"/>
  <c r="D321" i="7"/>
  <c r="D365" i="7"/>
  <c r="D451" i="7"/>
  <c r="D9" i="7"/>
  <c r="D29" i="7"/>
  <c r="D149" i="7"/>
  <c r="D340" i="7"/>
  <c r="CY81" i="7"/>
  <c r="CY72" i="7" s="1"/>
  <c r="CX80" i="7"/>
  <c r="CX132" i="8" s="1"/>
  <c r="CY132" i="8" s="1"/>
  <c r="CY133" i="8" s="1"/>
  <c r="CV82" i="7"/>
  <c r="CV519" i="7" s="1"/>
  <c r="CV553" i="7"/>
  <c r="CU81" i="7"/>
  <c r="AQ164" i="7"/>
  <c r="AT156" i="7"/>
  <c r="CH24" i="8"/>
  <c r="CH41" i="7" s="1"/>
  <c r="CE41" i="7"/>
  <c r="AJ20" i="8"/>
  <c r="AJ285" i="8"/>
  <c r="AD220" i="8"/>
  <c r="AD285" i="8"/>
  <c r="R20" i="8"/>
  <c r="R285" i="8"/>
  <c r="L220" i="8"/>
  <c r="L285" i="8"/>
  <c r="F220" i="8"/>
  <c r="F285" i="8"/>
  <c r="CQ40" i="7"/>
  <c r="CR40" i="7" s="1"/>
  <c r="CR196" i="7"/>
  <c r="CR161" i="8" s="1"/>
  <c r="EP29" i="7"/>
  <c r="EP340" i="7"/>
  <c r="EP365" i="7"/>
  <c r="EP451" i="7"/>
  <c r="DX451" i="7"/>
  <c r="DX340" i="7"/>
  <c r="DX365" i="7"/>
  <c r="DF340" i="7"/>
  <c r="DF365" i="7"/>
  <c r="DF517" i="7"/>
  <c r="CN340" i="7"/>
  <c r="CN365" i="7"/>
  <c r="BV340" i="7"/>
  <c r="BV365" i="7"/>
  <c r="BD340" i="7"/>
  <c r="BD365" i="7"/>
  <c r="D178" i="7"/>
  <c r="AY105" i="8"/>
  <c r="AY554" i="7"/>
  <c r="AU327" i="7"/>
  <c r="AU335" i="7"/>
  <c r="AV335" i="7"/>
  <c r="AU336" i="7"/>
  <c r="AW336" i="7"/>
  <c r="AS263" i="7"/>
  <c r="AS329" i="7" s="1"/>
  <c r="AT329" i="7"/>
  <c r="AP293" i="7"/>
  <c r="AP331" i="7" s="1"/>
  <c r="AQ331" i="7"/>
  <c r="AQ299" i="7"/>
  <c r="AP299" i="7" s="1"/>
  <c r="AM263" i="7"/>
  <c r="AM329" i="7" s="1"/>
  <c r="AN329" i="7"/>
  <c r="AO336" i="7"/>
  <c r="AQ336" i="7"/>
  <c r="EN191" i="7"/>
  <c r="EN156" i="8" s="1"/>
  <c r="EO39" i="7"/>
  <c r="EN39" i="7" s="1"/>
  <c r="DR39" i="7"/>
  <c r="DS191" i="7"/>
  <c r="DS156" i="8" s="1"/>
  <c r="DN205" i="7"/>
  <c r="DM207" i="7"/>
  <c r="DP297" i="7"/>
  <c r="CH278" i="7"/>
  <c r="CJ278" i="7" s="1"/>
  <c r="CK278" i="7" s="1"/>
  <c r="CM278" i="7" s="1"/>
  <c r="CF278" i="7"/>
  <c r="DI292" i="7"/>
  <c r="DK292" i="7" s="1"/>
  <c r="DG292" i="7"/>
  <c r="CV179" i="8"/>
  <c r="CU291" i="7"/>
  <c r="CU179" i="8" s="1"/>
  <c r="CH271" i="7"/>
  <c r="CJ271" i="7" s="1"/>
  <c r="CF271" i="7"/>
  <c r="CD4" i="8"/>
  <c r="CD10" i="8" s="1"/>
  <c r="CD554" i="7"/>
  <c r="BX4" i="8"/>
  <c r="BX10" i="8" s="1"/>
  <c r="BX554" i="7"/>
  <c r="BV299" i="7"/>
  <c r="BV575" i="7"/>
  <c r="BO57" i="7"/>
  <c r="BN58" i="7"/>
  <c r="AX179" i="7"/>
  <c r="AX325" i="7"/>
  <c r="AX74" i="7"/>
  <c r="AX162" i="7"/>
  <c r="AW299" i="7"/>
  <c r="AV299" i="7" s="1"/>
  <c r="AV286" i="7"/>
  <c r="AV115" i="8" s="1"/>
  <c r="AR26" i="8"/>
  <c r="AR28" i="8" s="1"/>
  <c r="AS57" i="7"/>
  <c r="AS26" i="8" s="1"/>
  <c r="AR181" i="7"/>
  <c r="AO63" i="7"/>
  <c r="AP63" i="7" s="1"/>
  <c r="AP27" i="8" s="1"/>
  <c r="AP65" i="7"/>
  <c r="AM286" i="7"/>
  <c r="AM115" i="8" s="1"/>
  <c r="AN299" i="7"/>
  <c r="AM299" i="7" s="1"/>
  <c r="BT398" i="7"/>
  <c r="BT390" i="7" s="1"/>
  <c r="BS402" i="7"/>
  <c r="AV293" i="7"/>
  <c r="AV151" i="8" s="1"/>
  <c r="AW331" i="7"/>
  <c r="AW328" i="7"/>
  <c r="AW332" i="7"/>
  <c r="AW334" i="7" s="1"/>
  <c r="AX332" i="7"/>
  <c r="AX334" i="7" s="1"/>
  <c r="ED29" i="7"/>
  <c r="ED340" i="7"/>
  <c r="ED365" i="7"/>
  <c r="ED178" i="7"/>
  <c r="DL340" i="7"/>
  <c r="DL365" i="7"/>
  <c r="DL517" i="7"/>
  <c r="CT340" i="7"/>
  <c r="CT365" i="7"/>
  <c r="CT517" i="7"/>
  <c r="CB29" i="7"/>
  <c r="CB340" i="7"/>
  <c r="CB365" i="7"/>
  <c r="BJ226" i="7"/>
  <c r="BJ340" i="7"/>
  <c r="BJ365" i="7"/>
  <c r="AR340" i="7"/>
  <c r="AR365" i="7"/>
  <c r="AV234" i="7"/>
  <c r="AV328" i="7" s="1"/>
  <c r="DA576" i="7"/>
  <c r="BD162" i="7"/>
  <c r="BR315" i="7"/>
  <c r="BQ315" i="7" s="1"/>
  <c r="BQ307" i="7"/>
  <c r="BI315" i="7"/>
  <c r="BH315" i="7" s="1"/>
  <c r="BH307" i="7"/>
  <c r="AZ315" i="7"/>
  <c r="AY315" i="7" s="1"/>
  <c r="AY307" i="7"/>
  <c r="EJ340" i="7"/>
  <c r="EJ365" i="7"/>
  <c r="DR340" i="7"/>
  <c r="DR365" i="7"/>
  <c r="DR517" i="7"/>
  <c r="CZ340" i="7"/>
  <c r="CZ365" i="7"/>
  <c r="CZ517" i="7"/>
  <c r="CH340" i="7"/>
  <c r="CH365" i="7"/>
  <c r="BP149" i="7"/>
  <c r="BP340" i="7"/>
  <c r="BP365" i="7"/>
  <c r="AX340" i="7"/>
  <c r="AX365" i="7"/>
  <c r="DP191" i="7"/>
  <c r="DP156" i="8" s="1"/>
  <c r="BY86" i="8"/>
  <c r="BY299" i="7"/>
  <c r="BN273" i="7"/>
  <c r="BO330" i="7"/>
  <c r="AZ331" i="7"/>
  <c r="AZ299" i="7"/>
  <c r="AY299" i="7" s="1"/>
  <c r="AY293" i="7"/>
  <c r="AY151" i="8" s="1"/>
  <c r="BN229" i="7"/>
  <c r="BO327" i="7"/>
  <c r="BH234" i="7"/>
  <c r="BH332" i="7" s="1"/>
  <c r="BH334" i="7" s="1"/>
  <c r="BI328" i="7"/>
  <c r="BJ332" i="7"/>
  <c r="BJ334" i="7" s="1"/>
  <c r="BJ335" i="7"/>
  <c r="BJ327" i="7"/>
  <c r="BE234" i="7"/>
  <c r="BE328" i="7" s="1"/>
  <c r="BF328" i="7"/>
  <c r="BF332" i="7"/>
  <c r="BF334" i="7" s="1"/>
  <c r="BI332" i="7"/>
  <c r="BI334" i="7" s="1"/>
  <c r="T34" i="7"/>
  <c r="T42" i="7" s="1"/>
  <c r="T555" i="7"/>
  <c r="T556" i="7" s="1"/>
  <c r="BN30" i="7"/>
  <c r="BN336" i="7" s="1"/>
  <c r="BM151" i="7"/>
  <c r="BM166" i="7"/>
  <c r="BM176" i="7"/>
  <c r="AS169" i="7"/>
  <c r="AS166" i="7"/>
  <c r="AS176" i="7"/>
  <c r="AV151" i="7"/>
  <c r="AU317" i="7"/>
  <c r="BT565" i="7"/>
  <c r="AJ565" i="7"/>
  <c r="R565" i="7"/>
  <c r="CT280" i="7"/>
  <c r="DG70" i="8"/>
  <c r="CO70" i="8"/>
  <c r="BW70" i="8"/>
  <c r="DK245" i="7"/>
  <c r="AD42" i="9" s="1"/>
  <c r="DA200" i="7"/>
  <c r="DA166" i="8" s="1"/>
  <c r="AQ155" i="8"/>
  <c r="EK203" i="7"/>
  <c r="CX206" i="7"/>
  <c r="CO206" i="7"/>
  <c r="AS292" i="8"/>
  <c r="BM330" i="7"/>
  <c r="AM93" i="7"/>
  <c r="BD317" i="7"/>
  <c r="BD560" i="7" s="1"/>
  <c r="BD562" i="7" s="1"/>
  <c r="AS150" i="8"/>
  <c r="AS145" i="8"/>
  <c r="CU31" i="8"/>
  <c r="CN317" i="7"/>
  <c r="AS151" i="8"/>
  <c r="BY283" i="7"/>
  <c r="CX70" i="8"/>
  <c r="CF70" i="8"/>
  <c r="CC64" i="7"/>
  <c r="BZ67" i="7"/>
  <c r="BZ60" i="7"/>
  <c r="BF283" i="7"/>
  <c r="BE283" i="7" s="1"/>
  <c r="AN283" i="7"/>
  <c r="AS147" i="8"/>
  <c r="AG332" i="7"/>
  <c r="X332" i="7"/>
  <c r="CI576" i="7"/>
  <c r="BP31" i="7"/>
  <c r="AQ116" i="7"/>
  <c r="AQ140" i="7" s="1"/>
  <c r="EB31" i="8"/>
  <c r="DS31" i="8"/>
  <c r="EE71" i="7"/>
  <c r="DS59" i="7"/>
  <c r="DM64" i="7"/>
  <c r="BN31" i="8"/>
  <c r="EK67" i="7"/>
  <c r="EE68" i="7"/>
  <c r="EB196" i="7"/>
  <c r="EB161" i="8" s="1"/>
  <c r="DS197" i="7"/>
  <c r="DS162" i="8" s="1"/>
  <c r="DS71" i="7"/>
  <c r="CX60" i="7"/>
  <c r="CU59" i="7"/>
  <c r="CO68" i="7"/>
  <c r="DA67" i="7"/>
  <c r="BT31" i="8"/>
  <c r="CH280" i="7"/>
  <c r="DJ31" i="8"/>
  <c r="AU332" i="7"/>
  <c r="AU334" i="7" s="1"/>
  <c r="DS67" i="7"/>
  <c r="DP64" i="7"/>
  <c r="CO71" i="7"/>
  <c r="CR31" i="8"/>
  <c r="BQ564" i="7"/>
  <c r="AY564" i="7"/>
  <c r="AG564" i="7"/>
  <c r="AM575" i="7"/>
  <c r="U575" i="7"/>
  <c r="DA214" i="7"/>
  <c r="BH57" i="7"/>
  <c r="EN94" i="7"/>
  <c r="DD94" i="7"/>
  <c r="CL94" i="7"/>
  <c r="BT94" i="7"/>
  <c r="BH94" i="7"/>
  <c r="BE118" i="7"/>
  <c r="BK9" i="7"/>
  <c r="BK5" i="45" s="1"/>
  <c r="BK4" i="45" s="1"/>
  <c r="DF256" i="7"/>
  <c r="CV70" i="8"/>
  <c r="EQ197" i="7"/>
  <c r="EQ162" i="8" s="1"/>
  <c r="EK207" i="7"/>
  <c r="EK165" i="8"/>
  <c r="EI40" i="7"/>
  <c r="EH165" i="8"/>
  <c r="EB200" i="7"/>
  <c r="EB166" i="8" s="1"/>
  <c r="DS64" i="7"/>
  <c r="DM202" i="7"/>
  <c r="DM168" i="8" s="1"/>
  <c r="DG71" i="7"/>
  <c r="DD67" i="7"/>
  <c r="CX67" i="7"/>
  <c r="CU64" i="7"/>
  <c r="CR67" i="7"/>
  <c r="DH70" i="8"/>
  <c r="CX31" i="8"/>
  <c r="BN101" i="8"/>
  <c r="BO101" i="8" s="1"/>
  <c r="BP101" i="8" s="1"/>
  <c r="BJ104" i="8"/>
  <c r="BJ17" i="8" s="1"/>
  <c r="DM37" i="7"/>
  <c r="EN196" i="7"/>
  <c r="EN161" i="8" s="1"/>
  <c r="EE59" i="7"/>
  <c r="EE165" i="8"/>
  <c r="DP207" i="7"/>
  <c r="DE280" i="7"/>
  <c r="DD280" i="7" s="1"/>
  <c r="CQ280" i="7"/>
  <c r="CM280" i="7"/>
  <c r="CL280" i="7" s="1"/>
  <c r="EN31" i="8"/>
  <c r="BA555" i="7"/>
  <c r="CI84" i="7"/>
  <c r="BA332" i="7"/>
  <c r="AJ554" i="7"/>
  <c r="R554" i="7"/>
  <c r="Q181" i="7"/>
  <c r="N181" i="7"/>
  <c r="K181" i="7"/>
  <c r="K183" i="7" s="1"/>
  <c r="K186" i="7" s="1"/>
  <c r="E181" i="7"/>
  <c r="E183" i="7" s="1"/>
  <c r="E186" i="7" s="1"/>
  <c r="AL572" i="7"/>
  <c r="BX70" i="8"/>
  <c r="AY576" i="7"/>
  <c r="K572" i="7"/>
  <c r="Q332" i="7"/>
  <c r="AK299" i="7"/>
  <c r="AJ299" i="7" s="1"/>
  <c r="CR94" i="7"/>
  <c r="AC324" i="7"/>
  <c r="T324" i="7"/>
  <c r="K324" i="7"/>
  <c r="AW185" i="7"/>
  <c r="BM299" i="7"/>
  <c r="O332" i="7"/>
  <c r="DC332" i="7"/>
  <c r="CT332" i="7"/>
  <c r="CK332" i="7"/>
  <c r="BB57" i="7"/>
  <c r="EN117" i="7"/>
  <c r="EH93" i="7"/>
  <c r="DP93" i="7"/>
  <c r="BU299" i="7"/>
  <c r="BT299" i="7" s="1"/>
  <c r="BT293" i="7"/>
  <c r="BT86" i="8" s="1"/>
  <c r="BI299" i="7"/>
  <c r="BH299" i="7" s="1"/>
  <c r="BI331" i="7"/>
  <c r="DB332" i="7"/>
  <c r="CX234" i="7"/>
  <c r="CX332" i="7" s="1"/>
  <c r="BM327" i="7"/>
  <c r="BM335" i="7"/>
  <c r="BK229" i="7"/>
  <c r="BL327" i="7"/>
  <c r="BO335" i="7"/>
  <c r="BG332" i="7"/>
  <c r="BG334" i="7" s="1"/>
  <c r="BG328" i="7"/>
  <c r="AZ327" i="7"/>
  <c r="AZ335" i="7"/>
  <c r="CP274" i="7"/>
  <c r="CL274" i="7"/>
  <c r="AG13" i="8"/>
  <c r="AG285" i="8"/>
  <c r="U13" i="8"/>
  <c r="U285" i="8"/>
  <c r="I13" i="8"/>
  <c r="I220" i="8"/>
  <c r="I285" i="8"/>
  <c r="CO234" i="7"/>
  <c r="CO332" i="7" s="1"/>
  <c r="DK332" i="7"/>
  <c r="BP299" i="7"/>
  <c r="BH293" i="7"/>
  <c r="BH331" i="7" s="1"/>
  <c r="CO291" i="7"/>
  <c r="CO179" i="8" s="1"/>
  <c r="AD234" i="7"/>
  <c r="AD332" i="7" s="1"/>
  <c r="AF332" i="7"/>
  <c r="U234" i="7"/>
  <c r="U332" i="7" s="1"/>
  <c r="W332" i="7"/>
  <c r="L234" i="7"/>
  <c r="L142" i="8" s="1"/>
  <c r="N332" i="7"/>
  <c r="AY229" i="7"/>
  <c r="AY327" i="7" s="1"/>
  <c r="CY315" i="7"/>
  <c r="Z56" i="9" s="1"/>
  <c r="Z54" i="9" s="1"/>
  <c r="CX307" i="7"/>
  <c r="CJ315" i="7"/>
  <c r="CJ560" i="7" s="1"/>
  <c r="CJ562" i="7" s="1"/>
  <c r="CI307" i="7"/>
  <c r="BU250" i="7"/>
  <c r="BU260" i="7" s="1"/>
  <c r="BT260" i="7" s="1"/>
  <c r="BT253" i="7"/>
  <c r="BT572" i="7" s="1"/>
  <c r="BC250" i="7"/>
  <c r="BC260" i="7" s="1"/>
  <c r="BB260" i="7" s="1"/>
  <c r="BB253" i="7"/>
  <c r="BC335" i="7"/>
  <c r="AO327" i="7"/>
  <c r="K332" i="7"/>
  <c r="CE242" i="7"/>
  <c r="CE564" i="7" s="1"/>
  <c r="BV242" i="7"/>
  <c r="BV564" i="7" s="1"/>
  <c r="BM242" i="7"/>
  <c r="DG234" i="7"/>
  <c r="DG332" i="7" s="1"/>
  <c r="CH290" i="7"/>
  <c r="CJ290" i="7" s="1"/>
  <c r="CF290" i="7"/>
  <c r="CH268" i="7"/>
  <c r="CJ268" i="7" s="1"/>
  <c r="CK268" i="7" s="1"/>
  <c r="CM268" i="7" s="1"/>
  <c r="CF268" i="7"/>
  <c r="BV155" i="7"/>
  <c r="BT75" i="7"/>
  <c r="BA325" i="7"/>
  <c r="BA155" i="7"/>
  <c r="BD155" i="7"/>
  <c r="BA179" i="7"/>
  <c r="AX155" i="7"/>
  <c r="AU162" i="7"/>
  <c r="AT179" i="7"/>
  <c r="AW155" i="7"/>
  <c r="AT162" i="7"/>
  <c r="CZ182" i="7"/>
  <c r="DA182" i="7" s="1"/>
  <c r="AU10" i="7"/>
  <c r="AU164" i="7"/>
  <c r="EO149" i="7"/>
  <c r="EO178" i="7"/>
  <c r="EO226" i="7"/>
  <c r="EI321" i="7"/>
  <c r="EI149" i="7"/>
  <c r="EI178" i="7"/>
  <c r="EC226" i="7"/>
  <c r="EC321" i="7"/>
  <c r="EC149" i="7"/>
  <c r="DQ149" i="7"/>
  <c r="DQ178" i="7"/>
  <c r="DK226" i="7"/>
  <c r="DK149" i="7"/>
  <c r="DE149" i="7"/>
  <c r="DE178" i="7"/>
  <c r="DE226" i="7"/>
  <c r="CY321" i="7"/>
  <c r="CY149" i="7"/>
  <c r="CY178" i="7"/>
  <c r="CS226" i="7"/>
  <c r="CS321" i="7"/>
  <c r="CS149" i="7"/>
  <c r="CM149" i="7"/>
  <c r="CM178" i="7"/>
  <c r="CM321" i="7"/>
  <c r="CM226" i="7"/>
  <c r="CG149" i="7"/>
  <c r="CG178" i="7"/>
  <c r="CA226" i="7"/>
  <c r="CA149" i="7"/>
  <c r="CA178" i="7"/>
  <c r="BU149" i="7"/>
  <c r="BU226" i="7"/>
  <c r="BO178" i="7"/>
  <c r="BO321" i="7"/>
  <c r="BO149" i="7"/>
  <c r="BI226" i="7"/>
  <c r="BI178" i="7"/>
  <c r="BI321" i="7"/>
  <c r="BI149" i="7"/>
  <c r="BC149" i="7"/>
  <c r="BC365" i="7"/>
  <c r="BC178" i="7"/>
  <c r="BC226" i="7"/>
  <c r="BC321" i="7"/>
  <c r="AW365" i="7"/>
  <c r="AW149" i="7"/>
  <c r="AW178" i="7"/>
  <c r="AQ226" i="7"/>
  <c r="AQ365" i="7"/>
  <c r="AQ149" i="7"/>
  <c r="AQ178" i="7"/>
  <c r="BD336" i="7"/>
  <c r="CI274" i="7"/>
  <c r="BT575" i="7"/>
  <c r="AJ575" i="7"/>
  <c r="R575" i="7"/>
  <c r="EQ118" i="7"/>
  <c r="EB94" i="7"/>
  <c r="DY118" i="7"/>
  <c r="DJ94" i="7"/>
  <c r="DG118" i="7"/>
  <c r="CO118" i="7"/>
  <c r="BZ94" i="7"/>
  <c r="BW118" i="7"/>
  <c r="BB118" i="7"/>
  <c r="AA332" i="7"/>
  <c r="CM576" i="7"/>
  <c r="BK575" i="7"/>
  <c r="BK118" i="7"/>
  <c r="AP147" i="8"/>
  <c r="AP143" i="8" s="1"/>
  <c r="BG242" i="7"/>
  <c r="DI332" i="7"/>
  <c r="CZ332" i="7"/>
  <c r="CQ332" i="7"/>
  <c r="EN79" i="8"/>
  <c r="K79" i="8"/>
  <c r="CD70" i="8"/>
  <c r="AR283" i="7"/>
  <c r="BE82" i="7"/>
  <c r="AM82" i="7"/>
  <c r="AM122" i="8" s="1"/>
  <c r="AX299" i="7"/>
  <c r="AI181" i="7"/>
  <c r="AI183" i="7" s="1"/>
  <c r="AI186" i="7" s="1"/>
  <c r="EN93" i="7"/>
  <c r="EK117" i="7"/>
  <c r="EE93" i="7"/>
  <c r="EB117" i="7"/>
  <c r="DM93" i="7"/>
  <c r="DJ117" i="7"/>
  <c r="DD117" i="7"/>
  <c r="DD93" i="7"/>
  <c r="DA117" i="7"/>
  <c r="CX93" i="7"/>
  <c r="CR117" i="7"/>
  <c r="CL117" i="7"/>
  <c r="CL93" i="7"/>
  <c r="CI117" i="7"/>
  <c r="CF93" i="7"/>
  <c r="CC93" i="7"/>
  <c r="BZ117" i="7"/>
  <c r="BT117" i="7"/>
  <c r="BT93" i="7"/>
  <c r="BQ117" i="7"/>
  <c r="BN93" i="7"/>
  <c r="BH93" i="7"/>
  <c r="BE117" i="7"/>
  <c r="BB93" i="7"/>
  <c r="DA86" i="7"/>
  <c r="CR86" i="7"/>
  <c r="CI86" i="7"/>
  <c r="BZ86" i="7"/>
  <c r="AZ181" i="7"/>
  <c r="AA86" i="7"/>
  <c r="R86" i="7"/>
  <c r="AQ156" i="7"/>
  <c r="DR29" i="7"/>
  <c r="CZ149" i="7"/>
  <c r="CT226" i="7"/>
  <c r="S250" i="7"/>
  <c r="R250" i="7" s="1"/>
  <c r="R576" i="7" s="1"/>
  <c r="R253" i="7"/>
  <c r="R572" i="7" s="1"/>
  <c r="BL315" i="7"/>
  <c r="BK315" i="7" s="1"/>
  <c r="BK307" i="7"/>
  <c r="H332" i="7"/>
  <c r="I332" i="7"/>
  <c r="BX250" i="7"/>
  <c r="BW250" i="7" s="1"/>
  <c r="BW253" i="7"/>
  <c r="BU315" i="7"/>
  <c r="BT315" i="7" s="1"/>
  <c r="BT307" i="7"/>
  <c r="BC315" i="7"/>
  <c r="BB315" i="7" s="1"/>
  <c r="BB307" i="7"/>
  <c r="AT315" i="7"/>
  <c r="AS315" i="7" s="1"/>
  <c r="AS307" i="7"/>
  <c r="DE576" i="7"/>
  <c r="AS564" i="7"/>
  <c r="AX329" i="7"/>
  <c r="BD332" i="7"/>
  <c r="BD334" i="7" s="1"/>
  <c r="BD328" i="7"/>
  <c r="ED226" i="7"/>
  <c r="CT178" i="7"/>
  <c r="CA576" i="7"/>
  <c r="AY169" i="7"/>
  <c r="AX317" i="7"/>
  <c r="AX560" i="7" s="1"/>
  <c r="AX562" i="7" s="1"/>
  <c r="AX283" i="7"/>
  <c r="DE332" i="7"/>
  <c r="DF332" i="7"/>
  <c r="DH332" i="7"/>
  <c r="CV332" i="7"/>
  <c r="CU234" i="7"/>
  <c r="CU332" i="7" s="1"/>
  <c r="CW332" i="7"/>
  <c r="CY332" i="7"/>
  <c r="CL234" i="7"/>
  <c r="CL332" i="7" s="1"/>
  <c r="CP332" i="7"/>
  <c r="CM332" i="7"/>
  <c r="BM329" i="7"/>
  <c r="BM336" i="7"/>
  <c r="BK234" i="7"/>
  <c r="BK332" i="7" s="1"/>
  <c r="BL332" i="7"/>
  <c r="BL334" i="7" s="1"/>
  <c r="BM332" i="7"/>
  <c r="BM334" i="7" s="1"/>
  <c r="BO332" i="7"/>
  <c r="BO334" i="7" s="1"/>
  <c r="BE229" i="7"/>
  <c r="BE327" i="7" s="1"/>
  <c r="BF335" i="7"/>
  <c r="BG335" i="7"/>
  <c r="BI335" i="7"/>
  <c r="AZ329" i="7"/>
  <c r="AZ336" i="7"/>
  <c r="BC336" i="7"/>
  <c r="AP336" i="7"/>
  <c r="AO329" i="7"/>
  <c r="BH327" i="7"/>
  <c r="BH335" i="7"/>
  <c r="AY146" i="8"/>
  <c r="AY142" i="8" s="1"/>
  <c r="AY328" i="7"/>
  <c r="AY332" i="7"/>
  <c r="AY334" i="7" s="1"/>
  <c r="AZ358" i="7"/>
  <c r="AZ205" i="8" s="1"/>
  <c r="AZ360" i="7" s="1"/>
  <c r="AZ359" i="7"/>
  <c r="AZ206" i="8" s="1"/>
  <c r="AT22" i="7"/>
  <c r="AT201" i="8"/>
  <c r="AN22" i="7"/>
  <c r="AN201" i="8"/>
  <c r="AH22" i="7"/>
  <c r="AH201" i="8"/>
  <c r="AB22" i="7"/>
  <c r="AB201" i="8"/>
  <c r="V22" i="7"/>
  <c r="V201" i="8"/>
  <c r="P22" i="7"/>
  <c r="P201" i="8"/>
  <c r="J22" i="7"/>
  <c r="J201" i="8"/>
  <c r="AU328" i="7"/>
  <c r="AT149" i="8"/>
  <c r="AS273" i="7"/>
  <c r="AS149" i="8" s="1"/>
  <c r="AT330" i="7"/>
  <c r="AJ263" i="7"/>
  <c r="AJ143" i="8" s="1"/>
  <c r="AN336" i="7"/>
  <c r="DO285" i="7"/>
  <c r="DQ285" i="7" s="1"/>
  <c r="DM285" i="7"/>
  <c r="CH292" i="7"/>
  <c r="CJ292" i="7" s="1"/>
  <c r="CF292" i="7"/>
  <c r="BN286" i="7"/>
  <c r="BN115" i="8" s="1"/>
  <c r="BO299" i="7"/>
  <c r="BN299" i="7" s="1"/>
  <c r="BG4" i="8"/>
  <c r="BG10" i="8" s="1"/>
  <c r="BG177" i="7"/>
  <c r="BG155" i="7"/>
  <c r="BG325" i="7"/>
  <c r="BG179" i="7"/>
  <c r="BH179" i="7" s="1"/>
  <c r="BG162" i="7"/>
  <c r="BF4" i="8"/>
  <c r="BF10" i="8" s="1"/>
  <c r="BE75" i="7"/>
  <c r="AZ155" i="7"/>
  <c r="AY75" i="7"/>
  <c r="AR155" i="7"/>
  <c r="AS75" i="7"/>
  <c r="K405" i="7"/>
  <c r="K399" i="7" s="1"/>
  <c r="J399" i="7"/>
  <c r="I399" i="7" s="1"/>
  <c r="AU63" i="7"/>
  <c r="AU88" i="7" s="1"/>
  <c r="AU86" i="7" s="1"/>
  <c r="AU91" i="7" s="1"/>
  <c r="AV65" i="7"/>
  <c r="AW10" i="7"/>
  <c r="AW156" i="7"/>
  <c r="AZ156" i="7"/>
  <c r="AW164" i="7"/>
  <c r="AN10" i="7"/>
  <c r="AN116" i="7"/>
  <c r="AN140" i="7" s="1"/>
  <c r="AN144" i="7" s="1"/>
  <c r="AN147" i="7" s="1"/>
  <c r="AN164" i="7"/>
  <c r="EP2" i="8"/>
  <c r="EP20" i="8" s="1"/>
  <c r="EP442" i="7"/>
  <c r="EP178" i="7"/>
  <c r="EP226" i="7"/>
  <c r="EP149" i="7"/>
  <c r="EP321" i="7"/>
  <c r="EJ2" i="8"/>
  <c r="EJ20" i="8" s="1"/>
  <c r="EJ442" i="7"/>
  <c r="EJ29" i="7"/>
  <c r="EJ451" i="7"/>
  <c r="EJ178" i="7"/>
  <c r="EJ226" i="7"/>
  <c r="EJ321" i="7"/>
  <c r="ED2" i="8"/>
  <c r="ED20" i="8" s="1"/>
  <c r="ED149" i="7"/>
  <c r="ED442" i="7"/>
  <c r="ED451" i="7"/>
  <c r="ED321" i="7"/>
  <c r="DX2" i="8"/>
  <c r="DX178" i="7"/>
  <c r="DX226" i="7"/>
  <c r="DX442" i="7"/>
  <c r="DX149" i="7"/>
  <c r="DX321" i="7"/>
  <c r="DR442" i="7"/>
  <c r="DR178" i="7"/>
  <c r="DR226" i="7"/>
  <c r="DR149" i="7"/>
  <c r="DR451" i="7"/>
  <c r="DR321" i="7"/>
  <c r="DL442" i="7"/>
  <c r="DL29" i="7"/>
  <c r="DL451" i="7"/>
  <c r="DL248" i="7" s="1"/>
  <c r="DL178" i="7"/>
  <c r="DL226" i="7"/>
  <c r="DL149" i="7"/>
  <c r="DL321" i="7"/>
  <c r="DF442" i="7"/>
  <c r="DF451" i="7"/>
  <c r="DF29" i="7"/>
  <c r="DF178" i="7"/>
  <c r="DF226" i="7"/>
  <c r="DF149" i="7"/>
  <c r="DF321" i="7"/>
  <c r="CZ29" i="7"/>
  <c r="CZ442" i="7"/>
  <c r="CZ451" i="7"/>
  <c r="CZ178" i="7"/>
  <c r="CZ226" i="7"/>
  <c r="CZ321" i="7"/>
  <c r="CT149" i="7"/>
  <c r="CT442" i="7"/>
  <c r="CT451" i="7"/>
  <c r="CT29" i="7"/>
  <c r="CT321" i="7"/>
  <c r="CN2" i="8"/>
  <c r="CN20" i="8" s="1"/>
  <c r="CN29" i="7"/>
  <c r="CN178" i="7"/>
  <c r="CN226" i="7"/>
  <c r="CN442" i="7"/>
  <c r="CN149" i="7"/>
  <c r="CN451" i="7"/>
  <c r="CN321" i="7"/>
  <c r="CH2" i="8"/>
  <c r="CH220" i="8" s="1"/>
  <c r="CH285" i="8" s="1"/>
  <c r="CH442" i="7"/>
  <c r="CH178" i="7"/>
  <c r="CH226" i="7"/>
  <c r="CH451" i="7"/>
  <c r="CH149" i="7"/>
  <c r="CH29" i="7"/>
  <c r="CH321" i="7"/>
  <c r="CB2" i="8"/>
  <c r="CB20" i="8" s="1"/>
  <c r="CB442" i="7"/>
  <c r="CB178" i="7"/>
  <c r="CB451" i="7"/>
  <c r="CB226" i="7"/>
  <c r="CB149" i="7"/>
  <c r="CB321" i="7"/>
  <c r="BV2" i="8"/>
  <c r="BV20" i="8" s="1"/>
  <c r="BV442" i="7"/>
  <c r="BV29" i="7"/>
  <c r="BV178" i="7"/>
  <c r="BV451" i="7"/>
  <c r="BV226" i="7"/>
  <c r="BV149" i="7"/>
  <c r="BV321" i="7"/>
  <c r="BP2" i="8"/>
  <c r="BP13" i="8" s="1"/>
  <c r="BP442" i="7"/>
  <c r="BP178" i="7"/>
  <c r="BP451" i="7"/>
  <c r="BP29" i="7"/>
  <c r="BP226" i="7"/>
  <c r="BP321" i="7"/>
  <c r="BJ2" i="8"/>
  <c r="BJ13" i="8" s="1"/>
  <c r="BJ149" i="7"/>
  <c r="BJ442" i="7"/>
  <c r="BJ29" i="7"/>
  <c r="BJ178" i="7"/>
  <c r="BJ451" i="7"/>
  <c r="BJ321" i="7"/>
  <c r="BD2" i="8"/>
  <c r="BD20" i="8" s="1"/>
  <c r="BD226" i="7"/>
  <c r="BD442" i="7"/>
  <c r="BD149" i="7"/>
  <c r="BD178" i="7"/>
  <c r="BD451" i="7"/>
  <c r="BD29" i="7"/>
  <c r="BD321" i="7"/>
  <c r="AX2" i="8"/>
  <c r="AX13" i="8" s="1"/>
  <c r="AX442" i="7"/>
  <c r="AX29" i="7"/>
  <c r="AX178" i="7"/>
  <c r="AX226" i="7"/>
  <c r="AX451" i="7"/>
  <c r="AX149" i="7"/>
  <c r="AX321" i="7"/>
  <c r="AR2" i="8"/>
  <c r="AR20" i="8" s="1"/>
  <c r="AR178" i="7"/>
  <c r="AR451" i="7"/>
  <c r="AR226" i="7"/>
  <c r="AR29" i="7"/>
  <c r="AR149" i="7"/>
  <c r="AR321" i="7"/>
  <c r="AY147" i="8"/>
  <c r="AY143" i="8" s="1"/>
  <c r="AU242" i="7"/>
  <c r="AN155" i="8"/>
  <c r="BC42" i="7"/>
  <c r="EK118" i="7"/>
  <c r="EE94" i="7"/>
  <c r="EB118" i="7"/>
  <c r="DS118" i="7"/>
  <c r="DM94" i="7"/>
  <c r="DJ118" i="7"/>
  <c r="DA118" i="7"/>
  <c r="CU94" i="7"/>
  <c r="CR118" i="7"/>
  <c r="CI118" i="7"/>
  <c r="CC94" i="7"/>
  <c r="BZ118" i="7"/>
  <c r="BQ118" i="7"/>
  <c r="AY94" i="7"/>
  <c r="O220" i="8"/>
  <c r="AA20" i="8"/>
  <c r="AV329" i="7"/>
  <c r="CE283" i="7"/>
  <c r="V181" i="7"/>
  <c r="P181" i="7"/>
  <c r="U220" i="8"/>
  <c r="BI36" i="8"/>
  <c r="BI39" i="8" s="1"/>
  <c r="BH39" i="8" s="1"/>
  <c r="AK332" i="7"/>
  <c r="AY150" i="8"/>
  <c r="CB242" i="7"/>
  <c r="CB564" i="7" s="1"/>
  <c r="BS242" i="7"/>
  <c r="DD229" i="7"/>
  <c r="AJ57" i="7"/>
  <c r="AV94" i="7"/>
  <c r="AA285" i="8"/>
  <c r="O285" i="8"/>
  <c r="AA220" i="8"/>
  <c r="U20" i="8"/>
  <c r="AV355" i="7"/>
  <c r="AD355" i="7"/>
  <c r="L355" i="7"/>
  <c r="BJ283" i="7"/>
  <c r="AU260" i="7"/>
  <c r="AZ242" i="7"/>
  <c r="AY242" i="7" s="1"/>
  <c r="AY145" i="8"/>
  <c r="CH218" i="7"/>
  <c r="AY292" i="8"/>
  <c r="BA155" i="8"/>
  <c r="AI155" i="8"/>
  <c r="AG220" i="8"/>
  <c r="O20" i="8"/>
  <c r="AI332" i="7"/>
  <c r="BY242" i="7"/>
  <c r="BY564" i="7" s="1"/>
  <c r="BP242" i="7"/>
  <c r="AO242" i="7"/>
  <c r="CU229" i="7"/>
  <c r="AG20" i="8"/>
  <c r="CL68" i="7"/>
  <c r="BB67" i="7"/>
  <c r="EB59" i="7"/>
  <c r="DP71" i="7"/>
  <c r="DJ64" i="7"/>
  <c r="DG59" i="7"/>
  <c r="DD71" i="7"/>
  <c r="DA68" i="7"/>
  <c r="DC280" i="7"/>
  <c r="CY256" i="7"/>
  <c r="CX256" i="7" s="1"/>
  <c r="CR199" i="7"/>
  <c r="CR165" i="8" s="1"/>
  <c r="BT68" i="7"/>
  <c r="BQ68" i="7"/>
  <c r="BE67" i="7"/>
  <c r="CP40" i="7"/>
  <c r="CN195" i="7"/>
  <c r="CM195" i="7"/>
  <c r="CK195" i="7"/>
  <c r="CJ195" i="7"/>
  <c r="EB71" i="7"/>
  <c r="DY71" i="7"/>
  <c r="CP195" i="7"/>
  <c r="EQ191" i="7"/>
  <c r="EQ156" i="8" s="1"/>
  <c r="BQ75" i="7"/>
  <c r="DP37" i="7"/>
  <c r="CS252" i="7"/>
  <c r="EQ71" i="7"/>
  <c r="EQ64" i="7"/>
  <c r="EN71" i="7"/>
  <c r="EN64" i="7"/>
  <c r="EH59" i="7"/>
  <c r="EB68" i="7"/>
  <c r="DY60" i="7"/>
  <c r="DY68" i="7"/>
  <c r="DP199" i="7"/>
  <c r="DP165" i="8" s="1"/>
  <c r="DP68" i="7"/>
  <c r="DM201" i="7"/>
  <c r="DM167" i="8" s="1"/>
  <c r="DM68" i="7"/>
  <c r="DM194" i="7"/>
  <c r="DM159" i="8" s="1"/>
  <c r="DM200" i="7"/>
  <c r="DM166" i="8" s="1"/>
  <c r="DM60" i="7"/>
  <c r="DJ67" i="7"/>
  <c r="DG60" i="7"/>
  <c r="DD64" i="7"/>
  <c r="DA59" i="7"/>
  <c r="CX64" i="7"/>
  <c r="CU71" i="7"/>
  <c r="CR71" i="7"/>
  <c r="CR64" i="7"/>
  <c r="CL64" i="7"/>
  <c r="CL67" i="7"/>
  <c r="CF67" i="7"/>
  <c r="CF68" i="7"/>
  <c r="CC71" i="7"/>
  <c r="BW60" i="7"/>
  <c r="DG202" i="7"/>
  <c r="DG168" i="8" s="1"/>
  <c r="CO197" i="7"/>
  <c r="CO162" i="8" s="1"/>
  <c r="BQ191" i="7"/>
  <c r="BQ156" i="8" s="1"/>
  <c r="BI74" i="7"/>
  <c r="BA195" i="7"/>
  <c r="DY59" i="7"/>
  <c r="CC240" i="7"/>
  <c r="CZ198" i="7"/>
  <c r="CL197" i="7"/>
  <c r="CL162" i="8" s="1"/>
  <c r="BH75" i="7"/>
  <c r="CR200" i="7"/>
  <c r="CR166" i="8" s="1"/>
  <c r="BH74" i="7"/>
  <c r="BK60" i="7"/>
  <c r="BK57" i="7"/>
  <c r="BH64" i="7"/>
  <c r="CV280" i="7"/>
  <c r="CU280" i="7" s="1"/>
  <c r="BW75" i="7"/>
  <c r="DJ354" i="7"/>
  <c r="DL355" i="7" s="1"/>
  <c r="EJ40" i="7"/>
  <c r="EK197" i="7"/>
  <c r="EK162" i="8" s="1"/>
  <c r="EH191" i="7"/>
  <c r="EH156" i="8" s="1"/>
  <c r="EI39" i="7"/>
  <c r="EH39" i="7" s="1"/>
  <c r="EG40" i="7"/>
  <c r="EH197" i="7"/>
  <c r="EH162" i="8" s="1"/>
  <c r="DT195" i="7"/>
  <c r="DS196" i="7"/>
  <c r="DS161" i="8" s="1"/>
  <c r="DQ40" i="7"/>
  <c r="DP196" i="7"/>
  <c r="DP161" i="8" s="1"/>
  <c r="BJ74" i="7"/>
  <c r="BJ155" i="7"/>
  <c r="BJ179" i="7"/>
  <c r="BJ162" i="7"/>
  <c r="AW179" i="7"/>
  <c r="AU177" i="7"/>
  <c r="AW74" i="7"/>
  <c r="AW162" i="7"/>
  <c r="AO26" i="8"/>
  <c r="AP57" i="7"/>
  <c r="AP26" i="8" s="1"/>
  <c r="AL26" i="8"/>
  <c r="AL28" i="8" s="1"/>
  <c r="AM57" i="7"/>
  <c r="AM26" i="8" s="1"/>
  <c r="AL181" i="7"/>
  <c r="DK195" i="7"/>
  <c r="DJ196" i="7"/>
  <c r="DJ161" i="8" s="1"/>
  <c r="DD196" i="7"/>
  <c r="DD161" i="8" s="1"/>
  <c r="DE195" i="7"/>
  <c r="CZ39" i="7"/>
  <c r="DA191" i="7"/>
  <c r="DA156" i="8" s="1"/>
  <c r="CX191" i="7"/>
  <c r="CX156" i="8" s="1"/>
  <c r="CU191" i="7"/>
  <c r="CU156" i="8" s="1"/>
  <c r="CR191" i="7"/>
  <c r="CR156" i="8" s="1"/>
  <c r="CD39" i="7"/>
  <c r="CC39" i="7" s="1"/>
  <c r="CC191" i="7"/>
  <c r="CC156" i="8" s="1"/>
  <c r="CB195" i="7"/>
  <c r="CC197" i="7"/>
  <c r="CC162" i="8" s="1"/>
  <c r="BV195" i="7"/>
  <c r="BW197" i="7"/>
  <c r="BW162" i="8" s="1"/>
  <c r="BS39" i="7"/>
  <c r="BT39" i="7" s="1"/>
  <c r="BT191" i="7"/>
  <c r="BT156" i="8" s="1"/>
  <c r="BQ197" i="7"/>
  <c r="BQ162" i="8" s="1"/>
  <c r="BR195" i="7"/>
  <c r="BJ195" i="7"/>
  <c r="BK195" i="7" s="1"/>
  <c r="BK197" i="7"/>
  <c r="BK162" i="8" s="1"/>
  <c r="BF195" i="7"/>
  <c r="BE197" i="7"/>
  <c r="BE162" i="8" s="1"/>
  <c r="BK30" i="7"/>
  <c r="BL151" i="7"/>
  <c r="BO151" i="7"/>
  <c r="BL166" i="7"/>
  <c r="BJ176" i="7"/>
  <c r="AS151" i="7"/>
  <c r="AP169" i="7"/>
  <c r="AP176" i="7"/>
  <c r="AR169" i="7"/>
  <c r="AP151" i="7"/>
  <c r="AP166" i="7"/>
  <c r="DT40" i="7"/>
  <c r="DF280" i="7"/>
  <c r="BI205" i="7"/>
  <c r="BH205" i="7" s="1"/>
  <c r="BH207" i="7"/>
  <c r="BH173" i="8" s="1"/>
  <c r="BH171" i="8" s="1"/>
  <c r="BZ456" i="7"/>
  <c r="AS575" i="7"/>
  <c r="CI281" i="7"/>
  <c r="CW280" i="7"/>
  <c r="CA215" i="7"/>
  <c r="CA218" i="7"/>
  <c r="BZ218" i="7" s="1"/>
  <c r="DA229" i="7"/>
  <c r="CF257" i="7"/>
  <c r="BW576" i="7"/>
  <c r="AP145" i="8"/>
  <c r="AP141" i="8" s="1"/>
  <c r="CF194" i="7"/>
  <c r="CF159" i="8" s="1"/>
  <c r="AO155" i="8"/>
  <c r="DS350" i="7"/>
  <c r="DS208" i="8" s="1"/>
  <c r="DP350" i="7"/>
  <c r="DP208" i="8" s="1"/>
  <c r="DM350" i="7"/>
  <c r="DM208" i="8" s="1"/>
  <c r="AZ402" i="7"/>
  <c r="BP36" i="8"/>
  <c r="BP39" i="8" s="1"/>
  <c r="CO229" i="7"/>
  <c r="AP327" i="7"/>
  <c r="CR208" i="7"/>
  <c r="DA207" i="7"/>
  <c r="CR207" i="7"/>
  <c r="CC206" i="7"/>
  <c r="BQ203" i="7"/>
  <c r="CO202" i="7"/>
  <c r="CO168" i="8" s="1"/>
  <c r="BW202" i="7"/>
  <c r="BW168" i="8" s="1"/>
  <c r="BK202" i="7"/>
  <c r="BK168" i="8" s="1"/>
  <c r="CJ198" i="7"/>
  <c r="BG192" i="7"/>
  <c r="BH192" i="7" s="1"/>
  <c r="EM149" i="7"/>
  <c r="EG149" i="7"/>
  <c r="EA149" i="7"/>
  <c r="DU149" i="7"/>
  <c r="DO149" i="7"/>
  <c r="DI149" i="7"/>
  <c r="DC149" i="7"/>
  <c r="CW149" i="7"/>
  <c r="CQ149" i="7"/>
  <c r="CK149" i="7"/>
  <c r="CE149" i="7"/>
  <c r="BY149" i="7"/>
  <c r="BS149" i="7"/>
  <c r="BM149" i="7"/>
  <c r="BG149" i="7"/>
  <c r="BA149" i="7"/>
  <c r="AU149" i="7"/>
  <c r="AO149" i="7"/>
  <c r="BK94" i="7"/>
  <c r="AM554" i="7"/>
  <c r="U554" i="7"/>
  <c r="DU29" i="7"/>
  <c r="DJ71" i="7"/>
  <c r="AW444" i="7"/>
  <c r="DG86" i="7"/>
  <c r="CX86" i="7"/>
  <c r="CO86" i="7"/>
  <c r="CF86" i="7"/>
  <c r="BW86" i="7"/>
  <c r="BT64" i="7"/>
  <c r="BQ64" i="7"/>
  <c r="BN64" i="7"/>
  <c r="BE64" i="7"/>
  <c r="AS86" i="7"/>
  <c r="AM37" i="8"/>
  <c r="DG229" i="7"/>
  <c r="EM226" i="7"/>
  <c r="EG226" i="7"/>
  <c r="EA226" i="7"/>
  <c r="DU226" i="7"/>
  <c r="DO226" i="7"/>
  <c r="DI226" i="7"/>
  <c r="DC226" i="7"/>
  <c r="CW226" i="7"/>
  <c r="CQ226" i="7"/>
  <c r="CK226" i="7"/>
  <c r="CE226" i="7"/>
  <c r="BA226" i="7"/>
  <c r="AU226" i="7"/>
  <c r="CI200" i="7"/>
  <c r="CI166" i="8" s="1"/>
  <c r="BS192" i="7"/>
  <c r="BT192" i="7" s="1"/>
  <c r="AL155" i="8"/>
  <c r="EQ36" i="7"/>
  <c r="CR36" i="7"/>
  <c r="BN200" i="7"/>
  <c r="BN166" i="8" s="1"/>
  <c r="AK155" i="8"/>
  <c r="DU178" i="7"/>
  <c r="DO178" i="7"/>
  <c r="DI178" i="7"/>
  <c r="CQ178" i="7"/>
  <c r="CK178" i="7"/>
  <c r="EB38" i="7"/>
  <c r="DP38" i="7"/>
  <c r="AU29" i="7"/>
  <c r="DU350" i="7"/>
  <c r="DU208" i="8" s="1"/>
  <c r="DR350" i="7"/>
  <c r="DR208" i="8" s="1"/>
  <c r="DO350" i="7"/>
  <c r="DO208" i="8" s="1"/>
  <c r="DP67" i="7"/>
  <c r="AV162" i="7"/>
  <c r="EK94" i="7"/>
  <c r="EH118" i="7"/>
  <c r="DS94" i="7"/>
  <c r="DP118" i="7"/>
  <c r="DA94" i="7"/>
  <c r="CX118" i="7"/>
  <c r="CI94" i="7"/>
  <c r="CF118" i="7"/>
  <c r="BQ94" i="7"/>
  <c r="BN118" i="7"/>
  <c r="BE94" i="7"/>
  <c r="EA79" i="8"/>
  <c r="DI79" i="8"/>
  <c r="CW79" i="8"/>
  <c r="CE79" i="8"/>
  <c r="BM79" i="8"/>
  <c r="AU79" i="8"/>
  <c r="CC576" i="7"/>
  <c r="DG201" i="7"/>
  <c r="DG167" i="8" s="1"/>
  <c r="CI332" i="7"/>
  <c r="CC332" i="7"/>
  <c r="BT332" i="7"/>
  <c r="AV82" i="7"/>
  <c r="AV122" i="8" s="1"/>
  <c r="DC195" i="7"/>
  <c r="CF37" i="7"/>
  <c r="BZ37" i="7"/>
  <c r="BT41" i="7"/>
  <c r="BG195" i="7"/>
  <c r="DL350" i="7"/>
  <c r="DL208" i="8" s="1"/>
  <c r="EK206" i="7"/>
  <c r="EB165" i="8"/>
  <c r="DY165" i="8"/>
  <c r="DY200" i="7"/>
  <c r="DY166" i="8" s="1"/>
  <c r="CT402" i="7"/>
  <c r="CR402" i="7"/>
  <c r="DD281" i="7"/>
  <c r="BW281" i="7"/>
  <c r="BZ206" i="7"/>
  <c r="CH205" i="7"/>
  <c r="BN207" i="7"/>
  <c r="CQ198" i="7"/>
  <c r="CO200" i="7"/>
  <c r="CO166" i="8" s="1"/>
  <c r="BE199" i="7"/>
  <c r="BE165" i="8" s="1"/>
  <c r="DF315" i="7"/>
  <c r="DF560" i="7" s="1"/>
  <c r="DF562" i="7" s="1"/>
  <c r="CW315" i="7"/>
  <c r="DS200" i="7"/>
  <c r="DS166" i="8" s="1"/>
  <c r="DS202" i="7"/>
  <c r="DS168" i="8" s="1"/>
  <c r="DS194" i="7"/>
  <c r="DS159" i="8" s="1"/>
  <c r="DS60" i="7"/>
  <c r="DP200" i="7"/>
  <c r="DP166" i="8" s="1"/>
  <c r="DP194" i="7"/>
  <c r="DP159" i="8" s="1"/>
  <c r="DP201" i="7"/>
  <c r="DP167" i="8" s="1"/>
  <c r="DJ68" i="7"/>
  <c r="DJ59" i="7"/>
  <c r="DM190" i="8"/>
  <c r="BB203" i="7"/>
  <c r="BW36" i="7"/>
  <c r="DN265" i="7"/>
  <c r="DM265" i="7" s="1"/>
  <c r="EP404" i="7"/>
  <c r="EQ404" i="7" s="1"/>
  <c r="BR370" i="7"/>
  <c r="BZ240" i="7"/>
  <c r="DC576" i="7"/>
  <c r="CZ280" i="7"/>
  <c r="DI256" i="7"/>
  <c r="DI239" i="7"/>
  <c r="DI242" i="7" s="1"/>
  <c r="DI564" i="7" s="1"/>
  <c r="DE239" i="7"/>
  <c r="DD239" i="7" s="1"/>
  <c r="CU207" i="7"/>
  <c r="CL206" i="7"/>
  <c r="CU202" i="7"/>
  <c r="CU168" i="8" s="1"/>
  <c r="CC202" i="7"/>
  <c r="CC168" i="8" s="1"/>
  <c r="BZ38" i="7"/>
  <c r="BW41" i="7"/>
  <c r="EJ195" i="7"/>
  <c r="ED205" i="7"/>
  <c r="EB67" i="7"/>
  <c r="DZ205" i="7"/>
  <c r="BI375" i="7"/>
  <c r="AU404" i="7"/>
  <c r="DM83" i="7"/>
  <c r="BI85" i="7"/>
  <c r="BI164" i="7" s="1"/>
  <c r="CD172" i="8"/>
  <c r="CD171" i="8" s="1"/>
  <c r="DJ79" i="8"/>
  <c r="Y324" i="7"/>
  <c r="X324" i="7" s="1"/>
  <c r="BH575" i="7"/>
  <c r="M324" i="7"/>
  <c r="L324" i="7" s="1"/>
  <c r="DD240" i="7"/>
  <c r="DG199" i="7"/>
  <c r="DG165" i="8" s="1"/>
  <c r="CR201" i="7"/>
  <c r="CR167" i="8" s="1"/>
  <c r="CO199" i="7"/>
  <c r="CO165" i="8" s="1"/>
  <c r="BW200" i="7"/>
  <c r="BW166" i="8" s="1"/>
  <c r="BK199" i="7"/>
  <c r="BK165" i="8" s="1"/>
  <c r="CL190" i="7"/>
  <c r="EN36" i="7"/>
  <c r="BL370" i="7"/>
  <c r="BC375" i="7"/>
  <c r="BC444" i="7" s="1"/>
  <c r="AC79" i="8"/>
  <c r="X79" i="8"/>
  <c r="CC281" i="7"/>
  <c r="BJ218" i="7"/>
  <c r="BJ220" i="7" s="1"/>
  <c r="BW209" i="7"/>
  <c r="BW174" i="8" s="1"/>
  <c r="DA202" i="7"/>
  <c r="DA168" i="8" s="1"/>
  <c r="CI202" i="7"/>
  <c r="CI168" i="8" s="1"/>
  <c r="BQ202" i="7"/>
  <c r="BQ168" i="8" s="1"/>
  <c r="BT194" i="7"/>
  <c r="BT159" i="8" s="1"/>
  <c r="CR194" i="7"/>
  <c r="CR159" i="8" s="1"/>
  <c r="BZ194" i="7"/>
  <c r="BZ159" i="8" s="1"/>
  <c r="DD180" i="7"/>
  <c r="CR38" i="7"/>
  <c r="CF36" i="7"/>
  <c r="CW252" i="7"/>
  <c r="EP198" i="7"/>
  <c r="DP60" i="7"/>
  <c r="BI63" i="7"/>
  <c r="BI181" i="7" s="1"/>
  <c r="BX45" i="8"/>
  <c r="BF45" i="8"/>
  <c r="BH22" i="7"/>
  <c r="BC345" i="7"/>
  <c r="BC202" i="8" s="1"/>
  <c r="H285" i="8"/>
  <c r="AL220" i="8"/>
  <c r="AF220" i="8"/>
  <c r="Z220" i="8"/>
  <c r="T220" i="8"/>
  <c r="N220" i="8"/>
  <c r="H220" i="8"/>
  <c r="CL79" i="8"/>
  <c r="BH79" i="8"/>
  <c r="BG36" i="8"/>
  <c r="BG39" i="8" s="1"/>
  <c r="CK79" i="8"/>
  <c r="DD70" i="8"/>
  <c r="CL70" i="8"/>
  <c r="DI82" i="7"/>
  <c r="DI519" i="7" s="1"/>
  <c r="M20" i="8"/>
  <c r="DI553" i="7"/>
  <c r="BQ181" i="8"/>
  <c r="BM22" i="7"/>
  <c r="DF105" i="8"/>
  <c r="DF17" i="8" s="1"/>
  <c r="DF35" i="7"/>
  <c r="DI105" i="8"/>
  <c r="DI17" i="8" s="1"/>
  <c r="DI35" i="7"/>
  <c r="BT22" i="7"/>
  <c r="N285" i="8"/>
  <c r="DK576" i="7"/>
  <c r="DJ70" i="8"/>
  <c r="CR70" i="8"/>
  <c r="BZ70" i="8"/>
  <c r="DI174" i="8"/>
  <c r="DE82" i="7"/>
  <c r="DE519" i="7" s="1"/>
  <c r="DD81" i="7"/>
  <c r="DD135" i="8" s="1"/>
  <c r="T285" i="8"/>
  <c r="M285" i="8"/>
  <c r="EK181" i="8"/>
  <c r="DS181" i="8"/>
  <c r="DA181" i="8"/>
  <c r="EH79" i="8"/>
  <c r="EB79" i="8"/>
  <c r="DP79" i="8"/>
  <c r="DD79" i="8"/>
  <c r="CR79" i="8"/>
  <c r="CF79" i="8"/>
  <c r="BZ79" i="8"/>
  <c r="BT79" i="8"/>
  <c r="BN79" i="8"/>
  <c r="AL20" i="8"/>
  <c r="Y20" i="8"/>
  <c r="DJ190" i="8"/>
  <c r="BE36" i="8"/>
  <c r="Z285" i="8"/>
  <c r="S285" i="8"/>
  <c r="CL190" i="8"/>
  <c r="CC190" i="8"/>
  <c r="BT190" i="8"/>
  <c r="BK190" i="8"/>
  <c r="BB190" i="8"/>
  <c r="EM79" i="8"/>
  <c r="DU79" i="8"/>
  <c r="DO79" i="8"/>
  <c r="CQ79" i="8"/>
  <c r="BY79" i="8"/>
  <c r="BG79" i="8"/>
  <c r="AO79" i="8"/>
  <c r="W79" i="8"/>
  <c r="AK20" i="8"/>
  <c r="AJ164" i="8"/>
  <c r="AF285" i="8"/>
  <c r="Y285" i="8"/>
  <c r="DP190" i="8"/>
  <c r="H20" i="8"/>
  <c r="CJ576" i="7"/>
  <c r="DE553" i="7"/>
  <c r="DA70" i="8"/>
  <c r="CI70" i="8"/>
  <c r="DG203" i="7"/>
  <c r="BC193" i="7"/>
  <c r="BB193" i="7" s="1"/>
  <c r="BB158" i="8" s="1"/>
  <c r="DG81" i="7"/>
  <c r="DB81" i="7"/>
  <c r="AL285" i="8"/>
  <c r="AE285" i="8"/>
  <c r="I73" i="8"/>
  <c r="AE20" i="8"/>
  <c r="S20" i="8"/>
  <c r="G20" i="8"/>
  <c r="BZ208" i="7"/>
  <c r="EK84" i="7"/>
  <c r="EQ84" i="7"/>
  <c r="C34" i="45"/>
  <c r="DM386" i="45"/>
  <c r="DY379" i="45"/>
  <c r="DY380" i="45" s="1"/>
  <c r="DQ232" i="45"/>
  <c r="ER232" i="45"/>
  <c r="DJ189" i="45"/>
  <c r="CE179" i="7"/>
  <c r="BY179" i="7"/>
  <c r="DN232" i="45"/>
  <c r="EL232" i="45"/>
  <c r="EC232" i="45"/>
  <c r="CK66" i="7"/>
  <c r="CK65" i="7" s="1"/>
  <c r="CK63" i="7" s="1"/>
  <c r="DT232" i="45"/>
  <c r="CZ66" i="7"/>
  <c r="CZ65" i="7" s="1"/>
  <c r="CZ63" i="7" s="1"/>
  <c r="EI232" i="45"/>
  <c r="DL66" i="7"/>
  <c r="DL65" i="7" s="1"/>
  <c r="DL63" i="7" s="1"/>
  <c r="DP380" i="45"/>
  <c r="EF232" i="45"/>
  <c r="EO232" i="45"/>
  <c r="DM429" i="45"/>
  <c r="DN429" i="45" s="1"/>
  <c r="BV179" i="7"/>
  <c r="BV325" i="7"/>
  <c r="BQ208" i="7"/>
  <c r="BY155" i="7"/>
  <c r="BP151" i="7"/>
  <c r="DC66" i="7"/>
  <c r="DC65" i="7" s="1"/>
  <c r="DC63" i="7" s="1"/>
  <c r="DO380" i="45"/>
  <c r="DP137" i="45"/>
  <c r="DQ137" i="45" s="1"/>
  <c r="C38" i="45"/>
  <c r="BP219" i="7"/>
  <c r="BQ219" i="7" s="1"/>
  <c r="BP166" i="7"/>
  <c r="DM380" i="45"/>
  <c r="DN137" i="45"/>
  <c r="DN425" i="45"/>
  <c r="DI66" i="7"/>
  <c r="DI65" i="7" s="1"/>
  <c r="DI63" i="7" s="1"/>
  <c r="DT235" i="45"/>
  <c r="DM24" i="45"/>
  <c r="DR380" i="45"/>
  <c r="DS380" i="45"/>
  <c r="C39" i="45"/>
  <c r="DJ81" i="7"/>
  <c r="DJ135" i="8" s="1"/>
  <c r="DK82" i="7"/>
  <c r="DK519" i="7" s="1"/>
  <c r="AR164" i="7"/>
  <c r="AU156" i="7"/>
  <c r="DG214" i="7"/>
  <c r="BT161" i="8"/>
  <c r="BT196" i="7"/>
  <c r="J400" i="7"/>
  <c r="H399" i="7"/>
  <c r="AM396" i="7"/>
  <c r="J398" i="7"/>
  <c r="I398" i="7" s="1"/>
  <c r="I390" i="7" s="1"/>
  <c r="Q324" i="7"/>
  <c r="DI280" i="7"/>
  <c r="CG280" i="7"/>
  <c r="CF280" i="7" s="1"/>
  <c r="BZ257" i="7"/>
  <c r="CM215" i="7"/>
  <c r="CD195" i="7"/>
  <c r="CP39" i="7"/>
  <c r="CO39" i="7" s="1"/>
  <c r="CO191" i="7"/>
  <c r="CO156" i="8" s="1"/>
  <c r="CM39" i="7"/>
  <c r="CL39" i="7" s="1"/>
  <c r="CL191" i="7"/>
  <c r="CL156" i="8" s="1"/>
  <c r="CH195" i="7"/>
  <c r="CI197" i="7"/>
  <c r="CI162" i="8" s="1"/>
  <c r="DM252" i="7"/>
  <c r="BU205" i="7"/>
  <c r="BT205" i="7" s="1"/>
  <c r="BT207" i="7"/>
  <c r="BX40" i="7"/>
  <c r="BX34" i="7" s="1"/>
  <c r="BX555" i="7" s="1"/>
  <c r="BX195" i="7"/>
  <c r="BW196" i="7"/>
  <c r="BW161" i="8" s="1"/>
  <c r="DH82" i="7"/>
  <c r="DH519" i="7" s="1"/>
  <c r="DH553" i="7"/>
  <c r="H400" i="7"/>
  <c r="G399" i="7"/>
  <c r="F399" i="7" s="1"/>
  <c r="H398" i="7"/>
  <c r="H390" i="7" s="1"/>
  <c r="H391" i="7" s="1"/>
  <c r="CL281" i="7"/>
  <c r="CS188" i="7"/>
  <c r="CR190" i="7"/>
  <c r="W116" i="7"/>
  <c r="E116" i="7"/>
  <c r="E140" i="7" s="1"/>
  <c r="E144" i="7" s="1"/>
  <c r="E147" i="7" s="1"/>
  <c r="F143" i="7" s="1"/>
  <c r="BL250" i="7"/>
  <c r="BK250" i="7" s="1"/>
  <c r="BK576" i="7" s="1"/>
  <c r="BK253" i="7"/>
  <c r="BK572" i="7" s="1"/>
  <c r="AT250" i="7"/>
  <c r="AT260" i="7" s="1"/>
  <c r="AS260" i="7" s="1"/>
  <c r="AS253" i="7"/>
  <c r="AS572" i="7" s="1"/>
  <c r="DU198" i="7"/>
  <c r="DV198" i="7" s="1"/>
  <c r="DV167" i="8"/>
  <c r="K555" i="7"/>
  <c r="K556" i="7" s="1"/>
  <c r="G400" i="7"/>
  <c r="F400" i="7" s="1"/>
  <c r="G398" i="7"/>
  <c r="F398" i="7" s="1"/>
  <c r="F390" i="7" s="1"/>
  <c r="BD330" i="7"/>
  <c r="DH245" i="7"/>
  <c r="AC42" i="9" s="1"/>
  <c r="DG247" i="7"/>
  <c r="DG42" i="8" s="1"/>
  <c r="DK218" i="7"/>
  <c r="DJ218" i="7" s="1"/>
  <c r="CU208" i="7"/>
  <c r="BE169" i="7"/>
  <c r="BE176" i="7"/>
  <c r="BE166" i="7"/>
  <c r="BG169" i="7"/>
  <c r="EM205" i="7"/>
  <c r="EN206" i="7"/>
  <c r="EK191" i="7"/>
  <c r="EK156" i="8" s="1"/>
  <c r="EL39" i="7"/>
  <c r="EK39" i="7" s="1"/>
  <c r="EF205" i="7"/>
  <c r="EE207" i="7"/>
  <c r="EF195" i="7"/>
  <c r="EF40" i="7"/>
  <c r="EE196" i="7"/>
  <c r="EE161" i="8" s="1"/>
  <c r="DJ191" i="7"/>
  <c r="DJ156" i="8" s="1"/>
  <c r="DB195" i="7"/>
  <c r="DA197" i="7"/>
  <c r="DA162" i="8" s="1"/>
  <c r="AR329" i="7"/>
  <c r="CG218" i="7"/>
  <c r="CG215" i="7"/>
  <c r="AW184" i="7"/>
  <c r="AS234" i="7"/>
  <c r="EP40" i="7"/>
  <c r="EQ196" i="7"/>
  <c r="EQ161" i="8" s="1"/>
  <c r="DH40" i="7"/>
  <c r="DH195" i="7"/>
  <c r="DG196" i="7"/>
  <c r="DG161" i="8" s="1"/>
  <c r="DF40" i="7"/>
  <c r="DF195" i="7"/>
  <c r="BI195" i="7"/>
  <c r="BH197" i="7"/>
  <c r="BH162" i="8" s="1"/>
  <c r="DK553" i="7"/>
  <c r="AN399" i="7"/>
  <c r="AM399" i="7" s="1"/>
  <c r="AN398" i="7"/>
  <c r="AM398" i="7" s="1"/>
  <c r="AM390" i="7" s="1"/>
  <c r="DI354" i="7"/>
  <c r="DJ355" i="7" s="1"/>
  <c r="BZ281" i="7"/>
  <c r="BR132" i="8"/>
  <c r="BQ45" i="7"/>
  <c r="BQ132" i="8" s="1"/>
  <c r="CY195" i="7"/>
  <c r="CX197" i="7"/>
  <c r="CX162" i="8" s="1"/>
  <c r="CZ239" i="7"/>
  <c r="CQ239" i="7"/>
  <c r="CQ242" i="7" s="1"/>
  <c r="CQ564" i="7" s="1"/>
  <c r="BX239" i="7"/>
  <c r="BW239" i="7" s="1"/>
  <c r="AX242" i="7"/>
  <c r="DJ209" i="7"/>
  <c r="DJ175" i="8" s="1"/>
  <c r="DJ174" i="8" s="1"/>
  <c r="BZ207" i="7"/>
  <c r="CW205" i="7"/>
  <c r="CW444" i="7" s="1"/>
  <c r="CI207" i="7"/>
  <c r="CE205" i="7"/>
  <c r="CF205" i="7" s="1"/>
  <c r="BO205" i="7"/>
  <c r="BN205" i="7" s="1"/>
  <c r="BW203" i="7"/>
  <c r="CV198" i="7"/>
  <c r="BX198" i="7"/>
  <c r="BU198" i="7"/>
  <c r="BM198" i="7"/>
  <c r="BE292" i="8"/>
  <c r="CE188" i="7"/>
  <c r="CE218" i="7" s="1"/>
  <c r="AE155" i="8"/>
  <c r="V155" i="8"/>
  <c r="M155" i="8"/>
  <c r="CR180" i="7"/>
  <c r="CI180" i="7"/>
  <c r="BZ180" i="7"/>
  <c r="BQ180" i="7"/>
  <c r="L94" i="7"/>
  <c r="BK84" i="7"/>
  <c r="AS82" i="7"/>
  <c r="AS122" i="8" s="1"/>
  <c r="AH181" i="7"/>
  <c r="EQ38" i="7"/>
  <c r="EQ37" i="7"/>
  <c r="DE40" i="7"/>
  <c r="CZ40" i="7"/>
  <c r="CB40" i="7"/>
  <c r="CB34" i="7" s="1"/>
  <c r="CB555" i="7" s="1"/>
  <c r="BZ41" i="7"/>
  <c r="BZ36" i="7"/>
  <c r="BA40" i="7"/>
  <c r="BB40" i="7" s="1"/>
  <c r="CZ315" i="7"/>
  <c r="BC341" i="7"/>
  <c r="EB60" i="7"/>
  <c r="DO68" i="8"/>
  <c r="DI18" i="45"/>
  <c r="DI7" i="45" s="1"/>
  <c r="DU137" i="45"/>
  <c r="DS137" i="45"/>
  <c r="DT137" i="45" s="1"/>
  <c r="AC116" i="7"/>
  <c r="AC140" i="7" s="1"/>
  <c r="K116" i="7"/>
  <c r="K140" i="7" s="1"/>
  <c r="BM57" i="7"/>
  <c r="BM55" i="7" s="1"/>
  <c r="BM56" i="7" s="1"/>
  <c r="DB39" i="7"/>
  <c r="CY39" i="7"/>
  <c r="CX39" i="7" s="1"/>
  <c r="CI38" i="7"/>
  <c r="BW38" i="7"/>
  <c r="BQ36" i="7"/>
  <c r="BX315" i="7"/>
  <c r="BX317" i="7" s="1"/>
  <c r="BW317" i="7" s="1"/>
  <c r="ED40" i="7"/>
  <c r="EA40" i="7"/>
  <c r="EB408" i="45"/>
  <c r="EE408" i="45" s="1"/>
  <c r="EH408" i="45" s="1"/>
  <c r="EK408" i="45" s="1"/>
  <c r="EN408" i="45" s="1"/>
  <c r="EQ408" i="45" s="1"/>
  <c r="ET408" i="45" s="1"/>
  <c r="EW408" i="45" s="1"/>
  <c r="EZ408" i="45" s="1"/>
  <c r="DC239" i="7"/>
  <c r="DC242" i="7" s="1"/>
  <c r="DC564" i="7" s="1"/>
  <c r="CY239" i="7"/>
  <c r="CX239" i="7" s="1"/>
  <c r="CT239" i="7"/>
  <c r="CT242" i="7" s="1"/>
  <c r="CT564" i="7" s="1"/>
  <c r="CP239" i="7"/>
  <c r="CO239" i="7" s="1"/>
  <c r="CK239" i="7"/>
  <c r="CK242" i="7" s="1"/>
  <c r="CK564" i="7" s="1"/>
  <c r="BE145" i="8"/>
  <c r="DG209" i="7"/>
  <c r="DG175" i="8" s="1"/>
  <c r="DG174" i="8" s="1"/>
  <c r="BT203" i="7"/>
  <c r="CI199" i="7"/>
  <c r="CI165" i="8" s="1"/>
  <c r="DK198" i="7"/>
  <c r="CU201" i="7"/>
  <c r="CU167" i="8" s="1"/>
  <c r="CH198" i="7"/>
  <c r="CC200" i="7"/>
  <c r="CC166" i="8" s="1"/>
  <c r="BV198" i="7"/>
  <c r="BL198" i="7"/>
  <c r="BL204" i="7" s="1"/>
  <c r="BE201" i="7"/>
  <c r="BE167" i="8" s="1"/>
  <c r="BA198" i="7"/>
  <c r="BK193" i="7"/>
  <c r="BK158" i="8" s="1"/>
  <c r="DG190" i="7"/>
  <c r="BU188" i="7"/>
  <c r="BU155" i="8" s="1"/>
  <c r="BJ188" i="7"/>
  <c r="BJ294" i="8" s="1"/>
  <c r="S155" i="8"/>
  <c r="J155" i="8"/>
  <c r="CO180" i="7"/>
  <c r="CF180" i="7"/>
  <c r="BW180" i="7"/>
  <c r="BN180" i="7"/>
  <c r="CU206" i="7"/>
  <c r="CM198" i="7"/>
  <c r="CO190" i="7"/>
  <c r="AV180" i="7"/>
  <c r="BB82" i="7"/>
  <c r="EN37" i="7"/>
  <c r="EB36" i="7"/>
  <c r="CE40" i="7"/>
  <c r="CC37" i="7"/>
  <c r="BP40" i="7"/>
  <c r="BP34" i="7" s="1"/>
  <c r="BP42" i="7" s="1"/>
  <c r="DB239" i="7"/>
  <c r="DA239" i="7" s="1"/>
  <c r="CW239" i="7"/>
  <c r="CW242" i="7" s="1"/>
  <c r="CW564" i="7" s="1"/>
  <c r="CS239" i="7"/>
  <c r="CR239" i="7" s="1"/>
  <c r="CJ239" i="7"/>
  <c r="CI239" i="7" s="1"/>
  <c r="CP205" i="7"/>
  <c r="CI206" i="7"/>
  <c r="DI198" i="7"/>
  <c r="DG200" i="7"/>
  <c r="DG166" i="8" s="1"/>
  <c r="CU199" i="7"/>
  <c r="CU165" i="8" s="1"/>
  <c r="BT201" i="7"/>
  <c r="BT167" i="8" s="1"/>
  <c r="BQ200" i="7"/>
  <c r="BQ166" i="8" s="1"/>
  <c r="BO198" i="7"/>
  <c r="BJ198" i="7"/>
  <c r="BG198" i="7"/>
  <c r="AH155" i="8"/>
  <c r="Y155" i="8"/>
  <c r="P155" i="8"/>
  <c r="G155" i="8"/>
  <c r="AY82" i="7"/>
  <c r="AY122" i="8" s="1"/>
  <c r="AY125" i="8" s="1"/>
  <c r="CU38" i="7"/>
  <c r="CK40" i="7"/>
  <c r="BM33" i="7"/>
  <c r="BP32" i="7"/>
  <c r="BP158" i="8"/>
  <c r="BP193" i="7" s="1"/>
  <c r="BQ193" i="7" s="1"/>
  <c r="BQ158" i="8" s="1"/>
  <c r="BH31" i="8"/>
  <c r="CG24" i="8"/>
  <c r="DL198" i="7"/>
  <c r="AW389" i="7"/>
  <c r="AT393" i="7" s="1"/>
  <c r="AQ393" i="7" s="1"/>
  <c r="AN393" i="7" s="1"/>
  <c r="BU65" i="7"/>
  <c r="BU63" i="7" s="1"/>
  <c r="BR65" i="7"/>
  <c r="BR63" i="7" s="1"/>
  <c r="BR88" i="7" s="1"/>
  <c r="BR86" i="7" s="1"/>
  <c r="CR181" i="8"/>
  <c r="BW181" i="8"/>
  <c r="R13" i="8"/>
  <c r="DU205" i="7"/>
  <c r="DV205" i="7" s="1"/>
  <c r="BB79" i="8"/>
  <c r="AV79" i="8"/>
  <c r="AP79" i="8"/>
  <c r="AJ79" i="8"/>
  <c r="AD79" i="8"/>
  <c r="R79" i="8"/>
  <c r="L79" i="8"/>
  <c r="AY47" i="8"/>
  <c r="AX37" i="8"/>
  <c r="AR37" i="8"/>
  <c r="CL31" i="8"/>
  <c r="CC31" i="8"/>
  <c r="BE31" i="8"/>
  <c r="CX190" i="8"/>
  <c r="CO190" i="8"/>
  <c r="BL181" i="8"/>
  <c r="CJ70" i="8"/>
  <c r="CJ45" i="8"/>
  <c r="DG36" i="8"/>
  <c r="DJ24" i="45"/>
  <c r="EH64" i="7"/>
  <c r="DZ198" i="7"/>
  <c r="DR195" i="7"/>
  <c r="BR57" i="7"/>
  <c r="BR155" i="8" s="1"/>
  <c r="AZ373" i="7"/>
  <c r="AZ444" i="7" s="1"/>
  <c r="BN83" i="7"/>
  <c r="BN553" i="7" s="1"/>
  <c r="BO197" i="8"/>
  <c r="EH181" i="8"/>
  <c r="CX181" i="8"/>
  <c r="CQ45" i="8"/>
  <c r="BY45" i="8"/>
  <c r="CI31" i="8"/>
  <c r="BZ31" i="8"/>
  <c r="BK31" i="8"/>
  <c r="DU380" i="45"/>
  <c r="DL229" i="45"/>
  <c r="DL238" i="45" s="1"/>
  <c r="DJ183" i="45"/>
  <c r="DL172" i="45"/>
  <c r="DI189" i="45"/>
  <c r="DT134" i="45"/>
  <c r="DT379" i="45"/>
  <c r="DW380" i="45" s="1"/>
  <c r="DL380" i="45"/>
  <c r="DL8" i="45"/>
  <c r="CY66" i="7"/>
  <c r="DM189" i="45"/>
  <c r="DD354" i="7"/>
  <c r="DF218" i="7"/>
  <c r="AV173" i="7"/>
  <c r="CZ354" i="7"/>
  <c r="DA355" i="7" s="1"/>
  <c r="CW354" i="7"/>
  <c r="CX355" i="7" s="1"/>
  <c r="CE354" i="7"/>
  <c r="CF355" i="7" s="1"/>
  <c r="BM354" i="7"/>
  <c r="BN355" i="7" s="1"/>
  <c r="DC256" i="7"/>
  <c r="BY260" i="7"/>
  <c r="Q260" i="7"/>
  <c r="CV239" i="7"/>
  <c r="CU239" i="7" s="1"/>
  <c r="CN239" i="7"/>
  <c r="CN242" i="7" s="1"/>
  <c r="CN564" i="7" s="1"/>
  <c r="CR209" i="7"/>
  <c r="CR175" i="8" s="1"/>
  <c r="CK205" i="7"/>
  <c r="CL205" i="7" s="1"/>
  <c r="CX203" i="7"/>
  <c r="BH202" i="7"/>
  <c r="BH168" i="8" s="1"/>
  <c r="CS198" i="7"/>
  <c r="CD198" i="7"/>
  <c r="BZ200" i="7"/>
  <c r="BZ166" i="8" s="1"/>
  <c r="BH200" i="7"/>
  <c r="BH166" i="8" s="1"/>
  <c r="BD198" i="7"/>
  <c r="BS195" i="7"/>
  <c r="CI194" i="7"/>
  <c r="CI159" i="8" s="1"/>
  <c r="DH188" i="7"/>
  <c r="DB188" i="7"/>
  <c r="AV118" i="7"/>
  <c r="BK95" i="7"/>
  <c r="AU74" i="7"/>
  <c r="Z181" i="7"/>
  <c r="H181" i="7"/>
  <c r="EH38" i="7"/>
  <c r="EE37" i="7"/>
  <c r="EE36" i="7"/>
  <c r="DY37" i="7"/>
  <c r="DS38" i="7"/>
  <c r="DP36" i="7"/>
  <c r="DK40" i="7"/>
  <c r="DA38" i="7"/>
  <c r="CI37" i="7"/>
  <c r="BM40" i="7"/>
  <c r="BN40" i="7" s="1"/>
  <c r="DG187" i="7"/>
  <c r="ER205" i="7"/>
  <c r="DL195" i="7"/>
  <c r="CZ57" i="7"/>
  <c r="AX396" i="7"/>
  <c r="AX404" i="7" s="1"/>
  <c r="BR197" i="8"/>
  <c r="BI181" i="8"/>
  <c r="BH182" i="8"/>
  <c r="BH181" i="8" s="1"/>
  <c r="CU354" i="7"/>
  <c r="CW355" i="7" s="1"/>
  <c r="CL354" i="7"/>
  <c r="CN355" i="7" s="1"/>
  <c r="CC354" i="7"/>
  <c r="CE355" i="7" s="1"/>
  <c r="BT354" i="7"/>
  <c r="BV355" i="7" s="1"/>
  <c r="BK354" i="7"/>
  <c r="BK355" i="7" s="1"/>
  <c r="BD351" i="7"/>
  <c r="BD352" i="7" s="1"/>
  <c r="BE354" i="7" s="1"/>
  <c r="BE355" i="7" s="1"/>
  <c r="DH280" i="7"/>
  <c r="DG280" i="7" s="1"/>
  <c r="DB280" i="7"/>
  <c r="DA280" i="7" s="1"/>
  <c r="CP280" i="7"/>
  <c r="CO280" i="7" s="1"/>
  <c r="DH256" i="7"/>
  <c r="DG256" i="7" s="1"/>
  <c r="DA240" i="7"/>
  <c r="CM239" i="7"/>
  <c r="CL239" i="7" s="1"/>
  <c r="DA234" i="7"/>
  <c r="DA332" i="7" s="1"/>
  <c r="BN234" i="7"/>
  <c r="CV205" i="7"/>
  <c r="DJ201" i="7"/>
  <c r="DJ167" i="8" s="1"/>
  <c r="DA180" i="7"/>
  <c r="AT74" i="7"/>
  <c r="CC41" i="7"/>
  <c r="DO29" i="7"/>
  <c r="CK29" i="7"/>
  <c r="BD22" i="7"/>
  <c r="BF341" i="7"/>
  <c r="CC201" i="8"/>
  <c r="CD201" i="8" s="1"/>
  <c r="CE201" i="8" s="1"/>
  <c r="CB345" i="7"/>
  <c r="CB24" i="7" s="1"/>
  <c r="DC354" i="7"/>
  <c r="DD355" i="7" s="1"/>
  <c r="CK354" i="7"/>
  <c r="CL355" i="7" s="1"/>
  <c r="BS354" i="7"/>
  <c r="CK256" i="7"/>
  <c r="CD256" i="7"/>
  <c r="CC256" i="7" s="1"/>
  <c r="DF239" i="7"/>
  <c r="DF242" i="7" s="1"/>
  <c r="DF564" i="7" s="1"/>
  <c r="CD215" i="7"/>
  <c r="CZ205" i="7"/>
  <c r="CZ444" i="7" s="1"/>
  <c r="CN205" i="7"/>
  <c r="CL199" i="7"/>
  <c r="CL165" i="8" s="1"/>
  <c r="DJ200" i="7"/>
  <c r="DJ166" i="8" s="1"/>
  <c r="DC198" i="7"/>
  <c r="CY198" i="7"/>
  <c r="BB200" i="7"/>
  <c r="BB166" i="8" s="1"/>
  <c r="BC195" i="7"/>
  <c r="DJ194" i="7"/>
  <c r="DJ159" i="8" s="1"/>
  <c r="BK191" i="7"/>
  <c r="BK156" i="8" s="1"/>
  <c r="CR182" i="7"/>
  <c r="DG180" i="7"/>
  <c r="DK145" i="7"/>
  <c r="DJ145" i="7" s="1"/>
  <c r="AV75" i="7"/>
  <c r="AV325" i="7" s="1"/>
  <c r="AB181" i="7"/>
  <c r="EK38" i="7"/>
  <c r="EH37" i="7"/>
  <c r="EH36" i="7"/>
  <c r="DS37" i="7"/>
  <c r="CY40" i="7"/>
  <c r="CJ40" i="7"/>
  <c r="CI36" i="7"/>
  <c r="EB186" i="8"/>
  <c r="DJ186" i="8"/>
  <c r="CR186" i="8"/>
  <c r="BZ186" i="8"/>
  <c r="BH186" i="8"/>
  <c r="CS145" i="7"/>
  <c r="CR145" i="7" s="1"/>
  <c r="BL105" i="8"/>
  <c r="BL35" i="7"/>
  <c r="BL34" i="7" s="1"/>
  <c r="EM2" i="8"/>
  <c r="EM220" i="8" s="1"/>
  <c r="EM285" i="8" s="1"/>
  <c r="EM29" i="7"/>
  <c r="EG2" i="8"/>
  <c r="EG220" i="8" s="1"/>
  <c r="EG285" i="8" s="1"/>
  <c r="EG29" i="7"/>
  <c r="EA2" i="8"/>
  <c r="EA220" i="8" s="1"/>
  <c r="EA285" i="8" s="1"/>
  <c r="EA29" i="7"/>
  <c r="DI29" i="7"/>
  <c r="DC2" i="8"/>
  <c r="DC220" i="8" s="1"/>
  <c r="DC285" i="8" s="1"/>
  <c r="DC29" i="7"/>
  <c r="CW2" i="8"/>
  <c r="CW220" i="8" s="1"/>
  <c r="CW285" i="8" s="1"/>
  <c r="CW29" i="7"/>
  <c r="BY2" i="8"/>
  <c r="BY220" i="8" s="1"/>
  <c r="BY285" i="8" s="1"/>
  <c r="BY29" i="7"/>
  <c r="BS2" i="8"/>
  <c r="BS220" i="8" s="1"/>
  <c r="BS285" i="8" s="1"/>
  <c r="BS29" i="7"/>
  <c r="BM2" i="8"/>
  <c r="BM220" i="8" s="1"/>
  <c r="BM29" i="7"/>
  <c r="BG2" i="8"/>
  <c r="BG220" i="8" s="1"/>
  <c r="BG29" i="7"/>
  <c r="AO2" i="8"/>
  <c r="AO220" i="8" s="1"/>
  <c r="AO29" i="7"/>
  <c r="CQ354" i="7"/>
  <c r="CR355" i="7" s="1"/>
  <c r="CH354" i="7"/>
  <c r="CI355" i="7" s="1"/>
  <c r="BY354" i="7"/>
  <c r="BZ355" i="7" s="1"/>
  <c r="BP354" i="7"/>
  <c r="BQ355" i="7" s="1"/>
  <c r="BG354" i="7"/>
  <c r="BG355" i="7" s="1"/>
  <c r="CS280" i="7"/>
  <c r="CR280" i="7" s="1"/>
  <c r="CK280" i="7"/>
  <c r="DH239" i="7"/>
  <c r="DG239" i="7" s="1"/>
  <c r="CR234" i="7"/>
  <c r="CR332" i="7" s="1"/>
  <c r="BC218" i="7"/>
  <c r="CR210" i="7"/>
  <c r="CR176" i="8" s="1"/>
  <c r="CU209" i="7"/>
  <c r="CU175" i="8" s="1"/>
  <c r="CU174" i="8" s="1"/>
  <c r="CY205" i="7"/>
  <c r="BC205" i="7"/>
  <c r="BB205" i="7" s="1"/>
  <c r="BK203" i="7"/>
  <c r="BB202" i="7"/>
  <c r="BB168" i="8" s="1"/>
  <c r="BW199" i="7"/>
  <c r="BW165" i="8" s="1"/>
  <c r="CE198" i="7"/>
  <c r="BN194" i="7"/>
  <c r="BN159" i="8" s="1"/>
  <c r="CX194" i="7"/>
  <c r="CX159" i="8" s="1"/>
  <c r="CC194" i="7"/>
  <c r="CC159" i="8" s="1"/>
  <c r="DJ190" i="7"/>
  <c r="DD190" i="7"/>
  <c r="R94" i="7"/>
  <c r="BK76" i="7"/>
  <c r="BK105" i="8" s="1"/>
  <c r="BL75" i="7"/>
  <c r="BK75" i="7" s="1"/>
  <c r="DG37" i="7"/>
  <c r="CT40" i="7"/>
  <c r="CH40" i="7"/>
  <c r="BG40" i="7"/>
  <c r="BG34" i="7" s="1"/>
  <c r="BG42" i="7" s="1"/>
  <c r="ED195" i="7"/>
  <c r="EA195" i="7"/>
  <c r="CB378" i="7"/>
  <c r="CC367" i="7" s="1"/>
  <c r="CC373" i="7"/>
  <c r="CD373" i="7" s="1"/>
  <c r="ER2" i="8"/>
  <c r="ER220" i="8" s="1"/>
  <c r="ER285" i="8" s="1"/>
  <c r="ER451" i="7"/>
  <c r="EL2" i="8"/>
  <c r="EL220" i="8" s="1"/>
  <c r="EL285" i="8" s="1"/>
  <c r="EL9" i="7"/>
  <c r="EL5" i="45" s="1"/>
  <c r="EL330" i="45" s="1"/>
  <c r="EL29" i="7"/>
  <c r="EF2" i="8"/>
  <c r="EF220" i="8" s="1"/>
  <c r="EF285" i="8" s="1"/>
  <c r="EF29" i="7"/>
  <c r="DZ2" i="8"/>
  <c r="DZ220" i="8" s="1"/>
  <c r="DZ285" i="8" s="1"/>
  <c r="DZ451" i="7"/>
  <c r="DZ29" i="7"/>
  <c r="DT29" i="7"/>
  <c r="DN451" i="7"/>
  <c r="DN9" i="7"/>
  <c r="DN5" i="45" s="1"/>
  <c r="DN330" i="45" s="1"/>
  <c r="DB29" i="7"/>
  <c r="DB9" i="7"/>
  <c r="DB5" i="45" s="1"/>
  <c r="DB4" i="45" s="1"/>
  <c r="CV29" i="7"/>
  <c r="CP9" i="7"/>
  <c r="CP5" i="45" s="1"/>
  <c r="CP4" i="45" s="1"/>
  <c r="CP29" i="7"/>
  <c r="CJ2" i="8"/>
  <c r="CJ220" i="8" s="1"/>
  <c r="CJ285" i="8" s="1"/>
  <c r="CJ29" i="7"/>
  <c r="BR2" i="8"/>
  <c r="BR220" i="8" s="1"/>
  <c r="BR285" i="8" s="1"/>
  <c r="BR29" i="7"/>
  <c r="BL2" i="8"/>
  <c r="BL220" i="8" s="1"/>
  <c r="BL29" i="7"/>
  <c r="BF2" i="8"/>
  <c r="BF220" i="8" s="1"/>
  <c r="BF9" i="7"/>
  <c r="BF5" i="45" s="1"/>
  <c r="BF4" i="45" s="1"/>
  <c r="BF29" i="7"/>
  <c r="AZ2" i="8"/>
  <c r="AZ220" i="8" s="1"/>
  <c r="AZ29" i="7"/>
  <c r="EN190" i="8"/>
  <c r="EE190" i="8"/>
  <c r="CO354" i="7"/>
  <c r="CQ355" i="7" s="1"/>
  <c r="CI240" i="7"/>
  <c r="W220" i="7"/>
  <c r="CF207" i="7"/>
  <c r="BE207" i="7"/>
  <c r="BE173" i="8" s="1"/>
  <c r="BE171" i="8" s="1"/>
  <c r="CB205" i="7"/>
  <c r="CC205" i="7" s="1"/>
  <c r="BQ207" i="7"/>
  <c r="BP198" i="7"/>
  <c r="BQ194" i="7"/>
  <c r="BQ159" i="8" s="1"/>
  <c r="CU180" i="7"/>
  <c r="CL180" i="7"/>
  <c r="CC180" i="7"/>
  <c r="BT180" i="7"/>
  <c r="BK180" i="7"/>
  <c r="DA80" i="7"/>
  <c r="DA132" i="8" s="1"/>
  <c r="AM65" i="7"/>
  <c r="EN38" i="7"/>
  <c r="EE38" i="7"/>
  <c r="BV40" i="7"/>
  <c r="BV34" i="7" s="1"/>
  <c r="BV555" i="7" s="1"/>
  <c r="CE29" i="7"/>
  <c r="BA29" i="7"/>
  <c r="EO195" i="7"/>
  <c r="EE67" i="7"/>
  <c r="BC65" i="7"/>
  <c r="BC63" i="7" s="1"/>
  <c r="BN38" i="7"/>
  <c r="BJ40" i="7"/>
  <c r="BK40" i="7" s="1"/>
  <c r="BR30" i="7"/>
  <c r="BR151" i="7" s="1"/>
  <c r="DL354" i="7"/>
  <c r="EP205" i="7"/>
  <c r="EO205" i="7"/>
  <c r="EM198" i="7"/>
  <c r="EK60" i="7"/>
  <c r="EG198" i="7"/>
  <c r="DK280" i="7"/>
  <c r="DJ280" i="7" s="1"/>
  <c r="DF65" i="7"/>
  <c r="DF63" i="7" s="1"/>
  <c r="EQ190" i="8"/>
  <c r="DD190" i="8"/>
  <c r="CU190" i="8"/>
  <c r="BH190" i="8"/>
  <c r="DG181" i="8"/>
  <c r="CF181" i="8"/>
  <c r="BK181" i="8"/>
  <c r="CJ172" i="8"/>
  <c r="CJ171" i="8" s="1"/>
  <c r="AI102" i="8"/>
  <c r="Q102" i="8"/>
  <c r="J102" i="8"/>
  <c r="BF36" i="8"/>
  <c r="BF39" i="8" s="1"/>
  <c r="BE39" i="8" s="1"/>
  <c r="BS32" i="7"/>
  <c r="CY252" i="7"/>
  <c r="CG315" i="7"/>
  <c r="CG317" i="7" s="1"/>
  <c r="CF317" i="7" s="1"/>
  <c r="BX65" i="7"/>
  <c r="BX63" i="7" s="1"/>
  <c r="EH117" i="7"/>
  <c r="EB93" i="7"/>
  <c r="DP117" i="7"/>
  <c r="DJ93" i="7"/>
  <c r="DI390" i="7"/>
  <c r="BF375" i="7"/>
  <c r="BF444" i="7" s="1"/>
  <c r="EK186" i="8"/>
  <c r="DS186" i="8"/>
  <c r="DA186" i="8"/>
  <c r="CI186" i="8"/>
  <c r="BQ186" i="8"/>
  <c r="BN181" i="8"/>
  <c r="BE182" i="8"/>
  <c r="BE181" i="8" s="1"/>
  <c r="BP171" i="8"/>
  <c r="BO27" i="8"/>
  <c r="CQ252" i="7"/>
  <c r="CJ252" i="7"/>
  <c r="CI252" i="7" s="1"/>
  <c r="EM195" i="7"/>
  <c r="EI205" i="7"/>
  <c r="EG205" i="7"/>
  <c r="EH67" i="7"/>
  <c r="CI68" i="7"/>
  <c r="BM28" i="8"/>
  <c r="BR40" i="7"/>
  <c r="BR34" i="7" s="1"/>
  <c r="BM31" i="7"/>
  <c r="EN67" i="7"/>
  <c r="ED198" i="7"/>
  <c r="EA198" i="7"/>
  <c r="DN195" i="7"/>
  <c r="BJ63" i="7"/>
  <c r="BJ88" i="7" s="1"/>
  <c r="BJ86" i="7" s="1"/>
  <c r="AK91" i="7"/>
  <c r="AK5" i="8" s="1"/>
  <c r="AK11" i="8" s="1"/>
  <c r="DP2" i="8"/>
  <c r="DP220" i="8" s="1"/>
  <c r="DP285" i="8" s="1"/>
  <c r="AZ288" i="8"/>
  <c r="BU197" i="8"/>
  <c r="DA190" i="8"/>
  <c r="BN190" i="8"/>
  <c r="EE181" i="8"/>
  <c r="BS79" i="8"/>
  <c r="BA79" i="8"/>
  <c r="AI79" i="8"/>
  <c r="Q79" i="8"/>
  <c r="CH70" i="8"/>
  <c r="DG37" i="8"/>
  <c r="BV37" i="8"/>
  <c r="BP37" i="8"/>
  <c r="BJ37" i="8"/>
  <c r="BD37" i="8"/>
  <c r="EQ31" i="8"/>
  <c r="CF31" i="8"/>
  <c r="BW31" i="8"/>
  <c r="T20" i="8"/>
  <c r="DI70" i="8"/>
  <c r="CZ70" i="8"/>
  <c r="CQ70" i="8"/>
  <c r="DB70" i="8"/>
  <c r="BG45" i="8"/>
  <c r="BT37" i="8"/>
  <c r="BN37" i="8"/>
  <c r="BH37" i="8"/>
  <c r="BB37" i="8"/>
  <c r="AV37" i="8"/>
  <c r="AP37" i="8"/>
  <c r="DY31" i="8"/>
  <c r="CO31" i="8"/>
  <c r="L23" i="8"/>
  <c r="Z20" i="8"/>
  <c r="CB104" i="8"/>
  <c r="CB17" i="8" s="1"/>
  <c r="D149" i="45"/>
  <c r="D151" i="45"/>
  <c r="BU37" i="8"/>
  <c r="AW37" i="8"/>
  <c r="AQ37" i="8"/>
  <c r="BA39" i="8"/>
  <c r="N20" i="8"/>
  <c r="AY37" i="8"/>
  <c r="AS37" i="8"/>
  <c r="BR36" i="8"/>
  <c r="BR39" i="8" s="1"/>
  <c r="BQ39" i="8" s="1"/>
  <c r="BL36" i="8"/>
  <c r="BL39" i="8" s="1"/>
  <c r="BK39" i="8" s="1"/>
  <c r="EK31" i="8"/>
  <c r="DA31" i="8"/>
  <c r="BQ31" i="8"/>
  <c r="AF20" i="8"/>
  <c r="DN134" i="45"/>
  <c r="DN379" i="45"/>
  <c r="DI8" i="45"/>
  <c r="DI24" i="45"/>
  <c r="DL24" i="45"/>
  <c r="EL235" i="45"/>
  <c r="EB134" i="45"/>
  <c r="EB133" i="45" s="1"/>
  <c r="DM247" i="45"/>
  <c r="DJ18" i="45"/>
  <c r="CH155" i="7"/>
  <c r="CE325" i="7"/>
  <c r="N355" i="7"/>
  <c r="AG565" i="7"/>
  <c r="AH116" i="7"/>
  <c r="AH140" i="7" s="1"/>
  <c r="X94" i="7"/>
  <c r="P116" i="7"/>
  <c r="P140" i="7" s="1"/>
  <c r="AV23" i="8"/>
  <c r="Y102" i="8"/>
  <c r="EQ93" i="7"/>
  <c r="EE117" i="7"/>
  <c r="DY93" i="7"/>
  <c r="DM117" i="7"/>
  <c r="DG93" i="7"/>
  <c r="CU117" i="7"/>
  <c r="CO93" i="7"/>
  <c r="CC117" i="7"/>
  <c r="BW93" i="7"/>
  <c r="AM86" i="7"/>
  <c r="BV36" i="8"/>
  <c r="BV39" i="8" s="1"/>
  <c r="BM36" i="8"/>
  <c r="BM39" i="8" s="1"/>
  <c r="BD36" i="8"/>
  <c r="BD39" i="8" s="1"/>
  <c r="BY17" i="8"/>
  <c r="CT70" i="8"/>
  <c r="CB70" i="8"/>
  <c r="BN70" i="8"/>
  <c r="BH70" i="8"/>
  <c r="BB70" i="8"/>
  <c r="AV70" i="8"/>
  <c r="AP70" i="8"/>
  <c r="CU86" i="7"/>
  <c r="CC86" i="7"/>
  <c r="AX190" i="8"/>
  <c r="AR181" i="8"/>
  <c r="AI181" i="8"/>
  <c r="Q181" i="8"/>
  <c r="AQ164" i="8"/>
  <c r="X91" i="8"/>
  <c r="AP64" i="8"/>
  <c r="AG64" i="8"/>
  <c r="X64" i="8"/>
  <c r="O64" i="8"/>
  <c r="F64" i="8"/>
  <c r="AS55" i="8"/>
  <c r="AJ55" i="8"/>
  <c r="AS331" i="7"/>
  <c r="AF324" i="7"/>
  <c r="N324" i="7"/>
  <c r="AZ18" i="8"/>
  <c r="BH564" i="7"/>
  <c r="AK116" i="7"/>
  <c r="R138" i="8"/>
  <c r="AY137" i="8"/>
  <c r="AP137" i="8"/>
  <c r="AG137" i="8"/>
  <c r="F137" i="8"/>
  <c r="BA46" i="8"/>
  <c r="CW46" i="8"/>
  <c r="CW49" i="8" s="1"/>
  <c r="CN46" i="8"/>
  <c r="CN49" i="8" s="1"/>
  <c r="BS36" i="8"/>
  <c r="BS39" i="8" s="1"/>
  <c r="BJ36" i="8"/>
  <c r="BJ39" i="8" s="1"/>
  <c r="AJ145" i="7"/>
  <c r="E186" i="8"/>
  <c r="CK460" i="7"/>
  <c r="CK490" i="7" s="1"/>
  <c r="AI324" i="7"/>
  <c r="CU217" i="7"/>
  <c r="AA35" i="7"/>
  <c r="CX117" i="7"/>
  <c r="CR93" i="7"/>
  <c r="CF117" i="7"/>
  <c r="BZ93" i="7"/>
  <c r="BN117" i="7"/>
  <c r="BE93" i="7"/>
  <c r="K91" i="7"/>
  <c r="K5" i="8" s="1"/>
  <c r="K11" i="8" s="1"/>
  <c r="S299" i="7"/>
  <c r="R299" i="7" s="1"/>
  <c r="Z324" i="7"/>
  <c r="BH217" i="7"/>
  <c r="AF181" i="7"/>
  <c r="R35" i="7"/>
  <c r="R555" i="7" s="1"/>
  <c r="EG79" i="8"/>
  <c r="CK270" i="7"/>
  <c r="CM270" i="7" s="1"/>
  <c r="CI270" i="7"/>
  <c r="AX355" i="7"/>
  <c r="AB332" i="7"/>
  <c r="V332" i="7"/>
  <c r="J332" i="7"/>
  <c r="T299" i="7"/>
  <c r="AL242" i="7"/>
  <c r="AM564" i="7"/>
  <c r="U564" i="7"/>
  <c r="AG575" i="7"/>
  <c r="AM335" i="7"/>
  <c r="CJ218" i="7"/>
  <c r="AM192" i="7"/>
  <c r="AF116" i="7"/>
  <c r="AF140" i="7" s="1"/>
  <c r="AG93" i="7"/>
  <c r="R34" i="7"/>
  <c r="BG317" i="7"/>
  <c r="CU9" i="7"/>
  <c r="CU5" i="45" s="1"/>
  <c r="CU4" i="45" s="1"/>
  <c r="AW197" i="8"/>
  <c r="H181" i="8"/>
  <c r="AV40" i="8"/>
  <c r="AB220" i="7"/>
  <c r="EE9" i="7"/>
  <c r="EE5" i="45" s="1"/>
  <c r="EE330" i="45" s="1"/>
  <c r="ER79" i="8"/>
  <c r="EF79" i="8"/>
  <c r="CP45" i="8"/>
  <c r="M299" i="7"/>
  <c r="L299" i="7" s="1"/>
  <c r="AZ283" i="7"/>
  <c r="BW217" i="7"/>
  <c r="U117" i="7"/>
  <c r="AE116" i="7"/>
  <c r="M116" i="7"/>
  <c r="M140" i="7" s="1"/>
  <c r="AV33" i="7"/>
  <c r="AD33" i="7"/>
  <c r="L33" i="7"/>
  <c r="AD86" i="7"/>
  <c r="U86" i="7"/>
  <c r="AJ138" i="8"/>
  <c r="AA55" i="8"/>
  <c r="R55" i="8"/>
  <c r="I55" i="8"/>
  <c r="BD355" i="7"/>
  <c r="AE332" i="7"/>
  <c r="S332" i="7"/>
  <c r="M332" i="7"/>
  <c r="BC330" i="7"/>
  <c r="S324" i="7"/>
  <c r="R324" i="7" s="1"/>
  <c r="CS245" i="7"/>
  <c r="X42" i="9" s="1"/>
  <c r="BF242" i="7"/>
  <c r="BE242" i="7" s="1"/>
  <c r="BA218" i="7"/>
  <c r="BA220" i="7" s="1"/>
  <c r="BT217" i="7"/>
  <c r="CI145" i="7"/>
  <c r="I145" i="7"/>
  <c r="O118" i="7"/>
  <c r="J116" i="7"/>
  <c r="J140" i="7" s="1"/>
  <c r="I35" i="7"/>
  <c r="E42" i="7"/>
  <c r="T102" i="8"/>
  <c r="DC79" i="8"/>
  <c r="CX79" i="8"/>
  <c r="AS22" i="8"/>
  <c r="AJ22" i="8"/>
  <c r="AA22" i="8"/>
  <c r="R22" i="8"/>
  <c r="I22" i="8"/>
  <c r="X355" i="7"/>
  <c r="F355" i="7"/>
  <c r="G283" i="7"/>
  <c r="F283" i="7" s="1"/>
  <c r="AF242" i="7"/>
  <c r="F57" i="7"/>
  <c r="AL91" i="7"/>
  <c r="AL5" i="8" s="1"/>
  <c r="AL11" i="8" s="1"/>
  <c r="AO181" i="8"/>
  <c r="E181" i="8"/>
  <c r="AO102" i="8"/>
  <c r="AV91" i="8"/>
  <c r="AD91" i="8"/>
  <c r="U73" i="8"/>
  <c r="BO283" i="7"/>
  <c r="BN283" i="7" s="1"/>
  <c r="CN576" i="7"/>
  <c r="BD242" i="7"/>
  <c r="U118" i="7"/>
  <c r="X57" i="7"/>
  <c r="O57" i="7"/>
  <c r="L57" i="7"/>
  <c r="AX164" i="8"/>
  <c r="CE46" i="8"/>
  <c r="CE49" i="8" s="1"/>
  <c r="BV46" i="8"/>
  <c r="BV49" i="8" s="1"/>
  <c r="BA85" i="7"/>
  <c r="BA10" i="7" s="1"/>
  <c r="BH83" i="7"/>
  <c r="BH553" i="7" s="1"/>
  <c r="CC83" i="7"/>
  <c r="BU555" i="7"/>
  <c r="BU554" i="7"/>
  <c r="CO84" i="7"/>
  <c r="BZ84" i="7"/>
  <c r="BP555" i="7"/>
  <c r="BI316" i="7"/>
  <c r="BH316" i="7" s="1"/>
  <c r="CU83" i="7"/>
  <c r="CI83" i="7"/>
  <c r="BG85" i="7"/>
  <c r="BG10" i="7" s="1"/>
  <c r="BB84" i="7"/>
  <c r="CD85" i="7"/>
  <c r="CD116" i="7" s="1"/>
  <c r="CD140" i="7" s="1"/>
  <c r="BS155" i="7"/>
  <c r="BP177" i="7"/>
  <c r="BP179" i="7"/>
  <c r="BQ179" i="7" s="1"/>
  <c r="BH576" i="7"/>
  <c r="AQ460" i="7"/>
  <c r="AQ490" i="7" s="1"/>
  <c r="AB576" i="7"/>
  <c r="AK572" i="7"/>
  <c r="EC460" i="7"/>
  <c r="EC490" i="7" s="1"/>
  <c r="DT460" i="7"/>
  <c r="DT490" i="7" s="1"/>
  <c r="DC460" i="7"/>
  <c r="DC490" i="7" s="1"/>
  <c r="BW354" i="7"/>
  <c r="BY355" i="7" s="1"/>
  <c r="BN354" i="7"/>
  <c r="AJ355" i="7"/>
  <c r="R355" i="7"/>
  <c r="BF208" i="8"/>
  <c r="AY336" i="7"/>
  <c r="BD335" i="7"/>
  <c r="AP335" i="7"/>
  <c r="AS316" i="7"/>
  <c r="E299" i="7"/>
  <c r="L266" i="7"/>
  <c r="L115" i="8" s="1"/>
  <c r="M283" i="7"/>
  <c r="L283" i="7" s="1"/>
  <c r="BZ188" i="7"/>
  <c r="BZ215" i="7" s="1"/>
  <c r="BY215" i="7"/>
  <c r="AZ149" i="8"/>
  <c r="AY273" i="7"/>
  <c r="AL86" i="8"/>
  <c r="AL299" i="7"/>
  <c r="CR229" i="7"/>
  <c r="N179" i="7"/>
  <c r="U93" i="7"/>
  <c r="V116" i="7"/>
  <c r="M444" i="7"/>
  <c r="T4" i="8"/>
  <c r="T10" i="8" s="1"/>
  <c r="T179" i="7"/>
  <c r="Q73" i="7"/>
  <c r="Q179" i="7" s="1"/>
  <c r="R179" i="7" s="1"/>
  <c r="R75" i="7"/>
  <c r="T572" i="7"/>
  <c r="BV562" i="7"/>
  <c r="DX460" i="7"/>
  <c r="DX490" i="7" s="1"/>
  <c r="CW460" i="7"/>
  <c r="CW490" i="7" s="1"/>
  <c r="CN460" i="7"/>
  <c r="CN490" i="7" s="1"/>
  <c r="CS460" i="7"/>
  <c r="CS490" i="7" s="1"/>
  <c r="CJ460" i="7"/>
  <c r="CJ490" i="7" s="1"/>
  <c r="BS460" i="7"/>
  <c r="BS490" i="7" s="1"/>
  <c r="AH354" i="7"/>
  <c r="BL283" i="7"/>
  <c r="BK280" i="7"/>
  <c r="AP198" i="7"/>
  <c r="X198" i="7"/>
  <c r="F198" i="7"/>
  <c r="E155" i="8"/>
  <c r="BR283" i="7"/>
  <c r="BQ283" i="7" s="1"/>
  <c r="DD234" i="7"/>
  <c r="DD332" i="7" s="1"/>
  <c r="BS283" i="7"/>
  <c r="DC222" i="7"/>
  <c r="DC224" i="7" s="1"/>
  <c r="DD222" i="7" s="1"/>
  <c r="DA224" i="7"/>
  <c r="BP566" i="7"/>
  <c r="AX566" i="7"/>
  <c r="M566" i="7"/>
  <c r="BS566" i="7"/>
  <c r="BM566" i="7"/>
  <c r="BC566" i="7"/>
  <c r="AK566" i="7"/>
  <c r="AB566" i="7"/>
  <c r="BA460" i="7"/>
  <c r="BA490" i="7" s="1"/>
  <c r="BB355" i="7"/>
  <c r="Z355" i="7"/>
  <c r="BD327" i="7"/>
  <c r="DD217" i="7"/>
  <c r="CL217" i="7"/>
  <c r="N91" i="7"/>
  <c r="N11" i="7" s="1"/>
  <c r="O86" i="7"/>
  <c r="CP576" i="7"/>
  <c r="AN566" i="7"/>
  <c r="AB572" i="7"/>
  <c r="AY460" i="7"/>
  <c r="AY490" i="7" s="1"/>
  <c r="BX348" i="7"/>
  <c r="BX203" i="8" s="1"/>
  <c r="J348" i="7"/>
  <c r="J203" i="8" s="1"/>
  <c r="BP325" i="7"/>
  <c r="Z179" i="7"/>
  <c r="CD315" i="7"/>
  <c r="CC315" i="7" s="1"/>
  <c r="AO190" i="8"/>
  <c r="W186" i="8"/>
  <c r="AN174" i="8"/>
  <c r="AJ174" i="8"/>
  <c r="AG174" i="8"/>
  <c r="AD174" i="8"/>
  <c r="AA174" i="8"/>
  <c r="X174" i="8"/>
  <c r="U174" i="8"/>
  <c r="R174" i="8"/>
  <c r="U138" i="8"/>
  <c r="AD102" i="8"/>
  <c r="L145" i="7"/>
  <c r="AG117" i="7"/>
  <c r="BH117" i="7"/>
  <c r="AY117" i="7"/>
  <c r="N186" i="8"/>
  <c r="AP23" i="8"/>
  <c r="O23" i="8"/>
  <c r="AF283" i="7"/>
  <c r="N283" i="7"/>
  <c r="AI260" i="7"/>
  <c r="DD246" i="7"/>
  <c r="DD33" i="8" s="1"/>
  <c r="BJ242" i="7"/>
  <c r="AR242" i="7"/>
  <c r="AM218" i="7"/>
  <c r="U218" i="7"/>
  <c r="CR217" i="7"/>
  <c r="BB217" i="7"/>
  <c r="X217" i="7"/>
  <c r="E220" i="7"/>
  <c r="BX293" i="7"/>
  <c r="BW293" i="7" s="1"/>
  <c r="AA118" i="7"/>
  <c r="Y116" i="7"/>
  <c r="Y140" i="7" s="1"/>
  <c r="AJ93" i="7"/>
  <c r="S116" i="7"/>
  <c r="S140" i="7" s="1"/>
  <c r="CF82" i="7"/>
  <c r="BN82" i="7"/>
  <c r="AW42" i="7"/>
  <c r="BO324" i="7"/>
  <c r="BN324" i="7" s="1"/>
  <c r="CD9" i="7"/>
  <c r="CD5" i="45" s="1"/>
  <c r="CD4" i="45" s="1"/>
  <c r="AT9" i="7"/>
  <c r="AT5" i="45" s="1"/>
  <c r="AT4" i="45" s="1"/>
  <c r="AN285" i="8"/>
  <c r="AN190" i="8"/>
  <c r="W174" i="8"/>
  <c r="Q174" i="8"/>
  <c r="K174" i="8"/>
  <c r="E174" i="8"/>
  <c r="AG171" i="8"/>
  <c r="U171" i="8"/>
  <c r="I171" i="8"/>
  <c r="AO164" i="8"/>
  <c r="AV116" i="8"/>
  <c r="AW102" i="8"/>
  <c r="Z102" i="8"/>
  <c r="CH46" i="8"/>
  <c r="CH49" i="8" s="1"/>
  <c r="DC45" i="8"/>
  <c r="CK45" i="8"/>
  <c r="AP40" i="8"/>
  <c r="BU36" i="8"/>
  <c r="BU39" i="8" s="1"/>
  <c r="BT39" i="8" s="1"/>
  <c r="AF299" i="7"/>
  <c r="CB283" i="7"/>
  <c r="CB565" i="7" s="1"/>
  <c r="BV283" i="7"/>
  <c r="BV565" i="7" s="1"/>
  <c r="BM283" i="7"/>
  <c r="BS260" i="7"/>
  <c r="BA260" i="7"/>
  <c r="AS145" i="7"/>
  <c r="AD94" i="7"/>
  <c r="BZ82" i="7"/>
  <c r="AD35" i="7"/>
  <c r="AD555" i="7" s="1"/>
  <c r="R164" i="8"/>
  <c r="AJ70" i="8"/>
  <c r="AD70" i="8"/>
  <c r="X70" i="8"/>
  <c r="R70" i="8"/>
  <c r="L70" i="8"/>
  <c r="AI13" i="8"/>
  <c r="W324" i="7"/>
  <c r="BD283" i="7"/>
  <c r="AL283" i="7"/>
  <c r="T242" i="7"/>
  <c r="CX217" i="7"/>
  <c r="AS188" i="7"/>
  <c r="AB155" i="8"/>
  <c r="AV166" i="7"/>
  <c r="AY151" i="7"/>
  <c r="AM145" i="7"/>
  <c r="F145" i="7"/>
  <c r="T116" i="7"/>
  <c r="T140" i="7" s="1"/>
  <c r="O93" i="7"/>
  <c r="AT324" i="7"/>
  <c r="AS324" i="7" s="1"/>
  <c r="AP287" i="8"/>
  <c r="T190" i="8"/>
  <c r="K190" i="8"/>
  <c r="AO186" i="8"/>
  <c r="AU181" i="8"/>
  <c r="K181" i="8"/>
  <c r="AC171" i="8"/>
  <c r="Q171" i="8"/>
  <c r="E171" i="8"/>
  <c r="F138" i="8"/>
  <c r="AV137" i="8"/>
  <c r="AM137" i="8"/>
  <c r="AD137" i="8"/>
  <c r="U137" i="8"/>
  <c r="AR102" i="8"/>
  <c r="DT79" i="8"/>
  <c r="DH79" i="8"/>
  <c r="CV79" i="8"/>
  <c r="CJ79" i="8"/>
  <c r="BX79" i="8"/>
  <c r="BL79" i="8"/>
  <c r="AZ79" i="8"/>
  <c r="AN79" i="8"/>
  <c r="AB79" i="8"/>
  <c r="P79" i="8"/>
  <c r="H79" i="8"/>
  <c r="BM46" i="8"/>
  <c r="BM49" i="8" s="1"/>
  <c r="BD46" i="8"/>
  <c r="BD49" i="8" s="1"/>
  <c r="BC36" i="8"/>
  <c r="BC39" i="8" s="1"/>
  <c r="BB39" i="8" s="1"/>
  <c r="AY24" i="8"/>
  <c r="AP24" i="8"/>
  <c r="AG24" i="8"/>
  <c r="X24" i="8"/>
  <c r="O24" i="8"/>
  <c r="F24" i="8"/>
  <c r="Q20" i="8"/>
  <c r="BH219" i="7"/>
  <c r="AP219" i="7"/>
  <c r="X219" i="7"/>
  <c r="F219" i="7"/>
  <c r="AP195" i="7"/>
  <c r="X195" i="7"/>
  <c r="F195" i="7"/>
  <c r="BK145" i="7"/>
  <c r="AA117" i="7"/>
  <c r="R91" i="8"/>
  <c r="X73" i="8"/>
  <c r="CW45" i="8"/>
  <c r="CE45" i="8"/>
  <c r="BM45" i="8"/>
  <c r="BO36" i="8"/>
  <c r="BO39" i="8" s="1"/>
  <c r="BN39" i="8" s="1"/>
  <c r="BZ454" i="7"/>
  <c r="BZ460" i="7" s="1"/>
  <c r="BZ490" i="7" s="1"/>
  <c r="CA460" i="7"/>
  <c r="CA490" i="7" s="1"/>
  <c r="AF317" i="7"/>
  <c r="AP253" i="7"/>
  <c r="BM260" i="7"/>
  <c r="AE242" i="7"/>
  <c r="AD242" i="7" s="1"/>
  <c r="V220" i="7"/>
  <c r="AG218" i="7"/>
  <c r="O218" i="7"/>
  <c r="CF217" i="7"/>
  <c r="AZ220" i="7"/>
  <c r="U217" i="7"/>
  <c r="L217" i="7"/>
  <c r="AL204" i="7"/>
  <c r="AM198" i="7"/>
  <c r="U198" i="7"/>
  <c r="T204" i="7"/>
  <c r="T212" i="7" s="1"/>
  <c r="T211" i="7" s="1"/>
  <c r="AA192" i="7"/>
  <c r="S204" i="7"/>
  <c r="S212" i="7" s="1"/>
  <c r="I192" i="7"/>
  <c r="BE185" i="7"/>
  <c r="AL185" i="7"/>
  <c r="AD118" i="7"/>
  <c r="BX116" i="8"/>
  <c r="BX18" i="8" s="1"/>
  <c r="CT460" i="7"/>
  <c r="CT490" i="7" s="1"/>
  <c r="W317" i="7"/>
  <c r="W560" i="7" s="1"/>
  <c r="W562" i="7" s="1"/>
  <c r="E317" i="7"/>
  <c r="N317" i="7"/>
  <c r="AE299" i="7"/>
  <c r="AD299" i="7" s="1"/>
  <c r="N299" i="7"/>
  <c r="T283" i="7"/>
  <c r="S283" i="7"/>
  <c r="R283" i="7" s="1"/>
  <c r="AB260" i="7"/>
  <c r="AA260" i="7" s="1"/>
  <c r="AA253" i="7"/>
  <c r="AM239" i="7"/>
  <c r="BN217" i="7"/>
  <c r="X117" i="7"/>
  <c r="F117" i="7"/>
  <c r="AI116" i="7"/>
  <c r="AI140" i="7" s="1"/>
  <c r="AI144" i="7" s="1"/>
  <c r="AI147" i="7" s="1"/>
  <c r="AJ143" i="7" s="1"/>
  <c r="L75" i="7"/>
  <c r="AX63" i="7"/>
  <c r="AX27" i="8" s="1"/>
  <c r="AX28" i="8" s="1"/>
  <c r="AY65" i="7"/>
  <c r="BI37" i="8"/>
  <c r="BF37" i="8"/>
  <c r="AH20" i="8"/>
  <c r="AH285" i="8"/>
  <c r="AH13" i="8"/>
  <c r="AB285" i="8"/>
  <c r="AB20" i="8"/>
  <c r="AB13" i="8"/>
  <c r="V285" i="8"/>
  <c r="V13" i="8"/>
  <c r="V20" i="8"/>
  <c r="P285" i="8"/>
  <c r="P13" i="8"/>
  <c r="P20" i="8"/>
  <c r="J13" i="8"/>
  <c r="J285" i="8"/>
  <c r="J20" i="8"/>
  <c r="CB562" i="7"/>
  <c r="DH460" i="7"/>
  <c r="DH490" i="7" s="1"/>
  <c r="BO460" i="7"/>
  <c r="BO490" i="7" s="1"/>
  <c r="AP355" i="7"/>
  <c r="AN348" i="7"/>
  <c r="AN203" i="8" s="1"/>
  <c r="BD299" i="7"/>
  <c r="AW283" i="7"/>
  <c r="AV283" i="7" s="1"/>
  <c r="Z283" i="7"/>
  <c r="N242" i="7"/>
  <c r="AV145" i="7"/>
  <c r="Z116" i="7"/>
  <c r="Z140" i="7" s="1"/>
  <c r="I94" i="7"/>
  <c r="BB75" i="7"/>
  <c r="AN74" i="7"/>
  <c r="AN162" i="7"/>
  <c r="W566" i="7"/>
  <c r="AN556" i="7"/>
  <c r="DI460" i="7"/>
  <c r="DI490" i="7" s="1"/>
  <c r="EM460" i="7"/>
  <c r="EM490" i="7" s="1"/>
  <c r="DO460" i="7"/>
  <c r="DO490" i="7" s="1"/>
  <c r="AT348" i="7"/>
  <c r="AT203" i="8" s="1"/>
  <c r="V348" i="7"/>
  <c r="V203" i="8" s="1"/>
  <c r="E324" i="7"/>
  <c r="AA307" i="7"/>
  <c r="CM259" i="7"/>
  <c r="BG260" i="7"/>
  <c r="AZ260" i="7"/>
  <c r="I253" i="7"/>
  <c r="DN246" i="7"/>
  <c r="DQ246" i="7" s="1"/>
  <c r="DQ33" i="8" s="1"/>
  <c r="AQ242" i="7"/>
  <c r="AP242" i="7" s="1"/>
  <c r="DJ217" i="7"/>
  <c r="CC217" i="7"/>
  <c r="CC174" i="8"/>
  <c r="AS205" i="7"/>
  <c r="AA205" i="7"/>
  <c r="I205" i="7"/>
  <c r="AJ198" i="7"/>
  <c r="R198" i="7"/>
  <c r="H116" i="7"/>
  <c r="CK105" i="8"/>
  <c r="CK17" i="8" s="1"/>
  <c r="CK35" i="7"/>
  <c r="CB69" i="7"/>
  <c r="CC75" i="7"/>
  <c r="CN562" i="7"/>
  <c r="DK460" i="7"/>
  <c r="DK490" i="7" s="1"/>
  <c r="EB454" i="7"/>
  <c r="EB460" i="7" s="1"/>
  <c r="EB490" i="7" s="1"/>
  <c r="DU460" i="7"/>
  <c r="DU490" i="7" s="1"/>
  <c r="BC348" i="7"/>
  <c r="Y299" i="7"/>
  <c r="X299" i="7" s="1"/>
  <c r="H324" i="7"/>
  <c r="F253" i="7"/>
  <c r="BU242" i="7"/>
  <c r="BT242" i="7" s="1"/>
  <c r="BA242" i="7"/>
  <c r="BK219" i="7"/>
  <c r="AS219" i="7"/>
  <c r="AA219" i="7"/>
  <c r="I219" i="7"/>
  <c r="BE218" i="7"/>
  <c r="I218" i="7"/>
  <c r="BK217" i="7"/>
  <c r="F217" i="7"/>
  <c r="AP205" i="7"/>
  <c r="X205" i="7"/>
  <c r="AO185" i="7"/>
  <c r="AR184" i="7"/>
  <c r="AD179" i="7"/>
  <c r="AA93" i="7"/>
  <c r="AB116" i="7"/>
  <c r="I93" i="7"/>
  <c r="BT82" i="7"/>
  <c r="BT135" i="8" s="1"/>
  <c r="AV93" i="7"/>
  <c r="AU116" i="7"/>
  <c r="AU140" i="7" s="1"/>
  <c r="AU144" i="7" s="1"/>
  <c r="AU147" i="7" s="1"/>
  <c r="AV143" i="7" s="1"/>
  <c r="AQ27" i="8"/>
  <c r="AQ28" i="8" s="1"/>
  <c r="AQ181" i="7"/>
  <c r="AK63" i="7"/>
  <c r="AK181" i="7" s="1"/>
  <c r="AJ65" i="7"/>
  <c r="CR389" i="7"/>
  <c r="CR378" i="7"/>
  <c r="EP460" i="7"/>
  <c r="EP490" i="7" s="1"/>
  <c r="EG460" i="7"/>
  <c r="EG490" i="7" s="1"/>
  <c r="Q317" i="7"/>
  <c r="H299" i="7"/>
  <c r="BU283" i="7"/>
  <c r="BT283" i="7" s="1"/>
  <c r="AK283" i="7"/>
  <c r="S242" i="7"/>
  <c r="R242" i="7" s="1"/>
  <c r="BR220" i="7"/>
  <c r="AV4" i="8"/>
  <c r="AV10" i="8" s="1"/>
  <c r="J63" i="7"/>
  <c r="J181" i="7" s="1"/>
  <c r="I65" i="7"/>
  <c r="AX177" i="7"/>
  <c r="AZ162" i="7"/>
  <c r="AO177" i="7"/>
  <c r="AP75" i="7"/>
  <c r="AO4" i="8"/>
  <c r="AO10" i="8" s="1"/>
  <c r="AO74" i="7"/>
  <c r="AL73" i="7"/>
  <c r="AL69" i="7" s="1"/>
  <c r="AL61" i="7" s="1"/>
  <c r="AL55" i="7" s="1"/>
  <c r="AM75" i="7"/>
  <c r="AO91" i="7"/>
  <c r="AO163" i="7" s="1"/>
  <c r="AP86" i="7"/>
  <c r="W91" i="7"/>
  <c r="W5" i="8" s="1"/>
  <c r="W11" i="8" s="1"/>
  <c r="X86" i="7"/>
  <c r="J91" i="7"/>
  <c r="J11" i="7" s="1"/>
  <c r="I86" i="7"/>
  <c r="CZ82" i="7"/>
  <c r="CZ519" i="7" s="1"/>
  <c r="BD10" i="7"/>
  <c r="BD164" i="7"/>
  <c r="AX10" i="7"/>
  <c r="AX156" i="7"/>
  <c r="AX164" i="7"/>
  <c r="AO10" i="7"/>
  <c r="AO164" i="7"/>
  <c r="AR156" i="7"/>
  <c r="AW190" i="8"/>
  <c r="AB190" i="8"/>
  <c r="W190" i="8"/>
  <c r="S181" i="8"/>
  <c r="BO174" i="8"/>
  <c r="AS138" i="8"/>
  <c r="AK102" i="8"/>
  <c r="W102" i="8"/>
  <c r="S102" i="8"/>
  <c r="L102" i="8"/>
  <c r="AS91" i="8"/>
  <c r="AJ91" i="8"/>
  <c r="AA91" i="8"/>
  <c r="BT70" i="8"/>
  <c r="DC46" i="8"/>
  <c r="DC49" i="8" s="1"/>
  <c r="CT46" i="8"/>
  <c r="CT49" i="8" s="1"/>
  <c r="CK46" i="8"/>
  <c r="CK49" i="8" s="1"/>
  <c r="CB46" i="8"/>
  <c r="CB49" i="8" s="1"/>
  <c r="BS46" i="8"/>
  <c r="BS49" i="8" s="1"/>
  <c r="BJ46" i="8"/>
  <c r="BJ49" i="8" s="1"/>
  <c r="AP145" i="7"/>
  <c r="CO145" i="7"/>
  <c r="CF145" i="7"/>
  <c r="BW145" i="7"/>
  <c r="BH145" i="7"/>
  <c r="X145" i="7"/>
  <c r="O145" i="7"/>
  <c r="R118" i="7"/>
  <c r="BK93" i="7"/>
  <c r="EB39" i="7"/>
  <c r="AQ42" i="7"/>
  <c r="BY324" i="7"/>
  <c r="AQ324" i="7"/>
  <c r="AP324" i="7" s="1"/>
  <c r="BV317" i="7"/>
  <c r="J190" i="8"/>
  <c r="E190" i="8"/>
  <c r="AF186" i="8"/>
  <c r="AO174" i="8"/>
  <c r="AE174" i="8"/>
  <c r="AB174" i="8"/>
  <c r="G174" i="8"/>
  <c r="I138" i="8"/>
  <c r="X93" i="7"/>
  <c r="BD324" i="7"/>
  <c r="BD116" i="7"/>
  <c r="BD140" i="7" s="1"/>
  <c r="AU190" i="8"/>
  <c r="V190" i="8"/>
  <c r="BM174" i="8"/>
  <c r="AN102" i="8"/>
  <c r="H102" i="8"/>
  <c r="AG91" i="8"/>
  <c r="AM73" i="8"/>
  <c r="AY145" i="7"/>
  <c r="AG145" i="7"/>
  <c r="AP118" i="7"/>
  <c r="X118" i="7"/>
  <c r="AJ117" i="7"/>
  <c r="T181" i="7"/>
  <c r="EQ39" i="7"/>
  <c r="CT315" i="7"/>
  <c r="CT560" i="7" s="1"/>
  <c r="CT562" i="7" s="1"/>
  <c r="L86" i="7"/>
  <c r="BJ317" i="7"/>
  <c r="BF555" i="7"/>
  <c r="BG288" i="8"/>
  <c r="AW288" i="8"/>
  <c r="AL190" i="8"/>
  <c r="AL181" i="8"/>
  <c r="AU171" i="8"/>
  <c r="Y171" i="8"/>
  <c r="M171" i="8"/>
  <c r="AR164" i="8"/>
  <c r="AV138" i="8"/>
  <c r="CI132" i="8"/>
  <c r="AX102" i="8"/>
  <c r="AU102" i="8"/>
  <c r="AE102" i="8"/>
  <c r="K102" i="8"/>
  <c r="AY116" i="8"/>
  <c r="AY18" i="8" s="1"/>
  <c r="DA145" i="7"/>
  <c r="AJ94" i="7"/>
  <c r="BE132" i="8"/>
  <c r="BE133" i="8" s="1"/>
  <c r="BE135" i="8" s="1"/>
  <c r="BF44" i="7"/>
  <c r="BE44" i="7" s="1"/>
  <c r="BQ35" i="7"/>
  <c r="BE33" i="7"/>
  <c r="BL324" i="7"/>
  <c r="BK324" i="7" s="1"/>
  <c r="BU324" i="7"/>
  <c r="BT324" i="7" s="1"/>
  <c r="AJ86" i="7"/>
  <c r="BC208" i="8"/>
  <c r="AX186" i="8"/>
  <c r="AS137" i="8"/>
  <c r="AJ137" i="8"/>
  <c r="AA137" i="8"/>
  <c r="I137" i="8"/>
  <c r="AL102" i="8"/>
  <c r="AS73" i="8"/>
  <c r="AJ73" i="8"/>
  <c r="AA73" i="8"/>
  <c r="AM64" i="8"/>
  <c r="AD64" i="8"/>
  <c r="U64" i="8"/>
  <c r="L64" i="8"/>
  <c r="AY55" i="8"/>
  <c r="AP55" i="8"/>
  <c r="AG55" i="8"/>
  <c r="X55" i="8"/>
  <c r="O55" i="8"/>
  <c r="F55" i="8"/>
  <c r="AJ23" i="8"/>
  <c r="DS214" i="7"/>
  <c r="BM316" i="7"/>
  <c r="BM317" i="7" s="1"/>
  <c r="BM560" i="7" s="1"/>
  <c r="BM562" i="7" s="1"/>
  <c r="BM555" i="7"/>
  <c r="BM556" i="7" s="1"/>
  <c r="BC554" i="7"/>
  <c r="BC555" i="7"/>
  <c r="DJ83" i="7"/>
  <c r="CR83" i="7"/>
  <c r="CL84" i="7"/>
  <c r="CC84" i="7"/>
  <c r="BZ83" i="7"/>
  <c r="BQ83" i="7"/>
  <c r="BQ553" i="7" s="1"/>
  <c r="DD83" i="7"/>
  <c r="DA83" i="7"/>
  <c r="BW84" i="7"/>
  <c r="DN316" i="7"/>
  <c r="AE57" i="9" s="1"/>
  <c r="BO26" i="8"/>
  <c r="BQ32" i="7"/>
  <c r="DN424" i="45"/>
  <c r="DN419" i="45" s="1"/>
  <c r="BT32" i="7"/>
  <c r="DN235" i="45"/>
  <c r="CX83" i="7"/>
  <c r="CU84" i="7"/>
  <c r="CR84" i="7"/>
  <c r="CF354" i="7"/>
  <c r="BY316" i="7"/>
  <c r="BY317" i="7" s="1"/>
  <c r="CK85" i="7"/>
  <c r="CK10" i="7" s="1"/>
  <c r="CG85" i="7"/>
  <c r="BN84" i="7"/>
  <c r="DP84" i="7"/>
  <c r="EH84" i="7"/>
  <c r="DY84" i="7"/>
  <c r="CF84" i="7"/>
  <c r="BT83" i="7"/>
  <c r="BT553" i="7" s="1"/>
  <c r="DG83" i="7"/>
  <c r="CO83" i="7"/>
  <c r="EN84" i="7"/>
  <c r="EE84" i="7"/>
  <c r="BX85" i="7"/>
  <c r="BX116" i="7" s="1"/>
  <c r="BX140" i="7" s="1"/>
  <c r="BS555" i="7"/>
  <c r="BS556" i="7" s="1"/>
  <c r="DG354" i="7"/>
  <c r="DI355" i="7" s="1"/>
  <c r="CX354" i="7"/>
  <c r="CZ355" i="7" s="1"/>
  <c r="CB316" i="7"/>
  <c r="CB317" i="7" s="1"/>
  <c r="BS316" i="7"/>
  <c r="BS317" i="7" s="1"/>
  <c r="BS560" i="7" s="1"/>
  <c r="BS562" i="7" s="1"/>
  <c r="BL316" i="7"/>
  <c r="BA316" i="7"/>
  <c r="BA317" i="7" s="1"/>
  <c r="BA560" i="7" s="1"/>
  <c r="BA562" i="7" s="1"/>
  <c r="DG84" i="7"/>
  <c r="BH84" i="7"/>
  <c r="BH554" i="7" s="1"/>
  <c r="CE85" i="7"/>
  <c r="CE10" i="7" s="1"/>
  <c r="BR85" i="7"/>
  <c r="BR10" i="7" s="1"/>
  <c r="BO85" i="7"/>
  <c r="BO116" i="7" s="1"/>
  <c r="BO140" i="7" s="1"/>
  <c r="BK83" i="7"/>
  <c r="BK553" i="7" s="1"/>
  <c r="BF85" i="7"/>
  <c r="BF164" i="7" s="1"/>
  <c r="BO554" i="7"/>
  <c r="BP553" i="7"/>
  <c r="BF553" i="7"/>
  <c r="DK348" i="7"/>
  <c r="DK203" i="8" s="1"/>
  <c r="BR316" i="7"/>
  <c r="BQ316" i="7" s="1"/>
  <c r="BW83" i="7"/>
  <c r="BE83" i="7"/>
  <c r="DS84" i="7"/>
  <c r="EB84" i="7"/>
  <c r="DJ316" i="7"/>
  <c r="BP316" i="7"/>
  <c r="BP317" i="7" s="1"/>
  <c r="BP560" i="7" s="1"/>
  <c r="BP562" i="7" s="1"/>
  <c r="BP85" i="7"/>
  <c r="BF554" i="7"/>
  <c r="DJ84" i="7"/>
  <c r="DD84" i="7"/>
  <c r="BE84" i="7"/>
  <c r="CA85" i="7"/>
  <c r="CA91" i="7" s="1"/>
  <c r="BA553" i="7"/>
  <c r="CJ316" i="7"/>
  <c r="CI316" i="7" s="1"/>
  <c r="DA84" i="7"/>
  <c r="BQ84" i="7"/>
  <c r="BB83" i="7"/>
  <c r="BI555" i="7"/>
  <c r="BR554" i="7"/>
  <c r="CE316" i="7"/>
  <c r="CE317" i="7" s="1"/>
  <c r="CX84" i="7"/>
  <c r="BY85" i="7"/>
  <c r="BY10" i="7" s="1"/>
  <c r="BR555" i="7"/>
  <c r="BI554" i="7"/>
  <c r="CF83" i="7"/>
  <c r="DM84" i="7"/>
  <c r="CB85" i="7"/>
  <c r="CB116" i="7" s="1"/>
  <c r="BC316" i="7"/>
  <c r="CQ85" i="7"/>
  <c r="CQ91" i="7" s="1"/>
  <c r="CN85" i="7"/>
  <c r="CN91" i="7" s="1"/>
  <c r="DT102" i="8"/>
  <c r="DN385" i="45"/>
  <c r="AT566" i="7"/>
  <c r="AL566" i="7"/>
  <c r="T566" i="7"/>
  <c r="CH562" i="7"/>
  <c r="EI460" i="7"/>
  <c r="EI490" i="7" s="1"/>
  <c r="CY460" i="7"/>
  <c r="CY490" i="7" s="1"/>
  <c r="BI460" i="7"/>
  <c r="BI490" i="7" s="1"/>
  <c r="EH460" i="7"/>
  <c r="EH490" i="7" s="1"/>
  <c r="EA460" i="7"/>
  <c r="EA490" i="7" s="1"/>
  <c r="DE460" i="7"/>
  <c r="DE490" i="7" s="1"/>
  <c r="G378" i="7"/>
  <c r="AQ444" i="7"/>
  <c r="AK444" i="7"/>
  <c r="AH444" i="7"/>
  <c r="AE444" i="7"/>
  <c r="Y444" i="7"/>
  <c r="S444" i="7"/>
  <c r="AN354" i="7"/>
  <c r="Y354" i="7"/>
  <c r="BI566" i="7"/>
  <c r="AO566" i="7"/>
  <c r="AI566" i="7"/>
  <c r="Y566" i="7"/>
  <c r="ED460" i="7"/>
  <c r="ED490" i="7" s="1"/>
  <c r="DL460" i="7"/>
  <c r="DL490" i="7" s="1"/>
  <c r="CB460" i="7"/>
  <c r="CB490" i="7" s="1"/>
  <c r="DZ460" i="7"/>
  <c r="DZ490" i="7" s="1"/>
  <c r="CE460" i="7"/>
  <c r="CE490" i="7" s="1"/>
  <c r="BY460" i="7"/>
  <c r="BY490" i="7" s="1"/>
  <c r="BQ460" i="7"/>
  <c r="BQ490" i="7" s="1"/>
  <c r="AO460" i="7"/>
  <c r="AO490" i="7" s="1"/>
  <c r="DQ460" i="7"/>
  <c r="DQ490" i="7" s="1"/>
  <c r="CG460" i="7"/>
  <c r="CG490" i="7" s="1"/>
  <c r="AW460" i="7"/>
  <c r="AW490" i="7" s="1"/>
  <c r="EO460" i="7"/>
  <c r="EO490" i="7" s="1"/>
  <c r="CR454" i="7"/>
  <c r="CR460" i="7" s="1"/>
  <c r="CR490" i="7" s="1"/>
  <c r="BW460" i="7"/>
  <c r="BW490" i="7" s="1"/>
  <c r="BP460" i="7"/>
  <c r="BP490" i="7" s="1"/>
  <c r="AU460" i="7"/>
  <c r="AU490" i="7" s="1"/>
  <c r="J222" i="7"/>
  <c r="J224" i="7" s="1"/>
  <c r="F224" i="7"/>
  <c r="DI402" i="7"/>
  <c r="DK402" i="7" s="1"/>
  <c r="DL402" i="7" s="1"/>
  <c r="DN402" i="7" s="1"/>
  <c r="DG402" i="7"/>
  <c r="Z203" i="8"/>
  <c r="AB348" i="7"/>
  <c r="AB203" i="8" s="1"/>
  <c r="CX460" i="7"/>
  <c r="CX490" i="7" s="1"/>
  <c r="CQ460" i="7"/>
  <c r="CQ490" i="7" s="1"/>
  <c r="BG460" i="7"/>
  <c r="BG490" i="7" s="1"/>
  <c r="E391" i="7"/>
  <c r="AW354" i="7"/>
  <c r="AO222" i="7"/>
  <c r="AO224" i="7" s="1"/>
  <c r="AP222" i="7" s="1"/>
  <c r="AM224" i="7"/>
  <c r="AQ222" i="7"/>
  <c r="AQ224" i="7" s="1"/>
  <c r="BD566" i="7"/>
  <c r="DF460" i="7"/>
  <c r="DF490" i="7" s="1"/>
  <c r="ER460" i="7"/>
  <c r="ER490" i="7" s="1"/>
  <c r="CP460" i="7"/>
  <c r="CP490" i="7" s="1"/>
  <c r="BM460" i="7"/>
  <c r="BM490" i="7" s="1"/>
  <c r="BE460" i="7"/>
  <c r="BE490" i="7" s="1"/>
  <c r="AX460" i="7"/>
  <c r="AX490" i="7" s="1"/>
  <c r="M354" i="7"/>
  <c r="AF203" i="8"/>
  <c r="AH348" i="7"/>
  <c r="AH203" i="8" s="1"/>
  <c r="AN460" i="7"/>
  <c r="AN490" i="7" s="1"/>
  <c r="BC354" i="7"/>
  <c r="S354" i="7"/>
  <c r="DB348" i="7"/>
  <c r="DB203" i="8" s="1"/>
  <c r="CJ348" i="7"/>
  <c r="CJ203" i="8" s="1"/>
  <c r="BR348" i="7"/>
  <c r="BR203" i="8" s="1"/>
  <c r="AE324" i="7"/>
  <c r="AD324" i="7" s="1"/>
  <c r="I307" i="7"/>
  <c r="Z299" i="7"/>
  <c r="AQ283" i="7"/>
  <c r="BF260" i="7"/>
  <c r="BE260" i="7" s="1"/>
  <c r="AJ253" i="7"/>
  <c r="AJ572" i="7" s="1"/>
  <c r="AC260" i="7"/>
  <c r="CV245" i="7"/>
  <c r="Y42" i="9" s="1"/>
  <c r="BL242" i="7"/>
  <c r="BK242" i="7" s="1"/>
  <c r="BE219" i="7"/>
  <c r="AM219" i="7"/>
  <c r="U219" i="7"/>
  <c r="BG220" i="7"/>
  <c r="X218" i="7"/>
  <c r="DA217" i="7"/>
  <c r="BQ217" i="7"/>
  <c r="AM205" i="7"/>
  <c r="U205" i="7"/>
  <c r="AS195" i="7"/>
  <c r="AJ195" i="7"/>
  <c r="AA195" i="7"/>
  <c r="R195" i="7"/>
  <c r="I195" i="7"/>
  <c r="AY192" i="7"/>
  <c r="CD293" i="7"/>
  <c r="CA293" i="7"/>
  <c r="CA86" i="8" s="1"/>
  <c r="BR185" i="7"/>
  <c r="BM185" i="7"/>
  <c r="BR184" i="7"/>
  <c r="BJ184" i="7"/>
  <c r="F179" i="7"/>
  <c r="CX145" i="7"/>
  <c r="AD117" i="7"/>
  <c r="G324" i="7"/>
  <c r="F324" i="7" s="1"/>
  <c r="BF317" i="7"/>
  <c r="CF316" i="7"/>
  <c r="G299" i="7"/>
  <c r="BE280" i="7"/>
  <c r="AG253" i="7"/>
  <c r="AG572" i="7" s="1"/>
  <c r="AN250" i="7"/>
  <c r="AN576" i="7" s="1"/>
  <c r="P250" i="7"/>
  <c r="R229" i="7"/>
  <c r="R141" i="8" s="1"/>
  <c r="BF220" i="7"/>
  <c r="BZ205" i="7"/>
  <c r="AR204" i="7"/>
  <c r="H204" i="7"/>
  <c r="H212" i="7" s="1"/>
  <c r="H211" i="7" s="1"/>
  <c r="BE192" i="7"/>
  <c r="AG192" i="7"/>
  <c r="O192" i="7"/>
  <c r="AI4" i="8"/>
  <c r="AI10" i="8" s="1"/>
  <c r="AJ73" i="7"/>
  <c r="AJ4" i="8" s="1"/>
  <c r="AJ10" i="8" s="1"/>
  <c r="E91" i="7"/>
  <c r="E5" i="8" s="1"/>
  <c r="E11" i="8" s="1"/>
  <c r="F86" i="7"/>
  <c r="AO317" i="7"/>
  <c r="AO560" i="7" s="1"/>
  <c r="AO562" i="7" s="1"/>
  <c r="BA299" i="7"/>
  <c r="X253" i="7"/>
  <c r="CL246" i="7"/>
  <c r="CL33" i="8" s="1"/>
  <c r="H242" i="7"/>
  <c r="DE222" i="7"/>
  <c r="DE224" i="7" s="1"/>
  <c r="DH222" i="7" s="1"/>
  <c r="DH224" i="7" s="1"/>
  <c r="J220" i="7"/>
  <c r="CI217" i="7"/>
  <c r="AC220" i="7"/>
  <c r="AV174" i="8"/>
  <c r="F205" i="7"/>
  <c r="AX204" i="7"/>
  <c r="AF204" i="7"/>
  <c r="AF212" i="7" s="1"/>
  <c r="AF211" i="7" s="1"/>
  <c r="N204" i="7"/>
  <c r="N212" i="7" s="1"/>
  <c r="N211" i="7" s="1"/>
  <c r="U192" i="7"/>
  <c r="BS184" i="7"/>
  <c r="AF91" i="7"/>
  <c r="AF5" i="8" s="1"/>
  <c r="AF11" i="8" s="1"/>
  <c r="AG86" i="7"/>
  <c r="AE354" i="7"/>
  <c r="CD348" i="7"/>
  <c r="CD203" i="8" s="1"/>
  <c r="AZ348" i="7"/>
  <c r="AZ203" i="8" s="1"/>
  <c r="P348" i="7"/>
  <c r="P203" i="8" s="1"/>
  <c r="DH317" i="7"/>
  <c r="BC283" i="7"/>
  <c r="BB283" i="7" s="1"/>
  <c r="AT283" i="7"/>
  <c r="AE283" i="7"/>
  <c r="AD283" i="7" s="1"/>
  <c r="H283" i="7"/>
  <c r="BB273" i="7"/>
  <c r="BR260" i="7"/>
  <c r="BQ260" i="7" s="1"/>
  <c r="BW246" i="7"/>
  <c r="BW33" i="8" s="1"/>
  <c r="BW36" i="8" s="1"/>
  <c r="BO242" i="7"/>
  <c r="BN242" i="7" s="1"/>
  <c r="AJ142" i="8"/>
  <c r="AA218" i="7"/>
  <c r="L218" i="7"/>
  <c r="CO217" i="7"/>
  <c r="BE217" i="7"/>
  <c r="R217" i="7"/>
  <c r="AV195" i="7"/>
  <c r="AD195" i="7"/>
  <c r="L195" i="7"/>
  <c r="AS192" i="7"/>
  <c r="BN188" i="7"/>
  <c r="BN218" i="7" s="1"/>
  <c r="BH188" i="7"/>
  <c r="AY188" i="7"/>
  <c r="AG188" i="7"/>
  <c r="BS185" i="7"/>
  <c r="BO185" i="7"/>
  <c r="BL185" i="7"/>
  <c r="CE184" i="7"/>
  <c r="AO184" i="7"/>
  <c r="DG145" i="7"/>
  <c r="CP317" i="7"/>
  <c r="N260" i="7"/>
  <c r="AW242" i="7"/>
  <c r="AV242" i="7" s="1"/>
  <c r="Q220" i="7"/>
  <c r="BC184" i="7"/>
  <c r="BB184" i="7" s="1"/>
  <c r="AN27" i="8"/>
  <c r="AN28" i="8" s="1"/>
  <c r="AM63" i="7"/>
  <c r="AM27" i="8" s="1"/>
  <c r="AN181" i="7"/>
  <c r="F118" i="7"/>
  <c r="L117" i="7"/>
  <c r="AU389" i="7"/>
  <c r="AG164" i="8"/>
  <c r="U164" i="8"/>
  <c r="K164" i="8"/>
  <c r="I164" i="8"/>
  <c r="L138" i="8"/>
  <c r="M102" i="8"/>
  <c r="F91" i="8"/>
  <c r="O73" i="8"/>
  <c r="DF70" i="8"/>
  <c r="CN70" i="8"/>
  <c r="BV70" i="8"/>
  <c r="AS24" i="8"/>
  <c r="AJ24" i="8"/>
  <c r="AA24" i="8"/>
  <c r="R24" i="8"/>
  <c r="I24" i="8"/>
  <c r="AA23" i="8"/>
  <c r="R23" i="8"/>
  <c r="DO572" i="7"/>
  <c r="AQ185" i="7"/>
  <c r="AZ324" i="7"/>
  <c r="AY324" i="7" s="1"/>
  <c r="AR288" i="8"/>
  <c r="AT190" i="8"/>
  <c r="AC190" i="8"/>
  <c r="M190" i="8"/>
  <c r="AI186" i="8"/>
  <c r="K186" i="8"/>
  <c r="H186" i="8"/>
  <c r="AK181" i="8"/>
  <c r="AC181" i="8"/>
  <c r="Z181" i="8"/>
  <c r="CP174" i="8"/>
  <c r="Y174" i="8"/>
  <c r="AX171" i="8"/>
  <c r="AM171" i="8"/>
  <c r="AJ171" i="8"/>
  <c r="X171" i="8"/>
  <c r="L171" i="8"/>
  <c r="BS45" i="8"/>
  <c r="AY40" i="8"/>
  <c r="CL145" i="7"/>
  <c r="CC145" i="7"/>
  <c r="AJ118" i="7"/>
  <c r="L118" i="7"/>
  <c r="AP117" i="7"/>
  <c r="R117" i="7"/>
  <c r="Q116" i="7"/>
  <c r="N116" i="7"/>
  <c r="F94" i="7"/>
  <c r="F75" i="7"/>
  <c r="AC181" i="7"/>
  <c r="AC183" i="7" s="1"/>
  <c r="AC186" i="7" s="1"/>
  <c r="U57" i="7"/>
  <c r="AP35" i="7"/>
  <c r="M42" i="7"/>
  <c r="AR42" i="7"/>
  <c r="AJ33" i="7"/>
  <c r="R33" i="7"/>
  <c r="AL324" i="7"/>
  <c r="AX116" i="7"/>
  <c r="AX140" i="7" s="1"/>
  <c r="AX144" i="7" s="1"/>
  <c r="AX147" i="7" s="1"/>
  <c r="AY143" i="7" s="1"/>
  <c r="T164" i="8"/>
  <c r="AP138" i="8"/>
  <c r="AA138" i="8"/>
  <c r="AQ102" i="8"/>
  <c r="AF102" i="8"/>
  <c r="AC102" i="8"/>
  <c r="R102" i="8"/>
  <c r="EQ79" i="8"/>
  <c r="EK79" i="8"/>
  <c r="EE79" i="8"/>
  <c r="DY79" i="8"/>
  <c r="DS79" i="8"/>
  <c r="DM79" i="8"/>
  <c r="DG79" i="8"/>
  <c r="DA79" i="8"/>
  <c r="CU79" i="8"/>
  <c r="CO79" i="8"/>
  <c r="CI79" i="8"/>
  <c r="CC79" i="8"/>
  <c r="BW79" i="8"/>
  <c r="BQ79" i="8"/>
  <c r="BK79" i="8"/>
  <c r="BE79" i="8"/>
  <c r="AY79" i="8"/>
  <c r="AS79" i="8"/>
  <c r="AM79" i="8"/>
  <c r="AG79" i="8"/>
  <c r="AA79" i="8"/>
  <c r="U79" i="8"/>
  <c r="O79" i="8"/>
  <c r="I79" i="8"/>
  <c r="CM46" i="8"/>
  <c r="CM49" i="8" s="1"/>
  <c r="CL49" i="8" s="1"/>
  <c r="AD145" i="7"/>
  <c r="AG57" i="7"/>
  <c r="R57" i="7"/>
  <c r="I57" i="7"/>
  <c r="AP34" i="7"/>
  <c r="BV324" i="7"/>
  <c r="AW324" i="7"/>
  <c r="AV324" i="7" s="1"/>
  <c r="AT285" i="8"/>
  <c r="AY220" i="8"/>
  <c r="AK190" i="8"/>
  <c r="AC186" i="8"/>
  <c r="Z186" i="8"/>
  <c r="T181" i="8"/>
  <c r="DB174" i="8"/>
  <c r="O174" i="8"/>
  <c r="AR171" i="8"/>
  <c r="AO171" i="8"/>
  <c r="AL171" i="8"/>
  <c r="AI171" i="8"/>
  <c r="AF171" i="8"/>
  <c r="W171" i="8"/>
  <c r="T171" i="8"/>
  <c r="K171" i="8"/>
  <c r="H171" i="8"/>
  <c r="AL164" i="8"/>
  <c r="AD164" i="8"/>
  <c r="Z164" i="8"/>
  <c r="X164" i="8"/>
  <c r="J164" i="8"/>
  <c r="H164" i="8"/>
  <c r="F164" i="8"/>
  <c r="X138" i="8"/>
  <c r="AT102" i="8"/>
  <c r="X102" i="8"/>
  <c r="V102" i="8"/>
  <c r="U91" i="8"/>
  <c r="CY45" i="8"/>
  <c r="CG45" i="8"/>
  <c r="BO45" i="8"/>
  <c r="F23" i="8"/>
  <c r="AY22" i="8"/>
  <c r="AP22" i="8"/>
  <c r="AG22" i="8"/>
  <c r="X22" i="8"/>
  <c r="O22" i="8"/>
  <c r="F22" i="8"/>
  <c r="F93" i="7"/>
  <c r="AA65" i="7"/>
  <c r="AD57" i="7"/>
  <c r="K42" i="7"/>
  <c r="AP33" i="7"/>
  <c r="X33" i="7"/>
  <c r="F33" i="7"/>
  <c r="CQ315" i="7"/>
  <c r="CQ560" i="7" s="1"/>
  <c r="CQ562" i="7" s="1"/>
  <c r="BM63" i="7"/>
  <c r="M131" i="8"/>
  <c r="AY73" i="8"/>
  <c r="CP70" i="8"/>
  <c r="BS70" i="8"/>
  <c r="BM70" i="8"/>
  <c r="BG70" i="8"/>
  <c r="BA70" i="8"/>
  <c r="AU70" i="8"/>
  <c r="AO70" i="8"/>
  <c r="AI70" i="8"/>
  <c r="AC70" i="8"/>
  <c r="W70" i="8"/>
  <c r="Q70" i="8"/>
  <c r="K70" i="8"/>
  <c r="AD23" i="8"/>
  <c r="BQ145" i="7"/>
  <c r="AA145" i="7"/>
  <c r="AG118" i="7"/>
  <c r="AM117" i="7"/>
  <c r="AA94" i="7"/>
  <c r="U65" i="7"/>
  <c r="CC35" i="7"/>
  <c r="BH33" i="7"/>
  <c r="DO252" i="7"/>
  <c r="BR324" i="7"/>
  <c r="BQ324" i="7" s="1"/>
  <c r="BP324" i="7"/>
  <c r="AX324" i="7"/>
  <c r="EQ9" i="7"/>
  <c r="EQ5" i="45" s="1"/>
  <c r="EQ330" i="45" s="1"/>
  <c r="DG9" i="7"/>
  <c r="DG5" i="45" s="1"/>
  <c r="DG4" i="45" s="1"/>
  <c r="AQ288" i="8"/>
  <c r="AE190" i="8"/>
  <c r="S190" i="8"/>
  <c r="N190" i="8"/>
  <c r="AU186" i="8"/>
  <c r="AR186" i="8"/>
  <c r="AL186" i="8"/>
  <c r="T186" i="8"/>
  <c r="Q186" i="8"/>
  <c r="W181" i="8"/>
  <c r="BA174" i="8"/>
  <c r="AC164" i="8"/>
  <c r="AM138" i="8"/>
  <c r="AD138" i="8"/>
  <c r="X137" i="8"/>
  <c r="AH102" i="8"/>
  <c r="N102" i="8"/>
  <c r="AP91" i="8"/>
  <c r="I91" i="8"/>
  <c r="BE22" i="8"/>
  <c r="AV22" i="8"/>
  <c r="AM22" i="8"/>
  <c r="DP425" i="45"/>
  <c r="DS425" i="45" s="1"/>
  <c r="DV425" i="45" s="1"/>
  <c r="DL426" i="45"/>
  <c r="EI235" i="45"/>
  <c r="EO235" i="45"/>
  <c r="EF235" i="45"/>
  <c r="EC235" i="45"/>
  <c r="ER235" i="45"/>
  <c r="DM211" i="45"/>
  <c r="DP211" i="45" s="1"/>
  <c r="DS211" i="45" s="1"/>
  <c r="DQ235" i="45"/>
  <c r="DZ235" i="45"/>
  <c r="DL204" i="45"/>
  <c r="DO204" i="45" s="1"/>
  <c r="DR204" i="45" s="1"/>
  <c r="DU204" i="45" s="1"/>
  <c r="DM230" i="45"/>
  <c r="DO230" i="45" s="1"/>
  <c r="DM204" i="45"/>
  <c r="DP204" i="45" s="1"/>
  <c r="DS204" i="45" s="1"/>
  <c r="DP424" i="45"/>
  <c r="DS424" i="45" s="1"/>
  <c r="DV424" i="45" s="1"/>
  <c r="AJ218" i="7"/>
  <c r="BH218" i="7"/>
  <c r="AP218" i="7"/>
  <c r="F218" i="7"/>
  <c r="AE220" i="7"/>
  <c r="CI188" i="7"/>
  <c r="CI215" i="7" s="1"/>
  <c r="R218" i="7"/>
  <c r="BL220" i="7"/>
  <c r="AH220" i="7"/>
  <c r="AD218" i="7"/>
  <c r="P220" i="7"/>
  <c r="AT354" i="7"/>
  <c r="AR355" i="7"/>
  <c r="J354" i="7"/>
  <c r="H355" i="7"/>
  <c r="V354" i="7"/>
  <c r="T355" i="7"/>
  <c r="Y556" i="7"/>
  <c r="BU566" i="7"/>
  <c r="BO566" i="7"/>
  <c r="BF566" i="7"/>
  <c r="AE566" i="7"/>
  <c r="K566" i="7"/>
  <c r="CK562" i="7"/>
  <c r="EJ460" i="7"/>
  <c r="EJ490" i="7" s="1"/>
  <c r="DR460" i="7"/>
  <c r="DR490" i="7" s="1"/>
  <c r="CZ460" i="7"/>
  <c r="CZ490" i="7" s="1"/>
  <c r="CH460" i="7"/>
  <c r="CH490" i="7" s="1"/>
  <c r="EF460" i="7"/>
  <c r="EF490" i="7" s="1"/>
  <c r="DP460" i="7"/>
  <c r="DP490" i="7" s="1"/>
  <c r="CV460" i="7"/>
  <c r="CV490" i="7" s="1"/>
  <c r="CF460" i="7"/>
  <c r="CF490" i="7" s="1"/>
  <c r="BT460" i="7"/>
  <c r="BT490" i="7" s="1"/>
  <c r="BN460" i="7"/>
  <c r="BN490" i="7" s="1"/>
  <c r="BH460" i="7"/>
  <c r="BH490" i="7" s="1"/>
  <c r="BB460" i="7"/>
  <c r="BB490" i="7" s="1"/>
  <c r="AV460" i="7"/>
  <c r="AV490" i="7" s="1"/>
  <c r="AP460" i="7"/>
  <c r="AP490" i="7" s="1"/>
  <c r="AK378" i="7"/>
  <c r="AN367" i="7" s="1"/>
  <c r="V444" i="7"/>
  <c r="AF355" i="7"/>
  <c r="DA354" i="7"/>
  <c r="CR354" i="7"/>
  <c r="CT355" i="7" s="1"/>
  <c r="CI354" i="7"/>
  <c r="CK355" i="7" s="1"/>
  <c r="BZ354" i="7"/>
  <c r="BQ354" i="7"/>
  <c r="BS355" i="7" s="1"/>
  <c r="BH354" i="7"/>
  <c r="BH355" i="7" s="1"/>
  <c r="CM317" i="7"/>
  <c r="CL317" i="7" s="1"/>
  <c r="AC317" i="7"/>
  <c r="AL317" i="7"/>
  <c r="AL560" i="7" s="1"/>
  <c r="AL562" i="7" s="1"/>
  <c r="T317" i="7"/>
  <c r="T560" i="7" s="1"/>
  <c r="T562" i="7" s="1"/>
  <c r="O307" i="7"/>
  <c r="AC299" i="7"/>
  <c r="V299" i="7"/>
  <c r="U299" i="7" s="1"/>
  <c r="BA283" i="7"/>
  <c r="Z115" i="8"/>
  <c r="R115" i="8"/>
  <c r="E283" i="7"/>
  <c r="BD260" i="7"/>
  <c r="H260" i="7"/>
  <c r="AT242" i="7"/>
  <c r="AS242" i="7" s="1"/>
  <c r="DI562" i="7"/>
  <c r="DW460" i="7"/>
  <c r="DW490" i="7" s="1"/>
  <c r="CM460" i="7"/>
  <c r="CM490" i="7" s="1"/>
  <c r="BU460" i="7"/>
  <c r="BU490" i="7" s="1"/>
  <c r="BC460" i="7"/>
  <c r="BC490" i="7" s="1"/>
  <c r="EL460" i="7"/>
  <c r="EL490" i="7" s="1"/>
  <c r="DB460" i="7"/>
  <c r="DB490" i="7" s="1"/>
  <c r="G444" i="7"/>
  <c r="AB354" i="7"/>
  <c r="DD316" i="7"/>
  <c r="AV316" i="7"/>
  <c r="AI317" i="7"/>
  <c r="AI560" i="7" s="1"/>
  <c r="AI562" i="7" s="1"/>
  <c r="U307" i="7"/>
  <c r="AI299" i="7"/>
  <c r="AB299" i="7"/>
  <c r="AA299" i="7" s="1"/>
  <c r="AM280" i="7"/>
  <c r="BH115" i="8"/>
  <c r="AP115" i="8"/>
  <c r="AF115" i="8"/>
  <c r="X115" i="8"/>
  <c r="J260" i="7"/>
  <c r="I260" i="7" s="1"/>
  <c r="BJ260" i="7"/>
  <c r="Z242" i="7"/>
  <c r="BM220" i="7"/>
  <c r="AY195" i="7"/>
  <c r="AG195" i="7"/>
  <c r="O195" i="7"/>
  <c r="AH299" i="7"/>
  <c r="AG299" i="7" s="1"/>
  <c r="AD115" i="8"/>
  <c r="AH283" i="7"/>
  <c r="AG283" i="7" s="1"/>
  <c r="AB283" i="7"/>
  <c r="AA283" i="7" s="1"/>
  <c r="V283" i="7"/>
  <c r="U283" i="7" s="1"/>
  <c r="P283" i="7"/>
  <c r="O283" i="7" s="1"/>
  <c r="J283" i="7"/>
  <c r="I283" i="7" s="1"/>
  <c r="AR260" i="7"/>
  <c r="AK220" i="7"/>
  <c r="AJ217" i="7"/>
  <c r="BR566" i="7"/>
  <c r="BA566" i="7"/>
  <c r="AQ566" i="7"/>
  <c r="Z566" i="7"/>
  <c r="P566" i="7"/>
  <c r="BY562" i="7"/>
  <c r="BD556" i="7"/>
  <c r="AK556" i="7"/>
  <c r="DN460" i="7"/>
  <c r="DN490" i="7" s="1"/>
  <c r="CD460" i="7"/>
  <c r="CD490" i="7" s="1"/>
  <c r="J444" i="7"/>
  <c r="AT444" i="7"/>
  <c r="P444" i="7"/>
  <c r="AK354" i="7"/>
  <c r="K317" i="7"/>
  <c r="K560" i="7" s="1"/>
  <c r="K562" i="7" s="1"/>
  <c r="AG307" i="7"/>
  <c r="BC299" i="7"/>
  <c r="K299" i="7"/>
  <c r="BT115" i="8"/>
  <c r="BB115" i="8"/>
  <c r="AJ115" i="8"/>
  <c r="H115" i="8"/>
  <c r="V250" i="7"/>
  <c r="V260" i="7" s="1"/>
  <c r="U260" i="7" s="1"/>
  <c r="M242" i="7"/>
  <c r="L242" i="7" s="1"/>
  <c r="AY239" i="7"/>
  <c r="AJ239" i="7"/>
  <c r="AK242" i="7"/>
  <c r="AJ242" i="7" s="1"/>
  <c r="AM195" i="7"/>
  <c r="U195" i="7"/>
  <c r="AF4" i="8"/>
  <c r="AF10" i="8" s="1"/>
  <c r="AF179" i="7"/>
  <c r="AB444" i="7"/>
  <c r="S378" i="7"/>
  <c r="V367" i="7" s="1"/>
  <c r="DE317" i="7"/>
  <c r="AR317" i="7"/>
  <c r="Z317" i="7"/>
  <c r="Z560" i="7" s="1"/>
  <c r="Z562" i="7" s="1"/>
  <c r="H317" i="7"/>
  <c r="AM307" i="7"/>
  <c r="Q299" i="7"/>
  <c r="J299" i="7"/>
  <c r="I299" i="7" s="1"/>
  <c r="Y283" i="7"/>
  <c r="N115" i="8"/>
  <c r="AH260" i="7"/>
  <c r="AG260" i="7" s="1"/>
  <c r="AX260" i="7"/>
  <c r="T260" i="7"/>
  <c r="DC562" i="7"/>
  <c r="CM562" i="7"/>
  <c r="CE562" i="7"/>
  <c r="BV460" i="7"/>
  <c r="BV490" i="7" s="1"/>
  <c r="BJ460" i="7"/>
  <c r="BJ490" i="7" s="1"/>
  <c r="BD460" i="7"/>
  <c r="BD490" i="7" s="1"/>
  <c r="AR460" i="7"/>
  <c r="AR490" i="7" s="1"/>
  <c r="M378" i="7"/>
  <c r="AN444" i="7"/>
  <c r="AL355" i="7"/>
  <c r="AQ354" i="7"/>
  <c r="DH348" i="7"/>
  <c r="DH203" i="8" s="1"/>
  <c r="CP348" i="7"/>
  <c r="CP203" i="8" s="1"/>
  <c r="BF348" i="7"/>
  <c r="BF203" i="8" s="1"/>
  <c r="AW348" i="7"/>
  <c r="AW203" i="8" s="1"/>
  <c r="AQ348" i="7"/>
  <c r="AQ203" i="8" s="1"/>
  <c r="AK348" i="7"/>
  <c r="AK203" i="8" s="1"/>
  <c r="AE348" i="7"/>
  <c r="AE203" i="8" s="1"/>
  <c r="Y348" i="7"/>
  <c r="Y203" i="8" s="1"/>
  <c r="S348" i="7"/>
  <c r="S203" i="8" s="1"/>
  <c r="M348" i="7"/>
  <c r="M203" i="8" s="1"/>
  <c r="G348" i="7"/>
  <c r="G203" i="8" s="1"/>
  <c r="W299" i="7"/>
  <c r="P299" i="7"/>
  <c r="O299" i="7" s="1"/>
  <c r="BI283" i="7"/>
  <c r="T115" i="8"/>
  <c r="CZ246" i="7"/>
  <c r="CX246" i="7"/>
  <c r="CX33" i="8" s="1"/>
  <c r="CB260" i="7"/>
  <c r="Z260" i="7"/>
  <c r="Z204" i="7"/>
  <c r="Z212" i="7" s="1"/>
  <c r="Z211" i="7" s="1"/>
  <c r="Y204" i="7"/>
  <c r="Y212" i="7" s="1"/>
  <c r="CO188" i="7"/>
  <c r="AV188" i="7"/>
  <c r="AV294" i="8" s="1"/>
  <c r="AM188" i="7"/>
  <c r="CD184" i="7"/>
  <c r="BM184" i="7"/>
  <c r="BC143" i="8"/>
  <c r="AS118" i="7"/>
  <c r="I118" i="7"/>
  <c r="O117" i="7"/>
  <c r="AR116" i="7"/>
  <c r="AR140" i="7" s="1"/>
  <c r="AR144" i="7" s="1"/>
  <c r="AR147" i="7" s="1"/>
  <c r="AS143" i="7" s="1"/>
  <c r="G116" i="7"/>
  <c r="G140" i="7" s="1"/>
  <c r="O94" i="7"/>
  <c r="AD93" i="7"/>
  <c r="CI82" i="7"/>
  <c r="BQ82" i="7"/>
  <c r="AY132" i="8"/>
  <c r="AY133" i="8" s="1"/>
  <c r="AY135" i="8" s="1"/>
  <c r="AD75" i="7"/>
  <c r="AC42" i="7"/>
  <c r="AM35" i="7"/>
  <c r="AM555" i="7" s="1"/>
  <c r="AN34" i="7"/>
  <c r="AN42" i="7" s="1"/>
  <c r="AW378" i="7"/>
  <c r="E260" i="7"/>
  <c r="BP260" i="7"/>
  <c r="AF260" i="7"/>
  <c r="BR242" i="7"/>
  <c r="BQ242" i="7" s="1"/>
  <c r="BC242" i="7"/>
  <c r="BB242" i="7" s="1"/>
  <c r="CA242" i="7"/>
  <c r="CA564" i="7" s="1"/>
  <c r="AI220" i="7"/>
  <c r="AY219" i="7"/>
  <c r="AG219" i="7"/>
  <c r="O219" i="7"/>
  <c r="BO220" i="7"/>
  <c r="BI220" i="7"/>
  <c r="AA217" i="7"/>
  <c r="G220" i="7"/>
  <c r="AS174" i="8"/>
  <c r="BK205" i="7"/>
  <c r="AY205" i="7"/>
  <c r="AG205" i="7"/>
  <c r="O205" i="7"/>
  <c r="AV198" i="7"/>
  <c r="AD198" i="7"/>
  <c r="L198" i="7"/>
  <c r="AE204" i="7"/>
  <c r="AE212" i="7" s="1"/>
  <c r="I188" i="7"/>
  <c r="BP185" i="7"/>
  <c r="CJ265" i="7"/>
  <c r="U145" i="7"/>
  <c r="X75" i="7"/>
  <c r="BL55" i="7"/>
  <c r="BL56" i="7" s="1"/>
  <c r="S42" i="7"/>
  <c r="AW26" i="8"/>
  <c r="AV57" i="7"/>
  <c r="AV26" i="8" s="1"/>
  <c r="AN179" i="7"/>
  <c r="CE260" i="7"/>
  <c r="BV260" i="7"/>
  <c r="AL260" i="7"/>
  <c r="BI242" i="7"/>
  <c r="BH242" i="7" s="1"/>
  <c r="Y242" i="7"/>
  <c r="X242" i="7" s="1"/>
  <c r="G242" i="7"/>
  <c r="F242" i="7" s="1"/>
  <c r="CH242" i="7"/>
  <c r="CH564" i="7" s="1"/>
  <c r="H222" i="7"/>
  <c r="H224" i="7" s="1"/>
  <c r="I222" i="7" s="1"/>
  <c r="BN219" i="7"/>
  <c r="AV219" i="7"/>
  <c r="AD219" i="7"/>
  <c r="L219" i="7"/>
  <c r="AG217" i="7"/>
  <c r="M220" i="7"/>
  <c r="BH210" i="7"/>
  <c r="DA174" i="8"/>
  <c r="AV205" i="7"/>
  <c r="AD205" i="7"/>
  <c r="L205" i="7"/>
  <c r="AS198" i="7"/>
  <c r="AA198" i="7"/>
  <c r="I198" i="7"/>
  <c r="AK204" i="7"/>
  <c r="AK212" i="7" s="1"/>
  <c r="BK190" i="7"/>
  <c r="O188" i="7"/>
  <c r="BG184" i="7"/>
  <c r="BH184" i="7" s="1"/>
  <c r="BC141" i="8"/>
  <c r="CR315" i="7"/>
  <c r="CR560" i="7" s="1"/>
  <c r="CR562" i="7" s="1"/>
  <c r="CP378" i="7"/>
  <c r="AR115" i="8"/>
  <c r="AR324" i="7"/>
  <c r="DJ376" i="7"/>
  <c r="DJ378" i="7" s="1"/>
  <c r="E242" i="7"/>
  <c r="K220" i="7"/>
  <c r="S220" i="7"/>
  <c r="AM174" i="8"/>
  <c r="AZ204" i="7"/>
  <c r="AQ204" i="7"/>
  <c r="G204" i="7"/>
  <c r="G212" i="7" s="1"/>
  <c r="U188" i="7"/>
  <c r="BG185" i="7"/>
  <c r="BH185" i="7" s="1"/>
  <c r="BU184" i="7"/>
  <c r="BP184" i="7"/>
  <c r="L179" i="7"/>
  <c r="R145" i="7"/>
  <c r="AO116" i="7"/>
  <c r="AO140" i="7" s="1"/>
  <c r="L93" i="7"/>
  <c r="AY35" i="7"/>
  <c r="AY555" i="7" s="1"/>
  <c r="V34" i="7"/>
  <c r="V42" i="7" s="1"/>
  <c r="U35" i="7"/>
  <c r="U555" i="7" s="1"/>
  <c r="L34" i="7"/>
  <c r="AS31" i="7"/>
  <c r="AV31" i="7"/>
  <c r="BJ324" i="7"/>
  <c r="BC324" i="7"/>
  <c r="BB324" i="7" s="1"/>
  <c r="BT219" i="7"/>
  <c r="BB219" i="7"/>
  <c r="AJ219" i="7"/>
  <c r="R219" i="7"/>
  <c r="AY218" i="7"/>
  <c r="AW220" i="7"/>
  <c r="AD217" i="7"/>
  <c r="Y220" i="7"/>
  <c r="I217" i="7"/>
  <c r="CI174" i="8"/>
  <c r="AJ205" i="7"/>
  <c r="R205" i="7"/>
  <c r="AG198" i="7"/>
  <c r="O198" i="7"/>
  <c r="AW204" i="7"/>
  <c r="AW212" i="7" s="1"/>
  <c r="M204" i="7"/>
  <c r="M212" i="7" s="1"/>
  <c r="AA188" i="7"/>
  <c r="BV184" i="7"/>
  <c r="BL184" i="7"/>
  <c r="R93" i="7"/>
  <c r="BW82" i="7"/>
  <c r="BB125" i="8"/>
  <c r="CD179" i="8"/>
  <c r="CD286" i="7"/>
  <c r="CI389" i="7"/>
  <c r="CI378" i="7"/>
  <c r="CL218" i="7"/>
  <c r="AV218" i="7"/>
  <c r="O217" i="7"/>
  <c r="BN174" i="8"/>
  <c r="DJ188" i="7"/>
  <c r="AM118" i="7"/>
  <c r="AS117" i="7"/>
  <c r="I117" i="7"/>
  <c r="AA57" i="7"/>
  <c r="AE42" i="7"/>
  <c r="AD34" i="7"/>
  <c r="AU26" i="8"/>
  <c r="AT63" i="7"/>
  <c r="AS65" i="7"/>
  <c r="CD370" i="7"/>
  <c r="EO2" i="8"/>
  <c r="EO220" i="8" s="1"/>
  <c r="EO285" i="8" s="1"/>
  <c r="EO9" i="7"/>
  <c r="EO5" i="45" s="1"/>
  <c r="EO330" i="45" s="1"/>
  <c r="EO451" i="7"/>
  <c r="EO29" i="7"/>
  <c r="EI2" i="8"/>
  <c r="EI13" i="8" s="1"/>
  <c r="EI451" i="7"/>
  <c r="EI9" i="7"/>
  <c r="EI5" i="45" s="1"/>
  <c r="EI330" i="45" s="1"/>
  <c r="EI29" i="7"/>
  <c r="EC2" i="8"/>
  <c r="EC220" i="8" s="1"/>
  <c r="EC285" i="8" s="1"/>
  <c r="EC451" i="7"/>
  <c r="EC9" i="7"/>
  <c r="EC5" i="45" s="1"/>
  <c r="EC330" i="45" s="1"/>
  <c r="EC29" i="7"/>
  <c r="DW2" i="8"/>
  <c r="DW9" i="7"/>
  <c r="DW5" i="45" s="1"/>
  <c r="DW451" i="7"/>
  <c r="DQ9" i="7"/>
  <c r="DQ5" i="45" s="1"/>
  <c r="DQ330" i="45" s="1"/>
  <c r="DQ451" i="7"/>
  <c r="DQ29" i="7"/>
  <c r="DK9" i="7"/>
  <c r="DK5" i="45" s="1"/>
  <c r="DK29" i="7"/>
  <c r="DE9" i="7"/>
  <c r="DE5" i="45" s="1"/>
  <c r="DE4" i="45" s="1"/>
  <c r="DE29" i="7"/>
  <c r="CY9" i="7"/>
  <c r="CY5" i="45" s="1"/>
  <c r="CY4" i="45" s="1"/>
  <c r="CY29" i="7"/>
  <c r="CS9" i="7"/>
  <c r="CS5" i="45" s="1"/>
  <c r="CS4" i="45" s="1"/>
  <c r="CS29" i="7"/>
  <c r="CM2" i="8"/>
  <c r="CM220" i="8" s="1"/>
  <c r="CM285" i="8" s="1"/>
  <c r="CM9" i="7"/>
  <c r="CM5" i="45" s="1"/>
  <c r="CM4" i="45" s="1"/>
  <c r="CM29" i="7"/>
  <c r="CG2" i="8"/>
  <c r="CG220" i="8" s="1"/>
  <c r="CG285" i="8" s="1"/>
  <c r="CG9" i="7"/>
  <c r="CG5" i="45" s="1"/>
  <c r="CG4" i="45" s="1"/>
  <c r="CG29" i="7"/>
  <c r="CA2" i="8"/>
  <c r="CA220" i="8" s="1"/>
  <c r="CA285" i="8" s="1"/>
  <c r="CA9" i="7"/>
  <c r="CA5" i="45" s="1"/>
  <c r="CA4" i="45" s="1"/>
  <c r="CA29" i="7"/>
  <c r="BU2" i="8"/>
  <c r="BU220" i="8" s="1"/>
  <c r="BU285" i="8" s="1"/>
  <c r="BU9" i="7"/>
  <c r="BU5" i="45" s="1"/>
  <c r="BU4" i="45" s="1"/>
  <c r="BU29" i="7"/>
  <c r="BO2" i="8"/>
  <c r="BO220" i="8" s="1"/>
  <c r="BO9" i="7"/>
  <c r="BO5" i="45" s="1"/>
  <c r="BO4" i="45" s="1"/>
  <c r="BO29" i="7"/>
  <c r="BI2" i="8"/>
  <c r="BI220" i="8" s="1"/>
  <c r="BI9" i="7"/>
  <c r="BI5" i="45" s="1"/>
  <c r="BI4" i="45" s="1"/>
  <c r="BI29" i="7"/>
  <c r="BC2" i="8"/>
  <c r="BC220" i="8" s="1"/>
  <c r="BC9" i="7"/>
  <c r="BC5" i="45" s="1"/>
  <c r="BC4" i="45" s="1"/>
  <c r="BC29" i="7"/>
  <c r="AW2" i="8"/>
  <c r="AW220" i="8" s="1"/>
  <c r="AW9" i="7"/>
  <c r="AW5" i="45" s="1"/>
  <c r="AW4" i="45" s="1"/>
  <c r="AW29" i="7"/>
  <c r="AQ2" i="8"/>
  <c r="AQ220" i="8" s="1"/>
  <c r="AQ9" i="7"/>
  <c r="AQ5" i="45" s="1"/>
  <c r="AQ4" i="45" s="1"/>
  <c r="AQ29" i="7"/>
  <c r="BP70" i="8"/>
  <c r="BQ70" i="8"/>
  <c r="BJ70" i="8"/>
  <c r="BK70" i="8"/>
  <c r="BD70" i="8"/>
  <c r="BE70" i="8"/>
  <c r="AX70" i="8"/>
  <c r="AY70" i="8"/>
  <c r="AR70" i="8"/>
  <c r="AS70" i="8"/>
  <c r="AL70" i="8"/>
  <c r="AM70" i="8"/>
  <c r="AF70" i="8"/>
  <c r="AG70" i="8"/>
  <c r="Z70" i="8"/>
  <c r="AA70" i="8"/>
  <c r="T70" i="8"/>
  <c r="U70" i="8"/>
  <c r="N70" i="8"/>
  <c r="O70" i="8"/>
  <c r="H70" i="8"/>
  <c r="I70" i="8"/>
  <c r="W42" i="7"/>
  <c r="AY31" i="7"/>
  <c r="AQ24" i="7"/>
  <c r="CG286" i="7"/>
  <c r="AI69" i="7"/>
  <c r="AI61" i="7" s="1"/>
  <c r="AI55" i="7" s="1"/>
  <c r="AZ116" i="7"/>
  <c r="CS378" i="7"/>
  <c r="CV367" i="7" s="1"/>
  <c r="CV378" i="7" s="1"/>
  <c r="CW367" i="7" s="1"/>
  <c r="DJ9" i="7"/>
  <c r="DJ5" i="45" s="1"/>
  <c r="CX9" i="7"/>
  <c r="CX5" i="45" s="1"/>
  <c r="CX4" i="45" s="1"/>
  <c r="BC288" i="8"/>
  <c r="BB285" i="8"/>
  <c r="AS220" i="8"/>
  <c r="AN185" i="7"/>
  <c r="BM115" i="8"/>
  <c r="BM116" i="8" s="1"/>
  <c r="BM18" i="8" s="1"/>
  <c r="BX266" i="7"/>
  <c r="BF115" i="8"/>
  <c r="BF116" i="8" s="1"/>
  <c r="BF18" i="8" s="1"/>
  <c r="BU391" i="7"/>
  <c r="AC91" i="7"/>
  <c r="AC11" i="7" s="1"/>
  <c r="AI91" i="7"/>
  <c r="AI10" i="7" s="1"/>
  <c r="Z91" i="7"/>
  <c r="Z11" i="7" s="1"/>
  <c r="Q91" i="7"/>
  <c r="Q11" i="7" s="1"/>
  <c r="H91" i="7"/>
  <c r="H5" i="8" s="1"/>
  <c r="H11" i="8" s="1"/>
  <c r="DO9" i="7"/>
  <c r="DO5" i="45" s="1"/>
  <c r="DO330" i="45" s="1"/>
  <c r="DI9" i="7"/>
  <c r="DI5" i="45" s="1"/>
  <c r="CQ9" i="7"/>
  <c r="CQ5" i="45" s="1"/>
  <c r="CQ4" i="45" s="1"/>
  <c r="O65" i="7"/>
  <c r="AO42" i="7"/>
  <c r="L35" i="7"/>
  <c r="AY33" i="7"/>
  <c r="AG33" i="7"/>
  <c r="O33" i="7"/>
  <c r="AP31" i="7"/>
  <c r="AZ24" i="7"/>
  <c r="AT184" i="7"/>
  <c r="CE324" i="7"/>
  <c r="BX286" i="7"/>
  <c r="BV115" i="8"/>
  <c r="BS324" i="7"/>
  <c r="BI69" i="7"/>
  <c r="BG69" i="7"/>
  <c r="AU324" i="7"/>
  <c r="AB91" i="7"/>
  <c r="AB5" i="8" s="1"/>
  <c r="AB11" i="8" s="1"/>
  <c r="CW85" i="7"/>
  <c r="EK9" i="7"/>
  <c r="EK5" i="45" s="1"/>
  <c r="EK330" i="45" s="1"/>
  <c r="DY9" i="7"/>
  <c r="DY5" i="45" s="1"/>
  <c r="DY330" i="45" s="1"/>
  <c r="DM9" i="7"/>
  <c r="DM5" i="45" s="1"/>
  <c r="DM330" i="45" s="1"/>
  <c r="DA9" i="7"/>
  <c r="DA5" i="45" s="1"/>
  <c r="DA4" i="45" s="1"/>
  <c r="CO9" i="7"/>
  <c r="CO5" i="45" s="1"/>
  <c r="CO4" i="45" s="1"/>
  <c r="CC9" i="7"/>
  <c r="CC5" i="45" s="1"/>
  <c r="CC4" i="45" s="1"/>
  <c r="BQ9" i="7"/>
  <c r="BQ5" i="45" s="1"/>
  <c r="BQ4" i="45" s="1"/>
  <c r="BE9" i="7"/>
  <c r="BE5" i="45" s="1"/>
  <c r="BE4" i="45" s="1"/>
  <c r="AS9" i="7"/>
  <c r="AS5" i="45" s="1"/>
  <c r="AS4" i="45" s="1"/>
  <c r="AT288" i="8"/>
  <c r="AV287" i="8"/>
  <c r="AM287" i="8"/>
  <c r="BN285" i="8"/>
  <c r="AV285" i="8"/>
  <c r="BK220" i="8"/>
  <c r="AF190" i="8"/>
  <c r="X182" i="8"/>
  <c r="X181" i="8" s="1"/>
  <c r="Y181" i="8"/>
  <c r="CE69" i="7"/>
  <c r="CD266" i="7"/>
  <c r="BX378" i="7"/>
  <c r="T91" i="7"/>
  <c r="T11" i="7" s="1"/>
  <c r="BE220" i="8"/>
  <c r="BE285" i="8"/>
  <c r="AM220" i="8"/>
  <c r="AM285" i="8"/>
  <c r="AU288" i="8"/>
  <c r="Q42" i="7"/>
  <c r="AM33" i="7"/>
  <c r="U33" i="7"/>
  <c r="CV315" i="7"/>
  <c r="Y56" i="9" s="1"/>
  <c r="F11" i="9"/>
  <c r="CB324" i="7"/>
  <c r="BA324" i="7"/>
  <c r="BS404" i="7"/>
  <c r="BT404" i="7" s="1"/>
  <c r="AT91" i="7"/>
  <c r="AT163" i="7" s="1"/>
  <c r="S91" i="7"/>
  <c r="S5" i="8" s="1"/>
  <c r="S11" i="8" s="1"/>
  <c r="AJ85" i="7"/>
  <c r="AJ11" i="7" s="1"/>
  <c r="ER9" i="7"/>
  <c r="ER5" i="45" s="1"/>
  <c r="ER330" i="45" s="1"/>
  <c r="EF9" i="7"/>
  <c r="EF5" i="45" s="1"/>
  <c r="EF330" i="45" s="1"/>
  <c r="DT5" i="45"/>
  <c r="DT330" i="45" s="1"/>
  <c r="DH9" i="7"/>
  <c r="DH5" i="45" s="1"/>
  <c r="DH4" i="45" s="1"/>
  <c r="CV9" i="7"/>
  <c r="CV5" i="45" s="1"/>
  <c r="CV4" i="45" s="1"/>
  <c r="CJ9" i="7"/>
  <c r="CJ5" i="45" s="1"/>
  <c r="CJ4" i="45" s="1"/>
  <c r="BX9" i="7"/>
  <c r="BX5" i="45" s="1"/>
  <c r="BX4" i="45" s="1"/>
  <c r="BL9" i="7"/>
  <c r="BL5" i="45" s="1"/>
  <c r="BL4" i="45" s="1"/>
  <c r="AZ9" i="7"/>
  <c r="AZ5" i="45" s="1"/>
  <c r="AZ4" i="45" s="1"/>
  <c r="AN9" i="7"/>
  <c r="AN5" i="45" s="1"/>
  <c r="AN4" i="45" s="1"/>
  <c r="DR9" i="7"/>
  <c r="DR5" i="45" s="1"/>
  <c r="DR330" i="45" s="1"/>
  <c r="DL9" i="7"/>
  <c r="DL5" i="45" s="1"/>
  <c r="DL330" i="45" s="1"/>
  <c r="DF9" i="7"/>
  <c r="DF5" i="45" s="1"/>
  <c r="DF4" i="45" s="1"/>
  <c r="CZ9" i="7"/>
  <c r="CZ5" i="45" s="1"/>
  <c r="CZ4" i="45" s="1"/>
  <c r="CT9" i="7"/>
  <c r="CT5" i="45" s="1"/>
  <c r="CT4" i="45" s="1"/>
  <c r="BH285" i="8"/>
  <c r="AP285" i="8"/>
  <c r="AD183" i="8"/>
  <c r="AD181" i="8" s="1"/>
  <c r="AE181" i="8"/>
  <c r="O137" i="8"/>
  <c r="AX288" i="8"/>
  <c r="AZ190" i="8"/>
  <c r="AR190" i="8"/>
  <c r="AH190" i="8"/>
  <c r="Z190" i="8"/>
  <c r="P190" i="8"/>
  <c r="H190" i="8"/>
  <c r="AV181" i="8"/>
  <c r="AF181" i="8"/>
  <c r="U181" i="8"/>
  <c r="L181" i="8"/>
  <c r="DK174" i="8"/>
  <c r="AU174" i="8"/>
  <c r="AQ174" i="8"/>
  <c r="AI174" i="8"/>
  <c r="AC174" i="8"/>
  <c r="L174" i="8"/>
  <c r="I174" i="8"/>
  <c r="F174" i="8"/>
  <c r="AW171" i="8"/>
  <c r="AA171" i="8"/>
  <c r="S171" i="8"/>
  <c r="N171" i="8"/>
  <c r="AB164" i="8"/>
  <c r="S164" i="8"/>
  <c r="Q164" i="8"/>
  <c r="AG138" i="8"/>
  <c r="L91" i="8"/>
  <c r="BR45" i="8"/>
  <c r="BR37" i="8"/>
  <c r="AA181" i="8"/>
  <c r="CY174" i="8"/>
  <c r="AK174" i="8"/>
  <c r="AT164" i="8"/>
  <c r="AN164" i="8"/>
  <c r="AI164" i="8"/>
  <c r="O164" i="8"/>
  <c r="AW131" i="8"/>
  <c r="EO79" i="8"/>
  <c r="EP79" i="8"/>
  <c r="EI79" i="8"/>
  <c r="EJ79" i="8"/>
  <c r="EC79" i="8"/>
  <c r="ED79" i="8"/>
  <c r="DQ79" i="8"/>
  <c r="DR79" i="8"/>
  <c r="DK79" i="8"/>
  <c r="DL79" i="8"/>
  <c r="DE79" i="8"/>
  <c r="DF79" i="8"/>
  <c r="CY79" i="8"/>
  <c r="CZ79" i="8"/>
  <c r="CS79" i="8"/>
  <c r="CT79" i="8"/>
  <c r="CM79" i="8"/>
  <c r="CN79" i="8"/>
  <c r="CG79" i="8"/>
  <c r="CH79" i="8"/>
  <c r="CA79" i="8"/>
  <c r="CB79" i="8"/>
  <c r="BU79" i="8"/>
  <c r="BV79" i="8"/>
  <c r="BO79" i="8"/>
  <c r="BP79" i="8"/>
  <c r="BI79" i="8"/>
  <c r="BJ79" i="8"/>
  <c r="BC79" i="8"/>
  <c r="BD79" i="8"/>
  <c r="AW79" i="8"/>
  <c r="AX79" i="8"/>
  <c r="AQ79" i="8"/>
  <c r="AR79" i="8"/>
  <c r="AK79" i="8"/>
  <c r="AL79" i="8"/>
  <c r="AE79" i="8"/>
  <c r="AF79" i="8"/>
  <c r="Y79" i="8"/>
  <c r="Z79" i="8"/>
  <c r="S79" i="8"/>
  <c r="T79" i="8"/>
  <c r="M79" i="8"/>
  <c r="N79" i="8"/>
  <c r="X23" i="8"/>
  <c r="AJ13" i="8"/>
  <c r="AS287" i="8"/>
  <c r="AZ197" i="8"/>
  <c r="AQ190" i="8"/>
  <c r="AI190" i="8"/>
  <c r="Y190" i="8"/>
  <c r="Q190" i="8"/>
  <c r="G190" i="8"/>
  <c r="AX181" i="8"/>
  <c r="AQ181" i="8"/>
  <c r="AM181" i="8"/>
  <c r="N181" i="8"/>
  <c r="G181" i="8"/>
  <c r="CJ174" i="8"/>
  <c r="AW174" i="8"/>
  <c r="S174" i="8"/>
  <c r="P174" i="8"/>
  <c r="M174" i="8"/>
  <c r="AQ171" i="8"/>
  <c r="AK171" i="8"/>
  <c r="AE171" i="8"/>
  <c r="Z171" i="8"/>
  <c r="O171" i="8"/>
  <c r="G171" i="8"/>
  <c r="AA164" i="8"/>
  <c r="N164" i="8"/>
  <c r="G164" i="8"/>
  <c r="E164" i="8"/>
  <c r="BF158" i="8"/>
  <c r="AY138" i="8"/>
  <c r="O138" i="8"/>
  <c r="L137" i="8"/>
  <c r="AE131" i="8"/>
  <c r="EL79" i="8"/>
  <c r="DZ79" i="8"/>
  <c r="DN79" i="8"/>
  <c r="DB79" i="8"/>
  <c r="CP79" i="8"/>
  <c r="CD79" i="8"/>
  <c r="BR79" i="8"/>
  <c r="BF79" i="8"/>
  <c r="AT79" i="8"/>
  <c r="AH79" i="8"/>
  <c r="V79" i="8"/>
  <c r="J79" i="8"/>
  <c r="AG73" i="8"/>
  <c r="AD20" i="8"/>
  <c r="AD13" i="8"/>
  <c r="X20" i="8"/>
  <c r="X13" i="8"/>
  <c r="L20" i="8"/>
  <c r="L13" i="8"/>
  <c r="F20" i="8"/>
  <c r="F13" i="8"/>
  <c r="AW181" i="8"/>
  <c r="AS181" i="8"/>
  <c r="M181" i="8"/>
  <c r="I181" i="8"/>
  <c r="DF174" i="8"/>
  <c r="AF164" i="8"/>
  <c r="Y164" i="8"/>
  <c r="W164" i="8"/>
  <c r="L164" i="8"/>
  <c r="R137" i="8"/>
  <c r="S131" i="8"/>
  <c r="BH127" i="8"/>
  <c r="BH123" i="8" s="1"/>
  <c r="DB45" i="8"/>
  <c r="AS186" i="8"/>
  <c r="AJ186" i="8"/>
  <c r="AA186" i="8"/>
  <c r="R186" i="8"/>
  <c r="I186" i="8"/>
  <c r="CZ46" i="8"/>
  <c r="CZ49" i="8" s="1"/>
  <c r="CY46" i="8"/>
  <c r="CY49" i="8" s="1"/>
  <c r="CX49" i="8" s="1"/>
  <c r="CQ46" i="8"/>
  <c r="CQ49" i="8" s="1"/>
  <c r="CS46" i="8"/>
  <c r="CS49" i="8" s="1"/>
  <c r="CR49" i="8" s="1"/>
  <c r="BY46" i="8"/>
  <c r="BY49" i="8" s="1"/>
  <c r="CA46" i="8"/>
  <c r="CA49" i="8" s="1"/>
  <c r="BZ49" i="8" s="1"/>
  <c r="BP46" i="8"/>
  <c r="BP49" i="8" s="1"/>
  <c r="BO46" i="8"/>
  <c r="BO49" i="8" s="1"/>
  <c r="BN49" i="8" s="1"/>
  <c r="BG46" i="8"/>
  <c r="BG49" i="8" s="1"/>
  <c r="BI46" i="8"/>
  <c r="BI49" i="8" s="1"/>
  <c r="BH49" i="8" s="1"/>
  <c r="CS45" i="8"/>
  <c r="CV45" i="8"/>
  <c r="CA45" i="8"/>
  <c r="CD45" i="8"/>
  <c r="BI45" i="8"/>
  <c r="BL45" i="8"/>
  <c r="BL37" i="8"/>
  <c r="BO37" i="8"/>
  <c r="AZ37" i="8"/>
  <c r="BC37" i="8"/>
  <c r="AT37" i="8"/>
  <c r="AU37" i="8"/>
  <c r="AN37" i="8"/>
  <c r="AO37" i="8"/>
  <c r="AV104" i="8"/>
  <c r="AV102" i="8" s="1"/>
  <c r="AM91" i="8"/>
  <c r="AV82" i="8"/>
  <c r="AM82" i="8"/>
  <c r="AD82" i="8"/>
  <c r="U82" i="8"/>
  <c r="L82" i="8"/>
  <c r="AD73" i="8"/>
  <c r="CW70" i="8"/>
  <c r="CE70" i="8"/>
  <c r="BJ64" i="8"/>
  <c r="CG46" i="8"/>
  <c r="CG49" i="8" s="1"/>
  <c r="CF49" i="8" s="1"/>
  <c r="BQ37" i="8"/>
  <c r="BK37" i="8"/>
  <c r="BE37" i="8"/>
  <c r="U23" i="8"/>
  <c r="AB102" i="8"/>
  <c r="P102" i="8"/>
  <c r="AZ17" i="8"/>
  <c r="AA102" i="8"/>
  <c r="AY91" i="8"/>
  <c r="O91" i="8"/>
  <c r="AS82" i="8"/>
  <c r="AJ82" i="8"/>
  <c r="AA82" i="8"/>
  <c r="R82" i="8"/>
  <c r="I82" i="8"/>
  <c r="AP73" i="8"/>
  <c r="F73" i="8"/>
  <c r="BL70" i="8"/>
  <c r="AT70" i="8"/>
  <c r="DC70" i="8"/>
  <c r="CK70" i="8"/>
  <c r="DE46" i="8"/>
  <c r="DE49" i="8" s="1"/>
  <c r="DD49" i="8" s="1"/>
  <c r="BU46" i="8"/>
  <c r="BU49" i="8" s="1"/>
  <c r="BT49" i="8" s="1"/>
  <c r="AG23" i="8"/>
  <c r="AG104" i="8"/>
  <c r="AG102" i="8" s="1"/>
  <c r="U104" i="8"/>
  <c r="U102" i="8" s="1"/>
  <c r="I104" i="8"/>
  <c r="I102" i="8" s="1"/>
  <c r="AV73" i="8"/>
  <c r="L73" i="8"/>
  <c r="AJ64" i="8"/>
  <c r="AA64" i="8"/>
  <c r="R64" i="8"/>
  <c r="I64" i="8"/>
  <c r="AV55" i="8"/>
  <c r="AM55" i="8"/>
  <c r="AD55" i="8"/>
  <c r="U55" i="8"/>
  <c r="L55" i="8"/>
  <c r="DE45" i="8"/>
  <c r="CM45" i="8"/>
  <c r="BU45" i="8"/>
  <c r="AM40" i="8"/>
  <c r="AV24" i="8"/>
  <c r="AM24" i="8"/>
  <c r="AD24" i="8"/>
  <c r="U24" i="8"/>
  <c r="L24" i="8"/>
  <c r="AM23" i="8"/>
  <c r="AD22" i="8"/>
  <c r="U22" i="8"/>
  <c r="L22" i="8"/>
  <c r="AY104" i="8"/>
  <c r="AY102" i="8" s="1"/>
  <c r="AY82" i="8"/>
  <c r="AP82" i="8"/>
  <c r="AG82" i="8"/>
  <c r="X82" i="8"/>
  <c r="O82" i="8"/>
  <c r="F82" i="8"/>
  <c r="R73" i="8"/>
  <c r="BY70" i="8"/>
  <c r="AS40" i="8"/>
  <c r="BS37" i="8"/>
  <c r="BM37" i="8"/>
  <c r="BG37" i="8"/>
  <c r="AS23" i="8"/>
  <c r="I23" i="8"/>
  <c r="BM104" i="8"/>
  <c r="BM17" i="8" s="1"/>
  <c r="CU233" i="7"/>
  <c r="DF354" i="7"/>
  <c r="DG355" i="7" s="1"/>
  <c r="CN354" i="7"/>
  <c r="BV354" i="7"/>
  <c r="DG316" i="7"/>
  <c r="CQ316" i="7"/>
  <c r="DG257" i="7"/>
  <c r="CX240" i="7"/>
  <c r="CF240" i="7"/>
  <c r="CT354" i="7"/>
  <c r="CB354" i="7"/>
  <c r="BJ354" i="7"/>
  <c r="BJ355" i="7" s="1"/>
  <c r="DE256" i="7"/>
  <c r="DD256" i="7" s="1"/>
  <c r="CJ256" i="7"/>
  <c r="CI256" i="7" s="1"/>
  <c r="CY245" i="7"/>
  <c r="Z42" i="9" s="1"/>
  <c r="CU240" i="7"/>
  <c r="CN280" i="7"/>
  <c r="CV348" i="7"/>
  <c r="CV203" i="8" s="1"/>
  <c r="BL348" i="7"/>
  <c r="BL203" i="8" s="1"/>
  <c r="DL316" i="7"/>
  <c r="CR257" i="7"/>
  <c r="BE205" i="7"/>
  <c r="CG242" i="7"/>
  <c r="CG564" i="7" s="1"/>
  <c r="DE39" i="7"/>
  <c r="DD39" i="7" s="1"/>
  <c r="CX36" i="7"/>
  <c r="CX207" i="7"/>
  <c r="DI205" i="7"/>
  <c r="CT205" i="7"/>
  <c r="CT444" i="7" s="1"/>
  <c r="CQ205" i="7"/>
  <c r="DD202" i="7"/>
  <c r="DD168" i="8" s="1"/>
  <c r="CL202" i="7"/>
  <c r="CL168" i="8" s="1"/>
  <c r="BT202" i="7"/>
  <c r="BT168" i="8" s="1"/>
  <c r="CT198" i="7"/>
  <c r="CN198" i="7"/>
  <c r="CG198" i="7"/>
  <c r="BY198" i="7"/>
  <c r="BS198" i="7"/>
  <c r="BF198" i="7"/>
  <c r="BC198" i="7"/>
  <c r="DG194" i="7"/>
  <c r="DG159" i="8" s="1"/>
  <c r="DY36" i="7"/>
  <c r="DK39" i="7"/>
  <c r="DJ39" i="7" s="1"/>
  <c r="DI40" i="7"/>
  <c r="CW40" i="7"/>
  <c r="CN40" i="7"/>
  <c r="CG40" i="7"/>
  <c r="BN37" i="7"/>
  <c r="BK38" i="7"/>
  <c r="BD40" i="7"/>
  <c r="BD34" i="7" s="1"/>
  <c r="BD42" i="7" s="1"/>
  <c r="DM351" i="7"/>
  <c r="BB22" i="7"/>
  <c r="EL205" i="7"/>
  <c r="EG195" i="7"/>
  <c r="EE60" i="7"/>
  <c r="EA205" i="7"/>
  <c r="DU195" i="7"/>
  <c r="DV195" i="7" s="1"/>
  <c r="CO248" i="7"/>
  <c r="CO576" i="7" s="1"/>
  <c r="BL375" i="7"/>
  <c r="DH198" i="7"/>
  <c r="DD201" i="7"/>
  <c r="DD167" i="8" s="1"/>
  <c r="BH199" i="7"/>
  <c r="BH165" i="8" s="1"/>
  <c r="DD37" i="7"/>
  <c r="BT38" i="7"/>
  <c r="EJ198" i="7"/>
  <c r="DR198" i="7"/>
  <c r="BT210" i="7"/>
  <c r="BT176" i="8" s="1"/>
  <c r="BW207" i="7"/>
  <c r="BR205" i="7"/>
  <c r="DJ202" i="7"/>
  <c r="DJ168" i="8" s="1"/>
  <c r="CR202" i="7"/>
  <c r="CR168" i="8" s="1"/>
  <c r="BZ202" i="7"/>
  <c r="BZ168" i="8" s="1"/>
  <c r="CC199" i="7"/>
  <c r="CC165" i="8" s="1"/>
  <c r="BT200" i="7"/>
  <c r="BT166" i="8" s="1"/>
  <c r="EB37" i="7"/>
  <c r="DS36" i="7"/>
  <c r="DM38" i="7"/>
  <c r="CV39" i="7"/>
  <c r="CU39" i="7" s="1"/>
  <c r="CI39" i="7"/>
  <c r="BY40" i="7"/>
  <c r="BQ39" i="7"/>
  <c r="AZ34" i="7"/>
  <c r="AY34" i="7" s="1"/>
  <c r="EP195" i="7"/>
  <c r="EN60" i="7"/>
  <c r="EJ205" i="7"/>
  <c r="EI195" i="7"/>
  <c r="EC198" i="7"/>
  <c r="DR205" i="7"/>
  <c r="DQ198" i="7"/>
  <c r="DJ248" i="7"/>
  <c r="DJ576" i="7" s="1"/>
  <c r="CX248" i="7"/>
  <c r="BD104" i="8"/>
  <c r="BD17" i="8" s="1"/>
  <c r="BE102" i="8"/>
  <c r="CK198" i="7"/>
  <c r="DY38" i="7"/>
  <c r="DC40" i="7"/>
  <c r="CD40" i="7"/>
  <c r="CC36" i="7"/>
  <c r="BN36" i="7"/>
  <c r="BI341" i="7"/>
  <c r="BB210" i="7"/>
  <c r="BS174" i="8"/>
  <c r="DD207" i="7"/>
  <c r="CS205" i="7"/>
  <c r="CO207" i="7"/>
  <c r="CJ205" i="7"/>
  <c r="BK207" i="7"/>
  <c r="CX202" i="7"/>
  <c r="CX168" i="8" s="1"/>
  <c r="CF202" i="7"/>
  <c r="CF168" i="8" s="1"/>
  <c r="DF198" i="7"/>
  <c r="DB198" i="7"/>
  <c r="BZ199" i="7"/>
  <c r="BZ165" i="8" s="1"/>
  <c r="BB201" i="7"/>
  <c r="BB167" i="8" s="1"/>
  <c r="CO194" i="7"/>
  <c r="CO159" i="8" s="1"/>
  <c r="BW194" i="7"/>
  <c r="BW159" i="8" s="1"/>
  <c r="EK37" i="7"/>
  <c r="CU37" i="7"/>
  <c r="ER195" i="7"/>
  <c r="EL198" i="7"/>
  <c r="EK64" i="7"/>
  <c r="EC205" i="7"/>
  <c r="DT205" i="7"/>
  <c r="DQ205" i="7"/>
  <c r="DO205" i="7"/>
  <c r="DO195" i="7"/>
  <c r="DL205" i="7"/>
  <c r="DL444" i="7" s="1"/>
  <c r="DG248" i="7"/>
  <c r="DG576" i="7" s="1"/>
  <c r="DC57" i="7"/>
  <c r="CW57" i="7"/>
  <c r="BF65" i="7"/>
  <c r="CZ136" i="8"/>
  <c r="CV85" i="7"/>
  <c r="CV10" i="7" s="1"/>
  <c r="BS85" i="7"/>
  <c r="BJ85" i="7"/>
  <c r="BJ10" i="7" s="1"/>
  <c r="BC85" i="7"/>
  <c r="EH186" i="8"/>
  <c r="DP186" i="8"/>
  <c r="CX186" i="8"/>
  <c r="CF186" i="8"/>
  <c r="BN186" i="8"/>
  <c r="DY181" i="8"/>
  <c r="DP181" i="8"/>
  <c r="CU181" i="8"/>
  <c r="CL181" i="8"/>
  <c r="BB182" i="8"/>
  <c r="BB181" i="8" s="1"/>
  <c r="AG181" i="8"/>
  <c r="BN123" i="8"/>
  <c r="O102" i="8"/>
  <c r="BC64" i="8"/>
  <c r="BO65" i="7"/>
  <c r="BG65" i="7"/>
  <c r="EH190" i="8"/>
  <c r="CF190" i="8"/>
  <c r="EN186" i="8"/>
  <c r="DD186" i="8"/>
  <c r="CL186" i="8"/>
  <c r="BT186" i="8"/>
  <c r="BB186" i="8"/>
  <c r="EB181" i="8"/>
  <c r="CO181" i="8"/>
  <c r="BT181" i="8"/>
  <c r="BF57" i="7"/>
  <c r="BF155" i="8" s="1"/>
  <c r="BD65" i="7"/>
  <c r="BD63" i="7" s="1"/>
  <c r="BA65" i="7"/>
  <c r="DE85" i="7"/>
  <c r="CJ85" i="7"/>
  <c r="BV85" i="7"/>
  <c r="BV10" i="7" s="1"/>
  <c r="EK190" i="8"/>
  <c r="DY190" i="8"/>
  <c r="CR190" i="8"/>
  <c r="CI190" i="8"/>
  <c r="BW190" i="8"/>
  <c r="EQ186" i="8"/>
  <c r="DY186" i="8"/>
  <c r="DG186" i="8"/>
  <c r="CO186" i="8"/>
  <c r="BW186" i="8"/>
  <c r="BE186" i="8"/>
  <c r="AY186" i="8"/>
  <c r="AP186" i="8"/>
  <c r="AG186" i="8"/>
  <c r="X186" i="8"/>
  <c r="O186" i="8"/>
  <c r="F186" i="8"/>
  <c r="EN181" i="8"/>
  <c r="DJ181" i="8"/>
  <c r="AY181" i="8"/>
  <c r="AP181" i="8"/>
  <c r="O181" i="8"/>
  <c r="F181" i="8"/>
  <c r="CT85" i="7"/>
  <c r="DC85" i="7"/>
  <c r="DC10" i="7" s="1"/>
  <c r="CH85" i="7"/>
  <c r="CH10" i="7" s="1"/>
  <c r="BU85" i="7"/>
  <c r="BU10" i="7" s="1"/>
  <c r="BM85" i="7"/>
  <c r="BM116" i="7" s="1"/>
  <c r="EB190" i="8"/>
  <c r="DS190" i="8"/>
  <c r="DG190" i="8"/>
  <c r="BZ190" i="8"/>
  <c r="BQ190" i="8"/>
  <c r="BE190" i="8"/>
  <c r="EE186" i="8"/>
  <c r="DM186" i="8"/>
  <c r="CU186" i="8"/>
  <c r="CC186" i="8"/>
  <c r="BK186" i="8"/>
  <c r="EQ181" i="8"/>
  <c r="DM181" i="8"/>
  <c r="DD181" i="8"/>
  <c r="CZ17" i="8"/>
  <c r="CN104" i="8"/>
  <c r="CN76" i="7" s="1"/>
  <c r="CL245" i="7"/>
  <c r="CL568" i="7" s="1"/>
  <c r="CM568" i="7"/>
  <c r="CF245" i="7"/>
  <c r="CF568" i="7" s="1"/>
  <c r="CG568" i="7"/>
  <c r="BS65" i="7"/>
  <c r="BT66" i="7"/>
  <c r="BX568" i="7"/>
  <c r="BW245" i="7"/>
  <c r="BW568" i="7" s="1"/>
  <c r="BR33" i="7"/>
  <c r="BU30" i="7"/>
  <c r="BU184" i="8" s="1"/>
  <c r="BT184" i="8" s="1"/>
  <c r="CF246" i="7"/>
  <c r="CF33" i="8" s="1"/>
  <c r="CF36" i="8" s="1"/>
  <c r="CD245" i="7"/>
  <c r="CC245" i="7" s="1"/>
  <c r="CC568" i="7" s="1"/>
  <c r="BZ246" i="7"/>
  <c r="BZ33" i="8" s="1"/>
  <c r="BZ36" i="8" s="1"/>
  <c r="BT166" i="7"/>
  <c r="BU33" i="7"/>
  <c r="BN28" i="8"/>
  <c r="BS58" i="7"/>
  <c r="BT58" i="7" s="1"/>
  <c r="BP65" i="7"/>
  <c r="AZ354" i="7"/>
  <c r="P354" i="7"/>
  <c r="AA315" i="7"/>
  <c r="AB317" i="7"/>
  <c r="L315" i="7"/>
  <c r="M317" i="7"/>
  <c r="AO260" i="7"/>
  <c r="AO576" i="7"/>
  <c r="AD572" i="7"/>
  <c r="U572" i="7"/>
  <c r="DE568" i="7"/>
  <c r="DD245" i="7"/>
  <c r="DD568" i="7" s="1"/>
  <c r="CP568" i="7"/>
  <c r="CO245" i="7"/>
  <c r="CO568" i="7" s="1"/>
  <c r="CV152" i="8"/>
  <c r="CU188" i="7"/>
  <c r="CV218" i="7"/>
  <c r="BW263" i="7"/>
  <c r="BY184" i="7"/>
  <c r="BK460" i="7"/>
  <c r="BK490" i="7" s="1"/>
  <c r="AS460" i="7"/>
  <c r="AS490" i="7" s="1"/>
  <c r="DF445" i="7"/>
  <c r="DG445" i="7" s="1"/>
  <c r="DH445" i="7" s="1"/>
  <c r="L389" i="7"/>
  <c r="L378" i="7"/>
  <c r="AG315" i="7"/>
  <c r="AH317" i="7"/>
  <c r="AG317" i="7" s="1"/>
  <c r="AG560" i="7" s="1"/>
  <c r="AG562" i="7" s="1"/>
  <c r="R315" i="7"/>
  <c r="S317" i="7"/>
  <c r="R317" i="7" s="1"/>
  <c r="R560" i="7" s="1"/>
  <c r="R562" i="7" s="1"/>
  <c r="CT568" i="7"/>
  <c r="CI245" i="7"/>
  <c r="CI568" i="7" s="1"/>
  <c r="CJ568" i="7"/>
  <c r="EN460" i="7"/>
  <c r="EN490" i="7" s="1"/>
  <c r="DD460" i="7"/>
  <c r="DD490" i="7" s="1"/>
  <c r="CZ445" i="7"/>
  <c r="DA445" i="7" s="1"/>
  <c r="AM315" i="7"/>
  <c r="AN317" i="7"/>
  <c r="X315" i="7"/>
  <c r="Y317" i="7"/>
  <c r="AM572" i="7"/>
  <c r="CH568" i="7"/>
  <c r="DC218" i="7"/>
  <c r="DJ460" i="7"/>
  <c r="DJ490" i="7" s="1"/>
  <c r="P392" i="7"/>
  <c r="O392" i="7" s="1"/>
  <c r="N392" i="7" s="1"/>
  <c r="R378" i="7"/>
  <c r="R389" i="7"/>
  <c r="I378" i="7"/>
  <c r="I389" i="7"/>
  <c r="AD315" i="7"/>
  <c r="AE317" i="7"/>
  <c r="I315" i="7"/>
  <c r="J317" i="7"/>
  <c r="I317" i="7" s="1"/>
  <c r="BE224" i="7"/>
  <c r="BI222" i="7"/>
  <c r="BI224" i="7" s="1"/>
  <c r="BG222" i="7"/>
  <c r="BG224" i="7" s="1"/>
  <c r="BH222" i="7" s="1"/>
  <c r="CN445" i="7"/>
  <c r="CO445" i="7" s="1"/>
  <c r="CP445" i="7" s="1"/>
  <c r="AJ315" i="7"/>
  <c r="AK317" i="7"/>
  <c r="O315" i="7"/>
  <c r="P317" i="7"/>
  <c r="W260" i="7"/>
  <c r="W576" i="7"/>
  <c r="CG260" i="7"/>
  <c r="CF260" i="7" s="1"/>
  <c r="CA260" i="7"/>
  <c r="BZ260" i="7" s="1"/>
  <c r="CL224" i="7"/>
  <c r="CP222" i="7"/>
  <c r="CP224" i="7" s="1"/>
  <c r="CN222" i="7"/>
  <c r="CN224" i="7" s="1"/>
  <c r="CO222" i="7" s="1"/>
  <c r="BN192" i="7"/>
  <c r="X179" i="7"/>
  <c r="DV460" i="7"/>
  <c r="DV490" i="7" s="1"/>
  <c r="CL460" i="7"/>
  <c r="CL490" i="7" s="1"/>
  <c r="O378" i="7"/>
  <c r="O389" i="7"/>
  <c r="F378" i="7"/>
  <c r="F389" i="7"/>
  <c r="AP315" i="7"/>
  <c r="AQ317" i="7"/>
  <c r="U315" i="7"/>
  <c r="V317" i="7"/>
  <c r="U317" i="7" s="1"/>
  <c r="U560" i="7" s="1"/>
  <c r="U562" i="7" s="1"/>
  <c r="F315" i="7"/>
  <c r="G317" i="7"/>
  <c r="F317" i="7" s="1"/>
  <c r="AJ250" i="7"/>
  <c r="AJ576" i="7" s="1"/>
  <c r="AK576" i="7"/>
  <c r="K576" i="7"/>
  <c r="K260" i="7"/>
  <c r="EQ454" i="7"/>
  <c r="EQ460" i="7" s="1"/>
  <c r="EQ490" i="7" s="1"/>
  <c r="EK454" i="7"/>
  <c r="EK460" i="7" s="1"/>
  <c r="EK490" i="7" s="1"/>
  <c r="EE454" i="7"/>
  <c r="EE460" i="7" s="1"/>
  <c r="EE490" i="7" s="1"/>
  <c r="DY454" i="7"/>
  <c r="DY460" i="7" s="1"/>
  <c r="DY490" i="7" s="1"/>
  <c r="DS454" i="7"/>
  <c r="DS460" i="7" s="1"/>
  <c r="DS490" i="7" s="1"/>
  <c r="DM454" i="7"/>
  <c r="DM460" i="7" s="1"/>
  <c r="DM490" i="7" s="1"/>
  <c r="DG454" i="7"/>
  <c r="DG460" i="7" s="1"/>
  <c r="DG490" i="7" s="1"/>
  <c r="DA454" i="7"/>
  <c r="DA460" i="7" s="1"/>
  <c r="DA490" i="7" s="1"/>
  <c r="CU454" i="7"/>
  <c r="CU460" i="7" s="1"/>
  <c r="CU490" i="7" s="1"/>
  <c r="CO454" i="7"/>
  <c r="CO460" i="7" s="1"/>
  <c r="CO490" i="7" s="1"/>
  <c r="CI454" i="7"/>
  <c r="CI460" i="7" s="1"/>
  <c r="CI490" i="7" s="1"/>
  <c r="CC454" i="7"/>
  <c r="CC460" i="7" s="1"/>
  <c r="CC490" i="7" s="1"/>
  <c r="AP404" i="7"/>
  <c r="BA355" i="7"/>
  <c r="AU355" i="7"/>
  <c r="AO355" i="7"/>
  <c r="AI355" i="7"/>
  <c r="AC355" i="7"/>
  <c r="W355" i="7"/>
  <c r="Q355" i="7"/>
  <c r="K355" i="7"/>
  <c r="DE348" i="7"/>
  <c r="DE203" i="8" s="1"/>
  <c r="CY348" i="7"/>
  <c r="CY203" i="8" s="1"/>
  <c r="CS348" i="7"/>
  <c r="CS203" i="8" s="1"/>
  <c r="CM348" i="7"/>
  <c r="CM203" i="8" s="1"/>
  <c r="CG348" i="7"/>
  <c r="CG203" i="8" s="1"/>
  <c r="CA348" i="7"/>
  <c r="CA203" i="8" s="1"/>
  <c r="BU348" i="7"/>
  <c r="BU203" i="8" s="1"/>
  <c r="BO348" i="7"/>
  <c r="BO203" i="8" s="1"/>
  <c r="CS316" i="7"/>
  <c r="X57" i="9" s="1"/>
  <c r="AP307" i="7"/>
  <c r="AJ307" i="7"/>
  <c r="AD307" i="7"/>
  <c r="X307" i="7"/>
  <c r="R307" i="7"/>
  <c r="L307" i="7"/>
  <c r="F307" i="7"/>
  <c r="AG286" i="7"/>
  <c r="AG115" i="8" s="1"/>
  <c r="AA286" i="7"/>
  <c r="AA115" i="8" s="1"/>
  <c r="U286" i="7"/>
  <c r="U115" i="8" s="1"/>
  <c r="O286" i="7"/>
  <c r="O115" i="8" s="1"/>
  <c r="I286" i="7"/>
  <c r="I115" i="8" s="1"/>
  <c r="CC285" i="7"/>
  <c r="CY280" i="7"/>
  <c r="CX280" i="7" s="1"/>
  <c r="BK115" i="8"/>
  <c r="AS115" i="8"/>
  <c r="AH115" i="8"/>
  <c r="AB115" i="8"/>
  <c r="V115" i="8"/>
  <c r="P115" i="8"/>
  <c r="J115" i="8"/>
  <c r="AG143" i="8"/>
  <c r="AA143" i="8"/>
  <c r="U143" i="8"/>
  <c r="O143" i="8"/>
  <c r="I143" i="8"/>
  <c r="CV256" i="7"/>
  <c r="CU256" i="7" s="1"/>
  <c r="BX256" i="7"/>
  <c r="BQ256" i="7"/>
  <c r="BK256" i="7"/>
  <c r="BE256" i="7"/>
  <c r="AY256" i="7"/>
  <c r="AS256" i="7"/>
  <c r="AA256" i="7"/>
  <c r="I256" i="7"/>
  <c r="AG250" i="7"/>
  <c r="AG576" i="7" s="1"/>
  <c r="AE250" i="7"/>
  <c r="AE260" i="7" s="1"/>
  <c r="AD260" i="7" s="1"/>
  <c r="M250" i="7"/>
  <c r="M260" i="7" s="1"/>
  <c r="L260" i="7" s="1"/>
  <c r="CX42" i="8"/>
  <c r="CX45" i="8" s="1"/>
  <c r="CX44" i="8"/>
  <c r="CX46" i="8" s="1"/>
  <c r="CF42" i="8"/>
  <c r="CF45" i="8" s="1"/>
  <c r="CF44" i="8"/>
  <c r="CF46" i="8" s="1"/>
  <c r="BN42" i="8"/>
  <c r="BN45" i="8" s="1"/>
  <c r="BN44" i="8"/>
  <c r="BN46" i="8" s="1"/>
  <c r="DL246" i="7"/>
  <c r="DI42" i="8"/>
  <c r="DI44" i="8"/>
  <c r="DF42" i="8"/>
  <c r="DF45" i="8" s="1"/>
  <c r="DF44" i="8"/>
  <c r="DF46" i="8" s="1"/>
  <c r="DF49" i="8" s="1"/>
  <c r="DA245" i="7"/>
  <c r="DA568" i="7" s="1"/>
  <c r="CY33" i="8"/>
  <c r="CX35" i="8"/>
  <c r="CY35" i="8"/>
  <c r="CQ35" i="8"/>
  <c r="CQ33" i="8"/>
  <c r="CR36" i="8" s="1"/>
  <c r="CG33" i="8"/>
  <c r="CF35" i="8"/>
  <c r="CF37" i="8" s="1"/>
  <c r="CG35" i="8"/>
  <c r="BZ245" i="7"/>
  <c r="BZ568" i="7" s="1"/>
  <c r="BX35" i="8"/>
  <c r="BX33" i="8"/>
  <c r="BW35" i="8"/>
  <c r="BW37" i="8" s="1"/>
  <c r="CI244" i="7"/>
  <c r="CD242" i="7"/>
  <c r="AH242" i="7"/>
  <c r="AB242" i="7"/>
  <c r="V242" i="7"/>
  <c r="P242" i="7"/>
  <c r="J242" i="7"/>
  <c r="BZ239" i="7"/>
  <c r="BD146" i="8"/>
  <c r="BD142" i="8" s="1"/>
  <c r="AG142" i="8"/>
  <c r="AA142" i="8"/>
  <c r="O142" i="8"/>
  <c r="I142" i="8"/>
  <c r="CX233" i="7"/>
  <c r="CR233" i="7"/>
  <c r="CR576" i="7" s="1"/>
  <c r="CL233" i="7"/>
  <c r="CL576" i="7" s="1"/>
  <c r="CF233" i="7"/>
  <c r="CF576" i="7" s="1"/>
  <c r="DH103" i="8"/>
  <c r="DG103" i="8"/>
  <c r="DG104" i="8" s="1"/>
  <c r="DH104" i="8" s="1"/>
  <c r="DH76" i="7" s="1"/>
  <c r="CP103" i="8"/>
  <c r="CO103" i="8"/>
  <c r="CO104" i="8" s="1"/>
  <c r="BX103" i="8"/>
  <c r="BX102" i="8" s="1"/>
  <c r="BW103" i="8"/>
  <c r="BE103" i="8"/>
  <c r="BF103" i="8"/>
  <c r="BF104" i="8" s="1"/>
  <c r="BF17" i="8" s="1"/>
  <c r="CI224" i="7"/>
  <c r="BB224" i="7"/>
  <c r="BD222" i="7"/>
  <c r="BD224" i="7" s="1"/>
  <c r="BE222" i="7" s="1"/>
  <c r="CP218" i="7"/>
  <c r="CK215" i="7"/>
  <c r="BQ210" i="7"/>
  <c r="BQ176" i="8" s="1"/>
  <c r="CS175" i="8"/>
  <c r="CS174" i="8" s="1"/>
  <c r="BT209" i="7"/>
  <c r="DA206" i="7"/>
  <c r="AY171" i="8"/>
  <c r="DE205" i="7"/>
  <c r="BV205" i="7"/>
  <c r="BW205" i="7" s="1"/>
  <c r="AU204" i="7"/>
  <c r="AO204" i="7"/>
  <c r="AI204" i="7"/>
  <c r="AI212" i="7" s="1"/>
  <c r="AI211" i="7" s="1"/>
  <c r="AC204" i="7"/>
  <c r="AC212" i="7" s="1"/>
  <c r="AC211" i="7" s="1"/>
  <c r="W204" i="7"/>
  <c r="W212" i="7" s="1"/>
  <c r="W211" i="7" s="1"/>
  <c r="Q204" i="7"/>
  <c r="Q212" i="7" s="1"/>
  <c r="Q211" i="7" s="1"/>
  <c r="K204" i="7"/>
  <c r="K212" i="7" s="1"/>
  <c r="K211" i="7" s="1"/>
  <c r="E204" i="7"/>
  <c r="E212" i="7" s="1"/>
  <c r="E211" i="7" s="1"/>
  <c r="CB198" i="7"/>
  <c r="BK196" i="7"/>
  <c r="BK161" i="8" s="1"/>
  <c r="BB159" i="8"/>
  <c r="AV192" i="7"/>
  <c r="AP192" i="7"/>
  <c r="AJ192" i="7"/>
  <c r="AD192" i="7"/>
  <c r="X192" i="7"/>
  <c r="R192" i="7"/>
  <c r="L192" i="7"/>
  <c r="F192" i="7"/>
  <c r="BB156" i="8"/>
  <c r="CU190" i="7"/>
  <c r="BB189" i="7"/>
  <c r="DE188" i="7"/>
  <c r="CZ152" i="8"/>
  <c r="BG155" i="8"/>
  <c r="BG294" i="8"/>
  <c r="AP188" i="7"/>
  <c r="AJ188" i="7"/>
  <c r="AD188" i="7"/>
  <c r="X188" i="7"/>
  <c r="R188" i="7"/>
  <c r="L188" i="7"/>
  <c r="F188" i="7"/>
  <c r="BN86" i="8"/>
  <c r="BN88" i="8" s="1"/>
  <c r="BO86" i="8"/>
  <c r="BI86" i="8"/>
  <c r="BO141" i="8"/>
  <c r="BF146" i="8"/>
  <c r="BF142" i="8" s="1"/>
  <c r="BD141" i="8"/>
  <c r="BF141" i="8"/>
  <c r="CU182" i="7"/>
  <c r="AJ179" i="7"/>
  <c r="DD145" i="7"/>
  <c r="U94" i="7"/>
  <c r="CC82" i="7"/>
  <c r="CR37" i="7"/>
  <c r="BY39" i="7"/>
  <c r="BZ191" i="7"/>
  <c r="BZ156" i="8" s="1"/>
  <c r="BQ37" i="7"/>
  <c r="AU34" i="7"/>
  <c r="AU42" i="7" s="1"/>
  <c r="AV35" i="7"/>
  <c r="AV555" i="7" s="1"/>
  <c r="AG34" i="7"/>
  <c r="AH42" i="7"/>
  <c r="AX42" i="7"/>
  <c r="AF42" i="7"/>
  <c r="N42" i="7"/>
  <c r="DI274" i="7"/>
  <c r="BC151" i="8"/>
  <c r="BC215" i="8" s="1"/>
  <c r="BB215" i="8" s="1"/>
  <c r="BB86" i="8"/>
  <c r="BB88" i="8" s="1"/>
  <c r="BC86" i="8"/>
  <c r="CU42" i="8"/>
  <c r="CU45" i="8" s="1"/>
  <c r="CU44" i="8"/>
  <c r="CU46" i="8" s="1"/>
  <c r="CC42" i="8"/>
  <c r="CC45" i="8" s="1"/>
  <c r="CC44" i="8"/>
  <c r="CC46" i="8" s="1"/>
  <c r="BK42" i="8"/>
  <c r="BK45" i="8" s="1"/>
  <c r="BK44" i="8"/>
  <c r="BK46" i="8" s="1"/>
  <c r="DI35" i="8"/>
  <c r="DI33" i="8"/>
  <c r="CT33" i="8"/>
  <c r="CU36" i="8" s="1"/>
  <c r="CT35" i="8"/>
  <c r="CJ35" i="8"/>
  <c r="CJ33" i="8"/>
  <c r="CI35" i="8"/>
  <c r="AK141" i="8"/>
  <c r="AI141" i="8"/>
  <c r="AE141" i="8"/>
  <c r="AC141" i="8"/>
  <c r="Y141" i="8"/>
  <c r="W141" i="8"/>
  <c r="S141" i="8"/>
  <c r="Q141" i="8"/>
  <c r="M141" i="8"/>
  <c r="K141" i="8"/>
  <c r="DE103" i="8"/>
  <c r="DD103" i="8"/>
  <c r="DD104" i="8" s="1"/>
  <c r="DE104" i="8" s="1"/>
  <c r="DE76" i="7" s="1"/>
  <c r="CM103" i="8"/>
  <c r="CL103" i="8"/>
  <c r="CL104" i="8" s="1"/>
  <c r="CM104" i="8" s="1"/>
  <c r="CM76" i="7" s="1"/>
  <c r="BU103" i="8"/>
  <c r="BT103" i="8"/>
  <c r="BB103" i="8"/>
  <c r="BB104" i="8" s="1"/>
  <c r="BC103" i="8"/>
  <c r="CO174" i="8"/>
  <c r="AV171" i="8"/>
  <c r="CL188" i="7"/>
  <c r="BK86" i="8"/>
  <c r="BK88" i="8" s="1"/>
  <c r="BL86" i="8"/>
  <c r="BJ143" i="8"/>
  <c r="BG141" i="8"/>
  <c r="BI141" i="8"/>
  <c r="BZ145" i="7"/>
  <c r="BH82" i="7"/>
  <c r="AP82" i="7"/>
  <c r="AP122" i="8" s="1"/>
  <c r="BL63" i="7"/>
  <c r="BK65" i="7"/>
  <c r="AG63" i="7"/>
  <c r="AA63" i="7"/>
  <c r="U63" i="7"/>
  <c r="O63" i="7"/>
  <c r="DB40" i="7"/>
  <c r="CM40" i="7"/>
  <c r="CC38" i="7"/>
  <c r="BQ38" i="7"/>
  <c r="BI40" i="7"/>
  <c r="AS34" i="7"/>
  <c r="AT42" i="7"/>
  <c r="AA34" i="7"/>
  <c r="AB42" i="7"/>
  <c r="O34" i="7"/>
  <c r="P42" i="7"/>
  <c r="S389" i="7"/>
  <c r="J378" i="7"/>
  <c r="AY355" i="7"/>
  <c r="AS355" i="7"/>
  <c r="AM355" i="7"/>
  <c r="AG355" i="7"/>
  <c r="AA355" i="7"/>
  <c r="U355" i="7"/>
  <c r="O355" i="7"/>
  <c r="I355" i="7"/>
  <c r="AH324" i="7"/>
  <c r="AG324" i="7" s="1"/>
  <c r="AB324" i="7"/>
  <c r="AA324" i="7" s="1"/>
  <c r="V324" i="7"/>
  <c r="U324" i="7" s="1"/>
  <c r="P324" i="7"/>
  <c r="O324" i="7" s="1"/>
  <c r="J324" i="7"/>
  <c r="I324" i="7" s="1"/>
  <c r="CO316" i="7"/>
  <c r="AD86" i="8"/>
  <c r="AD88" i="8" s="1"/>
  <c r="AE86" i="8"/>
  <c r="X86" i="8"/>
  <c r="X88" i="8" s="1"/>
  <c r="Y86" i="8"/>
  <c r="R86" i="8"/>
  <c r="R88" i="8" s="1"/>
  <c r="S86" i="8"/>
  <c r="L86" i="8"/>
  <c r="L88" i="8" s="1"/>
  <c r="M86" i="8"/>
  <c r="F86" i="8"/>
  <c r="G86" i="8"/>
  <c r="BE115" i="8"/>
  <c r="AH143" i="8"/>
  <c r="AF143" i="8"/>
  <c r="AB143" i="8"/>
  <c r="Z143" i="8"/>
  <c r="V143" i="8"/>
  <c r="T143" i="8"/>
  <c r="P143" i="8"/>
  <c r="N143" i="8"/>
  <c r="J143" i="8"/>
  <c r="H143" i="8"/>
  <c r="BO260" i="7"/>
  <c r="BN260" i="7" s="1"/>
  <c r="BI260" i="7"/>
  <c r="BH260" i="7" s="1"/>
  <c r="AW260" i="7"/>
  <c r="AV260" i="7" s="1"/>
  <c r="AQ260" i="7"/>
  <c r="AP260" i="7" s="1"/>
  <c r="AK260" i="7"/>
  <c r="AJ260" i="7" s="1"/>
  <c r="Y260" i="7"/>
  <c r="X260" i="7" s="1"/>
  <c r="G260" i="7"/>
  <c r="F260" i="7" s="1"/>
  <c r="CU249" i="7"/>
  <c r="DJ247" i="7"/>
  <c r="CR42" i="8"/>
  <c r="CR45" i="8" s="1"/>
  <c r="CR44" i="8"/>
  <c r="CR46" i="8" s="1"/>
  <c r="BZ42" i="8"/>
  <c r="BZ45" i="8" s="1"/>
  <c r="BZ44" i="8"/>
  <c r="BZ46" i="8" s="1"/>
  <c r="BH42" i="8"/>
  <c r="BH45" i="8" s="1"/>
  <c r="BH44" i="8"/>
  <c r="BH46" i="8" s="1"/>
  <c r="DJ246" i="7"/>
  <c r="DJ33" i="8" s="1"/>
  <c r="CO246" i="7"/>
  <c r="CO33" i="8" s="1"/>
  <c r="CW35" i="8"/>
  <c r="CW33" i="8"/>
  <c r="CM33" i="8"/>
  <c r="CL35" i="8"/>
  <c r="CM35" i="8"/>
  <c r="CA33" i="8"/>
  <c r="BZ35" i="8"/>
  <c r="BZ37" i="8" s="1"/>
  <c r="CA35" i="8"/>
  <c r="AF142" i="8"/>
  <c r="AH142" i="8"/>
  <c r="Z142" i="8"/>
  <c r="AB142" i="8"/>
  <c r="T142" i="8"/>
  <c r="V142" i="8"/>
  <c r="N142" i="8"/>
  <c r="P142" i="8"/>
  <c r="H142" i="8"/>
  <c r="J142" i="8"/>
  <c r="AG141" i="8"/>
  <c r="AA141" i="8"/>
  <c r="U141" i="8"/>
  <c r="O141" i="8"/>
  <c r="I141" i="8"/>
  <c r="DA103" i="8"/>
  <c r="DA104" i="8" s="1"/>
  <c r="DA17" i="8" s="1"/>
  <c r="DB103" i="8"/>
  <c r="CI103" i="8"/>
  <c r="CI104" i="8" s="1"/>
  <c r="CJ103" i="8"/>
  <c r="BR103" i="8"/>
  <c r="BQ103" i="8"/>
  <c r="CL210" i="7"/>
  <c r="CL176" i="8" s="1"/>
  <c r="CL174" i="8" s="1"/>
  <c r="CX174" i="8"/>
  <c r="AS171" i="8"/>
  <c r="DH205" i="7"/>
  <c r="BB172" i="8"/>
  <c r="AT204" i="7"/>
  <c r="AN204" i="7"/>
  <c r="AH204" i="7"/>
  <c r="AB204" i="7"/>
  <c r="V204" i="7"/>
  <c r="P204" i="7"/>
  <c r="J204" i="7"/>
  <c r="DD200" i="7"/>
  <c r="DD166" i="8" s="1"/>
  <c r="BT199" i="7"/>
  <c r="BT165" i="8" s="1"/>
  <c r="BB199" i="7"/>
  <c r="BB165" i="8" s="1"/>
  <c r="CX167" i="8"/>
  <c r="BE166" i="8"/>
  <c r="BU195" i="7"/>
  <c r="BV192" i="7"/>
  <c r="BX188" i="7"/>
  <c r="BO294" i="8"/>
  <c r="BF294" i="8"/>
  <c r="AU155" i="8"/>
  <c r="AU294" i="8"/>
  <c r="BV185" i="7"/>
  <c r="AZ185" i="7"/>
  <c r="AR185" i="7"/>
  <c r="BO143" i="8"/>
  <c r="BG146" i="8"/>
  <c r="BG142" i="8" s="1"/>
  <c r="AZ184" i="7"/>
  <c r="AL184" i="7"/>
  <c r="BT145" i="7"/>
  <c r="AG94" i="7"/>
  <c r="AH73" i="7"/>
  <c r="AG75" i="7"/>
  <c r="AB73" i="7"/>
  <c r="AA75" i="7"/>
  <c r="V73" i="7"/>
  <c r="U75" i="7"/>
  <c r="P73" i="7"/>
  <c r="O75" i="7"/>
  <c r="J73" i="7"/>
  <c r="I75" i="7"/>
  <c r="AJ35" i="7"/>
  <c r="AJ555" i="7" s="1"/>
  <c r="CS39" i="7"/>
  <c r="CR39" i="7" s="1"/>
  <c r="BU34" i="7"/>
  <c r="BF40" i="7"/>
  <c r="BE35" i="7"/>
  <c r="I34" i="7"/>
  <c r="J42" i="7"/>
  <c r="AL42" i="7"/>
  <c r="DL307" i="7"/>
  <c r="CL315" i="7"/>
  <c r="AE115" i="8"/>
  <c r="Y115" i="8"/>
  <c r="S115" i="8"/>
  <c r="M115" i="8"/>
  <c r="AD143" i="8"/>
  <c r="X143" i="8"/>
  <c r="R143" i="8"/>
  <c r="L143" i="8"/>
  <c r="CO42" i="8"/>
  <c r="CO45" i="8" s="1"/>
  <c r="CO44" i="8"/>
  <c r="CO46" i="8" s="1"/>
  <c r="BW42" i="8"/>
  <c r="BW45" i="8" s="1"/>
  <c r="BW44" i="8"/>
  <c r="BW46" i="8" s="1"/>
  <c r="BE42" i="8"/>
  <c r="BE45" i="8" s="1"/>
  <c r="BE44" i="8"/>
  <c r="BE46" i="8" s="1"/>
  <c r="DK42" i="8"/>
  <c r="DK44" i="8"/>
  <c r="DE33" i="8"/>
  <c r="DD35" i="8"/>
  <c r="DE35" i="8"/>
  <c r="CP35" i="8"/>
  <c r="CP33" i="8"/>
  <c r="CO35" i="8"/>
  <c r="CH33" i="8"/>
  <c r="CH35" i="8"/>
  <c r="X142" i="8"/>
  <c r="R142" i="8"/>
  <c r="CX103" i="8"/>
  <c r="CX104" i="8" s="1"/>
  <c r="CY104" i="8" s="1"/>
  <c r="CY76" i="7" s="1"/>
  <c r="CY103" i="8"/>
  <c r="CG103" i="8"/>
  <c r="CG104" i="8" s="1"/>
  <c r="CF103" i="8"/>
  <c r="BO103" i="8"/>
  <c r="BN103" i="8"/>
  <c r="AP174" i="8"/>
  <c r="CR206" i="7"/>
  <c r="BN168" i="8"/>
  <c r="DA201" i="7"/>
  <c r="DA167" i="8" s="1"/>
  <c r="BQ199" i="7"/>
  <c r="BQ165" i="8" s="1"/>
  <c r="BB197" i="7"/>
  <c r="BB162" i="8" s="1"/>
  <c r="BD154" i="8"/>
  <c r="BE154" i="8" s="1"/>
  <c r="BD293" i="8"/>
  <c r="BD188" i="7"/>
  <c r="CG184" i="7"/>
  <c r="BI146" i="8"/>
  <c r="BI142" i="8" s="1"/>
  <c r="BJ146" i="8"/>
  <c r="BJ142" i="8" s="1"/>
  <c r="AO146" i="8"/>
  <c r="AO142" i="8" s="1"/>
  <c r="CC132" i="8"/>
  <c r="BH132" i="8"/>
  <c r="BH133" i="8" s="1"/>
  <c r="BH135" i="8" s="1"/>
  <c r="DH39" i="7"/>
  <c r="DG39" i="7" s="1"/>
  <c r="DD38" i="7"/>
  <c r="CU36" i="7"/>
  <c r="CG39" i="7"/>
  <c r="CF39" i="7" s="1"/>
  <c r="CA40" i="7"/>
  <c r="BW35" i="7"/>
  <c r="AS33" i="7"/>
  <c r="AA33" i="7"/>
  <c r="I33" i="7"/>
  <c r="CO315" i="7"/>
  <c r="CN277" i="7"/>
  <c r="BX460" i="7"/>
  <c r="BX490" i="7" s="1"/>
  <c r="BR460" i="7"/>
  <c r="BR490" i="7" s="1"/>
  <c r="BL460" i="7"/>
  <c r="BL490" i="7" s="1"/>
  <c r="BF460" i="7"/>
  <c r="BF490" i="7" s="1"/>
  <c r="AZ460" i="7"/>
  <c r="AZ490" i="7" s="1"/>
  <c r="AT460" i="7"/>
  <c r="AT490" i="7" s="1"/>
  <c r="P378" i="7"/>
  <c r="BC331" i="7"/>
  <c r="AI283" i="7"/>
  <c r="AC283" i="7"/>
  <c r="W283" i="7"/>
  <c r="Q283" i="7"/>
  <c r="K283" i="7"/>
  <c r="BQ115" i="8"/>
  <c r="AY115" i="8"/>
  <c r="AI115" i="8"/>
  <c r="AC115" i="8"/>
  <c r="W115" i="8"/>
  <c r="Q115" i="8"/>
  <c r="K115" i="8"/>
  <c r="CO257" i="7"/>
  <c r="DD42" i="8"/>
  <c r="DD45" i="8" s="1"/>
  <c r="DD44" i="8"/>
  <c r="DD46" i="8" s="1"/>
  <c r="CL42" i="8"/>
  <c r="CL45" i="8" s="1"/>
  <c r="CL44" i="8"/>
  <c r="CL46" i="8" s="1"/>
  <c r="BT42" i="8"/>
  <c r="BT45" i="8" s="1"/>
  <c r="BT44" i="8"/>
  <c r="BT46" i="8" s="1"/>
  <c r="BB42" i="8"/>
  <c r="BB45" i="8" s="1"/>
  <c r="BB44" i="8"/>
  <c r="BB46" i="8" s="1"/>
  <c r="DA33" i="8"/>
  <c r="DA35" i="8"/>
  <c r="CI246" i="7"/>
  <c r="CI33" i="8" s="1"/>
  <c r="DK33" i="8"/>
  <c r="DJ35" i="8"/>
  <c r="DK35" i="8"/>
  <c r="DH42" i="8"/>
  <c r="DH44" i="8"/>
  <c r="DH46" i="8" s="1"/>
  <c r="DH49" i="8" s="1"/>
  <c r="DG49" i="8" s="1"/>
  <c r="CS33" i="8"/>
  <c r="CR35" i="8"/>
  <c r="CS35" i="8"/>
  <c r="CK35" i="8"/>
  <c r="CK33" i="8"/>
  <c r="CD35" i="8"/>
  <c r="CD33" i="8"/>
  <c r="CC35" i="8"/>
  <c r="CC37" i="8" s="1"/>
  <c r="AI242" i="7"/>
  <c r="AC242" i="7"/>
  <c r="W242" i="7"/>
  <c r="Q242" i="7"/>
  <c r="K242" i="7"/>
  <c r="AH141" i="8"/>
  <c r="AF141" i="8"/>
  <c r="AB141" i="8"/>
  <c r="Z141" i="8"/>
  <c r="V141" i="8"/>
  <c r="T141" i="8"/>
  <c r="P141" i="8"/>
  <c r="N141" i="8"/>
  <c r="J141" i="8"/>
  <c r="H141" i="8"/>
  <c r="CU103" i="8"/>
  <c r="CU104" i="8" s="1"/>
  <c r="CV104" i="8" s="1"/>
  <c r="CV76" i="7" s="1"/>
  <c r="CV103" i="8"/>
  <c r="CC103" i="8"/>
  <c r="CD103" i="8"/>
  <c r="CD104" i="8" s="1"/>
  <c r="BL103" i="8"/>
  <c r="BL104" i="8" s="1"/>
  <c r="BK103" i="8"/>
  <c r="BD220" i="7"/>
  <c r="AF220" i="7"/>
  <c r="Z220" i="7"/>
  <c r="T220" i="7"/>
  <c r="N220" i="7"/>
  <c r="H220" i="7"/>
  <c r="BT178" i="8"/>
  <c r="AY176" i="8"/>
  <c r="AY174" i="8" s="1"/>
  <c r="AZ176" i="8"/>
  <c r="AZ174" i="8" s="1"/>
  <c r="DH175" i="8"/>
  <c r="DH174" i="8" s="1"/>
  <c r="CV175" i="8"/>
  <c r="CV174" i="8" s="1"/>
  <c r="CF200" i="7"/>
  <c r="CF166" i="8" s="1"/>
  <c r="CX199" i="7"/>
  <c r="CX165" i="8" s="1"/>
  <c r="CF199" i="7"/>
  <c r="CF165" i="8" s="1"/>
  <c r="BN199" i="7"/>
  <c r="BN165" i="8" s="1"/>
  <c r="BI198" i="7"/>
  <c r="AV154" i="8"/>
  <c r="AV293" i="8"/>
  <c r="AZ155" i="8"/>
  <c r="AZ294" i="8"/>
  <c r="AT155" i="8"/>
  <c r="AT294" i="8"/>
  <c r="BU185" i="7"/>
  <c r="CH184" i="7"/>
  <c r="CA184" i="7"/>
  <c r="BO184" i="7"/>
  <c r="BM146" i="8"/>
  <c r="BM142" i="8" s="1"/>
  <c r="BL146" i="8"/>
  <c r="BL142" i="8" s="1"/>
  <c r="BF184" i="7"/>
  <c r="BE184" i="7" s="1"/>
  <c r="BF143" i="8"/>
  <c r="BD143" i="8"/>
  <c r="AZ146" i="8"/>
  <c r="AZ142" i="8" s="1"/>
  <c r="CV145" i="7"/>
  <c r="CU145" i="7" s="1"/>
  <c r="AM94" i="7"/>
  <c r="AL116" i="7"/>
  <c r="AL140" i="7" s="1"/>
  <c r="AL144" i="7" s="1"/>
  <c r="AL147" i="7" s="1"/>
  <c r="AM143" i="7" s="1"/>
  <c r="BE64" i="8"/>
  <c r="BE87" i="7"/>
  <c r="AE63" i="7"/>
  <c r="AD65" i="7"/>
  <c r="AC4" i="8"/>
  <c r="AC10" i="8" s="1"/>
  <c r="AC69" i="7"/>
  <c r="AC61" i="7" s="1"/>
  <c r="AC55" i="7" s="1"/>
  <c r="Y63" i="7"/>
  <c r="X65" i="7"/>
  <c r="W4" i="8"/>
  <c r="W10" i="8" s="1"/>
  <c r="W69" i="7"/>
  <c r="W61" i="7" s="1"/>
  <c r="W55" i="7" s="1"/>
  <c r="S63" i="7"/>
  <c r="R65" i="7"/>
  <c r="M63" i="7"/>
  <c r="L65" i="7"/>
  <c r="K4" i="8"/>
  <c r="K10" i="8" s="1"/>
  <c r="K69" i="7"/>
  <c r="K61" i="7" s="1"/>
  <c r="K55" i="7" s="1"/>
  <c r="G63" i="7"/>
  <c r="F65" i="7"/>
  <c r="E4" i="8"/>
  <c r="E10" i="8" s="1"/>
  <c r="E69" i="7"/>
  <c r="E61" i="7" s="1"/>
  <c r="E55" i="7" s="1"/>
  <c r="CV40" i="7"/>
  <c r="BB35" i="7"/>
  <c r="Y34" i="7"/>
  <c r="X35" i="7"/>
  <c r="Z42" i="7"/>
  <c r="H42" i="7"/>
  <c r="DG315" i="7"/>
  <c r="BN315" i="7"/>
  <c r="BE315" i="7"/>
  <c r="AV315" i="7"/>
  <c r="AP93" i="7"/>
  <c r="BD151" i="8"/>
  <c r="BD215" i="8" s="1"/>
  <c r="BD86" i="8"/>
  <c r="AG86" i="8"/>
  <c r="AG88" i="8" s="1"/>
  <c r="AH86" i="8"/>
  <c r="AA86" i="8"/>
  <c r="AA88" i="8" s="1"/>
  <c r="AB86" i="8"/>
  <c r="U86" i="8"/>
  <c r="U88" i="8" s="1"/>
  <c r="V86" i="8"/>
  <c r="O86" i="8"/>
  <c r="O88" i="8" s="1"/>
  <c r="P86" i="8"/>
  <c r="I86" i="8"/>
  <c r="I88" i="8" s="1"/>
  <c r="J86" i="8"/>
  <c r="AK143" i="8"/>
  <c r="AI143" i="8"/>
  <c r="AE143" i="8"/>
  <c r="AC143" i="8"/>
  <c r="Y143" i="8"/>
  <c r="W143" i="8"/>
  <c r="S143" i="8"/>
  <c r="Q143" i="8"/>
  <c r="M143" i="8"/>
  <c r="K143" i="8"/>
  <c r="DA42" i="8"/>
  <c r="DA45" i="8" s="1"/>
  <c r="DA44" i="8"/>
  <c r="DA46" i="8" s="1"/>
  <c r="CI42" i="8"/>
  <c r="CI45" i="8" s="1"/>
  <c r="CI44" i="8"/>
  <c r="CI46" i="8" s="1"/>
  <c r="BQ42" i="8"/>
  <c r="BQ45" i="8" s="1"/>
  <c r="BQ44" i="8"/>
  <c r="BQ46" i="8" s="1"/>
  <c r="DI245" i="7"/>
  <c r="DC35" i="8"/>
  <c r="DC33" i="8"/>
  <c r="CV35" i="8"/>
  <c r="CV33" i="8"/>
  <c r="CU35" i="8"/>
  <c r="CN33" i="8"/>
  <c r="CN35" i="8"/>
  <c r="AI142" i="8"/>
  <c r="AK142" i="8"/>
  <c r="AC142" i="8"/>
  <c r="AE142" i="8"/>
  <c r="W142" i="8"/>
  <c r="Y142" i="8"/>
  <c r="Q142" i="8"/>
  <c r="S142" i="8"/>
  <c r="K142" i="8"/>
  <c r="M142" i="8"/>
  <c r="AJ141" i="8"/>
  <c r="AD141" i="8"/>
  <c r="X141" i="8"/>
  <c r="L141" i="8"/>
  <c r="DK103" i="8"/>
  <c r="DJ103" i="8"/>
  <c r="DJ104" i="8" s="1"/>
  <c r="DK104" i="8" s="1"/>
  <c r="DK76" i="7" s="1"/>
  <c r="CR103" i="8"/>
  <c r="CR104" i="8" s="1"/>
  <c r="CS104" i="8" s="1"/>
  <c r="CS76" i="7" s="1"/>
  <c r="CS103" i="8"/>
  <c r="BZ103" i="8"/>
  <c r="CA103" i="8"/>
  <c r="CA104" i="8" s="1"/>
  <c r="BI103" i="8"/>
  <c r="BH103" i="8"/>
  <c r="BD178" i="8"/>
  <c r="BE178" i="8"/>
  <c r="DD174" i="8"/>
  <c r="BB174" i="8"/>
  <c r="BB207" i="7"/>
  <c r="BB173" i="8" s="1"/>
  <c r="DB205" i="7"/>
  <c r="BE168" i="8"/>
  <c r="CU200" i="7"/>
  <c r="CU166" i="8" s="1"/>
  <c r="BK200" i="7"/>
  <c r="BK166" i="8" s="1"/>
  <c r="DE198" i="7"/>
  <c r="CP198" i="7"/>
  <c r="CA198" i="7"/>
  <c r="BR198" i="7"/>
  <c r="BH167" i="8"/>
  <c r="DD194" i="7"/>
  <c r="DD159" i="8" s="1"/>
  <c r="CL194" i="7"/>
  <c r="CL159" i="8" s="1"/>
  <c r="CU159" i="8"/>
  <c r="BR192" i="7"/>
  <c r="AS154" i="8"/>
  <c r="AS293" i="8"/>
  <c r="BL26" i="8"/>
  <c r="BL155" i="8"/>
  <c r="BL294" i="8"/>
  <c r="BI26" i="8"/>
  <c r="BI155" i="8"/>
  <c r="BI294" i="8"/>
  <c r="AX294" i="8"/>
  <c r="AX155" i="8"/>
  <c r="AR155" i="8"/>
  <c r="AR294" i="8"/>
  <c r="BU86" i="8"/>
  <c r="BJ185" i="7"/>
  <c r="CB184" i="7"/>
  <c r="BX184" i="7"/>
  <c r="BI143" i="8"/>
  <c r="BG143" i="8"/>
  <c r="BC146" i="8"/>
  <c r="BC142" i="8" s="1"/>
  <c r="AR146" i="8"/>
  <c r="AR142" i="8" s="1"/>
  <c r="BC132" i="8"/>
  <c r="BC133" i="8" s="1"/>
  <c r="BC135" i="8" s="1"/>
  <c r="BF125" i="8"/>
  <c r="BF127" i="8" s="1"/>
  <c r="BF123" i="8" s="1"/>
  <c r="BB45" i="7"/>
  <c r="AE4" i="8"/>
  <c r="AE10" i="8" s="1"/>
  <c r="AD73" i="7"/>
  <c r="AD4" i="8" s="1"/>
  <c r="AD10" i="8" s="1"/>
  <c r="AE69" i="7"/>
  <c r="Y4" i="8"/>
  <c r="Y10" i="8" s="1"/>
  <c r="X73" i="7"/>
  <c r="X4" i="8" s="1"/>
  <c r="X10" i="8" s="1"/>
  <c r="Y69" i="7"/>
  <c r="S4" i="8"/>
  <c r="S10" i="8" s="1"/>
  <c r="S69" i="7"/>
  <c r="M4" i="8"/>
  <c r="M10" i="8" s="1"/>
  <c r="L73" i="7"/>
  <c r="L4" i="8" s="1"/>
  <c r="L10" i="8" s="1"/>
  <c r="M69" i="7"/>
  <c r="G4" i="8"/>
  <c r="G10" i="8" s="1"/>
  <c r="F73" i="7"/>
  <c r="F4" i="8" s="1"/>
  <c r="F10" i="8" s="1"/>
  <c r="G69" i="7"/>
  <c r="EK36" i="7"/>
  <c r="DD36" i="7"/>
  <c r="CF38" i="7"/>
  <c r="BH36" i="7"/>
  <c r="AI42" i="7"/>
  <c r="AJ34" i="7"/>
  <c r="G34" i="7"/>
  <c r="F35" i="7"/>
  <c r="DA315" i="7"/>
  <c r="AZ141" i="8"/>
  <c r="AX141" i="8"/>
  <c r="AU146" i="8"/>
  <c r="AU142" i="8" s="1"/>
  <c r="AQ146" i="8"/>
  <c r="AQ142" i="8" s="1"/>
  <c r="DT198" i="7"/>
  <c r="CW105" i="8"/>
  <c r="BU4" i="8"/>
  <c r="BU10" i="8" s="1"/>
  <c r="BU69" i="7"/>
  <c r="BR4" i="8"/>
  <c r="BR10" i="8" s="1"/>
  <c r="BR69" i="7"/>
  <c r="AU4" i="8"/>
  <c r="AU10" i="8" s="1"/>
  <c r="AU69" i="7"/>
  <c r="AO115" i="8"/>
  <c r="AO324" i="7"/>
  <c r="AK115" i="8"/>
  <c r="AK324" i="7"/>
  <c r="AJ324" i="7" s="1"/>
  <c r="AV389" i="7"/>
  <c r="CS136" i="8"/>
  <c r="CL289" i="8"/>
  <c r="CM289" i="8" s="1"/>
  <c r="BF288" i="8"/>
  <c r="BE287" i="8"/>
  <c r="AM164" i="8"/>
  <c r="DP153" i="8"/>
  <c r="DQ153" i="8" s="1"/>
  <c r="DJ132" i="8"/>
  <c r="DK132" i="8" s="1"/>
  <c r="BZ132" i="8"/>
  <c r="CA132" i="8" s="1"/>
  <c r="BW116" i="8"/>
  <c r="BW104" i="8"/>
  <c r="BB48" i="7"/>
  <c r="AG35" i="7"/>
  <c r="AG555" i="7" s="1"/>
  <c r="O35" i="7"/>
  <c r="O555" i="7" s="1"/>
  <c r="CW35" i="7"/>
  <c r="BL33" i="7"/>
  <c r="BO31" i="7"/>
  <c r="BP154" i="8"/>
  <c r="BP190" i="7" s="1"/>
  <c r="BP214" i="8"/>
  <c r="BP184" i="8"/>
  <c r="BP215" i="8"/>
  <c r="BP287" i="8"/>
  <c r="BO341" i="7"/>
  <c r="BL341" i="7"/>
  <c r="AX184" i="7"/>
  <c r="AU185" i="7"/>
  <c r="AT141" i="8"/>
  <c r="AR141" i="8"/>
  <c r="AN141" i="8"/>
  <c r="AL141" i="8"/>
  <c r="DL280" i="7"/>
  <c r="DD248" i="7"/>
  <c r="DD576" i="7" s="1"/>
  <c r="CA266" i="7"/>
  <c r="BP4" i="8"/>
  <c r="BP10" i="8" s="1"/>
  <c r="BP69" i="7"/>
  <c r="AT4" i="8"/>
  <c r="AT10" i="8" s="1"/>
  <c r="AT69" i="7"/>
  <c r="AH91" i="7"/>
  <c r="Y91" i="7"/>
  <c r="P91" i="7"/>
  <c r="G91" i="7"/>
  <c r="AJ181" i="8"/>
  <c r="AY154" i="8"/>
  <c r="AY293" i="8"/>
  <c r="BM294" i="8"/>
  <c r="AW155" i="8"/>
  <c r="AW294" i="8"/>
  <c r="BR86" i="8"/>
  <c r="BE86" i="8"/>
  <c r="BF86" i="8"/>
  <c r="AZ86" i="8"/>
  <c r="AZ151" i="8"/>
  <c r="AR86" i="8"/>
  <c r="AR151" i="8"/>
  <c r="BJ141" i="8"/>
  <c r="AO169" i="7"/>
  <c r="BQ166" i="7"/>
  <c r="BB87" i="7"/>
  <c r="CO132" i="8"/>
  <c r="BW132" i="8"/>
  <c r="EK71" i="7"/>
  <c r="AG65" i="7"/>
  <c r="BT45" i="7"/>
  <c r="AF69" i="7"/>
  <c r="AF61" i="7" s="1"/>
  <c r="AF55" i="7" s="1"/>
  <c r="Z69" i="7"/>
  <c r="Z61" i="7" s="1"/>
  <c r="Z55" i="7" s="1"/>
  <c r="T69" i="7"/>
  <c r="T61" i="7" s="1"/>
  <c r="T55" i="7" s="1"/>
  <c r="N69" i="7"/>
  <c r="N61" i="7" s="1"/>
  <c r="N55" i="7" s="1"/>
  <c r="H69" i="7"/>
  <c r="H61" i="7" s="1"/>
  <c r="H55" i="7" s="1"/>
  <c r="DA37" i="7"/>
  <c r="AS35" i="7"/>
  <c r="AS555" i="7" s="1"/>
  <c r="BH31" i="7"/>
  <c r="AT24" i="7"/>
  <c r="BU341" i="7"/>
  <c r="BR341" i="7"/>
  <c r="AX185" i="7"/>
  <c r="AZ143" i="8"/>
  <c r="AX143" i="8"/>
  <c r="AU86" i="8"/>
  <c r="AU151" i="8"/>
  <c r="AW143" i="8"/>
  <c r="AU143" i="8"/>
  <c r="AQ86" i="8"/>
  <c r="AN184" i="7"/>
  <c r="AQ141" i="8"/>
  <c r="AO141" i="8"/>
  <c r="DP68" i="8"/>
  <c r="DQ68" i="8"/>
  <c r="DR68" i="8"/>
  <c r="DO198" i="7"/>
  <c r="CW65" i="7"/>
  <c r="CH4" i="8"/>
  <c r="CH10" i="8" s="1"/>
  <c r="CH69" i="7"/>
  <c r="CA286" i="7"/>
  <c r="BS69" i="7"/>
  <c r="AO69" i="7"/>
  <c r="AK4" i="8"/>
  <c r="AK10" i="8" s="1"/>
  <c r="AK69" i="7"/>
  <c r="CM174" i="8"/>
  <c r="DD132" i="8"/>
  <c r="DE132" i="8" s="1"/>
  <c r="CL132" i="8"/>
  <c r="CL133" i="8" s="1"/>
  <c r="CM133" i="8" s="1"/>
  <c r="CM135" i="8" s="1"/>
  <c r="CM81" i="7" s="1"/>
  <c r="EH71" i="7"/>
  <c r="BN125" i="8"/>
  <c r="BN64" i="8"/>
  <c r="BO64" i="8" s="1"/>
  <c r="EM40" i="7"/>
  <c r="EC40" i="7"/>
  <c r="BM145" i="8"/>
  <c r="BM141" i="8" s="1"/>
  <c r="BM154" i="8"/>
  <c r="BN154" i="8" s="1"/>
  <c r="BM147" i="8"/>
  <c r="BM143" i="8" s="1"/>
  <c r="BM184" i="8"/>
  <c r="BM215" i="8"/>
  <c r="BM214" i="8"/>
  <c r="CH254" i="7"/>
  <c r="BU345" i="7"/>
  <c r="BR345" i="7"/>
  <c r="BO345" i="7"/>
  <c r="BL345" i="7"/>
  <c r="BI345" i="7"/>
  <c r="BF345" i="7"/>
  <c r="AW86" i="8"/>
  <c r="AW151" i="8"/>
  <c r="AT146" i="8"/>
  <c r="AT142" i="8" s="1"/>
  <c r="AL143" i="8"/>
  <c r="BM324" i="7"/>
  <c r="AL115" i="8"/>
  <c r="ER198" i="7"/>
  <c r="EI198" i="7"/>
  <c r="DN198" i="7"/>
  <c r="DK239" i="7"/>
  <c r="CT105" i="8"/>
  <c r="CG266" i="7"/>
  <c r="CH269" i="7"/>
  <c r="BY4" i="8"/>
  <c r="BY10" i="8" s="1"/>
  <c r="BY69" i="7"/>
  <c r="BI115" i="8"/>
  <c r="BI324" i="7"/>
  <c r="BH324" i="7" s="1"/>
  <c r="BD4" i="8"/>
  <c r="BD10" i="8" s="1"/>
  <c r="BD69" i="7"/>
  <c r="BC4" i="8"/>
  <c r="BC10" i="8" s="1"/>
  <c r="BC69" i="7"/>
  <c r="AN115" i="8"/>
  <c r="AN324" i="7"/>
  <c r="AM324" i="7" s="1"/>
  <c r="AW27" i="8"/>
  <c r="AW88" i="7"/>
  <c r="AR91" i="7"/>
  <c r="BA224" i="8"/>
  <c r="AZ396" i="7"/>
  <c r="AP164" i="8"/>
  <c r="BH169" i="7"/>
  <c r="BH151" i="7"/>
  <c r="BK125" i="8"/>
  <c r="BL31" i="7"/>
  <c r="BS184" i="8"/>
  <c r="BS215" i="8"/>
  <c r="BS214" i="8"/>
  <c r="DL351" i="7"/>
  <c r="AV378" i="7"/>
  <c r="AW24" i="7"/>
  <c r="H11" i="9"/>
  <c r="AX86" i="8"/>
  <c r="AX151" i="8"/>
  <c r="AW146" i="8"/>
  <c r="AW142" i="8" s="1"/>
  <c r="AU184" i="7"/>
  <c r="AT185" i="7"/>
  <c r="AW141" i="8"/>
  <c r="AU141" i="8"/>
  <c r="AQ184" i="7"/>
  <c r="AJ86" i="8"/>
  <c r="AJ88" i="8" s="1"/>
  <c r="AK86" i="8"/>
  <c r="AQ143" i="8"/>
  <c r="AO143" i="8"/>
  <c r="DK256" i="7"/>
  <c r="DJ256" i="7" s="1"/>
  <c r="DL239" i="7"/>
  <c r="BJ4" i="8"/>
  <c r="BJ10" i="8" s="1"/>
  <c r="BJ69" i="7"/>
  <c r="BG115" i="8"/>
  <c r="BG324" i="7"/>
  <c r="BA4" i="8"/>
  <c r="BA10" i="8" s="1"/>
  <c r="BA69" i="7"/>
  <c r="AZ4" i="8"/>
  <c r="AZ10" i="8" s="1"/>
  <c r="AZ69" i="7"/>
  <c r="CU389" i="7"/>
  <c r="AZ403" i="7"/>
  <c r="AQ91" i="7"/>
  <c r="BI287" i="8"/>
  <c r="BJ289" i="8"/>
  <c r="AV186" i="8"/>
  <c r="AM186" i="8"/>
  <c r="AD186" i="8"/>
  <c r="U186" i="8"/>
  <c r="L186" i="8"/>
  <c r="R181" i="8"/>
  <c r="BN132" i="8"/>
  <c r="BN133" i="8" s="1"/>
  <c r="BH64" i="8"/>
  <c r="BK64" i="8" s="1"/>
  <c r="BH125" i="8"/>
  <c r="BL147" i="8"/>
  <c r="BL143" i="8" s="1"/>
  <c r="BL145" i="8"/>
  <c r="BL141" i="8" s="1"/>
  <c r="BL184" i="8"/>
  <c r="BK184" i="8" s="1"/>
  <c r="BL215" i="8"/>
  <c r="BK215" i="8" s="1"/>
  <c r="BL214" i="8"/>
  <c r="BK214" i="8" s="1"/>
  <c r="DD315" i="7"/>
  <c r="AX146" i="8"/>
  <c r="AX142" i="8" s="1"/>
  <c r="AU179" i="7"/>
  <c r="AS86" i="8"/>
  <c r="AT86" i="8"/>
  <c r="AT151" i="8"/>
  <c r="AT143" i="8"/>
  <c r="AR143" i="8"/>
  <c r="AM86" i="8"/>
  <c r="AN86" i="8"/>
  <c r="AL142" i="8"/>
  <c r="AN142" i="8"/>
  <c r="BL115" i="8"/>
  <c r="BL116" i="8" s="1"/>
  <c r="EO198" i="7"/>
  <c r="EL195" i="7"/>
  <c r="EF198" i="7"/>
  <c r="EC195" i="7"/>
  <c r="DM165" i="8"/>
  <c r="DL256" i="7"/>
  <c r="AX4" i="8"/>
  <c r="AX10" i="8" s="1"/>
  <c r="AX69" i="7"/>
  <c r="AW4" i="8"/>
  <c r="AW10" i="8" s="1"/>
  <c r="AW69" i="7"/>
  <c r="AN4" i="8"/>
  <c r="AN10" i="8" s="1"/>
  <c r="AN69" i="7"/>
  <c r="AR405" i="7"/>
  <c r="AN400" i="7"/>
  <c r="AO410" i="7"/>
  <c r="AZ27" i="8"/>
  <c r="AZ28" i="8" s="1"/>
  <c r="AZ88" i="7"/>
  <c r="CH288" i="7"/>
  <c r="CA125" i="8"/>
  <c r="BU125" i="8"/>
  <c r="BU115" i="8"/>
  <c r="BU116" i="8" s="1"/>
  <c r="BR115" i="8"/>
  <c r="BR116" i="8" s="1"/>
  <c r="BP115" i="8"/>
  <c r="BP116" i="8" s="1"/>
  <c r="BP18" i="8" s="1"/>
  <c r="BJ115" i="8"/>
  <c r="BJ116" i="8" s="1"/>
  <c r="BJ18" i="8" s="1"/>
  <c r="BC115" i="8"/>
  <c r="BC116" i="8" s="1"/>
  <c r="AZ115" i="8"/>
  <c r="AW115" i="8"/>
  <c r="AQ115" i="8"/>
  <c r="BU378" i="7"/>
  <c r="BV367" i="7" s="1"/>
  <c r="BS390" i="7"/>
  <c r="CZ85" i="7"/>
  <c r="AY85" i="7"/>
  <c r="AV85" i="7"/>
  <c r="AS85" i="7"/>
  <c r="AP85" i="7"/>
  <c r="AM85" i="7"/>
  <c r="AG85" i="7"/>
  <c r="AG10" i="7" s="1"/>
  <c r="AD85" i="7"/>
  <c r="AD10" i="7" s="1"/>
  <c r="AA85" i="7"/>
  <c r="AA10" i="7" s="1"/>
  <c r="X85" i="7"/>
  <c r="X10" i="7" s="1"/>
  <c r="U85" i="7"/>
  <c r="U10" i="7" s="1"/>
  <c r="R85" i="7"/>
  <c r="R10" i="7" s="1"/>
  <c r="O85" i="7"/>
  <c r="O10" i="7" s="1"/>
  <c r="L85" i="7"/>
  <c r="L10" i="7" s="1"/>
  <c r="I85" i="7"/>
  <c r="I10" i="7" s="1"/>
  <c r="F85" i="7"/>
  <c r="F10" i="7" s="1"/>
  <c r="EP9" i="7"/>
  <c r="EP5" i="45" s="1"/>
  <c r="EP330" i="45" s="1"/>
  <c r="EJ9" i="7"/>
  <c r="EJ5" i="45" s="1"/>
  <c r="EJ330" i="45" s="1"/>
  <c r="ED9" i="7"/>
  <c r="ED5" i="45" s="1"/>
  <c r="ED330" i="45" s="1"/>
  <c r="DX9" i="7"/>
  <c r="DX5" i="45" s="1"/>
  <c r="CN9" i="7"/>
  <c r="CN5" i="45" s="1"/>
  <c r="CN4" i="45" s="1"/>
  <c r="CH9" i="7"/>
  <c r="CH5" i="45" s="1"/>
  <c r="CH4" i="45" s="1"/>
  <c r="CB9" i="7"/>
  <c r="CB5" i="45" s="1"/>
  <c r="CB4" i="45" s="1"/>
  <c r="BV9" i="7"/>
  <c r="BV5" i="45" s="1"/>
  <c r="BV4" i="45" s="1"/>
  <c r="BP9" i="7"/>
  <c r="BP5" i="45" s="1"/>
  <c r="BP4" i="45" s="1"/>
  <c r="BJ9" i="7"/>
  <c r="BJ5" i="45" s="1"/>
  <c r="BJ4" i="45" s="1"/>
  <c r="BD9" i="7"/>
  <c r="BD5" i="45" s="1"/>
  <c r="BD4" i="45" s="1"/>
  <c r="AX9" i="7"/>
  <c r="AX5" i="45" s="1"/>
  <c r="AX4" i="45" s="1"/>
  <c r="AR9" i="7"/>
  <c r="AR5" i="45" s="1"/>
  <c r="AR4" i="45" s="1"/>
  <c r="EQ20" i="8"/>
  <c r="EQ13" i="8"/>
  <c r="EK20" i="8"/>
  <c r="EK13" i="8"/>
  <c r="EE20" i="8"/>
  <c r="EE13" i="8"/>
  <c r="DS2" i="8"/>
  <c r="DM2" i="8"/>
  <c r="DG20" i="8"/>
  <c r="DG13" i="8"/>
  <c r="DA2" i="8"/>
  <c r="CU20" i="8"/>
  <c r="CU13" i="8"/>
  <c r="CO20" i="8"/>
  <c r="CO13" i="8"/>
  <c r="CI20" i="8"/>
  <c r="CI13" i="8"/>
  <c r="CC20" i="8"/>
  <c r="CC13" i="8"/>
  <c r="BW20" i="8"/>
  <c r="BW13" i="8"/>
  <c r="BQ20" i="8"/>
  <c r="BQ13" i="8"/>
  <c r="BK20" i="8"/>
  <c r="BK13" i="8"/>
  <c r="BE20" i="8"/>
  <c r="BE13" i="8"/>
  <c r="AY20" i="8"/>
  <c r="AY13" i="8"/>
  <c r="AS20" i="8"/>
  <c r="AS13" i="8"/>
  <c r="AM20" i="8"/>
  <c r="AM13" i="8"/>
  <c r="AY287" i="8"/>
  <c r="CA198" i="8"/>
  <c r="AY191" i="8"/>
  <c r="AY190" i="8" s="1"/>
  <c r="AS191" i="8"/>
  <c r="AS190" i="8" s="1"/>
  <c r="AM191" i="8"/>
  <c r="AM190" i="8" s="1"/>
  <c r="AG191" i="8"/>
  <c r="AG190" i="8" s="1"/>
  <c r="AA191" i="8"/>
  <c r="AA190" i="8" s="1"/>
  <c r="U191" i="8"/>
  <c r="U190" i="8" s="1"/>
  <c r="O191" i="8"/>
  <c r="O190" i="8" s="1"/>
  <c r="I191" i="8"/>
  <c r="I190" i="8" s="1"/>
  <c r="AT174" i="8"/>
  <c r="AH174" i="8"/>
  <c r="V174" i="8"/>
  <c r="J174" i="8"/>
  <c r="AP171" i="8"/>
  <c r="AD171" i="8"/>
  <c r="R171" i="8"/>
  <c r="F171" i="8"/>
  <c r="AS164" i="8"/>
  <c r="AH164" i="8"/>
  <c r="P164" i="8"/>
  <c r="BH154" i="8"/>
  <c r="BG114" i="8"/>
  <c r="DR2" i="8"/>
  <c r="DL2" i="8"/>
  <c r="DF2" i="8"/>
  <c r="CZ2" i="8"/>
  <c r="CT2" i="8"/>
  <c r="BS289" i="8"/>
  <c r="AZ181" i="8"/>
  <c r="AT181" i="8"/>
  <c r="AN181" i="8"/>
  <c r="AH181" i="8"/>
  <c r="AB181" i="8"/>
  <c r="V181" i="8"/>
  <c r="P181" i="8"/>
  <c r="J181" i="8"/>
  <c r="BO123" i="8"/>
  <c r="BP124" i="8"/>
  <c r="BP133" i="8" s="1"/>
  <c r="BB127" i="8"/>
  <c r="BB123" i="8" s="1"/>
  <c r="BC123" i="8"/>
  <c r="DL70" i="8"/>
  <c r="DC17" i="8"/>
  <c r="CU248" i="7"/>
  <c r="CQ17" i="8"/>
  <c r="BV69" i="7"/>
  <c r="BS115" i="8"/>
  <c r="BS116" i="8" s="1"/>
  <c r="BS18" i="8" s="1"/>
  <c r="BO75" i="7"/>
  <c r="BF324" i="7"/>
  <c r="BE324" i="7" s="1"/>
  <c r="AT115" i="8"/>
  <c r="AW116" i="7"/>
  <c r="DF132" i="8"/>
  <c r="AR10" i="7"/>
  <c r="Z10" i="7"/>
  <c r="Q10" i="7"/>
  <c r="H10" i="7"/>
  <c r="EN9" i="7"/>
  <c r="EN5" i="45" s="1"/>
  <c r="EN330" i="45" s="1"/>
  <c r="EH9" i="7"/>
  <c r="EH5" i="45" s="1"/>
  <c r="EH330" i="45" s="1"/>
  <c r="EB9" i="7"/>
  <c r="EB5" i="45" s="1"/>
  <c r="EB330" i="45" s="1"/>
  <c r="DV9" i="7"/>
  <c r="DV5" i="45" s="1"/>
  <c r="DP9" i="7"/>
  <c r="DP5" i="45" s="1"/>
  <c r="DP330" i="45" s="1"/>
  <c r="DD9" i="7"/>
  <c r="DD5" i="45" s="1"/>
  <c r="DD4" i="45" s="1"/>
  <c r="CR9" i="7"/>
  <c r="CR5" i="45" s="1"/>
  <c r="CR4" i="45" s="1"/>
  <c r="CL9" i="7"/>
  <c r="CL5" i="45" s="1"/>
  <c r="CL4" i="45" s="1"/>
  <c r="CF9" i="7"/>
  <c r="CF5" i="45" s="1"/>
  <c r="CF4" i="45" s="1"/>
  <c r="BZ9" i="7"/>
  <c r="BZ5" i="45" s="1"/>
  <c r="BZ4" i="45" s="1"/>
  <c r="BT9" i="7"/>
  <c r="BT5" i="45" s="1"/>
  <c r="BT4" i="45" s="1"/>
  <c r="BN9" i="7"/>
  <c r="BN5" i="45" s="1"/>
  <c r="BN4" i="45" s="1"/>
  <c r="BH9" i="7"/>
  <c r="BH5" i="45" s="1"/>
  <c r="BH4" i="45" s="1"/>
  <c r="BB9" i="7"/>
  <c r="BB5" i="45" s="1"/>
  <c r="BB4" i="45" s="1"/>
  <c r="AV9" i="7"/>
  <c r="AV5" i="45" s="1"/>
  <c r="AV4" i="45" s="1"/>
  <c r="AP9" i="7"/>
  <c r="AP5" i="45" s="1"/>
  <c r="AP4" i="45" s="1"/>
  <c r="DQ2" i="8"/>
  <c r="DK2" i="8"/>
  <c r="DE2" i="8"/>
  <c r="CY2" i="8"/>
  <c r="CS2" i="8"/>
  <c r="BA285" i="8"/>
  <c r="AU285" i="8"/>
  <c r="AZ186" i="8"/>
  <c r="AW186" i="8"/>
  <c r="AT186" i="8"/>
  <c r="AQ186" i="8"/>
  <c r="AN186" i="8"/>
  <c r="AK186" i="8"/>
  <c r="AH186" i="8"/>
  <c r="AE186" i="8"/>
  <c r="AB186" i="8"/>
  <c r="Y186" i="8"/>
  <c r="V186" i="8"/>
  <c r="S186" i="8"/>
  <c r="P186" i="8"/>
  <c r="M186" i="8"/>
  <c r="J186" i="8"/>
  <c r="G186" i="8"/>
  <c r="AX174" i="8"/>
  <c r="AL174" i="8"/>
  <c r="Z174" i="8"/>
  <c r="N174" i="8"/>
  <c r="CH171" i="8"/>
  <c r="AT171" i="8"/>
  <c r="AH171" i="8"/>
  <c r="V171" i="8"/>
  <c r="J171" i="8"/>
  <c r="AU164" i="8"/>
  <c r="AK164" i="8"/>
  <c r="V164" i="8"/>
  <c r="BS158" i="8"/>
  <c r="BS189" i="7" s="1"/>
  <c r="BS188" i="7" s="1"/>
  <c r="BX158" i="8"/>
  <c r="BO133" i="8"/>
  <c r="DM68" i="8"/>
  <c r="DM70" i="8" s="1"/>
  <c r="DN68" i="8"/>
  <c r="BX125" i="8"/>
  <c r="AR69" i="7"/>
  <c r="AN91" i="7"/>
  <c r="AE91" i="7"/>
  <c r="V91" i="7"/>
  <c r="M91" i="7"/>
  <c r="CS85" i="7"/>
  <c r="EM9" i="7"/>
  <c r="EM5" i="45" s="1"/>
  <c r="EM330" i="45" s="1"/>
  <c r="EG9" i="7"/>
  <c r="EG5" i="45" s="1"/>
  <c r="EG330" i="45" s="1"/>
  <c r="EA9" i="7"/>
  <c r="EA5" i="45" s="1"/>
  <c r="EA330" i="45" s="1"/>
  <c r="DU9" i="7"/>
  <c r="DU5" i="45" s="1"/>
  <c r="DC9" i="7"/>
  <c r="DC5" i="45" s="1"/>
  <c r="DC4" i="45" s="1"/>
  <c r="CW9" i="7"/>
  <c r="CW5" i="45" s="1"/>
  <c r="CW4" i="45" s="1"/>
  <c r="CK9" i="7"/>
  <c r="CK5" i="45" s="1"/>
  <c r="CK4" i="45" s="1"/>
  <c r="CE9" i="7"/>
  <c r="CE5" i="45" s="1"/>
  <c r="CE4" i="45" s="1"/>
  <c r="BY9" i="7"/>
  <c r="BY5" i="45" s="1"/>
  <c r="BY4" i="45" s="1"/>
  <c r="BS9" i="7"/>
  <c r="BS5" i="45" s="1"/>
  <c r="BS4" i="45" s="1"/>
  <c r="BM9" i="7"/>
  <c r="BM5" i="45" s="1"/>
  <c r="BM4" i="45" s="1"/>
  <c r="BG9" i="7"/>
  <c r="BG5" i="45" s="1"/>
  <c r="BG4" i="45" s="1"/>
  <c r="BA9" i="7"/>
  <c r="BA5" i="45" s="1"/>
  <c r="BA4" i="45" s="1"/>
  <c r="AU9" i="7"/>
  <c r="AU5" i="45" s="1"/>
  <c r="AU4" i="45" s="1"/>
  <c r="AO9" i="7"/>
  <c r="AO5" i="45" s="1"/>
  <c r="AO4" i="45" s="1"/>
  <c r="EN20" i="8"/>
  <c r="EN13" i="8"/>
  <c r="EH20" i="8"/>
  <c r="EH13" i="8"/>
  <c r="EB20" i="8"/>
  <c r="EB13" i="8"/>
  <c r="DJ2" i="8"/>
  <c r="DD20" i="8"/>
  <c r="DD13" i="8"/>
  <c r="CX2" i="8"/>
  <c r="CR20" i="8"/>
  <c r="CR13" i="8"/>
  <c r="CL20" i="8"/>
  <c r="CL13" i="8"/>
  <c r="CF20" i="8"/>
  <c r="CF13" i="8"/>
  <c r="BZ20" i="8"/>
  <c r="BZ13" i="8"/>
  <c r="BT20" i="8"/>
  <c r="BT13" i="8"/>
  <c r="BN20" i="8"/>
  <c r="BN13" i="8"/>
  <c r="BH20" i="8"/>
  <c r="BH13" i="8"/>
  <c r="BB20" i="8"/>
  <c r="BB13" i="8"/>
  <c r="AV20" i="8"/>
  <c r="AV13" i="8"/>
  <c r="AP20" i="8"/>
  <c r="AP13" i="8"/>
  <c r="AV191" i="8"/>
  <c r="AV190" i="8" s="1"/>
  <c r="AP191" i="8"/>
  <c r="AP190" i="8" s="1"/>
  <c r="AJ191" i="8"/>
  <c r="AJ190" i="8" s="1"/>
  <c r="AD191" i="8"/>
  <c r="AD190" i="8" s="1"/>
  <c r="X191" i="8"/>
  <c r="X190" i="8" s="1"/>
  <c r="R191" i="8"/>
  <c r="R190" i="8" s="1"/>
  <c r="L191" i="8"/>
  <c r="L190" i="8" s="1"/>
  <c r="F191" i="8"/>
  <c r="F190" i="8" s="1"/>
  <c r="BA26" i="8"/>
  <c r="DI85" i="7"/>
  <c r="DF85" i="7"/>
  <c r="CW136" i="8"/>
  <c r="CP85" i="7"/>
  <c r="AZ10" i="7"/>
  <c r="AQ10" i="7"/>
  <c r="AH10" i="7"/>
  <c r="Y10" i="7"/>
  <c r="P10" i="7"/>
  <c r="G10" i="7"/>
  <c r="DO2" i="8"/>
  <c r="DI2" i="8"/>
  <c r="CQ2" i="8"/>
  <c r="CK13" i="8"/>
  <c r="CK20" i="8"/>
  <c r="CE13" i="8"/>
  <c r="CE20" i="8"/>
  <c r="BA13" i="8"/>
  <c r="BA20" i="8"/>
  <c r="AU13" i="8"/>
  <c r="AU20" i="8"/>
  <c r="BL154" i="8"/>
  <c r="BK154" i="8" s="1"/>
  <c r="DQ195" i="7"/>
  <c r="DN248" i="7"/>
  <c r="AE43" i="9" s="1"/>
  <c r="DL103" i="8"/>
  <c r="DL104" i="8" s="1"/>
  <c r="BD115" i="8"/>
  <c r="BD116" i="8" s="1"/>
  <c r="BD18" i="8" s="1"/>
  <c r="BA115" i="8"/>
  <c r="BA116" i="8" s="1"/>
  <c r="BA18" i="8" s="1"/>
  <c r="AX115" i="8"/>
  <c r="AU115" i="8"/>
  <c r="DK85" i="7"/>
  <c r="DH85" i="7"/>
  <c r="CV136" i="8"/>
  <c r="CT132" i="8"/>
  <c r="DT2" i="8"/>
  <c r="DN2" i="8"/>
  <c r="DH2" i="8"/>
  <c r="DB2" i="8"/>
  <c r="CV2" i="8"/>
  <c r="CP2" i="8"/>
  <c r="CD20" i="8"/>
  <c r="CD13" i="8"/>
  <c r="BX20" i="8"/>
  <c r="BX13" i="8"/>
  <c r="AT20" i="8"/>
  <c r="AT13" i="8"/>
  <c r="AN20" i="8"/>
  <c r="AN13" i="8"/>
  <c r="AR174" i="8"/>
  <c r="AF174" i="8"/>
  <c r="T174" i="8"/>
  <c r="H174" i="8"/>
  <c r="AZ171" i="8"/>
  <c r="AN171" i="8"/>
  <c r="AB171" i="8"/>
  <c r="P171" i="8"/>
  <c r="AE164" i="8"/>
  <c r="M164" i="8"/>
  <c r="BO128" i="8"/>
  <c r="CZ45" i="8"/>
  <c r="CT45" i="8"/>
  <c r="CN45" i="8"/>
  <c r="CH45" i="8"/>
  <c r="CB45" i="8"/>
  <c r="BV45" i="8"/>
  <c r="BP45" i="8"/>
  <c r="BJ45" i="8"/>
  <c r="BD45" i="8"/>
  <c r="DB105" i="8"/>
  <c r="BG222" i="8"/>
  <c r="BL128" i="8"/>
  <c r="BK128" i="8" s="1"/>
  <c r="BI123" i="8"/>
  <c r="DK70" i="8"/>
  <c r="DE70" i="8"/>
  <c r="CY70" i="8"/>
  <c r="CS70" i="8"/>
  <c r="CM70" i="8"/>
  <c r="CG70" i="8"/>
  <c r="CA70" i="8"/>
  <c r="BU70" i="8"/>
  <c r="BO70" i="8"/>
  <c r="BI70" i="8"/>
  <c r="BC70" i="8"/>
  <c r="AW70" i="8"/>
  <c r="AQ70" i="8"/>
  <c r="AK70" i="8"/>
  <c r="AE70" i="8"/>
  <c r="Y70" i="8"/>
  <c r="S70" i="8"/>
  <c r="M70" i="8"/>
  <c r="DB46" i="8"/>
  <c r="DB49" i="8" s="1"/>
  <c r="DA49" i="8" s="1"/>
  <c r="CV46" i="8"/>
  <c r="CV49" i="8" s="1"/>
  <c r="CU49" i="8" s="1"/>
  <c r="CP46" i="8"/>
  <c r="CP49" i="8" s="1"/>
  <c r="CO49" i="8" s="1"/>
  <c r="CJ46" i="8"/>
  <c r="CJ49" i="8" s="1"/>
  <c r="CI49" i="8" s="1"/>
  <c r="CD46" i="8"/>
  <c r="CD49" i="8" s="1"/>
  <c r="CC49" i="8" s="1"/>
  <c r="BX46" i="8"/>
  <c r="BX49" i="8" s="1"/>
  <c r="BW49" i="8" s="1"/>
  <c r="BR46" i="8"/>
  <c r="BR49" i="8" s="1"/>
  <c r="BQ49" i="8" s="1"/>
  <c r="BL46" i="8"/>
  <c r="BL49" i="8" s="1"/>
  <c r="BK49" i="8" s="1"/>
  <c r="BF46" i="8"/>
  <c r="BF49" i="8" s="1"/>
  <c r="BE49" i="8" s="1"/>
  <c r="CK135" i="8"/>
  <c r="AZ131" i="8"/>
  <c r="AT131" i="8"/>
  <c r="AN131" i="8"/>
  <c r="AH131" i="8"/>
  <c r="AB131" i="8"/>
  <c r="V131" i="8"/>
  <c r="P131" i="8"/>
  <c r="J131" i="8"/>
  <c r="BV124" i="8"/>
  <c r="DQ134" i="45"/>
  <c r="DM431" i="45"/>
  <c r="DO431" i="45" s="1"/>
  <c r="DP431" i="45" s="1"/>
  <c r="DL428" i="45"/>
  <c r="DO424" i="45"/>
  <c r="DR424" i="45" s="1"/>
  <c r="DO425" i="45"/>
  <c r="DR425" i="45" s="1"/>
  <c r="EH134" i="45"/>
  <c r="EB170" i="45"/>
  <c r="EB169" i="45" s="1"/>
  <c r="EJ134" i="45"/>
  <c r="DX101" i="8" l="1"/>
  <c r="DY101" i="8" s="1"/>
  <c r="DZ101" i="8" s="1"/>
  <c r="EA101" i="8" s="1"/>
  <c r="EB101" i="8" s="1"/>
  <c r="EC101" i="8" s="1"/>
  <c r="ED101" i="8" s="1"/>
  <c r="EE101" i="8" s="1"/>
  <c r="EF101" i="8" s="1"/>
  <c r="EG101" i="8" s="1"/>
  <c r="EH101" i="8" s="1"/>
  <c r="EI101" i="8" s="1"/>
  <c r="EJ101" i="8" s="1"/>
  <c r="EK101" i="8" s="1"/>
  <c r="EL101" i="8" s="1"/>
  <c r="EM101" i="8" s="1"/>
  <c r="EN101" i="8" s="1"/>
  <c r="EO101" i="8" s="1"/>
  <c r="EP101" i="8" s="1"/>
  <c r="EQ101" i="8" s="1"/>
  <c r="ER101" i="8" s="1"/>
  <c r="ES101" i="8" s="1"/>
  <c r="ET101" i="8" s="1"/>
  <c r="EU101" i="8" s="1"/>
  <c r="EV101" i="8" s="1"/>
  <c r="EW101" i="8" s="1"/>
  <c r="EX101" i="8" s="1"/>
  <c r="EY101" i="8" s="1"/>
  <c r="EZ101" i="8" s="1"/>
  <c r="FA101" i="8" s="1"/>
  <c r="DV289" i="7"/>
  <c r="DX289" i="7"/>
  <c r="DX43" i="45"/>
  <c r="DX69" i="45" s="1"/>
  <c r="DX86" i="45"/>
  <c r="DX403" i="45"/>
  <c r="DX444" i="45"/>
  <c r="DX81" i="45"/>
  <c r="DX314" i="45"/>
  <c r="DX59" i="45"/>
  <c r="DX102" i="45"/>
  <c r="DX330" i="45"/>
  <c r="DX27" i="45"/>
  <c r="DX378" i="45"/>
  <c r="DX16" i="45"/>
  <c r="DX199" i="45"/>
  <c r="DX225" i="45" s="1"/>
  <c r="DX334" i="45"/>
  <c r="DX350" i="45" s="1"/>
  <c r="DX220" i="8"/>
  <c r="DX285" i="8" s="1"/>
  <c r="DX13" i="8"/>
  <c r="DX20" i="8"/>
  <c r="DX204" i="45"/>
  <c r="EA221" i="45"/>
  <c r="ED221" i="45" s="1"/>
  <c r="EG221" i="45" s="1"/>
  <c r="EJ221" i="45" s="1"/>
  <c r="EM221" i="45" s="1"/>
  <c r="EP221" i="45" s="1"/>
  <c r="ES221" i="45" s="1"/>
  <c r="EV221" i="45" s="1"/>
  <c r="EY221" i="45" s="1"/>
  <c r="DV137" i="45"/>
  <c r="DW137" i="45" s="1"/>
  <c r="DX137" i="45"/>
  <c r="EA209" i="45"/>
  <c r="ED209" i="45" s="1"/>
  <c r="EG209" i="45" s="1"/>
  <c r="EJ209" i="45" s="1"/>
  <c r="EM209" i="45" s="1"/>
  <c r="EP209" i="45" s="1"/>
  <c r="ES209" i="45" s="1"/>
  <c r="EV209" i="45" s="1"/>
  <c r="EY209" i="45" s="1"/>
  <c r="DY13" i="8"/>
  <c r="DY20" i="8"/>
  <c r="AH18" i="9"/>
  <c r="AH30" i="9" s="1"/>
  <c r="S18" i="9"/>
  <c r="AK18" i="9"/>
  <c r="AK30" i="9" s="1"/>
  <c r="AK36" i="9"/>
  <c r="AK60" i="9" s="1"/>
  <c r="S36" i="9"/>
  <c r="AJ36" i="9"/>
  <c r="AJ60" i="9" s="1"/>
  <c r="AJ18" i="9"/>
  <c r="AJ30" i="9" s="1"/>
  <c r="R36" i="9"/>
  <c r="R18" i="9"/>
  <c r="EB370" i="7"/>
  <c r="EC370" i="7" s="1"/>
  <c r="EE370" i="7"/>
  <c r="EF370" i="7" s="1"/>
  <c r="DY370" i="7"/>
  <c r="DZ370" i="7" s="1"/>
  <c r="DV426" i="45"/>
  <c r="DX203" i="8"/>
  <c r="DX350" i="7" s="1"/>
  <c r="DV350" i="7"/>
  <c r="DV211" i="45"/>
  <c r="DZ289" i="7"/>
  <c r="DY215" i="45"/>
  <c r="EB215" i="45" s="1"/>
  <c r="EE215" i="45" s="1"/>
  <c r="EH215" i="45" s="1"/>
  <c r="EK215" i="45" s="1"/>
  <c r="EN215" i="45" s="1"/>
  <c r="EQ215" i="45" s="1"/>
  <c r="ET215" i="45" s="1"/>
  <c r="EW215" i="45" s="1"/>
  <c r="EZ215" i="45" s="1"/>
  <c r="DV204" i="45"/>
  <c r="DY204" i="45" s="1"/>
  <c r="EB204" i="45" s="1"/>
  <c r="EE204" i="45" s="1"/>
  <c r="EH204" i="45" s="1"/>
  <c r="EK204" i="45" s="1"/>
  <c r="EN204" i="45" s="1"/>
  <c r="EQ204" i="45" s="1"/>
  <c r="ET204" i="45" s="1"/>
  <c r="EW204" i="45" s="1"/>
  <c r="EZ204" i="45" s="1"/>
  <c r="P18" i="9"/>
  <c r="AH36" i="9"/>
  <c r="AH60" i="9" s="1"/>
  <c r="DW43" i="45"/>
  <c r="DW69" i="45" s="1"/>
  <c r="DW59" i="45"/>
  <c r="DW81" i="45"/>
  <c r="DW16" i="45"/>
  <c r="DW378" i="45"/>
  <c r="DW334" i="45"/>
  <c r="DW350" i="45" s="1"/>
  <c r="DW102" i="45"/>
  <c r="DW4" i="45"/>
  <c r="DW27" i="45"/>
  <c r="DW314" i="45"/>
  <c r="DW444" i="45"/>
  <c r="DW330" i="45"/>
  <c r="DW199" i="45"/>
  <c r="DW225" i="45" s="1"/>
  <c r="DW86" i="45"/>
  <c r="DW403" i="45"/>
  <c r="DW20" i="8"/>
  <c r="DW13" i="8"/>
  <c r="DW220" i="8"/>
  <c r="DW285" i="8" s="1"/>
  <c r="DV220" i="8"/>
  <c r="DV285" i="8" s="1"/>
  <c r="DV20" i="8"/>
  <c r="DV13" i="8"/>
  <c r="DV334" i="45"/>
  <c r="DV350" i="45" s="1"/>
  <c r="DV27" i="45"/>
  <c r="DV43" i="45"/>
  <c r="DV69" i="45" s="1"/>
  <c r="DV314" i="45"/>
  <c r="DV444" i="45"/>
  <c r="DV102" i="45"/>
  <c r="DV86" i="45"/>
  <c r="DV378" i="45"/>
  <c r="DV199" i="45"/>
  <c r="DV225" i="45" s="1"/>
  <c r="DV59" i="45"/>
  <c r="DV81" i="45"/>
  <c r="DV16" i="45"/>
  <c r="DV4" i="45"/>
  <c r="DV403" i="45"/>
  <c r="DV330" i="45"/>
  <c r="DV164" i="8"/>
  <c r="DU330" i="45"/>
  <c r="D220" i="8"/>
  <c r="BR81" i="45"/>
  <c r="BR4" i="45"/>
  <c r="BW27" i="45"/>
  <c r="BW4" i="45"/>
  <c r="AG22" i="9"/>
  <c r="AG30" i="9"/>
  <c r="AF30" i="9"/>
  <c r="AF31" i="9"/>
  <c r="AG21" i="9"/>
  <c r="AG34" i="9"/>
  <c r="AF34" i="9"/>
  <c r="AF29" i="9"/>
  <c r="AF37" i="9"/>
  <c r="AG55" i="9"/>
  <c r="AG57" i="9"/>
  <c r="AF44" i="9"/>
  <c r="AF21" i="9"/>
  <c r="AF22" i="9"/>
  <c r="AG25" i="9"/>
  <c r="AG31" i="9"/>
  <c r="AG37" i="9"/>
  <c r="AF55" i="9"/>
  <c r="AF57" i="9"/>
  <c r="AG44" i="9"/>
  <c r="AF25" i="9"/>
  <c r="AI30" i="9"/>
  <c r="AG29" i="9"/>
  <c r="I30" i="9"/>
  <c r="H30" i="9"/>
  <c r="DL444" i="45"/>
  <c r="DL4" i="45"/>
  <c r="EO444" i="45"/>
  <c r="EO4" i="45"/>
  <c r="EG444" i="45"/>
  <c r="EG4" i="45"/>
  <c r="EH444" i="45"/>
  <c r="EH4" i="45"/>
  <c r="EJ444" i="45"/>
  <c r="EJ4" i="45"/>
  <c r="DR444" i="45"/>
  <c r="DR4" i="45"/>
  <c r="DT444" i="45"/>
  <c r="DT4" i="45"/>
  <c r="EK444" i="45"/>
  <c r="EK4" i="45"/>
  <c r="DI444" i="45"/>
  <c r="DI4" i="45"/>
  <c r="DJ444" i="45"/>
  <c r="DJ4" i="45"/>
  <c r="DQ444" i="45"/>
  <c r="DQ4" i="45"/>
  <c r="ED444" i="45"/>
  <c r="ED4" i="45"/>
  <c r="EM444" i="45"/>
  <c r="EM4" i="45"/>
  <c r="DP444" i="45"/>
  <c r="DP4" i="45"/>
  <c r="EN444" i="45"/>
  <c r="EN4" i="45"/>
  <c r="EP444" i="45"/>
  <c r="EP4" i="45"/>
  <c r="EF444" i="45"/>
  <c r="EF4" i="45"/>
  <c r="DO444" i="45"/>
  <c r="DO4" i="45"/>
  <c r="DK444" i="45"/>
  <c r="DK4" i="45"/>
  <c r="DN444" i="45"/>
  <c r="DN4" i="45"/>
  <c r="EA444" i="45"/>
  <c r="EA4" i="45"/>
  <c r="EB444" i="45"/>
  <c r="EB4" i="45"/>
  <c r="DY444" i="45"/>
  <c r="DY4" i="45"/>
  <c r="DU444" i="45"/>
  <c r="DU4" i="45"/>
  <c r="DX4" i="45"/>
  <c r="ER444" i="45"/>
  <c r="ER4" i="45"/>
  <c r="DM444" i="45"/>
  <c r="DM4" i="45"/>
  <c r="EC444" i="45"/>
  <c r="EC4" i="45"/>
  <c r="EI444" i="45"/>
  <c r="EI4" i="45"/>
  <c r="EQ444" i="45"/>
  <c r="EQ4" i="45"/>
  <c r="EL444" i="45"/>
  <c r="EL4" i="45"/>
  <c r="EA133" i="45"/>
  <c r="EE444" i="45"/>
  <c r="EE4" i="45"/>
  <c r="DS444" i="45"/>
  <c r="DS4" i="45"/>
  <c r="DZ444" i="45"/>
  <c r="DZ4" i="45"/>
  <c r="N60" i="9"/>
  <c r="N46" i="9"/>
  <c r="P46" i="9"/>
  <c r="P60" i="9"/>
  <c r="Y54" i="9"/>
  <c r="O46" i="9"/>
  <c r="O60" i="9"/>
  <c r="Q60" i="9"/>
  <c r="Q46" i="9"/>
  <c r="DS16" i="45"/>
  <c r="EA169" i="45"/>
  <c r="ED169" i="45" s="1"/>
  <c r="EG169" i="45" s="1"/>
  <c r="EJ169" i="45" s="1"/>
  <c r="EM169" i="45" s="1"/>
  <c r="DS334" i="45"/>
  <c r="DS350" i="45" s="1"/>
  <c r="DS199" i="45"/>
  <c r="DS225" i="45" s="1"/>
  <c r="DY425" i="45"/>
  <c r="AP86" i="8"/>
  <c r="AP88" i="8" s="1"/>
  <c r="DS102" i="45"/>
  <c r="DS181" i="45" s="1"/>
  <c r="DS403" i="45"/>
  <c r="DS27" i="45"/>
  <c r="DS378" i="45"/>
  <c r="DU20" i="8"/>
  <c r="DS314" i="45"/>
  <c r="DU13" i="8"/>
  <c r="BR59" i="45"/>
  <c r="BR102" i="45"/>
  <c r="BR43" i="45"/>
  <c r="BR69" i="45" s="1"/>
  <c r="BR86" i="45"/>
  <c r="AZ317" i="7"/>
  <c r="AY317" i="7" s="1"/>
  <c r="AY560" i="7" s="1"/>
  <c r="AY562" i="7" s="1"/>
  <c r="DZ378" i="45"/>
  <c r="DZ16" i="45"/>
  <c r="AO27" i="8"/>
  <c r="AO28" i="8" s="1"/>
  <c r="AV331" i="7"/>
  <c r="BV261" i="7"/>
  <c r="DZ334" i="45"/>
  <c r="DZ350" i="45" s="1"/>
  <c r="DZ59" i="45"/>
  <c r="DZ314" i="45"/>
  <c r="AW404" i="7"/>
  <c r="AV404" i="7" s="1"/>
  <c r="DZ43" i="45"/>
  <c r="DZ69" i="45" s="1"/>
  <c r="DZ199" i="45"/>
  <c r="DZ225" i="45" s="1"/>
  <c r="DZ81" i="45"/>
  <c r="DZ102" i="45"/>
  <c r="DZ132" i="45" s="1"/>
  <c r="CM242" i="7"/>
  <c r="CM564" i="7" s="1"/>
  <c r="AD1" i="57"/>
  <c r="DZ86" i="45"/>
  <c r="DZ403" i="45"/>
  <c r="DZ27" i="45"/>
  <c r="W1" i="57"/>
  <c r="W83" i="57" s="1"/>
  <c r="EG20" i="8"/>
  <c r="AV86" i="8"/>
  <c r="AV88" i="8" s="1"/>
  <c r="BE146" i="8"/>
  <c r="BE142" i="8" s="1"/>
  <c r="DS59" i="45"/>
  <c r="DS43" i="45"/>
  <c r="DS69" i="45" s="1"/>
  <c r="AO181" i="7"/>
  <c r="AO183" i="7" s="1"/>
  <c r="AO187" i="7" s="1"/>
  <c r="AO186" i="7" s="1"/>
  <c r="BV566" i="7"/>
  <c r="CS208" i="8"/>
  <c r="DS81" i="45"/>
  <c r="DS86" i="45"/>
  <c r="DB208" i="8"/>
  <c r="BP300" i="7"/>
  <c r="BH329" i="7"/>
  <c r="CY85" i="7"/>
  <c r="CY91" i="7" s="1"/>
  <c r="CY5" i="8" s="1"/>
  <c r="CY11" i="8" s="1"/>
  <c r="CA208" i="8"/>
  <c r="AG566" i="7"/>
  <c r="BF20" i="8"/>
  <c r="BX345" i="7"/>
  <c r="BX24" i="7" s="1"/>
  <c r="EJ220" i="8"/>
  <c r="EJ285" i="8" s="1"/>
  <c r="D285" i="8"/>
  <c r="AY556" i="7"/>
  <c r="AU300" i="7"/>
  <c r="BH143" i="8"/>
  <c r="DK208" i="8"/>
  <c r="EK195" i="7"/>
  <c r="BJ20" i="8"/>
  <c r="BJ220" i="8"/>
  <c r="BJ285" i="8"/>
  <c r="AF11" i="7"/>
  <c r="CM208" i="8"/>
  <c r="BI208" i="8"/>
  <c r="AS204" i="7"/>
  <c r="AS556" i="7"/>
  <c r="CX81" i="7"/>
  <c r="AL367" i="7"/>
  <c r="AL389" i="7" s="1"/>
  <c r="CY553" i="7"/>
  <c r="CY182" i="7"/>
  <c r="CJ208" i="8"/>
  <c r="CY82" i="7"/>
  <c r="CY519" i="7" s="1"/>
  <c r="AJ566" i="7"/>
  <c r="EE40" i="7"/>
  <c r="BX86" i="8"/>
  <c r="BX88" i="8" s="1"/>
  <c r="R556" i="7"/>
  <c r="DR252" i="7"/>
  <c r="CU195" i="7"/>
  <c r="BU218" i="7"/>
  <c r="BU220" i="7" s="1"/>
  <c r="BU215" i="7"/>
  <c r="J390" i="7"/>
  <c r="J391" i="7" s="1"/>
  <c r="DO220" i="45"/>
  <c r="DR220" i="45" s="1"/>
  <c r="DU220" i="45" s="1"/>
  <c r="BN317" i="7"/>
  <c r="BN560" i="7" s="1"/>
  <c r="BN562" i="7" s="1"/>
  <c r="AL11" i="7"/>
  <c r="BD285" i="8"/>
  <c r="DS40" i="7"/>
  <c r="BV556" i="7"/>
  <c r="DO246" i="7"/>
  <c r="DO35" i="8" s="1"/>
  <c r="DP246" i="7"/>
  <c r="DP33" i="8" s="1"/>
  <c r="T367" i="7"/>
  <c r="T378" i="7" s="1"/>
  <c r="U367" i="7" s="1"/>
  <c r="CE34" i="7"/>
  <c r="CE555" i="7" s="1"/>
  <c r="CE556" i="7" s="1"/>
  <c r="Q300" i="7"/>
  <c r="BE335" i="7"/>
  <c r="O181" i="7"/>
  <c r="N5" i="8"/>
  <c r="N11" i="8" s="1"/>
  <c r="CR195" i="7"/>
  <c r="BR208" i="8"/>
  <c r="CI205" i="7"/>
  <c r="AS336" i="7"/>
  <c r="BH81" i="45"/>
  <c r="BH43" i="45"/>
  <c r="BH69" i="45" s="1"/>
  <c r="BH86" i="45"/>
  <c r="BH59" i="45"/>
  <c r="DK315" i="7"/>
  <c r="AD56" i="9" s="1"/>
  <c r="BF43" i="45"/>
  <c r="BF69" i="45" s="1"/>
  <c r="BF59" i="45"/>
  <c r="BF81" i="45"/>
  <c r="BF86" i="45"/>
  <c r="AS143" i="8"/>
  <c r="BL208" i="8"/>
  <c r="BP86" i="45"/>
  <c r="BP43" i="45"/>
  <c r="BP69" i="45" s="1"/>
  <c r="BP59" i="45"/>
  <c r="BP102" i="45"/>
  <c r="BP81" i="45"/>
  <c r="BN81" i="45"/>
  <c r="BN86" i="45"/>
  <c r="BN59" i="45"/>
  <c r="BN43" i="45"/>
  <c r="BN69" i="45" s="1"/>
  <c r="BN102" i="45"/>
  <c r="BC86" i="45"/>
  <c r="BC81" i="45"/>
  <c r="BC59" i="45"/>
  <c r="BC43" i="45"/>
  <c r="BC69" i="45" s="1"/>
  <c r="BO102" i="45"/>
  <c r="BO43" i="45"/>
  <c r="BO69" i="45" s="1"/>
  <c r="BO86" i="45"/>
  <c r="BO81" i="45"/>
  <c r="BO59" i="45"/>
  <c r="BT81" i="45"/>
  <c r="BT102" i="45"/>
  <c r="BT43" i="45"/>
  <c r="BT69" i="45" s="1"/>
  <c r="BT59" i="45"/>
  <c r="BT86" i="45"/>
  <c r="BL43" i="45"/>
  <c r="BL69" i="45" s="1"/>
  <c r="BL59" i="45"/>
  <c r="BL86" i="45"/>
  <c r="BL81" i="45"/>
  <c r="BG43" i="45"/>
  <c r="BG69" i="45" s="1"/>
  <c r="BG59" i="45"/>
  <c r="BG86" i="45"/>
  <c r="BG81" i="45"/>
  <c r="BD59" i="45"/>
  <c r="BD43" i="45"/>
  <c r="BD69" i="45" s="1"/>
  <c r="BD86" i="45"/>
  <c r="BD81" i="45"/>
  <c r="BK43" i="45"/>
  <c r="BK69" i="45" s="1"/>
  <c r="BK86" i="45"/>
  <c r="BK59" i="45"/>
  <c r="BK81" i="45"/>
  <c r="BS43" i="45"/>
  <c r="BS69" i="45" s="1"/>
  <c r="BS86" i="45"/>
  <c r="BS102" i="45"/>
  <c r="BS59" i="45"/>
  <c r="BS81" i="45"/>
  <c r="BQ81" i="45"/>
  <c r="BQ43" i="45"/>
  <c r="BQ69" i="45" s="1"/>
  <c r="BQ102" i="45"/>
  <c r="BQ86" i="45"/>
  <c r="BQ59" i="45"/>
  <c r="BM59" i="45"/>
  <c r="BM81" i="45"/>
  <c r="BM102" i="45"/>
  <c r="BM86" i="45"/>
  <c r="BM43" i="45"/>
  <c r="BM69" i="45" s="1"/>
  <c r="BJ59" i="45"/>
  <c r="BJ81" i="45"/>
  <c r="BJ43" i="45"/>
  <c r="BJ69" i="45" s="1"/>
  <c r="BJ86" i="45"/>
  <c r="BE59" i="45"/>
  <c r="BE43" i="45"/>
  <c r="BE69" i="45" s="1"/>
  <c r="BE86" i="45"/>
  <c r="BE81" i="45"/>
  <c r="BI43" i="45"/>
  <c r="BI69" i="45" s="1"/>
  <c r="BI86" i="45"/>
  <c r="BI81" i="45"/>
  <c r="BI59" i="45"/>
  <c r="BU102" i="45"/>
  <c r="BU86" i="45"/>
  <c r="BU403" i="45"/>
  <c r="BU81" i="45"/>
  <c r="BU59" i="45"/>
  <c r="BU43" i="45"/>
  <c r="BU69" i="45" s="1"/>
  <c r="DJ82" i="7"/>
  <c r="DJ519" i="7" s="1"/>
  <c r="DS221" i="45"/>
  <c r="DP220" i="45"/>
  <c r="DM13" i="45"/>
  <c r="BW102" i="45"/>
  <c r="BW16" i="45"/>
  <c r="BW403" i="45"/>
  <c r="CJ55" i="8"/>
  <c r="CN26" i="8"/>
  <c r="DN314" i="45"/>
  <c r="CL27" i="8"/>
  <c r="CL55" i="8"/>
  <c r="BX55" i="8"/>
  <c r="DA26" i="8"/>
  <c r="CM55" i="8"/>
  <c r="CM66" i="7" s="1"/>
  <c r="BW27" i="8"/>
  <c r="BW55" i="8"/>
  <c r="CH55" i="8"/>
  <c r="CH66" i="7" s="1"/>
  <c r="CH65" i="7" s="1"/>
  <c r="CH63" i="7" s="1"/>
  <c r="CH61" i="7" s="1"/>
  <c r="CH27" i="8"/>
  <c r="BZ27" i="8"/>
  <c r="BZ55" i="8"/>
  <c r="DU81" i="45"/>
  <c r="DU86" i="45"/>
  <c r="CF81" i="45"/>
  <c r="CF86" i="45"/>
  <c r="EB81" i="45"/>
  <c r="EB86" i="45"/>
  <c r="BV86" i="45"/>
  <c r="BV81" i="45"/>
  <c r="EJ59" i="45"/>
  <c r="EJ86" i="45"/>
  <c r="EJ81" i="45"/>
  <c r="CT59" i="45"/>
  <c r="CT86" i="45"/>
  <c r="CT81" i="45"/>
  <c r="DT86" i="45"/>
  <c r="DT81" i="45"/>
  <c r="CO59" i="45"/>
  <c r="CO86" i="45"/>
  <c r="CO81" i="45"/>
  <c r="DI59" i="45"/>
  <c r="DI81" i="45"/>
  <c r="DI86" i="45"/>
  <c r="CA59" i="45"/>
  <c r="CA81" i="45"/>
  <c r="CA86" i="45"/>
  <c r="CM59" i="45"/>
  <c r="CM81" i="45"/>
  <c r="CM86" i="45"/>
  <c r="DQ59" i="45"/>
  <c r="DQ81" i="45"/>
  <c r="DQ86" i="45"/>
  <c r="EC59" i="45"/>
  <c r="EC81" i="45"/>
  <c r="EC86" i="45"/>
  <c r="DG86" i="45"/>
  <c r="DG81" i="45"/>
  <c r="CD59" i="45"/>
  <c r="CD86" i="45"/>
  <c r="CD81" i="45"/>
  <c r="EK59" i="45"/>
  <c r="EK86" i="45"/>
  <c r="EK81" i="45"/>
  <c r="BZ81" i="45"/>
  <c r="BZ86" i="45"/>
  <c r="CY59" i="45"/>
  <c r="CY81" i="45"/>
  <c r="CY86" i="45"/>
  <c r="BW86" i="45"/>
  <c r="BW81" i="45"/>
  <c r="BY81" i="45"/>
  <c r="BY86" i="45"/>
  <c r="EA81" i="45"/>
  <c r="EA86" i="45"/>
  <c r="CL81" i="45"/>
  <c r="CL86" i="45"/>
  <c r="EH59" i="45"/>
  <c r="EH81" i="45"/>
  <c r="EH86" i="45"/>
  <c r="CB86" i="45"/>
  <c r="CB81" i="45"/>
  <c r="EP59" i="45"/>
  <c r="EP86" i="45"/>
  <c r="EP81" i="45"/>
  <c r="CZ59" i="45"/>
  <c r="CZ86" i="45"/>
  <c r="CZ81" i="45"/>
  <c r="EF59" i="45"/>
  <c r="EF86" i="45"/>
  <c r="EF81" i="45"/>
  <c r="DA59" i="45"/>
  <c r="DA86" i="45"/>
  <c r="DA81" i="45"/>
  <c r="DO81" i="45"/>
  <c r="DO86" i="45"/>
  <c r="DE81" i="45"/>
  <c r="DE86" i="45"/>
  <c r="EQ59" i="45"/>
  <c r="EQ86" i="45"/>
  <c r="EQ81" i="45"/>
  <c r="CU59" i="45"/>
  <c r="CU86" i="45"/>
  <c r="CU81" i="45"/>
  <c r="CP59" i="45"/>
  <c r="CP86" i="45"/>
  <c r="CP81" i="45"/>
  <c r="DR86" i="45"/>
  <c r="DR81" i="45"/>
  <c r="DJ81" i="45"/>
  <c r="DJ86" i="45"/>
  <c r="DC59" i="45"/>
  <c r="DC81" i="45"/>
  <c r="DC86" i="45"/>
  <c r="ED59" i="45"/>
  <c r="ED86" i="45"/>
  <c r="ED81" i="45"/>
  <c r="CC59" i="45"/>
  <c r="CC86" i="45"/>
  <c r="CC81" i="45"/>
  <c r="DN59" i="45"/>
  <c r="DN86" i="45"/>
  <c r="DN81" i="45"/>
  <c r="EK378" i="45"/>
  <c r="CE81" i="45"/>
  <c r="CE86" i="45"/>
  <c r="EG59" i="45"/>
  <c r="EG81" i="45"/>
  <c r="EG86" i="45"/>
  <c r="CR81" i="45"/>
  <c r="CR86" i="45"/>
  <c r="EN59" i="45"/>
  <c r="EN81" i="45"/>
  <c r="EN86" i="45"/>
  <c r="CH86" i="45"/>
  <c r="CH81" i="45"/>
  <c r="DF59" i="45"/>
  <c r="DF86" i="45"/>
  <c r="DF81" i="45"/>
  <c r="BX59" i="45"/>
  <c r="BX86" i="45"/>
  <c r="BX81" i="45"/>
  <c r="ER59" i="45"/>
  <c r="ER86" i="45"/>
  <c r="ER81" i="45"/>
  <c r="DM86" i="45"/>
  <c r="DM81" i="45"/>
  <c r="EE59" i="45"/>
  <c r="EE86" i="45"/>
  <c r="EE81" i="45"/>
  <c r="EL59" i="45"/>
  <c r="EL86" i="45"/>
  <c r="EL81" i="45"/>
  <c r="CI59" i="45"/>
  <c r="CI86" i="45"/>
  <c r="CI81" i="45"/>
  <c r="CW81" i="45"/>
  <c r="CW86" i="45"/>
  <c r="DP81" i="45"/>
  <c r="DP86" i="45"/>
  <c r="CV59" i="45"/>
  <c r="CV86" i="45"/>
  <c r="CV81" i="45"/>
  <c r="EI59" i="45"/>
  <c r="EI81" i="45"/>
  <c r="EI86" i="45"/>
  <c r="DH59" i="45"/>
  <c r="DH86" i="45"/>
  <c r="DH81" i="45"/>
  <c r="CQ59" i="45"/>
  <c r="CQ81" i="45"/>
  <c r="CQ86" i="45"/>
  <c r="CK81" i="45"/>
  <c r="CK86" i="45"/>
  <c r="EM59" i="45"/>
  <c r="EM81" i="45"/>
  <c r="EM86" i="45"/>
  <c r="DD59" i="45"/>
  <c r="DD81" i="45"/>
  <c r="DD86" i="45"/>
  <c r="CN86" i="45"/>
  <c r="CN81" i="45"/>
  <c r="DL86" i="45"/>
  <c r="DL81" i="45"/>
  <c r="CJ59" i="45"/>
  <c r="CJ86" i="45"/>
  <c r="CJ81" i="45"/>
  <c r="DY59" i="45"/>
  <c r="DY86" i="45"/>
  <c r="DY81" i="45"/>
  <c r="CX59" i="45"/>
  <c r="CX81" i="45"/>
  <c r="CX86" i="45"/>
  <c r="CG59" i="45"/>
  <c r="CG81" i="45"/>
  <c r="CG86" i="45"/>
  <c r="CS59" i="45"/>
  <c r="CS81" i="45"/>
  <c r="CS86" i="45"/>
  <c r="DK81" i="45"/>
  <c r="DK86" i="45"/>
  <c r="EO59" i="45"/>
  <c r="EO81" i="45"/>
  <c r="EO86" i="45"/>
  <c r="DB86" i="45"/>
  <c r="DB81" i="45"/>
  <c r="CN43" i="45"/>
  <c r="CN69" i="45" s="1"/>
  <c r="CN59" i="45"/>
  <c r="DL43" i="45"/>
  <c r="DL69" i="45" s="1"/>
  <c r="DL59" i="45"/>
  <c r="DK43" i="45"/>
  <c r="DK69" i="45" s="1"/>
  <c r="DK59" i="45"/>
  <c r="DB43" i="45"/>
  <c r="DB69" i="45" s="1"/>
  <c r="DB59" i="45"/>
  <c r="CK43" i="45"/>
  <c r="CK69" i="45" s="1"/>
  <c r="CK59" i="45"/>
  <c r="CW43" i="45"/>
  <c r="CW69" i="45" s="1"/>
  <c r="CW59" i="45"/>
  <c r="DP43" i="45"/>
  <c r="DP69" i="45" s="1"/>
  <c r="DP59" i="45"/>
  <c r="DR43" i="45"/>
  <c r="DR69" i="45" s="1"/>
  <c r="DR59" i="45"/>
  <c r="DJ43" i="45"/>
  <c r="DJ69" i="45" s="1"/>
  <c r="DJ59" i="45"/>
  <c r="BZ43" i="45"/>
  <c r="BZ69" i="45" s="1"/>
  <c r="BZ59" i="45"/>
  <c r="BW43" i="45"/>
  <c r="BW69" i="45" s="1"/>
  <c r="BW59" i="45"/>
  <c r="CH43" i="45"/>
  <c r="CH69" i="45" s="1"/>
  <c r="CH59" i="45"/>
  <c r="DU43" i="45"/>
  <c r="DU69" i="45" s="1"/>
  <c r="DU59" i="45"/>
  <c r="CF43" i="45"/>
  <c r="CF69" i="45" s="1"/>
  <c r="CF59" i="45"/>
  <c r="EB43" i="45"/>
  <c r="EB69" i="45" s="1"/>
  <c r="EB59" i="45"/>
  <c r="BV43" i="45"/>
  <c r="BV69" i="45" s="1"/>
  <c r="BV59" i="45"/>
  <c r="DT43" i="45"/>
  <c r="DT69" i="45" s="1"/>
  <c r="DT59" i="45"/>
  <c r="DG43" i="45"/>
  <c r="DG69" i="45" s="1"/>
  <c r="DG59" i="45"/>
  <c r="CE43" i="45"/>
  <c r="CE69" i="45" s="1"/>
  <c r="CE59" i="45"/>
  <c r="CR43" i="45"/>
  <c r="CR69" i="45" s="1"/>
  <c r="CR59" i="45"/>
  <c r="DM43" i="45"/>
  <c r="DM69" i="45" s="1"/>
  <c r="DM59" i="45"/>
  <c r="BY43" i="45"/>
  <c r="BY69" i="45" s="1"/>
  <c r="BY59" i="45"/>
  <c r="EA43" i="45"/>
  <c r="EA69" i="45" s="1"/>
  <c r="EA59" i="45"/>
  <c r="CL43" i="45"/>
  <c r="CL69" i="45" s="1"/>
  <c r="CL59" i="45"/>
  <c r="CB43" i="45"/>
  <c r="CB69" i="45" s="1"/>
  <c r="CB59" i="45"/>
  <c r="DO43" i="45"/>
  <c r="DO69" i="45" s="1"/>
  <c r="DO59" i="45"/>
  <c r="DE43" i="45"/>
  <c r="DE69" i="45" s="1"/>
  <c r="DE59" i="45"/>
  <c r="EQ43" i="45"/>
  <c r="EQ69" i="45" s="1"/>
  <c r="AK1" i="57"/>
  <c r="AK83" i="57" s="1"/>
  <c r="EG43" i="45"/>
  <c r="EG69" i="45" s="1"/>
  <c r="AR1" i="57"/>
  <c r="AR83" i="57" s="1"/>
  <c r="EN43" i="45"/>
  <c r="EN69" i="45" s="1"/>
  <c r="DF43" i="45"/>
  <c r="DF69" i="45" s="1"/>
  <c r="BX43" i="45"/>
  <c r="BX69" i="45" s="1"/>
  <c r="ER43" i="45"/>
  <c r="ER69" i="45" s="1"/>
  <c r="EE16" i="45"/>
  <c r="EE43" i="45"/>
  <c r="EE69" i="45" s="1"/>
  <c r="AL1" i="57"/>
  <c r="AL83" i="57" s="1"/>
  <c r="EH43" i="45"/>
  <c r="EH69" i="45" s="1"/>
  <c r="AT1" i="57"/>
  <c r="AT83" i="57" s="1"/>
  <c r="EP43" i="45"/>
  <c r="EP69" i="45" s="1"/>
  <c r="EF43" i="45"/>
  <c r="EF69" i="45" s="1"/>
  <c r="EL43" i="45"/>
  <c r="EL69" i="45" s="1"/>
  <c r="AQ1" i="57"/>
  <c r="AQ83" i="57" s="1"/>
  <c r="EM43" i="45"/>
  <c r="EM69" i="45" s="1"/>
  <c r="DD43" i="45"/>
  <c r="DD69" i="45" s="1"/>
  <c r="CJ43" i="45"/>
  <c r="CJ69" i="45" s="1"/>
  <c r="DY43" i="45"/>
  <c r="DY69" i="45" s="1"/>
  <c r="CX43" i="45"/>
  <c r="CX69" i="45" s="1"/>
  <c r="CG43" i="45"/>
  <c r="CG69" i="45" s="1"/>
  <c r="CS43" i="45"/>
  <c r="CS69" i="45" s="1"/>
  <c r="EO378" i="45"/>
  <c r="EO43" i="45"/>
  <c r="EO69" i="45" s="1"/>
  <c r="CV43" i="45"/>
  <c r="CV69" i="45" s="1"/>
  <c r="EK27" i="45"/>
  <c r="EK43" i="45"/>
  <c r="EK69" i="45" s="1"/>
  <c r="EI43" i="45"/>
  <c r="EI69" i="45" s="1"/>
  <c r="DN43" i="45"/>
  <c r="DN69" i="45" s="1"/>
  <c r="DC43" i="45"/>
  <c r="DC69" i="45" s="1"/>
  <c r="AH1" i="57"/>
  <c r="AH96" i="57" s="1"/>
  <c r="ED43" i="45"/>
  <c r="ED69" i="45" s="1"/>
  <c r="DH43" i="45"/>
  <c r="DH69" i="45" s="1"/>
  <c r="CC43" i="45"/>
  <c r="CC69" i="45" s="1"/>
  <c r="CQ27" i="45"/>
  <c r="CQ43" i="45"/>
  <c r="CQ69" i="45" s="1"/>
  <c r="CY27" i="45"/>
  <c r="CY43" i="45"/>
  <c r="CY69" i="45" s="1"/>
  <c r="CZ43" i="45"/>
  <c r="CZ69" i="45" s="1"/>
  <c r="DA16" i="45"/>
  <c r="DA43" i="45"/>
  <c r="DA69" i="45" s="1"/>
  <c r="CU27" i="45"/>
  <c r="CU43" i="45"/>
  <c r="CU69" i="45" s="1"/>
  <c r="AN1" i="57"/>
  <c r="AN83" i="57" s="1"/>
  <c r="EJ43" i="45"/>
  <c r="EJ69" i="45" s="1"/>
  <c r="CT43" i="45"/>
  <c r="CT69" i="45" s="1"/>
  <c r="CO16" i="45"/>
  <c r="CO43" i="45"/>
  <c r="CO69" i="45" s="1"/>
  <c r="DI27" i="45"/>
  <c r="DI43" i="45"/>
  <c r="DI69" i="45" s="1"/>
  <c r="CA27" i="45"/>
  <c r="CA43" i="45"/>
  <c r="CA69" i="45" s="1"/>
  <c r="CM43" i="45"/>
  <c r="CM69" i="45" s="1"/>
  <c r="DQ43" i="45"/>
  <c r="DQ69" i="45" s="1"/>
  <c r="EC27" i="45"/>
  <c r="EC43" i="45"/>
  <c r="EC69" i="45" s="1"/>
  <c r="CD43" i="45"/>
  <c r="CD69" i="45" s="1"/>
  <c r="CP43" i="45"/>
  <c r="CP69" i="45" s="1"/>
  <c r="CI43" i="45"/>
  <c r="CI69" i="45" s="1"/>
  <c r="CI403" i="45"/>
  <c r="CI315" i="7"/>
  <c r="CI560" i="7" s="1"/>
  <c r="CI562" i="7" s="1"/>
  <c r="CI102" i="45"/>
  <c r="CI27" i="45"/>
  <c r="CJ242" i="7"/>
  <c r="CI242" i="7" s="1"/>
  <c r="CI564" i="7" s="1"/>
  <c r="H183" i="7"/>
  <c r="H186" i="7" s="1"/>
  <c r="DA317" i="7"/>
  <c r="DA520" i="7" s="1"/>
  <c r="AM143" i="8"/>
  <c r="CI16" i="45"/>
  <c r="BO34" i="7"/>
  <c r="AV556" i="7"/>
  <c r="U556" i="7"/>
  <c r="BS300" i="7"/>
  <c r="AT317" i="7"/>
  <c r="AS317" i="7" s="1"/>
  <c r="AS560" i="7" s="1"/>
  <c r="AS562" i="7" s="1"/>
  <c r="EK40" i="7"/>
  <c r="DG245" i="7"/>
  <c r="DG568" i="7" s="1"/>
  <c r="AJ181" i="7"/>
  <c r="BJ300" i="7"/>
  <c r="CV208" i="8"/>
  <c r="EP13" i="8"/>
  <c r="DH208" i="8"/>
  <c r="AM28" i="8"/>
  <c r="BG261" i="7"/>
  <c r="BE141" i="8"/>
  <c r="EQ40" i="7"/>
  <c r="CI195" i="7"/>
  <c r="BO115" i="8"/>
  <c r="BO116" i="8" s="1"/>
  <c r="BN116" i="8" s="1"/>
  <c r="BN18" i="8" s="1"/>
  <c r="DP198" i="7"/>
  <c r="DM190" i="45"/>
  <c r="S260" i="7"/>
  <c r="R260" i="7" s="1"/>
  <c r="BD220" i="8"/>
  <c r="CH13" i="8"/>
  <c r="EE198" i="7"/>
  <c r="AG556" i="7"/>
  <c r="BO33" i="7"/>
  <c r="BN33" i="7" s="1"/>
  <c r="BS34" i="7"/>
  <c r="BS42" i="7" s="1"/>
  <c r="U142" i="8"/>
  <c r="AM185" i="7"/>
  <c r="BS13" i="8"/>
  <c r="CH20" i="8"/>
  <c r="AW285" i="8"/>
  <c r="BN35" i="7"/>
  <c r="BN555" i="7" s="1"/>
  <c r="BX325" i="7"/>
  <c r="BW4" i="8"/>
  <c r="BW10" i="8" s="1"/>
  <c r="BO102" i="8"/>
  <c r="BO104" i="8" s="1"/>
  <c r="BO17" i="8" s="1"/>
  <c r="BO555" i="7"/>
  <c r="BO556" i="7" s="1"/>
  <c r="U566" i="7"/>
  <c r="AD566" i="7"/>
  <c r="DE208" i="8"/>
  <c r="AW355" i="7"/>
  <c r="AO285" i="8"/>
  <c r="BD13" i="8"/>
  <c r="CY242" i="7"/>
  <c r="Z41" i="9" s="1"/>
  <c r="Z40" i="9" s="1"/>
  <c r="AJ155" i="8"/>
  <c r="DD40" i="7"/>
  <c r="CX40" i="7"/>
  <c r="AS155" i="8"/>
  <c r="BX556" i="7"/>
  <c r="BE143" i="8"/>
  <c r="BT198" i="7"/>
  <c r="CB556" i="7"/>
  <c r="DT246" i="7"/>
  <c r="DW246" i="7" s="1"/>
  <c r="DX246" i="7" s="1"/>
  <c r="DX245" i="7" s="1"/>
  <c r="DN33" i="8"/>
  <c r="DN36" i="8" s="1"/>
  <c r="DN39" i="8" s="1"/>
  <c r="DM39" i="8" s="1"/>
  <c r="AM204" i="7"/>
  <c r="DR33" i="8"/>
  <c r="CN220" i="8"/>
  <c r="CN285" i="8" s="1"/>
  <c r="BW86" i="8"/>
  <c r="BW88" i="8" s="1"/>
  <c r="DN35" i="8"/>
  <c r="DN37" i="8" s="1"/>
  <c r="L155" i="8"/>
  <c r="DQ35" i="8"/>
  <c r="CO40" i="7"/>
  <c r="DM246" i="7"/>
  <c r="DM33" i="8" s="1"/>
  <c r="AG116" i="7"/>
  <c r="BL17" i="8"/>
  <c r="DQ208" i="8"/>
  <c r="BY300" i="7"/>
  <c r="DM40" i="7"/>
  <c r="BE195" i="7"/>
  <c r="CP208" i="8"/>
  <c r="CY208" i="8"/>
  <c r="DD195" i="7"/>
  <c r="BQ566" i="7"/>
  <c r="CF195" i="7"/>
  <c r="BO208" i="8"/>
  <c r="CG208" i="8"/>
  <c r="CH34" i="7"/>
  <c r="CH555" i="7" s="1"/>
  <c r="CH556" i="7" s="1"/>
  <c r="BT125" i="8"/>
  <c r="N177" i="8"/>
  <c r="BK330" i="7"/>
  <c r="CE300" i="7"/>
  <c r="I63" i="7"/>
  <c r="BX242" i="7"/>
  <c r="BW242" i="7" s="1"/>
  <c r="BW564" i="7" s="1"/>
  <c r="BY565" i="7"/>
  <c r="BY566" i="7" s="1"/>
  <c r="BK218" i="7"/>
  <c r="AO300" i="7"/>
  <c r="DR351" i="7"/>
  <c r="O566" i="7"/>
  <c r="BU208" i="8"/>
  <c r="EQ198" i="7"/>
  <c r="DY198" i="7"/>
  <c r="I220" i="7"/>
  <c r="BI183" i="7"/>
  <c r="BI186" i="7" s="1"/>
  <c r="BX208" i="8"/>
  <c r="DN153" i="45"/>
  <c r="DN154" i="45" s="1"/>
  <c r="W261" i="7"/>
  <c r="AS566" i="7"/>
  <c r="U34" i="7"/>
  <c r="BZ195" i="7"/>
  <c r="BQ195" i="7"/>
  <c r="CD208" i="8"/>
  <c r="BB218" i="7"/>
  <c r="AY566" i="7"/>
  <c r="BT555" i="7"/>
  <c r="BT556" i="7" s="1"/>
  <c r="BD300" i="7"/>
  <c r="EC13" i="8"/>
  <c r="AV185" i="7"/>
  <c r="H11" i="7"/>
  <c r="BT185" i="7"/>
  <c r="X220" i="7"/>
  <c r="CB261" i="7"/>
  <c r="AY155" i="8"/>
  <c r="AN300" i="7"/>
  <c r="AM300" i="7" s="1"/>
  <c r="EC20" i="8"/>
  <c r="AY86" i="8"/>
  <c r="AY88" i="8" s="1"/>
  <c r="CC40" i="7"/>
  <c r="AL261" i="7"/>
  <c r="BN554" i="7"/>
  <c r="CB566" i="7"/>
  <c r="N183" i="7"/>
  <c r="N186" i="7" s="1"/>
  <c r="AD116" i="7"/>
  <c r="BL20" i="8"/>
  <c r="BP20" i="8"/>
  <c r="EN40" i="7"/>
  <c r="CN13" i="8"/>
  <c r="DG132" i="8"/>
  <c r="DH132" i="8" s="1"/>
  <c r="Q5" i="8"/>
  <c r="Q11" i="8" s="1"/>
  <c r="BZ315" i="7"/>
  <c r="BZ560" i="7" s="1"/>
  <c r="BZ562" i="7" s="1"/>
  <c r="AY331" i="7"/>
  <c r="AX261" i="7"/>
  <c r="AN260" i="7"/>
  <c r="AF183" i="7"/>
  <c r="AF186" i="7" s="1"/>
  <c r="CA317" i="7"/>
  <c r="BZ317" i="7" s="1"/>
  <c r="AZ20" i="8"/>
  <c r="AM250" i="7"/>
  <c r="AM576" i="7" s="1"/>
  <c r="BP205" i="7"/>
  <c r="BQ205" i="7" s="1"/>
  <c r="BT184" i="7"/>
  <c r="BP261" i="7"/>
  <c r="U181" i="7"/>
  <c r="CI198" i="7"/>
  <c r="CC389" i="7"/>
  <c r="CU82" i="7"/>
  <c r="CU519" i="7" s="1"/>
  <c r="BM155" i="8"/>
  <c r="O556" i="7"/>
  <c r="BC220" i="7"/>
  <c r="BB220" i="7" s="1"/>
  <c r="CD389" i="7"/>
  <c r="R116" i="7"/>
  <c r="BK147" i="8"/>
  <c r="BK143" i="8" s="1"/>
  <c r="CH220" i="7"/>
  <c r="BK185" i="7"/>
  <c r="BK166" i="7"/>
  <c r="AS294" i="8"/>
  <c r="EM20" i="8"/>
  <c r="D13" i="8"/>
  <c r="BI10" i="7"/>
  <c r="AI5" i="8"/>
  <c r="AI11" i="8" s="1"/>
  <c r="M355" i="7"/>
  <c r="BU317" i="7"/>
  <c r="BT317" i="7" s="1"/>
  <c r="BT560" i="7" s="1"/>
  <c r="BT562" i="7" s="1"/>
  <c r="BL285" i="8"/>
  <c r="BH566" i="7"/>
  <c r="EE195" i="7"/>
  <c r="EM13" i="8"/>
  <c r="D20" i="8"/>
  <c r="AO5" i="8"/>
  <c r="AO11" i="8" s="1"/>
  <c r="BL64" i="8"/>
  <c r="BI116" i="7"/>
  <c r="BI140" i="7" s="1"/>
  <c r="BJ34" i="7"/>
  <c r="BJ42" i="7" s="1"/>
  <c r="CU40" i="7"/>
  <c r="BE220" i="7"/>
  <c r="BH86" i="8"/>
  <c r="BH88" i="8" s="1"/>
  <c r="BX155" i="7"/>
  <c r="AM566" i="7"/>
  <c r="AS327" i="7"/>
  <c r="BV220" i="8"/>
  <c r="BV285" i="8" s="1"/>
  <c r="BL13" i="8"/>
  <c r="BX69" i="7"/>
  <c r="BX154" i="7" s="1"/>
  <c r="AX20" i="8"/>
  <c r="BX179" i="7"/>
  <c r="BW179" i="7" s="1"/>
  <c r="BV177" i="7"/>
  <c r="AS141" i="8"/>
  <c r="BT566" i="7"/>
  <c r="DJ195" i="7"/>
  <c r="BG300" i="7"/>
  <c r="AR300" i="7"/>
  <c r="BG20" i="8"/>
  <c r="CO198" i="7"/>
  <c r="AC261" i="7"/>
  <c r="BF300" i="7"/>
  <c r="BE300" i="7" s="1"/>
  <c r="BN316" i="7"/>
  <c r="AV63" i="7"/>
  <c r="AV27" i="8" s="1"/>
  <c r="AV28" i="8" s="1"/>
  <c r="AS330" i="7"/>
  <c r="EE205" i="7"/>
  <c r="AM336" i="7"/>
  <c r="AR220" i="8"/>
  <c r="BG13" i="8"/>
  <c r="BW125" i="8"/>
  <c r="BK35" i="7"/>
  <c r="BK555" i="7" s="1"/>
  <c r="DJ245" i="7"/>
  <c r="DJ568" i="7" s="1"/>
  <c r="BH155" i="8"/>
  <c r="AU27" i="8"/>
  <c r="AU28" i="8" s="1"/>
  <c r="BM204" i="7"/>
  <c r="BM212" i="7" s="1"/>
  <c r="CI268" i="7"/>
  <c r="EL403" i="45"/>
  <c r="Q69" i="7"/>
  <c r="Q61" i="7" s="1"/>
  <c r="Q55" i="7" s="1"/>
  <c r="Q53" i="7" s="1"/>
  <c r="Q43" i="7" s="1"/>
  <c r="DK568" i="7"/>
  <c r="AO261" i="7"/>
  <c r="AU181" i="7"/>
  <c r="AV181" i="7" s="1"/>
  <c r="Q183" i="7"/>
  <c r="Q186" i="7" s="1"/>
  <c r="BS261" i="7"/>
  <c r="CI278" i="7"/>
  <c r="AP146" i="8"/>
  <c r="AP142" i="8" s="1"/>
  <c r="AR285" i="8"/>
  <c r="BY20" i="8"/>
  <c r="AR13" i="8"/>
  <c r="EN198" i="7"/>
  <c r="Q4" i="8"/>
  <c r="Q10" i="8" s="1"/>
  <c r="CE261" i="7"/>
  <c r="R73" i="7"/>
  <c r="R4" i="8" s="1"/>
  <c r="R10" i="8" s="1"/>
  <c r="AD556" i="7"/>
  <c r="CJ273" i="7"/>
  <c r="CI273" i="7" s="1"/>
  <c r="DP40" i="7"/>
  <c r="AV566" i="7"/>
  <c r="BK566" i="7"/>
  <c r="BP220" i="8"/>
  <c r="BP285" i="8" s="1"/>
  <c r="AZ13" i="8"/>
  <c r="BY13" i="8"/>
  <c r="EL102" i="45"/>
  <c r="BG285" i="8"/>
  <c r="BQ198" i="7"/>
  <c r="Q261" i="7"/>
  <c r="DS195" i="7"/>
  <c r="DG40" i="7"/>
  <c r="BW198" i="7"/>
  <c r="DS39" i="7"/>
  <c r="BN566" i="7"/>
  <c r="BK31" i="7"/>
  <c r="F391" i="7"/>
  <c r="BQ185" i="7"/>
  <c r="CC195" i="7"/>
  <c r="AV332" i="7"/>
  <c r="AV334" i="7" s="1"/>
  <c r="CR82" i="7"/>
  <c r="CR519" i="7" s="1"/>
  <c r="AV146" i="8"/>
  <c r="AV142" i="8" s="1"/>
  <c r="R566" i="7"/>
  <c r="AY141" i="8"/>
  <c r="BA34" i="7"/>
  <c r="BB34" i="7" s="1"/>
  <c r="CL40" i="7"/>
  <c r="X155" i="8"/>
  <c r="G390" i="7"/>
  <c r="G391" i="7" s="1"/>
  <c r="CS242" i="7"/>
  <c r="X41" i="9" s="1"/>
  <c r="X40" i="9" s="1"/>
  <c r="AP185" i="7"/>
  <c r="BA204" i="7"/>
  <c r="DP13" i="8"/>
  <c r="CG86" i="8"/>
  <c r="AZ42" i="7"/>
  <c r="AY42" i="7" s="1"/>
  <c r="CV354" i="7"/>
  <c r="BB195" i="7"/>
  <c r="DP20" i="8"/>
  <c r="DU351" i="7"/>
  <c r="CF86" i="8"/>
  <c r="CF88" i="8" s="1"/>
  <c r="AD142" i="8"/>
  <c r="CX205" i="7"/>
  <c r="CX444" i="7" s="1"/>
  <c r="CO82" i="7"/>
  <c r="BK169" i="7"/>
  <c r="F155" i="8"/>
  <c r="AV204" i="7"/>
  <c r="DK354" i="7"/>
  <c r="CF40" i="7"/>
  <c r="BM300" i="7"/>
  <c r="BY261" i="7"/>
  <c r="BH162" i="7"/>
  <c r="BK184" i="7"/>
  <c r="BM10" i="7"/>
  <c r="K261" i="7"/>
  <c r="CI40" i="7"/>
  <c r="Z300" i="7"/>
  <c r="DG195" i="7"/>
  <c r="AP332" i="7"/>
  <c r="AP334" i="7" s="1"/>
  <c r="BT88" i="8"/>
  <c r="BE40" i="7"/>
  <c r="BV300" i="7"/>
  <c r="EH40" i="7"/>
  <c r="BZ293" i="7"/>
  <c r="BZ86" i="8" s="1"/>
  <c r="BZ88" i="8" s="1"/>
  <c r="AV330" i="7"/>
  <c r="AW183" i="7"/>
  <c r="AW186" i="7" s="1"/>
  <c r="CH293" i="7"/>
  <c r="CH86" i="8" s="1"/>
  <c r="X116" i="7"/>
  <c r="CK296" i="7"/>
  <c r="CM296" i="7" s="1"/>
  <c r="CI296" i="7"/>
  <c r="BN57" i="7"/>
  <c r="BN155" i="8" s="1"/>
  <c r="CK295" i="7"/>
  <c r="CI295" i="7"/>
  <c r="CC378" i="7"/>
  <c r="CJ293" i="7"/>
  <c r="CQ298" i="7"/>
  <c r="CS298" i="7" s="1"/>
  <c r="CO298" i="7"/>
  <c r="CT276" i="7"/>
  <c r="CV276" i="7" s="1"/>
  <c r="CR276" i="7"/>
  <c r="AM328" i="7"/>
  <c r="AM332" i="7"/>
  <c r="AM334" i="7" s="1"/>
  <c r="BE336" i="7"/>
  <c r="BE329" i="7"/>
  <c r="EP220" i="8"/>
  <c r="EP285" i="8" s="1"/>
  <c r="CJ13" i="8"/>
  <c r="EG13" i="8"/>
  <c r="EH198" i="7"/>
  <c r="DO351" i="7"/>
  <c r="DA188" i="7"/>
  <c r="DA152" i="8" s="1"/>
  <c r="AA220" i="7"/>
  <c r="BO155" i="8"/>
  <c r="CJ24" i="8"/>
  <c r="CI24" i="8" s="1"/>
  <c r="AM283" i="7"/>
  <c r="I181" i="7"/>
  <c r="BQ40" i="7"/>
  <c r="BN335" i="7"/>
  <c r="BN327" i="7"/>
  <c r="DL292" i="7"/>
  <c r="DN292" i="7" s="1"/>
  <c r="DJ292" i="7"/>
  <c r="CB220" i="8"/>
  <c r="CB285" i="8" s="1"/>
  <c r="CJ20" i="8"/>
  <c r="BC24" i="7"/>
  <c r="BN31" i="7"/>
  <c r="AE355" i="7"/>
  <c r="CK24" i="8"/>
  <c r="CF198" i="7"/>
  <c r="W140" i="7"/>
  <c r="X140" i="7" s="1"/>
  <c r="BR300" i="7"/>
  <c r="BQ300" i="7" s="1"/>
  <c r="CD69" i="7"/>
  <c r="CC69" i="7" s="1"/>
  <c r="DB218" i="7"/>
  <c r="DA218" i="7" s="1"/>
  <c r="CO205" i="7"/>
  <c r="CR198" i="7"/>
  <c r="CD179" i="7"/>
  <c r="L332" i="7"/>
  <c r="BN145" i="8"/>
  <c r="BN141" i="8" s="1"/>
  <c r="CK271" i="7"/>
  <c r="CM271" i="7" s="1"/>
  <c r="CI271" i="7"/>
  <c r="ER13" i="8"/>
  <c r="CB13" i="8"/>
  <c r="CM27" i="45"/>
  <c r="CM252" i="7"/>
  <c r="CL252" i="7" s="1"/>
  <c r="AE140" i="7"/>
  <c r="AD140" i="7" s="1"/>
  <c r="BN151" i="7"/>
  <c r="BH40" i="7"/>
  <c r="DA40" i="7"/>
  <c r="BZ242" i="7"/>
  <c r="BZ564" i="7" s="1"/>
  <c r="BU300" i="7"/>
  <c r="BT300" i="7" s="1"/>
  <c r="BA556" i="7"/>
  <c r="BG204" i="7"/>
  <c r="BG212" i="7" s="1"/>
  <c r="BH195" i="7"/>
  <c r="BE332" i="7"/>
  <c r="BE334" i="7" s="1"/>
  <c r="BN331" i="7"/>
  <c r="CU553" i="7"/>
  <c r="BN169" i="7"/>
  <c r="BN176" i="7"/>
  <c r="ER20" i="8"/>
  <c r="EJ13" i="8"/>
  <c r="AV184" i="7"/>
  <c r="DG82" i="7"/>
  <c r="BN166" i="7"/>
  <c r="AJ556" i="7"/>
  <c r="BN294" i="8"/>
  <c r="BF116" i="7"/>
  <c r="BF140" i="7" s="1"/>
  <c r="BE140" i="7" s="1"/>
  <c r="AW300" i="7"/>
  <c r="AV300" i="7" s="1"/>
  <c r="BF285" i="8"/>
  <c r="DG553" i="7"/>
  <c r="BP169" i="7"/>
  <c r="DS297" i="7"/>
  <c r="BN330" i="7"/>
  <c r="BF13" i="8"/>
  <c r="AC5" i="8"/>
  <c r="AC11" i="8" s="1"/>
  <c r="BQ31" i="7"/>
  <c r="W11" i="7"/>
  <c r="EB40" i="7"/>
  <c r="BQ151" i="7"/>
  <c r="CD325" i="7"/>
  <c r="BN329" i="7"/>
  <c r="BN147" i="8"/>
  <c r="BN143" i="8" s="1"/>
  <c r="BH146" i="8"/>
  <c r="BH142" i="8" s="1"/>
  <c r="BH328" i="7"/>
  <c r="AE1" i="57"/>
  <c r="BQ184" i="7"/>
  <c r="DN382" i="45"/>
  <c r="AL300" i="7"/>
  <c r="DN8" i="45"/>
  <c r="AP28" i="8"/>
  <c r="CL195" i="7"/>
  <c r="AX300" i="7"/>
  <c r="DI102" i="45"/>
  <c r="DQ27" i="45"/>
  <c r="CR174" i="8"/>
  <c r="T1" i="57"/>
  <c r="DM102" i="45"/>
  <c r="Z1" i="57"/>
  <c r="DH16" i="45"/>
  <c r="Y1" i="57"/>
  <c r="AF1" i="57"/>
  <c r="AB1" i="57"/>
  <c r="X1" i="57"/>
  <c r="BK198" i="7"/>
  <c r="AY335" i="7"/>
  <c r="CV116" i="7"/>
  <c r="CV140" i="7" s="1"/>
  <c r="BB85" i="7"/>
  <c r="BB175" i="7" s="1"/>
  <c r="BA116" i="7"/>
  <c r="BA140" i="7" s="1"/>
  <c r="BA144" i="7" s="1"/>
  <c r="BG164" i="7"/>
  <c r="CB10" i="7"/>
  <c r="BG116" i="7"/>
  <c r="BG140" i="7" s="1"/>
  <c r="BG144" i="7" s="1"/>
  <c r="BG147" i="7" s="1"/>
  <c r="BH143" i="7" s="1"/>
  <c r="BA156" i="7"/>
  <c r="BD156" i="7"/>
  <c r="BG156" i="7"/>
  <c r="CB91" i="7"/>
  <c r="CB5" i="8" s="1"/>
  <c r="CB11" i="8" s="1"/>
  <c r="BH85" i="7"/>
  <c r="BH175" i="7" s="1"/>
  <c r="BY91" i="7"/>
  <c r="BY5" i="8" s="1"/>
  <c r="BY11" i="8" s="1"/>
  <c r="BV13" i="8"/>
  <c r="CY367" i="7"/>
  <c r="CY378" i="7" s="1"/>
  <c r="DB367" i="7" s="1"/>
  <c r="DB378" i="7" s="1"/>
  <c r="AM184" i="7"/>
  <c r="CX315" i="7"/>
  <c r="CX560" i="7" s="1"/>
  <c r="CX562" i="7" s="1"/>
  <c r="CG156" i="7"/>
  <c r="BO300" i="7"/>
  <c r="BN300" i="7" s="1"/>
  <c r="CI218" i="7"/>
  <c r="AX220" i="8"/>
  <c r="DZ13" i="8"/>
  <c r="CW20" i="8"/>
  <c r="AW28" i="8"/>
  <c r="F116" i="7"/>
  <c r="CE565" i="7"/>
  <c r="CE566" i="7" s="1"/>
  <c r="DJ40" i="7"/>
  <c r="BF69" i="7"/>
  <c r="BF70" i="7" s="1"/>
  <c r="M300" i="7"/>
  <c r="L300" i="7" s="1"/>
  <c r="AX285" i="8"/>
  <c r="DZ20" i="8"/>
  <c r="CW13" i="8"/>
  <c r="BI88" i="7"/>
  <c r="BI86" i="7" s="1"/>
  <c r="AB11" i="7"/>
  <c r="S300" i="7"/>
  <c r="R300" i="7" s="1"/>
  <c r="CO195" i="7"/>
  <c r="BM20" i="8"/>
  <c r="BM285" i="8"/>
  <c r="BN184" i="7"/>
  <c r="P300" i="7"/>
  <c r="O300" i="7" s="1"/>
  <c r="BF261" i="7"/>
  <c r="BE261" i="7" s="1"/>
  <c r="F220" i="7"/>
  <c r="AR261" i="7"/>
  <c r="BL260" i="7"/>
  <c r="EN205" i="7"/>
  <c r="ED13" i="8"/>
  <c r="BI27" i="8"/>
  <c r="BI28" i="8" s="1"/>
  <c r="ED220" i="8"/>
  <c r="ED285" i="8" s="1"/>
  <c r="BM13" i="8"/>
  <c r="DD198" i="7"/>
  <c r="AP155" i="8"/>
  <c r="AA181" i="7"/>
  <c r="BN198" i="7"/>
  <c r="AU261" i="7"/>
  <c r="N300" i="7"/>
  <c r="AT11" i="7"/>
  <c r="W300" i="7"/>
  <c r="CC198" i="7"/>
  <c r="CU198" i="7"/>
  <c r="Z183" i="7"/>
  <c r="Z186" i="7" s="1"/>
  <c r="BJ173" i="7"/>
  <c r="BK146" i="8"/>
  <c r="BK142" i="8" s="1"/>
  <c r="I400" i="7"/>
  <c r="DB82" i="7"/>
  <c r="DB554" i="7" s="1"/>
  <c r="DN208" i="8"/>
  <c r="BW155" i="7"/>
  <c r="CU315" i="7"/>
  <c r="CU560" i="7" s="1"/>
  <c r="CU562" i="7" s="1"/>
  <c r="AI177" i="8"/>
  <c r="BH220" i="7"/>
  <c r="BH173" i="7"/>
  <c r="AS162" i="7"/>
  <c r="AX173" i="7"/>
  <c r="CK290" i="7"/>
  <c r="CM290" i="7" s="1"/>
  <c r="CI290" i="7"/>
  <c r="CV91" i="7"/>
  <c r="CV11" i="7" s="1"/>
  <c r="DH218" i="7"/>
  <c r="DG218" i="7" s="1"/>
  <c r="AZ285" i="8"/>
  <c r="BA300" i="7"/>
  <c r="AV74" i="7"/>
  <c r="BH177" i="7"/>
  <c r="AV177" i="7"/>
  <c r="CR252" i="7"/>
  <c r="BS4" i="8"/>
  <c r="BS10" i="8" s="1"/>
  <c r="BS177" i="7"/>
  <c r="BS325" i="7"/>
  <c r="BS179" i="7"/>
  <c r="BT179" i="7" s="1"/>
  <c r="BB250" i="7"/>
  <c r="BC576" i="7"/>
  <c r="CY317" i="7"/>
  <c r="CY560" i="7"/>
  <c r="CY562" i="7" s="1"/>
  <c r="O220" i="7"/>
  <c r="DG188" i="7"/>
  <c r="AN390" i="7"/>
  <c r="AZ261" i="7"/>
  <c r="AY261" i="7" s="1"/>
  <c r="BK336" i="7"/>
  <c r="BK334" i="7"/>
  <c r="R155" i="8"/>
  <c r="I391" i="7"/>
  <c r="CL198" i="7"/>
  <c r="AM181" i="7"/>
  <c r="BA261" i="7"/>
  <c r="BM261" i="7"/>
  <c r="BK328" i="7"/>
  <c r="BT250" i="7"/>
  <c r="BT576" i="7" s="1"/>
  <c r="BU576" i="7"/>
  <c r="CS274" i="7"/>
  <c r="CO274" i="7"/>
  <c r="AZ74" i="7"/>
  <c r="AZ325" i="7"/>
  <c r="AZ179" i="7"/>
  <c r="CK292" i="7"/>
  <c r="CM292" i="7" s="1"/>
  <c r="CI292" i="7"/>
  <c r="BW102" i="8"/>
  <c r="AG181" i="7"/>
  <c r="M405" i="7"/>
  <c r="K398" i="7"/>
  <c r="K390" i="7" s="1"/>
  <c r="K391" i="7" s="1"/>
  <c r="K400" i="7"/>
  <c r="BD177" i="7"/>
  <c r="BF325" i="7"/>
  <c r="BF179" i="7"/>
  <c r="BE179" i="7" s="1"/>
  <c r="BI155" i="7"/>
  <c r="BF162" i="7"/>
  <c r="BF74" i="7"/>
  <c r="BE73" i="7"/>
  <c r="DR285" i="7"/>
  <c r="DT285" i="7" s="1"/>
  <c r="DP285" i="7"/>
  <c r="AC177" i="8"/>
  <c r="CC85" i="7"/>
  <c r="CC175" i="7" s="1"/>
  <c r="W53" i="7"/>
  <c r="W43" i="7" s="1"/>
  <c r="R42" i="7"/>
  <c r="BK329" i="7"/>
  <c r="AR4" i="8"/>
  <c r="AR10" i="8" s="1"/>
  <c r="AR74" i="7"/>
  <c r="AU155" i="7"/>
  <c r="AR162" i="7"/>
  <c r="AR179" i="7"/>
  <c r="AR177" i="7"/>
  <c r="CK116" i="7"/>
  <c r="CK140" i="7" s="1"/>
  <c r="CD91" i="7"/>
  <c r="CD5" i="8" s="1"/>
  <c r="CD11" i="8" s="1"/>
  <c r="CD10" i="7"/>
  <c r="DT208" i="8"/>
  <c r="BV91" i="7"/>
  <c r="BV5" i="8" s="1"/>
  <c r="BV11" i="8" s="1"/>
  <c r="BO204" i="7"/>
  <c r="BO212" i="7" s="1"/>
  <c r="DS351" i="7"/>
  <c r="BT195" i="7"/>
  <c r="CP242" i="7"/>
  <c r="W41" i="9" s="1"/>
  <c r="W40" i="9" s="1"/>
  <c r="BP192" i="7"/>
  <c r="BQ192" i="7" s="1"/>
  <c r="CX198" i="7"/>
  <c r="BH4" i="8"/>
  <c r="BH10" i="8" s="1"/>
  <c r="BH325" i="7"/>
  <c r="CD354" i="7"/>
  <c r="CV242" i="7"/>
  <c r="Y41" i="9" s="1"/>
  <c r="Y40" i="9" s="1"/>
  <c r="BW195" i="7"/>
  <c r="DA39" i="7"/>
  <c r="BR116" i="7"/>
  <c r="BR140" i="7" s="1"/>
  <c r="BC116" i="7"/>
  <c r="BC140" i="7" s="1"/>
  <c r="CY444" i="7"/>
  <c r="EB198" i="7"/>
  <c r="DA195" i="7"/>
  <c r="CG355" i="7"/>
  <c r="DJ198" i="7"/>
  <c r="CF218" i="7"/>
  <c r="BW40" i="7"/>
  <c r="DP351" i="7"/>
  <c r="AJ63" i="7"/>
  <c r="EB195" i="7"/>
  <c r="K11" i="7"/>
  <c r="DP70" i="8"/>
  <c r="DG44" i="8"/>
  <c r="DG46" i="8" s="1"/>
  <c r="CA20" i="8"/>
  <c r="AJ91" i="7"/>
  <c r="AJ5" i="8" s="1"/>
  <c r="AJ11" i="8" s="1"/>
  <c r="AK393" i="7"/>
  <c r="AK20" i="7" s="1"/>
  <c r="AX88" i="7"/>
  <c r="AX86" i="7" s="1"/>
  <c r="AX91" i="7" s="1"/>
  <c r="AX5" i="8" s="1"/>
  <c r="AX11" i="8" s="1"/>
  <c r="BH294" i="8"/>
  <c r="CF184" i="7"/>
  <c r="L116" i="7"/>
  <c r="AP116" i="7"/>
  <c r="CE215" i="7"/>
  <c r="J300" i="7"/>
  <c r="I300" i="7" s="1"/>
  <c r="BB198" i="7"/>
  <c r="AD220" i="7"/>
  <c r="BK151" i="7"/>
  <c r="BM169" i="7"/>
  <c r="BK176" i="7"/>
  <c r="BK335" i="7"/>
  <c r="BK327" i="7"/>
  <c r="BW164" i="8"/>
  <c r="AQ69" i="7"/>
  <c r="AQ154" i="7" s="1"/>
  <c r="AK10" i="7"/>
  <c r="BC355" i="7"/>
  <c r="AY260" i="7"/>
  <c r="DB242" i="7"/>
  <c r="AA41" i="9" s="1"/>
  <c r="AA40" i="9" s="1"/>
  <c r="AE300" i="7"/>
  <c r="AD300" i="7" s="1"/>
  <c r="CG354" i="7"/>
  <c r="BK331" i="7"/>
  <c r="CJ102" i="45"/>
  <c r="AQ4" i="8"/>
  <c r="AQ10" i="8" s="1"/>
  <c r="CG116" i="7"/>
  <c r="CG140" i="7" s="1"/>
  <c r="CR188" i="7"/>
  <c r="AK183" i="7"/>
  <c r="AK186" i="7" s="1"/>
  <c r="AJ186" i="7" s="1"/>
  <c r="DE242" i="7"/>
  <c r="AB41" i="9" s="1"/>
  <c r="AB40" i="9" s="1"/>
  <c r="BA402" i="7"/>
  <c r="BC402" i="7" s="1"/>
  <c r="AY402" i="7"/>
  <c r="BM34" i="7"/>
  <c r="BM42" i="7" s="1"/>
  <c r="BV204" i="7"/>
  <c r="BV212" i="7" s="1"/>
  <c r="BV211" i="7" s="1"/>
  <c r="BE85" i="7"/>
  <c r="BE10" i="7" s="1"/>
  <c r="BI34" i="7"/>
  <c r="BH34" i="7" s="1"/>
  <c r="BN164" i="8"/>
  <c r="CX195" i="7"/>
  <c r="AM556" i="7"/>
  <c r="AM155" i="8"/>
  <c r="H300" i="7"/>
  <c r="CF188" i="7"/>
  <c r="CF215" i="7" s="1"/>
  <c r="BK145" i="8"/>
  <c r="BK141" i="8" s="1"/>
  <c r="AG140" i="7"/>
  <c r="BU556" i="7"/>
  <c r="DF317" i="7"/>
  <c r="DF520" i="7" s="1"/>
  <c r="AT261" i="7"/>
  <c r="AS261" i="7" s="1"/>
  <c r="DB204" i="7"/>
  <c r="DB212" i="7" s="1"/>
  <c r="DH242" i="7"/>
  <c r="AC41" i="9" s="1"/>
  <c r="AC40" i="9" s="1"/>
  <c r="CQ317" i="7"/>
  <c r="CQ520" i="7" s="1"/>
  <c r="AF261" i="7"/>
  <c r="CW317" i="7"/>
  <c r="CW520" i="7" s="1"/>
  <c r="CW560" i="7"/>
  <c r="CW562" i="7" s="1"/>
  <c r="AC300" i="7"/>
  <c r="AD155" i="8"/>
  <c r="K177" i="8"/>
  <c r="T261" i="7"/>
  <c r="EH205" i="7"/>
  <c r="BK554" i="7"/>
  <c r="AV34" i="7"/>
  <c r="AH300" i="7"/>
  <c r="AG300" i="7" s="1"/>
  <c r="DM195" i="7"/>
  <c r="DO265" i="7"/>
  <c r="DQ265" i="7" s="1"/>
  <c r="AO20" i="8"/>
  <c r="CM354" i="7"/>
  <c r="DA81" i="7"/>
  <c r="DA553" i="7" s="1"/>
  <c r="AO13" i="8"/>
  <c r="DB85" i="7"/>
  <c r="DB116" i="7" s="1"/>
  <c r="BJ204" i="7"/>
  <c r="BJ212" i="7" s="1"/>
  <c r="EF13" i="8"/>
  <c r="DC20" i="8"/>
  <c r="AM88" i="8"/>
  <c r="BK188" i="7"/>
  <c r="BK155" i="8" s="1"/>
  <c r="BJ155" i="8"/>
  <c r="EF20" i="8"/>
  <c r="CO102" i="45"/>
  <c r="BS20" i="8"/>
  <c r="DC13" i="8"/>
  <c r="AQ20" i="8"/>
  <c r="AQ285" i="8"/>
  <c r="EL13" i="8"/>
  <c r="DB27" i="45"/>
  <c r="CG13" i="8"/>
  <c r="BI285" i="8"/>
  <c r="BC192" i="7"/>
  <c r="BB192" i="7" s="1"/>
  <c r="BO354" i="7"/>
  <c r="EL20" i="8"/>
  <c r="EA20" i="8"/>
  <c r="AW13" i="8"/>
  <c r="CC104" i="8"/>
  <c r="CC17" i="8" s="1"/>
  <c r="DD553" i="7"/>
  <c r="BR13" i="8"/>
  <c r="EA13" i="8"/>
  <c r="AW20" i="8"/>
  <c r="DD82" i="7"/>
  <c r="DD519" i="7" s="1"/>
  <c r="DB553" i="7"/>
  <c r="BR20" i="8"/>
  <c r="BI20" i="8"/>
  <c r="EO13" i="8"/>
  <c r="BU13" i="8"/>
  <c r="EO20" i="8"/>
  <c r="DE354" i="7"/>
  <c r="CG10" i="7"/>
  <c r="CJ317" i="7"/>
  <c r="CI317" i="7" s="1"/>
  <c r="BX91" i="7"/>
  <c r="BX338" i="7" s="1"/>
  <c r="BX10" i="7"/>
  <c r="CG91" i="7"/>
  <c r="CG5" i="8" s="1"/>
  <c r="CG11" i="8" s="1"/>
  <c r="DF355" i="7"/>
  <c r="DH355" i="7" s="1"/>
  <c r="BJ116" i="7"/>
  <c r="BJ140" i="7" s="1"/>
  <c r="CJ156" i="7"/>
  <c r="DM198" i="7"/>
  <c r="DJ190" i="45"/>
  <c r="DM183" i="45"/>
  <c r="DM184" i="45" s="1"/>
  <c r="ER403" i="45"/>
  <c r="DK403" i="45"/>
  <c r="BX403" i="45"/>
  <c r="ER378" i="45"/>
  <c r="EO314" i="45"/>
  <c r="DF27" i="45"/>
  <c r="ER334" i="45"/>
  <c r="ER350" i="45" s="1"/>
  <c r="CG27" i="45"/>
  <c r="CX36" i="8"/>
  <c r="DY334" i="45"/>
  <c r="DY350" i="45" s="1"/>
  <c r="ER102" i="45"/>
  <c r="BR154" i="8"/>
  <c r="BQ154" i="8" s="1"/>
  <c r="CO403" i="45"/>
  <c r="DN102" i="45"/>
  <c r="CA403" i="45"/>
  <c r="DQ314" i="45"/>
  <c r="DN403" i="45"/>
  <c r="EC378" i="45"/>
  <c r="DI314" i="45"/>
  <c r="BR214" i="8"/>
  <c r="BQ214" i="8" s="1"/>
  <c r="BR184" i="8"/>
  <c r="BQ184" i="8" s="1"/>
  <c r="BR32" i="7"/>
  <c r="CU102" i="45"/>
  <c r="CU16" i="45"/>
  <c r="EE199" i="45"/>
  <c r="EE225" i="45" s="1"/>
  <c r="DT380" i="45"/>
  <c r="EQ16" i="45"/>
  <c r="DB102" i="45"/>
  <c r="CD403" i="45"/>
  <c r="DM16" i="45"/>
  <c r="EQ378" i="45"/>
  <c r="EL16" i="45"/>
  <c r="ER27" i="45"/>
  <c r="CS102" i="45"/>
  <c r="CZ27" i="45"/>
  <c r="DY314" i="45"/>
  <c r="DY27" i="45"/>
  <c r="EQ199" i="45"/>
  <c r="EQ225" i="45" s="1"/>
  <c r="BX16" i="45"/>
  <c r="ER199" i="45"/>
  <c r="ER225" i="45" s="1"/>
  <c r="CX27" i="45"/>
  <c r="DF403" i="45"/>
  <c r="DF102" i="45"/>
  <c r="CZ155" i="8"/>
  <c r="EF403" i="45"/>
  <c r="DY403" i="45"/>
  <c r="DJ184" i="45"/>
  <c r="DL13" i="45"/>
  <c r="DL208" i="45"/>
  <c r="DO208" i="45" s="1"/>
  <c r="DR208" i="45" s="1"/>
  <c r="DU208" i="45" s="1"/>
  <c r="EE334" i="45"/>
  <c r="EE350" i="45" s="1"/>
  <c r="DB16" i="45"/>
  <c r="DB403" i="45"/>
  <c r="DI58" i="7"/>
  <c r="DI57" i="7" s="1"/>
  <c r="P1" i="57"/>
  <c r="P83" i="57" s="1"/>
  <c r="DL199" i="45"/>
  <c r="DL225" i="45" s="1"/>
  <c r="CJ16" i="45"/>
  <c r="CJ27" i="45"/>
  <c r="CJ403" i="45"/>
  <c r="EK102" i="45"/>
  <c r="EK334" i="45"/>
  <c r="EK350" i="45" s="1"/>
  <c r="AI1" i="57"/>
  <c r="EE314" i="45"/>
  <c r="EE27" i="45"/>
  <c r="EE378" i="45"/>
  <c r="EE403" i="45"/>
  <c r="CU403" i="45"/>
  <c r="EE102" i="45"/>
  <c r="EK314" i="45"/>
  <c r="CZ181" i="7"/>
  <c r="DK189" i="45"/>
  <c r="CY102" i="45"/>
  <c r="DP247" i="45"/>
  <c r="CP27" i="45"/>
  <c r="CP102" i="45"/>
  <c r="CP403" i="45"/>
  <c r="CX66" i="7"/>
  <c r="CY65" i="7"/>
  <c r="CY63" i="7" s="1"/>
  <c r="CY61" i="7" s="1"/>
  <c r="DN24" i="45"/>
  <c r="DB502" i="7"/>
  <c r="DN420" i="45"/>
  <c r="CP16" i="45"/>
  <c r="DG403" i="45"/>
  <c r="CV27" i="45"/>
  <c r="CC27" i="45"/>
  <c r="CQ16" i="45"/>
  <c r="CQ403" i="45"/>
  <c r="CY16" i="45"/>
  <c r="CY403" i="45"/>
  <c r="AU1" i="57"/>
  <c r="AU83" i="57" s="1"/>
  <c r="EQ334" i="45"/>
  <c r="EQ350" i="45" s="1"/>
  <c r="BR166" i="7"/>
  <c r="BR215" i="8"/>
  <c r="BQ215" i="8" s="1"/>
  <c r="R1" i="57"/>
  <c r="R83" i="57" s="1"/>
  <c r="DN334" i="45"/>
  <c r="DN350" i="45" s="1"/>
  <c r="DN27" i="45"/>
  <c r="DN199" i="45"/>
  <c r="DN225" i="45" s="1"/>
  <c r="EQ403" i="45"/>
  <c r="EQ102" i="45"/>
  <c r="DN378" i="45"/>
  <c r="EL378" i="45"/>
  <c r="CQ102" i="45"/>
  <c r="DC155" i="8"/>
  <c r="CO27" i="45"/>
  <c r="M1" i="57"/>
  <c r="U1" i="57"/>
  <c r="DQ378" i="45"/>
  <c r="AG1" i="57"/>
  <c r="CZ16" i="45"/>
  <c r="CZ102" i="45"/>
  <c r="BO28" i="8"/>
  <c r="AP1" i="57"/>
  <c r="AP83" i="57" s="1"/>
  <c r="EL27" i="45"/>
  <c r="EL199" i="45"/>
  <c r="EL225" i="45" s="1"/>
  <c r="EL334" i="45"/>
  <c r="EL350" i="45" s="1"/>
  <c r="EQ314" i="45"/>
  <c r="EQ27" i="45"/>
  <c r="DN16" i="45"/>
  <c r="EL314" i="45"/>
  <c r="BR287" i="8"/>
  <c r="BQ287" i="8" s="1"/>
  <c r="BR31" i="7"/>
  <c r="DF16" i="45"/>
  <c r="BX27" i="45"/>
  <c r="BX102" i="45"/>
  <c r="AV1" i="57"/>
  <c r="AV83" i="57" s="1"/>
  <c r="ER314" i="45"/>
  <c r="ER16" i="45"/>
  <c r="AC1" i="57"/>
  <c r="DY16" i="45"/>
  <c r="DY102" i="45"/>
  <c r="DY199" i="45"/>
  <c r="DY225" i="45" s="1"/>
  <c r="DY378" i="45"/>
  <c r="CS403" i="45"/>
  <c r="O1" i="57"/>
  <c r="O83" i="57" s="1"/>
  <c r="DK27" i="45"/>
  <c r="AA1" i="57"/>
  <c r="AS1" i="57"/>
  <c r="AS83" i="57" s="1"/>
  <c r="EO334" i="45"/>
  <c r="EO350" i="45" s="1"/>
  <c r="EO27" i="45"/>
  <c r="DT378" i="45"/>
  <c r="AO1" i="57"/>
  <c r="DJ16" i="45"/>
  <c r="N1" i="57"/>
  <c r="AM1" i="57"/>
  <c r="DT314" i="45"/>
  <c r="DR27" i="45"/>
  <c r="V1" i="57"/>
  <c r="V96" i="57" s="1"/>
  <c r="DA403" i="45"/>
  <c r="DL378" i="45"/>
  <c r="S1" i="57"/>
  <c r="S96" i="57" s="1"/>
  <c r="DA102" i="45"/>
  <c r="DA27" i="45"/>
  <c r="DT16" i="45"/>
  <c r="AJ1" i="57"/>
  <c r="AJ96" i="57" s="1"/>
  <c r="DM27" i="45"/>
  <c r="Q1" i="57"/>
  <c r="BU354" i="7"/>
  <c r="CP444" i="7"/>
  <c r="AS146" i="8"/>
  <c r="AS142" i="8" s="1"/>
  <c r="AS328" i="7"/>
  <c r="AS332" i="7"/>
  <c r="AS334" i="7" s="1"/>
  <c r="AT576" i="7"/>
  <c r="AS250" i="7"/>
  <c r="AS576" i="7" s="1"/>
  <c r="CS218" i="7"/>
  <c r="CR218" i="7" s="1"/>
  <c r="BQ57" i="7"/>
  <c r="BR181" i="7"/>
  <c r="BR183" i="7" s="1"/>
  <c r="BR186" i="7" s="1"/>
  <c r="BW315" i="7"/>
  <c r="BW560" i="7" s="1"/>
  <c r="BW562" i="7" s="1"/>
  <c r="BX560" i="7"/>
  <c r="BX562" i="7" s="1"/>
  <c r="DH568" i="7"/>
  <c r="DJ553" i="7"/>
  <c r="E261" i="7"/>
  <c r="BU88" i="7"/>
  <c r="BU86" i="7" s="1"/>
  <c r="BU91" i="7" s="1"/>
  <c r="BU5" i="8" s="1"/>
  <c r="BU11" i="8" s="1"/>
  <c r="BU181" i="7"/>
  <c r="BU183" i="7" s="1"/>
  <c r="BU186" i="7" s="1"/>
  <c r="CF24" i="8"/>
  <c r="CG41" i="7"/>
  <c r="CF41" i="7" s="1"/>
  <c r="BC22" i="7"/>
  <c r="CZ560" i="7"/>
  <c r="CZ562" i="7" s="1"/>
  <c r="CZ317" i="7"/>
  <c r="CZ520" i="7" s="1"/>
  <c r="BF355" i="7"/>
  <c r="BU166" i="7"/>
  <c r="DL386" i="45"/>
  <c r="DL106" i="45"/>
  <c r="DL173" i="45"/>
  <c r="DD503" i="7"/>
  <c r="DM373" i="45"/>
  <c r="DN373" i="45"/>
  <c r="BU214" i="8"/>
  <c r="BT214" i="8" s="1"/>
  <c r="DE502" i="7"/>
  <c r="BU215" i="8"/>
  <c r="BT215" i="8" s="1"/>
  <c r="CI37" i="8"/>
  <c r="DL189" i="45"/>
  <c r="DL190" i="45" s="1"/>
  <c r="DC503" i="7"/>
  <c r="CS355" i="7"/>
  <c r="DK355" i="7"/>
  <c r="BT355" i="7"/>
  <c r="BU355" i="7" s="1"/>
  <c r="CP354" i="7"/>
  <c r="CA355" i="7"/>
  <c r="BM355" i="7"/>
  <c r="BO355" i="7" s="1"/>
  <c r="P355" i="7"/>
  <c r="AK355" i="7"/>
  <c r="AN355" i="7"/>
  <c r="CA354" i="7"/>
  <c r="CF242" i="7"/>
  <c r="CF564" i="7" s="1"/>
  <c r="BN146" i="8"/>
  <c r="BN142" i="8" s="1"/>
  <c r="BN332" i="7"/>
  <c r="BN334" i="7" s="1"/>
  <c r="BN328" i="7"/>
  <c r="DN380" i="45"/>
  <c r="DQ380" i="45"/>
  <c r="CX252" i="7"/>
  <c r="DK18" i="45"/>
  <c r="BJ27" i="8"/>
  <c r="BJ28" i="8" s="1"/>
  <c r="BJ181" i="7"/>
  <c r="BJ183" i="7" s="1"/>
  <c r="BJ186" i="7" s="1"/>
  <c r="EN195" i="7"/>
  <c r="EQ205" i="7"/>
  <c r="DK8" i="45"/>
  <c r="DI13" i="45"/>
  <c r="CF315" i="7"/>
  <c r="CF560" i="7" s="1"/>
  <c r="CF562" i="7" s="1"/>
  <c r="CG560" i="7"/>
  <c r="CG562" i="7" s="1"/>
  <c r="CF201" i="8"/>
  <c r="CE345" i="7"/>
  <c r="CE24" i="7" s="1"/>
  <c r="CD378" i="7"/>
  <c r="BF22" i="7"/>
  <c r="AH355" i="7"/>
  <c r="AZ355" i="7"/>
  <c r="S355" i="7"/>
  <c r="AQ355" i="7"/>
  <c r="CH355" i="7"/>
  <c r="CJ355" i="7" s="1"/>
  <c r="CX37" i="8"/>
  <c r="CO36" i="8"/>
  <c r="CB115" i="8"/>
  <c r="CB116" i="8" s="1"/>
  <c r="CB117" i="8" s="1"/>
  <c r="CB18" i="8" s="1"/>
  <c r="DR572" i="7"/>
  <c r="N261" i="7"/>
  <c r="AP288" i="8"/>
  <c r="T183" i="7"/>
  <c r="T186" i="7" s="1"/>
  <c r="DP252" i="7"/>
  <c r="BU32" i="7"/>
  <c r="CR205" i="7"/>
  <c r="BT116" i="8"/>
  <c r="BT18" i="8" s="1"/>
  <c r="BX322" i="7"/>
  <c r="V355" i="7"/>
  <c r="CB355" i="7"/>
  <c r="BB17" i="8"/>
  <c r="BC104" i="8"/>
  <c r="BC17" i="8" s="1"/>
  <c r="BC27" i="8"/>
  <c r="BC88" i="7"/>
  <c r="BC86" i="7" s="1"/>
  <c r="DM35" i="8"/>
  <c r="P576" i="7"/>
  <c r="P260" i="7"/>
  <c r="O260" i="7" s="1"/>
  <c r="O250" i="7"/>
  <c r="O576" i="7" s="1"/>
  <c r="CD86" i="8"/>
  <c r="CC293" i="7"/>
  <c r="CC86" i="8" s="1"/>
  <c r="CC88" i="8" s="1"/>
  <c r="I116" i="7"/>
  <c r="H140" i="7"/>
  <c r="I140" i="7" s="1"/>
  <c r="CL259" i="7"/>
  <c r="CM256" i="7"/>
  <c r="CL256" i="7" s="1"/>
  <c r="BL300" i="7"/>
  <c r="BK300" i="7" s="1"/>
  <c r="BK283" i="7"/>
  <c r="CN259" i="7"/>
  <c r="CP259" i="7" s="1"/>
  <c r="CO259" i="7" s="1"/>
  <c r="AM73" i="7"/>
  <c r="AM177" i="7" s="1"/>
  <c r="N140" i="7"/>
  <c r="O140" i="7" s="1"/>
  <c r="O116" i="7"/>
  <c r="BP10" i="7"/>
  <c r="BP116" i="7"/>
  <c r="BP140" i="7" s="1"/>
  <c r="CD27" i="45"/>
  <c r="E53" i="7"/>
  <c r="E43" i="7" s="1"/>
  <c r="DA164" i="8"/>
  <c r="DF222" i="7"/>
  <c r="DF224" i="7" s="1"/>
  <c r="DG222" i="7" s="1"/>
  <c r="BE198" i="7"/>
  <c r="BF204" i="7"/>
  <c r="BF212" i="7" s="1"/>
  <c r="BX354" i="7"/>
  <c r="BW355" i="7"/>
  <c r="BX355" i="7" s="1"/>
  <c r="DL27" i="45"/>
  <c r="DL102" i="45"/>
  <c r="DL16" i="45"/>
  <c r="DL314" i="45"/>
  <c r="DL403" i="45"/>
  <c r="DL334" i="45"/>
  <c r="DL350" i="45" s="1"/>
  <c r="CX16" i="45"/>
  <c r="CX102" i="45"/>
  <c r="CX403" i="45"/>
  <c r="CG102" i="45"/>
  <c r="CG16" i="45"/>
  <c r="CG403" i="45"/>
  <c r="CS16" i="45"/>
  <c r="CS27" i="45"/>
  <c r="DK102" i="45"/>
  <c r="DK16" i="45"/>
  <c r="DK334" i="45"/>
  <c r="DK350" i="45" s="1"/>
  <c r="DK314" i="45"/>
  <c r="EO102" i="45"/>
  <c r="EO16" i="45"/>
  <c r="EO199" i="45"/>
  <c r="EO225" i="45" s="1"/>
  <c r="EO403" i="45"/>
  <c r="F140" i="7"/>
  <c r="F144" i="7" s="1"/>
  <c r="F147" i="7" s="1"/>
  <c r="CZ245" i="7"/>
  <c r="CZ568" i="7" s="1"/>
  <c r="CZ35" i="8"/>
  <c r="CZ37" i="8" s="1"/>
  <c r="BD261" i="7"/>
  <c r="DC355" i="7"/>
  <c r="DE355" i="7" s="1"/>
  <c r="DB354" i="7"/>
  <c r="CT91" i="7"/>
  <c r="CT5" i="8" s="1"/>
  <c r="CT11" i="8" s="1"/>
  <c r="CT116" i="7"/>
  <c r="DI222" i="7"/>
  <c r="DI224" i="7" s="1"/>
  <c r="DJ222" i="7" s="1"/>
  <c r="DG224" i="7"/>
  <c r="J5" i="8"/>
  <c r="J11" i="8" s="1"/>
  <c r="I91" i="7"/>
  <c r="I5" i="8" s="1"/>
  <c r="I11" i="8" s="1"/>
  <c r="CS568" i="7"/>
  <c r="CR245" i="7"/>
  <c r="CR568" i="7" s="1"/>
  <c r="AY283" i="7"/>
  <c r="AZ300" i="7"/>
  <c r="AY300" i="7" s="1"/>
  <c r="AJ116" i="7"/>
  <c r="CD102" i="45"/>
  <c r="CD16" i="45"/>
  <c r="Y355" i="7"/>
  <c r="O155" i="8"/>
  <c r="AR222" i="7"/>
  <c r="AR224" i="7" s="1"/>
  <c r="AS222" i="7" s="1"/>
  <c r="AT222" i="7"/>
  <c r="AT224" i="7" s="1"/>
  <c r="AW222" i="7" s="1"/>
  <c r="AW224" i="7" s="1"/>
  <c r="K222" i="7"/>
  <c r="K224" i="7" s="1"/>
  <c r="L222" i="7" s="1"/>
  <c r="M222" i="7"/>
  <c r="M224" i="7" s="1"/>
  <c r="N222" i="7" s="1"/>
  <c r="N224" i="7" s="1"/>
  <c r="O222" i="7" s="1"/>
  <c r="CQ10" i="7"/>
  <c r="CQ116" i="7"/>
  <c r="CQ140" i="7" s="1"/>
  <c r="BO164" i="7"/>
  <c r="BN85" i="7"/>
  <c r="BN164" i="7" s="1"/>
  <c r="CY355" i="7"/>
  <c r="BP355" i="7"/>
  <c r="BR355" i="7" s="1"/>
  <c r="BI158" i="8"/>
  <c r="BD158" i="8"/>
  <c r="CT27" i="45"/>
  <c r="CT102" i="45"/>
  <c r="CT16" i="45"/>
  <c r="CT403" i="45"/>
  <c r="DT403" i="45"/>
  <c r="DT334" i="45"/>
  <c r="DT350" i="45" s="1"/>
  <c r="DT27" i="45"/>
  <c r="DT102" i="45"/>
  <c r="DT199" i="45"/>
  <c r="DT225" i="45" s="1"/>
  <c r="BX342" i="7"/>
  <c r="BX219" i="7" s="1"/>
  <c r="CA367" i="7"/>
  <c r="CA389" i="7" s="1"/>
  <c r="BY367" i="7"/>
  <c r="BY389" i="7" s="1"/>
  <c r="CW91" i="7"/>
  <c r="CW10" i="7"/>
  <c r="DI334" i="45"/>
  <c r="DI350" i="45" s="1"/>
  <c r="DI16" i="45"/>
  <c r="DI403" i="45"/>
  <c r="CA102" i="45"/>
  <c r="CA16" i="45"/>
  <c r="CM102" i="45"/>
  <c r="CM16" i="45"/>
  <c r="CM403" i="45"/>
  <c r="DQ102" i="45"/>
  <c r="DQ16" i="45"/>
  <c r="DQ334" i="45"/>
  <c r="DQ350" i="45" s="1"/>
  <c r="DQ403" i="45"/>
  <c r="DQ199" i="45"/>
  <c r="DQ225" i="45" s="1"/>
  <c r="EC102" i="45"/>
  <c r="EC403" i="45"/>
  <c r="EC16" i="45"/>
  <c r="EC334" i="45"/>
  <c r="EC350" i="45" s="1"/>
  <c r="EC314" i="45"/>
  <c r="EC199" i="45"/>
  <c r="EC225" i="45" s="1"/>
  <c r="EI220" i="8"/>
  <c r="EI285" i="8" s="1"/>
  <c r="EI20" i="8"/>
  <c r="BW184" i="7"/>
  <c r="AG220" i="7"/>
  <c r="AI261" i="7"/>
  <c r="AP42" i="7"/>
  <c r="AS185" i="7"/>
  <c r="CC184" i="7"/>
  <c r="BZ184" i="7"/>
  <c r="CC554" i="7"/>
  <c r="H177" i="8"/>
  <c r="T300" i="7"/>
  <c r="L140" i="7"/>
  <c r="AB355" i="7"/>
  <c r="Q177" i="8"/>
  <c r="AS288" i="8"/>
  <c r="AS184" i="7"/>
  <c r="AY288" i="8"/>
  <c r="CL36" i="8"/>
  <c r="T177" i="8"/>
  <c r="BP556" i="7"/>
  <c r="CN278" i="7"/>
  <c r="CP278" i="7" s="1"/>
  <c r="CL278" i="7"/>
  <c r="DD224" i="7"/>
  <c r="I224" i="7"/>
  <c r="DK222" i="7"/>
  <c r="DK224" i="7" s="1"/>
  <c r="DJ224" i="7" s="1"/>
  <c r="AP224" i="7"/>
  <c r="CJ354" i="7"/>
  <c r="BJ261" i="7"/>
  <c r="AF300" i="7"/>
  <c r="E300" i="7"/>
  <c r="CC164" i="8"/>
  <c r="EB205" i="7"/>
  <c r="BY115" i="8"/>
  <c r="BY116" i="8" s="1"/>
  <c r="BY117" i="8" s="1"/>
  <c r="BY18" i="8" s="1"/>
  <c r="BI354" i="7"/>
  <c r="BN185" i="7"/>
  <c r="CN270" i="7"/>
  <c r="CP270" i="7" s="1"/>
  <c r="CL270" i="7"/>
  <c r="H261" i="7"/>
  <c r="AA91" i="7"/>
  <c r="AA11" i="7" s="1"/>
  <c r="AG155" i="8"/>
  <c r="BF10" i="7"/>
  <c r="BI317" i="7"/>
  <c r="BH317" i="7" s="1"/>
  <c r="BH560" i="7" s="1"/>
  <c r="BH562" i="7" s="1"/>
  <c r="BS156" i="7"/>
  <c r="CS354" i="7"/>
  <c r="BZ40" i="7"/>
  <c r="AM34" i="7"/>
  <c r="BS116" i="7"/>
  <c r="BS140" i="7" s="1"/>
  <c r="T5" i="8"/>
  <c r="T11" i="8" s="1"/>
  <c r="CK91" i="7"/>
  <c r="CK5" i="8" s="1"/>
  <c r="CK11" i="8" s="1"/>
  <c r="DA198" i="7"/>
  <c r="BR556" i="7"/>
  <c r="BR317" i="7"/>
  <c r="BQ317" i="7" s="1"/>
  <c r="BQ560" i="7" s="1"/>
  <c r="BQ562" i="7" s="1"/>
  <c r="CD317" i="7"/>
  <c r="CC317" i="7" s="1"/>
  <c r="CD560" i="7"/>
  <c r="CD562" i="7" s="1"/>
  <c r="EK16" i="45"/>
  <c r="DH403" i="45"/>
  <c r="BI13" i="8"/>
  <c r="CG20" i="8"/>
  <c r="EI199" i="45"/>
  <c r="EI225" i="45" s="1"/>
  <c r="DJ334" i="45"/>
  <c r="DJ350" i="45" s="1"/>
  <c r="AT5" i="8"/>
  <c r="AT11" i="8" s="1"/>
  <c r="BQ164" i="8"/>
  <c r="W177" i="8"/>
  <c r="V300" i="7"/>
  <c r="U300" i="7" s="1"/>
  <c r="CU245" i="7"/>
  <c r="CU568" i="7" s="1"/>
  <c r="EQ195" i="7"/>
  <c r="CU205" i="7"/>
  <c r="BQ4" i="8"/>
  <c r="BQ10" i="8" s="1"/>
  <c r="BQ173" i="7"/>
  <c r="BQ177" i="7"/>
  <c r="BS173" i="7"/>
  <c r="BQ325" i="7"/>
  <c r="U116" i="7"/>
  <c r="V140" i="7"/>
  <c r="U140" i="7" s="1"/>
  <c r="AY149" i="8"/>
  <c r="AY330" i="7"/>
  <c r="CP104" i="8"/>
  <c r="CP76" i="7" s="1"/>
  <c r="CP35" i="7" s="1"/>
  <c r="DJ27" i="45"/>
  <c r="BT85" i="7"/>
  <c r="BT10" i="7" s="1"/>
  <c r="CJ10" i="7"/>
  <c r="Z5" i="8"/>
  <c r="Z11" i="8" s="1"/>
  <c r="U250" i="7"/>
  <c r="U576" i="7" s="1"/>
  <c r="J355" i="7"/>
  <c r="CX576" i="7"/>
  <c r="AB300" i="7"/>
  <c r="AA300" i="7" s="1"/>
  <c r="BL355" i="7"/>
  <c r="R220" i="7"/>
  <c r="CB300" i="7"/>
  <c r="EK403" i="45"/>
  <c r="EK199" i="45"/>
  <c r="EK225" i="45" s="1"/>
  <c r="DH102" i="45"/>
  <c r="DH27" i="45"/>
  <c r="BU20" i="8"/>
  <c r="BG116" i="8"/>
  <c r="BG18" i="8" s="1"/>
  <c r="DS198" i="7"/>
  <c r="U220" i="7"/>
  <c r="K300" i="7"/>
  <c r="BR261" i="7"/>
  <c r="BQ261" i="7" s="1"/>
  <c r="CE115" i="8"/>
  <c r="CE116" i="8" s="1"/>
  <c r="CE117" i="8" s="1"/>
  <c r="CE18" i="8" s="1"/>
  <c r="AN183" i="7"/>
  <c r="AN187" i="7" s="1"/>
  <c r="Z261" i="7"/>
  <c r="BC556" i="7"/>
  <c r="DM378" i="45"/>
  <c r="CV102" i="45"/>
  <c r="CV16" i="45"/>
  <c r="BO13" i="8"/>
  <c r="DR334" i="45"/>
  <c r="DR350" i="45" s="1"/>
  <c r="R91" i="7"/>
  <c r="R5" i="8" s="1"/>
  <c r="R11" i="8" s="1"/>
  <c r="DO378" i="45"/>
  <c r="DO27" i="45"/>
  <c r="BT164" i="8"/>
  <c r="DG164" i="8"/>
  <c r="BK220" i="7"/>
  <c r="AI300" i="7"/>
  <c r="BE164" i="8"/>
  <c r="BX326" i="7"/>
  <c r="E177" i="8"/>
  <c r="AP204" i="7"/>
  <c r="BL354" i="7"/>
  <c r="AS140" i="7"/>
  <c r="AS144" i="7" s="1"/>
  <c r="AS147" i="7" s="1"/>
  <c r="BN220" i="7"/>
  <c r="AJ283" i="7"/>
  <c r="AK300" i="7"/>
  <c r="AJ300" i="7" s="1"/>
  <c r="AY63" i="7"/>
  <c r="AY27" i="8" s="1"/>
  <c r="AY28" i="8" s="1"/>
  <c r="AX181" i="7"/>
  <c r="DM314" i="45"/>
  <c r="BO20" i="8"/>
  <c r="BC285" i="8"/>
  <c r="CU85" i="7"/>
  <c r="CU10" i="7" s="1"/>
  <c r="AP184" i="7"/>
  <c r="DR403" i="45"/>
  <c r="DR314" i="45"/>
  <c r="DE91" i="7"/>
  <c r="S11" i="7"/>
  <c r="CD324" i="7"/>
  <c r="CC324" i="7" s="1"/>
  <c r="E11" i="7"/>
  <c r="DO403" i="45"/>
  <c r="DO102" i="45"/>
  <c r="DO16" i="45"/>
  <c r="BZ198" i="7"/>
  <c r="K53" i="7"/>
  <c r="K43" i="7" s="1"/>
  <c r="AC53" i="7"/>
  <c r="AC43" i="7" s="1"/>
  <c r="AT355" i="7"/>
  <c r="CD34" i="7"/>
  <c r="CD555" i="7" s="1"/>
  <c r="CD556" i="7" s="1"/>
  <c r="AS116" i="7"/>
  <c r="Q140" i="7"/>
  <c r="R140" i="7" s="1"/>
  <c r="I155" i="8"/>
  <c r="AF177" i="8"/>
  <c r="BO10" i="7"/>
  <c r="AL4" i="8"/>
  <c r="AL10" i="8" s="1"/>
  <c r="AL177" i="7"/>
  <c r="AL179" i="7"/>
  <c r="AQ162" i="7"/>
  <c r="AQ74" i="7"/>
  <c r="AP73" i="7"/>
  <c r="AQ179" i="7"/>
  <c r="AQ155" i="7"/>
  <c r="AT155" i="7"/>
  <c r="AQ325" i="7"/>
  <c r="DM334" i="45"/>
  <c r="DM350" i="45" s="1"/>
  <c r="DM199" i="45"/>
  <c r="DM225" i="45" s="1"/>
  <c r="CV403" i="45"/>
  <c r="BC13" i="8"/>
  <c r="CM13" i="8"/>
  <c r="DE403" i="45"/>
  <c r="DE16" i="45"/>
  <c r="DR199" i="45"/>
  <c r="DR225" i="45" s="1"/>
  <c r="DE10" i="7"/>
  <c r="DO334" i="45"/>
  <c r="DO350" i="45" s="1"/>
  <c r="DJ402" i="7"/>
  <c r="CB4" i="8"/>
  <c r="CB10" i="8" s="1"/>
  <c r="CE155" i="7"/>
  <c r="CB155" i="7"/>
  <c r="CB325" i="7"/>
  <c r="CB177" i="7"/>
  <c r="CB179" i="7"/>
  <c r="DM403" i="45"/>
  <c r="BC20" i="8"/>
  <c r="CM20" i="8"/>
  <c r="CU576" i="7"/>
  <c r="DE102" i="45"/>
  <c r="BO285" i="8"/>
  <c r="DJ389" i="7"/>
  <c r="DR16" i="45"/>
  <c r="CT10" i="7"/>
  <c r="DE116" i="7"/>
  <c r="DE140" i="7" s="1"/>
  <c r="DO314" i="45"/>
  <c r="AY294" i="8"/>
  <c r="DM316" i="7"/>
  <c r="U155" i="8"/>
  <c r="AA116" i="7"/>
  <c r="AB140" i="7"/>
  <c r="AA140" i="7" s="1"/>
  <c r="BF155" i="7"/>
  <c r="BA177" i="7"/>
  <c r="BC162" i="7"/>
  <c r="BC155" i="7"/>
  <c r="BC325" i="7"/>
  <c r="BC74" i="7"/>
  <c r="BC179" i="7"/>
  <c r="BB179" i="7" s="1"/>
  <c r="AQ13" i="8"/>
  <c r="CA13" i="8"/>
  <c r="DE27" i="45"/>
  <c r="AO11" i="7"/>
  <c r="DR378" i="45"/>
  <c r="DR102" i="45"/>
  <c r="DO199" i="45"/>
  <c r="DO225" i="45" s="1"/>
  <c r="DD164" i="8"/>
  <c r="AV155" i="8"/>
  <c r="CV568" i="7"/>
  <c r="AY4" i="8"/>
  <c r="AY10" i="8" s="1"/>
  <c r="AY173" i="7"/>
  <c r="AY155" i="7"/>
  <c r="BA173" i="7"/>
  <c r="AY74" i="7"/>
  <c r="AY162" i="7"/>
  <c r="AY325" i="7"/>
  <c r="AY177" i="7"/>
  <c r="BI556" i="7"/>
  <c r="DD85" i="7"/>
  <c r="DD10" i="7" s="1"/>
  <c r="BI156" i="7"/>
  <c r="CE116" i="7"/>
  <c r="CE140" i="7" s="1"/>
  <c r="CC102" i="45"/>
  <c r="CC16" i="45"/>
  <c r="EF378" i="45"/>
  <c r="EF314" i="45"/>
  <c r="EI314" i="45"/>
  <c r="DJ403" i="45"/>
  <c r="CZ33" i="8"/>
  <c r="DA36" i="8" s="1"/>
  <c r="DG27" i="45"/>
  <c r="EF199" i="45"/>
  <c r="EF225" i="45" s="1"/>
  <c r="EF27" i="45"/>
  <c r="EI403" i="45"/>
  <c r="EI334" i="45"/>
  <c r="EI350" i="45" s="1"/>
  <c r="EI16" i="45"/>
  <c r="DJ314" i="45"/>
  <c r="DG102" i="45"/>
  <c r="DG16" i="45"/>
  <c r="EI378" i="45"/>
  <c r="EI102" i="45"/>
  <c r="CZ403" i="45"/>
  <c r="EF102" i="45"/>
  <c r="EF16" i="45"/>
  <c r="EI27" i="45"/>
  <c r="CC403" i="45"/>
  <c r="EF334" i="45"/>
  <c r="EF350" i="45" s="1"/>
  <c r="DJ102" i="45"/>
  <c r="CN156" i="7"/>
  <c r="BZ85" i="7"/>
  <c r="BZ10" i="7" s="1"/>
  <c r="BF556" i="7"/>
  <c r="DB355" i="7"/>
  <c r="BQ85" i="7"/>
  <c r="BQ175" i="7" s="1"/>
  <c r="CA116" i="7"/>
  <c r="CA140" i="7" s="1"/>
  <c r="BS10" i="7"/>
  <c r="BR91" i="7"/>
  <c r="BR11" i="7" s="1"/>
  <c r="CA10" i="7"/>
  <c r="BY116" i="7"/>
  <c r="DC116" i="7"/>
  <c r="DC140" i="7" s="1"/>
  <c r="CO355" i="7"/>
  <c r="CP355" i="7" s="1"/>
  <c r="CY354" i="7"/>
  <c r="BH555" i="7"/>
  <c r="BH556" i="7" s="1"/>
  <c r="DC91" i="7"/>
  <c r="DC5" i="8" s="1"/>
  <c r="DC11" i="8" s="1"/>
  <c r="CB156" i="7"/>
  <c r="BW85" i="7"/>
  <c r="BW10" i="7" s="1"/>
  <c r="BU116" i="7"/>
  <c r="BU140" i="7" s="1"/>
  <c r="DH354" i="7"/>
  <c r="CE91" i="7"/>
  <c r="CE5" i="8" s="1"/>
  <c r="CE11" i="8" s="1"/>
  <c r="CF85" i="7"/>
  <c r="CH175" i="7" s="1"/>
  <c r="BC10" i="7"/>
  <c r="BV116" i="7"/>
  <c r="BW116" i="7" s="1"/>
  <c r="CN116" i="7"/>
  <c r="CN140" i="7" s="1"/>
  <c r="BR156" i="7"/>
  <c r="CN10" i="7"/>
  <c r="CE156" i="7"/>
  <c r="BK316" i="7"/>
  <c r="BL317" i="7"/>
  <c r="BK317" i="7" s="1"/>
  <c r="BK560" i="7" s="1"/>
  <c r="BK562" i="7" s="1"/>
  <c r="BB316" i="7"/>
  <c r="BC317" i="7"/>
  <c r="CH91" i="7"/>
  <c r="CH5" i="8" s="1"/>
  <c r="CH11" i="8" s="1"/>
  <c r="CA156" i="7"/>
  <c r="CD156" i="7"/>
  <c r="CH116" i="7"/>
  <c r="CH140" i="7" s="1"/>
  <c r="CJ116" i="7"/>
  <c r="CJ140" i="7" s="1"/>
  <c r="BQ555" i="7"/>
  <c r="BQ554" i="7"/>
  <c r="CI85" i="7"/>
  <c r="CI175" i="7" s="1"/>
  <c r="CM355" i="7"/>
  <c r="CQ156" i="7"/>
  <c r="BJ91" i="7"/>
  <c r="BJ11" i="7" s="1"/>
  <c r="CJ91" i="7"/>
  <c r="CJ11" i="7" s="1"/>
  <c r="CW63" i="7"/>
  <c r="CW181" i="7" s="1"/>
  <c r="L220" i="7"/>
  <c r="DG317" i="7"/>
  <c r="DG520" i="7" s="1"/>
  <c r="DH520" i="7"/>
  <c r="BE317" i="7"/>
  <c r="BF560" i="7"/>
  <c r="BF562" i="7" s="1"/>
  <c r="AP283" i="7"/>
  <c r="AQ300" i="7"/>
  <c r="AP300" i="7" s="1"/>
  <c r="DP251" i="7"/>
  <c r="DP572" i="7" s="1"/>
  <c r="DQ572" i="7"/>
  <c r="CO317" i="7"/>
  <c r="CP520" i="7"/>
  <c r="BM88" i="7"/>
  <c r="BM86" i="7" s="1"/>
  <c r="BM91" i="7" s="1"/>
  <c r="BM177" i="8" s="1"/>
  <c r="BM181" i="7"/>
  <c r="AT300" i="7"/>
  <c r="AS300" i="7" s="1"/>
  <c r="AS283" i="7"/>
  <c r="F299" i="7"/>
  <c r="G300" i="7"/>
  <c r="F300" i="7" s="1"/>
  <c r="DM164" i="8"/>
  <c r="Y261" i="7"/>
  <c r="X261" i="7" s="1"/>
  <c r="L42" i="7"/>
  <c r="AK261" i="7"/>
  <c r="AJ261" i="7" s="1"/>
  <c r="EK198" i="7"/>
  <c r="DL203" i="45"/>
  <c r="DO203" i="45" s="1"/>
  <c r="DR203" i="45" s="1"/>
  <c r="DU203" i="45" s="1"/>
  <c r="DU242" i="45"/>
  <c r="DS242" i="45"/>
  <c r="DM229" i="45"/>
  <c r="DP230" i="45"/>
  <c r="DO229" i="45"/>
  <c r="DM203" i="45"/>
  <c r="DP203" i="45" s="1"/>
  <c r="DS203" i="45" s="1"/>
  <c r="BT174" i="8"/>
  <c r="BD27" i="8"/>
  <c r="BD88" i="7"/>
  <c r="BD86" i="7" s="1"/>
  <c r="BD91" i="7" s="1"/>
  <c r="BD11" i="7" s="1"/>
  <c r="BI261" i="7"/>
  <c r="BH261" i="7" s="1"/>
  <c r="AV288" i="8"/>
  <c r="CC286" i="7"/>
  <c r="CD339" i="7"/>
  <c r="AD42" i="7"/>
  <c r="DD317" i="7"/>
  <c r="DD520" i="7" s="1"/>
  <c r="DE520" i="7"/>
  <c r="BO261" i="7"/>
  <c r="BN261" i="7" s="1"/>
  <c r="R204" i="7"/>
  <c r="AA155" i="8"/>
  <c r="BU261" i="7"/>
  <c r="BT261" i="7" s="1"/>
  <c r="BW286" i="7"/>
  <c r="BX299" i="7"/>
  <c r="BW299" i="7" s="1"/>
  <c r="BX339" i="7"/>
  <c r="BX324" i="7"/>
  <c r="BW324" i="7" s="1"/>
  <c r="BX167" i="7"/>
  <c r="BY167" i="7"/>
  <c r="BW266" i="7"/>
  <c r="BX575" i="7"/>
  <c r="AZ140" i="7"/>
  <c r="AY116" i="7"/>
  <c r="AZ212" i="7"/>
  <c r="AY204" i="7"/>
  <c r="Z177" i="8"/>
  <c r="BH283" i="7"/>
  <c r="BI300" i="7"/>
  <c r="BH300" i="7" s="1"/>
  <c r="X283" i="7"/>
  <c r="Y300" i="7"/>
  <c r="X300" i="7" s="1"/>
  <c r="CD299" i="7"/>
  <c r="CC299" i="7" s="1"/>
  <c r="AT27" i="8"/>
  <c r="AT28" i="8" s="1"/>
  <c r="AT181" i="7"/>
  <c r="AS63" i="7"/>
  <c r="AS27" i="8" s="1"/>
  <c r="AS28" i="8" s="1"/>
  <c r="CW116" i="7"/>
  <c r="AX367" i="7"/>
  <c r="AZ367" i="7"/>
  <c r="BX323" i="7"/>
  <c r="BR354" i="7"/>
  <c r="BT132" i="8"/>
  <c r="BT133" i="8" s="1"/>
  <c r="AE261" i="7"/>
  <c r="AD261" i="7" s="1"/>
  <c r="BG70" i="7"/>
  <c r="BG161" i="7"/>
  <c r="CF286" i="7"/>
  <c r="CG299" i="7"/>
  <c r="CF299" i="7" s="1"/>
  <c r="AY17" i="8"/>
  <c r="BB299" i="7"/>
  <c r="BC300" i="7"/>
  <c r="BB300" i="7" s="1"/>
  <c r="AJ220" i="7"/>
  <c r="DG198" i="7"/>
  <c r="DM205" i="7"/>
  <c r="DM444" i="7" s="1"/>
  <c r="CV560" i="7"/>
  <c r="CV562" i="7" s="1"/>
  <c r="CC266" i="7"/>
  <c r="CE167" i="7"/>
  <c r="CD575" i="7"/>
  <c r="BI61" i="7"/>
  <c r="BI70" i="7"/>
  <c r="BH69" i="7"/>
  <c r="BJ172" i="7" s="1"/>
  <c r="BI161" i="7"/>
  <c r="BW135" i="8"/>
  <c r="BW133" i="8" s="1"/>
  <c r="BX133" i="8" s="1"/>
  <c r="BW554" i="7"/>
  <c r="CJ263" i="7"/>
  <c r="CK265" i="7"/>
  <c r="CI265" i="7"/>
  <c r="BF354" i="7"/>
  <c r="BA63" i="7"/>
  <c r="BB63" i="7" s="1"/>
  <c r="BB27" i="8" s="1"/>
  <c r="BB65" i="7"/>
  <c r="DS205" i="7"/>
  <c r="CU355" i="7"/>
  <c r="CV355" i="7" s="1"/>
  <c r="EK164" i="8"/>
  <c r="BI22" i="7"/>
  <c r="EN164" i="8"/>
  <c r="BW17" i="8"/>
  <c r="CX164" i="8"/>
  <c r="CT156" i="7"/>
  <c r="CW156" i="7"/>
  <c r="EH195" i="7"/>
  <c r="DJ205" i="7"/>
  <c r="DJ444" i="7" s="1"/>
  <c r="DI444" i="7"/>
  <c r="BM156" i="7"/>
  <c r="BM164" i="7"/>
  <c r="BP156" i="7"/>
  <c r="BG63" i="7"/>
  <c r="BH65" i="7"/>
  <c r="BC156" i="7"/>
  <c r="BC164" i="7"/>
  <c r="BF156" i="7"/>
  <c r="BX156" i="7"/>
  <c r="BU156" i="7"/>
  <c r="BO63" i="7"/>
  <c r="BN65" i="7"/>
  <c r="BJ156" i="7"/>
  <c r="BJ164" i="7"/>
  <c r="BF63" i="7"/>
  <c r="BF181" i="7" s="1"/>
  <c r="BE65" i="7"/>
  <c r="DP205" i="7"/>
  <c r="BP102" i="8"/>
  <c r="BP104" i="8" s="1"/>
  <c r="BP17" i="8" s="1"/>
  <c r="BQ101" i="8"/>
  <c r="BR101" i="8" s="1"/>
  <c r="CN105" i="8"/>
  <c r="CN17" i="8" s="1"/>
  <c r="CN35" i="7"/>
  <c r="CH156" i="7"/>
  <c r="CK156" i="7"/>
  <c r="BC181" i="7"/>
  <c r="BY156" i="7"/>
  <c r="BV156" i="7"/>
  <c r="DC181" i="7"/>
  <c r="EK205" i="7"/>
  <c r="CC355" i="7"/>
  <c r="CX245" i="7"/>
  <c r="CX568" i="7" s="1"/>
  <c r="CY568" i="7"/>
  <c r="BW177" i="7"/>
  <c r="BW173" i="7"/>
  <c r="BW325" i="7"/>
  <c r="CO37" i="8"/>
  <c r="BP63" i="7"/>
  <c r="BQ65" i="7"/>
  <c r="BS63" i="7"/>
  <c r="BS61" i="7" s="1"/>
  <c r="BT65" i="7"/>
  <c r="CG261" i="7"/>
  <c r="CF261" i="7" s="1"/>
  <c r="CA261" i="7"/>
  <c r="BZ261" i="7" s="1"/>
  <c r="CD260" i="7"/>
  <c r="CC260" i="7" s="1"/>
  <c r="CD568" i="7"/>
  <c r="BS57" i="7"/>
  <c r="BS155" i="8" s="1"/>
  <c r="AU5" i="8"/>
  <c r="AU11" i="8" s="1"/>
  <c r="AU11" i="7"/>
  <c r="AU157" i="7"/>
  <c r="AU163" i="7"/>
  <c r="DM172" i="45"/>
  <c r="DO429" i="45"/>
  <c r="DP432" i="45"/>
  <c r="DK24" i="45"/>
  <c r="DN432" i="45"/>
  <c r="DH91" i="7"/>
  <c r="DG85" i="7"/>
  <c r="DI175" i="7" s="1"/>
  <c r="DH116" i="7"/>
  <c r="DH10" i="7"/>
  <c r="DH156" i="7"/>
  <c r="DD76" i="7"/>
  <c r="DD105" i="8" s="1"/>
  <c r="CQ13" i="8"/>
  <c r="CQ20" i="8"/>
  <c r="CQ220" i="8"/>
  <c r="CQ285" i="8" s="1"/>
  <c r="DI13" i="8"/>
  <c r="DI20" i="8"/>
  <c r="DI220" i="8"/>
  <c r="DI285" i="8" s="1"/>
  <c r="CW16" i="45"/>
  <c r="CW27" i="45"/>
  <c r="CW102" i="45"/>
  <c r="CW403" i="45"/>
  <c r="CS116" i="7"/>
  <c r="CS91" i="7"/>
  <c r="CR85" i="7"/>
  <c r="CS10" i="7"/>
  <c r="CV156" i="7"/>
  <c r="CS156" i="7"/>
  <c r="M5" i="8"/>
  <c r="M11" i="8" s="1"/>
  <c r="L91" i="7"/>
  <c r="M11" i="7"/>
  <c r="AR61" i="7"/>
  <c r="AR154" i="7"/>
  <c r="AR70" i="7"/>
  <c r="AR161" i="7"/>
  <c r="CX76" i="7"/>
  <c r="CX105" i="8" s="1"/>
  <c r="CX17" i="8" s="1"/>
  <c r="CY35" i="7"/>
  <c r="BZ27" i="45"/>
  <c r="BZ16" i="45"/>
  <c r="BZ102" i="45"/>
  <c r="BZ403" i="45"/>
  <c r="AW140" i="7"/>
  <c r="AV116" i="7"/>
  <c r="DF20" i="8"/>
  <c r="DF13" i="8"/>
  <c r="DF220" i="8"/>
  <c r="DF285" i="8" s="1"/>
  <c r="BV27" i="45"/>
  <c r="BV16" i="45"/>
  <c r="BV102" i="45"/>
  <c r="BV403" i="45"/>
  <c r="EJ27" i="45"/>
  <c r="EJ16" i="45"/>
  <c r="EJ102" i="45"/>
  <c r="EJ199" i="45"/>
  <c r="EJ225" i="45" s="1"/>
  <c r="EJ314" i="45"/>
  <c r="EJ334" i="45"/>
  <c r="EJ350" i="45" s="1"/>
  <c r="EJ378" i="45"/>
  <c r="EJ403" i="45"/>
  <c r="AM10" i="7"/>
  <c r="AM164" i="7"/>
  <c r="AO175" i="7"/>
  <c r="AQ410" i="7"/>
  <c r="AO398" i="7"/>
  <c r="AO390" i="7" s="1"/>
  <c r="AO399" i="7"/>
  <c r="DM259" i="7"/>
  <c r="BI288" i="8"/>
  <c r="BH287" i="8"/>
  <c r="BH288" i="8" s="1"/>
  <c r="AZ61" i="7"/>
  <c r="AZ161" i="7"/>
  <c r="AZ154" i="7"/>
  <c r="AY69" i="7"/>
  <c r="BA172" i="7" s="1"/>
  <c r="AZ70" i="7"/>
  <c r="BJ61" i="7"/>
  <c r="BJ154" i="7"/>
  <c r="BJ70" i="7"/>
  <c r="BJ161" i="7"/>
  <c r="AZ88" i="8"/>
  <c r="AX88" i="8"/>
  <c r="BR202" i="8"/>
  <c r="BR24" i="7"/>
  <c r="AO61" i="7"/>
  <c r="AO70" i="7"/>
  <c r="AO161" i="7"/>
  <c r="CH154" i="7"/>
  <c r="DY205" i="7"/>
  <c r="BG88" i="8"/>
  <c r="BI88" i="8"/>
  <c r="CN5" i="8"/>
  <c r="CN11" i="8" s="1"/>
  <c r="CN11" i="7"/>
  <c r="CN338" i="7"/>
  <c r="DM267" i="7"/>
  <c r="DM228" i="7"/>
  <c r="BQ190" i="7"/>
  <c r="BP188" i="7"/>
  <c r="DR153" i="8"/>
  <c r="AU61" i="7"/>
  <c r="AU70" i="7"/>
  <c r="AU161" i="7"/>
  <c r="AU154" i="7"/>
  <c r="EH164" i="8"/>
  <c r="X69" i="7"/>
  <c r="Y61" i="7"/>
  <c r="DC36" i="8"/>
  <c r="DC39" i="8" s="1"/>
  <c r="DD36" i="8"/>
  <c r="K88" i="8"/>
  <c r="M88" i="8"/>
  <c r="AC88" i="8"/>
  <c r="AE88" i="8"/>
  <c r="CC560" i="7"/>
  <c r="CC562" i="7" s="1"/>
  <c r="DG560" i="7"/>
  <c r="DG562" i="7" s="1"/>
  <c r="X34" i="7"/>
  <c r="Y42" i="7"/>
  <c r="CL37" i="8"/>
  <c r="DK37" i="8"/>
  <c r="G144" i="7"/>
  <c r="G147" i="7" s="1"/>
  <c r="CS36" i="8"/>
  <c r="CS39" i="8" s="1"/>
  <c r="CR39" i="8" s="1"/>
  <c r="CQ36" i="8"/>
  <c r="CQ39" i="8" s="1"/>
  <c r="DE36" i="8"/>
  <c r="DE39" i="8" s="1"/>
  <c r="DF36" i="8"/>
  <c r="DF39" i="8" s="1"/>
  <c r="DH36" i="8"/>
  <c r="DH39" i="8" s="1"/>
  <c r="DG39" i="8" s="1"/>
  <c r="AM42" i="7"/>
  <c r="BW188" i="7"/>
  <c r="BX215" i="7"/>
  <c r="BX218" i="7"/>
  <c r="AB212" i="7"/>
  <c r="AA204" i="7"/>
  <c r="BB171" i="8"/>
  <c r="CB36" i="8"/>
  <c r="CB39" i="8" s="1"/>
  <c r="CD36" i="8"/>
  <c r="CD39" i="8" s="1"/>
  <c r="CC39" i="8" s="1"/>
  <c r="M261" i="7"/>
  <c r="AW261" i="7"/>
  <c r="V88" i="8"/>
  <c r="T88" i="8"/>
  <c r="DN256" i="7"/>
  <c r="DM256" i="7" s="1"/>
  <c r="BQ34" i="7"/>
  <c r="BR42" i="7"/>
  <c r="BM88" i="8"/>
  <c r="BO88" i="8"/>
  <c r="BZ164" i="8"/>
  <c r="CU37" i="8"/>
  <c r="BF88" i="8"/>
  <c r="BD88" i="8"/>
  <c r="AZ207" i="8"/>
  <c r="AY360" i="7"/>
  <c r="AY207" i="8" s="1"/>
  <c r="CR164" i="8"/>
  <c r="AG242" i="7"/>
  <c r="AH261" i="7"/>
  <c r="BY37" i="8"/>
  <c r="CA37" i="8"/>
  <c r="BX37" i="8"/>
  <c r="CR37" i="8"/>
  <c r="DG45" i="8"/>
  <c r="AD250" i="7"/>
  <c r="AD576" i="7" s="1"/>
  <c r="AE576" i="7"/>
  <c r="AP317" i="7"/>
  <c r="AQ560" i="7"/>
  <c r="AQ562" i="7" s="1"/>
  <c r="M211" i="7"/>
  <c r="L212" i="7"/>
  <c r="AJ317" i="7"/>
  <c r="AJ560" i="7" s="1"/>
  <c r="AJ562" i="7" s="1"/>
  <c r="AK560" i="7"/>
  <c r="AK562" i="7" s="1"/>
  <c r="F204" i="7"/>
  <c r="AE560" i="7"/>
  <c r="AE562" i="7" s="1"/>
  <c r="AD317" i="7"/>
  <c r="AD560" i="7" s="1"/>
  <c r="AD562" i="7" s="1"/>
  <c r="AE211" i="7"/>
  <c r="AD212" i="7"/>
  <c r="DM402" i="7"/>
  <c r="DO402" i="7"/>
  <c r="DQ402" i="7" s="1"/>
  <c r="DQ425" i="45"/>
  <c r="DQ420" i="45" s="1"/>
  <c r="DO426" i="45"/>
  <c r="DQ424" i="45"/>
  <c r="DQ419" i="45" s="1"/>
  <c r="DI23" i="45"/>
  <c r="DM426" i="45"/>
  <c r="DN426" i="45" s="1"/>
  <c r="BO129" i="8"/>
  <c r="BN128" i="8"/>
  <c r="CS35" i="7"/>
  <c r="CR76" i="7"/>
  <c r="CR105" i="8" s="1"/>
  <c r="CP20" i="8"/>
  <c r="CP13" i="8"/>
  <c r="CP220" i="8"/>
  <c r="CP285" i="8" s="1"/>
  <c r="DB20" i="8"/>
  <c r="DB13" i="8"/>
  <c r="DB220" i="8"/>
  <c r="DB285" i="8" s="1"/>
  <c r="DN20" i="8"/>
  <c r="DN13" i="8"/>
  <c r="DN220" i="8"/>
  <c r="DN285" i="8" s="1"/>
  <c r="DJ85" i="7"/>
  <c r="DK116" i="7"/>
  <c r="DK10" i="7"/>
  <c r="DK156" i="7"/>
  <c r="BU18" i="8"/>
  <c r="DC16" i="45"/>
  <c r="DC27" i="45"/>
  <c r="DC102" i="45"/>
  <c r="DC403" i="45"/>
  <c r="V5" i="8"/>
  <c r="V11" i="8" s="1"/>
  <c r="U91" i="7"/>
  <c r="V11" i="7"/>
  <c r="DH35" i="7"/>
  <c r="DG76" i="7"/>
  <c r="DG105" i="8" s="1"/>
  <c r="CF27" i="45"/>
  <c r="CF16" i="45"/>
  <c r="CF102" i="45"/>
  <c r="CF403" i="45"/>
  <c r="EB27" i="45"/>
  <c r="EB16" i="45"/>
  <c r="EB102" i="45"/>
  <c r="EB199" i="45"/>
  <c r="EB225" i="45" s="1"/>
  <c r="EB314" i="45"/>
  <c r="EB403" i="45"/>
  <c r="EB378" i="45"/>
  <c r="EB334" i="45"/>
  <c r="EB350" i="45" s="1"/>
  <c r="BV154" i="7"/>
  <c r="CD17" i="8"/>
  <c r="DM20" i="8"/>
  <c r="DM13" i="8"/>
  <c r="DM220" i="8"/>
  <c r="DM285" i="8" s="1"/>
  <c r="CB27" i="45"/>
  <c r="CB16" i="45"/>
  <c r="CB102" i="45"/>
  <c r="CB403" i="45"/>
  <c r="EP27" i="45"/>
  <c r="EP16" i="45"/>
  <c r="EP102" i="45"/>
  <c r="EP199" i="45"/>
  <c r="EP225" i="45" s="1"/>
  <c r="EP314" i="45"/>
  <c r="EP334" i="45"/>
  <c r="EP350" i="45" s="1"/>
  <c r="EP378" i="45"/>
  <c r="EP403" i="45"/>
  <c r="AP10" i="7"/>
  <c r="AP156" i="7"/>
  <c r="AP164" i="7"/>
  <c r="AP175" i="7"/>
  <c r="AR175" i="7"/>
  <c r="CZ10" i="7"/>
  <c r="CZ116" i="7"/>
  <c r="W10" i="9" s="1"/>
  <c r="CZ91" i="7"/>
  <c r="DC156" i="7"/>
  <c r="CZ156" i="7"/>
  <c r="AW61" i="7"/>
  <c r="AV69" i="7"/>
  <c r="AX172" i="7" s="1"/>
  <c r="AW70" i="7"/>
  <c r="AW154" i="7"/>
  <c r="AW161" i="7"/>
  <c r="AQ5" i="8"/>
  <c r="AQ11" i="8" s="1"/>
  <c r="AP91" i="7"/>
  <c r="AR174" i="7" s="1"/>
  <c r="AQ11" i="7"/>
  <c r="AQ157" i="7"/>
  <c r="AQ163" i="7"/>
  <c r="AT157" i="7"/>
  <c r="EB164" i="8"/>
  <c r="CB140" i="7"/>
  <c r="CC116" i="7"/>
  <c r="BD61" i="7"/>
  <c r="BD154" i="7"/>
  <c r="BD70" i="7"/>
  <c r="BG154" i="7"/>
  <c r="BD161" i="7"/>
  <c r="CE154" i="7"/>
  <c r="CB154" i="7"/>
  <c r="CT17" i="8"/>
  <c r="BU202" i="8"/>
  <c r="BU24" i="7"/>
  <c r="BS154" i="7"/>
  <c r="DY164" i="8"/>
  <c r="EE164" i="8"/>
  <c r="BR22" i="7"/>
  <c r="CP132" i="8"/>
  <c r="G5" i="8"/>
  <c r="G11" i="8" s="1"/>
  <c r="F91" i="7"/>
  <c r="G11" i="7"/>
  <c r="BW18" i="8"/>
  <c r="EQ164" i="8"/>
  <c r="AJ42" i="7"/>
  <c r="AI53" i="7"/>
  <c r="AI43" i="7" s="1"/>
  <c r="M61" i="7"/>
  <c r="L69" i="7"/>
  <c r="BH26" i="8"/>
  <c r="DA205" i="7"/>
  <c r="DC37" i="8"/>
  <c r="DD37" i="8"/>
  <c r="R63" i="7"/>
  <c r="S181" i="7"/>
  <c r="CT37" i="8"/>
  <c r="CV37" i="8"/>
  <c r="CP277" i="7"/>
  <c r="CE132" i="8"/>
  <c r="CQ37" i="8"/>
  <c r="CS37" i="8"/>
  <c r="J4" i="8"/>
  <c r="J10" i="8" s="1"/>
  <c r="J69" i="7"/>
  <c r="I73" i="7"/>
  <c r="I4" i="8" s="1"/>
  <c r="I10" i="8" s="1"/>
  <c r="J179" i="7"/>
  <c r="AB4" i="8"/>
  <c r="AB10" i="8" s="1"/>
  <c r="AB69" i="7"/>
  <c r="AA73" i="7"/>
  <c r="AA4" i="8" s="1"/>
  <c r="AA10" i="8" s="1"/>
  <c r="AB179" i="7"/>
  <c r="AG204" i="7"/>
  <c r="AH212" i="7"/>
  <c r="BC261" i="7"/>
  <c r="DS258" i="7"/>
  <c r="U42" i="7"/>
  <c r="BL27" i="8"/>
  <c r="BL28" i="8" s="1"/>
  <c r="BK63" i="7"/>
  <c r="BK27" i="8" s="1"/>
  <c r="BL88" i="7"/>
  <c r="BL181" i="7"/>
  <c r="CO164" i="8"/>
  <c r="AG42" i="7"/>
  <c r="BR88" i="8"/>
  <c r="BP88" i="8"/>
  <c r="DB37" i="8"/>
  <c r="CB88" i="8"/>
  <c r="L204" i="7"/>
  <c r="BL212" i="7"/>
  <c r="AN389" i="7"/>
  <c r="AN378" i="7"/>
  <c r="M392" i="7"/>
  <c r="L392" i="7" s="1"/>
  <c r="K392" i="7" s="1"/>
  <c r="AN560" i="7"/>
  <c r="AN562" i="7" s="1"/>
  <c r="AM317" i="7"/>
  <c r="AM560" i="7" s="1"/>
  <c r="AM562" i="7" s="1"/>
  <c r="V389" i="7"/>
  <c r="V378" i="7"/>
  <c r="AD204" i="7"/>
  <c r="DI445" i="7"/>
  <c r="DJ445" i="7" s="1"/>
  <c r="DK445" i="7" s="1"/>
  <c r="M560" i="7"/>
  <c r="M562" i="7" s="1"/>
  <c r="L317" i="7"/>
  <c r="DZ133" i="45"/>
  <c r="BW124" i="8"/>
  <c r="BV404" i="7"/>
  <c r="BW404" i="7" s="1"/>
  <c r="BV443" i="7"/>
  <c r="BH222" i="8"/>
  <c r="BH101" i="8" s="1"/>
  <c r="BG101" i="8"/>
  <c r="BG102" i="8" s="1"/>
  <c r="DL76" i="7"/>
  <c r="DO13" i="8"/>
  <c r="DO20" i="8"/>
  <c r="DO220" i="8"/>
  <c r="DO285" i="8" s="1"/>
  <c r="DU16" i="45"/>
  <c r="DU27" i="45"/>
  <c r="DU102" i="45"/>
  <c r="DU199" i="45"/>
  <c r="DU225" i="45" s="1"/>
  <c r="DU314" i="45"/>
  <c r="DU334" i="45"/>
  <c r="DU350" i="45" s="1"/>
  <c r="DU403" i="45"/>
  <c r="DU378" i="45"/>
  <c r="AE5" i="8"/>
  <c r="AE11" i="8" s="1"/>
  <c r="AD91" i="7"/>
  <c r="AE11" i="7"/>
  <c r="CA158" i="8"/>
  <c r="BV158" i="8"/>
  <c r="BX193" i="7"/>
  <c r="CS20" i="8"/>
  <c r="CS13" i="8"/>
  <c r="CS220" i="8"/>
  <c r="CS285" i="8" s="1"/>
  <c r="DE20" i="8"/>
  <c r="DE13" i="8"/>
  <c r="DE220" i="8"/>
  <c r="DE285" i="8" s="1"/>
  <c r="DQ20" i="8"/>
  <c r="DQ13" i="8"/>
  <c r="DQ220" i="8"/>
  <c r="DQ285" i="8" s="1"/>
  <c r="CL27" i="45"/>
  <c r="CL16" i="45"/>
  <c r="CL102" i="45"/>
  <c r="CL403" i="45"/>
  <c r="EH27" i="45"/>
  <c r="EH16" i="45"/>
  <c r="EH102" i="45"/>
  <c r="EH199" i="45"/>
  <c r="EH225" i="45" s="1"/>
  <c r="EH314" i="45"/>
  <c r="EH334" i="45"/>
  <c r="EH350" i="45" s="1"/>
  <c r="EH378" i="45"/>
  <c r="EH403" i="45"/>
  <c r="CT20" i="8"/>
  <c r="CT13" i="8"/>
  <c r="CT220" i="8"/>
  <c r="CT285" i="8" s="1"/>
  <c r="DL20" i="8"/>
  <c r="DL13" i="8"/>
  <c r="DL220" i="8"/>
  <c r="DL285" i="8" s="1"/>
  <c r="DB104" i="8"/>
  <c r="DB17" i="8" s="1"/>
  <c r="CH27" i="45"/>
  <c r="CH16" i="45"/>
  <c r="CH102" i="45"/>
  <c r="CH403" i="45"/>
  <c r="AS10" i="7"/>
  <c r="AS156" i="7"/>
  <c r="AS164" i="7"/>
  <c r="AU175" i="7"/>
  <c r="AS175" i="7"/>
  <c r="AT405" i="7"/>
  <c r="BK116" i="8"/>
  <c r="BK18" i="8" s="1"/>
  <c r="BL18" i="8"/>
  <c r="BA154" i="7"/>
  <c r="AZ404" i="7"/>
  <c r="AY404" i="7" s="1"/>
  <c r="AY396" i="7"/>
  <c r="AR5" i="8"/>
  <c r="AR11" i="8" s="1"/>
  <c r="AR11" i="7"/>
  <c r="AR157" i="7"/>
  <c r="AR163" i="7"/>
  <c r="CJ269" i="7"/>
  <c r="CH266" i="7"/>
  <c r="BF202" i="8"/>
  <c r="BF24" i="7"/>
  <c r="CA299" i="7"/>
  <c r="BZ299" i="7" s="1"/>
  <c r="BZ286" i="7"/>
  <c r="DT68" i="8"/>
  <c r="DU68" i="8"/>
  <c r="DV70" i="8" s="1"/>
  <c r="DS275" i="7"/>
  <c r="DS68" i="8" s="1"/>
  <c r="DS70" i="8" s="1"/>
  <c r="BU22" i="7"/>
  <c r="BU342" i="7"/>
  <c r="AS88" i="8"/>
  <c r="BS88" i="8"/>
  <c r="BU88" i="8"/>
  <c r="P5" i="8"/>
  <c r="P11" i="8" s="1"/>
  <c r="O91" i="7"/>
  <c r="P11" i="7"/>
  <c r="BL42" i="7"/>
  <c r="BK33" i="7"/>
  <c r="BR61" i="7"/>
  <c r="BQ69" i="7"/>
  <c r="BQ172" i="7" s="1"/>
  <c r="CW17" i="8"/>
  <c r="BV88" i="8"/>
  <c r="DI568" i="7"/>
  <c r="Q88" i="8"/>
  <c r="S88" i="8"/>
  <c r="AI88" i="8"/>
  <c r="AK88" i="8"/>
  <c r="H53" i="7"/>
  <c r="H43" i="7" s="1"/>
  <c r="CF164" i="8"/>
  <c r="DK36" i="8"/>
  <c r="DK39" i="8" s="1"/>
  <c r="DJ39" i="8" s="1"/>
  <c r="BN4" i="8"/>
  <c r="BN10" i="8" s="1"/>
  <c r="BN162" i="7"/>
  <c r="BN74" i="7"/>
  <c r="CG76" i="7"/>
  <c r="T53" i="7"/>
  <c r="T43" i="7" s="1"/>
  <c r="BF34" i="7"/>
  <c r="BU42" i="7"/>
  <c r="AY185" i="7"/>
  <c r="DG205" i="7"/>
  <c r="CN37" i="8"/>
  <c r="CP37" i="8"/>
  <c r="J88" i="8"/>
  <c r="H88" i="8"/>
  <c r="AB88" i="8"/>
  <c r="Z88" i="8"/>
  <c r="DI36" i="8"/>
  <c r="DI39" i="8" s="1"/>
  <c r="DJ36" i="8"/>
  <c r="DL274" i="7"/>
  <c r="N53" i="7"/>
  <c r="N43" i="7" s="1"/>
  <c r="AP140" i="7"/>
  <c r="DD205" i="7"/>
  <c r="CO218" i="7"/>
  <c r="I242" i="7"/>
  <c r="J261" i="7"/>
  <c r="CC242" i="7"/>
  <c r="CC564" i="7" s="1"/>
  <c r="CD564" i="7"/>
  <c r="CH37" i="8"/>
  <c r="CJ37" i="8"/>
  <c r="CQ445" i="7"/>
  <c r="CR445" i="7" s="1"/>
  <c r="CS445" i="7" s="1"/>
  <c r="AO400" i="7"/>
  <c r="CU218" i="7"/>
  <c r="Y211" i="7"/>
  <c r="X212" i="7"/>
  <c r="EK134" i="45"/>
  <c r="EM134" i="45"/>
  <c r="DY275" i="45"/>
  <c r="DT20" i="8"/>
  <c r="DT13" i="8"/>
  <c r="DT220" i="8"/>
  <c r="DT285" i="8" s="1"/>
  <c r="CV132" i="8"/>
  <c r="CP91" i="7"/>
  <c r="CP116" i="7"/>
  <c r="CO85" i="7"/>
  <c r="CP10" i="7"/>
  <c r="DJ20" i="8"/>
  <c r="DJ13" i="8"/>
  <c r="DJ220" i="8"/>
  <c r="DJ285" i="8" s="1"/>
  <c r="BY16" i="45"/>
  <c r="BY27" i="45"/>
  <c r="BY102" i="45"/>
  <c r="BY403" i="45"/>
  <c r="EA16" i="45"/>
  <c r="EA27" i="45"/>
  <c r="EA102" i="45"/>
  <c r="EA199" i="45"/>
  <c r="EA225" i="45" s="1"/>
  <c r="EA314" i="45"/>
  <c r="EA334" i="45"/>
  <c r="EA350" i="45" s="1"/>
  <c r="EA403" i="45"/>
  <c r="EA378" i="45"/>
  <c r="AN5" i="8"/>
  <c r="AN11" i="8" s="1"/>
  <c r="AM91" i="7"/>
  <c r="AN11" i="7"/>
  <c r="AN12" i="7" s="1"/>
  <c r="AN163" i="7"/>
  <c r="DO70" i="8"/>
  <c r="DQ70" i="8"/>
  <c r="DN70" i="8"/>
  <c r="BS218" i="7"/>
  <c r="BS220" i="7" s="1"/>
  <c r="BS204" i="7"/>
  <c r="BS212" i="7" s="1"/>
  <c r="BS211" i="7" s="1"/>
  <c r="CR27" i="45"/>
  <c r="CR16" i="45"/>
  <c r="CR102" i="45"/>
  <c r="CR403" i="45"/>
  <c r="EN27" i="45"/>
  <c r="EN16" i="45"/>
  <c r="EN102" i="45"/>
  <c r="EN199" i="45"/>
  <c r="EN225" i="45" s="1"/>
  <c r="EN314" i="45"/>
  <c r="EN378" i="45"/>
  <c r="EN403" i="45"/>
  <c r="EN334" i="45"/>
  <c r="EN350" i="45" s="1"/>
  <c r="DK35" i="7"/>
  <c r="DJ76" i="7"/>
  <c r="DJ105" i="8" s="1"/>
  <c r="DA20" i="8"/>
  <c r="DA13" i="8"/>
  <c r="DA220" i="8"/>
  <c r="DA285" i="8" s="1"/>
  <c r="DS20" i="8"/>
  <c r="DS13" i="8"/>
  <c r="DS220" i="8"/>
  <c r="DS285" i="8" s="1"/>
  <c r="CN27" i="45"/>
  <c r="CN16" i="45"/>
  <c r="CN102" i="45"/>
  <c r="CN403" i="45"/>
  <c r="AV10" i="7"/>
  <c r="AV156" i="7"/>
  <c r="AV164" i="7"/>
  <c r="AX175" i="7"/>
  <c r="AV175" i="7"/>
  <c r="CJ288" i="7"/>
  <c r="CH286" i="7"/>
  <c r="AN61" i="7"/>
  <c r="AN161" i="7"/>
  <c r="AN70" i="7"/>
  <c r="AM69" i="7"/>
  <c r="AO172" i="7" s="1"/>
  <c r="AX61" i="7"/>
  <c r="AX154" i="7"/>
  <c r="AX70" i="7"/>
  <c r="AX161" i="7"/>
  <c r="CN268" i="7"/>
  <c r="CL268" i="7"/>
  <c r="BA403" i="7"/>
  <c r="BC403" i="7" s="1"/>
  <c r="AY403" i="7"/>
  <c r="DN239" i="7"/>
  <c r="DM241" i="7"/>
  <c r="AN88" i="8"/>
  <c r="AL88" i="8"/>
  <c r="BC224" i="8"/>
  <c r="BA396" i="7"/>
  <c r="CG324" i="7"/>
  <c r="CF324" i="7" s="1"/>
  <c r="CG323" i="7"/>
  <c r="CG322" i="7"/>
  <c r="CG575" i="7"/>
  <c r="CF266" i="7"/>
  <c r="BI202" i="8"/>
  <c r="BI24" i="7"/>
  <c r="AS91" i="7"/>
  <c r="AU174" i="7" s="1"/>
  <c r="AK61" i="7"/>
  <c r="AJ69" i="7"/>
  <c r="DR70" i="8"/>
  <c r="Y5" i="8"/>
  <c r="Y11" i="8" s="1"/>
  <c r="X91" i="7"/>
  <c r="Y11" i="7"/>
  <c r="CQ5" i="8"/>
  <c r="CQ11" i="8" s="1"/>
  <c r="CQ11" i="7"/>
  <c r="CQ157" i="7"/>
  <c r="DN280" i="7"/>
  <c r="DM280" i="7" s="1"/>
  <c r="DM282" i="7"/>
  <c r="BL22" i="7"/>
  <c r="AN14" i="7"/>
  <c r="AZ86" i="7"/>
  <c r="AE61" i="7"/>
  <c r="AD69" i="7"/>
  <c r="Z53" i="7"/>
  <c r="Z43" i="7" s="1"/>
  <c r="M181" i="7"/>
  <c r="L63" i="7"/>
  <c r="AE181" i="7"/>
  <c r="AD63" i="7"/>
  <c r="CU164" i="8"/>
  <c r="CG36" i="8"/>
  <c r="CG39" i="8" s="1"/>
  <c r="CF39" i="8" s="1"/>
  <c r="CE36" i="8"/>
  <c r="CE39" i="8" s="1"/>
  <c r="CT36" i="8"/>
  <c r="CT39" i="8" s="1"/>
  <c r="CV36" i="8"/>
  <c r="CV39" i="8" s="1"/>
  <c r="CU39" i="8" s="1"/>
  <c r="CO560" i="7"/>
  <c r="CO562" i="7" s="1"/>
  <c r="AQ143" i="7"/>
  <c r="AQ144" i="7" s="1"/>
  <c r="AO143" i="7"/>
  <c r="AO144" i="7" s="1"/>
  <c r="AO147" i="7" s="1"/>
  <c r="AP143" i="7" s="1"/>
  <c r="BD294" i="8"/>
  <c r="BD204" i="7"/>
  <c r="BD212" i="7" s="1"/>
  <c r="BE188" i="7"/>
  <c r="AL53" i="7"/>
  <c r="AL43" i="7" s="1"/>
  <c r="P4" i="8"/>
  <c r="P10" i="8" s="1"/>
  <c r="P69" i="7"/>
  <c r="P179" i="7"/>
  <c r="O73" i="7"/>
  <c r="O4" i="8" s="1"/>
  <c r="O10" i="8" s="1"/>
  <c r="AH4" i="8"/>
  <c r="AH10" i="8" s="1"/>
  <c r="AH69" i="7"/>
  <c r="AH179" i="7"/>
  <c r="AG73" i="7"/>
  <c r="AG4" i="8" s="1"/>
  <c r="AG10" i="8" s="1"/>
  <c r="AY184" i="7"/>
  <c r="J212" i="7"/>
  <c r="I204" i="7"/>
  <c r="AA42" i="7"/>
  <c r="CL215" i="7"/>
  <c r="BH164" i="8"/>
  <c r="DI37" i="8"/>
  <c r="DJ37" i="8"/>
  <c r="AF53" i="7"/>
  <c r="AF43" i="7" s="1"/>
  <c r="DD188" i="7"/>
  <c r="DE218" i="7"/>
  <c r="O242" i="7"/>
  <c r="DB36" i="8"/>
  <c r="DB39" i="8" s="1"/>
  <c r="DA39" i="8" s="1"/>
  <c r="DL33" i="8"/>
  <c r="DL35" i="8"/>
  <c r="BW256" i="7"/>
  <c r="BX260" i="7"/>
  <c r="BW260" i="7" s="1"/>
  <c r="CR316" i="7"/>
  <c r="CT316" i="7"/>
  <c r="CT317" i="7" s="1"/>
  <c r="CT520" i="7" s="1"/>
  <c r="CS317" i="7"/>
  <c r="CV316" i="7"/>
  <c r="Y57" i="9" s="1"/>
  <c r="BG195" i="8"/>
  <c r="BI355" i="7"/>
  <c r="BU204" i="7"/>
  <c r="BL222" i="7"/>
  <c r="BL224" i="7" s="1"/>
  <c r="BH224" i="7"/>
  <c r="BJ222" i="7"/>
  <c r="BJ224" i="7" s="1"/>
  <c r="BK222" i="7" s="1"/>
  <c r="AJ212" i="7"/>
  <c r="AK211" i="7"/>
  <c r="BW34" i="7"/>
  <c r="BW555" i="7" s="1"/>
  <c r="X204" i="7"/>
  <c r="AA317" i="7"/>
  <c r="AB560" i="7"/>
  <c r="AB562" i="7" s="1"/>
  <c r="EE170" i="45"/>
  <c r="EE169" i="45" s="1"/>
  <c r="CV20" i="8"/>
  <c r="CV13" i="8"/>
  <c r="CV220" i="8"/>
  <c r="CV285" i="8" s="1"/>
  <c r="DH20" i="8"/>
  <c r="DH13" i="8"/>
  <c r="DH220" i="8"/>
  <c r="DH285" i="8" s="1"/>
  <c r="DQ248" i="7"/>
  <c r="AF43" i="9" s="1"/>
  <c r="DM248" i="7"/>
  <c r="DO248" i="7"/>
  <c r="DF10" i="7"/>
  <c r="DF91" i="7"/>
  <c r="DF116" i="7"/>
  <c r="Y10" i="9" s="1"/>
  <c r="DF156" i="7"/>
  <c r="CE16" i="45"/>
  <c r="CE27" i="45"/>
  <c r="CE102" i="45"/>
  <c r="CE403" i="45"/>
  <c r="EG16" i="45"/>
  <c r="EG27" i="45"/>
  <c r="EG102" i="45"/>
  <c r="EG199" i="45"/>
  <c r="EG225" i="45" s="1"/>
  <c r="EG314" i="45"/>
  <c r="EG334" i="45"/>
  <c r="EG350" i="45" s="1"/>
  <c r="EG378" i="45"/>
  <c r="EG403" i="45"/>
  <c r="DD27" i="45"/>
  <c r="DD16" i="45"/>
  <c r="DD102" i="45"/>
  <c r="DD403" i="45"/>
  <c r="BR18" i="8"/>
  <c r="BQ116" i="8"/>
  <c r="BQ18" i="8" s="1"/>
  <c r="CZ20" i="8"/>
  <c r="CZ13" i="8"/>
  <c r="CZ220" i="8"/>
  <c r="CZ285" i="8" s="1"/>
  <c r="DR20" i="8"/>
  <c r="DR13" i="8"/>
  <c r="DR220" i="8"/>
  <c r="DR285" i="8" s="1"/>
  <c r="BE116" i="8"/>
  <c r="BE18" i="8" s="1"/>
  <c r="AY10" i="7"/>
  <c r="AY156" i="7"/>
  <c r="AY164" i="7"/>
  <c r="AY175" i="7"/>
  <c r="BA175" i="7"/>
  <c r="BV378" i="7"/>
  <c r="DM287" i="7"/>
  <c r="AU88" i="8"/>
  <c r="AW88" i="8"/>
  <c r="BM140" i="7"/>
  <c r="BN116" i="7"/>
  <c r="BL202" i="8"/>
  <c r="BL24" i="7"/>
  <c r="AT88" i="8"/>
  <c r="AR88" i="8"/>
  <c r="BA88" i="8"/>
  <c r="BC88" i="8"/>
  <c r="AH5" i="8"/>
  <c r="AH11" i="8" s="1"/>
  <c r="AG91" i="7"/>
  <c r="AH11" i="7"/>
  <c r="AT61" i="7"/>
  <c r="AS69" i="7"/>
  <c r="AU172" i="7" s="1"/>
  <c r="AT161" i="7"/>
  <c r="AT70" i="7"/>
  <c r="DS164" i="8"/>
  <c r="BO22" i="7"/>
  <c r="CN289" i="8"/>
  <c r="BU61" i="7"/>
  <c r="BT69" i="7"/>
  <c r="BU154" i="7"/>
  <c r="F69" i="7"/>
  <c r="G61" i="7"/>
  <c r="S61" i="7"/>
  <c r="BK26" i="8"/>
  <c r="CY36" i="8"/>
  <c r="CY39" i="8" s="1"/>
  <c r="CX39" i="8" s="1"/>
  <c r="CW36" i="8"/>
  <c r="CW39" i="8" s="1"/>
  <c r="W88" i="8"/>
  <c r="Y88" i="8"/>
  <c r="BE88" i="8"/>
  <c r="BI204" i="7"/>
  <c r="BH198" i="7"/>
  <c r="CE37" i="8"/>
  <c r="CG37" i="8"/>
  <c r="DI46" i="8"/>
  <c r="DI49" i="8" s="1"/>
  <c r="DK46" i="8"/>
  <c r="DK49" i="8" s="1"/>
  <c r="DJ49" i="8" s="1"/>
  <c r="AN141" i="7"/>
  <c r="CI164" i="8"/>
  <c r="CI36" i="8"/>
  <c r="DE37" i="8"/>
  <c r="DF37" i="8"/>
  <c r="DH37" i="8"/>
  <c r="CL560" i="7"/>
  <c r="CL562" i="7" s="1"/>
  <c r="I42" i="7"/>
  <c r="O204" i="7"/>
  <c r="P212" i="7"/>
  <c r="CB37" i="8"/>
  <c r="CD37" i="8"/>
  <c r="CN36" i="8"/>
  <c r="CN39" i="8" s="1"/>
  <c r="CP36" i="8"/>
  <c r="CP39" i="8" s="1"/>
  <c r="CO39" i="8" s="1"/>
  <c r="P88" i="8"/>
  <c r="N88" i="8"/>
  <c r="AH88" i="8"/>
  <c r="AF88" i="8"/>
  <c r="AM116" i="7"/>
  <c r="CM36" i="8"/>
  <c r="CM39" i="8" s="1"/>
  <c r="CL39" i="8" s="1"/>
  <c r="CK36" i="8"/>
  <c r="CK39" i="8" s="1"/>
  <c r="AV42" i="7"/>
  <c r="BZ39" i="7"/>
  <c r="BY34" i="7"/>
  <c r="BY555" i="7" s="1"/>
  <c r="BY556" i="7" s="1"/>
  <c r="AV179" i="7"/>
  <c r="U242" i="7"/>
  <c r="V261" i="7"/>
  <c r="CH36" i="8"/>
  <c r="CH39" i="8" s="1"/>
  <c r="CJ36" i="8"/>
  <c r="CJ39" i="8" s="1"/>
  <c r="CI39" i="8" s="1"/>
  <c r="L250" i="7"/>
  <c r="M576" i="7"/>
  <c r="R212" i="7"/>
  <c r="S211" i="7"/>
  <c r="BT188" i="7"/>
  <c r="CO224" i="7"/>
  <c r="CS222" i="7"/>
  <c r="CS224" i="7" s="1"/>
  <c r="CQ222" i="7"/>
  <c r="CQ224" i="7" s="1"/>
  <c r="CR222" i="7" s="1"/>
  <c r="P560" i="7"/>
  <c r="P562" i="7" s="1"/>
  <c r="O317" i="7"/>
  <c r="O560" i="7" s="1"/>
  <c r="O562" i="7" s="1"/>
  <c r="AJ204" i="7"/>
  <c r="DL247" i="45"/>
  <c r="DI183" i="45"/>
  <c r="DL103" i="45"/>
  <c r="EP170" i="45"/>
  <c r="ES170" i="45" s="1"/>
  <c r="EV170" i="45" s="1"/>
  <c r="EY170" i="45" s="1"/>
  <c r="DM428" i="45"/>
  <c r="DJ7" i="45"/>
  <c r="DP195" i="7"/>
  <c r="DI116" i="7"/>
  <c r="Z10" i="9" s="1"/>
  <c r="DI10" i="7"/>
  <c r="DI156" i="7"/>
  <c r="CL76" i="7"/>
  <c r="CL105" i="8" s="1"/>
  <c r="CM35" i="7"/>
  <c r="CX20" i="8"/>
  <c r="CX13" i="8"/>
  <c r="CX220" i="8"/>
  <c r="CX285" i="8" s="1"/>
  <c r="CK16" i="45"/>
  <c r="CK27" i="45"/>
  <c r="CK102" i="45"/>
  <c r="CK403" i="45"/>
  <c r="EM16" i="45"/>
  <c r="EM27" i="45"/>
  <c r="EM102" i="45"/>
  <c r="EM199" i="45"/>
  <c r="EM225" i="45" s="1"/>
  <c r="EM314" i="45"/>
  <c r="EM334" i="45"/>
  <c r="EM350" i="45" s="1"/>
  <c r="EM403" i="45"/>
  <c r="EM378" i="45"/>
  <c r="CY20" i="8"/>
  <c r="CY13" i="8"/>
  <c r="CY220" i="8"/>
  <c r="CY285" i="8" s="1"/>
  <c r="DK20" i="8"/>
  <c r="DK13" i="8"/>
  <c r="DK220" i="8"/>
  <c r="DK285" i="8" s="1"/>
  <c r="DP27" i="45"/>
  <c r="DP16" i="45"/>
  <c r="DP102" i="45"/>
  <c r="DP199" i="45"/>
  <c r="DP225" i="45" s="1"/>
  <c r="DP314" i="45"/>
  <c r="DP334" i="45"/>
  <c r="DP350" i="45" s="1"/>
  <c r="DP403" i="45"/>
  <c r="DP378" i="45"/>
  <c r="BN75" i="7"/>
  <c r="BN325" i="7" s="1"/>
  <c r="BN177" i="7"/>
  <c r="BQ124" i="8"/>
  <c r="BP404" i="7"/>
  <c r="BQ404" i="7" s="1"/>
  <c r="BP443" i="7"/>
  <c r="BT289" i="8"/>
  <c r="BU289" i="8" s="1"/>
  <c r="BS287" i="8"/>
  <c r="CM85" i="7"/>
  <c r="CM82" i="7"/>
  <c r="CL81" i="7"/>
  <c r="CM553" i="7"/>
  <c r="ED27" i="45"/>
  <c r="ED16" i="45"/>
  <c r="ED102" i="45"/>
  <c r="ED199" i="45"/>
  <c r="ED225" i="45" s="1"/>
  <c r="ED314" i="45"/>
  <c r="ED334" i="45"/>
  <c r="ED350" i="45" s="1"/>
  <c r="ED378" i="45"/>
  <c r="ED403" i="45"/>
  <c r="BC18" i="8"/>
  <c r="BB116" i="8"/>
  <c r="BB18" i="8" s="1"/>
  <c r="DB4" i="8"/>
  <c r="DB10" i="8" s="1"/>
  <c r="DB69" i="7"/>
  <c r="DB325" i="7"/>
  <c r="DB179" i="7"/>
  <c r="DB518" i="7"/>
  <c r="DP164" i="8"/>
  <c r="AO88" i="8"/>
  <c r="AQ88" i="8"/>
  <c r="DD560" i="7"/>
  <c r="DD562" i="7" s="1"/>
  <c r="BJ287" i="8"/>
  <c r="BJ288" i="8" s="1"/>
  <c r="BK289" i="8"/>
  <c r="BL289" i="8" s="1"/>
  <c r="DB132" i="8"/>
  <c r="DB133" i="8" s="1"/>
  <c r="AW86" i="7"/>
  <c r="AV88" i="7"/>
  <c r="BC61" i="7"/>
  <c r="BC70" i="7"/>
  <c r="BC161" i="7"/>
  <c r="BB69" i="7"/>
  <c r="BD172" i="7" s="1"/>
  <c r="BC154" i="7"/>
  <c r="BY154" i="7"/>
  <c r="DJ239" i="7"/>
  <c r="DK242" i="7"/>
  <c r="AD41" i="9" s="1"/>
  <c r="AD40" i="9" s="1"/>
  <c r="BO202" i="8"/>
  <c r="BO24" i="7"/>
  <c r="CJ254" i="7"/>
  <c r="CH253" i="7"/>
  <c r="CH250" i="7" s="1"/>
  <c r="CW378" i="7"/>
  <c r="CX367" i="7" s="1"/>
  <c r="CW393" i="7"/>
  <c r="CW20" i="7" s="1"/>
  <c r="BX132" i="8"/>
  <c r="CA324" i="7"/>
  <c r="BZ324" i="7" s="1"/>
  <c r="CD167" i="7"/>
  <c r="CA167" i="7"/>
  <c r="CB167" i="7"/>
  <c r="CA575" i="7"/>
  <c r="BZ266" i="7"/>
  <c r="CA5" i="8"/>
  <c r="CA11" i="8" s="1"/>
  <c r="CA11" i="7"/>
  <c r="DA560" i="7"/>
  <c r="DA562" i="7" s="1"/>
  <c r="F34" i="7"/>
  <c r="G42" i="7"/>
  <c r="BR204" i="7"/>
  <c r="BB164" i="8"/>
  <c r="BZ104" i="8"/>
  <c r="CA76" i="7"/>
  <c r="CW37" i="8"/>
  <c r="CY37" i="8"/>
  <c r="F63" i="7"/>
  <c r="G181" i="7"/>
  <c r="X63" i="7"/>
  <c r="Y181" i="7"/>
  <c r="BK164" i="8"/>
  <c r="CU76" i="7"/>
  <c r="CU105" i="8" s="1"/>
  <c r="CU17" i="8" s="1"/>
  <c r="CV35" i="7"/>
  <c r="DI45" i="8"/>
  <c r="DK45" i="8"/>
  <c r="DH45" i="8"/>
  <c r="AM140" i="7"/>
  <c r="AM144" i="7" s="1"/>
  <c r="AM147" i="7" s="1"/>
  <c r="V4" i="8"/>
  <c r="V10" i="8" s="1"/>
  <c r="U73" i="7"/>
  <c r="U4" i="8" s="1"/>
  <c r="U10" i="8" s="1"/>
  <c r="V69" i="7"/>
  <c r="V179" i="7"/>
  <c r="CL164" i="8"/>
  <c r="V212" i="7"/>
  <c r="U204" i="7"/>
  <c r="DJ42" i="8"/>
  <c r="DJ45" i="8" s="1"/>
  <c r="DJ44" i="8"/>
  <c r="DJ46" i="8" s="1"/>
  <c r="G261" i="7"/>
  <c r="AQ261" i="7"/>
  <c r="O42" i="7"/>
  <c r="AS42" i="7"/>
  <c r="CK37" i="8"/>
  <c r="CM37" i="8"/>
  <c r="BL88" i="8"/>
  <c r="BJ88" i="8"/>
  <c r="BT189" i="7"/>
  <c r="AA242" i="7"/>
  <c r="AB261" i="7"/>
  <c r="CA36" i="8"/>
  <c r="CA39" i="8" s="1"/>
  <c r="BZ39" i="8" s="1"/>
  <c r="BX36" i="8"/>
  <c r="BX39" i="8" s="1"/>
  <c r="BW39" i="8" s="1"/>
  <c r="BY36" i="8"/>
  <c r="BY39" i="8" s="1"/>
  <c r="G211" i="7"/>
  <c r="F212" i="7"/>
  <c r="X317" i="7"/>
  <c r="Y560" i="7"/>
  <c r="Y562" i="7" s="1"/>
  <c r="DX287" i="45" l="1"/>
  <c r="DX272" i="45"/>
  <c r="DX181" i="45"/>
  <c r="DX132" i="45"/>
  <c r="DX356" i="45"/>
  <c r="DX136" i="45"/>
  <c r="AB76" i="57"/>
  <c r="AB96" i="57"/>
  <c r="AB83" i="57"/>
  <c r="DV242" i="45"/>
  <c r="DX242" i="45"/>
  <c r="DX208" i="45"/>
  <c r="EA208" i="45" s="1"/>
  <c r="ED208" i="45" s="1"/>
  <c r="EG208" i="45" s="1"/>
  <c r="EJ208" i="45" s="1"/>
  <c r="EM208" i="45" s="1"/>
  <c r="EP208" i="45" s="1"/>
  <c r="ES208" i="45" s="1"/>
  <c r="EV208" i="45" s="1"/>
  <c r="EY208" i="45" s="1"/>
  <c r="DX203" i="45"/>
  <c r="EA204" i="45"/>
  <c r="ED204" i="45" s="1"/>
  <c r="EG204" i="45" s="1"/>
  <c r="EJ204" i="45" s="1"/>
  <c r="EM204" i="45" s="1"/>
  <c r="EP204" i="45" s="1"/>
  <c r="ES204" i="45" s="1"/>
  <c r="EV204" i="45" s="1"/>
  <c r="EY204" i="45" s="1"/>
  <c r="DX220" i="45"/>
  <c r="DS136" i="45"/>
  <c r="DY203" i="8"/>
  <c r="DY350" i="7" s="1"/>
  <c r="R60" i="9"/>
  <c r="R46" i="9"/>
  <c r="S46" i="9"/>
  <c r="S60" i="9"/>
  <c r="EE447" i="45"/>
  <c r="DX208" i="8"/>
  <c r="DX351" i="7"/>
  <c r="DT70" i="8"/>
  <c r="DW70" i="8"/>
  <c r="EA289" i="7"/>
  <c r="EC289" i="7" s="1"/>
  <c r="DY289" i="7"/>
  <c r="DY211" i="45"/>
  <c r="EB211" i="45" s="1"/>
  <c r="EE211" i="45" s="1"/>
  <c r="EH211" i="45" s="1"/>
  <c r="EK211" i="45" s="1"/>
  <c r="EN211" i="45" s="1"/>
  <c r="EQ211" i="45" s="1"/>
  <c r="ET211" i="45" s="1"/>
  <c r="EW211" i="45" s="1"/>
  <c r="EZ211" i="45" s="1"/>
  <c r="DV351" i="7"/>
  <c r="DV208" i="8"/>
  <c r="DW208" i="8" s="1"/>
  <c r="DW245" i="7"/>
  <c r="DV246" i="7"/>
  <c r="DV33" i="8" s="1"/>
  <c r="DV221" i="45"/>
  <c r="DV203" i="45"/>
  <c r="DY203" i="45" s="1"/>
  <c r="EB203" i="45" s="1"/>
  <c r="EE203" i="45" s="1"/>
  <c r="EH203" i="45" s="1"/>
  <c r="EK203" i="45" s="1"/>
  <c r="EN203" i="45" s="1"/>
  <c r="EQ203" i="45" s="1"/>
  <c r="ET203" i="45" s="1"/>
  <c r="EW203" i="45" s="1"/>
  <c r="EZ203" i="45" s="1"/>
  <c r="DW181" i="45"/>
  <c r="DW272" i="45"/>
  <c r="DW287" i="45"/>
  <c r="DW132" i="45"/>
  <c r="DW356" i="45"/>
  <c r="DW136" i="45"/>
  <c r="AA96" i="57"/>
  <c r="AA83" i="57"/>
  <c r="AA76" i="57"/>
  <c r="Z83" i="57"/>
  <c r="Z76" i="57"/>
  <c r="Z96" i="57"/>
  <c r="DV136" i="45"/>
  <c r="DV181" i="45"/>
  <c r="DV356" i="45"/>
  <c r="DV272" i="45"/>
  <c r="DV287" i="45"/>
  <c r="DV132" i="45"/>
  <c r="DW35" i="8"/>
  <c r="DW33" i="8"/>
  <c r="M83" i="57"/>
  <c r="DS132" i="45"/>
  <c r="BV569" i="7"/>
  <c r="BV571" i="7" s="1"/>
  <c r="BV574" i="7" s="1"/>
  <c r="BV577" i="7" s="1"/>
  <c r="O24" i="9"/>
  <c r="N24" i="9"/>
  <c r="O25" i="9"/>
  <c r="N25" i="9"/>
  <c r="BW323" i="7"/>
  <c r="EC133" i="45"/>
  <c r="EA275" i="45"/>
  <c r="AD54" i="9"/>
  <c r="DP183" i="45"/>
  <c r="DP184" i="45" s="1"/>
  <c r="EP169" i="45"/>
  <c r="ES169" i="45" s="1"/>
  <c r="EV169" i="45" s="1"/>
  <c r="EY169" i="45" s="1"/>
  <c r="DS356" i="45"/>
  <c r="DS287" i="45"/>
  <c r="DS272" i="45"/>
  <c r="AI83" i="57"/>
  <c r="AI96" i="57"/>
  <c r="AG83" i="57"/>
  <c r="AG96" i="57"/>
  <c r="AF83" i="57"/>
  <c r="AF96" i="57"/>
  <c r="AE83" i="57"/>
  <c r="AE96" i="57"/>
  <c r="AC83" i="57"/>
  <c r="AC96" i="57"/>
  <c r="AD83" i="57"/>
  <c r="AD96" i="57"/>
  <c r="CY116" i="7"/>
  <c r="CY140" i="7" s="1"/>
  <c r="CL242" i="7"/>
  <c r="CL564" i="7" s="1"/>
  <c r="DZ287" i="45"/>
  <c r="DZ136" i="45"/>
  <c r="DZ272" i="45"/>
  <c r="DZ356" i="45"/>
  <c r="DZ181" i="45"/>
  <c r="AD76" i="57"/>
  <c r="W76" i="57"/>
  <c r="W96" i="57"/>
  <c r="T389" i="7"/>
  <c r="BP302" i="7"/>
  <c r="BP569" i="7" s="1"/>
  <c r="BP571" i="7" s="1"/>
  <c r="BP574" i="7" s="1"/>
  <c r="BP577" i="7" s="1"/>
  <c r="AP181" i="7"/>
  <c r="DU246" i="7"/>
  <c r="DU35" i="8" s="1"/>
  <c r="DS246" i="7"/>
  <c r="DS33" i="8" s="1"/>
  <c r="DS36" i="8" s="1"/>
  <c r="DT33" i="8"/>
  <c r="DT36" i="8" s="1"/>
  <c r="DT35" i="8"/>
  <c r="DT37" i="8" s="1"/>
  <c r="BX202" i="8"/>
  <c r="CY156" i="7"/>
  <c r="CX85" i="7"/>
  <c r="CX10" i="7" s="1"/>
  <c r="CY10" i="7"/>
  <c r="CE569" i="7"/>
  <c r="CE571" i="7" s="1"/>
  <c r="CE574" i="7" s="1"/>
  <c r="CE577" i="7" s="1"/>
  <c r="BU560" i="7"/>
  <c r="BU562" i="7" s="1"/>
  <c r="AL378" i="7"/>
  <c r="AM367" i="7" s="1"/>
  <c r="AM378" i="7" s="1"/>
  <c r="Y83" i="57"/>
  <c r="Y96" i="57"/>
  <c r="T83" i="57"/>
  <c r="T96" i="57"/>
  <c r="U83" i="57"/>
  <c r="U96" i="57"/>
  <c r="X83" i="57"/>
  <c r="X96" i="57"/>
  <c r="BG302" i="7"/>
  <c r="BG319" i="7" s="1"/>
  <c r="AU302" i="7"/>
  <c r="AU319" i="7" s="1"/>
  <c r="CX182" i="7"/>
  <c r="AX302" i="7"/>
  <c r="AX569" i="7" s="1"/>
  <c r="AX571" i="7" s="1"/>
  <c r="AX574" i="7" s="1"/>
  <c r="AX577" i="7" s="1"/>
  <c r="BJ302" i="7"/>
  <c r="BJ319" i="7" s="1"/>
  <c r="BS302" i="7"/>
  <c r="BS319" i="7" s="1"/>
  <c r="DO189" i="45"/>
  <c r="DO190" i="45" s="1"/>
  <c r="DH564" i="7"/>
  <c r="DQ37" i="8"/>
  <c r="W302" i="7"/>
  <c r="W319" i="7" s="1"/>
  <c r="CA88" i="8"/>
  <c r="CX82" i="7"/>
  <c r="CX519" i="7" s="1"/>
  <c r="BY88" i="8"/>
  <c r="AT560" i="7"/>
  <c r="AT562" i="7" s="1"/>
  <c r="AO302" i="7"/>
  <c r="AO319" i="7" s="1"/>
  <c r="DO33" i="8"/>
  <c r="DP36" i="8" s="1"/>
  <c r="CX553" i="7"/>
  <c r="BX564" i="7"/>
  <c r="DP35" i="8"/>
  <c r="DP37" i="8" s="1"/>
  <c r="BY302" i="7"/>
  <c r="BY319" i="7" s="1"/>
  <c r="DS252" i="7"/>
  <c r="Q302" i="7"/>
  <c r="Q319" i="7" s="1"/>
  <c r="BM302" i="7"/>
  <c r="BM569" i="7" s="1"/>
  <c r="BM571" i="7" s="1"/>
  <c r="BM574" i="7" s="1"/>
  <c r="BM577" i="7" s="1"/>
  <c r="DB564" i="7"/>
  <c r="BO18" i="8"/>
  <c r="DK560" i="7"/>
  <c r="DK562" i="7" s="1"/>
  <c r="DJ315" i="7"/>
  <c r="DJ560" i="7" s="1"/>
  <c r="DJ562" i="7" s="1"/>
  <c r="DK317" i="7"/>
  <c r="AL302" i="7"/>
  <c r="AL569" i="7" s="1"/>
  <c r="AL571" i="7" s="1"/>
  <c r="AL574" i="7" s="1"/>
  <c r="AL577" i="7" s="1"/>
  <c r="CA338" i="7"/>
  <c r="CA323" i="7"/>
  <c r="DU252" i="7"/>
  <c r="AU183" i="7"/>
  <c r="AU187" i="7" s="1"/>
  <c r="CA322" i="7"/>
  <c r="E302" i="7"/>
  <c r="E319" i="7" s="1"/>
  <c r="BN556" i="7"/>
  <c r="CJ564" i="7"/>
  <c r="CX242" i="7"/>
  <c r="CX564" i="7" s="1"/>
  <c r="CY564" i="7"/>
  <c r="DQ220" i="45"/>
  <c r="DS220" i="45"/>
  <c r="DR272" i="45"/>
  <c r="DQ136" i="45"/>
  <c r="DN132" i="45"/>
  <c r="EI132" i="45"/>
  <c r="EC136" i="45"/>
  <c r="DK287" i="45"/>
  <c r="EQ132" i="45"/>
  <c r="EE287" i="45"/>
  <c r="DJ132" i="45"/>
  <c r="EF181" i="45"/>
  <c r="DO272" i="45"/>
  <c r="DT132" i="45"/>
  <c r="EO272" i="45"/>
  <c r="DY132" i="45"/>
  <c r="EL136" i="45"/>
  <c r="DL272" i="45"/>
  <c r="ER136" i="45"/>
  <c r="DJ30" i="45"/>
  <c r="CC55" i="8"/>
  <c r="CC27" i="8"/>
  <c r="DD55" i="8"/>
  <c r="DD27" i="8"/>
  <c r="CQ27" i="8"/>
  <c r="CQ55" i="8"/>
  <c r="CQ66" i="7" s="1"/>
  <c r="CQ65" i="7" s="1"/>
  <c r="CQ63" i="7" s="1"/>
  <c r="DH55" i="8"/>
  <c r="DH66" i="7" s="1"/>
  <c r="CE55" i="8"/>
  <c r="CE66" i="7" s="1"/>
  <c r="CE65" i="7" s="1"/>
  <c r="CE63" i="7" s="1"/>
  <c r="CE61" i="7" s="1"/>
  <c r="CH153" i="7" s="1"/>
  <c r="CE27" i="8"/>
  <c r="CP55" i="8"/>
  <c r="BV55" i="8"/>
  <c r="BV66" i="7" s="1"/>
  <c r="BW66" i="7" s="1"/>
  <c r="BV27" i="8"/>
  <c r="BX27" i="8" s="1"/>
  <c r="CR55" i="8"/>
  <c r="CR27" i="8"/>
  <c r="CO27" i="8"/>
  <c r="CO55" i="8"/>
  <c r="CB55" i="8"/>
  <c r="CB66" i="7" s="1"/>
  <c r="CB65" i="7" s="1"/>
  <c r="CB63" i="7" s="1"/>
  <c r="CB61" i="7" s="1"/>
  <c r="CB27" i="8"/>
  <c r="BV26" i="8"/>
  <c r="DB26" i="8"/>
  <c r="CS55" i="8"/>
  <c r="CF55" i="8"/>
  <c r="CF27" i="8"/>
  <c r="DG27" i="8"/>
  <c r="DH27" i="8" s="1"/>
  <c r="DG55" i="8"/>
  <c r="CG55" i="8"/>
  <c r="CG66" i="7" s="1"/>
  <c r="DB55" i="8"/>
  <c r="DB66" i="7" s="1"/>
  <c r="DA66" i="7" s="1"/>
  <c r="CN55" i="8"/>
  <c r="CN66" i="7" s="1"/>
  <c r="CN65" i="7" s="1"/>
  <c r="CN63" i="7" s="1"/>
  <c r="CN27" i="8"/>
  <c r="CN28" i="8" s="1"/>
  <c r="CD55" i="8"/>
  <c r="CD66" i="7" s="1"/>
  <c r="CD65" i="7" s="1"/>
  <c r="CM27" i="8"/>
  <c r="BY27" i="8"/>
  <c r="CA27" i="8" s="1"/>
  <c r="BY55" i="8"/>
  <c r="BY66" i="7" s="1"/>
  <c r="BY65" i="7" s="1"/>
  <c r="BY63" i="7" s="1"/>
  <c r="BY61" i="7" s="1"/>
  <c r="BY552" i="7" s="1"/>
  <c r="BY557" i="7" s="1"/>
  <c r="BW26" i="8"/>
  <c r="BW28" i="8" s="1"/>
  <c r="DA55" i="8"/>
  <c r="DA27" i="8"/>
  <c r="DB27" i="8" s="1"/>
  <c r="DE55" i="8"/>
  <c r="DE66" i="7" s="1"/>
  <c r="CI55" i="8"/>
  <c r="CI27" i="8"/>
  <c r="CJ27" i="8" s="1"/>
  <c r="CA55" i="8"/>
  <c r="CA66" i="7" s="1"/>
  <c r="CA65" i="7" s="1"/>
  <c r="BY173" i="7"/>
  <c r="AO76" i="57"/>
  <c r="AO83" i="57"/>
  <c r="S76" i="57"/>
  <c r="S83" i="57"/>
  <c r="AH76" i="57"/>
  <c r="AH83" i="57"/>
  <c r="Q76" i="57"/>
  <c r="Q83" i="57"/>
  <c r="AM76" i="57"/>
  <c r="AM83" i="57"/>
  <c r="AJ76" i="57"/>
  <c r="AJ83" i="57"/>
  <c r="V76" i="57"/>
  <c r="V83" i="57"/>
  <c r="N76" i="57"/>
  <c r="N83" i="57"/>
  <c r="AV76" i="57"/>
  <c r="P76" i="57"/>
  <c r="AI76" i="57"/>
  <c r="AU76" i="57"/>
  <c r="AF76" i="57"/>
  <c r="U76" i="57"/>
  <c r="T76" i="57"/>
  <c r="AN76" i="57"/>
  <c r="AQ76" i="57"/>
  <c r="AT76" i="57"/>
  <c r="AR76" i="57"/>
  <c r="AS76" i="57"/>
  <c r="AC76" i="57"/>
  <c r="M76" i="57"/>
  <c r="R76" i="57"/>
  <c r="X76" i="57"/>
  <c r="Y76" i="57"/>
  <c r="AE76" i="57"/>
  <c r="O76" i="57"/>
  <c r="AP76" i="57"/>
  <c r="AG76" i="57"/>
  <c r="AL76" i="57"/>
  <c r="AK76" i="57"/>
  <c r="DI287" i="45"/>
  <c r="DI181" i="45"/>
  <c r="DQ36" i="8"/>
  <c r="DQ39" i="8" s="1"/>
  <c r="CE302" i="7"/>
  <c r="CE319" i="7" s="1"/>
  <c r="DM132" i="45"/>
  <c r="BO42" i="7"/>
  <c r="BN42" i="7" s="1"/>
  <c r="DB519" i="7"/>
  <c r="DR35" i="8"/>
  <c r="DR37" i="8" s="1"/>
  <c r="AK302" i="7"/>
  <c r="AK319" i="7" s="1"/>
  <c r="S261" i="7"/>
  <c r="S302" i="7" s="1"/>
  <c r="BV177" i="8"/>
  <c r="L224" i="7"/>
  <c r="P222" i="7"/>
  <c r="P224" i="7" s="1"/>
  <c r="Q222" i="7" s="1"/>
  <c r="Q224" i="7" s="1"/>
  <c r="R222" i="7" s="1"/>
  <c r="BY569" i="7"/>
  <c r="BY571" i="7" s="1"/>
  <c r="BY574" i="7" s="1"/>
  <c r="BY577" i="7" s="1"/>
  <c r="CT140" i="7"/>
  <c r="CU140" i="7" s="1"/>
  <c r="AC302" i="7"/>
  <c r="AC319" i="7" s="1"/>
  <c r="CA378" i="7"/>
  <c r="BT34" i="7"/>
  <c r="BX61" i="7"/>
  <c r="BX153" i="7" s="1"/>
  <c r="CG88" i="8"/>
  <c r="DA242" i="7"/>
  <c r="DA564" i="7" s="1"/>
  <c r="DI136" i="45"/>
  <c r="CZ367" i="7"/>
  <c r="CZ393" i="7" s="1"/>
  <c r="AJ183" i="7"/>
  <c r="CB569" i="7"/>
  <c r="CB571" i="7" s="1"/>
  <c r="CB574" i="7" s="1"/>
  <c r="CB577" i="7" s="1"/>
  <c r="AR302" i="7"/>
  <c r="AR319" i="7" s="1"/>
  <c r="DI132" i="45"/>
  <c r="AN391" i="7"/>
  <c r="DG242" i="7"/>
  <c r="DG564" i="7" s="1"/>
  <c r="BD302" i="7"/>
  <c r="BD569" i="7" s="1"/>
  <c r="BD571" i="7" s="1"/>
  <c r="BD574" i="7" s="1"/>
  <c r="BD577" i="7" s="1"/>
  <c r="DI272" i="45"/>
  <c r="DQ153" i="45"/>
  <c r="DQ154" i="45" s="1"/>
  <c r="CV5" i="8"/>
  <c r="CV11" i="8" s="1"/>
  <c r="CV157" i="7"/>
  <c r="DM136" i="45"/>
  <c r="CJ41" i="7"/>
  <c r="CI41" i="7" s="1"/>
  <c r="DM356" i="45"/>
  <c r="DM181" i="45"/>
  <c r="BK42" i="7"/>
  <c r="CB11" i="7"/>
  <c r="DM287" i="45"/>
  <c r="BK34" i="7"/>
  <c r="DM272" i="45"/>
  <c r="EK272" i="45"/>
  <c r="AM260" i="7"/>
  <c r="AN261" i="7"/>
  <c r="EL356" i="45"/>
  <c r="EL287" i="45"/>
  <c r="BE116" i="7"/>
  <c r="EL181" i="45"/>
  <c r="CO76" i="7"/>
  <c r="CO105" i="8" s="1"/>
  <c r="CO17" i="8" s="1"/>
  <c r="EL132" i="45"/>
  <c r="BU302" i="7"/>
  <c r="BU319" i="7" s="1"/>
  <c r="BV11" i="7"/>
  <c r="BB156" i="7"/>
  <c r="BW69" i="7"/>
  <c r="BY172" i="7" s="1"/>
  <c r="AJ10" i="7"/>
  <c r="EL272" i="45"/>
  <c r="BN204" i="7"/>
  <c r="R69" i="7"/>
  <c r="CH338" i="7"/>
  <c r="BF183" i="7"/>
  <c r="BF186" i="7" s="1"/>
  <c r="CS564" i="7"/>
  <c r="BB10" i="7"/>
  <c r="BE156" i="7"/>
  <c r="BD175" i="7"/>
  <c r="CC179" i="7"/>
  <c r="CR242" i="7"/>
  <c r="CR564" i="7" s="1"/>
  <c r="CG115" i="8"/>
  <c r="CG116" i="8" s="1"/>
  <c r="CG117" i="8" s="1"/>
  <c r="CC10" i="7"/>
  <c r="BI154" i="7"/>
  <c r="CE88" i="8"/>
  <c r="CH88" i="8"/>
  <c r="DT572" i="7"/>
  <c r="DS251" i="7"/>
  <c r="DS572" i="7" s="1"/>
  <c r="DU572" i="7"/>
  <c r="BC183" i="7"/>
  <c r="BC186" i="7" s="1"/>
  <c r="BH116" i="7"/>
  <c r="AX163" i="7"/>
  <c r="CD11" i="7"/>
  <c r="CD157" i="7"/>
  <c r="BF154" i="7"/>
  <c r="AX157" i="7"/>
  <c r="CB157" i="7"/>
  <c r="BF161" i="7"/>
  <c r="AX11" i="7"/>
  <c r="BE69" i="7"/>
  <c r="BE172" i="7" s="1"/>
  <c r="CE175" i="7"/>
  <c r="CC91" i="7"/>
  <c r="CC5" i="8" s="1"/>
  <c r="CC11" i="8" s="1"/>
  <c r="Z302" i="7"/>
  <c r="CA157" i="7"/>
  <c r="BF302" i="7"/>
  <c r="BE302" i="7" s="1"/>
  <c r="BE319" i="7" s="1"/>
  <c r="BV302" i="7"/>
  <c r="BV319" i="7" s="1"/>
  <c r="BY378" i="7"/>
  <c r="BZ367" i="7" s="1"/>
  <c r="BZ389" i="7" s="1"/>
  <c r="CI91" i="7"/>
  <c r="CI5" i="8" s="1"/>
  <c r="CI11" i="8" s="1"/>
  <c r="BE175" i="7"/>
  <c r="EQ136" i="45"/>
  <c r="CJ5" i="8"/>
  <c r="CJ11" i="8" s="1"/>
  <c r="BX5" i="8"/>
  <c r="BX11" i="8" s="1"/>
  <c r="BG175" i="7"/>
  <c r="CQ338" i="7"/>
  <c r="R11" i="7"/>
  <c r="DE564" i="7"/>
  <c r="AS325" i="7"/>
  <c r="BE164" i="7"/>
  <c r="CH11" i="7"/>
  <c r="DL222" i="7"/>
  <c r="DL224" i="7" s="1"/>
  <c r="DM222" i="7" s="1"/>
  <c r="BW91" i="7"/>
  <c r="BW338" i="7" s="1"/>
  <c r="K302" i="7"/>
  <c r="K319" i="7" s="1"/>
  <c r="BX11" i="7"/>
  <c r="AQ70" i="7"/>
  <c r="BH164" i="7"/>
  <c r="AP69" i="7"/>
  <c r="AP161" i="7" s="1"/>
  <c r="EQ272" i="45"/>
  <c r="BI42" i="7"/>
  <c r="BH42" i="7" s="1"/>
  <c r="AE302" i="7"/>
  <c r="AE319" i="7" s="1"/>
  <c r="BH156" i="7"/>
  <c r="CY11" i="7"/>
  <c r="AF302" i="7"/>
  <c r="AF319" i="7" s="1"/>
  <c r="AQ61" i="7"/>
  <c r="AQ160" i="7" s="1"/>
  <c r="BH10" i="7"/>
  <c r="AT154" i="7"/>
  <c r="BJ175" i="7"/>
  <c r="DJ503" i="7"/>
  <c r="CN157" i="7"/>
  <c r="ER181" i="45"/>
  <c r="CW157" i="7"/>
  <c r="AQ161" i="7"/>
  <c r="CB302" i="7"/>
  <c r="CB319" i="7" s="1"/>
  <c r="CY338" i="7"/>
  <c r="CJ157" i="7"/>
  <c r="CF10" i="7"/>
  <c r="DO356" i="45"/>
  <c r="CG338" i="7"/>
  <c r="CG11" i="7"/>
  <c r="CT298" i="7"/>
  <c r="CV298" i="7" s="1"/>
  <c r="CR298" i="7"/>
  <c r="BB116" i="7"/>
  <c r="BK204" i="7"/>
  <c r="CI293" i="7"/>
  <c r="CI86" i="8" s="1"/>
  <c r="CI88" i="8" s="1"/>
  <c r="CJ86" i="8"/>
  <c r="DO37" i="8"/>
  <c r="CF175" i="7"/>
  <c r="BR302" i="7"/>
  <c r="BQ302" i="7" s="1"/>
  <c r="CN296" i="7"/>
  <c r="CP296" i="7" s="1"/>
  <c r="CL296" i="7"/>
  <c r="CF156" i="7"/>
  <c r="CG157" i="7"/>
  <c r="CP256" i="7"/>
  <c r="CO256" i="7" s="1"/>
  <c r="CC34" i="7"/>
  <c r="CC555" i="7" s="1"/>
  <c r="CC556" i="7" s="1"/>
  <c r="CQ259" i="7"/>
  <c r="CQ256" i="7" s="1"/>
  <c r="CU116" i="7"/>
  <c r="DN383" i="45"/>
  <c r="CW276" i="7"/>
  <c r="CY276" i="7" s="1"/>
  <c r="CU276" i="7"/>
  <c r="CM295" i="7"/>
  <c r="CK293" i="7"/>
  <c r="CK86" i="8" s="1"/>
  <c r="DZ297" i="7"/>
  <c r="AU222" i="7"/>
  <c r="AU224" i="7" s="1"/>
  <c r="AV222" i="7" s="1"/>
  <c r="BK181" i="7"/>
  <c r="CP564" i="7"/>
  <c r="AS177" i="7"/>
  <c r="DO292" i="7"/>
  <c r="DQ292" i="7" s="1"/>
  <c r="DM292" i="7"/>
  <c r="DG519" i="7"/>
  <c r="AS224" i="7"/>
  <c r="BP175" i="7"/>
  <c r="BO302" i="7"/>
  <c r="BO319" i="7" s="1"/>
  <c r="CF116" i="7"/>
  <c r="BN175" i="7"/>
  <c r="I11" i="7"/>
  <c r="CD88" i="8"/>
  <c r="BN10" i="7"/>
  <c r="CO242" i="7"/>
  <c r="CO564" i="7" s="1"/>
  <c r="AM325" i="7"/>
  <c r="AM145" i="8" s="1"/>
  <c r="AM141" i="8" s="1"/>
  <c r="AS173" i="7"/>
  <c r="CK41" i="7"/>
  <c r="CK34" i="7" s="1"/>
  <c r="CK555" i="7" s="1"/>
  <c r="CN24" i="8"/>
  <c r="CM24" i="8"/>
  <c r="AO173" i="7"/>
  <c r="CN271" i="7"/>
  <c r="CP271" i="7" s="1"/>
  <c r="CL271" i="7"/>
  <c r="DK13" i="45"/>
  <c r="DI12" i="45"/>
  <c r="DL107" i="45"/>
  <c r="BA302" i="7"/>
  <c r="BA319" i="7" s="1"/>
  <c r="DF175" i="7"/>
  <c r="BY157" i="7"/>
  <c r="BY11" i="7"/>
  <c r="BZ91" i="7"/>
  <c r="CB174" i="7" s="1"/>
  <c r="BW175" i="7"/>
  <c r="CY157" i="7"/>
  <c r="BK260" i="7"/>
  <c r="BL261" i="7"/>
  <c r="AI302" i="7"/>
  <c r="AI319" i="7" s="1"/>
  <c r="CN256" i="7"/>
  <c r="DE338" i="7"/>
  <c r="DH157" i="7"/>
  <c r="DO136" i="45"/>
  <c r="DO132" i="45"/>
  <c r="DE11" i="7"/>
  <c r="N302" i="7"/>
  <c r="N319" i="7" s="1"/>
  <c r="DE5" i="8"/>
  <c r="DE11" i="8" s="1"/>
  <c r="CX317" i="7"/>
  <c r="CX520" i="7" s="1"/>
  <c r="CY520" i="7"/>
  <c r="DB521" i="7" s="1"/>
  <c r="BT325" i="7"/>
  <c r="BT173" i="7"/>
  <c r="BT177" i="7"/>
  <c r="BT4" i="8"/>
  <c r="BT10" i="8" s="1"/>
  <c r="BT155" i="7"/>
  <c r="BV173" i="7"/>
  <c r="BW339" i="7"/>
  <c r="CV274" i="7"/>
  <c r="CR274" i="7"/>
  <c r="CN290" i="7"/>
  <c r="CP290" i="7" s="1"/>
  <c r="CL290" i="7"/>
  <c r="AV155" i="7"/>
  <c r="AS4" i="8"/>
  <c r="AS10" i="8" s="1"/>
  <c r="AU173" i="7"/>
  <c r="AS74" i="7"/>
  <c r="P261" i="7"/>
  <c r="O261" i="7" s="1"/>
  <c r="AP144" i="7"/>
  <c r="AP147" i="7" s="1"/>
  <c r="BX157" i="7"/>
  <c r="DN222" i="7"/>
  <c r="DN224" i="7" s="1"/>
  <c r="DO222" i="7" s="1"/>
  <c r="DO224" i="7" s="1"/>
  <c r="DP222" i="7" s="1"/>
  <c r="AA5" i="8"/>
  <c r="AA11" i="8" s="1"/>
  <c r="CN292" i="7"/>
  <c r="CP292" i="7" s="1"/>
  <c r="CL292" i="7"/>
  <c r="AM4" i="8"/>
  <c r="AM10" i="8" s="1"/>
  <c r="BK556" i="7"/>
  <c r="N405" i="7"/>
  <c r="M400" i="7"/>
  <c r="L400" i="7" s="1"/>
  <c r="M399" i="7"/>
  <c r="L399" i="7" s="1"/>
  <c r="M398" i="7"/>
  <c r="AY179" i="7"/>
  <c r="AZ183" i="7"/>
  <c r="AZ186" i="7" s="1"/>
  <c r="AS179" i="7"/>
  <c r="AR183" i="7"/>
  <c r="AR187" i="7" s="1"/>
  <c r="AR217" i="7" s="1"/>
  <c r="AR220" i="7" s="1"/>
  <c r="AZ302" i="7"/>
  <c r="AZ319" i="7" s="1"/>
  <c r="Y302" i="7"/>
  <c r="Y569" i="7" s="1"/>
  <c r="Y571" i="7" s="1"/>
  <c r="Y574" i="7" s="1"/>
  <c r="Y577" i="7" s="1"/>
  <c r="AP155" i="7"/>
  <c r="DU285" i="7"/>
  <c r="DW285" i="7" s="1"/>
  <c r="DX285" i="7" s="1"/>
  <c r="DS285" i="7"/>
  <c r="BE325" i="7"/>
  <c r="BE4" i="8"/>
  <c r="BE10" i="8" s="1"/>
  <c r="BE162" i="7"/>
  <c r="BE173" i="7"/>
  <c r="BG173" i="7"/>
  <c r="BH155" i="7"/>
  <c r="BE177" i="7"/>
  <c r="BE74" i="7"/>
  <c r="BD177" i="8"/>
  <c r="BV175" i="7"/>
  <c r="BU11" i="7"/>
  <c r="CK338" i="7"/>
  <c r="CK157" i="7"/>
  <c r="BQ116" i="7"/>
  <c r="CK11" i="7"/>
  <c r="CU242" i="7"/>
  <c r="CU564" i="7" s="1"/>
  <c r="CV564" i="7"/>
  <c r="AT302" i="7"/>
  <c r="AT569" i="7" s="1"/>
  <c r="AT571" i="7" s="1"/>
  <c r="AT574" i="7" s="1"/>
  <c r="AT577" i="7" s="1"/>
  <c r="BT175" i="7"/>
  <c r="CC323" i="7"/>
  <c r="ER132" i="45"/>
  <c r="T302" i="7"/>
  <c r="T569" i="7" s="1"/>
  <c r="T571" i="7" s="1"/>
  <c r="T574" i="7" s="1"/>
  <c r="T577" i="7" s="1"/>
  <c r="DD242" i="7"/>
  <c r="DD564" i="7" s="1"/>
  <c r="BN34" i="7"/>
  <c r="DB91" i="7"/>
  <c r="DB157" i="7" s="1"/>
  <c r="CW175" i="7"/>
  <c r="H302" i="7"/>
  <c r="H319" i="7" s="1"/>
  <c r="AY88" i="7"/>
  <c r="CX91" i="7"/>
  <c r="CX11" i="7" s="1"/>
  <c r="DM36" i="8"/>
  <c r="CJ338" i="7"/>
  <c r="CU156" i="7"/>
  <c r="BB402" i="7"/>
  <c r="BD402" i="7"/>
  <c r="BF402" i="7" s="1"/>
  <c r="CC339" i="7"/>
  <c r="DR265" i="7"/>
  <c r="DP265" i="7"/>
  <c r="BZ116" i="7"/>
  <c r="DB10" i="7"/>
  <c r="DA85" i="7"/>
  <c r="DD156" i="7" s="1"/>
  <c r="DA82" i="7"/>
  <c r="DA519" i="7" s="1"/>
  <c r="CY105" i="8"/>
  <c r="CY17" i="8" s="1"/>
  <c r="DE156" i="7"/>
  <c r="DK132" i="45"/>
  <c r="BK294" i="8"/>
  <c r="DB156" i="7"/>
  <c r="EE272" i="45"/>
  <c r="DN272" i="45"/>
  <c r="DC338" i="7"/>
  <c r="DN287" i="45"/>
  <c r="DN136" i="45"/>
  <c r="CD338" i="7"/>
  <c r="BY140" i="7"/>
  <c r="BZ140" i="7" s="1"/>
  <c r="BQ156" i="7"/>
  <c r="CH157" i="7"/>
  <c r="CF91" i="7"/>
  <c r="CF5" i="8" s="1"/>
  <c r="CF11" i="8" s="1"/>
  <c r="BS175" i="7"/>
  <c r="CE157" i="7"/>
  <c r="BQ10" i="7"/>
  <c r="CE11" i="7"/>
  <c r="BT156" i="7"/>
  <c r="DP189" i="45"/>
  <c r="DP190" i="45" s="1"/>
  <c r="DT181" i="45"/>
  <c r="DT136" i="45"/>
  <c r="DT272" i="45"/>
  <c r="DT356" i="45"/>
  <c r="DT287" i="45"/>
  <c r="CX65" i="7"/>
  <c r="DN356" i="45"/>
  <c r="DN181" i="45"/>
  <c r="EE136" i="45"/>
  <c r="EK132" i="45"/>
  <c r="DL287" i="45"/>
  <c r="DQ287" i="45"/>
  <c r="DQ181" i="45"/>
  <c r="DL181" i="45"/>
  <c r="EK287" i="45"/>
  <c r="DO287" i="45"/>
  <c r="DI184" i="45"/>
  <c r="ER356" i="45"/>
  <c r="EQ356" i="45"/>
  <c r="EQ181" i="45"/>
  <c r="DO181" i="45"/>
  <c r="EQ287" i="45"/>
  <c r="ER287" i="45"/>
  <c r="EF132" i="45"/>
  <c r="EO181" i="45"/>
  <c r="DO106" i="45"/>
  <c r="DO107" i="45" s="1"/>
  <c r="ER272" i="45"/>
  <c r="DY272" i="45"/>
  <c r="DJ23" i="45"/>
  <c r="DY136" i="45"/>
  <c r="DL136" i="45"/>
  <c r="EK136" i="45"/>
  <c r="DQ272" i="45"/>
  <c r="DY356" i="45"/>
  <c r="DY181" i="45"/>
  <c r="DN386" i="45"/>
  <c r="DL356" i="45"/>
  <c r="DL132" i="45"/>
  <c r="EI181" i="45"/>
  <c r="EK356" i="45"/>
  <c r="EK181" i="45"/>
  <c r="DY287" i="45"/>
  <c r="DQ132" i="45"/>
  <c r="EE132" i="45"/>
  <c r="DQ356" i="45"/>
  <c r="DS247" i="45"/>
  <c r="DV247" i="45" s="1"/>
  <c r="DV183" i="45" s="1"/>
  <c r="DI155" i="8"/>
  <c r="DI181" i="7"/>
  <c r="EI356" i="45"/>
  <c r="EI136" i="45"/>
  <c r="DK272" i="45"/>
  <c r="EI287" i="45"/>
  <c r="EE356" i="45"/>
  <c r="EE181" i="45"/>
  <c r="EI272" i="45"/>
  <c r="DA37" i="8"/>
  <c r="DK181" i="45"/>
  <c r="DK58" i="7"/>
  <c r="DJ58" i="7" s="1"/>
  <c r="DK136" i="45"/>
  <c r="DM208" i="45"/>
  <c r="DP208" i="45" s="1"/>
  <c r="DS208" i="45" s="1"/>
  <c r="EC287" i="45"/>
  <c r="EC132" i="45"/>
  <c r="EC272" i="45"/>
  <c r="EC181" i="45"/>
  <c r="EC356" i="45"/>
  <c r="DK66" i="7"/>
  <c r="EO132" i="45"/>
  <c r="EO356" i="45"/>
  <c r="EO136" i="45"/>
  <c r="EO287" i="45"/>
  <c r="DY137" i="45"/>
  <c r="EA137" i="45"/>
  <c r="DD116" i="7"/>
  <c r="BC359" i="7"/>
  <c r="BC358" i="7"/>
  <c r="CC322" i="7"/>
  <c r="DF502" i="7"/>
  <c r="DE503" i="7"/>
  <c r="DI190" i="45"/>
  <c r="DN189" i="45"/>
  <c r="DN190" i="45" s="1"/>
  <c r="BK28" i="8"/>
  <c r="AO212" i="7"/>
  <c r="AO177" i="8" s="1"/>
  <c r="CT157" i="7"/>
  <c r="BU157" i="7"/>
  <c r="CU91" i="7"/>
  <c r="DJ287" i="45"/>
  <c r="CM65" i="7"/>
  <c r="CL66" i="7"/>
  <c r="CC156" i="7"/>
  <c r="BW556" i="7"/>
  <c r="AO217" i="7"/>
  <c r="AO220" i="7" s="1"/>
  <c r="DJ272" i="45"/>
  <c r="BR560" i="7"/>
  <c r="BR562" i="7" s="1"/>
  <c r="CG367" i="7"/>
  <c r="CG378" i="7" s="1"/>
  <c r="CJ367" i="7" s="1"/>
  <c r="CE367" i="7"/>
  <c r="DG503" i="7"/>
  <c r="DG502" i="7"/>
  <c r="CB175" i="7"/>
  <c r="CT11" i="7"/>
  <c r="BI302" i="7"/>
  <c r="BI569" i="7" s="1"/>
  <c r="BI571" i="7" s="1"/>
  <c r="BI574" i="7" s="1"/>
  <c r="BI577" i="7" s="1"/>
  <c r="DJ181" i="45"/>
  <c r="BI560" i="7"/>
  <c r="BI562" i="7" s="1"/>
  <c r="CG201" i="8"/>
  <c r="CH201" i="8" s="1"/>
  <c r="CF345" i="7"/>
  <c r="CF24" i="7" s="1"/>
  <c r="DN13" i="45"/>
  <c r="BE204" i="7"/>
  <c r="CX63" i="7"/>
  <c r="DJ136" i="45"/>
  <c r="CD323" i="7"/>
  <c r="DM37" i="8"/>
  <c r="CZ157" i="7"/>
  <c r="BF359" i="7"/>
  <c r="BF358" i="7"/>
  <c r="CD355" i="7"/>
  <c r="CD261" i="7"/>
  <c r="CD337" i="7" s="1"/>
  <c r="BG158" i="8"/>
  <c r="BL158" i="8"/>
  <c r="BJ158" i="8" s="1"/>
  <c r="AM74" i="7"/>
  <c r="AM162" i="7"/>
  <c r="CQ278" i="7"/>
  <c r="CS278" i="7" s="1"/>
  <c r="CO278" i="7"/>
  <c r="CW338" i="7"/>
  <c r="CW5" i="8"/>
  <c r="CW11" i="8" s="1"/>
  <c r="CW11" i="7"/>
  <c r="BW156" i="7"/>
  <c r="CQ270" i="7"/>
  <c r="CS270" i="7" s="1"/>
  <c r="CO270" i="7"/>
  <c r="BZ175" i="7"/>
  <c r="BY175" i="7"/>
  <c r="BT116" i="7"/>
  <c r="BZ156" i="7"/>
  <c r="DD175" i="7"/>
  <c r="BR5" i="8"/>
  <c r="BR11" i="8" s="1"/>
  <c r="CU175" i="7"/>
  <c r="CI10" i="7"/>
  <c r="BH116" i="8"/>
  <c r="BH18" i="8" s="1"/>
  <c r="BA61" i="7"/>
  <c r="BD153" i="7" s="1"/>
  <c r="DR136" i="45"/>
  <c r="BD163" i="7"/>
  <c r="CD322" i="7"/>
  <c r="BW326" i="7"/>
  <c r="DR181" i="45"/>
  <c r="DR356" i="45"/>
  <c r="DR132" i="45"/>
  <c r="BW322" i="7"/>
  <c r="CZ36" i="8"/>
  <c r="CZ39" i="8" s="1"/>
  <c r="DR287" i="45"/>
  <c r="CC4" i="8"/>
  <c r="CC10" i="8" s="1"/>
  <c r="CC173" i="7"/>
  <c r="CC325" i="7"/>
  <c r="CE173" i="7"/>
  <c r="CC177" i="7"/>
  <c r="AP4" i="8"/>
  <c r="AP10" i="8" s="1"/>
  <c r="AP173" i="7"/>
  <c r="AR173" i="7"/>
  <c r="AP177" i="7"/>
  <c r="AP162" i="7"/>
  <c r="AP325" i="7"/>
  <c r="AP74" i="7"/>
  <c r="AS155" i="7"/>
  <c r="BB173" i="7"/>
  <c r="BE155" i="7"/>
  <c r="BB177" i="7"/>
  <c r="BB325" i="7"/>
  <c r="BB4" i="8"/>
  <c r="BB10" i="8" s="1"/>
  <c r="BD173" i="7"/>
  <c r="BB155" i="7"/>
  <c r="AX183" i="7"/>
  <c r="AY181" i="7"/>
  <c r="AM179" i="7"/>
  <c r="AL183" i="7"/>
  <c r="AP179" i="7"/>
  <c r="AQ183" i="7"/>
  <c r="EF272" i="45"/>
  <c r="EF136" i="45"/>
  <c r="EF356" i="45"/>
  <c r="EF287" i="45"/>
  <c r="DD91" i="7"/>
  <c r="DD338" i="7" s="1"/>
  <c r="DC11" i="7"/>
  <c r="BV140" i="7"/>
  <c r="BW140" i="7" s="1"/>
  <c r="BQ556" i="7"/>
  <c r="DF157" i="7"/>
  <c r="BM5" i="8"/>
  <c r="BM11" i="8" s="1"/>
  <c r="CI156" i="7"/>
  <c r="CK175" i="7"/>
  <c r="BM163" i="7"/>
  <c r="CI116" i="7"/>
  <c r="BM11" i="7"/>
  <c r="BB317" i="7"/>
  <c r="BC560" i="7"/>
  <c r="BC562" i="7" s="1"/>
  <c r="BJ5" i="8"/>
  <c r="BJ11" i="8" s="1"/>
  <c r="BM157" i="7"/>
  <c r="BJ163" i="7"/>
  <c r="BJ177" i="8"/>
  <c r="BD5" i="8"/>
  <c r="BD11" i="8" s="1"/>
  <c r="DK444" i="7"/>
  <c r="DC157" i="7"/>
  <c r="CC167" i="7"/>
  <c r="DU373" i="45"/>
  <c r="DP229" i="45"/>
  <c r="DR229" i="45"/>
  <c r="DO238" i="45"/>
  <c r="DM238" i="45"/>
  <c r="DN229" i="45"/>
  <c r="AT183" i="7"/>
  <c r="AS181" i="7"/>
  <c r="AZ144" i="7"/>
  <c r="AY140" i="7"/>
  <c r="AY144" i="7" s="1"/>
  <c r="AY147" i="7" s="1"/>
  <c r="DE521" i="7"/>
  <c r="DH521" i="7"/>
  <c r="CC575" i="7"/>
  <c r="CC115" i="8"/>
  <c r="CD115" i="8"/>
  <c r="CD116" i="8" s="1"/>
  <c r="BH70" i="7"/>
  <c r="BH172" i="7"/>
  <c r="BH161" i="7"/>
  <c r="BW575" i="7"/>
  <c r="BW115" i="8"/>
  <c r="BW114" i="8" s="1"/>
  <c r="BX115" i="8"/>
  <c r="BX114" i="8" s="1"/>
  <c r="BW167" i="7"/>
  <c r="BA404" i="7"/>
  <c r="AZ389" i="7"/>
  <c r="AZ378" i="7"/>
  <c r="CM265" i="7"/>
  <c r="CK263" i="7"/>
  <c r="CK184" i="7" s="1"/>
  <c r="BI55" i="7"/>
  <c r="BI160" i="7"/>
  <c r="BI62" i="7"/>
  <c r="BI552" i="7" s="1"/>
  <c r="BI557" i="7" s="1"/>
  <c r="AX389" i="7"/>
  <c r="AX378" i="7"/>
  <c r="AY367" i="7" s="1"/>
  <c r="CW140" i="7"/>
  <c r="CH167" i="7"/>
  <c r="CJ184" i="7"/>
  <c r="CI184" i="7" s="1"/>
  <c r="CI263" i="7"/>
  <c r="BO88" i="7"/>
  <c r="BN63" i="7"/>
  <c r="BO181" i="7"/>
  <c r="BN181" i="7" s="1"/>
  <c r="BA181" i="7"/>
  <c r="BA27" i="8"/>
  <c r="BA28" i="8" s="1"/>
  <c r="BA88" i="7"/>
  <c r="BH63" i="7"/>
  <c r="BH27" i="8" s="1"/>
  <c r="BH28" i="8" s="1"/>
  <c r="BG181" i="7"/>
  <c r="BG27" i="8"/>
  <c r="BG28" i="8" s="1"/>
  <c r="BG88" i="7"/>
  <c r="BG61" i="7"/>
  <c r="BG153" i="7" s="1"/>
  <c r="BE63" i="7"/>
  <c r="BE27" i="8" s="1"/>
  <c r="BF61" i="7"/>
  <c r="BF153" i="7" s="1"/>
  <c r="BF27" i="8"/>
  <c r="BF28" i="8" s="1"/>
  <c r="BF88" i="7"/>
  <c r="BR102" i="8"/>
  <c r="BR104" i="8" s="1"/>
  <c r="BR17" i="8" s="1"/>
  <c r="BS101" i="8"/>
  <c r="BP88" i="7"/>
  <c r="BP181" i="7"/>
  <c r="BQ63" i="7"/>
  <c r="BP61" i="7"/>
  <c r="BP55" i="7" s="1"/>
  <c r="BP53" i="7" s="1"/>
  <c r="BP43" i="7" s="1"/>
  <c r="BS181" i="7"/>
  <c r="BT57" i="7"/>
  <c r="BT155" i="8" s="1"/>
  <c r="BS88" i="7"/>
  <c r="BT63" i="7"/>
  <c r="BR212" i="7"/>
  <c r="ED132" i="45"/>
  <c r="ED181" i="45"/>
  <c r="ED136" i="45"/>
  <c r="ED272" i="45"/>
  <c r="ED287" i="45"/>
  <c r="ED356" i="45"/>
  <c r="BZ115" i="8"/>
  <c r="BZ575" i="7"/>
  <c r="BZ323" i="7"/>
  <c r="BZ322" i="7"/>
  <c r="BZ326" i="7"/>
  <c r="BZ167" i="7"/>
  <c r="R177" i="8"/>
  <c r="S177" i="8"/>
  <c r="R211" i="7"/>
  <c r="BH204" i="7"/>
  <c r="BI212" i="7"/>
  <c r="DS294" i="7"/>
  <c r="CO289" i="8"/>
  <c r="CP289" i="8" s="1"/>
  <c r="AT55" i="7"/>
  <c r="AT62" i="7"/>
  <c r="AT552" i="7" s="1"/>
  <c r="AT557" i="7" s="1"/>
  <c r="AS61" i="7"/>
  <c r="AU171" i="7" s="1"/>
  <c r="AT160" i="7"/>
  <c r="BW367" i="7"/>
  <c r="BV342" i="7"/>
  <c r="CS520" i="7"/>
  <c r="CS521" i="7" s="1"/>
  <c r="CR317" i="7"/>
  <c r="CR520" i="7" s="1"/>
  <c r="I212" i="7"/>
  <c r="J211" i="7"/>
  <c r="AK55" i="7"/>
  <c r="AJ61" i="7"/>
  <c r="DO239" i="7"/>
  <c r="CP268" i="7"/>
  <c r="CH299" i="7"/>
  <c r="CH339" i="7"/>
  <c r="EP134" i="45"/>
  <c r="ES134" i="45" s="1"/>
  <c r="EV134" i="45" s="1"/>
  <c r="EY134" i="45" s="1"/>
  <c r="EN134" i="45"/>
  <c r="DL36" i="8"/>
  <c r="DL39" i="8" s="1"/>
  <c r="BG104" i="8"/>
  <c r="BG17" i="8" s="1"/>
  <c r="BH102" i="8"/>
  <c r="BX124" i="8"/>
  <c r="BW443" i="7"/>
  <c r="DR36" i="8"/>
  <c r="AQ367" i="7"/>
  <c r="AO367" i="7"/>
  <c r="M55" i="7"/>
  <c r="L61" i="7"/>
  <c r="CC140" i="7"/>
  <c r="BC91" i="7"/>
  <c r="AW55" i="7"/>
  <c r="AW153" i="7"/>
  <c r="AW160" i="7"/>
  <c r="AW62" i="7"/>
  <c r="AV61" i="7"/>
  <c r="AX171" i="7" s="1"/>
  <c r="CZ140" i="7"/>
  <c r="EP132" i="45"/>
  <c r="EP181" i="45"/>
  <c r="EP136" i="45"/>
  <c r="EP272" i="45"/>
  <c r="EP287" i="45"/>
  <c r="EP356" i="45"/>
  <c r="U5" i="8"/>
  <c r="U11" i="8" s="1"/>
  <c r="U11" i="7"/>
  <c r="DL446" i="45"/>
  <c r="AG261" i="7"/>
  <c r="AH302" i="7"/>
  <c r="BQ42" i="7"/>
  <c r="L261" i="7"/>
  <c r="M302" i="7"/>
  <c r="X42" i="7"/>
  <c r="CI140" i="7"/>
  <c r="DG10" i="7"/>
  <c r="DG156" i="7"/>
  <c r="DG175" i="7"/>
  <c r="DY424" i="45"/>
  <c r="DM106" i="45"/>
  <c r="DM107" i="45" s="1"/>
  <c r="DN172" i="45"/>
  <c r="DM173" i="45"/>
  <c r="V183" i="7"/>
  <c r="U179" i="7"/>
  <c r="BL287" i="8"/>
  <c r="BM289" i="8"/>
  <c r="BO4" i="8"/>
  <c r="BO10" i="8" s="1"/>
  <c r="BO69" i="7"/>
  <c r="BO162" i="7"/>
  <c r="BO179" i="7"/>
  <c r="BO74" i="7"/>
  <c r="BR155" i="7"/>
  <c r="BO325" i="7"/>
  <c r="V61" i="7"/>
  <c r="U69" i="7"/>
  <c r="F177" i="8"/>
  <c r="G177" i="8"/>
  <c r="F211" i="7"/>
  <c r="V211" i="7"/>
  <c r="U212" i="7"/>
  <c r="X181" i="7"/>
  <c r="Y183" i="7"/>
  <c r="CH260" i="7"/>
  <c r="CH261" i="7" s="1"/>
  <c r="AV86" i="7"/>
  <c r="AW91" i="7"/>
  <c r="AW177" i="8" s="1"/>
  <c r="CL85" i="7"/>
  <c r="CO156" i="7" s="1"/>
  <c r="CM91" i="7"/>
  <c r="CP157" i="7" s="1"/>
  <c r="CM10" i="7"/>
  <c r="CM116" i="7"/>
  <c r="CM156" i="7"/>
  <c r="DP132" i="45"/>
  <c r="DP181" i="45"/>
  <c r="DP136" i="45"/>
  <c r="DP272" i="45"/>
  <c r="DP287" i="45"/>
  <c r="DP356" i="45"/>
  <c r="DL183" i="45"/>
  <c r="DL184" i="45" s="1"/>
  <c r="DN247" i="45"/>
  <c r="DO247" i="45"/>
  <c r="DQ265" i="45" s="1"/>
  <c r="DQ266" i="45" s="1"/>
  <c r="CV222" i="7"/>
  <c r="CV224" i="7" s="1"/>
  <c r="CR224" i="7"/>
  <c r="CT222" i="7"/>
  <c r="CT224" i="7" s="1"/>
  <c r="CU222" i="7" s="1"/>
  <c r="U261" i="7"/>
  <c r="V302" i="7"/>
  <c r="BE212" i="7"/>
  <c r="R61" i="7"/>
  <c r="S55" i="7"/>
  <c r="DP248" i="7"/>
  <c r="DT248" i="7"/>
  <c r="DR248" i="7"/>
  <c r="AJ177" i="8"/>
  <c r="AK177" i="8"/>
  <c r="AJ211" i="7"/>
  <c r="BM222" i="7"/>
  <c r="BM224" i="7" s="1"/>
  <c r="BN222" i="7" s="1"/>
  <c r="BK224" i="7"/>
  <c r="BO222" i="7"/>
  <c r="BO224" i="7" s="1"/>
  <c r="P183" i="7"/>
  <c r="O179" i="7"/>
  <c r="BE294" i="8"/>
  <c r="L181" i="7"/>
  <c r="M183" i="7"/>
  <c r="BC396" i="7"/>
  <c r="BD224" i="8"/>
  <c r="AX55" i="7"/>
  <c r="AX62" i="7"/>
  <c r="AX552" i="7" s="1"/>
  <c r="AX557" i="7" s="1"/>
  <c r="AX153" i="7"/>
  <c r="AX160" i="7"/>
  <c r="CK288" i="7"/>
  <c r="CJ286" i="7"/>
  <c r="CI288" i="7"/>
  <c r="DJ17" i="8"/>
  <c r="DK105" i="8"/>
  <c r="DK17" i="8" s="1"/>
  <c r="AN358" i="7"/>
  <c r="AN205" i="8" s="1"/>
  <c r="CP156" i="7"/>
  <c r="X177" i="8"/>
  <c r="Y177" i="8"/>
  <c r="X211" i="7"/>
  <c r="BF42" i="7"/>
  <c r="BE34" i="7"/>
  <c r="CO35" i="7"/>
  <c r="AB183" i="7"/>
  <c r="AA179" i="7"/>
  <c r="I69" i="7"/>
  <c r="J61" i="7"/>
  <c r="BD160" i="7"/>
  <c r="BD62" i="7"/>
  <c r="BD552" i="7" s="1"/>
  <c r="BD557" i="7" s="1"/>
  <c r="EB132" i="45"/>
  <c r="EB181" i="45"/>
  <c r="EB136" i="45"/>
  <c r="EB272" i="45"/>
  <c r="EB287" i="45"/>
  <c r="EB356" i="45"/>
  <c r="DG17" i="8"/>
  <c r="DH105" i="8"/>
  <c r="DH17" i="8" s="1"/>
  <c r="DP402" i="7"/>
  <c r="DR402" i="7"/>
  <c r="DT402" i="7" s="1"/>
  <c r="BW218" i="7"/>
  <c r="BX220" i="7"/>
  <c r="DS153" i="8"/>
  <c r="DT153" i="8" s="1"/>
  <c r="DN103" i="8"/>
  <c r="DM103" i="8"/>
  <c r="DM104" i="8" s="1"/>
  <c r="DN104" i="8" s="1"/>
  <c r="DN76" i="7" s="1"/>
  <c r="AY161" i="7"/>
  <c r="AY154" i="7"/>
  <c r="AY70" i="7"/>
  <c r="AY172" i="7"/>
  <c r="AR410" i="7"/>
  <c r="AQ399" i="7"/>
  <c r="AP399" i="7" s="1"/>
  <c r="AQ398" i="7"/>
  <c r="AQ400" i="7"/>
  <c r="AQ12" i="7" s="1"/>
  <c r="CX35" i="7"/>
  <c r="AR55" i="7"/>
  <c r="AR62" i="7"/>
  <c r="AR153" i="7"/>
  <c r="AR160" i="7"/>
  <c r="DH5" i="8"/>
  <c r="DH11" i="8" s="1"/>
  <c r="DG91" i="7"/>
  <c r="DH11" i="7"/>
  <c r="DH338" i="7"/>
  <c r="CX389" i="7"/>
  <c r="CX378" i="7"/>
  <c r="DB211" i="7"/>
  <c r="CA105" i="8"/>
  <c r="CA17" i="8" s="1"/>
  <c r="CA75" i="7"/>
  <c r="CA35" i="7"/>
  <c r="BZ76" i="7"/>
  <c r="BZ105" i="8" s="1"/>
  <c r="BZ17" i="8" s="1"/>
  <c r="F42" i="7"/>
  <c r="BB154" i="7"/>
  <c r="BB172" i="7"/>
  <c r="AA261" i="7"/>
  <c r="AB302" i="7"/>
  <c r="AP261" i="7"/>
  <c r="AQ302" i="7"/>
  <c r="CA115" i="8"/>
  <c r="CA116" i="8" s="1"/>
  <c r="CK254" i="7"/>
  <c r="CJ253" i="7"/>
  <c r="CI254" i="7"/>
  <c r="BR124" i="8"/>
  <c r="BQ443" i="7"/>
  <c r="DO428" i="45"/>
  <c r="DI502" i="7"/>
  <c r="G55" i="7"/>
  <c r="F55" i="7" s="1"/>
  <c r="F61" i="7"/>
  <c r="BT154" i="7"/>
  <c r="BT172" i="7"/>
  <c r="O69" i="7"/>
  <c r="P61" i="7"/>
  <c r="AY86" i="7"/>
  <c r="AZ91" i="7"/>
  <c r="DO280" i="7"/>
  <c r="BH140" i="7"/>
  <c r="CF115" i="8"/>
  <c r="CF323" i="7"/>
  <c r="CF322" i="7"/>
  <c r="CF575" i="7"/>
  <c r="BD403" i="7"/>
  <c r="BF403" i="7" s="1"/>
  <c r="BB403" i="7"/>
  <c r="AM161" i="7"/>
  <c r="AM70" i="7"/>
  <c r="DJ35" i="7"/>
  <c r="AM5" i="8"/>
  <c r="AM11" i="8" s="1"/>
  <c r="AM11" i="7"/>
  <c r="AM163" i="7"/>
  <c r="AO174" i="7"/>
  <c r="DK7" i="45"/>
  <c r="DO274" i="7"/>
  <c r="CF140" i="7"/>
  <c r="DU70" i="8"/>
  <c r="AZ222" i="7"/>
  <c r="AV224" i="7"/>
  <c r="AX222" i="7"/>
  <c r="AX224" i="7" s="1"/>
  <c r="AY222" i="7" s="1"/>
  <c r="R181" i="7"/>
  <c r="S183" i="7"/>
  <c r="CE172" i="7"/>
  <c r="CC172" i="7"/>
  <c r="DG35" i="7"/>
  <c r="CR17" i="8"/>
  <c r="CS105" i="8"/>
  <c r="CS17" i="8" s="1"/>
  <c r="DT424" i="45"/>
  <c r="DT419" i="45" s="1"/>
  <c r="AD177" i="8"/>
  <c r="AE177" i="8"/>
  <c r="AD211" i="7"/>
  <c r="BQ140" i="7"/>
  <c r="AV140" i="7"/>
  <c r="AW144" i="7"/>
  <c r="DD17" i="8"/>
  <c r="DE105" i="8"/>
  <c r="DE17" i="8" s="1"/>
  <c r="F261" i="7"/>
  <c r="G302" i="7"/>
  <c r="CU35" i="7"/>
  <c r="F181" i="7"/>
  <c r="G183" i="7"/>
  <c r="EM132" i="45"/>
  <c r="EM136" i="45"/>
  <c r="EM181" i="45"/>
  <c r="EM287" i="45"/>
  <c r="EM272" i="45"/>
  <c r="EM356" i="45"/>
  <c r="CL35" i="7"/>
  <c r="DL167" i="45"/>
  <c r="DL104" i="45" s="1"/>
  <c r="DL175" i="45"/>
  <c r="BN212" i="7"/>
  <c r="O212" i="7"/>
  <c r="P211" i="7"/>
  <c r="BU153" i="7"/>
  <c r="BU55" i="7"/>
  <c r="BU53" i="7" s="1"/>
  <c r="BU43" i="7" s="1"/>
  <c r="BT61" i="7"/>
  <c r="AG5" i="8"/>
  <c r="AG11" i="8" s="1"/>
  <c r="AG11" i="7"/>
  <c r="BN140" i="7"/>
  <c r="DF140" i="7"/>
  <c r="DZ246" i="7"/>
  <c r="AG179" i="7"/>
  <c r="AH183" i="7"/>
  <c r="EN132" i="45"/>
  <c r="EN136" i="45"/>
  <c r="EN181" i="45"/>
  <c r="EN272" i="45"/>
  <c r="EN287" i="45"/>
  <c r="EN356" i="45"/>
  <c r="CO10" i="7"/>
  <c r="CO175" i="7"/>
  <c r="CQ175" i="7"/>
  <c r="O5" i="8"/>
  <c r="O11" i="8" s="1"/>
  <c r="O11" i="7"/>
  <c r="DB140" i="7"/>
  <c r="DA116" i="7"/>
  <c r="X10" i="9" s="1"/>
  <c r="EH132" i="45"/>
  <c r="EH136" i="45"/>
  <c r="EH272" i="45"/>
  <c r="EH181" i="45"/>
  <c r="EH287" i="45"/>
  <c r="EH356" i="45"/>
  <c r="BX192" i="7"/>
  <c r="BW193" i="7"/>
  <c r="BW158" i="8" s="1"/>
  <c r="AD5" i="8"/>
  <c r="AD11" i="8" s="1"/>
  <c r="AD11" i="7"/>
  <c r="DZ134" i="45"/>
  <c r="DZ379" i="45"/>
  <c r="DZ380" i="45" s="1"/>
  <c r="DL445" i="7"/>
  <c r="DM445" i="7" s="1"/>
  <c r="DN445" i="7" s="1"/>
  <c r="DO445" i="7" s="1"/>
  <c r="DP445" i="7" s="1"/>
  <c r="DQ445" i="7" s="1"/>
  <c r="DR445" i="7" s="1"/>
  <c r="DS445" i="7" s="1"/>
  <c r="DT445" i="7" s="1"/>
  <c r="Y367" i="7"/>
  <c r="W367" i="7"/>
  <c r="J392" i="7"/>
  <c r="I392" i="7" s="1"/>
  <c r="H392" i="7" s="1"/>
  <c r="K393" i="7"/>
  <c r="BB261" i="7"/>
  <c r="BC302" i="7"/>
  <c r="AA69" i="7"/>
  <c r="AB61" i="7"/>
  <c r="BS172" i="7"/>
  <c r="BI91" i="7"/>
  <c r="BQ133" i="8"/>
  <c r="DK140" i="7"/>
  <c r="DJ116" i="7"/>
  <c r="AA10" i="9" s="1"/>
  <c r="CR35" i="7"/>
  <c r="CS34" i="7"/>
  <c r="U378" i="7"/>
  <c r="U389" i="7"/>
  <c r="L177" i="8"/>
  <c r="M177" i="8"/>
  <c r="L211" i="7"/>
  <c r="BW215" i="7"/>
  <c r="J143" i="7"/>
  <c r="J144" i="7" s="1"/>
  <c r="J147" i="7" s="1"/>
  <c r="H143" i="7"/>
  <c r="H144" i="7" s="1"/>
  <c r="H147" i="7" s="1"/>
  <c r="I143" i="7" s="1"/>
  <c r="I144" i="7" s="1"/>
  <c r="I147" i="7" s="1"/>
  <c r="DL37" i="8"/>
  <c r="BP155" i="8"/>
  <c r="BP204" i="7"/>
  <c r="BP212" i="7" s="1"/>
  <c r="BP218" i="7"/>
  <c r="BP220" i="7" s="1"/>
  <c r="BQ220" i="7" s="1"/>
  <c r="BQ188" i="7"/>
  <c r="DR103" i="8"/>
  <c r="DR104" i="8" s="1"/>
  <c r="DP228" i="7"/>
  <c r="DP103" i="8" s="1"/>
  <c r="DP104" i="8" s="1"/>
  <c r="AO55" i="7"/>
  <c r="AO160" i="7"/>
  <c r="AO62" i="7"/>
  <c r="AO552" i="7" s="1"/>
  <c r="AO557" i="7" s="1"/>
  <c r="L5" i="8"/>
  <c r="L11" i="8" s="1"/>
  <c r="L11" i="7"/>
  <c r="CR10" i="7"/>
  <c r="CR156" i="7"/>
  <c r="CT175" i="7"/>
  <c r="CR175" i="7"/>
  <c r="DP429" i="45"/>
  <c r="DR432" i="45"/>
  <c r="DF5" i="8"/>
  <c r="DF11" i="8" s="1"/>
  <c r="DF11" i="7"/>
  <c r="DF338" i="7"/>
  <c r="AG69" i="7"/>
  <c r="AH61" i="7"/>
  <c r="X5" i="8"/>
  <c r="X11" i="8" s="1"/>
  <c r="X11" i="7"/>
  <c r="AS5" i="8"/>
  <c r="AS11" i="8" s="1"/>
  <c r="AS11" i="7"/>
  <c r="AS174" i="7"/>
  <c r="AS163" i="7"/>
  <c r="AS157" i="7"/>
  <c r="BB140" i="7"/>
  <c r="BC144" i="7"/>
  <c r="EA132" i="45"/>
  <c r="EA136" i="45"/>
  <c r="EA181" i="45"/>
  <c r="EA287" i="45"/>
  <c r="EA272" i="45"/>
  <c r="EA356" i="45"/>
  <c r="CP140" i="7"/>
  <c r="CO116" i="7"/>
  <c r="CG105" i="8"/>
  <c r="CG17" i="8" s="1"/>
  <c r="CG35" i="7"/>
  <c r="CF76" i="7"/>
  <c r="CF105" i="8" s="1"/>
  <c r="CH115" i="8"/>
  <c r="CH116" i="8" s="1"/>
  <c r="CH117" i="8" s="1"/>
  <c r="CH18" i="8" s="1"/>
  <c r="CH324" i="7"/>
  <c r="CH323" i="7"/>
  <c r="CH322" i="7"/>
  <c r="CH575" i="7"/>
  <c r="DL105" i="8"/>
  <c r="DL35" i="7"/>
  <c r="EB425" i="45"/>
  <c r="BK212" i="7"/>
  <c r="BK88" i="7"/>
  <c r="BL86" i="7"/>
  <c r="BK86" i="7" s="1"/>
  <c r="CQ277" i="7"/>
  <c r="CO277" i="7"/>
  <c r="BV172" i="7"/>
  <c r="DT425" i="45"/>
  <c r="DT420" i="45" s="1"/>
  <c r="Y55" i="7"/>
  <c r="X55" i="7" s="1"/>
  <c r="X61" i="7"/>
  <c r="DC367" i="7"/>
  <c r="DE367" i="7"/>
  <c r="AZ55" i="7"/>
  <c r="AY61" i="7"/>
  <c r="AZ62" i="7"/>
  <c r="AZ153" i="7"/>
  <c r="AZ160" i="7"/>
  <c r="DO256" i="7"/>
  <c r="CS5" i="8"/>
  <c r="CS11" i="8" s="1"/>
  <c r="CR91" i="7"/>
  <c r="CS11" i="7"/>
  <c r="CS157" i="7"/>
  <c r="CS338" i="7"/>
  <c r="CL17" i="8"/>
  <c r="CM105" i="8"/>
  <c r="CM17" i="8" s="1"/>
  <c r="EH156" i="45"/>
  <c r="DK564" i="7"/>
  <c r="DJ242" i="7"/>
  <c r="DJ564" i="7" s="1"/>
  <c r="BC55" i="7"/>
  <c r="BC160" i="7"/>
  <c r="BC153" i="7"/>
  <c r="BC62" i="7"/>
  <c r="BC552" i="7" s="1"/>
  <c r="BC557" i="7" s="1"/>
  <c r="CL82" i="7"/>
  <c r="CL553" i="7"/>
  <c r="BU287" i="8"/>
  <c r="BT287" i="8" s="1"/>
  <c r="BV289" i="8"/>
  <c r="DI140" i="7"/>
  <c r="DK183" i="45"/>
  <c r="BT218" i="7"/>
  <c r="BT220" i="7" s="1"/>
  <c r="AS161" i="7"/>
  <c r="AS70" i="7"/>
  <c r="AS172" i="7"/>
  <c r="EG132" i="45"/>
  <c r="EG136" i="45"/>
  <c r="EG181" i="45"/>
  <c r="EG287" i="45"/>
  <c r="EG272" i="45"/>
  <c r="EG356" i="45"/>
  <c r="DN428" i="45"/>
  <c r="DN431" i="45" s="1"/>
  <c r="EH170" i="45"/>
  <c r="EH169" i="45" s="1"/>
  <c r="BT204" i="7"/>
  <c r="BU212" i="7"/>
  <c r="CU316" i="7"/>
  <c r="CV317" i="7"/>
  <c r="DD218" i="7"/>
  <c r="AD181" i="7"/>
  <c r="AE183" i="7"/>
  <c r="AE55" i="7"/>
  <c r="AD61" i="7"/>
  <c r="CT338" i="7"/>
  <c r="DM239" i="7"/>
  <c r="AM61" i="7"/>
  <c r="AO171" i="7" s="1"/>
  <c r="AN62" i="7"/>
  <c r="AN552" i="7" s="1"/>
  <c r="AN557" i="7" s="1"/>
  <c r="AN55" i="7"/>
  <c r="AN160" i="7"/>
  <c r="CP5" i="8"/>
  <c r="CP11" i="8" s="1"/>
  <c r="CO91" i="7"/>
  <c r="CP11" i="7"/>
  <c r="CP338" i="7"/>
  <c r="I261" i="7"/>
  <c r="J302" i="7"/>
  <c r="BT42" i="7"/>
  <c r="BR55" i="7"/>
  <c r="DD140" i="7"/>
  <c r="CJ266" i="7"/>
  <c r="CK269" i="7"/>
  <c r="CI269" i="7"/>
  <c r="AU405" i="7"/>
  <c r="BY158" i="8"/>
  <c r="BY193" i="7" s="1"/>
  <c r="BY192" i="7" s="1"/>
  <c r="BY204" i="7" s="1"/>
  <c r="CD158" i="8"/>
  <c r="CA193" i="7"/>
  <c r="DU132" i="45"/>
  <c r="DU136" i="45"/>
  <c r="DU181" i="45"/>
  <c r="DU287" i="45"/>
  <c r="DU272" i="45"/>
  <c r="DU356" i="45"/>
  <c r="BX261" i="7"/>
  <c r="AN20" i="7"/>
  <c r="AN217" i="7"/>
  <c r="AN186" i="7"/>
  <c r="AN212" i="7"/>
  <c r="AG212" i="7"/>
  <c r="AH211" i="7"/>
  <c r="I179" i="7"/>
  <c r="J183" i="7"/>
  <c r="F5" i="8"/>
  <c r="F11" i="8" s="1"/>
  <c r="F11" i="7"/>
  <c r="BS55" i="7"/>
  <c r="CV105" i="8"/>
  <c r="CV17" i="8" s="1"/>
  <c r="AP5" i="8"/>
  <c r="AP11" i="8" s="1"/>
  <c r="AP11" i="7"/>
  <c r="AP157" i="7"/>
  <c r="AP163" i="7"/>
  <c r="AP174" i="7"/>
  <c r="AV70" i="7"/>
  <c r="AV161" i="7"/>
  <c r="AV172" i="7"/>
  <c r="AV154" i="7"/>
  <c r="CZ5" i="8"/>
  <c r="CZ11" i="8" s="1"/>
  <c r="CZ11" i="7"/>
  <c r="CZ338" i="7"/>
  <c r="DJ10" i="7"/>
  <c r="DJ156" i="7"/>
  <c r="DJ175" i="7"/>
  <c r="AV261" i="7"/>
  <c r="AW302" i="7"/>
  <c r="AA212" i="7"/>
  <c r="AB211" i="7"/>
  <c r="AU55" i="7"/>
  <c r="AU160" i="7"/>
  <c r="AU62" i="7"/>
  <c r="AU153" i="7"/>
  <c r="DO103" i="8"/>
  <c r="DO104" i="8" s="1"/>
  <c r="CH552" i="7"/>
  <c r="CH557" i="7" s="1"/>
  <c r="BJ55" i="7"/>
  <c r="BJ160" i="7"/>
  <c r="BJ62" i="7"/>
  <c r="BT140" i="7"/>
  <c r="EJ132" i="45"/>
  <c r="EJ181" i="45"/>
  <c r="EJ136" i="45"/>
  <c r="EJ272" i="45"/>
  <c r="EJ287" i="45"/>
  <c r="EJ356" i="45"/>
  <c r="CS140" i="7"/>
  <c r="CR116" i="7"/>
  <c r="DH140" i="7"/>
  <c r="DG116" i="7"/>
  <c r="DX33" i="8" l="1"/>
  <c r="DX36" i="8" s="1"/>
  <c r="DX35" i="8"/>
  <c r="DX37" i="8" s="1"/>
  <c r="EA203" i="45"/>
  <c r="ED203" i="45" s="1"/>
  <c r="EG203" i="45" s="1"/>
  <c r="EJ203" i="45" s="1"/>
  <c r="EM203" i="45" s="1"/>
  <c r="EP203" i="45" s="1"/>
  <c r="ES203" i="45" s="1"/>
  <c r="EV203" i="45" s="1"/>
  <c r="EY203" i="45" s="1"/>
  <c r="EA220" i="45"/>
  <c r="ED220" i="45" s="1"/>
  <c r="EG220" i="45" s="1"/>
  <c r="EJ220" i="45" s="1"/>
  <c r="EM220" i="45" s="1"/>
  <c r="EP220" i="45" s="1"/>
  <c r="ES220" i="45" s="1"/>
  <c r="EV220" i="45" s="1"/>
  <c r="EY220" i="45" s="1"/>
  <c r="EA203" i="8"/>
  <c r="EA350" i="7" s="1"/>
  <c r="EH447" i="45"/>
  <c r="EJ447" i="45" s="1"/>
  <c r="EK447" i="45" s="1"/>
  <c r="EM447" i="45" s="1"/>
  <c r="EN447" i="45" s="1"/>
  <c r="EP447" i="45" s="1"/>
  <c r="EQ447" i="45" s="1"/>
  <c r="ES447" i="45" s="1"/>
  <c r="ET447" i="45" s="1"/>
  <c r="EV447" i="45" s="1"/>
  <c r="EW447" i="45" s="1"/>
  <c r="EY447" i="45" s="1"/>
  <c r="EZ447" i="45" s="1"/>
  <c r="DW36" i="8"/>
  <c r="DW39" i="8" s="1"/>
  <c r="DV39" i="8" s="1"/>
  <c r="DV220" i="45"/>
  <c r="DW220" i="45" s="1"/>
  <c r="AG43" i="9"/>
  <c r="DW248" i="7"/>
  <c r="DV248" i="7" s="1"/>
  <c r="DV285" i="7"/>
  <c r="DW37" i="8"/>
  <c r="DY221" i="45"/>
  <c r="EB221" i="45" s="1"/>
  <c r="EE221" i="45" s="1"/>
  <c r="EH221" i="45" s="1"/>
  <c r="EK221" i="45" s="1"/>
  <c r="EN221" i="45" s="1"/>
  <c r="EQ221" i="45" s="1"/>
  <c r="ET221" i="45" s="1"/>
  <c r="EW221" i="45" s="1"/>
  <c r="EZ221" i="45" s="1"/>
  <c r="DV245" i="7"/>
  <c r="ED289" i="7"/>
  <c r="EF289" i="7" s="1"/>
  <c r="EB289" i="7"/>
  <c r="DV192" i="45"/>
  <c r="DV208" i="45"/>
  <c r="DY208" i="45" s="1"/>
  <c r="EB208" i="45" s="1"/>
  <c r="EE208" i="45" s="1"/>
  <c r="EH208" i="45" s="1"/>
  <c r="EK208" i="45" s="1"/>
  <c r="EN208" i="45" s="1"/>
  <c r="EQ208" i="45" s="1"/>
  <c r="ET208" i="45" s="1"/>
  <c r="EW208" i="45" s="1"/>
  <c r="EZ208" i="45" s="1"/>
  <c r="DY208" i="8"/>
  <c r="DZ208" i="8" s="1"/>
  <c r="DY351" i="7"/>
  <c r="DV35" i="8"/>
  <c r="DV37" i="8" s="1"/>
  <c r="EZ134" i="45"/>
  <c r="DM30" i="45"/>
  <c r="DJ317" i="7"/>
  <c r="DJ520" i="7" s="1"/>
  <c r="EW134" i="45"/>
  <c r="DS183" i="45"/>
  <c r="DS184" i="45" s="1"/>
  <c r="DY247" i="45"/>
  <c r="EB247" i="45" s="1"/>
  <c r="EE247" i="45" s="1"/>
  <c r="EH247" i="45" s="1"/>
  <c r="EK247" i="45" s="1"/>
  <c r="EN247" i="45" s="1"/>
  <c r="EQ247" i="45" s="1"/>
  <c r="ET247" i="45" s="1"/>
  <c r="EW247" i="45" s="1"/>
  <c r="EZ247" i="45" s="1"/>
  <c r="CX140" i="7"/>
  <c r="CX116" i="7"/>
  <c r="ET134" i="45"/>
  <c r="DS173" i="45"/>
  <c r="DU173" i="45"/>
  <c r="DR173" i="45"/>
  <c r="DT189" i="45"/>
  <c r="DW190" i="45" s="1"/>
  <c r="DS35" i="8"/>
  <c r="DS37" i="8" s="1"/>
  <c r="DR189" i="45"/>
  <c r="DR190" i="45" s="1"/>
  <c r="DS189" i="45"/>
  <c r="DU33" i="8"/>
  <c r="DV36" i="8" s="1"/>
  <c r="AM393" i="7"/>
  <c r="BP319" i="7"/>
  <c r="DT39" i="8"/>
  <c r="CZ175" i="7"/>
  <c r="W569" i="7"/>
  <c r="W571" i="7" s="1"/>
  <c r="W574" i="7" s="1"/>
  <c r="W577" i="7" s="1"/>
  <c r="AX319" i="7"/>
  <c r="CX175" i="7"/>
  <c r="CX156" i="7"/>
  <c r="AM389" i="7"/>
  <c r="AM391" i="7" s="1"/>
  <c r="AV183" i="7"/>
  <c r="AO569" i="7"/>
  <c r="AO571" i="7" s="1"/>
  <c r="AO574" i="7" s="1"/>
  <c r="AO577" i="7" s="1"/>
  <c r="O224" i="7"/>
  <c r="S222" i="7"/>
  <c r="S224" i="7" s="1"/>
  <c r="DZ252" i="7"/>
  <c r="BS569" i="7"/>
  <c r="BS571" i="7" s="1"/>
  <c r="BS574" i="7" s="1"/>
  <c r="BS577" i="7" s="1"/>
  <c r="AP70" i="7"/>
  <c r="AI569" i="7"/>
  <c r="AI571" i="7" s="1"/>
  <c r="AI574" i="7" s="1"/>
  <c r="AI577" i="7" s="1"/>
  <c r="AL319" i="7"/>
  <c r="BU569" i="7"/>
  <c r="BU571" i="7" s="1"/>
  <c r="BU574" i="7" s="1"/>
  <c r="BU577" i="7" s="1"/>
  <c r="BT302" i="7"/>
  <c r="AV187" i="7"/>
  <c r="AU212" i="7"/>
  <c r="BM319" i="7"/>
  <c r="DO36" i="8"/>
  <c r="DO39" i="8" s="1"/>
  <c r="AJ302" i="7"/>
  <c r="BZ378" i="7"/>
  <c r="AK569" i="7"/>
  <c r="AK571" i="7" s="1"/>
  <c r="AK574" i="7" s="1"/>
  <c r="AK577" i="7" s="1"/>
  <c r="CP105" i="8"/>
  <c r="CP17" i="8" s="1"/>
  <c r="R261" i="7"/>
  <c r="AU186" i="7"/>
  <c r="AV186" i="7" s="1"/>
  <c r="CF116" i="8"/>
  <c r="CF117" i="8" s="1"/>
  <c r="CF18" i="8" s="1"/>
  <c r="AU217" i="7"/>
  <c r="AP172" i="7"/>
  <c r="DK520" i="7"/>
  <c r="DK521" i="7" s="1"/>
  <c r="AR172" i="7"/>
  <c r="AP154" i="7"/>
  <c r="AS154" i="7"/>
  <c r="DP39" i="8"/>
  <c r="CE552" i="7"/>
  <c r="CE557" i="7" s="1"/>
  <c r="CX5" i="8"/>
  <c r="CX11" i="8" s="1"/>
  <c r="DR39" i="8"/>
  <c r="DB525" i="7"/>
  <c r="BE70" i="7"/>
  <c r="DT220" i="45"/>
  <c r="BV65" i="7"/>
  <c r="CC66" i="7"/>
  <c r="CD27" i="8"/>
  <c r="CE153" i="7"/>
  <c r="CB552" i="7"/>
  <c r="CB557" i="7" s="1"/>
  <c r="CB153" i="7"/>
  <c r="BZ66" i="7"/>
  <c r="DB65" i="7"/>
  <c r="DB28" i="8"/>
  <c r="CP27" i="8"/>
  <c r="DA28" i="8"/>
  <c r="CS27" i="8"/>
  <c r="CG27" i="8"/>
  <c r="DE27" i="8"/>
  <c r="BV28" i="8"/>
  <c r="BX26" i="8"/>
  <c r="BX28" i="8" s="1"/>
  <c r="BV58" i="7"/>
  <c r="BV57" i="7" s="1"/>
  <c r="BV155" i="8" s="1"/>
  <c r="DE65" i="7"/>
  <c r="DD66" i="7"/>
  <c r="DG66" i="7"/>
  <c r="DH65" i="7"/>
  <c r="DK63" i="45"/>
  <c r="BX552" i="7"/>
  <c r="BX557" i="7" s="1"/>
  <c r="DL211" i="45"/>
  <c r="BW154" i="7"/>
  <c r="CF338" i="7"/>
  <c r="DA175" i="7"/>
  <c r="BB61" i="7"/>
  <c r="CF174" i="7"/>
  <c r="DC175" i="7"/>
  <c r="CF157" i="7"/>
  <c r="CE174" i="7"/>
  <c r="CH174" i="7"/>
  <c r="CF11" i="7"/>
  <c r="BR569" i="7"/>
  <c r="BR571" i="7" s="1"/>
  <c r="BR574" i="7" s="1"/>
  <c r="BR577" i="7" s="1"/>
  <c r="BD319" i="7"/>
  <c r="CZ378" i="7"/>
  <c r="DA367" i="7" s="1"/>
  <c r="CI11" i="7"/>
  <c r="DM224" i="7"/>
  <c r="DL411" i="45"/>
  <c r="DQ222" i="7"/>
  <c r="DQ224" i="7" s="1"/>
  <c r="BG172" i="7"/>
  <c r="BE154" i="7"/>
  <c r="BE161" i="7"/>
  <c r="BF569" i="7"/>
  <c r="BF571" i="7" s="1"/>
  <c r="BF574" i="7" s="1"/>
  <c r="BF577" i="7" s="1"/>
  <c r="BH154" i="7"/>
  <c r="BF319" i="7"/>
  <c r="X302" i="7"/>
  <c r="X319" i="7" s="1"/>
  <c r="CC11" i="7"/>
  <c r="K569" i="7"/>
  <c r="K571" i="7" s="1"/>
  <c r="K574" i="7" s="1"/>
  <c r="K577" i="7" s="1"/>
  <c r="CI157" i="7"/>
  <c r="AY302" i="7"/>
  <c r="AM261" i="7"/>
  <c r="AN302" i="7"/>
  <c r="BI53" i="7"/>
  <c r="BI43" i="7" s="1"/>
  <c r="CX338" i="7"/>
  <c r="CI174" i="7"/>
  <c r="CX157" i="7"/>
  <c r="CK174" i="7"/>
  <c r="CX174" i="7"/>
  <c r="CI338" i="7"/>
  <c r="CZ174" i="7"/>
  <c r="BW172" i="7"/>
  <c r="AQ153" i="7"/>
  <c r="BY174" i="7"/>
  <c r="BA569" i="7"/>
  <c r="BA571" i="7" s="1"/>
  <c r="BA574" i="7" s="1"/>
  <c r="BA577" i="7" s="1"/>
  <c r="CC338" i="7"/>
  <c r="BO569" i="7"/>
  <c r="BO571" i="7" s="1"/>
  <c r="BO574" i="7" s="1"/>
  <c r="BO577" i="7" s="1"/>
  <c r="CC174" i="7"/>
  <c r="BN302" i="7"/>
  <c r="DJ502" i="7"/>
  <c r="BW174" i="7"/>
  <c r="AT153" i="7"/>
  <c r="AQ62" i="7"/>
  <c r="AQ552" i="7" s="1"/>
  <c r="AQ557" i="7" s="1"/>
  <c r="AQ55" i="7"/>
  <c r="AP61" i="7"/>
  <c r="AR171" i="7" s="1"/>
  <c r="CC157" i="7"/>
  <c r="AE569" i="7"/>
  <c r="AE571" i="7" s="1"/>
  <c r="AE574" i="7" s="1"/>
  <c r="AE577" i="7" s="1"/>
  <c r="BZ338" i="7"/>
  <c r="AD302" i="7"/>
  <c r="BZ174" i="7"/>
  <c r="Z569" i="7"/>
  <c r="Z571" i="7" s="1"/>
  <c r="Z574" i="7" s="1"/>
  <c r="Z577" i="7" s="1"/>
  <c r="Z319" i="7"/>
  <c r="BZ157" i="7"/>
  <c r="BR319" i="7"/>
  <c r="BZ11" i="7"/>
  <c r="BZ5" i="8"/>
  <c r="BZ11" i="8" s="1"/>
  <c r="T319" i="7"/>
  <c r="BW5" i="8"/>
  <c r="BW11" i="8" s="1"/>
  <c r="BW11" i="7"/>
  <c r="CZ276" i="7"/>
  <c r="DB276" i="7" s="1"/>
  <c r="CX276" i="7"/>
  <c r="CK88" i="8"/>
  <c r="CJ88" i="8"/>
  <c r="CW298" i="7"/>
  <c r="CY298" i="7" s="1"/>
  <c r="CU298" i="7"/>
  <c r="CQ296" i="7"/>
  <c r="CS296" i="7" s="1"/>
  <c r="CO296" i="7"/>
  <c r="CN295" i="7"/>
  <c r="CL295" i="7"/>
  <c r="CM293" i="7"/>
  <c r="AT319" i="7"/>
  <c r="CL24" i="8"/>
  <c r="CM41" i="7"/>
  <c r="DR292" i="7"/>
  <c r="DT292" i="7" s="1"/>
  <c r="DP292" i="7"/>
  <c r="AS302" i="7"/>
  <c r="CP24" i="8"/>
  <c r="CQ24" i="8"/>
  <c r="CN41" i="7"/>
  <c r="CN34" i="7" s="1"/>
  <c r="CN555" i="7" s="1"/>
  <c r="AR212" i="7"/>
  <c r="AR177" i="8" s="1"/>
  <c r="CQ271" i="7"/>
  <c r="CS271" i="7" s="1"/>
  <c r="CO271" i="7"/>
  <c r="EA297" i="7"/>
  <c r="EC297" i="7" s="1"/>
  <c r="DY297" i="7"/>
  <c r="DX39" i="8" l="1"/>
  <c r="EB203" i="8"/>
  <c r="ED203" i="8" s="1"/>
  <c r="DV184" i="45"/>
  <c r="EG289" i="7"/>
  <c r="EI289" i="7" s="1"/>
  <c r="EE289" i="7"/>
  <c r="DW221" i="45"/>
  <c r="DS190" i="45"/>
  <c r="DV190" i="45"/>
  <c r="EA208" i="8"/>
  <c r="EA351" i="7"/>
  <c r="DL445" i="45"/>
  <c r="DL441" i="45"/>
  <c r="DL439" i="45"/>
  <c r="DL440" i="45"/>
  <c r="DL442" i="45"/>
  <c r="DU189" i="45"/>
  <c r="DY220" i="45"/>
  <c r="DG65" i="7"/>
  <c r="DH63" i="7"/>
  <c r="DE63" i="7"/>
  <c r="DD65" i="7"/>
  <c r="AN569" i="7"/>
  <c r="AN571" i="7" s="1"/>
  <c r="AN574" i="7" s="1"/>
  <c r="AN577" i="7" s="1"/>
  <c r="AM302" i="7"/>
  <c r="AM319" i="7" s="1"/>
  <c r="AN319" i="7"/>
  <c r="CL293" i="7"/>
  <c r="CL86" i="8" s="1"/>
  <c r="CL88" i="8" s="1"/>
  <c r="CM86" i="8"/>
  <c r="CZ298" i="7"/>
  <c r="DB298" i="7" s="1"/>
  <c r="CX298" i="7"/>
  <c r="CP295" i="7"/>
  <c r="CN293" i="7"/>
  <c r="CN86" i="8" s="1"/>
  <c r="CT296" i="7"/>
  <c r="CV296" i="7" s="1"/>
  <c r="CR296" i="7"/>
  <c r="DC276" i="7"/>
  <c r="DE276" i="7" s="1"/>
  <c r="DA276" i="7"/>
  <c r="CP41" i="7"/>
  <c r="CO41" i="7" s="1"/>
  <c r="CO24" i="8"/>
  <c r="DU292" i="7"/>
  <c r="DW292" i="7" s="1"/>
  <c r="DS292" i="7"/>
  <c r="CR271" i="7"/>
  <c r="CT271" i="7"/>
  <c r="CV271" i="7" s="1"/>
  <c r="CL41" i="7"/>
  <c r="CM34" i="7"/>
  <c r="CM555" i="7" s="1"/>
  <c r="ED297" i="7"/>
  <c r="EF297" i="7" s="1"/>
  <c r="EB297" i="7"/>
  <c r="CT24" i="8"/>
  <c r="CV24" i="8" s="1"/>
  <c r="CS24" i="8"/>
  <c r="CR24" i="8" s="1"/>
  <c r="CQ41" i="7"/>
  <c r="CR41" i="7" s="1"/>
  <c r="BK261" i="7"/>
  <c r="BL302" i="7"/>
  <c r="P302" i="7"/>
  <c r="O302" i="7" s="1"/>
  <c r="Y319" i="7"/>
  <c r="CQ290" i="7"/>
  <c r="CS290" i="7" s="1"/>
  <c r="CO290" i="7"/>
  <c r="CY274" i="7"/>
  <c r="CU274" i="7"/>
  <c r="CQ292" i="7"/>
  <c r="CS292" i="7" s="1"/>
  <c r="CO292" i="7"/>
  <c r="AR186" i="7"/>
  <c r="DE157" i="7"/>
  <c r="P405" i="7"/>
  <c r="N399" i="7"/>
  <c r="N400" i="7"/>
  <c r="N398" i="7"/>
  <c r="N390" i="7" s="1"/>
  <c r="DB338" i="7"/>
  <c r="DB11" i="7"/>
  <c r="DZ285" i="7"/>
  <c r="DA91" i="7"/>
  <c r="DA157" i="7" s="1"/>
  <c r="L398" i="7"/>
  <c r="L390" i="7" s="1"/>
  <c r="M390" i="7"/>
  <c r="M391" i="7" s="1"/>
  <c r="DB5" i="8"/>
  <c r="DB11" i="8" s="1"/>
  <c r="DA10" i="7"/>
  <c r="DF174" i="7"/>
  <c r="DA156" i="7"/>
  <c r="BG402" i="7"/>
  <c r="BI402" i="7" s="1"/>
  <c r="BE402" i="7"/>
  <c r="DS265" i="7"/>
  <c r="DO173" i="45"/>
  <c r="DK184" i="45"/>
  <c r="DK23" i="45"/>
  <c r="DQ189" i="45"/>
  <c r="DT190" i="45" s="1"/>
  <c r="CC261" i="7"/>
  <c r="CC337" i="7" s="1"/>
  <c r="DK57" i="7"/>
  <c r="DB63" i="7"/>
  <c r="DA65" i="7"/>
  <c r="BW65" i="7"/>
  <c r="BV63" i="7"/>
  <c r="DI503" i="7"/>
  <c r="DF503" i="7"/>
  <c r="DJ66" i="7"/>
  <c r="DK65" i="7"/>
  <c r="EB137" i="45"/>
  <c r="EC137" i="45" s="1"/>
  <c r="DZ137" i="45"/>
  <c r="EA408" i="45"/>
  <c r="DZ408" i="45"/>
  <c r="DO138" i="45"/>
  <c r="DN138" i="45"/>
  <c r="DK190" i="45"/>
  <c r="DM278" i="45"/>
  <c r="DM275" i="45" s="1"/>
  <c r="BH302" i="7"/>
  <c r="BH569" i="7" s="1"/>
  <c r="BH571" i="7" s="1"/>
  <c r="BH574" i="7" s="1"/>
  <c r="BH577" i="7" s="1"/>
  <c r="CU157" i="7"/>
  <c r="BE61" i="7"/>
  <c r="BE171" i="7" s="1"/>
  <c r="BZ65" i="7"/>
  <c r="CA63" i="7"/>
  <c r="BZ63" i="7" s="1"/>
  <c r="DL125" i="45"/>
  <c r="CU174" i="7"/>
  <c r="CW174" i="7"/>
  <c r="BI319" i="7"/>
  <c r="CI201" i="8"/>
  <c r="CH345" i="7"/>
  <c r="CH24" i="7" s="1"/>
  <c r="CE389" i="7"/>
  <c r="CE378" i="7"/>
  <c r="CF367" i="7" s="1"/>
  <c r="CF378" i="7" s="1"/>
  <c r="DL352" i="45"/>
  <c r="CU11" i="7"/>
  <c r="CJ66" i="7"/>
  <c r="CJ389" i="7"/>
  <c r="CJ378" i="7"/>
  <c r="CU5" i="8"/>
  <c r="CU11" i="8" s="1"/>
  <c r="BO183" i="7"/>
  <c r="BO186" i="7" s="1"/>
  <c r="DB58" i="7"/>
  <c r="CM63" i="7"/>
  <c r="CL63" i="7" s="1"/>
  <c r="CL65" i="7"/>
  <c r="DS39" i="8"/>
  <c r="BA153" i="7"/>
  <c r="BQ61" i="7"/>
  <c r="BQ171" i="7" s="1"/>
  <c r="CT278" i="7"/>
  <c r="CV278" i="7" s="1"/>
  <c r="CR278" i="7"/>
  <c r="BA55" i="7"/>
  <c r="BB55" i="7" s="1"/>
  <c r="BJ153" i="7"/>
  <c r="BS153" i="7"/>
  <c r="BA171" i="7"/>
  <c r="CT270" i="7"/>
  <c r="CV270" i="7" s="1"/>
  <c r="CR270" i="7"/>
  <c r="DD5" i="8"/>
  <c r="DD11" i="8" s="1"/>
  <c r="DD11" i="7"/>
  <c r="DG157" i="7"/>
  <c r="AM183" i="7"/>
  <c r="AL187" i="7"/>
  <c r="DD174" i="7"/>
  <c r="AY183" i="7"/>
  <c r="AX187" i="7"/>
  <c r="AP183" i="7"/>
  <c r="AQ187" i="7"/>
  <c r="DY409" i="45"/>
  <c r="DN411" i="45"/>
  <c r="DQ429" i="45"/>
  <c r="DQ432" i="45" s="1"/>
  <c r="DQ229" i="45"/>
  <c r="DP238" i="45"/>
  <c r="DS229" i="45"/>
  <c r="DV229" i="45" s="1"/>
  <c r="EA242" i="45"/>
  <c r="DY242" i="45"/>
  <c r="DU229" i="45"/>
  <c r="DX229" i="45" s="1"/>
  <c r="DX238" i="45" s="1"/>
  <c r="DR238" i="45"/>
  <c r="AY389" i="7"/>
  <c r="AY378" i="7"/>
  <c r="CN265" i="7"/>
  <c r="CM263" i="7"/>
  <c r="CL265" i="7"/>
  <c r="CC116" i="8"/>
  <c r="CC117" i="8" s="1"/>
  <c r="CC18" i="8" s="1"/>
  <c r="CD117" i="8"/>
  <c r="CD18" i="8" s="1"/>
  <c r="AT187" i="7"/>
  <c r="AS183" i="7"/>
  <c r="BC367" i="7"/>
  <c r="BA367" i="7"/>
  <c r="BI56" i="7"/>
  <c r="BI159" i="7"/>
  <c r="BB181" i="7"/>
  <c r="BA183" i="7"/>
  <c r="BG55" i="7"/>
  <c r="BG62" i="7"/>
  <c r="BG160" i="7"/>
  <c r="BH61" i="7"/>
  <c r="BT101" i="8"/>
  <c r="BU101" i="8" s="1"/>
  <c r="BU102" i="8" s="1"/>
  <c r="BU104" i="8" s="1"/>
  <c r="BU17" i="8" s="1"/>
  <c r="BS102" i="8"/>
  <c r="BS104" i="8" s="1"/>
  <c r="BS17" i="8" s="1"/>
  <c r="BE88" i="7"/>
  <c r="BF86" i="7"/>
  <c r="BG86" i="7"/>
  <c r="BH88" i="7"/>
  <c r="BO86" i="7"/>
  <c r="BN88" i="7"/>
  <c r="BI153" i="7"/>
  <c r="BF160" i="7"/>
  <c r="BF55" i="7"/>
  <c r="BF53" i="7" s="1"/>
  <c r="BF43" i="7" s="1"/>
  <c r="BF62" i="7"/>
  <c r="BF552" i="7" s="1"/>
  <c r="BF557" i="7" s="1"/>
  <c r="BH181" i="7"/>
  <c r="BG183" i="7"/>
  <c r="BA86" i="7"/>
  <c r="BB88" i="7"/>
  <c r="BS86" i="7"/>
  <c r="BT88" i="7"/>
  <c r="BQ181" i="7"/>
  <c r="BP183" i="7"/>
  <c r="BS183" i="7"/>
  <c r="BT181" i="7"/>
  <c r="BP86" i="7"/>
  <c r="BQ88" i="7"/>
  <c r="BJ56" i="7"/>
  <c r="BJ159" i="7"/>
  <c r="BK55" i="7"/>
  <c r="BK56" i="7" s="1"/>
  <c r="BJ53" i="7"/>
  <c r="BJ43" i="7" s="1"/>
  <c r="EK170" i="45"/>
  <c r="EK169" i="45" s="1"/>
  <c r="DY189" i="45"/>
  <c r="DY190" i="45" s="1"/>
  <c r="AU152" i="7"/>
  <c r="AU56" i="7"/>
  <c r="AU159" i="7"/>
  <c r="AU53" i="7"/>
  <c r="AU43" i="7" s="1"/>
  <c r="BW261" i="7"/>
  <c r="BX337" i="7"/>
  <c r="AQ27" i="7"/>
  <c r="AQ358" i="7"/>
  <c r="AQ205" i="8" s="1"/>
  <c r="AQ359" i="7"/>
  <c r="AQ206" i="8" s="1"/>
  <c r="CR140" i="7"/>
  <c r="DA389" i="7"/>
  <c r="DA378" i="7"/>
  <c r="AB177" i="8"/>
  <c r="AA177" i="8"/>
  <c r="AA211" i="7"/>
  <c r="DT222" i="7"/>
  <c r="DT224" i="7" s="1"/>
  <c r="DW222" i="7" s="1"/>
  <c r="DW224" i="7" s="1"/>
  <c r="DR222" i="7"/>
  <c r="DR224" i="7" s="1"/>
  <c r="DS222" i="7" s="1"/>
  <c r="DP224" i="7"/>
  <c r="AN211" i="7"/>
  <c r="CM269" i="7"/>
  <c r="CK266" i="7"/>
  <c r="BQ55" i="7"/>
  <c r="BQ170" i="7" s="1"/>
  <c r="I302" i="7"/>
  <c r="I319" i="7" s="1"/>
  <c r="J319" i="7"/>
  <c r="CO5" i="8"/>
  <c r="CO11" i="8" s="1"/>
  <c r="CO11" i="7"/>
  <c r="CO338" i="7"/>
  <c r="CO174" i="7"/>
  <c r="CQ174" i="7"/>
  <c r="AM62" i="7"/>
  <c r="AM552" i="7" s="1"/>
  <c r="AM557" i="7" s="1"/>
  <c r="AM160" i="7"/>
  <c r="BT212" i="7"/>
  <c r="BU211" i="7"/>
  <c r="CS277" i="7"/>
  <c r="V222" i="7"/>
  <c r="V224" i="7" s="1"/>
  <c r="T222" i="7"/>
  <c r="T224" i="7" s="1"/>
  <c r="U222" i="7" s="1"/>
  <c r="R224" i="7"/>
  <c r="CP66" i="7"/>
  <c r="BC319" i="7"/>
  <c r="BC569" i="7"/>
  <c r="BC571" i="7" s="1"/>
  <c r="BC574" i="7" s="1"/>
  <c r="BC577" i="7" s="1"/>
  <c r="BB302" i="7"/>
  <c r="BB319" i="7" s="1"/>
  <c r="H393" i="7"/>
  <c r="G392" i="7"/>
  <c r="F392" i="7" s="1"/>
  <c r="E392" i="7" s="1"/>
  <c r="I393" i="7"/>
  <c r="AP153" i="7"/>
  <c r="AP160" i="7"/>
  <c r="AP62" i="7"/>
  <c r="AP171" i="7"/>
  <c r="S186" i="7"/>
  <c r="R186" i="7" s="1"/>
  <c r="R183" i="7"/>
  <c r="P55" i="7"/>
  <c r="O61" i="7"/>
  <c r="AQ569" i="7"/>
  <c r="AQ571" i="7" s="1"/>
  <c r="AQ574" i="7" s="1"/>
  <c r="AQ577" i="7" s="1"/>
  <c r="AQ319" i="7"/>
  <c r="AP302" i="7"/>
  <c r="AP319" i="7" s="1"/>
  <c r="CM288" i="7"/>
  <c r="CK286" i="7"/>
  <c r="CK299" i="7" s="1"/>
  <c r="BF224" i="8"/>
  <c r="BD396" i="7"/>
  <c r="AJ569" i="7"/>
  <c r="AJ571" i="7" s="1"/>
  <c r="AJ574" i="7" s="1"/>
  <c r="AJ577" i="7" s="1"/>
  <c r="AJ319" i="7"/>
  <c r="CL10" i="7"/>
  <c r="CL156" i="7"/>
  <c r="CL175" i="7"/>
  <c r="CN175" i="7"/>
  <c r="DN106" i="45"/>
  <c r="DN107" i="45" s="1"/>
  <c r="DN173" i="45"/>
  <c r="DN169" i="45"/>
  <c r="DN170" i="45" s="1"/>
  <c r="BC5" i="8"/>
  <c r="BC11" i="8" s="1"/>
  <c r="BC11" i="7"/>
  <c r="BC163" i="7"/>
  <c r="BC157" i="7"/>
  <c r="M53" i="7"/>
  <c r="M43" i="7" s="1"/>
  <c r="L43" i="7" s="1"/>
  <c r="L55" i="7"/>
  <c r="L53" i="7" s="1"/>
  <c r="J177" i="8"/>
  <c r="I177" i="8"/>
  <c r="I211" i="7"/>
  <c r="BW389" i="7"/>
  <c r="BW378" i="7"/>
  <c r="BQ204" i="7"/>
  <c r="AE53" i="7"/>
  <c r="AE43" i="7" s="1"/>
  <c r="AD43" i="7" s="1"/>
  <c r="AD55" i="7"/>
  <c r="AD53" i="7" s="1"/>
  <c r="CV520" i="7"/>
  <c r="CU317" i="7"/>
  <c r="CV338" i="7"/>
  <c r="AY62" i="7"/>
  <c r="AY552" i="7" s="1"/>
  <c r="AY557" i="7" s="1"/>
  <c r="AY153" i="7"/>
  <c r="AY171" i="7"/>
  <c r="AY160" i="7"/>
  <c r="S319" i="7"/>
  <c r="R302" i="7"/>
  <c r="EE425" i="45"/>
  <c r="DP267" i="7"/>
  <c r="DR76" i="7"/>
  <c r="W389" i="7"/>
  <c r="W378" i="7"/>
  <c r="X367" i="7" s="1"/>
  <c r="DA140" i="7"/>
  <c r="AG183" i="7"/>
  <c r="AH186" i="7"/>
  <c r="AG186" i="7" s="1"/>
  <c r="DU37" i="8"/>
  <c r="BT171" i="7"/>
  <c r="AV212" i="7"/>
  <c r="DP282" i="7"/>
  <c r="DQ280" i="7"/>
  <c r="DP280" i="7" s="1"/>
  <c r="DP287" i="7"/>
  <c r="DP428" i="45"/>
  <c r="CI253" i="7"/>
  <c r="CJ250" i="7"/>
  <c r="G53" i="7"/>
  <c r="G43" i="7" s="1"/>
  <c r="F43" i="7" s="1"/>
  <c r="DB177" i="8"/>
  <c r="AA183" i="7"/>
  <c r="AB186" i="7"/>
  <c r="AA186" i="7" s="1"/>
  <c r="BC404" i="7"/>
  <c r="BB404" i="7" s="1"/>
  <c r="BB396" i="7"/>
  <c r="BP222" i="7"/>
  <c r="BP224" i="7" s="1"/>
  <c r="BQ222" i="7" s="1"/>
  <c r="BN224" i="7"/>
  <c r="BR222" i="7"/>
  <c r="BR224" i="7" s="1"/>
  <c r="R55" i="7"/>
  <c r="R53" i="7" s="1"/>
  <c r="S53" i="7"/>
  <c r="S43" i="7" s="1"/>
  <c r="R43" i="7" s="1"/>
  <c r="CU224" i="7"/>
  <c r="CW222" i="7"/>
  <c r="CW224" i="7" s="1"/>
  <c r="CX222" i="7" s="1"/>
  <c r="CH337" i="7"/>
  <c r="V55" i="7"/>
  <c r="U61" i="7"/>
  <c r="BM287" i="8"/>
  <c r="BN289" i="8"/>
  <c r="BO289" i="8" s="1"/>
  <c r="BO287" i="8" s="1"/>
  <c r="BR53" i="7"/>
  <c r="BR43" i="7" s="1"/>
  <c r="BQ43" i="7" s="1"/>
  <c r="DP241" i="7"/>
  <c r="DQ239" i="7"/>
  <c r="BH212" i="7"/>
  <c r="AY569" i="7"/>
  <c r="AY571" i="7" s="1"/>
  <c r="AY574" i="7" s="1"/>
  <c r="AY577" i="7" s="1"/>
  <c r="AY319" i="7"/>
  <c r="BQ212" i="7"/>
  <c r="DG140" i="7"/>
  <c r="AW319" i="7"/>
  <c r="AV302" i="7"/>
  <c r="I183" i="7"/>
  <c r="J186" i="7"/>
  <c r="I186" i="7" s="1"/>
  <c r="AN220" i="7"/>
  <c r="CA192" i="7"/>
  <c r="BZ193" i="7"/>
  <c r="BZ158" i="8" s="1"/>
  <c r="AD183" i="7"/>
  <c r="AE186" i="7"/>
  <c r="AD186" i="7" s="1"/>
  <c r="CR5" i="8"/>
  <c r="CR11" i="8" s="1"/>
  <c r="CR11" i="7"/>
  <c r="CR157" i="7"/>
  <c r="CR338" i="7"/>
  <c r="CR174" i="7"/>
  <c r="CT174" i="7"/>
  <c r="DP259" i="7"/>
  <c r="DQ256" i="7"/>
  <c r="DP256" i="7" s="1"/>
  <c r="AY55" i="7"/>
  <c r="AZ152" i="7"/>
  <c r="AZ56" i="7"/>
  <c r="AZ159" i="7"/>
  <c r="AZ53" i="7"/>
  <c r="AZ43" i="7" s="1"/>
  <c r="CO140" i="7"/>
  <c r="DJ140" i="7"/>
  <c r="EA252" i="7"/>
  <c r="EC252" i="7"/>
  <c r="DY252" i="7"/>
  <c r="Y378" i="7"/>
  <c r="Y389" i="7"/>
  <c r="BT55" i="7"/>
  <c r="BT53" i="7" s="1"/>
  <c r="BU152" i="7"/>
  <c r="DL178" i="45"/>
  <c r="DL179" i="45" s="1"/>
  <c r="DL176" i="45"/>
  <c r="DL503" i="7" s="1"/>
  <c r="DL502" i="7"/>
  <c r="G319" i="7"/>
  <c r="F302" i="7"/>
  <c r="F319" i="7" s="1"/>
  <c r="AV144" i="7"/>
  <c r="AV147" i="7" s="1"/>
  <c r="DR274" i="7"/>
  <c r="BQ569" i="7"/>
  <c r="BQ571" i="7" s="1"/>
  <c r="BQ574" i="7" s="1"/>
  <c r="BQ577" i="7" s="1"/>
  <c r="BQ319" i="7"/>
  <c r="DO211" i="45"/>
  <c r="DN211" i="45"/>
  <c r="DN212" i="45" s="1"/>
  <c r="AZ5" i="8"/>
  <c r="AZ11" i="8" s="1"/>
  <c r="AY91" i="7"/>
  <c r="AZ11" i="7"/>
  <c r="AZ163" i="7"/>
  <c r="AZ157" i="7"/>
  <c r="AZ177" i="8"/>
  <c r="BR443" i="7"/>
  <c r="BR133" i="8"/>
  <c r="CK253" i="7"/>
  <c r="CK250" i="7" s="1"/>
  <c r="CM254" i="7"/>
  <c r="AA302" i="7"/>
  <c r="AA319" i="7" s="1"/>
  <c r="AB569" i="7"/>
  <c r="AB571" i="7" s="1"/>
  <c r="AB574" i="7" s="1"/>
  <c r="AB577" i="7" s="1"/>
  <c r="AB319" i="7"/>
  <c r="F53" i="7"/>
  <c r="DN66" i="7"/>
  <c r="AP400" i="7"/>
  <c r="AQ14" i="7"/>
  <c r="AQ141" i="7"/>
  <c r="DM76" i="7"/>
  <c r="DM105" i="8" s="1"/>
  <c r="DM17" i="8" s="1"/>
  <c r="DN35" i="7"/>
  <c r="O183" i="7"/>
  <c r="P186" i="7"/>
  <c r="O186" i="7" s="1"/>
  <c r="V177" i="8"/>
  <c r="U177" i="8"/>
  <c r="U211" i="7"/>
  <c r="BL288" i="8"/>
  <c r="BK287" i="8"/>
  <c r="BK288" i="8" s="1"/>
  <c r="AV55" i="7"/>
  <c r="AX170" i="7" s="1"/>
  <c r="AW56" i="7"/>
  <c r="AW159" i="7"/>
  <c r="AW53" i="7"/>
  <c r="AW43" i="7" s="1"/>
  <c r="AW152" i="7"/>
  <c r="AO389" i="7"/>
  <c r="AO391" i="7" s="1"/>
  <c r="AO393" i="7"/>
  <c r="AO378" i="7"/>
  <c r="AP367" i="7" s="1"/>
  <c r="EQ134" i="45"/>
  <c r="CQ289" i="8"/>
  <c r="BT319" i="7"/>
  <c r="BT569" i="7"/>
  <c r="BT571" i="7" s="1"/>
  <c r="BT574" i="7" s="1"/>
  <c r="BT577" i="7" s="1"/>
  <c r="BW289" i="8"/>
  <c r="BX289" i="8" s="1"/>
  <c r="BB153" i="7"/>
  <c r="BB171" i="7"/>
  <c r="DE378" i="7"/>
  <c r="DE389" i="7"/>
  <c r="DE391" i="7" s="1"/>
  <c r="CF35" i="7"/>
  <c r="CG34" i="7"/>
  <c r="DP426" i="45"/>
  <c r="DQ426" i="45" s="1"/>
  <c r="BQ155" i="8"/>
  <c r="BQ218" i="7"/>
  <c r="M143" i="7"/>
  <c r="M144" i="7" s="1"/>
  <c r="M147" i="7" s="1"/>
  <c r="K143" i="7"/>
  <c r="K144" i="7" s="1"/>
  <c r="K147" i="7" s="1"/>
  <c r="L143" i="7" s="1"/>
  <c r="L144" i="7" s="1"/>
  <c r="L147" i="7" s="1"/>
  <c r="BW192" i="7"/>
  <c r="BX204" i="7"/>
  <c r="CG18" i="8"/>
  <c r="CG77" i="7"/>
  <c r="P177" i="8"/>
  <c r="O177" i="8"/>
  <c r="O211" i="7"/>
  <c r="AV217" i="7"/>
  <c r="AU220" i="7"/>
  <c r="AV220" i="7" s="1"/>
  <c r="DK12" i="45"/>
  <c r="BG403" i="7"/>
  <c r="BI403" i="7" s="1"/>
  <c r="BE403" i="7"/>
  <c r="AD319" i="7"/>
  <c r="AD569" i="7"/>
  <c r="AD571" i="7" s="1"/>
  <c r="AD574" i="7" s="1"/>
  <c r="AD577" i="7" s="1"/>
  <c r="DK502" i="7"/>
  <c r="BZ116" i="8"/>
  <c r="BZ117" i="8" s="1"/>
  <c r="BZ18" i="8" s="1"/>
  <c r="CA117" i="8"/>
  <c r="CA18" i="8" s="1"/>
  <c r="DG5" i="8"/>
  <c r="DG11" i="8" s="1"/>
  <c r="DG11" i="7"/>
  <c r="DG174" i="7"/>
  <c r="DG338" i="7"/>
  <c r="AR56" i="7"/>
  <c r="AR159" i="7"/>
  <c r="AR152" i="7"/>
  <c r="AR53" i="7"/>
  <c r="AR43" i="7" s="1"/>
  <c r="AQ390" i="7"/>
  <c r="AP398" i="7"/>
  <c r="AP390" i="7" s="1"/>
  <c r="L183" i="7"/>
  <c r="M186" i="7"/>
  <c r="L186" i="7" s="1"/>
  <c r="U302" i="7"/>
  <c r="V319" i="7"/>
  <c r="DR247" i="45"/>
  <c r="DU247" i="45" s="1"/>
  <c r="DO183" i="45"/>
  <c r="DO184" i="45" s="1"/>
  <c r="DQ247" i="45"/>
  <c r="CM140" i="7"/>
  <c r="CL116" i="7"/>
  <c r="EB424" i="45"/>
  <c r="Y53" i="7"/>
  <c r="Y43" i="7" s="1"/>
  <c r="X43" i="7" s="1"/>
  <c r="AG302" i="7"/>
  <c r="AH319" i="7"/>
  <c r="DO446" i="45"/>
  <c r="AQ378" i="7"/>
  <c r="AQ389" i="7"/>
  <c r="AJ55" i="7"/>
  <c r="AK53" i="7"/>
  <c r="AK43" i="7" s="1"/>
  <c r="AJ43" i="7" s="1"/>
  <c r="BN319" i="7"/>
  <c r="BN569" i="7"/>
  <c r="BN571" i="7" s="1"/>
  <c r="BN574" i="7" s="1"/>
  <c r="BN577" i="7" s="1"/>
  <c r="AS62" i="7"/>
  <c r="AS552" i="7" s="1"/>
  <c r="AS557" i="7" s="1"/>
  <c r="AS153" i="7"/>
  <c r="AS160" i="7"/>
  <c r="AS171" i="7"/>
  <c r="DJ12" i="45"/>
  <c r="AH177" i="8"/>
  <c r="AG177" i="8"/>
  <c r="AG211" i="7"/>
  <c r="DC389" i="7"/>
  <c r="DC378" i="7"/>
  <c r="DD367" i="7" s="1"/>
  <c r="CG65" i="7"/>
  <c r="CF66" i="7"/>
  <c r="DR429" i="45"/>
  <c r="DU429" i="45" s="1"/>
  <c r="DX429" i="45" s="1"/>
  <c r="DX425" i="45" s="1"/>
  <c r="DS432" i="45"/>
  <c r="DQ103" i="8"/>
  <c r="CS555" i="7"/>
  <c r="AB55" i="7"/>
  <c r="AA61" i="7"/>
  <c r="AS569" i="7"/>
  <c r="AS571" i="7" s="1"/>
  <c r="AS574" i="7" s="1"/>
  <c r="AS577" i="7" s="1"/>
  <c r="AS319" i="7"/>
  <c r="F183" i="7"/>
  <c r="G186" i="7"/>
  <c r="F186" i="7" s="1"/>
  <c r="DR426" i="45"/>
  <c r="BZ35" i="7"/>
  <c r="CA34" i="7"/>
  <c r="DU402" i="7"/>
  <c r="DW402" i="7" s="1"/>
  <c r="DS402" i="7"/>
  <c r="BD171" i="7"/>
  <c r="J55" i="7"/>
  <c r="I61" i="7"/>
  <c r="BE42" i="7"/>
  <c r="DN183" i="45"/>
  <c r="DN184" i="45" s="1"/>
  <c r="DN248" i="45"/>
  <c r="BO61" i="7"/>
  <c r="BO70" i="7"/>
  <c r="BO161" i="7"/>
  <c r="BR154" i="7"/>
  <c r="U183" i="7"/>
  <c r="V186" i="7"/>
  <c r="U186" i="7" s="1"/>
  <c r="X53" i="7"/>
  <c r="AV153" i="7"/>
  <c r="AV160" i="7"/>
  <c r="AV62" i="7"/>
  <c r="AV552" i="7" s="1"/>
  <c r="AV557" i="7" s="1"/>
  <c r="AV171" i="7"/>
  <c r="DZ68" i="8"/>
  <c r="DZ70" i="8" s="1"/>
  <c r="EC275" i="7"/>
  <c r="EA275" i="7"/>
  <c r="EA68" i="8" s="1"/>
  <c r="DY275" i="7"/>
  <c r="DY68" i="8" s="1"/>
  <c r="DY70" i="8" s="1"/>
  <c r="CZ20" i="7"/>
  <c r="BS152" i="7"/>
  <c r="BS53" i="7"/>
  <c r="BS43" i="7" s="1"/>
  <c r="BT43" i="7" s="1"/>
  <c r="CJ324" i="7"/>
  <c r="CI324" i="7" s="1"/>
  <c r="CI266" i="7"/>
  <c r="CJ575" i="7"/>
  <c r="CJ323" i="7"/>
  <c r="CJ322" i="7"/>
  <c r="CJ283" i="7"/>
  <c r="CG158" i="8"/>
  <c r="CB158" i="8"/>
  <c r="CB193" i="7" s="1"/>
  <c r="CB192" i="7" s="1"/>
  <c r="CD193" i="7"/>
  <c r="DP106" i="45"/>
  <c r="DP107" i="45" s="1"/>
  <c r="DP173" i="45"/>
  <c r="CS66" i="7"/>
  <c r="DQ104" i="8"/>
  <c r="DQ76" i="7" s="1"/>
  <c r="DO76" i="7"/>
  <c r="BY212" i="7"/>
  <c r="AM55" i="7"/>
  <c r="AO170" i="7" s="1"/>
  <c r="AN152" i="7"/>
  <c r="AN56" i="7"/>
  <c r="AN159" i="7"/>
  <c r="AN53" i="7"/>
  <c r="AN43" i="7" s="1"/>
  <c r="AM43" i="7" s="1"/>
  <c r="DO370" i="45"/>
  <c r="AW405" i="7"/>
  <c r="BC152" i="7"/>
  <c r="BC56" i="7"/>
  <c r="BC159" i="7"/>
  <c r="BC53" i="7"/>
  <c r="BC43" i="7" s="1"/>
  <c r="DL17" i="8"/>
  <c r="AH55" i="7"/>
  <c r="AG61" i="7"/>
  <c r="DL18" i="45"/>
  <c r="DL412" i="45"/>
  <c r="AO56" i="7"/>
  <c r="AO159" i="7"/>
  <c r="AO53" i="7"/>
  <c r="AO43" i="7" s="1"/>
  <c r="DS228" i="7"/>
  <c r="DS103" i="8" s="1"/>
  <c r="DS104" i="8" s="1"/>
  <c r="DT104" i="8" s="1"/>
  <c r="DT76" i="7" s="1"/>
  <c r="BI5" i="8"/>
  <c r="BI11" i="8" s="1"/>
  <c r="BI11" i="7"/>
  <c r="BI163" i="7"/>
  <c r="CN58" i="7"/>
  <c r="DZ35" i="8"/>
  <c r="DZ37" i="8" s="1"/>
  <c r="DZ33" i="8"/>
  <c r="DZ36" i="8" s="1"/>
  <c r="EC246" i="7"/>
  <c r="DY246" i="7"/>
  <c r="DY33" i="8" s="1"/>
  <c r="EA246" i="7"/>
  <c r="AP55" i="7"/>
  <c r="AQ56" i="7"/>
  <c r="AQ159" i="7"/>
  <c r="AQ152" i="7"/>
  <c r="AQ53" i="7"/>
  <c r="AQ43" i="7" s="1"/>
  <c r="CC65" i="7"/>
  <c r="CD63" i="7"/>
  <c r="BH144" i="7"/>
  <c r="BH147" i="7" s="1"/>
  <c r="DU36" i="8"/>
  <c r="DU39" i="8" s="1"/>
  <c r="CA554" i="7"/>
  <c r="BZ75" i="7"/>
  <c r="BZ554" i="7" s="1"/>
  <c r="AT410" i="7"/>
  <c r="AR400" i="7"/>
  <c r="AR398" i="7"/>
  <c r="AR390" i="7" s="1"/>
  <c r="AR399" i="7"/>
  <c r="CJ299" i="7"/>
  <c r="CI299" i="7" s="1"/>
  <c r="CI286" i="7"/>
  <c r="AX56" i="7"/>
  <c r="AX159" i="7"/>
  <c r="AX152" i="7"/>
  <c r="AX53" i="7"/>
  <c r="AX43" i="7" s="1"/>
  <c r="AH43" i="9"/>
  <c r="DS248" i="7"/>
  <c r="CM5" i="8"/>
  <c r="CM11" i="8" s="1"/>
  <c r="CM11" i="7"/>
  <c r="CL91" i="7"/>
  <c r="CM157" i="7"/>
  <c r="CM338" i="7"/>
  <c r="AW5" i="8"/>
  <c r="AW11" i="8" s="1"/>
  <c r="AV91" i="7"/>
  <c r="AW11" i="7"/>
  <c r="AW157" i="7"/>
  <c r="AW163" i="7"/>
  <c r="Y186" i="7"/>
  <c r="X186" i="7" s="1"/>
  <c r="X183" i="7"/>
  <c r="M569" i="7"/>
  <c r="M571" i="7" s="1"/>
  <c r="M574" i="7" s="1"/>
  <c r="M577" i="7" s="1"/>
  <c r="M319" i="7"/>
  <c r="L302" i="7"/>
  <c r="L319" i="7" s="1"/>
  <c r="BY124" i="8"/>
  <c r="BX443" i="7"/>
  <c r="CQ268" i="7"/>
  <c r="CO268" i="7"/>
  <c r="BW342" i="7"/>
  <c r="BV219" i="7"/>
  <c r="AS55" i="7"/>
  <c r="AT152" i="7"/>
  <c r="AT56" i="7"/>
  <c r="AT159" i="7"/>
  <c r="AT53" i="7"/>
  <c r="AT43" i="7" s="1"/>
  <c r="DO66" i="7"/>
  <c r="DO65" i="7" s="1"/>
  <c r="DO63" i="7" s="1"/>
  <c r="DV224" i="7" l="1"/>
  <c r="DX222" i="7"/>
  <c r="DX224" i="7" s="1"/>
  <c r="DV292" i="7"/>
  <c r="DX292" i="7"/>
  <c r="DU190" i="45"/>
  <c r="DX190" i="45"/>
  <c r="DU425" i="45"/>
  <c r="DW247" i="45"/>
  <c r="DW183" i="45" s="1"/>
  <c r="DX247" i="45"/>
  <c r="DX183" i="45" s="1"/>
  <c r="EB350" i="7"/>
  <c r="EB208" i="8" s="1"/>
  <c r="EC208" i="8" s="1"/>
  <c r="DW229" i="45"/>
  <c r="DV238" i="45"/>
  <c r="EJ289" i="7"/>
  <c r="EL289" i="7" s="1"/>
  <c r="EH289" i="7"/>
  <c r="EE203" i="8"/>
  <c r="ED350" i="7"/>
  <c r="DN440" i="45"/>
  <c r="DM440" i="45" s="1"/>
  <c r="DN441" i="45"/>
  <c r="DM441" i="45" s="1"/>
  <c r="DN439" i="45"/>
  <c r="DM439" i="45" s="1"/>
  <c r="DN442" i="45"/>
  <c r="DM442" i="45" s="1"/>
  <c r="DN453" i="45"/>
  <c r="DN445" i="45"/>
  <c r="DM273" i="45"/>
  <c r="DM276" i="45"/>
  <c r="DQ106" i="45"/>
  <c r="DQ107" i="45" s="1"/>
  <c r="DQ169" i="45"/>
  <c r="DQ170" i="45" s="1"/>
  <c r="CL34" i="7"/>
  <c r="CL555" i="7" s="1"/>
  <c r="AM569" i="7"/>
  <c r="AM571" i="7" s="1"/>
  <c r="AM574" i="7" s="1"/>
  <c r="AM577" i="7" s="1"/>
  <c r="DM125" i="45"/>
  <c r="CQ34" i="7"/>
  <c r="CQ555" i="7" s="1"/>
  <c r="BG171" i="7"/>
  <c r="BH319" i="7"/>
  <c r="DG63" i="7"/>
  <c r="DZ220" i="45"/>
  <c r="EB220" i="45"/>
  <c r="DN352" i="45"/>
  <c r="DD63" i="7"/>
  <c r="DI45" i="45"/>
  <c r="DI55" i="45" s="1"/>
  <c r="DI62" i="45"/>
  <c r="AV43" i="7"/>
  <c r="DA5" i="8"/>
  <c r="DA11" i="8" s="1"/>
  <c r="DD157" i="7"/>
  <c r="DC174" i="7"/>
  <c r="DA174" i="7"/>
  <c r="DA338" i="7"/>
  <c r="DA11" i="7"/>
  <c r="P569" i="7"/>
  <c r="P571" i="7" s="1"/>
  <c r="P574" i="7" s="1"/>
  <c r="P577" i="7" s="1"/>
  <c r="P319" i="7"/>
  <c r="DY183" i="45"/>
  <c r="DY184" i="45" s="1"/>
  <c r="CP34" i="7"/>
  <c r="CQ295" i="7"/>
  <c r="CO295" i="7"/>
  <c r="CP293" i="7"/>
  <c r="DF276" i="7"/>
  <c r="DH276" i="7" s="1"/>
  <c r="DD276" i="7"/>
  <c r="DC298" i="7"/>
  <c r="DE298" i="7" s="1"/>
  <c r="DA298" i="7"/>
  <c r="CN88" i="8"/>
  <c r="CM88" i="8"/>
  <c r="CW296" i="7"/>
  <c r="CY296" i="7" s="1"/>
  <c r="CU296" i="7"/>
  <c r="CW271" i="7"/>
  <c r="CY271" i="7" s="1"/>
  <c r="CU271" i="7"/>
  <c r="CT41" i="7"/>
  <c r="CT34" i="7" s="1"/>
  <c r="CT555" i="7" s="1"/>
  <c r="CW24" i="8"/>
  <c r="CY24" i="8" s="1"/>
  <c r="EG297" i="7"/>
  <c r="EI297" i="7" s="1"/>
  <c r="EE297" i="7"/>
  <c r="DZ292" i="7"/>
  <c r="BE153" i="7"/>
  <c r="BE160" i="7"/>
  <c r="BA152" i="7"/>
  <c r="BA170" i="7"/>
  <c r="BK302" i="7"/>
  <c r="BL319" i="7"/>
  <c r="DB274" i="7"/>
  <c r="CX274" i="7"/>
  <c r="DK155" i="8"/>
  <c r="CT290" i="7"/>
  <c r="CV290" i="7" s="1"/>
  <c r="CR290" i="7"/>
  <c r="EA285" i="7"/>
  <c r="EC285" i="7" s="1"/>
  <c r="DY285" i="7"/>
  <c r="Q405" i="7"/>
  <c r="P399" i="7"/>
  <c r="O399" i="7" s="1"/>
  <c r="P400" i="7"/>
  <c r="O400" i="7" s="1"/>
  <c r="P398" i="7"/>
  <c r="L391" i="7"/>
  <c r="L393" i="7"/>
  <c r="M393" i="7" s="1"/>
  <c r="N391" i="7"/>
  <c r="N393" i="7"/>
  <c r="CT292" i="7"/>
  <c r="CV292" i="7" s="1"/>
  <c r="CR292" i="7"/>
  <c r="BE62" i="7"/>
  <c r="BH153" i="7"/>
  <c r="BJ402" i="7"/>
  <c r="BL402" i="7" s="1"/>
  <c r="BH402" i="7"/>
  <c r="DZ265" i="7"/>
  <c r="DQ173" i="45"/>
  <c r="DQ190" i="45"/>
  <c r="DJ57" i="7"/>
  <c r="DJ155" i="8" s="1"/>
  <c r="DK503" i="7"/>
  <c r="DH502" i="7"/>
  <c r="DA63" i="7"/>
  <c r="DB61" i="7"/>
  <c r="DB552" i="7" s="1"/>
  <c r="DH503" i="7"/>
  <c r="DJ65" i="7"/>
  <c r="DK63" i="7"/>
  <c r="BV181" i="7"/>
  <c r="BV183" i="7" s="1"/>
  <c r="BV186" i="7" s="1"/>
  <c r="BW63" i="7"/>
  <c r="BV61" i="7"/>
  <c r="EG137" i="45"/>
  <c r="EE137" i="45"/>
  <c r="EF137" i="45" s="1"/>
  <c r="DR138" i="45"/>
  <c r="DP138" i="45"/>
  <c r="DQ138" i="45" s="1"/>
  <c r="ED408" i="45"/>
  <c r="EC408" i="45"/>
  <c r="DQ428" i="45"/>
  <c r="DQ431" i="45" s="1"/>
  <c r="DL278" i="45"/>
  <c r="DL275" i="45" s="1"/>
  <c r="DP278" i="45"/>
  <c r="DP275" i="45" s="1"/>
  <c r="DO125" i="45"/>
  <c r="BX58" i="7"/>
  <c r="BT153" i="7"/>
  <c r="BS171" i="7"/>
  <c r="DB57" i="7"/>
  <c r="DA58" i="7"/>
  <c r="DO352" i="45"/>
  <c r="CJ201" i="8"/>
  <c r="CK201" i="8" s="1"/>
  <c r="CI345" i="7"/>
  <c r="CI24" i="7" s="1"/>
  <c r="BS170" i="7"/>
  <c r="CK367" i="7"/>
  <c r="CM367" i="7"/>
  <c r="CM378" i="7" s="1"/>
  <c r="CN367" i="7" s="1"/>
  <c r="CN378" i="7" s="1"/>
  <c r="CI66" i="7"/>
  <c r="CJ65" i="7"/>
  <c r="CW278" i="7"/>
  <c r="CY278" i="7" s="1"/>
  <c r="CU278" i="7"/>
  <c r="CW270" i="7"/>
  <c r="CY270" i="7" s="1"/>
  <c r="CU270" i="7"/>
  <c r="DZ39" i="8"/>
  <c r="AX186" i="7"/>
  <c r="AY186" i="7" s="1"/>
  <c r="AX212" i="7"/>
  <c r="AX217" i="7"/>
  <c r="AY187" i="7"/>
  <c r="AM187" i="7"/>
  <c r="AL212" i="7"/>
  <c r="AL217" i="7"/>
  <c r="AL186" i="7"/>
  <c r="AM186" i="7" s="1"/>
  <c r="AQ20" i="7"/>
  <c r="AP187" i="7"/>
  <c r="AQ212" i="7"/>
  <c r="AQ186" i="7"/>
  <c r="AP186" i="7" s="1"/>
  <c r="AQ217" i="7"/>
  <c r="DN412" i="45"/>
  <c r="EB409" i="45"/>
  <c r="DZ409" i="45"/>
  <c r="DN105" i="8"/>
  <c r="DN17" i="8" s="1"/>
  <c r="AS43" i="7"/>
  <c r="CJ115" i="8"/>
  <c r="CJ116" i="8" s="1"/>
  <c r="CJ117" i="8" s="1"/>
  <c r="DQ370" i="45"/>
  <c r="ED242" i="45"/>
  <c r="EB242" i="45"/>
  <c r="DT229" i="45"/>
  <c r="DS238" i="45"/>
  <c r="DU238" i="45"/>
  <c r="AQ391" i="7"/>
  <c r="BA378" i="7"/>
  <c r="BA389" i="7"/>
  <c r="BC378" i="7"/>
  <c r="BC389" i="7"/>
  <c r="CM184" i="7"/>
  <c r="CL184" i="7" s="1"/>
  <c r="CL263" i="7"/>
  <c r="AT20" i="7"/>
  <c r="AT212" i="7"/>
  <c r="AT217" i="7"/>
  <c r="AT186" i="7"/>
  <c r="AS186" i="7" s="1"/>
  <c r="AS187" i="7"/>
  <c r="CP265" i="7"/>
  <c r="CN263" i="7"/>
  <c r="CN184" i="7" s="1"/>
  <c r="DY35" i="8"/>
  <c r="DY37" i="8" s="1"/>
  <c r="BF152" i="7"/>
  <c r="BF159" i="7"/>
  <c r="BI152" i="7"/>
  <c r="BF56" i="7"/>
  <c r="BH160" i="7"/>
  <c r="BH171" i="7"/>
  <c r="BH62" i="7"/>
  <c r="BH552" i="7" s="1"/>
  <c r="BH557" i="7" s="1"/>
  <c r="BJ171" i="7"/>
  <c r="BB183" i="7"/>
  <c r="BA186" i="7"/>
  <c r="BB186" i="7" s="1"/>
  <c r="BA91" i="7"/>
  <c r="BA174" i="7" s="1"/>
  <c r="BB86" i="7"/>
  <c r="BG91" i="7"/>
  <c r="BH86" i="7"/>
  <c r="BH183" i="7"/>
  <c r="BG186" i="7"/>
  <c r="BH186" i="7" s="1"/>
  <c r="BE86" i="7"/>
  <c r="BF91" i="7"/>
  <c r="BG159" i="7"/>
  <c r="BG56" i="7"/>
  <c r="BH55" i="7"/>
  <c r="BG53" i="7"/>
  <c r="BG43" i="7" s="1"/>
  <c r="BH43" i="7" s="1"/>
  <c r="BQ53" i="7"/>
  <c r="BJ152" i="7"/>
  <c r="BO91" i="7"/>
  <c r="BN86" i="7"/>
  <c r="BS186" i="7"/>
  <c r="BT186" i="7" s="1"/>
  <c r="BT183" i="7"/>
  <c r="BP186" i="7"/>
  <c r="BQ186" i="7" s="1"/>
  <c r="BQ183" i="7"/>
  <c r="BP91" i="7"/>
  <c r="BQ86" i="7"/>
  <c r="BT86" i="7"/>
  <c r="BS91" i="7"/>
  <c r="DT35" i="7"/>
  <c r="DS76" i="7"/>
  <c r="DS105" i="8" s="1"/>
  <c r="DS17" i="8" s="1"/>
  <c r="AU410" i="7"/>
  <c r="AT398" i="7"/>
  <c r="AT400" i="7"/>
  <c r="AT399" i="7"/>
  <c r="O569" i="7"/>
  <c r="O571" i="7" s="1"/>
  <c r="O574" i="7" s="1"/>
  <c r="O577" i="7" s="1"/>
  <c r="O319" i="7"/>
  <c r="EA35" i="8"/>
  <c r="EA37" i="8" s="1"/>
  <c r="EA33" i="8"/>
  <c r="EA36" i="8" s="1"/>
  <c r="DZ189" i="45"/>
  <c r="BO55" i="7"/>
  <c r="BO160" i="7"/>
  <c r="BO62" i="7"/>
  <c r="BO552" i="7" s="1"/>
  <c r="BO557" i="7" s="1"/>
  <c r="BR153" i="7"/>
  <c r="AS56" i="7"/>
  <c r="AS159" i="7"/>
  <c r="AS170" i="7"/>
  <c r="AS152" i="7"/>
  <c r="AS53" i="7"/>
  <c r="CI115" i="8"/>
  <c r="CI323" i="7"/>
  <c r="CI322" i="7"/>
  <c r="CI575" i="7"/>
  <c r="CF77" i="7"/>
  <c r="CF167" i="7" s="1"/>
  <c r="CG167" i="7"/>
  <c r="CG75" i="7"/>
  <c r="BX212" i="7"/>
  <c r="BW204" i="7"/>
  <c r="AV152" i="7"/>
  <c r="AV159" i="7"/>
  <c r="AV170" i="7"/>
  <c r="AV56" i="7"/>
  <c r="AV53" i="7"/>
  <c r="CN254" i="7"/>
  <c r="CM253" i="7"/>
  <c r="CL254" i="7"/>
  <c r="ED252" i="7"/>
  <c r="EF252" i="7"/>
  <c r="EB252" i="7"/>
  <c r="DR256" i="7"/>
  <c r="BM288" i="8"/>
  <c r="BP288" i="8"/>
  <c r="EB431" i="45"/>
  <c r="EE431" i="45" s="1"/>
  <c r="EH431" i="45" s="1"/>
  <c r="EJ431" i="45" s="1"/>
  <c r="EK431" i="45" s="1"/>
  <c r="EM431" i="45" s="1"/>
  <c r="EN431" i="45" s="1"/>
  <c r="EP431" i="45" s="1"/>
  <c r="EQ431" i="45" s="1"/>
  <c r="ES431" i="45" s="1"/>
  <c r="ET431" i="45" s="1"/>
  <c r="EV431" i="45" s="1"/>
  <c r="DR428" i="45"/>
  <c r="DU428" i="45" s="1"/>
  <c r="DX428" i="45" s="1"/>
  <c r="DX424" i="45" s="1"/>
  <c r="DX426" i="45" s="1"/>
  <c r="CM286" i="7"/>
  <c r="CN288" i="7"/>
  <c r="CL288" i="7"/>
  <c r="J393" i="7"/>
  <c r="CN269" i="7"/>
  <c r="CL269" i="7"/>
  <c r="CM266" i="7"/>
  <c r="EN170" i="45"/>
  <c r="EN169" i="45" s="1"/>
  <c r="BW219" i="7"/>
  <c r="BV220" i="7"/>
  <c r="BW220" i="7" s="1"/>
  <c r="CL5" i="8"/>
  <c r="CL11" i="8" s="1"/>
  <c r="CL11" i="7"/>
  <c r="CL157" i="7"/>
  <c r="CL174" i="7"/>
  <c r="CL338" i="7"/>
  <c r="CN174" i="7"/>
  <c r="EC33" i="8"/>
  <c r="EC36" i="8" s="1"/>
  <c r="EC35" i="8"/>
  <c r="EC37" i="8" s="1"/>
  <c r="EF246" i="7"/>
  <c r="EB246" i="7"/>
  <c r="EB33" i="8" s="1"/>
  <c r="ED246" i="7"/>
  <c r="AG55" i="7"/>
  <c r="AG53" i="7" s="1"/>
  <c r="AH53" i="7"/>
  <c r="AH43" i="7" s="1"/>
  <c r="AG43" i="7" s="1"/>
  <c r="CE158" i="8"/>
  <c r="CE193" i="7" s="1"/>
  <c r="CE192" i="7" s="1"/>
  <c r="CE204" i="7" s="1"/>
  <c r="CE212" i="7" s="1"/>
  <c r="CE211" i="7" s="1"/>
  <c r="CE177" i="8" s="1"/>
  <c r="CJ158" i="8"/>
  <c r="CG193" i="7"/>
  <c r="BZ34" i="7"/>
  <c r="BZ555" i="7" s="1"/>
  <c r="BZ556" i="7" s="1"/>
  <c r="CA555" i="7"/>
  <c r="CA556" i="7" s="1"/>
  <c r="CG63" i="7"/>
  <c r="CF63" i="7" s="1"/>
  <c r="CF65" i="7"/>
  <c r="DT247" i="45"/>
  <c r="DW248" i="45" s="1"/>
  <c r="DR183" i="45"/>
  <c r="DR184" i="45" s="1"/>
  <c r="P143" i="7"/>
  <c r="P144" i="7" s="1"/>
  <c r="P147" i="7" s="1"/>
  <c r="N143" i="7"/>
  <c r="N144" i="7" s="1"/>
  <c r="N147" i="7" s="1"/>
  <c r="O143" i="7" s="1"/>
  <c r="O144" i="7" s="1"/>
  <c r="O147" i="7" s="1"/>
  <c r="CK260" i="7"/>
  <c r="CK261" i="7" s="1"/>
  <c r="AY5" i="8"/>
  <c r="AY11" i="8" s="1"/>
  <c r="AY11" i="7"/>
  <c r="AY163" i="7"/>
  <c r="AY157" i="7"/>
  <c r="AY174" i="7"/>
  <c r="DR211" i="45"/>
  <c r="DQ211" i="45"/>
  <c r="DQ212" i="45" s="1"/>
  <c r="AV319" i="7"/>
  <c r="AV569" i="7"/>
  <c r="AV571" i="7" s="1"/>
  <c r="AV574" i="7" s="1"/>
  <c r="AV577" i="7" s="1"/>
  <c r="DP239" i="7"/>
  <c r="R319" i="7"/>
  <c r="R569" i="7"/>
  <c r="R571" i="7" s="1"/>
  <c r="R574" i="7" s="1"/>
  <c r="R577" i="7" s="1"/>
  <c r="AN177" i="8"/>
  <c r="EM156" i="45"/>
  <c r="AV5" i="8"/>
  <c r="AV11" i="8" s="1"/>
  <c r="AV11" i="7"/>
  <c r="AV157" i="7"/>
  <c r="AV163" i="7"/>
  <c r="AV174" i="7"/>
  <c r="AX174" i="7"/>
  <c r="CA4" i="8"/>
  <c r="CA10" i="8" s="1"/>
  <c r="CA69" i="7"/>
  <c r="CA155" i="7"/>
  <c r="CA179" i="7"/>
  <c r="BY177" i="7"/>
  <c r="CD155" i="7"/>
  <c r="CA337" i="7"/>
  <c r="CA325" i="7"/>
  <c r="CA339" i="7"/>
  <c r="AP152" i="7"/>
  <c r="AP56" i="7"/>
  <c r="AP159" i="7"/>
  <c r="AP170" i="7"/>
  <c r="AP53" i="7"/>
  <c r="DL23" i="45"/>
  <c r="DL7" i="45"/>
  <c r="BB152" i="7"/>
  <c r="BB170" i="7"/>
  <c r="DP370" i="45"/>
  <c r="AM152" i="7"/>
  <c r="AM56" i="7"/>
  <c r="AM159" i="7"/>
  <c r="AM53" i="7"/>
  <c r="DO105" i="8"/>
  <c r="DO35" i="7"/>
  <c r="CI283" i="7"/>
  <c r="CI565" i="7" s="1"/>
  <c r="CI566" i="7" s="1"/>
  <c r="CJ565" i="7"/>
  <c r="CJ566" i="7" s="1"/>
  <c r="CJ300" i="7"/>
  <c r="CI300" i="7" s="1"/>
  <c r="EC68" i="8"/>
  <c r="EF275" i="7"/>
  <c r="ED275" i="7"/>
  <c r="ED68" i="8" s="1"/>
  <c r="EB275" i="7"/>
  <c r="EB68" i="8" s="1"/>
  <c r="EB70" i="8" s="1"/>
  <c r="I55" i="7"/>
  <c r="I53" i="7" s="1"/>
  <c r="J53" i="7"/>
  <c r="J43" i="7" s="1"/>
  <c r="I43" i="7" s="1"/>
  <c r="EN156" i="45"/>
  <c r="BJ403" i="7"/>
  <c r="BH403" i="7"/>
  <c r="BI404" i="7"/>
  <c r="CF34" i="7"/>
  <c r="CF555" i="7" s="1"/>
  <c r="CG555" i="7"/>
  <c r="BY289" i="8"/>
  <c r="U55" i="7"/>
  <c r="U53" i="7" s="1"/>
  <c r="V53" i="7"/>
  <c r="V43" i="7" s="1"/>
  <c r="U43" i="7" s="1"/>
  <c r="DL214" i="45"/>
  <c r="DR280" i="7"/>
  <c r="CU520" i="7"/>
  <c r="CU338" i="7"/>
  <c r="DZ258" i="7"/>
  <c r="BU177" i="8"/>
  <c r="BT211" i="7"/>
  <c r="DS224" i="7"/>
  <c r="DU222" i="7"/>
  <c r="BW337" i="7"/>
  <c r="DQ35" i="7"/>
  <c r="DP76" i="7"/>
  <c r="DP105" i="8" s="1"/>
  <c r="DP17" i="8" s="1"/>
  <c r="EA70" i="8"/>
  <c r="DX402" i="7"/>
  <c r="DZ402" i="7" s="1"/>
  <c r="DV402" i="7"/>
  <c r="DS429" i="45"/>
  <c r="DV429" i="45" s="1"/>
  <c r="DW429" i="45" s="1"/>
  <c r="EB432" i="45"/>
  <c r="EE432" i="45" s="1"/>
  <c r="EH432" i="45" s="1"/>
  <c r="EJ432" i="45" s="1"/>
  <c r="EK432" i="45" s="1"/>
  <c r="EM432" i="45" s="1"/>
  <c r="EN432" i="45" s="1"/>
  <c r="EP432" i="45" s="1"/>
  <c r="EQ432" i="45" s="1"/>
  <c r="ES432" i="45" s="1"/>
  <c r="ET432" i="45" s="1"/>
  <c r="EV432" i="45" s="1"/>
  <c r="AL170" i="7"/>
  <c r="AJ53" i="7"/>
  <c r="DR446" i="45"/>
  <c r="DU446" i="45" s="1"/>
  <c r="DX446" i="45" s="1"/>
  <c r="AG569" i="7"/>
  <c r="AG571" i="7" s="1"/>
  <c r="AG574" i="7" s="1"/>
  <c r="AG577" i="7" s="1"/>
  <c r="AG319" i="7"/>
  <c r="EE424" i="45"/>
  <c r="CL140" i="7"/>
  <c r="AR170" i="7"/>
  <c r="DM35" i="7"/>
  <c r="AY56" i="7"/>
  <c r="AY159" i="7"/>
  <c r="AY152" i="7"/>
  <c r="AY170" i="7"/>
  <c r="AY53" i="7"/>
  <c r="CA204" i="7"/>
  <c r="BZ192" i="7"/>
  <c r="BI177" i="8"/>
  <c r="DR239" i="7"/>
  <c r="CI250" i="7"/>
  <c r="CJ260" i="7"/>
  <c r="X389" i="7"/>
  <c r="X378" i="7"/>
  <c r="DR105" i="8"/>
  <c r="DR35" i="7"/>
  <c r="EH425" i="45"/>
  <c r="CV521" i="7"/>
  <c r="CY521" i="7"/>
  <c r="Y222" i="7"/>
  <c r="Y224" i="7" s="1"/>
  <c r="U224" i="7"/>
  <c r="W222" i="7"/>
  <c r="W224" i="7" s="1"/>
  <c r="X222" i="7" s="1"/>
  <c r="AU170" i="7"/>
  <c r="CS268" i="7"/>
  <c r="BZ124" i="8"/>
  <c r="BY133" i="8"/>
  <c r="BY404" i="7"/>
  <c r="BZ404" i="7" s="1"/>
  <c r="BY443" i="7"/>
  <c r="DQ66" i="7"/>
  <c r="CC63" i="7"/>
  <c r="CD61" i="7"/>
  <c r="AP43" i="7"/>
  <c r="AX405" i="7"/>
  <c r="DY172" i="45"/>
  <c r="DY173" i="45" s="1"/>
  <c r="CR66" i="7"/>
  <c r="CS65" i="7"/>
  <c r="AA55" i="7"/>
  <c r="AA53" i="7" s="1"/>
  <c r="AB53" i="7"/>
  <c r="AB43" i="7" s="1"/>
  <c r="AA43" i="7" s="1"/>
  <c r="DD389" i="7"/>
  <c r="DD391" i="7" s="1"/>
  <c r="DD393" i="7"/>
  <c r="DD20" i="7" s="1"/>
  <c r="DD378" i="7"/>
  <c r="AT367" i="7"/>
  <c r="AT389" i="7" s="1"/>
  <c r="AR367" i="7"/>
  <c r="U319" i="7"/>
  <c r="U569" i="7"/>
  <c r="U571" i="7" s="1"/>
  <c r="U574" i="7" s="1"/>
  <c r="U577" i="7" s="1"/>
  <c r="DF367" i="7"/>
  <c r="DH367" i="7"/>
  <c r="AP389" i="7"/>
  <c r="AP391" i="7" s="1"/>
  <c r="AP378" i="7"/>
  <c r="AP393" i="7"/>
  <c r="DI29" i="45"/>
  <c r="DU274" i="7"/>
  <c r="DX274" i="7" s="1"/>
  <c r="BT152" i="7"/>
  <c r="BT170" i="7"/>
  <c r="DY36" i="8"/>
  <c r="AB367" i="7"/>
  <c r="Z367" i="7"/>
  <c r="AU177" i="8"/>
  <c r="AV177" i="8"/>
  <c r="BG224" i="8"/>
  <c r="BG396" i="7" s="1"/>
  <c r="BG404" i="7" s="1"/>
  <c r="BF396" i="7"/>
  <c r="CP65" i="7"/>
  <c r="CO66" i="7"/>
  <c r="CO157" i="7"/>
  <c r="DT103" i="8"/>
  <c r="CD192" i="7"/>
  <c r="CC193" i="7"/>
  <c r="CC158" i="8" s="1"/>
  <c r="DQ248" i="45"/>
  <c r="DQ183" i="45"/>
  <c r="DQ184" i="45" s="1"/>
  <c r="CR289" i="8"/>
  <c r="CS289" i="8" s="1"/>
  <c r="DN65" i="7"/>
  <c r="DM66" i="7"/>
  <c r="AY43" i="7"/>
  <c r="BO288" i="8"/>
  <c r="BN287" i="8"/>
  <c r="BR288" i="8"/>
  <c r="BU222" i="7"/>
  <c r="BU224" i="7" s="1"/>
  <c r="BQ224" i="7"/>
  <c r="O55" i="7"/>
  <c r="O53" i="7" s="1"/>
  <c r="P53" i="7"/>
  <c r="P43" i="7" s="1"/>
  <c r="O43" i="7" s="1"/>
  <c r="E393" i="7"/>
  <c r="F393" i="7"/>
  <c r="CT277" i="7"/>
  <c r="CR277" i="7"/>
  <c r="CK115" i="8"/>
  <c r="CK116" i="8" s="1"/>
  <c r="CK117" i="8" s="1"/>
  <c r="CK324" i="7"/>
  <c r="CK322" i="7"/>
  <c r="CK575" i="7"/>
  <c r="CK323" i="7"/>
  <c r="CU24" i="8"/>
  <c r="CV41" i="7"/>
  <c r="DX192" i="45" l="1"/>
  <c r="DW425" i="45"/>
  <c r="DW420" i="45" s="1"/>
  <c r="EB351" i="7"/>
  <c r="DZ425" i="45"/>
  <c r="DZ420" i="45" s="1"/>
  <c r="DW192" i="45"/>
  <c r="EM289" i="7"/>
  <c r="EO289" i="7" s="1"/>
  <c r="EK289" i="7"/>
  <c r="ED208" i="8"/>
  <c r="ED351" i="7"/>
  <c r="EG203" i="8"/>
  <c r="EE350" i="7"/>
  <c r="DI39" i="45"/>
  <c r="EW432" i="45"/>
  <c r="EY432" i="45" s="1"/>
  <c r="EW431" i="45"/>
  <c r="EY431" i="45" s="1"/>
  <c r="DN275" i="45"/>
  <c r="DL273" i="45"/>
  <c r="DL276" i="45"/>
  <c r="DP273" i="45"/>
  <c r="DP276" i="45"/>
  <c r="EA247" i="45"/>
  <c r="DZ247" i="45"/>
  <c r="DZ172" i="45"/>
  <c r="DO411" i="45"/>
  <c r="DO7" i="45"/>
  <c r="CW41" i="7"/>
  <c r="CW34" i="7" s="1"/>
  <c r="CW555" i="7" s="1"/>
  <c r="CR34" i="7"/>
  <c r="CR555" i="7" s="1"/>
  <c r="CZ24" i="8"/>
  <c r="DB24" i="8" s="1"/>
  <c r="EC220" i="45"/>
  <c r="EE220" i="45"/>
  <c r="N65" i="9"/>
  <c r="DJ62" i="45"/>
  <c r="DN63" i="45"/>
  <c r="DL29" i="45"/>
  <c r="CO34" i="7"/>
  <c r="CO555" i="7" s="1"/>
  <c r="CP555" i="7"/>
  <c r="CZ296" i="7"/>
  <c r="DB296" i="7" s="1"/>
  <c r="CX296" i="7"/>
  <c r="DI276" i="7"/>
  <c r="DK276" i="7" s="1"/>
  <c r="DG276" i="7"/>
  <c r="CO293" i="7"/>
  <c r="CO86" i="8" s="1"/>
  <c r="CO88" i="8" s="1"/>
  <c r="CP86" i="8"/>
  <c r="CS295" i="7"/>
  <c r="CQ293" i="7"/>
  <c r="CQ86" i="8" s="1"/>
  <c r="DF298" i="7"/>
  <c r="DH298" i="7" s="1"/>
  <c r="DD298" i="7"/>
  <c r="EJ297" i="7"/>
  <c r="EL297" i="7" s="1"/>
  <c r="EH297" i="7"/>
  <c r="EA292" i="7"/>
  <c r="EC292" i="7" s="1"/>
  <c r="DY292" i="7"/>
  <c r="CZ271" i="7"/>
  <c r="DB271" i="7" s="1"/>
  <c r="CX271" i="7"/>
  <c r="BK569" i="7"/>
  <c r="BK571" i="7" s="1"/>
  <c r="BK574" i="7" s="1"/>
  <c r="BK577" i="7" s="1"/>
  <c r="BK319" i="7"/>
  <c r="DZ190" i="45"/>
  <c r="CW290" i="7"/>
  <c r="CY290" i="7" s="1"/>
  <c r="CU290" i="7"/>
  <c r="DE274" i="7"/>
  <c r="DA274" i="7"/>
  <c r="S405" i="7"/>
  <c r="Q400" i="7"/>
  <c r="Q399" i="7"/>
  <c r="Q398" i="7"/>
  <c r="Q390" i="7" s="1"/>
  <c r="ED285" i="7"/>
  <c r="EF285" i="7" s="1"/>
  <c r="EB285" i="7"/>
  <c r="CW292" i="7"/>
  <c r="CY292" i="7" s="1"/>
  <c r="CU292" i="7"/>
  <c r="O398" i="7"/>
  <c r="O390" i="7" s="1"/>
  <c r="P390" i="7"/>
  <c r="P391" i="7" s="1"/>
  <c r="BM402" i="7"/>
  <c r="BK402" i="7"/>
  <c r="EA265" i="7"/>
  <c r="EC265" i="7" s="1"/>
  <c r="DY265" i="7"/>
  <c r="DM352" i="45"/>
  <c r="DT429" i="45"/>
  <c r="DT432" i="45" s="1"/>
  <c r="DJ63" i="7"/>
  <c r="DK181" i="7"/>
  <c r="DJ181" i="7" s="1"/>
  <c r="BW61" i="7"/>
  <c r="BV552" i="7"/>
  <c r="BV557" i="7" s="1"/>
  <c r="BV153" i="7"/>
  <c r="BV55" i="7"/>
  <c r="BY153" i="7"/>
  <c r="BV171" i="7"/>
  <c r="EB410" i="45"/>
  <c r="DZ410" i="45"/>
  <c r="EJ137" i="45"/>
  <c r="EH137" i="45"/>
  <c r="EI137" i="45" s="1"/>
  <c r="DM113" i="45"/>
  <c r="DM284" i="45"/>
  <c r="DM285" i="45" s="1"/>
  <c r="DM112" i="45"/>
  <c r="DU138" i="45"/>
  <c r="DS138" i="45"/>
  <c r="DT138" i="45" s="1"/>
  <c r="DO278" i="45"/>
  <c r="DO275" i="45" s="1"/>
  <c r="DS278" i="45"/>
  <c r="EB406" i="45"/>
  <c r="DZ406" i="45"/>
  <c r="EG408" i="45"/>
  <c r="EF408" i="45"/>
  <c r="CK378" i="7"/>
  <c r="CL367" i="7" s="1"/>
  <c r="CK389" i="7"/>
  <c r="DL450" i="45"/>
  <c r="CL201" i="8"/>
  <c r="CK345" i="7"/>
  <c r="CK24" i="7" s="1"/>
  <c r="CJ63" i="7"/>
  <c r="CI63" i="7" s="1"/>
  <c r="CI65" i="7"/>
  <c r="DB155" i="8"/>
  <c r="DB181" i="7"/>
  <c r="DA57" i="7"/>
  <c r="DB55" i="7"/>
  <c r="BW58" i="7"/>
  <c r="BX57" i="7"/>
  <c r="CI116" i="8"/>
  <c r="CI117" i="8" s="1"/>
  <c r="CI18" i="8" s="1"/>
  <c r="CZ278" i="7"/>
  <c r="DB278" i="7" s="1"/>
  <c r="CX278" i="7"/>
  <c r="CZ270" i="7"/>
  <c r="DB270" i="7" s="1"/>
  <c r="CX270" i="7"/>
  <c r="DY39" i="8"/>
  <c r="AP217" i="7"/>
  <c r="AQ220" i="7"/>
  <c r="AP220" i="7" s="1"/>
  <c r="AL220" i="7"/>
  <c r="AM220" i="7" s="1"/>
  <c r="AM217" i="7"/>
  <c r="AY217" i="7"/>
  <c r="AX220" i="7"/>
  <c r="AY220" i="7" s="1"/>
  <c r="AL211" i="7"/>
  <c r="AM212" i="7"/>
  <c r="AY212" i="7"/>
  <c r="AP212" i="7"/>
  <c r="EE409" i="45"/>
  <c r="EC409" i="45"/>
  <c r="DY229" i="45"/>
  <c r="EE242" i="45"/>
  <c r="EG242" i="45"/>
  <c r="EA229" i="45"/>
  <c r="AT220" i="7"/>
  <c r="AS220" i="7" s="1"/>
  <c r="AS217" i="7"/>
  <c r="BD367" i="7"/>
  <c r="BF367" i="7"/>
  <c r="BC342" i="7"/>
  <c r="EC39" i="8"/>
  <c r="AS212" i="7"/>
  <c r="BB367" i="7"/>
  <c r="BA342" i="7"/>
  <c r="BA145" i="7" s="1"/>
  <c r="BA147" i="7" s="1"/>
  <c r="BB143" i="7" s="1"/>
  <c r="BB144" i="7" s="1"/>
  <c r="CQ265" i="7"/>
  <c r="CO265" i="7"/>
  <c r="CP263" i="7"/>
  <c r="EA39" i="8"/>
  <c r="BO163" i="7"/>
  <c r="BO5" i="8"/>
  <c r="BO11" i="8" s="1"/>
  <c r="BO11" i="7"/>
  <c r="BN91" i="7"/>
  <c r="BR157" i="7"/>
  <c r="BO177" i="8"/>
  <c r="EB35" i="8"/>
  <c r="EB37" i="8" s="1"/>
  <c r="BF163" i="7"/>
  <c r="BI157" i="7"/>
  <c r="BF5" i="8"/>
  <c r="BF11" i="8" s="1"/>
  <c r="BF157" i="7"/>
  <c r="BE91" i="7"/>
  <c r="BF11" i="7"/>
  <c r="BF177" i="8"/>
  <c r="BG11" i="7"/>
  <c r="BG157" i="7"/>
  <c r="BG163" i="7"/>
  <c r="BJ157" i="7"/>
  <c r="BG177" i="8"/>
  <c r="BG5" i="8"/>
  <c r="BG11" i="8" s="1"/>
  <c r="BH91" i="7"/>
  <c r="BA11" i="7"/>
  <c r="BA157" i="7"/>
  <c r="BD157" i="7"/>
  <c r="BA5" i="8"/>
  <c r="BA11" i="8" s="1"/>
  <c r="BB91" i="7"/>
  <c r="BH56" i="7"/>
  <c r="BH170" i="7"/>
  <c r="BH159" i="7"/>
  <c r="BH53" i="7"/>
  <c r="BJ170" i="7"/>
  <c r="BP5" i="8"/>
  <c r="BP11" i="8" s="1"/>
  <c r="BP11" i="7"/>
  <c r="BP157" i="7"/>
  <c r="BQ91" i="7"/>
  <c r="BV157" i="7"/>
  <c r="BS157" i="7"/>
  <c r="BT91" i="7"/>
  <c r="BS5" i="8"/>
  <c r="BS11" i="8" s="1"/>
  <c r="BS11" i="7"/>
  <c r="BS177" i="8"/>
  <c r="AB389" i="7"/>
  <c r="AB378" i="7"/>
  <c r="G393" i="7"/>
  <c r="CT268" i="7"/>
  <c r="CR268" i="7"/>
  <c r="DM214" i="45"/>
  <c r="DN214" i="45" s="1"/>
  <c r="CO65" i="7"/>
  <c r="CP63" i="7"/>
  <c r="BN288" i="8"/>
  <c r="BQ288" i="8"/>
  <c r="CX24" i="8"/>
  <c r="CY41" i="7"/>
  <c r="BF404" i="7"/>
  <c r="BE404" i="7" s="1"/>
  <c r="BE396" i="7"/>
  <c r="CR65" i="7"/>
  <c r="CS63" i="7"/>
  <c r="DT239" i="7"/>
  <c r="DS241" i="7"/>
  <c r="DS287" i="7"/>
  <c r="BH404" i="7"/>
  <c r="DU183" i="45"/>
  <c r="DU184" i="45" s="1"/>
  <c r="CM158" i="8"/>
  <c r="CH158" i="8"/>
  <c r="CH193" i="7" s="1"/>
  <c r="CH192" i="7" s="1"/>
  <c r="CH204" i="7" s="1"/>
  <c r="CH212" i="7" s="1"/>
  <c r="CH211" i="7" s="1"/>
  <c r="CH177" i="8" s="1"/>
  <c r="CJ193" i="7"/>
  <c r="CM324" i="7"/>
  <c r="CL266" i="7"/>
  <c r="CM323" i="7"/>
  <c r="CM322" i="7"/>
  <c r="CM575" i="7"/>
  <c r="DS428" i="45"/>
  <c r="DV428" i="45" s="1"/>
  <c r="DW428" i="45" s="1"/>
  <c r="AW410" i="7"/>
  <c r="AU400" i="7"/>
  <c r="AU398" i="7"/>
  <c r="AU390" i="7" s="1"/>
  <c r="AU399" i="7"/>
  <c r="DF378" i="7"/>
  <c r="DG367" i="7" s="1"/>
  <c r="DF389" i="7"/>
  <c r="DR17" i="8"/>
  <c r="DT105" i="8"/>
  <c r="DT17" i="8" s="1"/>
  <c r="BZ204" i="7"/>
  <c r="CA212" i="7"/>
  <c r="DY402" i="7"/>
  <c r="EA402" i="7"/>
  <c r="EC402" i="7" s="1"/>
  <c r="EA258" i="7"/>
  <c r="DY258" i="7"/>
  <c r="DT280" i="7"/>
  <c r="DS280" i="7" s="1"/>
  <c r="DS282" i="7"/>
  <c r="BZ179" i="7"/>
  <c r="DT211" i="45"/>
  <c r="DT212" i="45" s="1"/>
  <c r="DU211" i="45"/>
  <c r="EF35" i="8"/>
  <c r="EF37" i="8" s="1"/>
  <c r="EF33" i="8"/>
  <c r="EF36" i="8" s="1"/>
  <c r="EG246" i="7"/>
  <c r="EI246" i="7"/>
  <c r="EE246" i="7"/>
  <c r="EE33" i="8" s="1"/>
  <c r="DL241" i="45"/>
  <c r="BX222" i="7"/>
  <c r="BX224" i="7" s="1"/>
  <c r="BV222" i="7"/>
  <c r="BV224" i="7" s="1"/>
  <c r="BW222" i="7" s="1"/>
  <c r="BT224" i="7"/>
  <c r="CT289" i="8"/>
  <c r="Z389" i="7"/>
  <c r="Z378" i="7"/>
  <c r="AA367" i="7" s="1"/>
  <c r="AR389" i="7"/>
  <c r="AR391" i="7" s="1"/>
  <c r="AR378" i="7"/>
  <c r="AS367" i="7" s="1"/>
  <c r="AR393" i="7"/>
  <c r="CC61" i="7"/>
  <c r="CD552" i="7"/>
  <c r="CD557" i="7" s="1"/>
  <c r="CA124" i="8"/>
  <c r="CB124" i="8" s="1"/>
  <c r="CC124" i="8" s="1"/>
  <c r="CD124" i="8" s="1"/>
  <c r="CE124" i="8" s="1"/>
  <c r="CF124" i="8" s="1"/>
  <c r="CG124" i="8" s="1"/>
  <c r="CH124" i="8" s="1"/>
  <c r="CI124" i="8" s="1"/>
  <c r="CJ124" i="8" s="1"/>
  <c r="CK124" i="8" s="1"/>
  <c r="CL124" i="8" s="1"/>
  <c r="CM124" i="8" s="1"/>
  <c r="CN124" i="8" s="1"/>
  <c r="CO124" i="8" s="1"/>
  <c r="CP124" i="8" s="1"/>
  <c r="CQ124" i="8" s="1"/>
  <c r="CR124" i="8" s="1"/>
  <c r="CS124" i="8" s="1"/>
  <c r="BZ443" i="7"/>
  <c r="BZ133" i="8"/>
  <c r="X224" i="7"/>
  <c r="Z222" i="7"/>
  <c r="Z224" i="7" s="1"/>
  <c r="AA222" i="7" s="1"/>
  <c r="AB222" i="7"/>
  <c r="AB224" i="7" s="1"/>
  <c r="CI260" i="7"/>
  <c r="CJ261" i="7"/>
  <c r="DP35" i="7"/>
  <c r="BJ404" i="7"/>
  <c r="BL403" i="7"/>
  <c r="DL12" i="45"/>
  <c r="DT183" i="45"/>
  <c r="DT184" i="45" s="1"/>
  <c r="DT248" i="45"/>
  <c r="DS267" i="7"/>
  <c r="EG252" i="7"/>
  <c r="EI252" i="7"/>
  <c r="EE252" i="7"/>
  <c r="DZ294" i="7"/>
  <c r="AZ405" i="7"/>
  <c r="DQ65" i="7"/>
  <c r="DP66" i="7"/>
  <c r="DL217" i="45"/>
  <c r="DO214" i="45"/>
  <c r="EQ156" i="45"/>
  <c r="ET156" i="45" s="1"/>
  <c r="EW156" i="45" s="1"/>
  <c r="EZ156" i="45" s="1"/>
  <c r="EF68" i="8"/>
  <c r="EF70" i="8" s="1"/>
  <c r="EI275" i="7"/>
  <c r="EG275" i="7"/>
  <c r="EG68" i="8" s="1"/>
  <c r="EE275" i="7"/>
  <c r="EE68" i="8" s="1"/>
  <c r="EE70" i="8" s="1"/>
  <c r="CJ18" i="8"/>
  <c r="CJ77" i="7"/>
  <c r="CP269" i="7"/>
  <c r="CN266" i="7"/>
  <c r="CL253" i="7"/>
  <c r="CM250" i="7"/>
  <c r="BX211" i="7"/>
  <c r="BW212" i="7"/>
  <c r="AS399" i="7"/>
  <c r="EK425" i="45"/>
  <c r="DS426" i="45"/>
  <c r="DT426" i="45" s="1"/>
  <c r="ED70" i="8"/>
  <c r="DO17" i="8"/>
  <c r="DQ105" i="8"/>
  <c r="DQ17" i="8" s="1"/>
  <c r="DR370" i="45"/>
  <c r="BZ4" i="8"/>
  <c r="BZ10" i="8" s="1"/>
  <c r="BZ155" i="7"/>
  <c r="CB173" i="7"/>
  <c r="BZ177" i="7"/>
  <c r="CC155" i="7"/>
  <c r="BZ337" i="7"/>
  <c r="BZ173" i="7"/>
  <c r="BZ325" i="7"/>
  <c r="BZ339" i="7"/>
  <c r="ED33" i="8"/>
  <c r="ED36" i="8" s="1"/>
  <c r="ED35" i="8"/>
  <c r="ED37" i="8" s="1"/>
  <c r="EQ170" i="45"/>
  <c r="ET170" i="45" s="1"/>
  <c r="EW170" i="45" s="1"/>
  <c r="EZ170" i="45" s="1"/>
  <c r="CP288" i="7"/>
  <c r="CN286" i="7"/>
  <c r="CN299" i="7" s="1"/>
  <c r="CN253" i="7"/>
  <c r="CN250" i="7" s="1"/>
  <c r="CP254" i="7"/>
  <c r="CF75" i="7"/>
  <c r="CF554" i="7" s="1"/>
  <c r="CF556" i="7" s="1"/>
  <c r="CG554" i="7"/>
  <c r="CG556" i="7" s="1"/>
  <c r="AS400" i="7"/>
  <c r="AT141" i="7"/>
  <c r="AT14" i="7"/>
  <c r="AT12" i="7"/>
  <c r="DS35" i="7"/>
  <c r="CU41" i="7"/>
  <c r="CV34" i="7"/>
  <c r="DN63" i="7"/>
  <c r="DM65" i="7"/>
  <c r="CK18" i="8"/>
  <c r="CK77" i="7"/>
  <c r="CV277" i="7"/>
  <c r="CC192" i="7"/>
  <c r="CD204" i="7"/>
  <c r="DI34" i="45"/>
  <c r="EH424" i="45"/>
  <c r="EC70" i="8"/>
  <c r="BZ289" i="8"/>
  <c r="CA289" i="8" s="1"/>
  <c r="CA61" i="7"/>
  <c r="CD153" i="7" s="1"/>
  <c r="CD154" i="7"/>
  <c r="BZ69" i="7"/>
  <c r="CA154" i="7"/>
  <c r="EP156" i="45"/>
  <c r="ES156" i="45" s="1"/>
  <c r="EV156" i="45" s="1"/>
  <c r="EY156" i="45" s="1"/>
  <c r="S143" i="7"/>
  <c r="S144" i="7" s="1"/>
  <c r="S147" i="7" s="1"/>
  <c r="Q143" i="7"/>
  <c r="Q144" i="7" s="1"/>
  <c r="Q147" i="7" s="1"/>
  <c r="R143" i="7" s="1"/>
  <c r="R144" i="7" s="1"/>
  <c r="R147" i="7" s="1"/>
  <c r="CG192" i="7"/>
  <c r="CF193" i="7"/>
  <c r="CF158" i="8" s="1"/>
  <c r="CL286" i="7"/>
  <c r="CM299" i="7"/>
  <c r="CL299" i="7" s="1"/>
  <c r="DS259" i="7"/>
  <c r="DT256" i="7"/>
  <c r="BO159" i="7"/>
  <c r="BN55" i="7"/>
  <c r="BN56" i="7" s="1"/>
  <c r="BO56" i="7"/>
  <c r="BO53" i="7"/>
  <c r="BO43" i="7" s="1"/>
  <c r="BR152" i="7"/>
  <c r="EB36" i="8"/>
  <c r="AT390" i="7"/>
  <c r="AT391" i="7" s="1"/>
  <c r="AS398" i="7"/>
  <c r="AS390" i="7" s="1"/>
  <c r="EA425" i="45" l="1"/>
  <c r="DW211" i="45"/>
  <c r="DX211" i="45"/>
  <c r="DV138" i="45"/>
  <c r="DW138" i="45" s="1"/>
  <c r="DX138" i="45"/>
  <c r="DX184" i="45"/>
  <c r="DW212" i="45"/>
  <c r="DS275" i="45"/>
  <c r="DS276" i="45" s="1"/>
  <c r="DV278" i="45"/>
  <c r="DY278" i="45" s="1"/>
  <c r="EP289" i="7"/>
  <c r="ER289" i="7" s="1"/>
  <c r="EN289" i="7"/>
  <c r="DW184" i="45"/>
  <c r="DW432" i="45"/>
  <c r="DS256" i="7"/>
  <c r="EE208" i="8"/>
  <c r="EF208" i="8" s="1"/>
  <c r="EE351" i="7"/>
  <c r="EH203" i="8"/>
  <c r="EG350" i="7"/>
  <c r="EZ431" i="45"/>
  <c r="EZ432" i="45"/>
  <c r="DL39" i="45"/>
  <c r="CL324" i="7"/>
  <c r="DO440" i="45"/>
  <c r="DO439" i="45"/>
  <c r="DO441" i="45"/>
  <c r="DO442" i="45"/>
  <c r="AF65" i="9"/>
  <c r="DO412" i="45"/>
  <c r="DO445" i="45"/>
  <c r="DO453" i="45"/>
  <c r="DO63" i="45" s="1"/>
  <c r="DO18" i="45"/>
  <c r="DQ275" i="45"/>
  <c r="DO273" i="45"/>
  <c r="DO276" i="45"/>
  <c r="DN273" i="45"/>
  <c r="DN276" i="45"/>
  <c r="ED247" i="45"/>
  <c r="EC247" i="45"/>
  <c r="EQ169" i="45"/>
  <c r="ET169" i="45" s="1"/>
  <c r="EW169" i="45" s="1"/>
  <c r="EZ169" i="45" s="1"/>
  <c r="DZ173" i="45"/>
  <c r="DZ169" i="45"/>
  <c r="DC24" i="8"/>
  <c r="DE24" i="8" s="1"/>
  <c r="CZ41" i="7"/>
  <c r="CZ34" i="7" s="1"/>
  <c r="CZ555" i="7" s="1"/>
  <c r="EF220" i="45"/>
  <c r="EH220" i="45"/>
  <c r="DP125" i="45"/>
  <c r="DL34" i="45"/>
  <c r="DT428" i="45"/>
  <c r="DT431" i="45" s="1"/>
  <c r="DT316" i="45"/>
  <c r="DQ352" i="45"/>
  <c r="DP352" i="45"/>
  <c r="DI298" i="7"/>
  <c r="DK298" i="7" s="1"/>
  <c r="DG298" i="7"/>
  <c r="DL276" i="7"/>
  <c r="DN276" i="7" s="1"/>
  <c r="DJ276" i="7"/>
  <c r="CR295" i="7"/>
  <c r="CS293" i="7"/>
  <c r="CT295" i="7"/>
  <c r="CQ88" i="8"/>
  <c r="CP88" i="8"/>
  <c r="DC296" i="7"/>
  <c r="DE296" i="7" s="1"/>
  <c r="DA296" i="7"/>
  <c r="DC271" i="7"/>
  <c r="DE271" i="7" s="1"/>
  <c r="DA271" i="7"/>
  <c r="ED292" i="7"/>
  <c r="EF292" i="7" s="1"/>
  <c r="EB292" i="7"/>
  <c r="EM297" i="7"/>
  <c r="EO297" i="7" s="1"/>
  <c r="EK297" i="7"/>
  <c r="DD274" i="7"/>
  <c r="DH274" i="7"/>
  <c r="CZ290" i="7"/>
  <c r="DB290" i="7" s="1"/>
  <c r="CX290" i="7"/>
  <c r="Q391" i="7"/>
  <c r="Q393" i="7"/>
  <c r="O393" i="7"/>
  <c r="P393" i="7" s="1"/>
  <c r="O391" i="7"/>
  <c r="CZ292" i="7"/>
  <c r="DB292" i="7" s="1"/>
  <c r="CX292" i="7"/>
  <c r="T405" i="7"/>
  <c r="S399" i="7"/>
  <c r="R399" i="7" s="1"/>
  <c r="S400" i="7"/>
  <c r="R400" i="7" s="1"/>
  <c r="S398" i="7"/>
  <c r="EG285" i="7"/>
  <c r="EI285" i="7" s="1"/>
  <c r="EE285" i="7"/>
  <c r="ED265" i="7"/>
  <c r="EF265" i="7" s="1"/>
  <c r="EB265" i="7"/>
  <c r="DN125" i="45"/>
  <c r="BV152" i="7"/>
  <c r="BV170" i="7"/>
  <c r="BY171" i="7"/>
  <c r="BW153" i="7"/>
  <c r="BW552" i="7"/>
  <c r="BW557" i="7" s="1"/>
  <c r="BW171" i="7"/>
  <c r="EE410" i="45"/>
  <c r="EC410" i="45"/>
  <c r="EK137" i="45"/>
  <c r="EL137" i="45" s="1"/>
  <c r="EM137" i="45"/>
  <c r="EE406" i="45"/>
  <c r="EC406" i="45"/>
  <c r="DL284" i="45"/>
  <c r="DL285" i="45" s="1"/>
  <c r="DL112" i="45"/>
  <c r="DL113" i="45"/>
  <c r="EJ408" i="45"/>
  <c r="EI408" i="45"/>
  <c r="DT153" i="45"/>
  <c r="DP284" i="45"/>
  <c r="DP285" i="45" s="1"/>
  <c r="DP112" i="45"/>
  <c r="DP282" i="45"/>
  <c r="DP113" i="45" s="1"/>
  <c r="DR278" i="45"/>
  <c r="DA155" i="8"/>
  <c r="DY315" i="45"/>
  <c r="DY351" i="45" s="1"/>
  <c r="CL378" i="7"/>
  <c r="CL389" i="7"/>
  <c r="DA181" i="7"/>
  <c r="DB183" i="7"/>
  <c r="EA315" i="45"/>
  <c r="BW57" i="7"/>
  <c r="BW155" i="8" s="1"/>
  <c r="BX155" i="8"/>
  <c r="BX181" i="7"/>
  <c r="BX55" i="7"/>
  <c r="CM201" i="8"/>
  <c r="CN201" i="8" s="1"/>
  <c r="CL345" i="7"/>
  <c r="CL24" i="7" s="1"/>
  <c r="EB39" i="8"/>
  <c r="DC278" i="7"/>
  <c r="DE278" i="7" s="1"/>
  <c r="DA278" i="7"/>
  <c r="DC270" i="7"/>
  <c r="DE270" i="7" s="1"/>
  <c r="DA270" i="7"/>
  <c r="ED39" i="8"/>
  <c r="AP177" i="8"/>
  <c r="AQ177" i="8"/>
  <c r="AX177" i="8"/>
  <c r="AY177" i="8"/>
  <c r="AL177" i="8"/>
  <c r="AM211" i="7"/>
  <c r="AM177" i="8" s="1"/>
  <c r="EH409" i="45"/>
  <c r="EF409" i="45"/>
  <c r="EW383" i="45"/>
  <c r="EZ383" i="45" s="1"/>
  <c r="AT25" i="7"/>
  <c r="EF39" i="8"/>
  <c r="DT370" i="45"/>
  <c r="EJ242" i="45"/>
  <c r="EH242" i="45"/>
  <c r="EB229" i="45"/>
  <c r="DY238" i="45"/>
  <c r="DZ229" i="45"/>
  <c r="ED229" i="45"/>
  <c r="EA238" i="45"/>
  <c r="CQ263" i="7"/>
  <c r="CQ184" i="7" s="1"/>
  <c r="CS265" i="7"/>
  <c r="BC145" i="7"/>
  <c r="BB342" i="7"/>
  <c r="EE36" i="8"/>
  <c r="BF378" i="7"/>
  <c r="BF389" i="7"/>
  <c r="BB389" i="7"/>
  <c r="BB378" i="7"/>
  <c r="BD389" i="7"/>
  <c r="BD378" i="7"/>
  <c r="BE367" i="7" s="1"/>
  <c r="CM115" i="8"/>
  <c r="CM116" i="8" s="1"/>
  <c r="CM117" i="8" s="1"/>
  <c r="CO263" i="7"/>
  <c r="CP184" i="7"/>
  <c r="AT177" i="8"/>
  <c r="AS177" i="8"/>
  <c r="BN174" i="7"/>
  <c r="BN5" i="8"/>
  <c r="BN11" i="8" s="1"/>
  <c r="BN11" i="7"/>
  <c r="BN163" i="7"/>
  <c r="BN177" i="8"/>
  <c r="BH5" i="8"/>
  <c r="BH11" i="8" s="1"/>
  <c r="BH11" i="7"/>
  <c r="BH163" i="7"/>
  <c r="BJ174" i="7"/>
  <c r="BH157" i="7"/>
  <c r="BH174" i="7"/>
  <c r="BE177" i="8"/>
  <c r="BE157" i="7"/>
  <c r="BE174" i="7"/>
  <c r="BG174" i="7"/>
  <c r="BE11" i="7"/>
  <c r="BE5" i="8"/>
  <c r="BE11" i="8" s="1"/>
  <c r="BE163" i="7"/>
  <c r="BP174" i="7"/>
  <c r="BD174" i="7"/>
  <c r="BB157" i="7"/>
  <c r="BB11" i="7"/>
  <c r="BB5" i="8"/>
  <c r="BB11" i="8" s="1"/>
  <c r="BB174" i="7"/>
  <c r="BH177" i="8"/>
  <c r="BW157" i="7"/>
  <c r="BV174" i="7"/>
  <c r="BT5" i="8"/>
  <c r="BT11" i="8" s="1"/>
  <c r="BT11" i="7"/>
  <c r="BT157" i="7"/>
  <c r="BT174" i="7"/>
  <c r="BQ157" i="7"/>
  <c r="BQ174" i="7"/>
  <c r="BQ5" i="8"/>
  <c r="BQ11" i="8" s="1"/>
  <c r="BQ11" i="7"/>
  <c r="BS174" i="7"/>
  <c r="BT177" i="8"/>
  <c r="DL226" i="45"/>
  <c r="AX410" i="7"/>
  <c r="AW398" i="7"/>
  <c r="AW399" i="7"/>
  <c r="AW400" i="7"/>
  <c r="AS393" i="7"/>
  <c r="AS378" i="7"/>
  <c r="AS389" i="7"/>
  <c r="AS391" i="7" s="1"/>
  <c r="EG35" i="8"/>
  <c r="EG37" i="8" s="1"/>
  <c r="EG33" i="8"/>
  <c r="EG36" i="8" s="1"/>
  <c r="CX41" i="7"/>
  <c r="CY34" i="7"/>
  <c r="CO63" i="7"/>
  <c r="CV268" i="7"/>
  <c r="EK424" i="45"/>
  <c r="CK75" i="7"/>
  <c r="CK167" i="7"/>
  <c r="DM63" i="7"/>
  <c r="CP286" i="7"/>
  <c r="CQ288" i="7"/>
  <c r="CO288" i="7"/>
  <c r="DS370" i="45"/>
  <c r="CQ269" i="7"/>
  <c r="CO269" i="7"/>
  <c r="CP266" i="7"/>
  <c r="DL218" i="45"/>
  <c r="AA378" i="7"/>
  <c r="AA389" i="7"/>
  <c r="EE35" i="8"/>
  <c r="EE37" i="8" s="1"/>
  <c r="EA274" i="7"/>
  <c r="CK158" i="8"/>
  <c r="CK193" i="7" s="1"/>
  <c r="CK192" i="7" s="1"/>
  <c r="CK204" i="7" s="1"/>
  <c r="CK212" i="7" s="1"/>
  <c r="CK211" i="7" s="1"/>
  <c r="CK177" i="8" s="1"/>
  <c r="CP158" i="8"/>
  <c r="CM193" i="7"/>
  <c r="DO29" i="45"/>
  <c r="DO450" i="45"/>
  <c r="CN115" i="8"/>
  <c r="CN116" i="8" s="1"/>
  <c r="CN117" i="8" s="1"/>
  <c r="CN324" i="7"/>
  <c r="CN323" i="7"/>
  <c r="CN575" i="7"/>
  <c r="CN322" i="7"/>
  <c r="DO217" i="45"/>
  <c r="DR214" i="45"/>
  <c r="EA294" i="7"/>
  <c r="DY294" i="7"/>
  <c r="CB289" i="8"/>
  <c r="CL250" i="7"/>
  <c r="CM260" i="7"/>
  <c r="EI68" i="8"/>
  <c r="EI70" i="8" s="1"/>
  <c r="EJ275" i="7"/>
  <c r="EJ68" i="8" s="1"/>
  <c r="EL275" i="7"/>
  <c r="EH275" i="7"/>
  <c r="EH68" i="8" s="1"/>
  <c r="EH70" i="8" s="1"/>
  <c r="BA405" i="7"/>
  <c r="CU289" i="8"/>
  <c r="CV289" i="8" s="1"/>
  <c r="BW224" i="7"/>
  <c r="CA222" i="7"/>
  <c r="CA224" i="7" s="1"/>
  <c r="DY287" i="7"/>
  <c r="DZ287" i="7" s="1"/>
  <c r="EA287" i="7" s="1"/>
  <c r="EB287" i="7" s="1"/>
  <c r="EC287" i="7" s="1"/>
  <c r="DS239" i="7"/>
  <c r="BZ154" i="7"/>
  <c r="BZ172" i="7"/>
  <c r="CB172" i="7"/>
  <c r="CC154" i="7"/>
  <c r="AT27" i="7"/>
  <c r="AW27" i="7"/>
  <c r="AT358" i="7"/>
  <c r="AT205" i="8" s="1"/>
  <c r="AT359" i="7"/>
  <c r="AT206" i="8" s="1"/>
  <c r="CG4" i="8"/>
  <c r="CG10" i="8" s="1"/>
  <c r="CG69" i="7"/>
  <c r="CG155" i="7"/>
  <c r="CG179" i="7"/>
  <c r="CE177" i="7"/>
  <c r="CG339" i="7"/>
  <c r="CG325" i="7"/>
  <c r="CG337" i="7"/>
  <c r="EG70" i="8"/>
  <c r="DP65" i="7"/>
  <c r="DQ63" i="7"/>
  <c r="EJ252" i="7"/>
  <c r="EL252" i="7"/>
  <c r="EH252" i="7"/>
  <c r="BM403" i="7"/>
  <c r="BM404" i="7" s="1"/>
  <c r="BN404" i="7" s="1"/>
  <c r="BK403" i="7"/>
  <c r="BL404" i="7"/>
  <c r="BK404" i="7" s="1"/>
  <c r="CJ569" i="7"/>
  <c r="CJ571" i="7" s="1"/>
  <c r="CJ574" i="7" s="1"/>
  <c r="CJ577" i="7" s="1"/>
  <c r="CI261" i="7"/>
  <c r="CI569" i="7" s="1"/>
  <c r="CI571" i="7" s="1"/>
  <c r="CI574" i="7" s="1"/>
  <c r="CI577" i="7" s="1"/>
  <c r="CJ302" i="7"/>
  <c r="CC552" i="7"/>
  <c r="CC557" i="7" s="1"/>
  <c r="CC171" i="7"/>
  <c r="CE171" i="7"/>
  <c r="DU280" i="7"/>
  <c r="AU25" i="7"/>
  <c r="CL115" i="8"/>
  <c r="CL323" i="7"/>
  <c r="CL575" i="7"/>
  <c r="CL322" i="7"/>
  <c r="DU239" i="7"/>
  <c r="V143" i="7"/>
  <c r="V144" i="7" s="1"/>
  <c r="V147" i="7" s="1"/>
  <c r="T143" i="7"/>
  <c r="T144" i="7" s="1"/>
  <c r="T147" i="7" s="1"/>
  <c r="U143" i="7" s="1"/>
  <c r="U144" i="7" s="1"/>
  <c r="U147" i="7" s="1"/>
  <c r="DU256" i="7"/>
  <c r="CD212" i="7"/>
  <c r="CQ254" i="7"/>
  <c r="CP253" i="7"/>
  <c r="W45" i="9" s="1"/>
  <c r="CO254" i="7"/>
  <c r="EN425" i="45"/>
  <c r="BX177" i="8"/>
  <c r="BW211" i="7"/>
  <c r="BW177" i="8" s="1"/>
  <c r="CI77" i="7"/>
  <c r="CI167" i="7" s="1"/>
  <c r="CJ167" i="7"/>
  <c r="DY153" i="8"/>
  <c r="DZ153" i="8" s="1"/>
  <c r="AC222" i="7"/>
  <c r="AC224" i="7" s="1"/>
  <c r="AD222" i="7" s="1"/>
  <c r="AA224" i="7"/>
  <c r="AE222" i="7"/>
  <c r="AE224" i="7" s="1"/>
  <c r="CA443" i="7"/>
  <c r="CA133" i="8"/>
  <c r="EC258" i="7"/>
  <c r="ED402" i="7"/>
  <c r="EF402" i="7" s="1"/>
  <c r="EB402" i="7"/>
  <c r="BZ212" i="7"/>
  <c r="DG370" i="7"/>
  <c r="DG389" i="7" s="1"/>
  <c r="DG391" i="7" s="1"/>
  <c r="AU391" i="7"/>
  <c r="AU393" i="7"/>
  <c r="AU14" i="7" s="1"/>
  <c r="DZ248" i="45"/>
  <c r="DM217" i="45"/>
  <c r="DP214" i="45"/>
  <c r="CW277" i="7"/>
  <c r="CU277" i="7"/>
  <c r="CG204" i="7"/>
  <c r="CF192" i="7"/>
  <c r="CA153" i="7"/>
  <c r="BZ61" i="7"/>
  <c r="CC153" i="7" s="1"/>
  <c r="CA552" i="7"/>
  <c r="CA557" i="7" s="1"/>
  <c r="CU34" i="7"/>
  <c r="CU555" i="7" s="1"/>
  <c r="CV555" i="7"/>
  <c r="CN260" i="7"/>
  <c r="CN261" i="7" s="1"/>
  <c r="DN215" i="45"/>
  <c r="EI33" i="8"/>
  <c r="EI35" i="8"/>
  <c r="EJ246" i="7"/>
  <c r="EL246" i="7"/>
  <c r="EH246" i="7"/>
  <c r="EH33" i="8" s="1"/>
  <c r="DA24" i="8"/>
  <c r="DB41" i="7"/>
  <c r="AU12" i="7"/>
  <c r="CJ192" i="7"/>
  <c r="CI193" i="7"/>
  <c r="CI158" i="8" s="1"/>
  <c r="CR63" i="7"/>
  <c r="AE367" i="7"/>
  <c r="AC367" i="7"/>
  <c r="DY124" i="45" l="1"/>
  <c r="ED425" i="45"/>
  <c r="EC425" i="45"/>
  <c r="EC420" i="45" s="1"/>
  <c r="DV275" i="45"/>
  <c r="DV273" i="45" s="1"/>
  <c r="DS273" i="45"/>
  <c r="DT154" i="45"/>
  <c r="DW154" i="45"/>
  <c r="EQ289" i="7"/>
  <c r="ES289" i="7"/>
  <c r="EU289" i="7" s="1"/>
  <c r="DW431" i="45"/>
  <c r="EG208" i="8"/>
  <c r="EG351" i="7"/>
  <c r="EJ203" i="8"/>
  <c r="EH350" i="7"/>
  <c r="DO23" i="45"/>
  <c r="DR275" i="45"/>
  <c r="DR276" i="45" s="1"/>
  <c r="DU278" i="45"/>
  <c r="DX278" i="45" s="1"/>
  <c r="DX275" i="45" s="1"/>
  <c r="AE65" i="9"/>
  <c r="W50" i="9"/>
  <c r="DO39" i="45"/>
  <c r="EA321" i="45"/>
  <c r="EA318" i="45" s="1"/>
  <c r="DQ273" i="45"/>
  <c r="DQ276" i="45"/>
  <c r="EG247" i="45"/>
  <c r="EF247" i="45"/>
  <c r="DS407" i="45"/>
  <c r="DS411" i="45" s="1"/>
  <c r="DR411" i="45"/>
  <c r="DR7" i="45"/>
  <c r="DF24" i="8"/>
  <c r="DI24" i="8" s="1"/>
  <c r="DC41" i="7"/>
  <c r="DC34" i="7" s="1"/>
  <c r="DC555" i="7" s="1"/>
  <c r="EI220" i="45"/>
  <c r="EK220" i="45"/>
  <c r="DS352" i="45"/>
  <c r="DO62" i="45"/>
  <c r="DS125" i="45"/>
  <c r="DT352" i="45"/>
  <c r="DQ125" i="45"/>
  <c r="CS86" i="8"/>
  <c r="CR293" i="7"/>
  <c r="CR86" i="8" s="1"/>
  <c r="CR88" i="8" s="1"/>
  <c r="DF296" i="7"/>
  <c r="DH296" i="7" s="1"/>
  <c r="DD296" i="7"/>
  <c r="DO276" i="7"/>
  <c r="DQ276" i="7" s="1"/>
  <c r="DM276" i="7"/>
  <c r="CV295" i="7"/>
  <c r="CT293" i="7"/>
  <c r="CT86" i="8" s="1"/>
  <c r="DL298" i="7"/>
  <c r="DN298" i="7" s="1"/>
  <c r="DJ298" i="7"/>
  <c r="EP297" i="7"/>
  <c r="ER297" i="7" s="1"/>
  <c r="EN297" i="7"/>
  <c r="EG292" i="7"/>
  <c r="EI292" i="7" s="1"/>
  <c r="EE292" i="7"/>
  <c r="DF271" i="7"/>
  <c r="DH271" i="7" s="1"/>
  <c r="DD271" i="7"/>
  <c r="DZ315" i="45"/>
  <c r="DZ316" i="45" s="1"/>
  <c r="DC290" i="7"/>
  <c r="DE290" i="7" s="1"/>
  <c r="DA290" i="7"/>
  <c r="DK274" i="7"/>
  <c r="DG274" i="7"/>
  <c r="DC292" i="7"/>
  <c r="DE292" i="7" s="1"/>
  <c r="DD292" i="7" s="1"/>
  <c r="DA292" i="7"/>
  <c r="R398" i="7"/>
  <c r="R390" i="7" s="1"/>
  <c r="S390" i="7"/>
  <c r="S391" i="7" s="1"/>
  <c r="V405" i="7"/>
  <c r="T400" i="7"/>
  <c r="T398" i="7"/>
  <c r="T390" i="7" s="1"/>
  <c r="T399" i="7"/>
  <c r="EJ285" i="7"/>
  <c r="EL285" i="7" s="1"/>
  <c r="EH285" i="7"/>
  <c r="EG265" i="7"/>
  <c r="EI265" i="7" s="1"/>
  <c r="EE265" i="7"/>
  <c r="DT411" i="45"/>
  <c r="DW412" i="45" s="1"/>
  <c r="EH410" i="45"/>
  <c r="EF410" i="45"/>
  <c r="EH35" i="8"/>
  <c r="EH37" i="8" s="1"/>
  <c r="EP137" i="45"/>
  <c r="EN137" i="45"/>
  <c r="EO137" i="45" s="1"/>
  <c r="DO112" i="45"/>
  <c r="DO284" i="45"/>
  <c r="DO285" i="45" s="1"/>
  <c r="DO282" i="45"/>
  <c r="DO113" i="45" s="1"/>
  <c r="EM408" i="45"/>
  <c r="EL408" i="45"/>
  <c r="DS112" i="45"/>
  <c r="DS282" i="45"/>
  <c r="DS113" i="45" s="1"/>
  <c r="DS284" i="45"/>
  <c r="DN113" i="45"/>
  <c r="AE63" i="9" s="1"/>
  <c r="DN284" i="45"/>
  <c r="DN285" i="45" s="1"/>
  <c r="DN278" i="45"/>
  <c r="DN279" i="45" s="1"/>
  <c r="DN112" i="45"/>
  <c r="DY138" i="45"/>
  <c r="DZ138" i="45" s="1"/>
  <c r="EA138" i="45"/>
  <c r="EH406" i="45"/>
  <c r="EF406" i="45"/>
  <c r="CO201" i="8"/>
  <c r="CN345" i="7"/>
  <c r="CN24" i="7" s="1"/>
  <c r="EB315" i="45"/>
  <c r="EB351" i="45" s="1"/>
  <c r="EB124" i="45" s="1"/>
  <c r="BW55" i="7"/>
  <c r="BX152" i="7"/>
  <c r="BX183" i="7"/>
  <c r="BW183" i="7" s="1"/>
  <c r="BW181" i="7"/>
  <c r="ED315" i="45"/>
  <c r="DF278" i="7"/>
  <c r="DH278" i="7" s="1"/>
  <c r="DD278" i="7"/>
  <c r="EG39" i="8"/>
  <c r="DF270" i="7"/>
  <c r="DH270" i="7" s="1"/>
  <c r="DD270" i="7"/>
  <c r="EE39" i="8"/>
  <c r="EK409" i="45"/>
  <c r="EI409" i="45"/>
  <c r="CL116" i="8"/>
  <c r="CL117" i="8" s="1"/>
  <c r="CL18" i="8" s="1"/>
  <c r="EB238" i="45"/>
  <c r="EC229" i="45"/>
  <c r="EE229" i="45"/>
  <c r="EK242" i="45"/>
  <c r="EM242" i="45"/>
  <c r="EG229" i="45"/>
  <c r="ED238" i="45"/>
  <c r="BG367" i="7"/>
  <c r="BI367" i="7"/>
  <c r="BF342" i="7"/>
  <c r="BE378" i="7"/>
  <c r="BE389" i="7"/>
  <c r="AU141" i="7"/>
  <c r="BB145" i="7"/>
  <c r="BB147" i="7" s="1"/>
  <c r="BC147" i="7"/>
  <c r="CO184" i="7"/>
  <c r="CR265" i="7"/>
  <c r="CT265" i="7"/>
  <c r="CS263" i="7"/>
  <c r="DB504" i="7"/>
  <c r="DZ183" i="45"/>
  <c r="DZ184" i="45" s="1"/>
  <c r="DG393" i="7"/>
  <c r="DG20" i="7" s="1"/>
  <c r="AF222" i="7"/>
  <c r="AF224" i="7" s="1"/>
  <c r="AG222" i="7" s="1"/>
  <c r="AH222" i="7"/>
  <c r="AD224" i="7"/>
  <c r="EQ425" i="45"/>
  <c r="ET425" i="45" s="1"/>
  <c r="EW425" i="45" s="1"/>
  <c r="EZ425" i="45" s="1"/>
  <c r="CJ204" i="7"/>
  <c r="CI192" i="7"/>
  <c r="AU358" i="7"/>
  <c r="AU205" i="8" s="1"/>
  <c r="AU359" i="7"/>
  <c r="AU206" i="8" s="1"/>
  <c r="BZ171" i="7"/>
  <c r="BZ552" i="7"/>
  <c r="BZ557" i="7" s="1"/>
  <c r="BZ153" i="7"/>
  <c r="CB171" i="7"/>
  <c r="EE402" i="7"/>
  <c r="EG402" i="7"/>
  <c r="EI402" i="7" s="1"/>
  <c r="EI37" i="8"/>
  <c r="CI302" i="7"/>
  <c r="CI319" i="7" s="1"/>
  <c r="CJ319" i="7"/>
  <c r="CF4" i="8"/>
  <c r="CF10" i="8" s="1"/>
  <c r="CF155" i="7"/>
  <c r="CF173" i="7"/>
  <c r="CH173" i="7"/>
  <c r="CF339" i="7"/>
  <c r="CF177" i="7"/>
  <c r="CF325" i="7"/>
  <c r="CF337" i="7"/>
  <c r="EJ70" i="8"/>
  <c r="CC289" i="8"/>
  <c r="CD289" i="8" s="1"/>
  <c r="DR217" i="45"/>
  <c r="DU214" i="45"/>
  <c r="DX214" i="45" s="1"/>
  <c r="CP324" i="7"/>
  <c r="CP575" i="7"/>
  <c r="CO266" i="7"/>
  <c r="CP323" i="7"/>
  <c r="CP322" i="7"/>
  <c r="CQ286" i="7"/>
  <c r="CQ299" i="7" s="1"/>
  <c r="CS288" i="7"/>
  <c r="EH36" i="8"/>
  <c r="DM446" i="45"/>
  <c r="AZ410" i="7"/>
  <c r="AX400" i="7"/>
  <c r="AX398" i="7"/>
  <c r="AX390" i="7" s="1"/>
  <c r="AX399" i="7"/>
  <c r="EL35" i="8"/>
  <c r="EL37" i="8" s="1"/>
  <c r="EL33" i="8"/>
  <c r="EL36" i="8" s="1"/>
  <c r="EK246" i="7"/>
  <c r="EK33" i="8" s="1"/>
  <c r="EM246" i="7"/>
  <c r="EO246" i="7"/>
  <c r="EA446" i="45"/>
  <c r="AU20" i="7"/>
  <c r="CP250" i="7"/>
  <c r="CO253" i="7"/>
  <c r="DL58" i="7"/>
  <c r="DL57" i="7" s="1"/>
  <c r="DO218" i="45"/>
  <c r="CN18" i="8"/>
  <c r="CN77" i="7"/>
  <c r="DU370" i="45"/>
  <c r="CO286" i="7"/>
  <c r="CP299" i="7"/>
  <c r="CO299" i="7" s="1"/>
  <c r="AE378" i="7"/>
  <c r="AE389" i="7"/>
  <c r="EJ33" i="8"/>
  <c r="EJ36" i="8" s="1"/>
  <c r="EJ35" i="8"/>
  <c r="EJ37" i="8" s="1"/>
  <c r="CF204" i="7"/>
  <c r="CG212" i="7"/>
  <c r="DP217" i="45"/>
  <c r="DS214" i="45"/>
  <c r="ED258" i="7"/>
  <c r="EB258" i="7"/>
  <c r="CS254" i="7"/>
  <c r="CQ253" i="7"/>
  <c r="CQ250" i="7" s="1"/>
  <c r="CD211" i="7"/>
  <c r="CG61" i="7"/>
  <c r="CF69" i="7"/>
  <c r="CG154" i="7"/>
  <c r="BC405" i="7"/>
  <c r="CM18" i="8"/>
  <c r="CM77" i="7"/>
  <c r="DM218" i="45"/>
  <c r="DH370" i="7"/>
  <c r="DH378" i="7" s="1"/>
  <c r="DH389" i="7"/>
  <c r="DH391" i="7" s="1"/>
  <c r="EM252" i="7"/>
  <c r="EO252" i="7"/>
  <c r="EK252" i="7"/>
  <c r="DP63" i="7"/>
  <c r="CW289" i="8"/>
  <c r="CL260" i="7"/>
  <c r="CM261" i="7"/>
  <c r="ED274" i="7"/>
  <c r="CS269" i="7"/>
  <c r="CQ266" i="7"/>
  <c r="CK554" i="7"/>
  <c r="CK556" i="7" s="1"/>
  <c r="CW268" i="7"/>
  <c r="CU268" i="7"/>
  <c r="AV400" i="7"/>
  <c r="AC389" i="7"/>
  <c r="AC378" i="7"/>
  <c r="AD367" i="7" s="1"/>
  <c r="CY277" i="7"/>
  <c r="DZ211" i="45"/>
  <c r="DZ212" i="45" s="1"/>
  <c r="EA211" i="45"/>
  <c r="CF179" i="7"/>
  <c r="EL68" i="8"/>
  <c r="EO275" i="7"/>
  <c r="EM275" i="7"/>
  <c r="EM68" i="8" s="1"/>
  <c r="EK275" i="7"/>
  <c r="EK68" i="8" s="1"/>
  <c r="EK70" i="8" s="1"/>
  <c r="EC294" i="7"/>
  <c r="CL193" i="7"/>
  <c r="CL158" i="8" s="1"/>
  <c r="CM192" i="7"/>
  <c r="CX34" i="7"/>
  <c r="CX555" i="7" s="1"/>
  <c r="CY555" i="7"/>
  <c r="AV399" i="7"/>
  <c r="DA41" i="7"/>
  <c r="DB34" i="7"/>
  <c r="EC248" i="45"/>
  <c r="DD24" i="8"/>
  <c r="DE41" i="7"/>
  <c r="CB404" i="7"/>
  <c r="CC404" i="7" s="1"/>
  <c r="CB443" i="7"/>
  <c r="Y143" i="7"/>
  <c r="Y144" i="7" s="1"/>
  <c r="Y147" i="7" s="1"/>
  <c r="W143" i="7"/>
  <c r="W144" i="7" s="1"/>
  <c r="W147" i="7" s="1"/>
  <c r="X143" i="7" s="1"/>
  <c r="X144" i="7" s="1"/>
  <c r="X147" i="7" s="1"/>
  <c r="EI36" i="8"/>
  <c r="EI39" i="8" s="1"/>
  <c r="BZ224" i="7"/>
  <c r="CD222" i="7"/>
  <c r="CD224" i="7" s="1"/>
  <c r="DQ214" i="45"/>
  <c r="DQ215" i="45" s="1"/>
  <c r="DO34" i="45"/>
  <c r="CS158" i="8"/>
  <c r="CN158" i="8"/>
  <c r="CN193" i="7" s="1"/>
  <c r="CN192" i="7" s="1"/>
  <c r="CN204" i="7" s="1"/>
  <c r="CN212" i="7" s="1"/>
  <c r="CN211" i="7" s="1"/>
  <c r="CN177" i="8" s="1"/>
  <c r="CP193" i="7"/>
  <c r="EN424" i="45"/>
  <c r="DO12" i="45"/>
  <c r="AV398" i="7"/>
  <c r="AV390" i="7" s="1"/>
  <c r="AW390" i="7"/>
  <c r="AW391" i="7" s="1"/>
  <c r="DL227" i="45"/>
  <c r="DX217" i="45" l="1"/>
  <c r="DX223" i="45"/>
  <c r="DX273" i="45"/>
  <c r="DZ275" i="45"/>
  <c r="DZ273" i="45" s="1"/>
  <c r="EG425" i="45"/>
  <c r="EF425" i="45"/>
  <c r="EF420" i="45" s="1"/>
  <c r="DV276" i="45"/>
  <c r="DY276" i="45"/>
  <c r="DU275" i="45"/>
  <c r="DW275" i="45" s="1"/>
  <c r="DW278" i="45" s="1"/>
  <c r="DY281" i="45"/>
  <c r="ET289" i="7"/>
  <c r="EV289" i="7"/>
  <c r="EX289" i="7" s="1"/>
  <c r="DT214" i="45"/>
  <c r="DT215" i="45" s="1"/>
  <c r="DV214" i="45"/>
  <c r="DS285" i="45"/>
  <c r="DV285" i="45"/>
  <c r="EH208" i="8"/>
  <c r="EI208" i="8" s="1"/>
  <c r="EH351" i="7"/>
  <c r="EK203" i="8"/>
  <c r="EJ350" i="7"/>
  <c r="DR273" i="45"/>
  <c r="DT275" i="45"/>
  <c r="DT276" i="45" s="1"/>
  <c r="DR439" i="45"/>
  <c r="DR441" i="45"/>
  <c r="DR440" i="45"/>
  <c r="DR442" i="45"/>
  <c r="DT441" i="45"/>
  <c r="DT439" i="45"/>
  <c r="DT440" i="45"/>
  <c r="DT442" i="45"/>
  <c r="DH24" i="8"/>
  <c r="DG24" i="8" s="1"/>
  <c r="DS453" i="45"/>
  <c r="DS445" i="45"/>
  <c r="DR453" i="45"/>
  <c r="DR63" i="45" s="1"/>
  <c r="DR445" i="45"/>
  <c r="DT445" i="45"/>
  <c r="DT453" i="45"/>
  <c r="ED321" i="45"/>
  <c r="ED318" i="45" s="1"/>
  <c r="EB321" i="45"/>
  <c r="EB318" i="45" s="1"/>
  <c r="EC318" i="45" s="1"/>
  <c r="EJ247" i="45"/>
  <c r="EI247" i="45"/>
  <c r="DS7" i="45"/>
  <c r="DS18" i="45"/>
  <c r="EQ137" i="45"/>
  <c r="ER137" i="45" s="1"/>
  <c r="ES137" i="45"/>
  <c r="EV137" i="45" s="1"/>
  <c r="DF41" i="7"/>
  <c r="DF34" i="7" s="1"/>
  <c r="DF555" i="7" s="1"/>
  <c r="EQ297" i="7"/>
  <c r="ES297" i="7"/>
  <c r="EU297" i="7" s="1"/>
  <c r="DR412" i="45"/>
  <c r="DR29" i="45"/>
  <c r="DR18" i="45"/>
  <c r="DP446" i="45"/>
  <c r="EH39" i="8"/>
  <c r="DR62" i="45"/>
  <c r="EN220" i="45"/>
  <c r="EL220" i="45"/>
  <c r="DO45" i="45"/>
  <c r="DO55" i="45" s="1"/>
  <c r="DI296" i="7"/>
  <c r="DK296" i="7" s="1"/>
  <c r="DG296" i="7"/>
  <c r="CW295" i="7"/>
  <c r="CV293" i="7"/>
  <c r="CU295" i="7"/>
  <c r="CT88" i="8"/>
  <c r="CS88" i="8"/>
  <c r="DR276" i="7"/>
  <c r="DT276" i="7" s="1"/>
  <c r="DP276" i="7"/>
  <c r="DO298" i="7"/>
  <c r="DQ298" i="7" s="1"/>
  <c r="DM298" i="7"/>
  <c r="EJ292" i="7"/>
  <c r="EL292" i="7" s="1"/>
  <c r="EH292" i="7"/>
  <c r="DI271" i="7"/>
  <c r="DK271" i="7" s="1"/>
  <c r="DG271" i="7"/>
  <c r="EC315" i="45"/>
  <c r="EC316" i="45" s="1"/>
  <c r="DN274" i="7"/>
  <c r="DJ274" i="7"/>
  <c r="DF290" i="7"/>
  <c r="DH290" i="7" s="1"/>
  <c r="DD290" i="7"/>
  <c r="W405" i="7"/>
  <c r="V400" i="7"/>
  <c r="U400" i="7" s="1"/>
  <c r="V399" i="7"/>
  <c r="U399" i="7" s="1"/>
  <c r="V398" i="7"/>
  <c r="EM285" i="7"/>
  <c r="EO285" i="7" s="1"/>
  <c r="EK285" i="7"/>
  <c r="R393" i="7"/>
  <c r="S393" i="7" s="1"/>
  <c r="R391" i="7"/>
  <c r="T393" i="7"/>
  <c r="T391" i="7"/>
  <c r="CP115" i="8"/>
  <c r="CP116" i="8" s="1"/>
  <c r="CO116" i="8" s="1"/>
  <c r="CO117" i="8" s="1"/>
  <c r="CO18" i="8" s="1"/>
  <c r="EJ265" i="7"/>
  <c r="EL265" i="7" s="1"/>
  <c r="EH265" i="7"/>
  <c r="DZ153" i="45"/>
  <c r="DZ154" i="45" s="1"/>
  <c r="EK410" i="45"/>
  <c r="EI410" i="45"/>
  <c r="DR282" i="45"/>
  <c r="DR113" i="45" s="1"/>
  <c r="DR284" i="45"/>
  <c r="DR112" i="45"/>
  <c r="EB138" i="45"/>
  <c r="EC138" i="45" s="1"/>
  <c r="DQ112" i="45"/>
  <c r="N63" i="9" s="1"/>
  <c r="AF63" i="9" s="1"/>
  <c r="EK406" i="45"/>
  <c r="EI406" i="45"/>
  <c r="EP408" i="45"/>
  <c r="EO408" i="45"/>
  <c r="DQ278" i="45"/>
  <c r="DQ279" i="45" s="1"/>
  <c r="DQ284" i="45"/>
  <c r="DQ285" i="45" s="1"/>
  <c r="DQ282" i="45"/>
  <c r="DQ113" i="45" s="1"/>
  <c r="BW170" i="7"/>
  <c r="BW152" i="7"/>
  <c r="EE315" i="45"/>
  <c r="EE351" i="45" s="1"/>
  <c r="CP201" i="8"/>
  <c r="CQ201" i="8" s="1"/>
  <c r="CO345" i="7"/>
  <c r="CO24" i="7" s="1"/>
  <c r="EG315" i="45"/>
  <c r="DI278" i="7"/>
  <c r="DK278" i="7" s="1"/>
  <c r="DG278" i="7"/>
  <c r="EJ39" i="8"/>
  <c r="DI270" i="7"/>
  <c r="DK270" i="7" s="1"/>
  <c r="DG270" i="7"/>
  <c r="EN409" i="45"/>
  <c r="EL409" i="45"/>
  <c r="EK36" i="8"/>
  <c r="EP242" i="45"/>
  <c r="EN242" i="45"/>
  <c r="EF229" i="45"/>
  <c r="EE238" i="45"/>
  <c r="EH229" i="45"/>
  <c r="EJ229" i="45"/>
  <c r="EG238" i="45"/>
  <c r="EL39" i="8"/>
  <c r="BF143" i="7"/>
  <c r="BF144" i="7" s="1"/>
  <c r="BD143" i="7"/>
  <c r="BD144" i="7" s="1"/>
  <c r="BD147" i="7" s="1"/>
  <c r="BE143" i="7" s="1"/>
  <c r="BE144" i="7" s="1"/>
  <c r="BF145" i="7"/>
  <c r="BE145" i="7" s="1"/>
  <c r="BE342" i="7"/>
  <c r="CS184" i="7"/>
  <c r="CR263" i="7"/>
  <c r="BI378" i="7"/>
  <c r="BI389" i="7"/>
  <c r="AW25" i="7"/>
  <c r="AX25" i="7"/>
  <c r="CT263" i="7"/>
  <c r="CT184" i="7" s="1"/>
  <c r="CV265" i="7"/>
  <c r="BG378" i="7"/>
  <c r="BH367" i="7" s="1"/>
  <c r="BG389" i="7"/>
  <c r="EK35" i="8"/>
  <c r="EK37" i="8" s="1"/>
  <c r="DL24" i="8"/>
  <c r="DK24" i="8"/>
  <c r="DI41" i="7"/>
  <c r="DI34" i="7" s="1"/>
  <c r="DD41" i="7"/>
  <c r="DE34" i="7"/>
  <c r="ED294" i="7"/>
  <c r="EB294" i="7"/>
  <c r="EQ424" i="45"/>
  <c r="ET424" i="45" s="1"/>
  <c r="EW424" i="45" s="1"/>
  <c r="EZ424" i="45" s="1"/>
  <c r="AB143" i="7"/>
  <c r="AB144" i="7" s="1"/>
  <c r="AB147" i="7" s="1"/>
  <c r="Z143" i="7"/>
  <c r="Z144" i="7" s="1"/>
  <c r="Z147" i="7" s="1"/>
  <c r="AA143" i="7" s="1"/>
  <c r="AA144" i="7" s="1"/>
  <c r="AA147" i="7" s="1"/>
  <c r="EM70" i="8"/>
  <c r="DA34" i="7"/>
  <c r="DB555" i="7"/>
  <c r="DB556" i="7" s="1"/>
  <c r="DB557" i="7" s="1"/>
  <c r="CY268" i="7"/>
  <c r="CP192" i="7"/>
  <c r="CO193" i="7"/>
  <c r="CO158" i="8" s="1"/>
  <c r="CC443" i="7"/>
  <c r="CC133" i="8"/>
  <c r="DZ282" i="7"/>
  <c r="AV12" i="7"/>
  <c r="DM241" i="45"/>
  <c r="CX289" i="8"/>
  <c r="CY289" i="8" s="1"/>
  <c r="BD405" i="7"/>
  <c r="CD177" i="8"/>
  <c r="CS253" i="7"/>
  <c r="X45" i="9" s="1"/>
  <c r="CT254" i="7"/>
  <c r="CR254" i="7"/>
  <c r="DP218" i="45"/>
  <c r="BA410" i="7"/>
  <c r="AZ400" i="7"/>
  <c r="AZ398" i="7"/>
  <c r="AZ399" i="7"/>
  <c r="CE289" i="8"/>
  <c r="EF248" i="45"/>
  <c r="CQ115" i="8"/>
  <c r="CQ116" i="8" s="1"/>
  <c r="CQ117" i="8" s="1"/>
  <c r="CQ324" i="7"/>
  <c r="CQ522" i="7" s="1"/>
  <c r="CQ322" i="7"/>
  <c r="CQ575" i="7"/>
  <c r="CQ323" i="7"/>
  <c r="CL77" i="7"/>
  <c r="CL167" i="7" s="1"/>
  <c r="CM167" i="7"/>
  <c r="CM75" i="7"/>
  <c r="DZ259" i="7"/>
  <c r="CO250" i="7"/>
  <c r="CP260" i="7"/>
  <c r="W47" i="9" s="1"/>
  <c r="CO324" i="7"/>
  <c r="CP522" i="7"/>
  <c r="DU217" i="45"/>
  <c r="EL70" i="8"/>
  <c r="AV393" i="7"/>
  <c r="AV141" i="7" s="1"/>
  <c r="AV391" i="7"/>
  <c r="CQ158" i="8"/>
  <c r="CQ193" i="7" s="1"/>
  <c r="CQ192" i="7" s="1"/>
  <c r="CQ204" i="7" s="1"/>
  <c r="CQ212" i="7" s="1"/>
  <c r="CQ211" i="7" s="1"/>
  <c r="CQ177" i="8" s="1"/>
  <c r="CV158" i="8"/>
  <c r="CS193" i="7"/>
  <c r="EC211" i="45"/>
  <c r="EC212" i="45" s="1"/>
  <c r="ED211" i="45"/>
  <c r="CZ277" i="7"/>
  <c r="CX277" i="7"/>
  <c r="AD378" i="7"/>
  <c r="AD389" i="7"/>
  <c r="CT269" i="7"/>
  <c r="CR269" i="7"/>
  <c r="CS266" i="7"/>
  <c r="EG274" i="7"/>
  <c r="CF154" i="7"/>
  <c r="CF172" i="7"/>
  <c r="CH172" i="7"/>
  <c r="CF212" i="7"/>
  <c r="CT288" i="7"/>
  <c r="CS286" i="7"/>
  <c r="CR288" i="7"/>
  <c r="DR218" i="45"/>
  <c r="CL192" i="7"/>
  <c r="CM204" i="7"/>
  <c r="EO68" i="8"/>
  <c r="EO70" i="8" s="1"/>
  <c r="ER275" i="7"/>
  <c r="EP275" i="7"/>
  <c r="EP68" i="8" s="1"/>
  <c r="EN275" i="7"/>
  <c r="EN68" i="8" s="1"/>
  <c r="EN70" i="8" s="1"/>
  <c r="CK4" i="8"/>
  <c r="CK10" i="8" s="1"/>
  <c r="CK69" i="7"/>
  <c r="CK155" i="7"/>
  <c r="CK339" i="7"/>
  <c r="CK179" i="7"/>
  <c r="CK325" i="7"/>
  <c r="CK337" i="7"/>
  <c r="CL261" i="7"/>
  <c r="EP252" i="7"/>
  <c r="ER252" i="7"/>
  <c r="EN252" i="7"/>
  <c r="CG153" i="7"/>
  <c r="CF61" i="7"/>
  <c r="CG552" i="7"/>
  <c r="CG557" i="7" s="1"/>
  <c r="EF258" i="7"/>
  <c r="EB153" i="8"/>
  <c r="EC153" i="8" s="1"/>
  <c r="DY429" i="45"/>
  <c r="DY405" i="45" s="1"/>
  <c r="CG222" i="7"/>
  <c r="CG224" i="7" s="1"/>
  <c r="CF224" i="7" s="1"/>
  <c r="CC224" i="7"/>
  <c r="CE222" i="7"/>
  <c r="CE224" i="7" s="1"/>
  <c r="CF222" i="7" s="1"/>
  <c r="DK367" i="7"/>
  <c r="DI367" i="7"/>
  <c r="DZ267" i="7"/>
  <c r="EO33" i="8"/>
  <c r="EO36" i="8" s="1"/>
  <c r="EO35" i="8"/>
  <c r="EO37" i="8" s="1"/>
  <c r="ER246" i="7"/>
  <c r="EN246" i="7"/>
  <c r="EN33" i="8" s="1"/>
  <c r="EP246" i="7"/>
  <c r="AX393" i="7"/>
  <c r="AX141" i="7" s="1"/>
  <c r="AX15" i="7" s="1"/>
  <c r="AX391" i="7"/>
  <c r="EH402" i="7"/>
  <c r="EJ402" i="7"/>
  <c r="EL402" i="7" s="1"/>
  <c r="CI204" i="7"/>
  <c r="CJ212" i="7"/>
  <c r="AV25" i="7"/>
  <c r="CQ260" i="7"/>
  <c r="CQ261" i="7" s="1"/>
  <c r="DS217" i="45"/>
  <c r="AH367" i="7"/>
  <c r="AF367" i="7"/>
  <c r="CN167" i="7"/>
  <c r="CN75" i="7"/>
  <c r="DL181" i="7"/>
  <c r="ED446" i="45"/>
  <c r="EM35" i="8"/>
  <c r="EM37" i="8" s="1"/>
  <c r="EM33" i="8"/>
  <c r="EM36" i="8" s="1"/>
  <c r="AX12" i="7"/>
  <c r="CO115" i="8"/>
  <c r="CO323" i="7"/>
  <c r="CO322" i="7"/>
  <c r="CO575" i="7"/>
  <c r="EJ425" i="45" l="1"/>
  <c r="EI425" i="45"/>
  <c r="EI420" i="45" s="1"/>
  <c r="DX276" i="45"/>
  <c r="DX200" i="45"/>
  <c r="DX218" i="45"/>
  <c r="DU276" i="45"/>
  <c r="EB278" i="45"/>
  <c r="EE278" i="45" s="1"/>
  <c r="DU273" i="45"/>
  <c r="DW273" i="45"/>
  <c r="DZ361" i="45"/>
  <c r="EB361" i="45"/>
  <c r="EE361" i="45" s="1"/>
  <c r="EH361" i="45" s="1"/>
  <c r="DW276" i="45"/>
  <c r="DV217" i="45"/>
  <c r="DV223" i="45"/>
  <c r="EW289" i="7"/>
  <c r="EY289" i="7"/>
  <c r="FA289" i="7" s="1"/>
  <c r="EZ289" i="7" s="1"/>
  <c r="DW214" i="45"/>
  <c r="DW215" i="45" s="1"/>
  <c r="EJ208" i="8"/>
  <c r="EJ351" i="7"/>
  <c r="EM203" i="8"/>
  <c r="EK350" i="7"/>
  <c r="EW137" i="45"/>
  <c r="EX137" i="45" s="1"/>
  <c r="EY137" i="45"/>
  <c r="EZ426" i="45"/>
  <c r="DS440" i="45"/>
  <c r="DS435" i="45" s="1"/>
  <c r="DH41" i="7"/>
  <c r="DG41" i="7" s="1"/>
  <c r="DS442" i="45"/>
  <c r="DS437" i="45" s="1"/>
  <c r="EE124" i="45"/>
  <c r="DT273" i="45"/>
  <c r="DS439" i="45"/>
  <c r="DS434" i="45" s="1"/>
  <c r="DS441" i="45"/>
  <c r="DS436" i="45" s="1"/>
  <c r="DZ276" i="45"/>
  <c r="DR285" i="45"/>
  <c r="DU285" i="45"/>
  <c r="ET297" i="7"/>
  <c r="EV297" i="7"/>
  <c r="EX297" i="7" s="1"/>
  <c r="EW426" i="45"/>
  <c r="X50" i="9"/>
  <c r="EC321" i="45"/>
  <c r="EC322" i="45" s="1"/>
  <c r="ED319" i="45"/>
  <c r="EE321" i="45"/>
  <c r="EE318" i="45" s="1"/>
  <c r="EG321" i="45"/>
  <c r="EG318" i="45" s="1"/>
  <c r="EM247" i="45"/>
  <c r="EL247" i="45"/>
  <c r="W48" i="9"/>
  <c r="W46" i="9"/>
  <c r="DR39" i="45"/>
  <c r="DT18" i="45"/>
  <c r="ET137" i="45"/>
  <c r="EU137" i="45" s="1"/>
  <c r="ER408" i="45"/>
  <c r="ES408" i="45"/>
  <c r="EQ252" i="7"/>
  <c r="EU252" i="7"/>
  <c r="ES252" i="7"/>
  <c r="EU275" i="7"/>
  <c r="ES275" i="7"/>
  <c r="ES68" i="8" s="1"/>
  <c r="ES246" i="7"/>
  <c r="EU246" i="7"/>
  <c r="EQ242" i="45"/>
  <c r="ES242" i="45"/>
  <c r="EV242" i="45" s="1"/>
  <c r="DR23" i="45"/>
  <c r="DR450" i="45"/>
  <c r="DY426" i="45"/>
  <c r="DR45" i="45"/>
  <c r="DR50" i="45" s="1"/>
  <c r="DO456" i="45"/>
  <c r="EO220" i="45"/>
  <c r="EQ220" i="45"/>
  <c r="DJ45" i="45"/>
  <c r="DJ55" i="45" s="1"/>
  <c r="CP117" i="8"/>
  <c r="CP18" i="8" s="1"/>
  <c r="DU276" i="7"/>
  <c r="DW276" i="7" s="1"/>
  <c r="DS276" i="7"/>
  <c r="CV86" i="8"/>
  <c r="CU293" i="7"/>
  <c r="CU86" i="8" s="1"/>
  <c r="CU88" i="8" s="1"/>
  <c r="CY295" i="7"/>
  <c r="CW293" i="7"/>
  <c r="CW86" i="8" s="1"/>
  <c r="DL296" i="7"/>
  <c r="DN296" i="7" s="1"/>
  <c r="DJ296" i="7"/>
  <c r="DR298" i="7"/>
  <c r="DT298" i="7" s="1"/>
  <c r="DP298" i="7"/>
  <c r="DL271" i="7"/>
  <c r="DN271" i="7" s="1"/>
  <c r="DJ271" i="7"/>
  <c r="EM292" i="7"/>
  <c r="EO292" i="7" s="1"/>
  <c r="EK292" i="7"/>
  <c r="DI290" i="7"/>
  <c r="DK290" i="7" s="1"/>
  <c r="DG290" i="7"/>
  <c r="DQ274" i="7"/>
  <c r="DM274" i="7"/>
  <c r="EP285" i="7"/>
  <c r="ER285" i="7" s="1"/>
  <c r="EN285" i="7"/>
  <c r="U398" i="7"/>
  <c r="U390" i="7" s="1"/>
  <c r="V390" i="7"/>
  <c r="V391" i="7" s="1"/>
  <c r="Y405" i="7"/>
  <c r="W399" i="7"/>
  <c r="W400" i="7"/>
  <c r="W398" i="7"/>
  <c r="W390" i="7" s="1"/>
  <c r="EM265" i="7"/>
  <c r="EO265" i="7" s="1"/>
  <c r="EK265" i="7"/>
  <c r="EN410" i="45"/>
  <c r="EL410" i="45"/>
  <c r="EK39" i="8"/>
  <c r="EA278" i="45"/>
  <c r="DU112" i="45"/>
  <c r="DW112" i="45" s="1"/>
  <c r="DU113" i="45"/>
  <c r="DY112" i="45"/>
  <c r="DY282" i="45"/>
  <c r="DY113" i="45" s="1"/>
  <c r="DY284" i="45"/>
  <c r="DY285" i="45" s="1"/>
  <c r="EN406" i="45"/>
  <c r="EL406" i="45"/>
  <c r="DT278" i="45"/>
  <c r="DT279" i="45" s="1"/>
  <c r="DT282" i="45"/>
  <c r="DT113" i="45" s="1"/>
  <c r="DT284" i="45"/>
  <c r="EG138" i="45"/>
  <c r="EE138" i="45"/>
  <c r="EF138" i="45" s="1"/>
  <c r="DT112" i="45"/>
  <c r="O63" i="9" s="1"/>
  <c r="AG63" i="9" s="1"/>
  <c r="EJ315" i="45"/>
  <c r="EF315" i="45"/>
  <c r="EF316" i="45" s="1"/>
  <c r="EH315" i="45"/>
  <c r="EH351" i="45" s="1"/>
  <c r="EH124" i="45" s="1"/>
  <c r="CR201" i="8"/>
  <c r="CQ345" i="7"/>
  <c r="CQ24" i="7" s="1"/>
  <c r="DL278" i="7"/>
  <c r="DN278" i="7" s="1"/>
  <c r="DJ278" i="7"/>
  <c r="DL270" i="7"/>
  <c r="DN270" i="7" s="1"/>
  <c r="DJ270" i="7"/>
  <c r="AX14" i="7"/>
  <c r="EQ409" i="45"/>
  <c r="EO409" i="45"/>
  <c r="EO39" i="8"/>
  <c r="AV14" i="7"/>
  <c r="DN58" i="7"/>
  <c r="DN57" i="7" s="1"/>
  <c r="EH238" i="45"/>
  <c r="EI229" i="45"/>
  <c r="EK229" i="45"/>
  <c r="EM229" i="45"/>
  <c r="EJ238" i="45"/>
  <c r="DZ405" i="45"/>
  <c r="BE147" i="7"/>
  <c r="EN35" i="8"/>
  <c r="EN37" i="8" s="1"/>
  <c r="BH389" i="7"/>
  <c r="BH378" i="7"/>
  <c r="BL367" i="7"/>
  <c r="BJ367" i="7"/>
  <c r="BF147" i="7"/>
  <c r="BI143" i="7" s="1"/>
  <c r="BI144" i="7" s="1"/>
  <c r="BI147" i="7" s="1"/>
  <c r="CW265" i="7"/>
  <c r="CU265" i="7"/>
  <c r="CV263" i="7"/>
  <c r="EM39" i="8"/>
  <c r="CR184" i="7"/>
  <c r="DA555" i="7"/>
  <c r="DI555" i="7"/>
  <c r="CI212" i="7"/>
  <c r="CJ211" i="7"/>
  <c r="EG258" i="7"/>
  <c r="EE258" i="7"/>
  <c r="DY369" i="45"/>
  <c r="DZ369" i="45" s="1"/>
  <c r="DZ370" i="45" s="1"/>
  <c r="AH389" i="7"/>
  <c r="AH378" i="7"/>
  <c r="AI367" i="7" s="1"/>
  <c r="AX20" i="7"/>
  <c r="ER35" i="8"/>
  <c r="ER33" i="8"/>
  <c r="EQ246" i="7"/>
  <c r="EQ33" i="8" s="1"/>
  <c r="ED153" i="8"/>
  <c r="ER68" i="8"/>
  <c r="EQ275" i="7"/>
  <c r="EQ68" i="8" s="1"/>
  <c r="EQ70" i="8" s="1"/>
  <c r="CL204" i="7"/>
  <c r="CM212" i="7"/>
  <c r="DN446" i="45"/>
  <c r="DN447" i="45" s="1"/>
  <c r="EJ274" i="7"/>
  <c r="CS192" i="7"/>
  <c r="CR193" i="7"/>
  <c r="CR158" i="8" s="1"/>
  <c r="AV20" i="7"/>
  <c r="AW393" i="7"/>
  <c r="CO260" i="7"/>
  <c r="CP261" i="7"/>
  <c r="EA241" i="7"/>
  <c r="DZ239" i="7"/>
  <c r="DI376" i="7"/>
  <c r="DK376" i="7" s="1"/>
  <c r="DK378" i="7" s="1"/>
  <c r="DS218" i="45"/>
  <c r="EP33" i="8"/>
  <c r="EP36" i="8" s="1"/>
  <c r="EP35" i="8"/>
  <c r="EP37" i="8" s="1"/>
  <c r="AX27" i="7"/>
  <c r="AX358" i="7"/>
  <c r="AX205" i="8" s="1"/>
  <c r="AX359" i="7"/>
  <c r="AX206" i="8" s="1"/>
  <c r="DC505" i="7"/>
  <c r="EM402" i="7"/>
  <c r="EO402" i="7" s="1"/>
  <c r="EK402" i="7"/>
  <c r="EA267" i="7"/>
  <c r="DY267" i="7"/>
  <c r="EP70" i="8"/>
  <c r="CY158" i="8"/>
  <c r="CT158" i="8"/>
  <c r="CT193" i="7" s="1"/>
  <c r="CT192" i="7" s="1"/>
  <c r="CT204" i="7" s="1"/>
  <c r="CT212" i="7" s="1"/>
  <c r="CT211" i="7" s="1"/>
  <c r="CT177" i="8" s="1"/>
  <c r="CV193" i="7"/>
  <c r="CV254" i="7"/>
  <c r="CT253" i="7"/>
  <c r="CT250" i="7" s="1"/>
  <c r="DD34" i="7"/>
  <c r="DE555" i="7"/>
  <c r="CS324" i="7"/>
  <c r="CS323" i="7"/>
  <c r="CS322" i="7"/>
  <c r="CS575" i="7"/>
  <c r="CR266" i="7"/>
  <c r="DU218" i="45"/>
  <c r="CL75" i="7"/>
  <c r="CL554" i="7" s="1"/>
  <c r="CL556" i="7" s="1"/>
  <c r="CM554" i="7"/>
  <c r="CM556" i="7" s="1"/>
  <c r="AY399" i="7"/>
  <c r="CR253" i="7"/>
  <c r="CS250" i="7"/>
  <c r="BF405" i="7"/>
  <c r="AV358" i="7"/>
  <c r="AV205" i="8" s="1"/>
  <c r="AV359" i="7"/>
  <c r="AV206" i="8" s="1"/>
  <c r="EA282" i="7"/>
  <c r="DY282" i="7"/>
  <c r="DZ280" i="7"/>
  <c r="DY280" i="7" s="1"/>
  <c r="CD133" i="8"/>
  <c r="CD443" i="7"/>
  <c r="CO192" i="7"/>
  <c r="CP204" i="7"/>
  <c r="DY214" i="45"/>
  <c r="DZ214" i="45" s="1"/>
  <c r="CF153" i="7"/>
  <c r="CF171" i="7"/>
  <c r="CF552" i="7"/>
  <c r="CF557" i="7" s="1"/>
  <c r="CH171" i="7"/>
  <c r="CS299" i="7"/>
  <c r="CR299" i="7" s="1"/>
  <c r="CR286" i="7"/>
  <c r="DB277" i="7"/>
  <c r="EG211" i="45"/>
  <c r="EF211" i="45"/>
  <c r="EF212" i="45" s="1"/>
  <c r="EA214" i="45"/>
  <c r="EI248" i="45"/>
  <c r="AY398" i="7"/>
  <c r="AY390" i="7" s="1"/>
  <c r="AZ390" i="7"/>
  <c r="AZ391" i="7" s="1"/>
  <c r="CZ268" i="7"/>
  <c r="CX268" i="7"/>
  <c r="CT286" i="7"/>
  <c r="CT299" i="7" s="1"/>
  <c r="CV288" i="7"/>
  <c r="DR12" i="45"/>
  <c r="DT7" i="45"/>
  <c r="DJ29" i="45"/>
  <c r="EA259" i="7"/>
  <c r="DY259" i="7"/>
  <c r="DZ256" i="7"/>
  <c r="DY256" i="7" s="1"/>
  <c r="AY400" i="7"/>
  <c r="CZ289" i="8"/>
  <c r="DJ24" i="8"/>
  <c r="DK41" i="7"/>
  <c r="DY428" i="45"/>
  <c r="DY404" i="45" s="1"/>
  <c r="EG446" i="45"/>
  <c r="CK61" i="7"/>
  <c r="CK154" i="7"/>
  <c r="EN36" i="8"/>
  <c r="CN554" i="7"/>
  <c r="CN556" i="7" s="1"/>
  <c r="AF389" i="7"/>
  <c r="AF378" i="7"/>
  <c r="AG367" i="7" s="1"/>
  <c r="EA429" i="45"/>
  <c r="DS446" i="45"/>
  <c r="DV446" i="45" s="1"/>
  <c r="CV269" i="7"/>
  <c r="CT266" i="7"/>
  <c r="DZ429" i="45"/>
  <c r="DZ432" i="45" s="1"/>
  <c r="CQ18" i="8"/>
  <c r="CQ77" i="7"/>
  <c r="DR34" i="45"/>
  <c r="CF289" i="8"/>
  <c r="CG289" i="8" s="1"/>
  <c r="BC410" i="7"/>
  <c r="BA398" i="7"/>
  <c r="BA390" i="7" s="1"/>
  <c r="BA400" i="7"/>
  <c r="BA399" i="7"/>
  <c r="DM226" i="45"/>
  <c r="AE143" i="7"/>
  <c r="AE144" i="7" s="1"/>
  <c r="AE147" i="7" s="1"/>
  <c r="AC143" i="7"/>
  <c r="AC144" i="7" s="1"/>
  <c r="AC147" i="7" s="1"/>
  <c r="AD143" i="7" s="1"/>
  <c r="AD144" i="7" s="1"/>
  <c r="AD147" i="7" s="1"/>
  <c r="EF294" i="7"/>
  <c r="DN24" i="8"/>
  <c r="DO24" i="8"/>
  <c r="DL41" i="7"/>
  <c r="DL34" i="7" s="1"/>
  <c r="DV276" i="7" l="1"/>
  <c r="DX276" i="7"/>
  <c r="EM425" i="45"/>
  <c r="EL425" i="45"/>
  <c r="EL420" i="45" s="1"/>
  <c r="EK361" i="45"/>
  <c r="EI361" i="45"/>
  <c r="DZ215" i="45"/>
  <c r="DT285" i="45"/>
  <c r="DW285" i="45"/>
  <c r="DV200" i="45"/>
  <c r="DV218" i="45"/>
  <c r="DW279" i="45"/>
  <c r="EK208" i="8"/>
  <c r="EL208" i="8" s="1"/>
  <c r="EK351" i="7"/>
  <c r="EN203" i="8"/>
  <c r="EM350" i="7"/>
  <c r="EW242" i="45"/>
  <c r="EY242" i="45"/>
  <c r="EZ242" i="45" s="1"/>
  <c r="EZ137" i="45"/>
  <c r="FA137" i="45" s="1"/>
  <c r="EW297" i="7"/>
  <c r="EY297" i="7"/>
  <c r="FA297" i="7" s="1"/>
  <c r="EZ297" i="7" s="1"/>
  <c r="DJ39" i="45"/>
  <c r="DH34" i="7"/>
  <c r="DG34" i="7" s="1"/>
  <c r="O51" i="9"/>
  <c r="ET252" i="7"/>
  <c r="EX252" i="7"/>
  <c r="EV252" i="7"/>
  <c r="EX275" i="7"/>
  <c r="EV275" i="7"/>
  <c r="EV68" i="8" s="1"/>
  <c r="EV246" i="7"/>
  <c r="EX246" i="7"/>
  <c r="EU408" i="45"/>
  <c r="EV408" i="45"/>
  <c r="EE319" i="45"/>
  <c r="EF318" i="45"/>
  <c r="EF319" i="45" s="1"/>
  <c r="EF321" i="45"/>
  <c r="EF322" i="45" s="1"/>
  <c r="EH321" i="45"/>
  <c r="EH318" i="45" s="1"/>
  <c r="EG319" i="45"/>
  <c r="EJ321" i="45"/>
  <c r="EJ318" i="45" s="1"/>
  <c r="EP247" i="45"/>
  <c r="EO247" i="45"/>
  <c r="EU153" i="45"/>
  <c r="EX154" i="45" s="1"/>
  <c r="ER70" i="8"/>
  <c r="ES70" i="8"/>
  <c r="ER37" i="8"/>
  <c r="EQ285" i="7"/>
  <c r="ES285" i="7"/>
  <c r="EU285" i="7" s="1"/>
  <c r="ER220" i="45"/>
  <c r="ET220" i="45"/>
  <c r="EW220" i="45" s="1"/>
  <c r="EZ220" i="45" s="1"/>
  <c r="ET242" i="45"/>
  <c r="ET275" i="7"/>
  <c r="ET68" i="8" s="1"/>
  <c r="ET70" i="8" s="1"/>
  <c r="EU68" i="8"/>
  <c r="EU35" i="8"/>
  <c r="EU33" i="8"/>
  <c r="ET246" i="7"/>
  <c r="ET33" i="8" s="1"/>
  <c r="ER36" i="8"/>
  <c r="ER39" i="8" s="1"/>
  <c r="ER409" i="45"/>
  <c r="ET409" i="45"/>
  <c r="ES33" i="8"/>
  <c r="ES35" i="8"/>
  <c r="ES37" i="8" s="1"/>
  <c r="CP77" i="7"/>
  <c r="DR456" i="45"/>
  <c r="DR55" i="45"/>
  <c r="DK45" i="45"/>
  <c r="DK55" i="45" s="1"/>
  <c r="BY26" i="8"/>
  <c r="DS63" i="45"/>
  <c r="CX295" i="7"/>
  <c r="CZ295" i="7"/>
  <c r="CY293" i="7"/>
  <c r="DU298" i="7"/>
  <c r="DW298" i="7" s="1"/>
  <c r="DX298" i="7" s="1"/>
  <c r="DS298" i="7"/>
  <c r="CV88" i="8"/>
  <c r="DO296" i="7"/>
  <c r="DQ296" i="7" s="1"/>
  <c r="DM296" i="7"/>
  <c r="CW88" i="8"/>
  <c r="DZ276" i="7"/>
  <c r="EP292" i="7"/>
  <c r="ER292" i="7" s="1"/>
  <c r="EN292" i="7"/>
  <c r="DO271" i="7"/>
  <c r="DQ271" i="7" s="1"/>
  <c r="DM271" i="7"/>
  <c r="DP274" i="7"/>
  <c r="DT274" i="7"/>
  <c r="DW274" i="7" s="1"/>
  <c r="DV274" i="7" s="1"/>
  <c r="DL290" i="7"/>
  <c r="DN290" i="7" s="1"/>
  <c r="DJ290" i="7"/>
  <c r="U393" i="7"/>
  <c r="V393" i="7" s="1"/>
  <c r="U391" i="7"/>
  <c r="W393" i="7"/>
  <c r="W391" i="7"/>
  <c r="Z405" i="7"/>
  <c r="Y399" i="7"/>
  <c r="X399" i="7" s="1"/>
  <c r="Y400" i="7"/>
  <c r="X400" i="7" s="1"/>
  <c r="Y398" i="7"/>
  <c r="EP265" i="7"/>
  <c r="ER265" i="7" s="1"/>
  <c r="EN265" i="7"/>
  <c r="EQ410" i="45"/>
  <c r="EO410" i="45"/>
  <c r="EP39" i="8"/>
  <c r="ED278" i="45"/>
  <c r="DZ281" i="45"/>
  <c r="EJ138" i="45"/>
  <c r="EH138" i="45"/>
  <c r="EI138" i="45" s="1"/>
  <c r="EQ406" i="45"/>
  <c r="EO406" i="45"/>
  <c r="EH278" i="45"/>
  <c r="P63" i="9"/>
  <c r="AH63" i="9" s="1"/>
  <c r="DK389" i="7"/>
  <c r="CS201" i="8"/>
  <c r="CT201" i="8" s="1"/>
  <c r="CR345" i="7"/>
  <c r="CR24" i="7" s="1"/>
  <c r="EI315" i="45"/>
  <c r="EI316" i="45" s="1"/>
  <c r="EK315" i="45"/>
  <c r="EK351" i="45" s="1"/>
  <c r="EK124" i="45" s="1"/>
  <c r="EM315" i="45"/>
  <c r="DO278" i="7"/>
  <c r="DQ278" i="7" s="1"/>
  <c r="DM278" i="7"/>
  <c r="DO270" i="7"/>
  <c r="DQ270" i="7" s="1"/>
  <c r="DM270" i="7"/>
  <c r="EN39" i="8"/>
  <c r="CS115" i="8"/>
  <c r="CS116" i="8" s="1"/>
  <c r="CS117" i="8" s="1"/>
  <c r="BA25" i="7"/>
  <c r="AY25" i="7"/>
  <c r="DM58" i="7"/>
  <c r="EN229" i="45"/>
  <c r="EL229" i="45"/>
  <c r="EK238" i="45"/>
  <c r="EM238" i="45"/>
  <c r="EP229" i="45"/>
  <c r="CV184" i="7"/>
  <c r="CU263" i="7"/>
  <c r="DI393" i="7"/>
  <c r="DI20" i="7" s="1"/>
  <c r="CW263" i="7"/>
  <c r="CW184" i="7" s="1"/>
  <c r="CY265" i="7"/>
  <c r="BJ143" i="7"/>
  <c r="BJ144" i="7" s="1"/>
  <c r="BJ147" i="7" s="1"/>
  <c r="BK143" i="7" s="1"/>
  <c r="BK144" i="7" s="1"/>
  <c r="BK147" i="7" s="1"/>
  <c r="BL143" i="7"/>
  <c r="BL144" i="7" s="1"/>
  <c r="BL147" i="7" s="1"/>
  <c r="BJ378" i="7"/>
  <c r="BJ389" i="7"/>
  <c r="AZ25" i="7"/>
  <c r="BL389" i="7"/>
  <c r="BL378" i="7"/>
  <c r="DL555" i="7"/>
  <c r="EQ36" i="8"/>
  <c r="DD555" i="7"/>
  <c r="EQ35" i="8"/>
  <c r="EQ37" i="8" s="1"/>
  <c r="DR24" i="8"/>
  <c r="DQ24" i="8"/>
  <c r="DO41" i="7"/>
  <c r="DO34" i="7" s="1"/>
  <c r="DM24" i="8"/>
  <c r="DN41" i="7"/>
  <c r="CQ75" i="7"/>
  <c r="CQ167" i="7"/>
  <c r="CW269" i="7"/>
  <c r="CU269" i="7"/>
  <c r="CV266" i="7"/>
  <c r="BA12" i="7"/>
  <c r="AG378" i="7"/>
  <c r="AG389" i="7"/>
  <c r="EC259" i="7"/>
  <c r="EA256" i="7"/>
  <c r="DB268" i="7"/>
  <c r="AY393" i="7"/>
  <c r="AY141" i="7" s="1"/>
  <c r="AY15" i="7" s="1"/>
  <c r="AY391" i="7"/>
  <c r="DC277" i="7"/>
  <c r="DA277" i="7"/>
  <c r="CP212" i="7"/>
  <c r="CO204" i="7"/>
  <c r="CE404" i="7"/>
  <c r="CF404" i="7" s="1"/>
  <c r="CE443" i="7"/>
  <c r="CE133" i="8"/>
  <c r="CS204" i="7"/>
  <c r="CR192" i="7"/>
  <c r="AI389" i="7"/>
  <c r="AI378" i="7"/>
  <c r="AJ367" i="7" s="1"/>
  <c r="BD410" i="7"/>
  <c r="BC400" i="7"/>
  <c r="BC398" i="7"/>
  <c r="BC399" i="7"/>
  <c r="EG294" i="7"/>
  <c r="EE294" i="7"/>
  <c r="AH143" i="7"/>
  <c r="AH144" i="7" s="1"/>
  <c r="AF143" i="7"/>
  <c r="AF144" i="7" s="1"/>
  <c r="AF147" i="7" s="1"/>
  <c r="AG143" i="7" s="1"/>
  <c r="AG144" i="7" s="1"/>
  <c r="AG147" i="7" s="1"/>
  <c r="DM227" i="45"/>
  <c r="DN226" i="45"/>
  <c r="BA393" i="7"/>
  <c r="BA15" i="7" s="1"/>
  <c r="BA391" i="7"/>
  <c r="EA405" i="45"/>
  <c r="DJ41" i="7"/>
  <c r="DK34" i="7"/>
  <c r="DA289" i="8"/>
  <c r="DB289" i="8" s="1"/>
  <c r="BG405" i="7"/>
  <c r="CW158" i="8"/>
  <c r="CW193" i="7" s="1"/>
  <c r="DB158" i="8"/>
  <c r="EP402" i="7"/>
  <c r="ER402" i="7" s="1"/>
  <c r="EN402" i="7"/>
  <c r="DN181" i="7"/>
  <c r="DM181" i="7" s="1"/>
  <c r="DM57" i="7"/>
  <c r="EM274" i="7"/>
  <c r="CL212" i="7"/>
  <c r="CM211" i="7"/>
  <c r="DL223" i="45"/>
  <c r="DL200" i="45"/>
  <c r="EB429" i="45"/>
  <c r="EB405" i="45" s="1"/>
  <c r="CW288" i="7"/>
  <c r="CV286" i="7"/>
  <c r="CU288" i="7"/>
  <c r="EC267" i="7"/>
  <c r="DC504" i="7"/>
  <c r="CO261" i="7"/>
  <c r="EA369" i="45"/>
  <c r="DY370" i="45"/>
  <c r="DZ428" i="45"/>
  <c r="DZ431" i="45" s="1"/>
  <c r="CR250" i="7"/>
  <c r="CS260" i="7"/>
  <c r="X47" i="9" s="1"/>
  <c r="CR324" i="7"/>
  <c r="CR522" i="7" s="1"/>
  <c r="CS522" i="7"/>
  <c r="CS523" i="7" s="1"/>
  <c r="CT260" i="7"/>
  <c r="CT261" i="7" s="1"/>
  <c r="DY239" i="7"/>
  <c r="AW20" i="7"/>
  <c r="AW141" i="7"/>
  <c r="AW15" i="7" s="1"/>
  <c r="AW17" i="7"/>
  <c r="CT115" i="8"/>
  <c r="CT116" i="8" s="1"/>
  <c r="CT117" i="8" s="1"/>
  <c r="CT324" i="7"/>
  <c r="CT522" i="7" s="1"/>
  <c r="CT323" i="7"/>
  <c r="CT322" i="7"/>
  <c r="CT575" i="7"/>
  <c r="CK153" i="7"/>
  <c r="CK552" i="7"/>
  <c r="CK557" i="7" s="1"/>
  <c r="AY12" i="7"/>
  <c r="EL248" i="45"/>
  <c r="EJ211" i="45"/>
  <c r="EI211" i="45"/>
  <c r="EI212" i="45" s="1"/>
  <c r="DY217" i="45"/>
  <c r="EB214" i="45"/>
  <c r="EC214" i="45" s="1"/>
  <c r="EC215" i="45" s="1"/>
  <c r="EC282" i="7"/>
  <c r="EA280" i="7"/>
  <c r="CM4" i="8"/>
  <c r="CM10" i="8" s="1"/>
  <c r="CM69" i="7"/>
  <c r="CM179" i="7"/>
  <c r="CN173" i="7"/>
  <c r="CM339" i="7"/>
  <c r="CM325" i="7"/>
  <c r="CM337" i="7"/>
  <c r="CK177" i="7"/>
  <c r="CV253" i="7"/>
  <c r="Y45" i="9" s="1"/>
  <c r="CW254" i="7"/>
  <c r="CU254" i="7"/>
  <c r="CN4" i="8"/>
  <c r="CN10" i="8" s="1"/>
  <c r="CN69" i="7"/>
  <c r="CN155" i="7"/>
  <c r="CN337" i="7"/>
  <c r="CN179" i="7"/>
  <c r="CN339" i="7"/>
  <c r="CN325" i="7"/>
  <c r="EA428" i="45"/>
  <c r="DJ34" i="45"/>
  <c r="DK29" i="45"/>
  <c r="DD505" i="7"/>
  <c r="EJ446" i="45"/>
  <c r="ED214" i="45"/>
  <c r="EA217" i="45"/>
  <c r="DL367" i="7"/>
  <c r="DL376" i="7" s="1"/>
  <c r="DN367" i="7"/>
  <c r="CR115" i="8"/>
  <c r="CR323" i="7"/>
  <c r="CR322" i="7"/>
  <c r="CR575" i="7"/>
  <c r="CV192" i="7"/>
  <c r="CU193" i="7"/>
  <c r="CU158" i="8" s="1"/>
  <c r="EC241" i="7"/>
  <c r="EA239" i="7"/>
  <c r="EE153" i="8"/>
  <c r="EF153" i="8" s="1"/>
  <c r="EI258" i="7"/>
  <c r="CJ177" i="8"/>
  <c r="CI211" i="7"/>
  <c r="CI177" i="8" s="1"/>
  <c r="EP425" i="45" l="1"/>
  <c r="EO425" i="45"/>
  <c r="EO420" i="45" s="1"/>
  <c r="DH555" i="7"/>
  <c r="EN361" i="45"/>
  <c r="EL361" i="45"/>
  <c r="DV298" i="7"/>
  <c r="DW211" i="7"/>
  <c r="EM208" i="8"/>
  <c r="EM351" i="7"/>
  <c r="EP203" i="8"/>
  <c r="EN350" i="7"/>
  <c r="EY246" i="7"/>
  <c r="FA246" i="7"/>
  <c r="FA220" i="45"/>
  <c r="EX408" i="45"/>
  <c r="EY408" i="45"/>
  <c r="FA408" i="45" s="1"/>
  <c r="EW252" i="7"/>
  <c r="FA252" i="7"/>
  <c r="EZ252" i="7" s="1"/>
  <c r="EY252" i="7"/>
  <c r="FA275" i="7"/>
  <c r="EY275" i="7"/>
  <c r="EY68" i="8" s="1"/>
  <c r="EV33" i="8"/>
  <c r="EV36" i="8" s="1"/>
  <c r="EV35" i="8"/>
  <c r="EV37" i="8" s="1"/>
  <c r="EW275" i="7"/>
  <c r="EW68" i="8" s="1"/>
  <c r="EW70" i="8" s="1"/>
  <c r="EX68" i="8"/>
  <c r="EU70" i="8"/>
  <c r="EV70" i="8"/>
  <c r="EU36" i="8"/>
  <c r="EU39" i="8" s="1"/>
  <c r="EU37" i="8"/>
  <c r="ET285" i="7"/>
  <c r="EV285" i="7"/>
  <c r="EX285" i="7" s="1"/>
  <c r="EX33" i="8"/>
  <c r="EX36" i="8" s="1"/>
  <c r="EW246" i="7"/>
  <c r="EW33" i="8" s="1"/>
  <c r="EX35" i="8"/>
  <c r="EX220" i="45"/>
  <c r="EU409" i="45"/>
  <c r="EW409" i="45"/>
  <c r="DK390" i="7"/>
  <c r="DK391" i="7" s="1"/>
  <c r="Y50" i="9"/>
  <c r="EH319" i="45"/>
  <c r="EI318" i="45"/>
  <c r="EI319" i="45" s="1"/>
  <c r="EI321" i="45"/>
  <c r="EI322" i="45" s="1"/>
  <c r="EJ319" i="45"/>
  <c r="EK321" i="45"/>
  <c r="EK318" i="45" s="1"/>
  <c r="EK319" i="45" s="1"/>
  <c r="EM321" i="45"/>
  <c r="EM318" i="45" s="1"/>
  <c r="ER247" i="45"/>
  <c r="ES247" i="45"/>
  <c r="X46" i="9"/>
  <c r="X48" i="9"/>
  <c r="DK39" i="45"/>
  <c r="ET35" i="8"/>
  <c r="ET37" i="8" s="1"/>
  <c r="ET36" i="8"/>
  <c r="EP238" i="45"/>
  <c r="ES229" i="45"/>
  <c r="EQ292" i="7"/>
  <c r="ES292" i="7"/>
  <c r="EU292" i="7" s="1"/>
  <c r="ES36" i="8"/>
  <c r="ES39" i="8" s="1"/>
  <c r="EQ402" i="7"/>
  <c r="ES402" i="7"/>
  <c r="EU402" i="7" s="1"/>
  <c r="EU220" i="45"/>
  <c r="EU221" i="45" s="1"/>
  <c r="ER406" i="45"/>
  <c r="ET406" i="45"/>
  <c r="ER410" i="45"/>
  <c r="ET410" i="45"/>
  <c r="EQ265" i="7"/>
  <c r="ES265" i="7"/>
  <c r="EU265" i="7" s="1"/>
  <c r="CP75" i="7"/>
  <c r="E28" i="9" s="1"/>
  <c r="CP167" i="7"/>
  <c r="CO77" i="7"/>
  <c r="CO167" i="7" s="1"/>
  <c r="BY28" i="8"/>
  <c r="DS62" i="45"/>
  <c r="EQ39" i="8"/>
  <c r="EA276" i="7"/>
  <c r="EC276" i="7" s="1"/>
  <c r="DY276" i="7"/>
  <c r="DZ298" i="7"/>
  <c r="CY86" i="8"/>
  <c r="CX293" i="7"/>
  <c r="CX86" i="8" s="1"/>
  <c r="CX88" i="8" s="1"/>
  <c r="DR296" i="7"/>
  <c r="DT296" i="7" s="1"/>
  <c r="DP296" i="7"/>
  <c r="DB295" i="7"/>
  <c r="CZ293" i="7"/>
  <c r="CZ86" i="8" s="1"/>
  <c r="DR271" i="7"/>
  <c r="DT271" i="7" s="1"/>
  <c r="DP271" i="7"/>
  <c r="DO290" i="7"/>
  <c r="DQ290" i="7" s="1"/>
  <c r="DM290" i="7"/>
  <c r="DS274" i="7"/>
  <c r="X398" i="7"/>
  <c r="X390" i="7" s="1"/>
  <c r="Y390" i="7"/>
  <c r="Y391" i="7" s="1"/>
  <c r="AB405" i="7"/>
  <c r="Z400" i="7"/>
  <c r="Z399" i="7"/>
  <c r="Z398" i="7"/>
  <c r="Z390" i="7" s="1"/>
  <c r="CR116" i="8"/>
  <c r="CR117" i="8" s="1"/>
  <c r="CR18" i="8" s="1"/>
  <c r="DZ112" i="45"/>
  <c r="Q63" i="9" s="1"/>
  <c r="AI63" i="9" s="1"/>
  <c r="DY407" i="45"/>
  <c r="EM138" i="45"/>
  <c r="EK138" i="45"/>
  <c r="EL138" i="45" s="1"/>
  <c r="DZ278" i="45"/>
  <c r="DZ279" i="45" s="1"/>
  <c r="DZ284" i="45"/>
  <c r="DZ285" i="45" s="1"/>
  <c r="DZ282" i="45"/>
  <c r="DZ113" i="45" s="1"/>
  <c r="EK278" i="45"/>
  <c r="EG278" i="45"/>
  <c r="CU201" i="8"/>
  <c r="CT345" i="7"/>
  <c r="CT24" i="7" s="1"/>
  <c r="EP315" i="45"/>
  <c r="EL315" i="45"/>
  <c r="EL316" i="45" s="1"/>
  <c r="EN315" i="45"/>
  <c r="EN351" i="45" s="1"/>
  <c r="EN124" i="45" s="1"/>
  <c r="DR278" i="7"/>
  <c r="DT278" i="7" s="1"/>
  <c r="DP278" i="7"/>
  <c r="DR270" i="7"/>
  <c r="DT270" i="7" s="1"/>
  <c r="DP270" i="7"/>
  <c r="EC429" i="45"/>
  <c r="EC432" i="45" s="1"/>
  <c r="EO229" i="45"/>
  <c r="EN238" i="45"/>
  <c r="EQ229" i="45"/>
  <c r="ET229" i="45" s="1"/>
  <c r="EW229" i="45" s="1"/>
  <c r="EZ229" i="45" s="1"/>
  <c r="CY263" i="7"/>
  <c r="CX265" i="7"/>
  <c r="CZ265" i="7"/>
  <c r="AY14" i="7"/>
  <c r="BK367" i="7"/>
  <c r="BJ342" i="7"/>
  <c r="BJ344" i="7"/>
  <c r="BL342" i="7"/>
  <c r="BM367" i="7"/>
  <c r="BO367" i="7"/>
  <c r="BO143" i="7"/>
  <c r="BO144" i="7" s="1"/>
  <c r="BO147" i="7" s="1"/>
  <c r="BM143" i="7"/>
  <c r="BM144" i="7" s="1"/>
  <c r="BM147" i="7" s="1"/>
  <c r="BN143" i="7" s="1"/>
  <c r="BN144" i="7" s="1"/>
  <c r="BN147" i="7" s="1"/>
  <c r="CU184" i="7"/>
  <c r="DG555" i="7"/>
  <c r="BA20" i="7"/>
  <c r="EI294" i="7"/>
  <c r="BF410" i="7"/>
  <c r="BD399" i="7"/>
  <c r="BD398" i="7"/>
  <c r="BD390" i="7" s="1"/>
  <c r="BD400" i="7"/>
  <c r="CR204" i="7"/>
  <c r="CS212" i="7"/>
  <c r="ED259" i="7"/>
  <c r="EB259" i="7"/>
  <c r="EC256" i="7"/>
  <c r="EB256" i="7" s="1"/>
  <c r="DD504" i="7"/>
  <c r="CV250" i="7"/>
  <c r="CU253" i="7"/>
  <c r="CL4" i="8"/>
  <c r="CL10" i="8" s="1"/>
  <c r="CL177" i="7"/>
  <c r="CL339" i="7"/>
  <c r="CL325" i="7"/>
  <c r="CL173" i="7"/>
  <c r="CL337" i="7"/>
  <c r="CT18" i="8"/>
  <c r="CT77" i="7"/>
  <c r="DL201" i="45"/>
  <c r="DJ34" i="7"/>
  <c r="DK555" i="7"/>
  <c r="DE277" i="7"/>
  <c r="CV324" i="7"/>
  <c r="CU266" i="7"/>
  <c r="CV575" i="7"/>
  <c r="CV323" i="7"/>
  <c r="CV322" i="7"/>
  <c r="DT446" i="45"/>
  <c r="CS18" i="8"/>
  <c r="CS77" i="7"/>
  <c r="EM446" i="45"/>
  <c r="DM189" i="7"/>
  <c r="DM367" i="7"/>
  <c r="CL179" i="7"/>
  <c r="EP274" i="7"/>
  <c r="ES274" i="7" s="1"/>
  <c r="EV274" i="7" s="1"/>
  <c r="EY274" i="7" s="1"/>
  <c r="CP211" i="7"/>
  <c r="CO212" i="7"/>
  <c r="DC268" i="7"/>
  <c r="DA268" i="7"/>
  <c r="DY446" i="45"/>
  <c r="DY445" i="45" s="1"/>
  <c r="CY254" i="7"/>
  <c r="CW253" i="7"/>
  <c r="CW250" i="7" s="1"/>
  <c r="DY218" i="45"/>
  <c r="EG153" i="8"/>
  <c r="AY27" i="7"/>
  <c r="AY358" i="7"/>
  <c r="AY205" i="8" s="1"/>
  <c r="AY359" i="7"/>
  <c r="AY206" i="8" s="1"/>
  <c r="DE504" i="7"/>
  <c r="DL224" i="45"/>
  <c r="DC289" i="8"/>
  <c r="DN227" i="45"/>
  <c r="DN241" i="45"/>
  <c r="BB399" i="7"/>
  <c r="BA27" i="7"/>
  <c r="BA358" i="7"/>
  <c r="BA359" i="7"/>
  <c r="EJ258" i="7"/>
  <c r="EH258" i="7"/>
  <c r="EA218" i="45"/>
  <c r="DK34" i="45"/>
  <c r="ED287" i="7"/>
  <c r="ED282" i="7"/>
  <c r="EB282" i="7"/>
  <c r="EC280" i="7"/>
  <c r="EB280" i="7" s="1"/>
  <c r="EO248" i="45"/>
  <c r="DN220" i="45"/>
  <c r="DM223" i="45"/>
  <c r="DM224" i="45" s="1"/>
  <c r="DM200" i="45"/>
  <c r="CU286" i="7"/>
  <c r="CV299" i="7"/>
  <c r="CU299" i="7" s="1"/>
  <c r="ED429" i="45"/>
  <c r="DO223" i="45"/>
  <c r="DO200" i="45"/>
  <c r="CM177" i="8"/>
  <c r="CL211" i="7"/>
  <c r="CL177" i="8" s="1"/>
  <c r="DE158" i="8"/>
  <c r="CZ158" i="8"/>
  <c r="CZ193" i="7" s="1"/>
  <c r="BB398" i="7"/>
  <c r="BB390" i="7" s="1"/>
  <c r="BC390" i="7"/>
  <c r="BC391" i="7" s="1"/>
  <c r="AJ378" i="7"/>
  <c r="AJ389" i="7"/>
  <c r="BA14" i="7"/>
  <c r="CY269" i="7"/>
  <c r="CW266" i="7"/>
  <c r="CQ554" i="7"/>
  <c r="CQ556" i="7" s="1"/>
  <c r="DP24" i="8"/>
  <c r="DQ41" i="7"/>
  <c r="DE505" i="7"/>
  <c r="EB369" i="45"/>
  <c r="EA370" i="45"/>
  <c r="BV30" i="7"/>
  <c r="EC239" i="7"/>
  <c r="ED241" i="7"/>
  <c r="EB241" i="7"/>
  <c r="CU192" i="7"/>
  <c r="CV204" i="7"/>
  <c r="ED217" i="45"/>
  <c r="EG214" i="45"/>
  <c r="EB428" i="45"/>
  <c r="EB404" i="45" s="1"/>
  <c r="CN61" i="7"/>
  <c r="CN154" i="7"/>
  <c r="CM61" i="7"/>
  <c r="CL69" i="7"/>
  <c r="EB217" i="45"/>
  <c r="EE214" i="45"/>
  <c r="EF214" i="45" s="1"/>
  <c r="EF215" i="45" s="1"/>
  <c r="EL211" i="45"/>
  <c r="EL212" i="45" s="1"/>
  <c r="EM211" i="45"/>
  <c r="CR260" i="7"/>
  <c r="CS261" i="7"/>
  <c r="ED267" i="7"/>
  <c r="EB267" i="7"/>
  <c r="CY288" i="7"/>
  <c r="CW286" i="7"/>
  <c r="CW299" i="7" s="1"/>
  <c r="CX193" i="7"/>
  <c r="CX158" i="8" s="1"/>
  <c r="CW192" i="7"/>
  <c r="CX192" i="7" s="1"/>
  <c r="BI405" i="7"/>
  <c r="EC405" i="45"/>
  <c r="BB400" i="7"/>
  <c r="CF443" i="7"/>
  <c r="AY20" i="7"/>
  <c r="AZ393" i="7"/>
  <c r="AZ15" i="7" s="1"/>
  <c r="BA141" i="7"/>
  <c r="DM41" i="7"/>
  <c r="DN34" i="7"/>
  <c r="DT24" i="8"/>
  <c r="DU24" i="8"/>
  <c r="DR41" i="7"/>
  <c r="DR34" i="7" s="1"/>
  <c r="DW24" i="8" l="1"/>
  <c r="DX24" i="8"/>
  <c r="DX41" i="7" s="1"/>
  <c r="DX34" i="7" s="1"/>
  <c r="ES425" i="45"/>
  <c r="ER425" i="45"/>
  <c r="ER420" i="45" s="1"/>
  <c r="EQ361" i="45"/>
  <c r="EO361" i="45"/>
  <c r="DV24" i="8"/>
  <c r="DW41" i="7"/>
  <c r="DV211" i="7"/>
  <c r="DW212" i="7"/>
  <c r="EN208" i="8"/>
  <c r="EO208" i="8" s="1"/>
  <c r="EN351" i="7"/>
  <c r="EQ203" i="8"/>
  <c r="EP350" i="7"/>
  <c r="FA221" i="45"/>
  <c r="EW285" i="7"/>
  <c r="EY285" i="7"/>
  <c r="EZ238" i="45"/>
  <c r="FA229" i="45"/>
  <c r="EX409" i="45"/>
  <c r="EZ409" i="45"/>
  <c r="FA409" i="45" s="1"/>
  <c r="EX37" i="8"/>
  <c r="FA68" i="8"/>
  <c r="FA70" i="8" s="1"/>
  <c r="EZ275" i="7"/>
  <c r="EZ68" i="8" s="1"/>
  <c r="EZ70" i="8" s="1"/>
  <c r="FA33" i="8"/>
  <c r="FA36" i="8" s="1"/>
  <c r="FA35" i="8"/>
  <c r="FA37" i="8" s="1"/>
  <c r="EZ246" i="7"/>
  <c r="EZ33" i="8" s="1"/>
  <c r="EX70" i="8"/>
  <c r="EY70" i="8"/>
  <c r="EY33" i="8"/>
  <c r="EY36" i="8" s="1"/>
  <c r="EY35" i="8"/>
  <c r="DJ390" i="7"/>
  <c r="DJ393" i="7" s="1"/>
  <c r="EX39" i="8"/>
  <c r="EW35" i="8"/>
  <c r="EW37" i="8" s="1"/>
  <c r="EW36" i="8"/>
  <c r="ET402" i="7"/>
  <c r="EV402" i="7"/>
  <c r="EX402" i="7" s="1"/>
  <c r="EV39" i="8"/>
  <c r="ET265" i="7"/>
  <c r="EV265" i="7"/>
  <c r="EX265" i="7" s="1"/>
  <c r="ET292" i="7"/>
  <c r="EV292" i="7"/>
  <c r="EX292" i="7" s="1"/>
  <c r="EU406" i="45"/>
  <c r="EW406" i="45"/>
  <c r="EX229" i="45"/>
  <c r="EW238" i="45"/>
  <c r="EX221" i="45"/>
  <c r="EU410" i="45"/>
  <c r="EW410" i="45"/>
  <c r="ES238" i="45"/>
  <c r="EV229" i="45"/>
  <c r="EU247" i="45"/>
  <c r="EV247" i="45"/>
  <c r="EY247" i="45" s="1"/>
  <c r="EM319" i="45"/>
  <c r="EN321" i="45"/>
  <c r="EN318" i="45" s="1"/>
  <c r="EN319" i="45" s="1"/>
  <c r="ES315" i="45"/>
  <c r="EP321" i="45"/>
  <c r="EP318" i="45" s="1"/>
  <c r="EL321" i="45"/>
  <c r="EL322" i="45" s="1"/>
  <c r="EL318" i="45"/>
  <c r="EL319" i="45" s="1"/>
  <c r="CO75" i="7"/>
  <c r="CO554" i="7" s="1"/>
  <c r="CO556" i="7" s="1"/>
  <c r="ET39" i="8"/>
  <c r="EB426" i="45"/>
  <c r="ET238" i="45"/>
  <c r="EU229" i="45"/>
  <c r="DY411" i="45"/>
  <c r="DY18" i="45" s="1"/>
  <c r="DY7" i="45"/>
  <c r="CP554" i="7"/>
  <c r="CP556" i="7" s="1"/>
  <c r="DN238" i="45"/>
  <c r="EO315" i="45"/>
  <c r="EO316" i="45" s="1"/>
  <c r="BZ26" i="8"/>
  <c r="DS45" i="45"/>
  <c r="DV50" i="45" s="1"/>
  <c r="DT63" i="45"/>
  <c r="DT62" i="45"/>
  <c r="CY88" i="8"/>
  <c r="CZ88" i="8"/>
  <c r="DC295" i="7"/>
  <c r="DB293" i="7"/>
  <c r="DA295" i="7"/>
  <c r="EA298" i="7"/>
  <c r="EC298" i="7" s="1"/>
  <c r="DY298" i="7"/>
  <c r="DU296" i="7"/>
  <c r="DW296" i="7" s="1"/>
  <c r="DS296" i="7"/>
  <c r="ED276" i="7"/>
  <c r="EF276" i="7" s="1"/>
  <c r="EB276" i="7"/>
  <c r="DS271" i="7"/>
  <c r="DU271" i="7"/>
  <c r="DW271" i="7" s="1"/>
  <c r="DR290" i="7"/>
  <c r="DT290" i="7" s="1"/>
  <c r="DP290" i="7"/>
  <c r="DZ274" i="7"/>
  <c r="AC405" i="7"/>
  <c r="AB399" i="7"/>
  <c r="AA399" i="7" s="1"/>
  <c r="AB400" i="7"/>
  <c r="AA400" i="7" s="1"/>
  <c r="AB398" i="7"/>
  <c r="DM376" i="7"/>
  <c r="DN376" i="7" s="1"/>
  <c r="DN378" i="7" s="1"/>
  <c r="DO367" i="7" s="1"/>
  <c r="Z393" i="7"/>
  <c r="Z391" i="7"/>
  <c r="X393" i="7"/>
  <c r="Y393" i="7" s="1"/>
  <c r="X391" i="7"/>
  <c r="EJ278" i="45"/>
  <c r="EN138" i="45"/>
  <c r="EO138" i="45" s="1"/>
  <c r="EP138" i="45"/>
  <c r="ES138" i="45" s="1"/>
  <c r="EV138" i="45" s="1"/>
  <c r="EY138" i="45" s="1"/>
  <c r="EZ138" i="45" s="1"/>
  <c r="FA138" i="45" s="1"/>
  <c r="EN278" i="45"/>
  <c r="DF505" i="7"/>
  <c r="EQ315" i="45"/>
  <c r="EQ351" i="45" s="1"/>
  <c r="CV201" i="8"/>
  <c r="CW201" i="8" s="1"/>
  <c r="CU345" i="7"/>
  <c r="CU24" i="7" s="1"/>
  <c r="DU278" i="7"/>
  <c r="DW278" i="7" s="1"/>
  <c r="DS278" i="7"/>
  <c r="DU270" i="7"/>
  <c r="DW270" i="7" s="1"/>
  <c r="DS270" i="7"/>
  <c r="ER229" i="45"/>
  <c r="EQ238" i="45"/>
  <c r="BR143" i="7"/>
  <c r="BR144" i="7" s="1"/>
  <c r="BR147" i="7" s="1"/>
  <c r="BP143" i="7"/>
  <c r="BP144" i="7" s="1"/>
  <c r="BP147" i="7" s="1"/>
  <c r="BQ143" i="7" s="1"/>
  <c r="BQ144" i="7" s="1"/>
  <c r="BQ147" i="7" s="1"/>
  <c r="BO389" i="7"/>
  <c r="BO378" i="7"/>
  <c r="BK389" i="7"/>
  <c r="BK378" i="7"/>
  <c r="BM378" i="7"/>
  <c r="BM389" i="7"/>
  <c r="BK342" i="7"/>
  <c r="DB265" i="7"/>
  <c r="CZ263" i="7"/>
  <c r="CZ184" i="7" s="1"/>
  <c r="CX263" i="7"/>
  <c r="CY184" i="7"/>
  <c r="DJ555" i="7"/>
  <c r="DM34" i="7"/>
  <c r="DN555" i="7"/>
  <c r="EF267" i="7"/>
  <c r="EB218" i="45"/>
  <c r="ED428" i="45"/>
  <c r="CV212" i="7"/>
  <c r="CU204" i="7"/>
  <c r="DU41" i="7"/>
  <c r="AZ20" i="7"/>
  <c r="AZ17" i="7"/>
  <c r="AZ141" i="7"/>
  <c r="CR261" i="7"/>
  <c r="DS24" i="8"/>
  <c r="DT41" i="7"/>
  <c r="DP41" i="7"/>
  <c r="DQ34" i="7"/>
  <c r="CW115" i="8"/>
  <c r="CW116" i="8" s="1"/>
  <c r="CW324" i="7"/>
  <c r="CW322" i="7"/>
  <c r="CW575" i="7"/>
  <c r="CW323" i="7"/>
  <c r="DR223" i="45"/>
  <c r="DR200" i="45"/>
  <c r="DM201" i="45"/>
  <c r="EF282" i="7"/>
  <c r="ED280" i="7"/>
  <c r="BC25" i="7"/>
  <c r="DN223" i="45"/>
  <c r="DN224" i="45" s="1"/>
  <c r="CS167" i="7"/>
  <c r="CR77" i="7"/>
  <c r="CR167" i="7" s="1"/>
  <c r="CS75" i="7"/>
  <c r="F28" i="9" s="1"/>
  <c r="DN200" i="45"/>
  <c r="BD25" i="7"/>
  <c r="CL172" i="7"/>
  <c r="CN172" i="7"/>
  <c r="EG217" i="45"/>
  <c r="EJ214" i="45"/>
  <c r="BV145" i="8"/>
  <c r="BV141" i="8" s="1"/>
  <c r="BV214" i="8"/>
  <c r="BV184" i="8"/>
  <c r="BV215" i="8"/>
  <c r="BV74" i="7"/>
  <c r="BV162" i="7"/>
  <c r="BV334" i="7"/>
  <c r="BV335" i="7"/>
  <c r="BV336" i="7"/>
  <c r="BV327" i="7"/>
  <c r="BV328" i="7"/>
  <c r="BV329" i="7"/>
  <c r="BV330" i="7"/>
  <c r="BV331" i="7"/>
  <c r="BV166" i="7"/>
  <c r="BV164" i="7"/>
  <c r="BV147" i="8"/>
  <c r="BV143" i="8" s="1"/>
  <c r="BV294" i="8"/>
  <c r="BV146" i="8"/>
  <c r="BV142" i="8" s="1"/>
  <c r="BV163" i="7"/>
  <c r="BV70" i="7"/>
  <c r="BV161" i="7"/>
  <c r="BV62" i="7"/>
  <c r="BV160" i="7"/>
  <c r="BV56" i="7"/>
  <c r="BV159" i="7"/>
  <c r="BV287" i="8"/>
  <c r="BV45" i="7" s="1"/>
  <c r="ED369" i="45"/>
  <c r="EB370" i="45"/>
  <c r="CZ269" i="7"/>
  <c r="CX269" i="7"/>
  <c r="CY266" i="7"/>
  <c r="BB393" i="7"/>
  <c r="BB141" i="7" s="1"/>
  <c r="BB391" i="7"/>
  <c r="ED405" i="45"/>
  <c r="BV33" i="7"/>
  <c r="BB25" i="7"/>
  <c r="CP4" i="8"/>
  <c r="CP10" i="8" s="1"/>
  <c r="CP69" i="7"/>
  <c r="CP339" i="7"/>
  <c r="CP155" i="7"/>
  <c r="CP325" i="7"/>
  <c r="CP337" i="7"/>
  <c r="CQ173" i="7"/>
  <c r="CP518" i="7"/>
  <c r="CP179" i="7"/>
  <c r="CN177" i="7"/>
  <c r="DF504" i="7"/>
  <c r="CU115" i="8"/>
  <c r="CU323" i="7"/>
  <c r="CU322" i="7"/>
  <c r="CU575" i="7"/>
  <c r="BG410" i="7"/>
  <c r="BF399" i="7"/>
  <c r="BF398" i="7"/>
  <c r="BF400" i="7"/>
  <c r="CL61" i="7"/>
  <c r="CN171" i="7" s="1"/>
  <c r="CM552" i="7"/>
  <c r="CM557" i="7" s="1"/>
  <c r="CN153" i="7"/>
  <c r="CN552" i="7"/>
  <c r="CN557" i="7" s="1"/>
  <c r="ED218" i="45"/>
  <c r="EF241" i="7"/>
  <c r="ED239" i="7"/>
  <c r="EE429" i="45"/>
  <c r="EE405" i="45" s="1"/>
  <c r="EL258" i="7"/>
  <c r="DN242" i="45"/>
  <c r="DD289" i="8"/>
  <c r="DE289" i="8" s="1"/>
  <c r="DE268" i="7"/>
  <c r="CU324" i="7"/>
  <c r="CU522" i="7" s="1"/>
  <c r="CV522" i="7"/>
  <c r="DF277" i="7"/>
  <c r="DD277" i="7"/>
  <c r="DL260" i="45"/>
  <c r="CS211" i="7"/>
  <c r="CR212" i="7"/>
  <c r="EO211" i="45"/>
  <c r="EO212" i="45" s="1"/>
  <c r="EP211" i="45"/>
  <c r="EE217" i="45"/>
  <c r="EH214" i="45"/>
  <c r="EB407" i="45"/>
  <c r="EB239" i="7"/>
  <c r="EC428" i="45"/>
  <c r="EC431" i="45" s="1"/>
  <c r="CQ4" i="8"/>
  <c r="CQ10" i="8" s="1"/>
  <c r="CQ69" i="7"/>
  <c r="CQ155" i="7"/>
  <c r="CQ179" i="7"/>
  <c r="CQ339" i="7"/>
  <c r="CQ325" i="7"/>
  <c r="CQ337" i="7"/>
  <c r="CQ518" i="7"/>
  <c r="DO201" i="45"/>
  <c r="DN221" i="45"/>
  <c r="ER248" i="45"/>
  <c r="EH153" i="8"/>
  <c r="EI153" i="8" s="1"/>
  <c r="CW260" i="7"/>
  <c r="CW261" i="7" s="1"/>
  <c r="EB446" i="45"/>
  <c r="CP177" i="8"/>
  <c r="CO211" i="7"/>
  <c r="CO177" i="8" s="1"/>
  <c r="CV115" i="8"/>
  <c r="CV116" i="8" s="1"/>
  <c r="CT167" i="7"/>
  <c r="CT75" i="7"/>
  <c r="BY58" i="7"/>
  <c r="BY57" i="7" s="1"/>
  <c r="DI195" i="45"/>
  <c r="EF259" i="7"/>
  <c r="ED256" i="7"/>
  <c r="EJ294" i="7"/>
  <c r="EH294" i="7"/>
  <c r="BB12" i="7"/>
  <c r="DP223" i="45"/>
  <c r="DP224" i="45" s="1"/>
  <c r="DP200" i="45"/>
  <c r="BW30" i="7"/>
  <c r="CY253" i="7"/>
  <c r="Z45" i="9" s="1"/>
  <c r="CZ254" i="7"/>
  <c r="CX254" i="7"/>
  <c r="DS29" i="45"/>
  <c r="DS450" i="45"/>
  <c r="DT450" i="45"/>
  <c r="CU250" i="7"/>
  <c r="CV260" i="7"/>
  <c r="Y47" i="9" s="1"/>
  <c r="BD12" i="7"/>
  <c r="CG133" i="8"/>
  <c r="CG443" i="7"/>
  <c r="BJ405" i="7"/>
  <c r="CZ288" i="7"/>
  <c r="CY286" i="7"/>
  <c r="CX288" i="7"/>
  <c r="CZ192" i="7"/>
  <c r="DA193" i="7"/>
  <c r="DA158" i="8" s="1"/>
  <c r="CZ233" i="7"/>
  <c r="EC369" i="45"/>
  <c r="EC370" i="45" s="1"/>
  <c r="BY30" i="7"/>
  <c r="DC158" i="8"/>
  <c r="DC193" i="7" s="1"/>
  <c r="DC192" i="7" s="1"/>
  <c r="DC204" i="7" s="1"/>
  <c r="DC212" i="7" s="1"/>
  <c r="DC211" i="7" s="1"/>
  <c r="DC177" i="8" s="1"/>
  <c r="DH158" i="8"/>
  <c r="DE193" i="7"/>
  <c r="DO224" i="45"/>
  <c r="EF287" i="7"/>
  <c r="EP446" i="45"/>
  <c r="ES446" i="45" s="1"/>
  <c r="EV446" i="45" s="1"/>
  <c r="EY446" i="45" s="1"/>
  <c r="BD393" i="7"/>
  <c r="BD391" i="7"/>
  <c r="DV296" i="7" l="1"/>
  <c r="DX296" i="7"/>
  <c r="DV278" i="7"/>
  <c r="DX278" i="7"/>
  <c r="DV270" i="7"/>
  <c r="DX270" i="7"/>
  <c r="DZ270" i="7" s="1"/>
  <c r="DV271" i="7"/>
  <c r="DX271" i="7"/>
  <c r="DZ271" i="7" s="1"/>
  <c r="EV425" i="45"/>
  <c r="EU425" i="45"/>
  <c r="EU420" i="45" s="1"/>
  <c r="DY449" i="45"/>
  <c r="ET361" i="45"/>
  <c r="ER361" i="45"/>
  <c r="EB445" i="45"/>
  <c r="EZ35" i="8"/>
  <c r="EZ37" i="8" s="1"/>
  <c r="DV41" i="7"/>
  <c r="DW34" i="7"/>
  <c r="DV34" i="45"/>
  <c r="EY39" i="8"/>
  <c r="EP208" i="8"/>
  <c r="EP351" i="7"/>
  <c r="EQ350" i="7"/>
  <c r="ES203" i="8"/>
  <c r="FA39" i="8"/>
  <c r="EW402" i="7"/>
  <c r="EY402" i="7"/>
  <c r="FA402" i="7" s="1"/>
  <c r="EZ402" i="7" s="1"/>
  <c r="FA285" i="7"/>
  <c r="EZ285" i="7" s="1"/>
  <c r="FA247" i="45"/>
  <c r="EX410" i="45"/>
  <c r="EZ410" i="45"/>
  <c r="FA410" i="45" s="1"/>
  <c r="EW265" i="7"/>
  <c r="EY265" i="7"/>
  <c r="FA265" i="7" s="1"/>
  <c r="EZ265" i="7" s="1"/>
  <c r="EY37" i="8"/>
  <c r="EX406" i="45"/>
  <c r="EZ406" i="45"/>
  <c r="FA406" i="45" s="1"/>
  <c r="EV238" i="45"/>
  <c r="EY229" i="45"/>
  <c r="EY238" i="45" s="1"/>
  <c r="EW292" i="7"/>
  <c r="EY292" i="7"/>
  <c r="FA292" i="7" s="1"/>
  <c r="EZ292" i="7" s="1"/>
  <c r="EZ36" i="8"/>
  <c r="DS39" i="45"/>
  <c r="DM389" i="7"/>
  <c r="EQ124" i="45"/>
  <c r="DJ391" i="7"/>
  <c r="EV315" i="45"/>
  <c r="EY315" i="45" s="1"/>
  <c r="EW39" i="8"/>
  <c r="EX247" i="45"/>
  <c r="EW138" i="45"/>
  <c r="EX138" i="45" s="1"/>
  <c r="Z50" i="9"/>
  <c r="EO321" i="45"/>
  <c r="EO322" i="45" s="1"/>
  <c r="EP319" i="45"/>
  <c r="ET315" i="45"/>
  <c r="ET351" i="45" s="1"/>
  <c r="ET124" i="45" s="1"/>
  <c r="EQ321" i="45"/>
  <c r="ER321" i="45" s="1"/>
  <c r="EO318" i="45"/>
  <c r="EO319" i="45" s="1"/>
  <c r="ES321" i="45"/>
  <c r="ES318" i="45" s="1"/>
  <c r="EU248" i="45"/>
  <c r="Y48" i="9"/>
  <c r="Y46" i="9"/>
  <c r="ET138" i="45"/>
  <c r="EU138" i="45" s="1"/>
  <c r="ER211" i="45"/>
  <c r="ER212" i="45" s="1"/>
  <c r="ES211" i="45"/>
  <c r="EB411" i="45"/>
  <c r="EB7" i="45"/>
  <c r="DO376" i="7"/>
  <c r="DO389" i="7" s="1"/>
  <c r="DM393" i="7"/>
  <c r="DN393" i="7" s="1"/>
  <c r="BD14" i="7"/>
  <c r="BD15" i="7"/>
  <c r="BB15" i="7"/>
  <c r="DM378" i="7"/>
  <c r="DQ200" i="45"/>
  <c r="ER315" i="45"/>
  <c r="ER316" i="45" s="1"/>
  <c r="DT45" i="45"/>
  <c r="DW50" i="45" s="1"/>
  <c r="DS456" i="45"/>
  <c r="DS55" i="45"/>
  <c r="CB26" i="8"/>
  <c r="BZ28" i="8"/>
  <c r="CA26" i="8"/>
  <c r="CA28" i="8" s="1"/>
  <c r="EG276" i="7"/>
  <c r="EI276" i="7" s="1"/>
  <c r="EE276" i="7"/>
  <c r="DB86" i="8"/>
  <c r="DA293" i="7"/>
  <c r="DA86" i="8" s="1"/>
  <c r="DA88" i="8" s="1"/>
  <c r="DE295" i="7"/>
  <c r="DC293" i="7"/>
  <c r="DC86" i="8" s="1"/>
  <c r="DZ296" i="7"/>
  <c r="ED298" i="7"/>
  <c r="EF298" i="7" s="1"/>
  <c r="EB298" i="7"/>
  <c r="EC274" i="7"/>
  <c r="DY274" i="7"/>
  <c r="DU290" i="7"/>
  <c r="DW290" i="7" s="1"/>
  <c r="DS290" i="7"/>
  <c r="DQ367" i="7"/>
  <c r="AA398" i="7"/>
  <c r="AA390" i="7" s="1"/>
  <c r="AB390" i="7"/>
  <c r="AB391" i="7" s="1"/>
  <c r="AE405" i="7"/>
  <c r="AC398" i="7"/>
  <c r="AC390" i="7" s="1"/>
  <c r="AC400" i="7"/>
  <c r="AC399" i="7"/>
  <c r="DN259" i="45"/>
  <c r="DN260" i="45" s="1"/>
  <c r="EF429" i="45"/>
  <c r="EF432" i="45" s="1"/>
  <c r="EQ278" i="45"/>
  <c r="ET278" i="45" s="1"/>
  <c r="EW278" i="45" s="1"/>
  <c r="EZ278" i="45" s="1"/>
  <c r="EQ138" i="45"/>
  <c r="ER138" i="45" s="1"/>
  <c r="EM278" i="45"/>
  <c r="DG505" i="7"/>
  <c r="DI505" i="7"/>
  <c r="CX201" i="8"/>
  <c r="CW345" i="7"/>
  <c r="CW24" i="7" s="1"/>
  <c r="DZ278" i="7"/>
  <c r="DQ223" i="45"/>
  <c r="DQ224" i="45" s="1"/>
  <c r="EF405" i="45"/>
  <c r="BB14" i="7"/>
  <c r="DC265" i="7"/>
  <c r="DB263" i="7"/>
  <c r="DA265" i="7"/>
  <c r="BP367" i="7"/>
  <c r="BR367" i="7"/>
  <c r="BO342" i="7"/>
  <c r="CX184" i="7"/>
  <c r="BN367" i="7"/>
  <c r="BM342" i="7"/>
  <c r="BU143" i="7"/>
  <c r="BU144" i="7" s="1"/>
  <c r="BU147" i="7" s="1"/>
  <c r="BS143" i="7"/>
  <c r="BS144" i="7" s="1"/>
  <c r="BS147" i="7" s="1"/>
  <c r="BT143" i="7" s="1"/>
  <c r="BT144" i="7" s="1"/>
  <c r="BT147" i="7" s="1"/>
  <c r="DM555" i="7"/>
  <c r="EG287" i="7"/>
  <c r="EE287" i="7"/>
  <c r="BL405" i="7"/>
  <c r="CZ253" i="7"/>
  <c r="CZ250" i="7" s="1"/>
  <c r="DB254" i="7"/>
  <c r="BD141" i="7"/>
  <c r="CX253" i="7"/>
  <c r="CY250" i="7"/>
  <c r="BY145" i="8"/>
  <c r="BY141" i="8" s="1"/>
  <c r="BY184" i="8"/>
  <c r="BY215" i="8"/>
  <c r="BY214" i="8"/>
  <c r="BY151" i="7"/>
  <c r="BY164" i="7"/>
  <c r="BY31" i="7"/>
  <c r="BY74" i="7"/>
  <c r="BY162" i="7"/>
  <c r="BY166" i="7"/>
  <c r="BY169" i="7"/>
  <c r="BY333" i="7"/>
  <c r="BY334" i="7"/>
  <c r="BY335" i="7"/>
  <c r="BY327" i="7"/>
  <c r="BY328" i="7"/>
  <c r="BY329" i="7"/>
  <c r="BY330" i="7"/>
  <c r="BY331" i="7"/>
  <c r="BY146" i="8"/>
  <c r="BY142" i="8" s="1"/>
  <c r="BY294" i="8"/>
  <c r="BY336" i="7"/>
  <c r="BY147" i="8"/>
  <c r="BY143" i="8" s="1"/>
  <c r="BY163" i="7"/>
  <c r="BY161" i="7"/>
  <c r="BY70" i="7"/>
  <c r="BY160" i="7"/>
  <c r="BY62" i="7"/>
  <c r="BY287" i="8"/>
  <c r="DT29" i="45"/>
  <c r="DG504" i="7"/>
  <c r="DS223" i="45"/>
  <c r="DS200" i="45"/>
  <c r="DV201" i="45" s="1"/>
  <c r="BB27" i="7"/>
  <c r="BB358" i="7"/>
  <c r="BB205" i="8" s="1"/>
  <c r="BB359" i="7"/>
  <c r="CQ61" i="7"/>
  <c r="CQ154" i="7"/>
  <c r="EE426" i="45"/>
  <c r="BB20" i="7"/>
  <c r="BC393" i="7"/>
  <c r="BC15" i="7" s="1"/>
  <c r="EG218" i="45"/>
  <c r="CS118" i="8"/>
  <c r="CR75" i="7"/>
  <c r="CR554" i="7" s="1"/>
  <c r="CR556" i="7" s="1"/>
  <c r="CS554" i="7"/>
  <c r="CS556" i="7" s="1"/>
  <c r="DU223" i="45"/>
  <c r="DU200" i="45"/>
  <c r="DP34" i="7"/>
  <c r="EG267" i="7"/>
  <c r="EE267" i="7"/>
  <c r="CZ576" i="7"/>
  <c r="CZ242" i="7"/>
  <c r="CX286" i="7"/>
  <c r="CY299" i="7"/>
  <c r="CX299" i="7" s="1"/>
  <c r="BW169" i="7"/>
  <c r="BW166" i="7"/>
  <c r="BW333" i="7"/>
  <c r="BW334" i="7"/>
  <c r="BW335" i="7"/>
  <c r="BW327" i="7"/>
  <c r="BW328" i="7"/>
  <c r="BW74" i="7"/>
  <c r="BW145" i="8"/>
  <c r="BW141" i="8" s="1"/>
  <c r="BW162" i="7"/>
  <c r="BW146" i="8"/>
  <c r="BW142" i="8" s="1"/>
  <c r="BW331" i="7"/>
  <c r="BW164" i="7"/>
  <c r="BW163" i="7"/>
  <c r="BW147" i="8"/>
  <c r="BW143" i="8" s="1"/>
  <c r="BW336" i="7"/>
  <c r="BW329" i="7"/>
  <c r="BW161" i="7"/>
  <c r="BW70" i="7"/>
  <c r="BW294" i="8"/>
  <c r="BW160" i="7"/>
  <c r="BW62" i="7"/>
  <c r="BW56" i="7"/>
  <c r="BW159" i="7"/>
  <c r="EG259" i="7"/>
  <c r="EE259" i="7"/>
  <c r="EF256" i="7"/>
  <c r="EE256" i="7" s="1"/>
  <c r="BY181" i="7"/>
  <c r="BY183" i="7" s="1"/>
  <c r="BY155" i="8"/>
  <c r="BY55" i="7"/>
  <c r="DF268" i="7"/>
  <c r="DD268" i="7"/>
  <c r="DF289" i="8"/>
  <c r="DB269" i="7"/>
  <c r="CZ266" i="7"/>
  <c r="DN201" i="45"/>
  <c r="DN203" i="45"/>
  <c r="EE428" i="45"/>
  <c r="EE404" i="45" s="1"/>
  <c r="DB505" i="7"/>
  <c r="DB288" i="7"/>
  <c r="CZ286" i="7"/>
  <c r="CZ299" i="7" s="1"/>
  <c r="CH133" i="8"/>
  <c r="CH404" i="7"/>
  <c r="CI404" i="7" s="1"/>
  <c r="CH443" i="7"/>
  <c r="DP201" i="45"/>
  <c r="DI192" i="45"/>
  <c r="DI193" i="45" s="1"/>
  <c r="DI196" i="45"/>
  <c r="CT554" i="7"/>
  <c r="CT556" i="7" s="1"/>
  <c r="CV117" i="8"/>
  <c r="CU116" i="8"/>
  <c r="CU117" i="8" s="1"/>
  <c r="CU18" i="8" s="1"/>
  <c r="EE446" i="45"/>
  <c r="DH277" i="7"/>
  <c r="DJ195" i="45"/>
  <c r="EM258" i="7"/>
  <c r="EK258" i="7"/>
  <c r="BE400" i="7"/>
  <c r="CO179" i="7"/>
  <c r="BV42" i="7"/>
  <c r="BV53" i="7" s="1"/>
  <c r="BV43" i="7" s="1"/>
  <c r="BV32" i="7"/>
  <c r="CW522" i="7"/>
  <c r="CW523" i="7" s="1"/>
  <c r="DS41" i="7"/>
  <c r="DT34" i="7"/>
  <c r="DA192" i="7"/>
  <c r="CZ204" i="7"/>
  <c r="CU260" i="7"/>
  <c r="CV261" i="7"/>
  <c r="EH217" i="45"/>
  <c r="EK214" i="45"/>
  <c r="EL214" i="45" s="1"/>
  <c r="CS177" i="8"/>
  <c r="CR211" i="7"/>
  <c r="CR177" i="8" s="1"/>
  <c r="DL109" i="45"/>
  <c r="DL269" i="45"/>
  <c r="DL110" i="45" s="1"/>
  <c r="DL195" i="45"/>
  <c r="BE398" i="7"/>
  <c r="BE390" i="7" s="1"/>
  <c r="BF390" i="7"/>
  <c r="BF391" i="7" s="1"/>
  <c r="EE369" i="45"/>
  <c r="EF369" i="45" s="1"/>
  <c r="EF370" i="45" s="1"/>
  <c r="ED370" i="45"/>
  <c r="DR201" i="45"/>
  <c r="CW117" i="8"/>
  <c r="DD193" i="7"/>
  <c r="DD158" i="8" s="1"/>
  <c r="DE192" i="7"/>
  <c r="DK158" i="8"/>
  <c r="DF158" i="8"/>
  <c r="DF193" i="7" s="1"/>
  <c r="DF192" i="7" s="1"/>
  <c r="DF204" i="7" s="1"/>
  <c r="DF212" i="7" s="1"/>
  <c r="DF211" i="7" s="1"/>
  <c r="DF177" i="8" s="1"/>
  <c r="DH193" i="7"/>
  <c r="BD27" i="7"/>
  <c r="BD358" i="7"/>
  <c r="BD359" i="7"/>
  <c r="DQ221" i="45"/>
  <c r="DK195" i="45"/>
  <c r="EJ153" i="8"/>
  <c r="EE218" i="45"/>
  <c r="EG241" i="7"/>
  <c r="EE241" i="7"/>
  <c r="EF239" i="7"/>
  <c r="BE399" i="7"/>
  <c r="CY324" i="7"/>
  <c r="CY323" i="7"/>
  <c r="CY322" i="7"/>
  <c r="CX266" i="7"/>
  <c r="CY575" i="7"/>
  <c r="EI214" i="45"/>
  <c r="EI215" i="45" s="1"/>
  <c r="DP367" i="7"/>
  <c r="BW33" i="7"/>
  <c r="BW32" i="7" s="1"/>
  <c r="DZ24" i="8"/>
  <c r="EA24" i="8"/>
  <c r="BD20" i="7"/>
  <c r="BY33" i="7"/>
  <c r="EL294" i="7"/>
  <c r="DI504" i="7"/>
  <c r="DJ20" i="7"/>
  <c r="DK393" i="7"/>
  <c r="EG429" i="45"/>
  <c r="CL171" i="7"/>
  <c r="CL552" i="7"/>
  <c r="CL557" i="7" s="1"/>
  <c r="BI410" i="7"/>
  <c r="BG399" i="7"/>
  <c r="BG400" i="7"/>
  <c r="BG398" i="7"/>
  <c r="BG390" i="7" s="1"/>
  <c r="CO4" i="8"/>
  <c r="CO10" i="8" s="1"/>
  <c r="CO155" i="7"/>
  <c r="CO325" i="7"/>
  <c r="CO337" i="7"/>
  <c r="CO177" i="7"/>
  <c r="CO173" i="7"/>
  <c r="CO339" i="7"/>
  <c r="CP61" i="7"/>
  <c r="CP154" i="7"/>
  <c r="CO69" i="7"/>
  <c r="BW45" i="7"/>
  <c r="BZ125" i="8" s="1"/>
  <c r="BY125" i="8"/>
  <c r="BX30" i="7"/>
  <c r="BW176" i="7" s="1"/>
  <c r="EJ217" i="45"/>
  <c r="EM214" i="45"/>
  <c r="EG282" i="7"/>
  <c r="EF280" i="7"/>
  <c r="EE280" i="7" s="1"/>
  <c r="EE282" i="7"/>
  <c r="DM260" i="45"/>
  <c r="DR224" i="45"/>
  <c r="CV211" i="7"/>
  <c r="CU212" i="7"/>
  <c r="DH505" i="7"/>
  <c r="DV290" i="7" l="1"/>
  <c r="DX290" i="7"/>
  <c r="DW200" i="45"/>
  <c r="DX201" i="45"/>
  <c r="DW223" i="45"/>
  <c r="DX224" i="45"/>
  <c r="EY425" i="45"/>
  <c r="FA425" i="45" s="1"/>
  <c r="EX425" i="45"/>
  <c r="EX420" i="45" s="1"/>
  <c r="EW361" i="45"/>
  <c r="EU361" i="45"/>
  <c r="EZ39" i="8"/>
  <c r="DW203" i="45"/>
  <c r="DS224" i="45"/>
  <c r="DV224" i="45"/>
  <c r="EQ208" i="8"/>
  <c r="ER208" i="8" s="1"/>
  <c r="EQ351" i="7"/>
  <c r="ET203" i="8"/>
  <c r="ES350" i="7"/>
  <c r="FA248" i="45"/>
  <c r="EY321" i="45"/>
  <c r="EY324" i="45"/>
  <c r="EV324" i="45"/>
  <c r="O53" i="9"/>
  <c r="O54" i="9" s="1"/>
  <c r="EW315" i="45"/>
  <c r="EZ315" i="45" s="1"/>
  <c r="EV321" i="45"/>
  <c r="EV318" i="45" s="1"/>
  <c r="EU211" i="45"/>
  <c r="EU212" i="45" s="1"/>
  <c r="EV211" i="45"/>
  <c r="EX248" i="45"/>
  <c r="ES319" i="45"/>
  <c r="EU315" i="45"/>
  <c r="EU316" i="45" s="1"/>
  <c r="ET321" i="45"/>
  <c r="ET318" i="45" s="1"/>
  <c r="ER322" i="45"/>
  <c r="EQ318" i="45"/>
  <c r="DT39" i="45"/>
  <c r="EB18" i="45"/>
  <c r="EB412" i="45"/>
  <c r="DP376" i="7"/>
  <c r="DP393" i="7" s="1"/>
  <c r="EE445" i="45"/>
  <c r="DQ201" i="45"/>
  <c r="DQ203" i="45"/>
  <c r="DQ204" i="45" s="1"/>
  <c r="DT200" i="45"/>
  <c r="DW201" i="45" s="1"/>
  <c r="DT456" i="45"/>
  <c r="CB28" i="8"/>
  <c r="DT55" i="45"/>
  <c r="DE293" i="7"/>
  <c r="DF295" i="7"/>
  <c r="DD295" i="7"/>
  <c r="EG298" i="7"/>
  <c r="EI298" i="7" s="1"/>
  <c r="EE298" i="7"/>
  <c r="DB88" i="8"/>
  <c r="EA296" i="7"/>
  <c r="EC296" i="7" s="1"/>
  <c r="DY296" i="7"/>
  <c r="EJ276" i="7"/>
  <c r="EL276" i="7" s="1"/>
  <c r="EH276" i="7"/>
  <c r="DC88" i="8"/>
  <c r="EA271" i="7"/>
  <c r="EC271" i="7" s="1"/>
  <c r="DY271" i="7"/>
  <c r="EB274" i="7"/>
  <c r="EF274" i="7"/>
  <c r="DZ290" i="7"/>
  <c r="AC393" i="7"/>
  <c r="AC391" i="7"/>
  <c r="AF405" i="7"/>
  <c r="AE399" i="7"/>
  <c r="AD399" i="7" s="1"/>
  <c r="AE398" i="7"/>
  <c r="AE400" i="7"/>
  <c r="AD400" i="7" s="1"/>
  <c r="AA393" i="7"/>
  <c r="AB393" i="7" s="1"/>
  <c r="AA391" i="7"/>
  <c r="DH504" i="7"/>
  <c r="EP278" i="45"/>
  <c r="ES278" i="45" s="1"/>
  <c r="EV278" i="45" s="1"/>
  <c r="EY278" i="45" s="1"/>
  <c r="CY201" i="8"/>
  <c r="CZ201" i="8" s="1"/>
  <c r="CX345" i="7"/>
  <c r="CX24" i="7" s="1"/>
  <c r="CY115" i="8"/>
  <c r="DL293" i="45"/>
  <c r="DL290" i="45" s="1"/>
  <c r="DJ505" i="7"/>
  <c r="DL505" i="7"/>
  <c r="EA278" i="7"/>
  <c r="EC278" i="7" s="1"/>
  <c r="DY278" i="7"/>
  <c r="EA270" i="7"/>
  <c r="EC270" i="7" s="1"/>
  <c r="DY270" i="7"/>
  <c r="BF25" i="7"/>
  <c r="BE25" i="7"/>
  <c r="EB449" i="45"/>
  <c r="DT223" i="45"/>
  <c r="DT224" i="45" s="1"/>
  <c r="EL215" i="45"/>
  <c r="BN389" i="7"/>
  <c r="BN378" i="7"/>
  <c r="BR378" i="7"/>
  <c r="BR389" i="7"/>
  <c r="BP389" i="7"/>
  <c r="BP378" i="7"/>
  <c r="DB184" i="7"/>
  <c r="DA263" i="7"/>
  <c r="BV143" i="7"/>
  <c r="BV144" i="7" s="1"/>
  <c r="BV147" i="7" s="1"/>
  <c r="BW143" i="7" s="1"/>
  <c r="BW144" i="7" s="1"/>
  <c r="BW147" i="7" s="1"/>
  <c r="BX143" i="7"/>
  <c r="BX144" i="7" s="1"/>
  <c r="BX147" i="7" s="1"/>
  <c r="DE265" i="7"/>
  <c r="DC263" i="7"/>
  <c r="DC184" i="7" s="1"/>
  <c r="BN342" i="7"/>
  <c r="DN269" i="45"/>
  <c r="DN110" i="45" s="1"/>
  <c r="AE62" i="9" s="1"/>
  <c r="DN195" i="45"/>
  <c r="EJ218" i="45"/>
  <c r="CO61" i="7"/>
  <c r="CQ171" i="7" s="1"/>
  <c r="CP153" i="7"/>
  <c r="CP552" i="7"/>
  <c r="CP557" i="7" s="1"/>
  <c r="BG393" i="7"/>
  <c r="BG14" i="7" s="1"/>
  <c r="BG391" i="7"/>
  <c r="EI282" i="7"/>
  <c r="EG280" i="7"/>
  <c r="BG12" i="7"/>
  <c r="CX324" i="7"/>
  <c r="CX522" i="7" s="1"/>
  <c r="CY522" i="7"/>
  <c r="CO154" i="7"/>
  <c r="CO172" i="7"/>
  <c r="BG25" i="7"/>
  <c r="DK20" i="7"/>
  <c r="DY24" i="8"/>
  <c r="DZ41" i="7"/>
  <c r="BE393" i="7"/>
  <c r="BE141" i="7" s="1"/>
  <c r="BE391" i="7"/>
  <c r="DL192" i="45"/>
  <c r="DL193" i="45" s="1"/>
  <c r="DL196" i="45"/>
  <c r="DS34" i="7"/>
  <c r="EG428" i="45"/>
  <c r="CB190" i="7"/>
  <c r="CC190" i="7" s="1"/>
  <c r="BY152" i="7"/>
  <c r="BY56" i="7"/>
  <c r="BY159" i="7"/>
  <c r="BY170" i="7"/>
  <c r="DS201" i="45"/>
  <c r="BJ410" i="7"/>
  <c r="BI398" i="7"/>
  <c r="BI399" i="7"/>
  <c r="BI400" i="7"/>
  <c r="EG405" i="45"/>
  <c r="CX115" i="8"/>
  <c r="CX116" i="8" s="1"/>
  <c r="CX323" i="7"/>
  <c r="CX575" i="7"/>
  <c r="CX322" i="7"/>
  <c r="EE239" i="7"/>
  <c r="CU261" i="7"/>
  <c r="CZ115" i="8"/>
  <c r="CZ116" i="8" s="1"/>
  <c r="CZ324" i="7"/>
  <c r="CZ522" i="7" s="1"/>
  <c r="CZ323" i="7"/>
  <c r="CZ575" i="7"/>
  <c r="CZ322" i="7"/>
  <c r="DU224" i="45"/>
  <c r="CQ172" i="7"/>
  <c r="BY288" i="8"/>
  <c r="BY45" i="7"/>
  <c r="CB125" i="8" s="1"/>
  <c r="CX250" i="7"/>
  <c r="CY260" i="7"/>
  <c r="Z47" i="9" s="1"/>
  <c r="DB253" i="7"/>
  <c r="AA45" i="9" s="1"/>
  <c r="DC254" i="7"/>
  <c r="DA254" i="7"/>
  <c r="EH429" i="45"/>
  <c r="EH405" i="45" s="1"/>
  <c r="DH192" i="7"/>
  <c r="DG193" i="7"/>
  <c r="DG158" i="8" s="1"/>
  <c r="EO258" i="7"/>
  <c r="DI277" i="7"/>
  <c r="DG277" i="7"/>
  <c r="DC288" i="7"/>
  <c r="DB286" i="7"/>
  <c r="DA288" i="7"/>
  <c r="DN204" i="45"/>
  <c r="DN217" i="45"/>
  <c r="DN218" i="45" s="1"/>
  <c r="DC269" i="7"/>
  <c r="DA269" i="7"/>
  <c r="DB266" i="7"/>
  <c r="CZ564" i="7"/>
  <c r="EI267" i="7"/>
  <c r="CS4" i="8"/>
  <c r="CS10" i="8" s="1"/>
  <c r="CS69" i="7"/>
  <c r="CT173" i="7"/>
  <c r="CS155" i="7"/>
  <c r="CS179" i="7"/>
  <c r="CS518" i="7"/>
  <c r="CS525" i="7" s="1"/>
  <c r="CS339" i="7"/>
  <c r="CS325" i="7"/>
  <c r="CS337" i="7"/>
  <c r="CQ177" i="7"/>
  <c r="BC20" i="7"/>
  <c r="BC141" i="7"/>
  <c r="BC17" i="7"/>
  <c r="CZ260" i="7"/>
  <c r="CZ261" i="7" s="1"/>
  <c r="BM405" i="7"/>
  <c r="EM217" i="45"/>
  <c r="EP214" i="45"/>
  <c r="ES214" i="45" s="1"/>
  <c r="EV214" i="45" s="1"/>
  <c r="EY214" i="45" s="1"/>
  <c r="EI241" i="7"/>
  <c r="EG239" i="7"/>
  <c r="DL504" i="7"/>
  <c r="BX33" i="7"/>
  <c r="BE12" i="7"/>
  <c r="DJ196" i="45"/>
  <c r="DJ192" i="45"/>
  <c r="DJ193" i="45" s="1"/>
  <c r="EH446" i="45"/>
  <c r="CT4" i="8"/>
  <c r="CT10" i="8" s="1"/>
  <c r="CT69" i="7"/>
  <c r="CT155" i="7"/>
  <c r="CT337" i="7"/>
  <c r="CT518" i="7"/>
  <c r="CT179" i="7"/>
  <c r="CT339" i="7"/>
  <c r="CT325" i="7"/>
  <c r="DI30" i="45"/>
  <c r="DT221" i="45"/>
  <c r="EI287" i="7"/>
  <c r="DM109" i="45"/>
  <c r="DM269" i="45"/>
  <c r="DM110" i="45" s="1"/>
  <c r="DM195" i="45"/>
  <c r="DK505" i="7"/>
  <c r="DI158" i="8"/>
  <c r="DI193" i="7" s="1"/>
  <c r="DI192" i="7" s="1"/>
  <c r="DI204" i="7" s="1"/>
  <c r="DI212" i="7" s="1"/>
  <c r="DI211" i="7" s="1"/>
  <c r="DN158" i="8"/>
  <c r="DK193" i="7"/>
  <c r="CW18" i="8"/>
  <c r="CW77" i="7"/>
  <c r="EG369" i="45"/>
  <c r="EE370" i="45"/>
  <c r="EK217" i="45"/>
  <c r="EN214" i="45"/>
  <c r="EO214" i="45" s="1"/>
  <c r="EO215" i="45" s="1"/>
  <c r="CZ212" i="7"/>
  <c r="DA204" i="7"/>
  <c r="DH268" i="7"/>
  <c r="CV177" i="8"/>
  <c r="CU211" i="7"/>
  <c r="CU177" i="8" s="1"/>
  <c r="BX145" i="8"/>
  <c r="BX141" i="8" s="1"/>
  <c r="BX184" i="8"/>
  <c r="BW184" i="8" s="1"/>
  <c r="BX215" i="8"/>
  <c r="BW215" i="8" s="1"/>
  <c r="BX214" i="8"/>
  <c r="BW214" i="8" s="1"/>
  <c r="BX164" i="7"/>
  <c r="BX74" i="7"/>
  <c r="BX163" i="7"/>
  <c r="BX279" i="7"/>
  <c r="BX333" i="7"/>
  <c r="BX335" i="7"/>
  <c r="BX327" i="7"/>
  <c r="BX328" i="7"/>
  <c r="BX331" i="7"/>
  <c r="BX162" i="7"/>
  <c r="BX166" i="7"/>
  <c r="BX146" i="8"/>
  <c r="BX142" i="8" s="1"/>
  <c r="BX334" i="7"/>
  <c r="BX147" i="8"/>
  <c r="BX143" i="8" s="1"/>
  <c r="BX336" i="7"/>
  <c r="BX329" i="7"/>
  <c r="BX294" i="8"/>
  <c r="BX161" i="7"/>
  <c r="BX70" i="7"/>
  <c r="BX62" i="7"/>
  <c r="BX160" i="7"/>
  <c r="BX159" i="7"/>
  <c r="BX56" i="7"/>
  <c r="BX287" i="8"/>
  <c r="BW287" i="8" s="1"/>
  <c r="BV176" i="7"/>
  <c r="EM294" i="7"/>
  <c r="EK294" i="7"/>
  <c r="BY32" i="7"/>
  <c r="BY42" i="7"/>
  <c r="ED24" i="8"/>
  <c r="EC24" i="8"/>
  <c r="EA41" i="7"/>
  <c r="EK153" i="8"/>
  <c r="EL153" i="8" s="1"/>
  <c r="DK196" i="45"/>
  <c r="DK192" i="45"/>
  <c r="DK193" i="45" s="1"/>
  <c r="DD192" i="7"/>
  <c r="DE204" i="7"/>
  <c r="EH218" i="45"/>
  <c r="DJ504" i="7"/>
  <c r="CV18" i="8"/>
  <c r="CV77" i="7"/>
  <c r="CI133" i="8"/>
  <c r="CI443" i="7"/>
  <c r="EE407" i="45"/>
  <c r="DG289" i="8"/>
  <c r="DH289" i="8" s="1"/>
  <c r="EI259" i="7"/>
  <c r="EG256" i="7"/>
  <c r="EF428" i="45"/>
  <c r="EF431" i="45" s="1"/>
  <c r="DU201" i="45"/>
  <c r="CQ153" i="7"/>
  <c r="CQ552" i="7"/>
  <c r="CQ557" i="7" s="1"/>
  <c r="FA420" i="45" l="1"/>
  <c r="EZ361" i="45"/>
  <c r="FA361" i="45" s="1"/>
  <c r="EX361" i="45"/>
  <c r="DW224" i="45"/>
  <c r="DW217" i="45"/>
  <c r="ES351" i="7"/>
  <c r="ES208" i="8"/>
  <c r="ET350" i="7"/>
  <c r="EV203" i="8"/>
  <c r="EZ351" i="45"/>
  <c r="EZ324" i="45"/>
  <c r="FA324" i="45" s="1"/>
  <c r="EZ321" i="45"/>
  <c r="FA315" i="45"/>
  <c r="EX211" i="45"/>
  <c r="EX212" i="45" s="1"/>
  <c r="EY211" i="45"/>
  <c r="FA211" i="45" s="1"/>
  <c r="EY327" i="45"/>
  <c r="EY217" i="45"/>
  <c r="EY223" i="45"/>
  <c r="EY318" i="45"/>
  <c r="EB23" i="45"/>
  <c r="EW321" i="45"/>
  <c r="EW318" i="45" s="1"/>
  <c r="EX318" i="45" s="1"/>
  <c r="EW351" i="45"/>
  <c r="EW124" i="45" s="1"/>
  <c r="EW324" i="45"/>
  <c r="EX324" i="45" s="1"/>
  <c r="EV327" i="45"/>
  <c r="EV328" i="45" s="1"/>
  <c r="EX315" i="45"/>
  <c r="L10" i="9"/>
  <c r="EV217" i="45"/>
  <c r="EV223" i="45"/>
  <c r="EV319" i="45"/>
  <c r="ET319" i="45"/>
  <c r="AA50" i="9"/>
  <c r="DL288" i="45"/>
  <c r="DL291" i="45"/>
  <c r="EU321" i="45"/>
  <c r="EU322" i="45" s="1"/>
  <c r="EU318" i="45"/>
  <c r="EQ319" i="45"/>
  <c r="ER318" i="45"/>
  <c r="ER319" i="45" s="1"/>
  <c r="Z46" i="9"/>
  <c r="Z48" i="9"/>
  <c r="ES217" i="45"/>
  <c r="ES223" i="45"/>
  <c r="EE411" i="45"/>
  <c r="EE7" i="45"/>
  <c r="DQ376" i="7"/>
  <c r="DQ378" i="7" s="1"/>
  <c r="DR367" i="7" s="1"/>
  <c r="DR376" i="7" s="1"/>
  <c r="DP378" i="7"/>
  <c r="DP389" i="7"/>
  <c r="DQ389" i="7" s="1"/>
  <c r="BE15" i="7"/>
  <c r="BG15" i="7"/>
  <c r="DQ217" i="45"/>
  <c r="DQ218" i="45" s="1"/>
  <c r="DT203" i="45"/>
  <c r="DT204" i="45" s="1"/>
  <c r="DT201" i="45"/>
  <c r="CE26" i="8"/>
  <c r="CC26" i="8"/>
  <c r="EM276" i="7"/>
  <c r="EO276" i="7" s="1"/>
  <c r="EK276" i="7"/>
  <c r="EJ298" i="7"/>
  <c r="EL298" i="7" s="1"/>
  <c r="EH298" i="7"/>
  <c r="ED296" i="7"/>
  <c r="EF296" i="7" s="1"/>
  <c r="EB296" i="7"/>
  <c r="DH295" i="7"/>
  <c r="DF293" i="7"/>
  <c r="DF86" i="8" s="1"/>
  <c r="DD293" i="7"/>
  <c r="DD86" i="8" s="1"/>
  <c r="DD88" i="8" s="1"/>
  <c r="DE86" i="8"/>
  <c r="ED271" i="7"/>
  <c r="EF271" i="7" s="1"/>
  <c r="EB271" i="7"/>
  <c r="DY290" i="7"/>
  <c r="EA290" i="7"/>
  <c r="EC290" i="7" s="1"/>
  <c r="EE274" i="7"/>
  <c r="EI274" i="7"/>
  <c r="AD398" i="7"/>
  <c r="AD390" i="7" s="1"/>
  <c r="AE390" i="7"/>
  <c r="AE391" i="7" s="1"/>
  <c r="AH405" i="7"/>
  <c r="AF400" i="7"/>
  <c r="AF398" i="7"/>
  <c r="AF390" i="7" s="1"/>
  <c r="AF399" i="7"/>
  <c r="DA201" i="8"/>
  <c r="CZ345" i="7"/>
  <c r="CZ24" i="7" s="1"/>
  <c r="DM505" i="7"/>
  <c r="DO293" i="45"/>
  <c r="DO290" i="45" s="1"/>
  <c r="ED278" i="7"/>
  <c r="EF278" i="7" s="1"/>
  <c r="EB278" i="7"/>
  <c r="ED270" i="7"/>
  <c r="EF270" i="7" s="1"/>
  <c r="EB270" i="7"/>
  <c r="DK504" i="7"/>
  <c r="BE14" i="7"/>
  <c r="EB450" i="45"/>
  <c r="EB29" i="45"/>
  <c r="DF265" i="7"/>
  <c r="DE263" i="7"/>
  <c r="DD265" i="7"/>
  <c r="CA143" i="7"/>
  <c r="CA144" i="7" s="1"/>
  <c r="CA147" i="7" s="1"/>
  <c r="BY143" i="7"/>
  <c r="BY144" i="7" s="1"/>
  <c r="BY147" i="7" s="1"/>
  <c r="BZ143" i="7" s="1"/>
  <c r="BZ144" i="7" s="1"/>
  <c r="BZ147" i="7" s="1"/>
  <c r="BS367" i="7"/>
  <c r="BR342" i="7"/>
  <c r="DA184" i="7"/>
  <c r="BG17" i="7"/>
  <c r="BQ367" i="7"/>
  <c r="BP342" i="7"/>
  <c r="BG141" i="7"/>
  <c r="BY53" i="7"/>
  <c r="BY43" i="7" s="1"/>
  <c r="EJ259" i="7"/>
  <c r="EH259" i="7"/>
  <c r="EI256" i="7"/>
  <c r="EH256" i="7" s="1"/>
  <c r="CW167" i="7"/>
  <c r="CW75" i="7"/>
  <c r="DI289" i="8"/>
  <c r="CJ443" i="7"/>
  <c r="EF24" i="8"/>
  <c r="EG24" i="8"/>
  <c r="ED41" i="7"/>
  <c r="DK192" i="7"/>
  <c r="DJ193" i="7"/>
  <c r="DJ158" i="8" s="1"/>
  <c r="EK446" i="45"/>
  <c r="BE27" i="7"/>
  <c r="BE358" i="7"/>
  <c r="BE205" i="8" s="1"/>
  <c r="BE359" i="7"/>
  <c r="CB58" i="7"/>
  <c r="CB57" i="7" s="1"/>
  <c r="EJ267" i="7"/>
  <c r="EH267" i="7"/>
  <c r="DB250" i="7"/>
  <c r="DA253" i="7"/>
  <c r="CX260" i="7"/>
  <c r="CY261" i="7"/>
  <c r="BL410" i="7"/>
  <c r="BJ399" i="7"/>
  <c r="BJ400" i="7"/>
  <c r="BJ398" i="7"/>
  <c r="BJ390" i="7" s="1"/>
  <c r="CA58" i="7"/>
  <c r="EJ282" i="7"/>
  <c r="EH282" i="7"/>
  <c r="EI280" i="7"/>
  <c r="EH280" i="7" s="1"/>
  <c r="EB12" i="45"/>
  <c r="BW279" i="7"/>
  <c r="BX273" i="7"/>
  <c r="DQ158" i="8"/>
  <c r="DL158" i="8"/>
  <c r="DL193" i="7" s="1"/>
  <c r="DN193" i="7"/>
  <c r="DM504" i="7"/>
  <c r="BX32" i="7"/>
  <c r="BX42" i="7"/>
  <c r="EP217" i="45"/>
  <c r="CR4" i="8"/>
  <c r="CR10" i="8" s="1"/>
  <c r="CR155" i="7"/>
  <c r="CR177" i="7"/>
  <c r="CR518" i="7"/>
  <c r="CR173" i="7"/>
  <c r="CR339" i="7"/>
  <c r="CR325" i="7"/>
  <c r="CR337" i="7"/>
  <c r="EA223" i="45"/>
  <c r="EA200" i="45"/>
  <c r="DB324" i="7"/>
  <c r="DA266" i="7"/>
  <c r="DB575" i="7"/>
  <c r="DB323" i="7"/>
  <c r="DB322" i="7"/>
  <c r="DB167" i="7"/>
  <c r="EP258" i="7"/>
  <c r="EN258" i="7"/>
  <c r="CX117" i="8"/>
  <c r="CX18" i="8" s="1"/>
  <c r="CY116" i="8"/>
  <c r="CY117" i="8" s="1"/>
  <c r="EI405" i="45"/>
  <c r="BG20" i="7"/>
  <c r="DD204" i="7"/>
  <c r="DE212" i="7"/>
  <c r="CZ211" i="7"/>
  <c r="DA212" i="7"/>
  <c r="EH369" i="45"/>
  <c r="EI369" i="45" s="1"/>
  <c r="EI370" i="45" s="1"/>
  <c r="EG370" i="45"/>
  <c r="EM218" i="45"/>
  <c r="CS61" i="7"/>
  <c r="CR69" i="7"/>
  <c r="CT172" i="7" s="1"/>
  <c r="CS154" i="7"/>
  <c r="CB30" i="7"/>
  <c r="DK277" i="7"/>
  <c r="EI429" i="45"/>
  <c r="EI432" i="45" s="1"/>
  <c r="DY223" i="45"/>
  <c r="DY224" i="45" s="1"/>
  <c r="DY200" i="45"/>
  <c r="DZ200" i="45" s="1"/>
  <c r="DI268" i="7"/>
  <c r="DG268" i="7"/>
  <c r="EN217" i="45"/>
  <c r="EQ214" i="45"/>
  <c r="EJ287" i="7"/>
  <c r="EH287" i="7"/>
  <c r="CT154" i="7"/>
  <c r="BH400" i="7"/>
  <c r="BI12" i="7"/>
  <c r="EH428" i="45"/>
  <c r="EH404" i="45" s="1"/>
  <c r="BE20" i="7"/>
  <c r="BF393" i="7"/>
  <c r="BF15" i="7" s="1"/>
  <c r="DL339" i="45"/>
  <c r="EM153" i="8"/>
  <c r="EK218" i="45"/>
  <c r="DK30" i="45"/>
  <c r="DL30" i="45"/>
  <c r="CR179" i="7"/>
  <c r="DE269" i="7"/>
  <c r="DC266" i="7"/>
  <c r="DB180" i="8"/>
  <c r="DA286" i="7"/>
  <c r="DB299" i="7"/>
  <c r="DA299" i="7" s="1"/>
  <c r="DB339" i="7"/>
  <c r="DG192" i="7"/>
  <c r="DH204" i="7"/>
  <c r="EJ429" i="45"/>
  <c r="CZ117" i="8"/>
  <c r="BH399" i="7"/>
  <c r="DY41" i="7"/>
  <c r="CO153" i="7"/>
  <c r="CO552" i="7"/>
  <c r="CO557" i="7" s="1"/>
  <c r="CO171" i="7"/>
  <c r="DN196" i="45"/>
  <c r="DN192" i="45"/>
  <c r="DN193" i="45" s="1"/>
  <c r="EO294" i="7"/>
  <c r="CU77" i="7"/>
  <c r="CU167" i="7" s="1"/>
  <c r="CV167" i="7"/>
  <c r="CV75" i="7"/>
  <c r="G28" i="9" s="1"/>
  <c r="EB24" i="8"/>
  <c r="EC41" i="7"/>
  <c r="DM192" i="45"/>
  <c r="DM193" i="45" s="1"/>
  <c r="DM196" i="45"/>
  <c r="DN109" i="45"/>
  <c r="EJ241" i="7"/>
  <c r="EH241" i="7"/>
  <c r="EI239" i="7"/>
  <c r="BO405" i="7"/>
  <c r="EH426" i="45"/>
  <c r="DE288" i="7"/>
  <c r="DC286" i="7"/>
  <c r="DC299" i="7" s="1"/>
  <c r="DC253" i="7"/>
  <c r="DC250" i="7" s="1"/>
  <c r="DE254" i="7"/>
  <c r="BH398" i="7"/>
  <c r="BH390" i="7" s="1"/>
  <c r="BI390" i="7"/>
  <c r="BI391" i="7" s="1"/>
  <c r="DM293" i="45"/>
  <c r="DM290" i="45" s="1"/>
  <c r="BG27" i="7"/>
  <c r="BG358" i="7"/>
  <c r="BG198" i="8" s="1"/>
  <c r="BG359" i="7"/>
  <c r="DN505" i="7"/>
  <c r="DW204" i="45" l="1"/>
  <c r="EW203" i="8"/>
  <c r="EV350" i="7"/>
  <c r="ET351" i="7"/>
  <c r="ET208" i="8"/>
  <c r="EU208" i="8" s="1"/>
  <c r="FA212" i="45"/>
  <c r="EX321" i="45"/>
  <c r="EX322" i="45" s="1"/>
  <c r="FA325" i="45"/>
  <c r="EY224" i="45"/>
  <c r="EY328" i="45"/>
  <c r="EZ327" i="45"/>
  <c r="EZ328" i="45" s="1"/>
  <c r="EY319" i="45"/>
  <c r="EY218" i="45"/>
  <c r="EY200" i="45"/>
  <c r="EZ318" i="45"/>
  <c r="EZ319" i="45" s="1"/>
  <c r="FA321" i="45"/>
  <c r="FA322" i="45" s="1"/>
  <c r="FA316" i="45"/>
  <c r="EZ352" i="45"/>
  <c r="EZ124" i="45"/>
  <c r="EZ125" i="45" s="1"/>
  <c r="EB39" i="45"/>
  <c r="EW327" i="45"/>
  <c r="EW328" i="45" s="1"/>
  <c r="EX325" i="45"/>
  <c r="EX316" i="45"/>
  <c r="EW319" i="45"/>
  <c r="L11" i="9"/>
  <c r="EV200" i="45"/>
  <c r="EV218" i="45"/>
  <c r="EX319" i="45"/>
  <c r="EV224" i="45"/>
  <c r="DM288" i="45"/>
  <c r="DM291" i="45"/>
  <c r="DN290" i="45"/>
  <c r="DN291" i="45" s="1"/>
  <c r="DO288" i="45"/>
  <c r="DO291" i="45"/>
  <c r="EU319" i="45"/>
  <c r="ES218" i="45"/>
  <c r="ES200" i="45"/>
  <c r="EQ217" i="45"/>
  <c r="EQ218" i="45" s="1"/>
  <c r="ET214" i="45"/>
  <c r="EW214" i="45" s="1"/>
  <c r="EZ214" i="45" s="1"/>
  <c r="EE412" i="45"/>
  <c r="EE18" i="45"/>
  <c r="EE449" i="45"/>
  <c r="EE29" i="45" s="1"/>
  <c r="DT367" i="7"/>
  <c r="DU367" i="7" s="1"/>
  <c r="DR389" i="7"/>
  <c r="DS367" i="7"/>
  <c r="DT217" i="45"/>
  <c r="DT218" i="45" s="1"/>
  <c r="EH445" i="45"/>
  <c r="CC28" i="8"/>
  <c r="CD26" i="8"/>
  <c r="CD28" i="8" s="1"/>
  <c r="CE28" i="8"/>
  <c r="EG296" i="7"/>
  <c r="EI296" i="7" s="1"/>
  <c r="EE296" i="7"/>
  <c r="DE88" i="8"/>
  <c r="EM298" i="7"/>
  <c r="EO298" i="7" s="1"/>
  <c r="EK298" i="7"/>
  <c r="DF88" i="8"/>
  <c r="DI295" i="7"/>
  <c r="DH293" i="7"/>
  <c r="DG295" i="7"/>
  <c r="EP276" i="7"/>
  <c r="ER276" i="7" s="1"/>
  <c r="EN276" i="7"/>
  <c r="EG271" i="7"/>
  <c r="EI271" i="7" s="1"/>
  <c r="EE271" i="7"/>
  <c r="EL274" i="7"/>
  <c r="EH274" i="7"/>
  <c r="ED290" i="7"/>
  <c r="EF290" i="7" s="1"/>
  <c r="EB290" i="7"/>
  <c r="AF393" i="7"/>
  <c r="AF391" i="7"/>
  <c r="AI405" i="7"/>
  <c r="AH400" i="7"/>
  <c r="AG400" i="7" s="1"/>
  <c r="AH398" i="7"/>
  <c r="AH399" i="7"/>
  <c r="AG399" i="7" s="1"/>
  <c r="AD393" i="7"/>
  <c r="AE393" i="7" s="1"/>
  <c r="AD391" i="7"/>
  <c r="EH407" i="45"/>
  <c r="DR293" i="45"/>
  <c r="DL299" i="45"/>
  <c r="DL297" i="45"/>
  <c r="DL116" i="45" s="1"/>
  <c r="DB201" i="8"/>
  <c r="DC201" i="8" s="1"/>
  <c r="DA345" i="7"/>
  <c r="DA24" i="7" s="1"/>
  <c r="EG278" i="7"/>
  <c r="EI278" i="7" s="1"/>
  <c r="EE278" i="7"/>
  <c r="EG270" i="7"/>
  <c r="EI270" i="7" s="1"/>
  <c r="EE270" i="7"/>
  <c r="EI428" i="45"/>
  <c r="EI431" i="45" s="1"/>
  <c r="BJ25" i="7"/>
  <c r="ER214" i="45"/>
  <c r="ER215" i="45" s="1"/>
  <c r="CB143" i="7"/>
  <c r="CB144" i="7" s="1"/>
  <c r="CB147" i="7" s="1"/>
  <c r="CC143" i="7" s="1"/>
  <c r="CC144" i="7" s="1"/>
  <c r="CC147" i="7" s="1"/>
  <c r="CD143" i="7"/>
  <c r="CD144" i="7" s="1"/>
  <c r="CD147" i="7" s="1"/>
  <c r="BH25" i="7"/>
  <c r="DD263" i="7"/>
  <c r="DE184" i="7"/>
  <c r="BQ342" i="7"/>
  <c r="DH265" i="7"/>
  <c r="DF263" i="7"/>
  <c r="DF184" i="7" s="1"/>
  <c r="BQ389" i="7"/>
  <c r="BQ378" i="7"/>
  <c r="BS378" i="7"/>
  <c r="BS393" i="7"/>
  <c r="BS20" i="7" s="1"/>
  <c r="BS389" i="7"/>
  <c r="BS391" i="7" s="1"/>
  <c r="BH393" i="7"/>
  <c r="BH141" i="7" s="1"/>
  <c r="BH391" i="7"/>
  <c r="BP405" i="7"/>
  <c r="BI25" i="7"/>
  <c r="EK429" i="45"/>
  <c r="EK405" i="45" s="1"/>
  <c r="DG204" i="7"/>
  <c r="DH212" i="7"/>
  <c r="DZ201" i="45"/>
  <c r="DZ203" i="45"/>
  <c r="DZ221" i="45"/>
  <c r="CB145" i="8"/>
  <c r="CB141" i="8" s="1"/>
  <c r="CB214" i="8"/>
  <c r="CB184" i="8"/>
  <c r="CB215" i="8"/>
  <c r="CB74" i="7"/>
  <c r="CB162" i="7"/>
  <c r="CB151" i="7"/>
  <c r="CB31" i="7"/>
  <c r="CB164" i="7"/>
  <c r="CB166" i="7"/>
  <c r="CB333" i="7"/>
  <c r="CB334" i="7"/>
  <c r="CB335" i="7"/>
  <c r="CB336" i="7"/>
  <c r="CB327" i="7"/>
  <c r="CB328" i="7"/>
  <c r="CB329" i="7"/>
  <c r="CB330" i="7"/>
  <c r="CB331" i="7"/>
  <c r="CB147" i="8"/>
  <c r="CB143" i="8" s="1"/>
  <c r="CB146" i="8"/>
  <c r="CB142" i="8" s="1"/>
  <c r="CB70" i="7"/>
  <c r="CB163" i="7"/>
  <c r="CB161" i="7"/>
  <c r="CB62" i="7"/>
  <c r="CB160" i="7"/>
  <c r="CB287" i="8"/>
  <c r="CZ177" i="8"/>
  <c r="DA211" i="7"/>
  <c r="DA177" i="8" s="1"/>
  <c r="EA201" i="45"/>
  <c r="BM410" i="7"/>
  <c r="BL398" i="7"/>
  <c r="BL400" i="7"/>
  <c r="BL399" i="7"/>
  <c r="CX261" i="7"/>
  <c r="DZ223" i="45"/>
  <c r="DZ224" i="45" s="1"/>
  <c r="CB189" i="7"/>
  <c r="CB181" i="7"/>
  <c r="CB183" i="7" s="1"/>
  <c r="CB55" i="7"/>
  <c r="EJ24" i="8"/>
  <c r="EI24" i="8"/>
  <c r="EG41" i="7"/>
  <c r="DJ289" i="8"/>
  <c r="DK289" i="8" s="1"/>
  <c r="CW554" i="7"/>
  <c r="CW556" i="7" s="1"/>
  <c r="EL287" i="7"/>
  <c r="EB223" i="45"/>
  <c r="EB224" i="45" s="1"/>
  <c r="EB200" i="45"/>
  <c r="CS153" i="7"/>
  <c r="CR61" i="7"/>
  <c r="CS552" i="7"/>
  <c r="CS557" i="7" s="1"/>
  <c r="CY18" i="8"/>
  <c r="CY77" i="7"/>
  <c r="DN192" i="7"/>
  <c r="DN233" i="7"/>
  <c r="DM193" i="7"/>
  <c r="DM158" i="8" s="1"/>
  <c r="CA57" i="7"/>
  <c r="BZ58" i="7"/>
  <c r="EE24" i="8"/>
  <c r="EF41" i="7"/>
  <c r="EL259" i="7"/>
  <c r="EJ256" i="7"/>
  <c r="DB503" i="7"/>
  <c r="BI27" i="7"/>
  <c r="BI358" i="7"/>
  <c r="BI198" i="8" s="1"/>
  <c r="BI359" i="7"/>
  <c r="DA115" i="8"/>
  <c r="DA116" i="8" s="1"/>
  <c r="DA323" i="7"/>
  <c r="DA322" i="7"/>
  <c r="DA575" i="7"/>
  <c r="EA224" i="45"/>
  <c r="DL192" i="7"/>
  <c r="DL233" i="7"/>
  <c r="DL576" i="7" s="1"/>
  <c r="DM339" i="45"/>
  <c r="DK204" i="7"/>
  <c r="DJ192" i="7"/>
  <c r="CZ18" i="8"/>
  <c r="CZ77" i="7"/>
  <c r="DC115" i="8"/>
  <c r="DC116" i="8" s="1"/>
  <c r="DC324" i="7"/>
  <c r="DC322" i="7"/>
  <c r="DC575" i="7"/>
  <c r="DC323" i="7"/>
  <c r="EL241" i="7"/>
  <c r="EJ239" i="7"/>
  <c r="CV118" i="8"/>
  <c r="CU75" i="7"/>
  <c r="CV554" i="7"/>
  <c r="CV556" i="7" s="1"/>
  <c r="DF269" i="7"/>
  <c r="DD269" i="7"/>
  <c r="DE266" i="7"/>
  <c r="DY201" i="45"/>
  <c r="DA324" i="7"/>
  <c r="DA522" i="7" s="1"/>
  <c r="DA523" i="7" s="1"/>
  <c r="DB522" i="7"/>
  <c r="ED223" i="45"/>
  <c r="ED200" i="45"/>
  <c r="EP218" i="45"/>
  <c r="BX53" i="7"/>
  <c r="BX43" i="7" s="1"/>
  <c r="BW43" i="7" s="1"/>
  <c r="BW42" i="7"/>
  <c r="BW53" i="7" s="1"/>
  <c r="DO158" i="8"/>
  <c r="DO193" i="7" s="1"/>
  <c r="DO192" i="7" s="1"/>
  <c r="DT158" i="8"/>
  <c r="DW158" i="8" s="1"/>
  <c r="DW193" i="7" s="1"/>
  <c r="DQ193" i="7"/>
  <c r="EJ280" i="7"/>
  <c r="EL282" i="7"/>
  <c r="BJ393" i="7"/>
  <c r="BJ14" i="7" s="1"/>
  <c r="BJ391" i="7"/>
  <c r="EN446" i="45"/>
  <c r="DE253" i="7"/>
  <c r="AB45" i="9" s="1"/>
  <c r="DF254" i="7"/>
  <c r="DD254" i="7"/>
  <c r="DC260" i="7"/>
  <c r="DC261" i="7" s="1"/>
  <c r="DE286" i="7"/>
  <c r="DF288" i="7"/>
  <c r="DD288" i="7"/>
  <c r="DP293" i="45"/>
  <c r="DP290" i="45" s="1"/>
  <c r="DN504" i="7"/>
  <c r="EB41" i="7"/>
  <c r="DN30" i="45"/>
  <c r="EN153" i="8"/>
  <c r="EO153" i="8" s="1"/>
  <c r="EJ428" i="45"/>
  <c r="DK268" i="7"/>
  <c r="DL277" i="7"/>
  <c r="DJ277" i="7"/>
  <c r="EJ369" i="45"/>
  <c r="EH370" i="45"/>
  <c r="DB115" i="8"/>
  <c r="BW273" i="7"/>
  <c r="BW330" i="7" s="1"/>
  <c r="BX185" i="7"/>
  <c r="BX330" i="7"/>
  <c r="BX283" i="7"/>
  <c r="BY185" i="7"/>
  <c r="BY186" i="7" s="1"/>
  <c r="BJ12" i="7"/>
  <c r="EL267" i="7"/>
  <c r="CK404" i="7"/>
  <c r="CL404" i="7" s="1"/>
  <c r="CK443" i="7"/>
  <c r="EH239" i="7"/>
  <c r="EP294" i="7"/>
  <c r="EN294" i="7"/>
  <c r="EJ405" i="45"/>
  <c r="BF20" i="7"/>
  <c r="BF17" i="7"/>
  <c r="BF141" i="7"/>
  <c r="BH12" i="7"/>
  <c r="EN218" i="45"/>
  <c r="CR154" i="7"/>
  <c r="CR172" i="7"/>
  <c r="DD212" i="7"/>
  <c r="DE211" i="7"/>
  <c r="ER258" i="7"/>
  <c r="ES258" i="7" s="1"/>
  <c r="DA250" i="7"/>
  <c r="DB260" i="7"/>
  <c r="AA47" i="9" s="1"/>
  <c r="FA318" i="45" l="1"/>
  <c r="FA319" i="45" s="1"/>
  <c r="DW192" i="7"/>
  <c r="DW218" i="45"/>
  <c r="EV208" i="8"/>
  <c r="EV351" i="7"/>
  <c r="EW350" i="7"/>
  <c r="EY203" i="8"/>
  <c r="FA327" i="45"/>
  <c r="FA328" i="45" s="1"/>
  <c r="EZ217" i="45"/>
  <c r="EZ223" i="45"/>
  <c r="FA214" i="45"/>
  <c r="EY201" i="45"/>
  <c r="EE23" i="45"/>
  <c r="DC522" i="7"/>
  <c r="EX327" i="45"/>
  <c r="EX328" i="45" s="1"/>
  <c r="DR290" i="45"/>
  <c r="DR288" i="45" s="1"/>
  <c r="DU293" i="45"/>
  <c r="EW217" i="45"/>
  <c r="EW223" i="45"/>
  <c r="EX214" i="45"/>
  <c r="EV201" i="45"/>
  <c r="AB50" i="9"/>
  <c r="DP288" i="45"/>
  <c r="DP291" i="45"/>
  <c r="DQ290" i="45"/>
  <c r="DQ291" i="45" s="1"/>
  <c r="AA46" i="9"/>
  <c r="AA48" i="9"/>
  <c r="EE39" i="45"/>
  <c r="EE450" i="45"/>
  <c r="EQ276" i="7"/>
  <c r="ES276" i="7"/>
  <c r="EU276" i="7" s="1"/>
  <c r="ET217" i="45"/>
  <c r="ET223" i="45"/>
  <c r="EU214" i="45"/>
  <c r="EU215" i="45" s="1"/>
  <c r="EU258" i="7"/>
  <c r="EV258" i="7" s="1"/>
  <c r="EH411" i="45"/>
  <c r="EH7" i="45"/>
  <c r="DW367" i="7"/>
  <c r="BK400" i="7"/>
  <c r="BJ15" i="7"/>
  <c r="BH15" i="7"/>
  <c r="CH26" i="8"/>
  <c r="CF26" i="8"/>
  <c r="EP298" i="7"/>
  <c r="ER298" i="7" s="1"/>
  <c r="EN298" i="7"/>
  <c r="DH86" i="8"/>
  <c r="DG293" i="7"/>
  <c r="DG86" i="8" s="1"/>
  <c r="DG88" i="8" s="1"/>
  <c r="DK295" i="7"/>
  <c r="DI293" i="7"/>
  <c r="DI86" i="8" s="1"/>
  <c r="EJ296" i="7"/>
  <c r="EL296" i="7" s="1"/>
  <c r="EH296" i="7"/>
  <c r="EH271" i="7"/>
  <c r="EJ271" i="7"/>
  <c r="EL271" i="7" s="1"/>
  <c r="EE290" i="7"/>
  <c r="EG290" i="7"/>
  <c r="EI290" i="7" s="1"/>
  <c r="EO274" i="7"/>
  <c r="EK274" i="7"/>
  <c r="AG398" i="7"/>
  <c r="AG390" i="7" s="1"/>
  <c r="AH390" i="7"/>
  <c r="AH391" i="7" s="1"/>
  <c r="AK405" i="7"/>
  <c r="AI400" i="7"/>
  <c r="AI399" i="7"/>
  <c r="AI398" i="7"/>
  <c r="AI390" i="7" s="1"/>
  <c r="CD58" i="7"/>
  <c r="CD57" i="7" s="1"/>
  <c r="DL118" i="45"/>
  <c r="DO299" i="45"/>
  <c r="DO300" i="45" s="1"/>
  <c r="DO115" i="45"/>
  <c r="DO297" i="45"/>
  <c r="DO116" i="45" s="1"/>
  <c r="EC223" i="45"/>
  <c r="EC224" i="45" s="1"/>
  <c r="DL300" i="45"/>
  <c r="DD201" i="8"/>
  <c r="DC345" i="7"/>
  <c r="DC24" i="7" s="1"/>
  <c r="EJ278" i="7"/>
  <c r="EL278" i="7" s="1"/>
  <c r="EH278" i="7"/>
  <c r="EJ270" i="7"/>
  <c r="EL270" i="7" s="1"/>
  <c r="EH270" i="7"/>
  <c r="BJ141" i="7"/>
  <c r="BJ17" i="7"/>
  <c r="EL429" i="45"/>
  <c r="EL432" i="45" s="1"/>
  <c r="BH14" i="7"/>
  <c r="BH17" i="7"/>
  <c r="EL405" i="45"/>
  <c r="BT367" i="7"/>
  <c r="BS342" i="7"/>
  <c r="BT342" i="7" s="1"/>
  <c r="DD184" i="7"/>
  <c r="CE143" i="7"/>
  <c r="CE144" i="7" s="1"/>
  <c r="CE147" i="7" s="1"/>
  <c r="CF143" i="7" s="1"/>
  <c r="CF144" i="7" s="1"/>
  <c r="CF147" i="7" s="1"/>
  <c r="CG143" i="7"/>
  <c r="CG144" i="7" s="1"/>
  <c r="CG147" i="7" s="1"/>
  <c r="DI265" i="7"/>
  <c r="DI263" i="7" s="1"/>
  <c r="DG265" i="7"/>
  <c r="DH263" i="7"/>
  <c r="DA260" i="7"/>
  <c r="DB261" i="7"/>
  <c r="EQ258" i="7"/>
  <c r="DE177" i="8"/>
  <c r="DD211" i="7"/>
  <c r="DD177" i="8" s="1"/>
  <c r="BH27" i="7"/>
  <c r="BH358" i="7"/>
  <c r="BH359" i="7"/>
  <c r="EK428" i="45"/>
  <c r="EK404" i="45" s="1"/>
  <c r="DR158" i="8"/>
  <c r="DR193" i="7" s="1"/>
  <c r="DR192" i="7" s="1"/>
  <c r="DT193" i="7"/>
  <c r="DH269" i="7"/>
  <c r="DF266" i="7"/>
  <c r="CU554" i="7"/>
  <c r="CU556" i="7" s="1"/>
  <c r="EL239" i="7"/>
  <c r="EM241" i="7"/>
  <c r="EK241" i="7"/>
  <c r="CZ75" i="7"/>
  <c r="CZ167" i="7"/>
  <c r="DA77" i="7"/>
  <c r="DA167" i="7" s="1"/>
  <c r="EB201" i="45"/>
  <c r="DL289" i="8"/>
  <c r="EC200" i="45"/>
  <c r="BZ30" i="7"/>
  <c r="CV4" i="8"/>
  <c r="CV10" i="8" s="1"/>
  <c r="CV69" i="7"/>
  <c r="CW173" i="7"/>
  <c r="CV339" i="7"/>
  <c r="CV325" i="7"/>
  <c r="CV337" i="7"/>
  <c r="CV155" i="7"/>
  <c r="CV179" i="7"/>
  <c r="CV518" i="7"/>
  <c r="CV525" i="7" s="1"/>
  <c r="CT177" i="7"/>
  <c r="EM259" i="7"/>
  <c r="EK259" i="7"/>
  <c r="EL256" i="7"/>
  <c r="EK256" i="7" s="1"/>
  <c r="BZ57" i="7"/>
  <c r="BZ155" i="8" s="1"/>
  <c r="CA181" i="7"/>
  <c r="CA155" i="8"/>
  <c r="CA55" i="7"/>
  <c r="CX77" i="7"/>
  <c r="CX167" i="7" s="1"/>
  <c r="CY167" i="7"/>
  <c r="CY75" i="7"/>
  <c r="H28" i="9" s="1"/>
  <c r="CW4" i="8"/>
  <c r="CW10" i="8" s="1"/>
  <c r="CW69" i="7"/>
  <c r="CW155" i="7"/>
  <c r="CW179" i="7"/>
  <c r="CW183" i="7" s="1"/>
  <c r="CW339" i="7"/>
  <c r="CW325" i="7"/>
  <c r="CW337" i="7"/>
  <c r="CW518" i="7"/>
  <c r="BK398" i="7"/>
  <c r="BK390" i="7" s="1"/>
  <c r="BL390" i="7"/>
  <c r="BL391" i="7" s="1"/>
  <c r="DZ217" i="45"/>
  <c r="DZ204" i="45"/>
  <c r="DG212" i="7"/>
  <c r="DH211" i="7"/>
  <c r="DM297" i="45"/>
  <c r="DM116" i="45" s="1"/>
  <c r="DM299" i="45"/>
  <c r="DH288" i="7"/>
  <c r="DF286" i="7"/>
  <c r="DF299" i="7" s="1"/>
  <c r="DE250" i="7"/>
  <c r="DD253" i="7"/>
  <c r="BJ20" i="7"/>
  <c r="ED201" i="45"/>
  <c r="EK426" i="45"/>
  <c r="EK445" i="45" s="1"/>
  <c r="DJ204" i="7"/>
  <c r="DK212" i="7"/>
  <c r="EE41" i="7"/>
  <c r="DM233" i="7"/>
  <c r="DM576" i="7" s="1"/>
  <c r="DO233" i="7"/>
  <c r="DO576" i="7" s="1"/>
  <c r="DQ233" i="7"/>
  <c r="DN576" i="7"/>
  <c r="EC221" i="45"/>
  <c r="EM287" i="7"/>
  <c r="EK287" i="7"/>
  <c r="CB159" i="7"/>
  <c r="CB152" i="7"/>
  <c r="CB56" i="7"/>
  <c r="BO410" i="7"/>
  <c r="BM398" i="7"/>
  <c r="BM390" i="7" s="1"/>
  <c r="BM399" i="7"/>
  <c r="BM400" i="7"/>
  <c r="BM12" i="7" s="1"/>
  <c r="CB288" i="8"/>
  <c r="CB45" i="7"/>
  <c r="CE125" i="8" s="1"/>
  <c r="BH20" i="7"/>
  <c r="BI393" i="7"/>
  <c r="BI15" i="7" s="1"/>
  <c r="DL268" i="7"/>
  <c r="DJ268" i="7"/>
  <c r="BW283" i="7"/>
  <c r="BW565" i="7" s="1"/>
  <c r="BW566" i="7" s="1"/>
  <c r="BX300" i="7"/>
  <c r="BX565" i="7"/>
  <c r="BX566" i="7" s="1"/>
  <c r="EK369" i="45"/>
  <c r="EJ370" i="45"/>
  <c r="DD286" i="7"/>
  <c r="DE299" i="7"/>
  <c r="DD299" i="7" s="1"/>
  <c r="EQ446" i="45"/>
  <c r="ET446" i="45" s="1"/>
  <c r="EW446" i="45" s="1"/>
  <c r="CE58" i="7"/>
  <c r="CE57" i="7" s="1"/>
  <c r="CR153" i="7"/>
  <c r="CR171" i="7"/>
  <c r="CR552" i="7"/>
  <c r="CR557" i="7" s="1"/>
  <c r="EH24" i="8"/>
  <c r="EI41" i="7"/>
  <c r="CZ30" i="7"/>
  <c r="EM429" i="45"/>
  <c r="BR405" i="7"/>
  <c r="DS293" i="45"/>
  <c r="DF253" i="7"/>
  <c r="DF250" i="7" s="1"/>
  <c r="DH254" i="7"/>
  <c r="EE34" i="45"/>
  <c r="CL443" i="7"/>
  <c r="BJ27" i="7"/>
  <c r="BJ358" i="7"/>
  <c r="BJ198" i="8" s="1"/>
  <c r="BJ359" i="7"/>
  <c r="DN277" i="7"/>
  <c r="ED224" i="45"/>
  <c r="DE324" i="7"/>
  <c r="DD266" i="7"/>
  <c r="DE323" i="7"/>
  <c r="DE322" i="7"/>
  <c r="DE575" i="7"/>
  <c r="DM192" i="7"/>
  <c r="EE223" i="45"/>
  <c r="EE224" i="45" s="1"/>
  <c r="EE200" i="45"/>
  <c r="EF200" i="45" s="1"/>
  <c r="EL24" i="8"/>
  <c r="EM24" i="8"/>
  <c r="EJ41" i="7"/>
  <c r="CC189" i="7"/>
  <c r="CB188" i="7"/>
  <c r="ER294" i="7"/>
  <c r="ES294" i="7" s="1"/>
  <c r="EE12" i="45"/>
  <c r="EM267" i="7"/>
  <c r="EK267" i="7"/>
  <c r="BW185" i="7"/>
  <c r="BX186" i="7"/>
  <c r="BW186" i="7" s="1"/>
  <c r="EP153" i="8"/>
  <c r="CE30" i="7"/>
  <c r="EM282" i="7"/>
  <c r="EK282" i="7"/>
  <c r="EL280" i="7"/>
  <c r="EK280" i="7" s="1"/>
  <c r="DQ192" i="7"/>
  <c r="DP193" i="7"/>
  <c r="DP158" i="8" s="1"/>
  <c r="EG223" i="45"/>
  <c r="EG200" i="45"/>
  <c r="DC117" i="8"/>
  <c r="DA117" i="8"/>
  <c r="DA18" i="8" s="1"/>
  <c r="DB116" i="8"/>
  <c r="DB117" i="8" s="1"/>
  <c r="DB18" i="8" s="1"/>
  <c r="BK399" i="7"/>
  <c r="DU290" i="45" l="1"/>
  <c r="DX293" i="45"/>
  <c r="DX290" i="45" s="1"/>
  <c r="DS290" i="45"/>
  <c r="DS291" i="45" s="1"/>
  <c r="DV293" i="45"/>
  <c r="DV290" i="45" s="1"/>
  <c r="DW290" i="45" s="1"/>
  <c r="DU288" i="45"/>
  <c r="DW204" i="7"/>
  <c r="EY350" i="7"/>
  <c r="EZ203" i="8"/>
  <c r="EZ350" i="7" s="1"/>
  <c r="EW208" i="8"/>
  <c r="EX208" i="8" s="1"/>
  <c r="EW351" i="7"/>
  <c r="FA215" i="45"/>
  <c r="EW445" i="45"/>
  <c r="EZ446" i="45"/>
  <c r="EZ445" i="45" s="1"/>
  <c r="EZ224" i="45"/>
  <c r="FA223" i="45"/>
  <c r="EZ218" i="45"/>
  <c r="EZ200" i="45"/>
  <c r="DR291" i="45"/>
  <c r="DU291" i="45"/>
  <c r="EX258" i="7"/>
  <c r="EY258" i="7" s="1"/>
  <c r="ET276" i="7"/>
  <c r="EV276" i="7"/>
  <c r="EX276" i="7" s="1"/>
  <c r="EX215" i="45"/>
  <c r="EW224" i="45"/>
  <c r="EX223" i="45"/>
  <c r="EW200" i="45"/>
  <c r="EW218" i="45"/>
  <c r="EQ298" i="7"/>
  <c r="ES298" i="7"/>
  <c r="EU298" i="7" s="1"/>
  <c r="EU223" i="45"/>
  <c r="ET258" i="7"/>
  <c r="ET218" i="45"/>
  <c r="ET200" i="45"/>
  <c r="EU294" i="7"/>
  <c r="EV294" i="7" s="1"/>
  <c r="EH18" i="45"/>
  <c r="EH412" i="45"/>
  <c r="EH449" i="45"/>
  <c r="CI26" i="8"/>
  <c r="CI28" i="8" s="1"/>
  <c r="CF28" i="8"/>
  <c r="CG26" i="8"/>
  <c r="CG28" i="8" s="1"/>
  <c r="CH28" i="8"/>
  <c r="DK293" i="7"/>
  <c r="DL295" i="7"/>
  <c r="DJ295" i="7"/>
  <c r="DI88" i="8"/>
  <c r="DH88" i="8"/>
  <c r="EM296" i="7"/>
  <c r="EO296" i="7" s="1"/>
  <c r="EK296" i="7"/>
  <c r="EK271" i="7"/>
  <c r="EM271" i="7"/>
  <c r="EO271" i="7" s="1"/>
  <c r="ER274" i="7"/>
  <c r="EN274" i="7"/>
  <c r="EJ290" i="7"/>
  <c r="EL290" i="7" s="1"/>
  <c r="EH290" i="7"/>
  <c r="AI393" i="7"/>
  <c r="AI391" i="7"/>
  <c r="AL405" i="7"/>
  <c r="AK399" i="7"/>
  <c r="AJ399" i="7" s="1"/>
  <c r="AK398" i="7"/>
  <c r="AK400" i="7"/>
  <c r="AG393" i="7"/>
  <c r="AH393" i="7" s="1"/>
  <c r="AG391" i="7"/>
  <c r="CC58" i="7"/>
  <c r="DE201" i="8"/>
  <c r="DF201" i="8" s="1"/>
  <c r="DD345" i="7"/>
  <c r="DD24" i="7" s="1"/>
  <c r="DM300" i="45"/>
  <c r="DR299" i="45"/>
  <c r="DR300" i="45" s="1"/>
  <c r="DR297" i="45"/>
  <c r="DR116" i="45" s="1"/>
  <c r="DR115" i="45"/>
  <c r="DL121" i="45"/>
  <c r="DL129" i="45"/>
  <c r="DL119" i="45"/>
  <c r="DB506" i="7"/>
  <c r="EM278" i="7"/>
  <c r="EO278" i="7" s="1"/>
  <c r="EK278" i="7"/>
  <c r="EM270" i="7"/>
  <c r="EO270" i="7" s="1"/>
  <c r="EK270" i="7"/>
  <c r="DE115" i="8"/>
  <c r="DI184" i="7"/>
  <c r="BL25" i="7"/>
  <c r="EL428" i="45"/>
  <c r="EL431" i="45" s="1"/>
  <c r="CJ143" i="7"/>
  <c r="CJ144" i="7" s="1"/>
  <c r="CJ147" i="7" s="1"/>
  <c r="CH143" i="7"/>
  <c r="CH144" i="7" s="1"/>
  <c r="CH147" i="7" s="1"/>
  <c r="CI143" i="7" s="1"/>
  <c r="CI144" i="7" s="1"/>
  <c r="CI147" i="7" s="1"/>
  <c r="BK25" i="7"/>
  <c r="BM25" i="7"/>
  <c r="DG263" i="7"/>
  <c r="DH184" i="7"/>
  <c r="DK184" i="7"/>
  <c r="BT389" i="7"/>
  <c r="BT391" i="7" s="1"/>
  <c r="BT393" i="7"/>
  <c r="BT378" i="7"/>
  <c r="EF201" i="45"/>
  <c r="EF203" i="45"/>
  <c r="EO282" i="7"/>
  <c r="EM280" i="7"/>
  <c r="DC18" i="8"/>
  <c r="DC118" i="8"/>
  <c r="DD118" i="8" s="1"/>
  <c r="DC77" i="7"/>
  <c r="EQ294" i="7"/>
  <c r="EG224" i="45"/>
  <c r="EQ153" i="8"/>
  <c r="ER153" i="8" s="1"/>
  <c r="ES153" i="8" s="1"/>
  <c r="ET153" i="8" s="1"/>
  <c r="EU153" i="8" s="1"/>
  <c r="EV153" i="8" s="1"/>
  <c r="EW153" i="8" s="1"/>
  <c r="EX153" i="8" s="1"/>
  <c r="EY153" i="8" s="1"/>
  <c r="EZ153" i="8" s="1"/>
  <c r="FA153" i="8" s="1"/>
  <c r="EK24" i="8"/>
  <c r="EL41" i="7"/>
  <c r="CE33" i="7"/>
  <c r="EM369" i="45"/>
  <c r="EK370" i="45"/>
  <c r="DH286" i="7"/>
  <c r="DI288" i="7"/>
  <c r="DG288" i="7"/>
  <c r="CU4" i="8"/>
  <c r="CU10" i="8" s="1"/>
  <c r="CU177" i="7"/>
  <c r="CU325" i="7"/>
  <c r="CU337" i="7"/>
  <c r="CU155" i="7"/>
  <c r="CU173" i="7"/>
  <c r="CU518" i="7"/>
  <c r="CU339" i="7"/>
  <c r="CZ33" i="7"/>
  <c r="W7" i="9" s="1"/>
  <c r="DN268" i="7"/>
  <c r="DA30" i="7"/>
  <c r="CB132" i="8"/>
  <c r="CB133" i="8" s="1"/>
  <c r="DN297" i="45"/>
  <c r="DN116" i="45" s="1"/>
  <c r="AE64" i="9" s="1"/>
  <c r="DN299" i="45"/>
  <c r="DN300" i="45" s="1"/>
  <c r="BZ55" i="7"/>
  <c r="CA152" i="7"/>
  <c r="EO259" i="7"/>
  <c r="EM256" i="7"/>
  <c r="CV154" i="7"/>
  <c r="CU69" i="7"/>
  <c r="CW172" i="7" s="1"/>
  <c r="DF115" i="8"/>
  <c r="DF116" i="8" s="1"/>
  <c r="DF324" i="7"/>
  <c r="DF575" i="7"/>
  <c r="DF323" i="7"/>
  <c r="DF322" i="7"/>
  <c r="DT192" i="7"/>
  <c r="DS193" i="7"/>
  <c r="DS158" i="8" s="1"/>
  <c r="BZ33" i="7"/>
  <c r="EJ223" i="45"/>
  <c r="EJ200" i="45"/>
  <c r="CB294" i="8"/>
  <c r="CB155" i="8"/>
  <c r="CC188" i="7"/>
  <c r="CB204" i="7"/>
  <c r="CB215" i="7"/>
  <c r="CB218" i="7"/>
  <c r="EF221" i="45"/>
  <c r="DO277" i="7"/>
  <c r="DM277" i="7"/>
  <c r="BS405" i="7"/>
  <c r="CE181" i="7"/>
  <c r="CE183" i="7" s="1"/>
  <c r="CE155" i="8"/>
  <c r="CE55" i="7"/>
  <c r="CC57" i="7"/>
  <c r="CD181" i="7"/>
  <c r="CD155" i="8"/>
  <c r="CD55" i="7"/>
  <c r="DO339" i="45"/>
  <c r="DK211" i="7"/>
  <c r="DJ212" i="7"/>
  <c r="CX75" i="7"/>
  <c r="CY180" i="7"/>
  <c r="CY554" i="7"/>
  <c r="CY556" i="7" s="1"/>
  <c r="BZ166" i="7"/>
  <c r="BZ151" i="7"/>
  <c r="BZ31" i="7"/>
  <c r="BZ169" i="7"/>
  <c r="BZ327" i="7"/>
  <c r="BZ328" i="7"/>
  <c r="BZ329" i="7"/>
  <c r="BZ333" i="7"/>
  <c r="BZ334" i="7"/>
  <c r="BZ335" i="7"/>
  <c r="BZ336" i="7"/>
  <c r="BZ294" i="8"/>
  <c r="BZ145" i="8"/>
  <c r="BZ147" i="8"/>
  <c r="BZ146" i="8"/>
  <c r="BZ164" i="7"/>
  <c r="BZ331" i="7"/>
  <c r="BZ163" i="7"/>
  <c r="BZ74" i="7"/>
  <c r="BZ162" i="7"/>
  <c r="BZ70" i="7"/>
  <c r="BZ161" i="7"/>
  <c r="BZ160" i="7"/>
  <c r="BZ62" i="7"/>
  <c r="CA30" i="7"/>
  <c r="CA159" i="7" s="1"/>
  <c r="CB169" i="7"/>
  <c r="DM289" i="8"/>
  <c r="DN289" i="8" s="1"/>
  <c r="DI269" i="7"/>
  <c r="DG269" i="7"/>
  <c r="DH266" i="7"/>
  <c r="BH198" i="8"/>
  <c r="BH205" i="8"/>
  <c r="CM443" i="7"/>
  <c r="DP192" i="7"/>
  <c r="EH223" i="45"/>
  <c r="EH224" i="45" s="1"/>
  <c r="EH200" i="45"/>
  <c r="DD115" i="8"/>
  <c r="DD116" i="8" s="1"/>
  <c r="DD323" i="7"/>
  <c r="DD322" i="7"/>
  <c r="DD575" i="7"/>
  <c r="EO287" i="7"/>
  <c r="DD250" i="7"/>
  <c r="DE260" i="7"/>
  <c r="AB47" i="9" s="1"/>
  <c r="DH177" i="8"/>
  <c r="DG211" i="7"/>
  <c r="DG177" i="8" s="1"/>
  <c r="BZ181" i="7"/>
  <c r="CA183" i="7"/>
  <c r="EO241" i="7"/>
  <c r="EM239" i="7"/>
  <c r="DU158" i="8"/>
  <c r="DU193" i="7" s="1"/>
  <c r="DZ158" i="8"/>
  <c r="EK407" i="45"/>
  <c r="DP115" i="45"/>
  <c r="DP297" i="45"/>
  <c r="DP116" i="45" s="1"/>
  <c r="DP299" i="45"/>
  <c r="DP300" i="45" s="1"/>
  <c r="EG201" i="45"/>
  <c r="CE145" i="8"/>
  <c r="CE141" i="8" s="1"/>
  <c r="CE184" i="8"/>
  <c r="CE215" i="8"/>
  <c r="CE214" i="8"/>
  <c r="CE70" i="7"/>
  <c r="CE151" i="7"/>
  <c r="CE164" i="7"/>
  <c r="CE31" i="7"/>
  <c r="CE161" i="7"/>
  <c r="CE74" i="7"/>
  <c r="CE162" i="7"/>
  <c r="CE166" i="7"/>
  <c r="CE333" i="7"/>
  <c r="CE334" i="7"/>
  <c r="CE335" i="7"/>
  <c r="CE336" i="7"/>
  <c r="CE327" i="7"/>
  <c r="CE328" i="7"/>
  <c r="CE329" i="7"/>
  <c r="CE330" i="7"/>
  <c r="CE331" i="7"/>
  <c r="CE146" i="8"/>
  <c r="CE142" i="8" s="1"/>
  <c r="CE147" i="8"/>
  <c r="CE143" i="8" s="1"/>
  <c r="CE294" i="8"/>
  <c r="CE163" i="7"/>
  <c r="CE160" i="7"/>
  <c r="CE62" i="7"/>
  <c r="CE287" i="8"/>
  <c r="EO267" i="7"/>
  <c r="DD324" i="7"/>
  <c r="DE522" i="7"/>
  <c r="DE523" i="7" s="1"/>
  <c r="DI254" i="7"/>
  <c r="DH253" i="7"/>
  <c r="AC45" i="9" s="1"/>
  <c r="DG254" i="7"/>
  <c r="EM405" i="45"/>
  <c r="EH41" i="7"/>
  <c r="EL369" i="45"/>
  <c r="EL370" i="45" s="1"/>
  <c r="BM393" i="7"/>
  <c r="BM17" i="7" s="1"/>
  <c r="BM391" i="7"/>
  <c r="DT233" i="7"/>
  <c r="DQ576" i="7"/>
  <c r="DP233" i="7"/>
  <c r="DP576" i="7" s="1"/>
  <c r="DR233" i="7"/>
  <c r="DR576" i="7" s="1"/>
  <c r="DZ218" i="45"/>
  <c r="BK393" i="7"/>
  <c r="BK15" i="7" s="1"/>
  <c r="BK391" i="7"/>
  <c r="CW61" i="7"/>
  <c r="CW154" i="7"/>
  <c r="DA75" i="7"/>
  <c r="CZ554" i="7"/>
  <c r="CZ556" i="7" s="1"/>
  <c r="EK239" i="7"/>
  <c r="EM428" i="45"/>
  <c r="EP24" i="8"/>
  <c r="ES24" i="8" s="1"/>
  <c r="EV24" i="8" s="1"/>
  <c r="EY24" i="8" s="1"/>
  <c r="EO24" i="8"/>
  <c r="EM41" i="7"/>
  <c r="EE201" i="45"/>
  <c r="EF223" i="45"/>
  <c r="EF224" i="45" s="1"/>
  <c r="DF260" i="7"/>
  <c r="DF261" i="7" s="1"/>
  <c r="EN429" i="45"/>
  <c r="EN405" i="45" s="1"/>
  <c r="CZ145" i="8"/>
  <c r="CZ141" i="8" s="1"/>
  <c r="CZ147" i="8"/>
  <c r="CZ143" i="8" s="1"/>
  <c r="CZ214" i="8"/>
  <c r="CZ184" i="8"/>
  <c r="CZ215" i="8"/>
  <c r="CZ166" i="7"/>
  <c r="CZ333" i="7"/>
  <c r="CZ334" i="7"/>
  <c r="CZ335" i="7"/>
  <c r="CZ327" i="7"/>
  <c r="CZ328" i="7"/>
  <c r="CZ279" i="7"/>
  <c r="CZ273" i="7" s="1"/>
  <c r="CZ294" i="8"/>
  <c r="CZ146" i="8"/>
  <c r="CZ142" i="8" s="1"/>
  <c r="CZ164" i="7"/>
  <c r="CZ163" i="7"/>
  <c r="CZ331" i="7"/>
  <c r="CZ336" i="7"/>
  <c r="CZ287" i="8"/>
  <c r="CZ45" i="7" s="1"/>
  <c r="CZ329" i="7"/>
  <c r="BW300" i="7"/>
  <c r="BW569" i="7" s="1"/>
  <c r="BW571" i="7" s="1"/>
  <c r="BW574" i="7" s="1"/>
  <c r="BX569" i="7"/>
  <c r="BX571" i="7" s="1"/>
  <c r="BX574" i="7" s="1"/>
  <c r="BX302" i="7"/>
  <c r="BI20" i="7"/>
  <c r="BI17" i="7"/>
  <c r="BI141" i="7"/>
  <c r="BP410" i="7"/>
  <c r="BO398" i="7"/>
  <c r="BO400" i="7"/>
  <c r="BO12" i="7" s="1"/>
  <c r="BO399" i="7"/>
  <c r="CU179" i="7"/>
  <c r="EC203" i="45"/>
  <c r="EC201" i="45"/>
  <c r="DA261" i="7"/>
  <c r="DB337" i="7"/>
  <c r="DX291" i="45" l="1"/>
  <c r="DY291" i="45" s="1"/>
  <c r="DX288" i="45"/>
  <c r="DS288" i="45"/>
  <c r="DT290" i="45"/>
  <c r="DT291" i="45" s="1"/>
  <c r="DW288" i="45"/>
  <c r="DW293" i="45"/>
  <c r="DU192" i="7"/>
  <c r="DV192" i="7" s="1"/>
  <c r="DV193" i="7"/>
  <c r="DV158" i="8" s="1"/>
  <c r="DV288" i="45"/>
  <c r="DV291" i="45"/>
  <c r="EZ208" i="8"/>
  <c r="EZ351" i="7"/>
  <c r="EY351" i="7"/>
  <c r="EY208" i="8"/>
  <c r="EY41" i="7"/>
  <c r="FA24" i="8"/>
  <c r="FA258" i="7"/>
  <c r="EZ201" i="45"/>
  <c r="FA200" i="45"/>
  <c r="EW276" i="7"/>
  <c r="EY276" i="7"/>
  <c r="FA224" i="45"/>
  <c r="EH23" i="45"/>
  <c r="DD522" i="7"/>
  <c r="DF522" i="7"/>
  <c r="DY290" i="45"/>
  <c r="DY288" i="45" s="1"/>
  <c r="EB291" i="45"/>
  <c r="ED291" i="45"/>
  <c r="AC50" i="9"/>
  <c r="EX24" i="8"/>
  <c r="EV41" i="7"/>
  <c r="EX294" i="7"/>
  <c r="EY294" i="7" s="1"/>
  <c r="ET298" i="7"/>
  <c r="EV298" i="7"/>
  <c r="EX298" i="7" s="1"/>
  <c r="EW258" i="7"/>
  <c r="EW201" i="45"/>
  <c r="EX200" i="45"/>
  <c r="EX224" i="45"/>
  <c r="W12" i="9"/>
  <c r="AB48" i="9"/>
  <c r="AB46" i="9"/>
  <c r="EQ274" i="7"/>
  <c r="EU274" i="7"/>
  <c r="ET294" i="7"/>
  <c r="EU200" i="45"/>
  <c r="ES41" i="7"/>
  <c r="EU24" i="8"/>
  <c r="EH450" i="45"/>
  <c r="EH29" i="45"/>
  <c r="EK411" i="45"/>
  <c r="EK7" i="45"/>
  <c r="BM15" i="7"/>
  <c r="CG58" i="7"/>
  <c r="CG57" i="7" s="1"/>
  <c r="CJ26" i="8"/>
  <c r="CJ28" i="8" s="1"/>
  <c r="CK26" i="8"/>
  <c r="DN295" i="7"/>
  <c r="DL293" i="7"/>
  <c r="DL86" i="8" s="1"/>
  <c r="EP296" i="7"/>
  <c r="ER296" i="7" s="1"/>
  <c r="EN296" i="7"/>
  <c r="DJ293" i="7"/>
  <c r="DJ86" i="8" s="1"/>
  <c r="DJ88" i="8" s="1"/>
  <c r="DK86" i="8"/>
  <c r="EP271" i="7"/>
  <c r="ER271" i="7" s="1"/>
  <c r="EN271" i="7"/>
  <c r="EM290" i="7"/>
  <c r="EO290" i="7" s="1"/>
  <c r="EK290" i="7"/>
  <c r="AJ400" i="7"/>
  <c r="AK12" i="7"/>
  <c r="AJ398" i="7"/>
  <c r="AJ390" i="7" s="1"/>
  <c r="AK390" i="7"/>
  <c r="AK391" i="7" s="1"/>
  <c r="AL399" i="7"/>
  <c r="AL398" i="7"/>
  <c r="AL390" i="7" s="1"/>
  <c r="AL400" i="7"/>
  <c r="AM400" i="7" s="1"/>
  <c r="EA293" i="45"/>
  <c r="DL357" i="45"/>
  <c r="DL361" i="45" s="1"/>
  <c r="DL130" i="45"/>
  <c r="DU115" i="45"/>
  <c r="DW115" i="45" s="1"/>
  <c r="DU116" i="45"/>
  <c r="DU299" i="45"/>
  <c r="DG201" i="8"/>
  <c r="DF345" i="7"/>
  <c r="DF24" i="7" s="1"/>
  <c r="DL122" i="45"/>
  <c r="EP278" i="7"/>
  <c r="ER278" i="7" s="1"/>
  <c r="EN278" i="7"/>
  <c r="EP270" i="7"/>
  <c r="ER270" i="7" s="1"/>
  <c r="EN270" i="7"/>
  <c r="DB30" i="7"/>
  <c r="DB184" i="8" s="1"/>
  <c r="DA184" i="8" s="1"/>
  <c r="EO405" i="45"/>
  <c r="DG184" i="7"/>
  <c r="BT20" i="7"/>
  <c r="BU393" i="7"/>
  <c r="CA56" i="7"/>
  <c r="DJ184" i="7"/>
  <c r="CK143" i="7"/>
  <c r="CK144" i="7" s="1"/>
  <c r="CK147" i="7" s="1"/>
  <c r="CL143" i="7" s="1"/>
  <c r="CL144" i="7" s="1"/>
  <c r="CL147" i="7" s="1"/>
  <c r="CM143" i="7"/>
  <c r="CM144" i="7" s="1"/>
  <c r="CM147" i="7" s="1"/>
  <c r="DA554" i="7"/>
  <c r="DA556" i="7" s="1"/>
  <c r="BM141" i="7"/>
  <c r="BX577" i="7"/>
  <c r="BX579" i="7"/>
  <c r="BW577" i="7"/>
  <c r="BW579" i="7"/>
  <c r="EC204" i="45"/>
  <c r="EC217" i="45"/>
  <c r="EC218" i="45" s="1"/>
  <c r="EN428" i="45"/>
  <c r="EN404" i="45" s="1"/>
  <c r="BN399" i="7"/>
  <c r="BN400" i="7"/>
  <c r="BN12" i="7" s="1"/>
  <c r="BW302" i="7"/>
  <c r="BW319" i="7" s="1"/>
  <c r="BX319" i="7"/>
  <c r="ER24" i="8"/>
  <c r="EP41" i="7"/>
  <c r="DH250" i="7"/>
  <c r="DG253" i="7"/>
  <c r="CE288" i="8"/>
  <c r="CE45" i="7"/>
  <c r="CH125" i="8" s="1"/>
  <c r="DQ297" i="45"/>
  <c r="DQ116" i="45" s="1"/>
  <c r="DQ299" i="45"/>
  <c r="DQ300" i="45" s="1"/>
  <c r="EP241" i="7"/>
  <c r="EN241" i="7"/>
  <c r="EO239" i="7"/>
  <c r="DD117" i="8"/>
  <c r="DD18" i="8" s="1"/>
  <c r="DE116" i="8"/>
  <c r="DE117" i="8" s="1"/>
  <c r="DA33" i="7"/>
  <c r="X7" i="9" s="1"/>
  <c r="DO289" i="8"/>
  <c r="DJ211" i="7"/>
  <c r="DQ277" i="7"/>
  <c r="CB212" i="7"/>
  <c r="CC204" i="7"/>
  <c r="EM223" i="45"/>
  <c r="EM200" i="45"/>
  <c r="DG286" i="7"/>
  <c r="DH299" i="7"/>
  <c r="DG299" i="7" s="1"/>
  <c r="EN369" i="45"/>
  <c r="EO369" i="45" s="1"/>
  <c r="EO370" i="45" s="1"/>
  <c r="EM370" i="45"/>
  <c r="CW55" i="7"/>
  <c r="CW552" i="7"/>
  <c r="CW557" i="7" s="1"/>
  <c r="DI253" i="7"/>
  <c r="DI250" i="7" s="1"/>
  <c r="DK254" i="7"/>
  <c r="EC158" i="8"/>
  <c r="DX158" i="8"/>
  <c r="DX193" i="7" s="1"/>
  <c r="CH30" i="7"/>
  <c r="EN426" i="45"/>
  <c r="EN445" i="45" s="1"/>
  <c r="EH201" i="45"/>
  <c r="CA146" i="8"/>
  <c r="CA142" i="8" s="1"/>
  <c r="BZ142" i="8"/>
  <c r="CC181" i="7"/>
  <c r="CD183" i="7"/>
  <c r="CC155" i="8"/>
  <c r="CC215" i="7"/>
  <c r="CC30" i="7"/>
  <c r="DS192" i="7"/>
  <c r="BN398" i="7"/>
  <c r="BN390" i="7" s="1"/>
  <c r="BO390" i="7"/>
  <c r="BO391" i="7" s="1"/>
  <c r="CN133" i="8"/>
  <c r="CN404" i="7"/>
  <c r="CO404" i="7" s="1"/>
  <c r="CN443" i="7"/>
  <c r="DK269" i="7"/>
  <c r="DI266" i="7"/>
  <c r="CA147" i="8"/>
  <c r="CA143" i="8" s="1"/>
  <c r="BZ143" i="8"/>
  <c r="CX180" i="7"/>
  <c r="BM27" i="7"/>
  <c r="BM358" i="7"/>
  <c r="BM198" i="8" s="1"/>
  <c r="BM359" i="7"/>
  <c r="BZ32" i="7"/>
  <c r="CA33" i="7"/>
  <c r="DF117" i="8"/>
  <c r="CU154" i="7"/>
  <c r="CU172" i="7"/>
  <c r="BZ152" i="7"/>
  <c r="BZ56" i="7"/>
  <c r="BZ170" i="7"/>
  <c r="BZ159" i="7"/>
  <c r="CB170" i="7"/>
  <c r="EK41" i="7"/>
  <c r="DC75" i="7"/>
  <c r="DC167" i="7"/>
  <c r="EP282" i="7"/>
  <c r="EO280" i="7"/>
  <c r="EN280" i="7" s="1"/>
  <c r="EN282" i="7"/>
  <c r="EF204" i="45"/>
  <c r="EF217" i="45"/>
  <c r="DS233" i="7"/>
  <c r="DS576" i="7" s="1"/>
  <c r="DU233" i="7"/>
  <c r="DU576" i="7" s="1"/>
  <c r="DT576" i="7"/>
  <c r="DC125" i="8"/>
  <c r="BK20" i="7"/>
  <c r="BL393" i="7"/>
  <c r="BK141" i="7"/>
  <c r="EH12" i="45"/>
  <c r="EO429" i="45"/>
  <c r="EO432" i="45" s="1"/>
  <c r="DQ115" i="45"/>
  <c r="N64" i="9" s="1"/>
  <c r="EP287" i="7"/>
  <c r="EN287" i="7"/>
  <c r="DP339" i="45"/>
  <c r="CA184" i="8"/>
  <c r="BZ184" i="8" s="1"/>
  <c r="CA215" i="8"/>
  <c r="BZ215" i="8" s="1"/>
  <c r="CA214" i="8"/>
  <c r="BZ214" i="8" s="1"/>
  <c r="CA166" i="7"/>
  <c r="CA151" i="7"/>
  <c r="CA164" i="7"/>
  <c r="CA31" i="7"/>
  <c r="CA333" i="7"/>
  <c r="CA335" i="7"/>
  <c r="CA327" i="7"/>
  <c r="CA328" i="7"/>
  <c r="CA329" i="7"/>
  <c r="CA279" i="7"/>
  <c r="CA294" i="8"/>
  <c r="CA336" i="7"/>
  <c r="CA334" i="7"/>
  <c r="CA331" i="7"/>
  <c r="CA163" i="7"/>
  <c r="CA162" i="7"/>
  <c r="CA74" i="7"/>
  <c r="CA161" i="7"/>
  <c r="CA70" i="7"/>
  <c r="CA62" i="7"/>
  <c r="CA287" i="8"/>
  <c r="CA160" i="7"/>
  <c r="BY176" i="7"/>
  <c r="CA145" i="8"/>
  <c r="CA141" i="8" s="1"/>
  <c r="BZ141" i="8"/>
  <c r="BZ176" i="7"/>
  <c r="CX554" i="7"/>
  <c r="CX556" i="7" s="1"/>
  <c r="EJ201" i="45"/>
  <c r="DO268" i="7"/>
  <c r="DM268" i="7"/>
  <c r="CE32" i="7"/>
  <c r="CE42" i="7"/>
  <c r="DY293" i="45"/>
  <c r="CZ4" i="8"/>
  <c r="CZ10" i="8" s="1"/>
  <c r="CZ69" i="7"/>
  <c r="CZ74" i="7"/>
  <c r="CZ162" i="7"/>
  <c r="CZ155" i="7"/>
  <c r="CZ337" i="7"/>
  <c r="CZ179" i="7"/>
  <c r="CZ518" i="7"/>
  <c r="CZ339" i="7"/>
  <c r="CZ325" i="7"/>
  <c r="EI221" i="45"/>
  <c r="CZ330" i="7"/>
  <c r="CZ283" i="7"/>
  <c r="EP429" i="45"/>
  <c r="BM20" i="7"/>
  <c r="EP267" i="7"/>
  <c r="EN267" i="7"/>
  <c r="CY4" i="8"/>
  <c r="CY10" i="8" s="1"/>
  <c r="CY155" i="7"/>
  <c r="CY179" i="7"/>
  <c r="CY518" i="7"/>
  <c r="CY525" i="7" s="1"/>
  <c r="CY339" i="7"/>
  <c r="CY325" i="7"/>
  <c r="CY337" i="7"/>
  <c r="DB155" i="7"/>
  <c r="BM14" i="7"/>
  <c r="BU405" i="7"/>
  <c r="CC218" i="7"/>
  <c r="EP259" i="7"/>
  <c r="EN259" i="7"/>
  <c r="EO256" i="7"/>
  <c r="EN256" i="7" s="1"/>
  <c r="DS115" i="45"/>
  <c r="DS297" i="45"/>
  <c r="DS116" i="45" s="1"/>
  <c r="DS299" i="45"/>
  <c r="BR410" i="7"/>
  <c r="BP400" i="7"/>
  <c r="BP12" i="7" s="1"/>
  <c r="BP398" i="7"/>
  <c r="BP390" i="7" s="1"/>
  <c r="BP399" i="7"/>
  <c r="EN24" i="8"/>
  <c r="EO41" i="7"/>
  <c r="EI200" i="45"/>
  <c r="BZ183" i="7"/>
  <c r="DD260" i="7"/>
  <c r="DE261" i="7"/>
  <c r="EK223" i="45"/>
  <c r="EK224" i="45" s="1"/>
  <c r="EK200" i="45"/>
  <c r="DH324" i="7"/>
  <c r="DH575" i="7"/>
  <c r="DH323" i="7"/>
  <c r="DG266" i="7"/>
  <c r="DH322" i="7"/>
  <c r="CC55" i="7"/>
  <c r="CE170" i="7" s="1"/>
  <c r="CD152" i="7"/>
  <c r="CH58" i="7"/>
  <c r="CH57" i="7" s="1"/>
  <c r="CE152" i="7"/>
  <c r="CE56" i="7"/>
  <c r="CE159" i="7"/>
  <c r="EJ224" i="45"/>
  <c r="DA166" i="7"/>
  <c r="DA169" i="7"/>
  <c r="DA333" i="7"/>
  <c r="DA334" i="7"/>
  <c r="DA335" i="7"/>
  <c r="DA327" i="7"/>
  <c r="DA328" i="7"/>
  <c r="DA147" i="8"/>
  <c r="DA143" i="8" s="1"/>
  <c r="DA146" i="8"/>
  <c r="DA142" i="8" s="1"/>
  <c r="DA145" i="8"/>
  <c r="DA141" i="8" s="1"/>
  <c r="DA294" i="8"/>
  <c r="DA164" i="7"/>
  <c r="DA163" i="7"/>
  <c r="DA331" i="7"/>
  <c r="DA336" i="7"/>
  <c r="DA329" i="7"/>
  <c r="CZ42" i="7"/>
  <c r="CZ32" i="7"/>
  <c r="DK288" i="7"/>
  <c r="DI286" i="7"/>
  <c r="DI299" i="7" s="1"/>
  <c r="EI223" i="45"/>
  <c r="EI224" i="45" s="1"/>
  <c r="DZ193" i="7" l="1"/>
  <c r="DX192" i="7"/>
  <c r="DZ192" i="7" s="1"/>
  <c r="DX233" i="7"/>
  <c r="DX242" i="7" s="1"/>
  <c r="DU300" i="45"/>
  <c r="DX300" i="45"/>
  <c r="DW291" i="45"/>
  <c r="EA290" i="45"/>
  <c r="EA296" i="45" s="1"/>
  <c r="FA208" i="8"/>
  <c r="DS300" i="45"/>
  <c r="DV300" i="45"/>
  <c r="FA294" i="7"/>
  <c r="FA276" i="7"/>
  <c r="EZ276" i="7" s="1"/>
  <c r="EZ258" i="7"/>
  <c r="EW298" i="7"/>
  <c r="EY298" i="7"/>
  <c r="FA298" i="7" s="1"/>
  <c r="EZ298" i="7" s="1"/>
  <c r="FA203" i="45"/>
  <c r="FA201" i="45"/>
  <c r="FA41" i="7"/>
  <c r="EZ41" i="7" s="1"/>
  <c r="EZ24" i="8"/>
  <c r="EE291" i="45"/>
  <c r="EG291" i="45"/>
  <c r="EW294" i="7"/>
  <c r="AF64" i="9"/>
  <c r="ET274" i="7"/>
  <c r="EX274" i="7"/>
  <c r="EW24" i="8"/>
  <c r="EX41" i="7"/>
  <c r="EX203" i="45"/>
  <c r="EX201" i="45"/>
  <c r="X12" i="9"/>
  <c r="EH34" i="45"/>
  <c r="EH39" i="45"/>
  <c r="EQ429" i="45"/>
  <c r="EQ405" i="45" s="1"/>
  <c r="EQ270" i="7"/>
  <c r="ES270" i="7"/>
  <c r="EU270" i="7" s="1"/>
  <c r="EQ296" i="7"/>
  <c r="ES296" i="7"/>
  <c r="EU296" i="7" s="1"/>
  <c r="EU203" i="45"/>
  <c r="ET24" i="8"/>
  <c r="EU41" i="7"/>
  <c r="EQ278" i="7"/>
  <c r="ES278" i="7"/>
  <c r="EU278" i="7" s="1"/>
  <c r="EQ271" i="7"/>
  <c r="ES271" i="7"/>
  <c r="EU271" i="7" s="1"/>
  <c r="EK412" i="45"/>
  <c r="EK449" i="45"/>
  <c r="EK18" i="45"/>
  <c r="CF58" i="7"/>
  <c r="BU20" i="7"/>
  <c r="BL20" i="7"/>
  <c r="BL15" i="7"/>
  <c r="CL26" i="8"/>
  <c r="CL28" i="8" s="1"/>
  <c r="CK28" i="8"/>
  <c r="DB336" i="7"/>
  <c r="DK88" i="8"/>
  <c r="DL88" i="8"/>
  <c r="DN293" i="7"/>
  <c r="DO295" i="7"/>
  <c r="DM295" i="7"/>
  <c r="EP290" i="7"/>
  <c r="ER290" i="7" s="1"/>
  <c r="EN290" i="7"/>
  <c r="AL393" i="7"/>
  <c r="AL391" i="7"/>
  <c r="AJ393" i="7"/>
  <c r="AJ391" i="7"/>
  <c r="DB33" i="7"/>
  <c r="I19" i="9" s="1"/>
  <c r="DB70" i="7"/>
  <c r="EO428" i="45"/>
  <c r="EO431" i="45" s="1"/>
  <c r="DH201" i="8"/>
  <c r="DI201" i="8" s="1"/>
  <c r="DG345" i="7"/>
  <c r="DG24" i="7" s="1"/>
  <c r="DL358" i="45"/>
  <c r="DC506" i="7"/>
  <c r="ED293" i="45"/>
  <c r="DB146" i="8"/>
  <c r="DB142" i="8" s="1"/>
  <c r="DB331" i="7"/>
  <c r="DB161" i="7"/>
  <c r="DB327" i="7"/>
  <c r="DB145" i="8"/>
  <c r="DB141" i="8" s="1"/>
  <c r="DB159" i="7"/>
  <c r="DB164" i="7"/>
  <c r="DB335" i="7"/>
  <c r="DB147" i="8"/>
  <c r="DB143" i="8" s="1"/>
  <c r="DA176" i="7"/>
  <c r="DB160" i="7"/>
  <c r="DB162" i="7"/>
  <c r="DB333" i="7"/>
  <c r="DB329" i="7"/>
  <c r="DB62" i="7"/>
  <c r="DB334" i="7"/>
  <c r="DB166" i="7"/>
  <c r="DB287" i="8"/>
  <c r="DA287" i="8" s="1"/>
  <c r="DB163" i="7"/>
  <c r="DB294" i="8"/>
  <c r="DB214" i="8"/>
  <c r="DA214" i="8" s="1"/>
  <c r="DB56" i="7"/>
  <c r="DB74" i="7"/>
  <c r="DB328" i="7"/>
  <c r="DB215" i="8"/>
  <c r="DA215" i="8" s="1"/>
  <c r="EF218" i="45"/>
  <c r="DB279" i="7"/>
  <c r="DA279" i="7" s="1"/>
  <c r="EL223" i="45"/>
  <c r="EL224" i="45" s="1"/>
  <c r="CZ176" i="7"/>
  <c r="CP143" i="7"/>
  <c r="CP144" i="7" s="1"/>
  <c r="CP147" i="7" s="1"/>
  <c r="CN143" i="7"/>
  <c r="CN144" i="7" s="1"/>
  <c r="CN147" i="7" s="1"/>
  <c r="CO143" i="7" s="1"/>
  <c r="CO144" i="7" s="1"/>
  <c r="CO147" i="7" s="1"/>
  <c r="CE53" i="7"/>
  <c r="CE43" i="7" s="1"/>
  <c r="CC56" i="7"/>
  <c r="CC159" i="7"/>
  <c r="CC152" i="7"/>
  <c r="CC170" i="7"/>
  <c r="BP393" i="7"/>
  <c r="BP17" i="7" s="1"/>
  <c r="BP391" i="7"/>
  <c r="DT115" i="45"/>
  <c r="O64" i="9" s="1"/>
  <c r="AG64" i="9" s="1"/>
  <c r="CX179" i="7"/>
  <c r="DG115" i="8"/>
  <c r="DG116" i="8" s="1"/>
  <c r="DG323" i="7"/>
  <c r="DG322" i="7"/>
  <c r="DG575" i="7"/>
  <c r="BV405" i="7"/>
  <c r="ER282" i="7"/>
  <c r="ES282" i="7" s="1"/>
  <c r="EP280" i="7"/>
  <c r="CF30" i="7"/>
  <c r="CH169" i="7" s="1"/>
  <c r="DL269" i="7"/>
  <c r="DJ269" i="7"/>
  <c r="DK266" i="7"/>
  <c r="CO443" i="7"/>
  <c r="CO133" i="8"/>
  <c r="BN393" i="7"/>
  <c r="BN14" i="7" s="1"/>
  <c r="BN391" i="7"/>
  <c r="CC183" i="7"/>
  <c r="EN239" i="7"/>
  <c r="BO359" i="7"/>
  <c r="BO358" i="7"/>
  <c r="BO198" i="8" s="1"/>
  <c r="CH181" i="7"/>
  <c r="CH183" i="7" s="1"/>
  <c r="CH155" i="8"/>
  <c r="CH55" i="7"/>
  <c r="EN223" i="45"/>
  <c r="EN224" i="45" s="1"/>
  <c r="EN200" i="45"/>
  <c r="EO200" i="45" s="1"/>
  <c r="EK201" i="45"/>
  <c r="BS410" i="7"/>
  <c r="BR398" i="7"/>
  <c r="BR400" i="7"/>
  <c r="BR12" i="7" s="1"/>
  <c r="BR399" i="7"/>
  <c r="CX4" i="8"/>
  <c r="CX10" i="8" s="1"/>
  <c r="CX155" i="7"/>
  <c r="CX518" i="7"/>
  <c r="CX339" i="7"/>
  <c r="CX173" i="7"/>
  <c r="CX325" i="7"/>
  <c r="CX337" i="7"/>
  <c r="CZ173" i="7"/>
  <c r="DY296" i="45"/>
  <c r="DY354" i="45" s="1"/>
  <c r="EB293" i="45"/>
  <c r="DQ268" i="7"/>
  <c r="EM201" i="45"/>
  <c r="DP289" i="8"/>
  <c r="DQ289" i="8" s="1"/>
  <c r="DA32" i="7"/>
  <c r="DG250" i="7"/>
  <c r="DH260" i="7"/>
  <c r="AC47" i="9" s="1"/>
  <c r="EQ24" i="8"/>
  <c r="ER41" i="7"/>
  <c r="BZ279" i="7"/>
  <c r="CA273" i="7"/>
  <c r="DC554" i="7"/>
  <c r="DC556" i="7" s="1"/>
  <c r="DF18" i="8"/>
  <c r="DF77" i="7"/>
  <c r="CF57" i="7"/>
  <c r="CF155" i="8" s="1"/>
  <c r="CG181" i="7"/>
  <c r="CG155" i="8"/>
  <c r="CG55" i="7"/>
  <c r="CH145" i="8"/>
  <c r="CH141" i="8" s="1"/>
  <c r="CH147" i="8"/>
  <c r="CH143" i="8" s="1"/>
  <c r="CH214" i="8"/>
  <c r="CH287" i="8"/>
  <c r="CH184" i="8"/>
  <c r="CH215" i="8"/>
  <c r="CH74" i="7"/>
  <c r="CH162" i="7"/>
  <c r="CH151" i="7"/>
  <c r="CH31" i="7"/>
  <c r="CH333" i="7"/>
  <c r="CH334" i="7"/>
  <c r="CH335" i="7"/>
  <c r="CH336" i="7"/>
  <c r="CH327" i="7"/>
  <c r="CH328" i="7"/>
  <c r="CH329" i="7"/>
  <c r="CH331" i="7"/>
  <c r="CH164" i="7"/>
  <c r="CH279" i="7"/>
  <c r="CH273" i="7" s="1"/>
  <c r="CH166" i="7"/>
  <c r="CH146" i="8"/>
  <c r="CH142" i="8" s="1"/>
  <c r="CH294" i="8"/>
  <c r="CH70" i="7"/>
  <c r="CH161" i="7"/>
  <c r="CH163" i="7"/>
  <c r="CH160" i="7"/>
  <c r="CH62" i="7"/>
  <c r="EA158" i="8"/>
  <c r="EA193" i="7" s="1"/>
  <c r="EA192" i="7" s="1"/>
  <c r="EF158" i="8"/>
  <c r="EC193" i="7"/>
  <c r="DK253" i="7"/>
  <c r="AD45" i="9" s="1"/>
  <c r="DL254" i="7"/>
  <c r="DJ254" i="7"/>
  <c r="ER241" i="7"/>
  <c r="ES241" i="7" s="1"/>
  <c r="EP239" i="7"/>
  <c r="EN407" i="45"/>
  <c r="EN41" i="7"/>
  <c r="DT297" i="45"/>
  <c r="DT116" i="45" s="1"/>
  <c r="DT299" i="45"/>
  <c r="DG324" i="7"/>
  <c r="DH522" i="7"/>
  <c r="DD261" i="7"/>
  <c r="ER259" i="7"/>
  <c r="ES259" i="7" s="1"/>
  <c r="EP256" i="7"/>
  <c r="CX69" i="7"/>
  <c r="CZ172" i="7" s="1"/>
  <c r="CY154" i="7"/>
  <c r="DB154" i="7"/>
  <c r="ER267" i="7"/>
  <c r="ES267" i="7" s="1"/>
  <c r="EP405" i="45"/>
  <c r="CZ183" i="7"/>
  <c r="DA179" i="7"/>
  <c r="CA288" i="8"/>
  <c r="BZ287" i="8"/>
  <c r="BZ288" i="8" s="1"/>
  <c r="CA45" i="7"/>
  <c r="CD125" i="8" s="1"/>
  <c r="DI260" i="7"/>
  <c r="DI261" i="7" s="1"/>
  <c r="EM224" i="45"/>
  <c r="EP428" i="45"/>
  <c r="CZ61" i="7"/>
  <c r="CZ70" i="7"/>
  <c r="CZ161" i="7"/>
  <c r="CZ154" i="7"/>
  <c r="DA69" i="7"/>
  <c r="DL288" i="7"/>
  <c r="DK286" i="7"/>
  <c r="DJ288" i="7"/>
  <c r="DH115" i="8"/>
  <c r="EL221" i="45"/>
  <c r="EI203" i="45"/>
  <c r="EI201" i="45"/>
  <c r="BP25" i="7"/>
  <c r="DA4" i="8"/>
  <c r="DA10" i="8" s="1"/>
  <c r="DA74" i="7"/>
  <c r="DA162" i="7"/>
  <c r="DA325" i="7"/>
  <c r="DA337" i="7"/>
  <c r="DA518" i="7"/>
  <c r="DA155" i="7"/>
  <c r="DA173" i="7"/>
  <c r="DA339" i="7"/>
  <c r="EB290" i="45"/>
  <c r="DZ290" i="45"/>
  <c r="DZ288" i="45" s="1"/>
  <c r="EP369" i="45"/>
  <c r="EN370" i="45"/>
  <c r="EP223" i="45"/>
  <c r="ES224" i="45" s="1"/>
  <c r="EP200" i="45"/>
  <c r="ES201" i="45" s="1"/>
  <c r="BO25" i="7"/>
  <c r="CH33" i="7"/>
  <c r="CZ300" i="7"/>
  <c r="CZ565" i="7"/>
  <c r="CZ566" i="7" s="1"/>
  <c r="CC33" i="7"/>
  <c r="CC32" i="7" s="1"/>
  <c r="EL200" i="45"/>
  <c r="ER287" i="7"/>
  <c r="ES287" i="7" s="1"/>
  <c r="EU287" i="7" s="1"/>
  <c r="DW576" i="7"/>
  <c r="DV576" i="7"/>
  <c r="DX576" i="7"/>
  <c r="CA32" i="7"/>
  <c r="CA42" i="7"/>
  <c r="DI115" i="8"/>
  <c r="DI114" i="8" s="1"/>
  <c r="DI324" i="7"/>
  <c r="DI322" i="7"/>
  <c r="DI575" i="7"/>
  <c r="DI323" i="7"/>
  <c r="CC31" i="7"/>
  <c r="CC74" i="7"/>
  <c r="CC162" i="7"/>
  <c r="CC166" i="7"/>
  <c r="CC164" i="7"/>
  <c r="CC333" i="7"/>
  <c r="CC334" i="7"/>
  <c r="CC335" i="7"/>
  <c r="CC336" i="7"/>
  <c r="CC151" i="7"/>
  <c r="CC169" i="7"/>
  <c r="CC327" i="7"/>
  <c r="CC328" i="7"/>
  <c r="CC146" i="8"/>
  <c r="CC142" i="8" s="1"/>
  <c r="CC145" i="8"/>
  <c r="CC141" i="8" s="1"/>
  <c r="CC147" i="8"/>
  <c r="CC143" i="8" s="1"/>
  <c r="CC329" i="7"/>
  <c r="CC163" i="7"/>
  <c r="CC331" i="7"/>
  <c r="CC161" i="7"/>
  <c r="CC70" i="7"/>
  <c r="CC160" i="7"/>
  <c r="CC62" i="7"/>
  <c r="CD30" i="7"/>
  <c r="CC176" i="7" s="1"/>
  <c r="CE169" i="7"/>
  <c r="CC294" i="8"/>
  <c r="CI30" i="7"/>
  <c r="CB211" i="7"/>
  <c r="CC212" i="7"/>
  <c r="DR277" i="7"/>
  <c r="DP277" i="7"/>
  <c r="DE18" i="8"/>
  <c r="DE77" i="7"/>
  <c r="BN25" i="7"/>
  <c r="ED290" i="45" l="1"/>
  <c r="EG290" i="45" s="1"/>
  <c r="DT300" i="45"/>
  <c r="DW300" i="45"/>
  <c r="EW274" i="7"/>
  <c r="FA274" i="7"/>
  <c r="EZ294" i="7"/>
  <c r="FA217" i="45"/>
  <c r="FA204" i="45"/>
  <c r="EK23" i="45"/>
  <c r="DI522" i="7"/>
  <c r="DI523" i="7" s="1"/>
  <c r="DG522" i="7"/>
  <c r="EH291" i="45"/>
  <c r="EJ291" i="45"/>
  <c r="ET270" i="7"/>
  <c r="EV270" i="7"/>
  <c r="EX270" i="7" s="1"/>
  <c r="ET287" i="7"/>
  <c r="EV287" i="7"/>
  <c r="EX287" i="7" s="1"/>
  <c r="ET278" i="7"/>
  <c r="EV278" i="7"/>
  <c r="EX278" i="7" s="1"/>
  <c r="ET296" i="7"/>
  <c r="EV296" i="7"/>
  <c r="EX296" i="7" s="1"/>
  <c r="EW41" i="7"/>
  <c r="ET271" i="7"/>
  <c r="EV271" i="7"/>
  <c r="EX271" i="7" s="1"/>
  <c r="EX204" i="45"/>
  <c r="EX217" i="45"/>
  <c r="AD50" i="9"/>
  <c r="W15" i="9"/>
  <c r="X15" i="9"/>
  <c r="AC46" i="9"/>
  <c r="AC48" i="9"/>
  <c r="ER405" i="45"/>
  <c r="ER429" i="45"/>
  <c r="ER432" i="45" s="1"/>
  <c r="EU241" i="7"/>
  <c r="EV241" i="7" s="1"/>
  <c r="ES239" i="7"/>
  <c r="EQ290" i="7"/>
  <c r="ES290" i="7"/>
  <c r="EU290" i="7" s="1"/>
  <c r="ET426" i="45"/>
  <c r="ET445" i="45" s="1"/>
  <c r="ET429" i="45"/>
  <c r="ES429" i="45"/>
  <c r="EV429" i="45" s="1"/>
  <c r="EY429" i="45" s="1"/>
  <c r="EU217" i="45"/>
  <c r="EU282" i="7"/>
  <c r="EV282" i="7" s="1"/>
  <c r="ES280" i="7"/>
  <c r="ET41" i="7"/>
  <c r="EU259" i="7"/>
  <c r="EV259" i="7" s="1"/>
  <c r="ES256" i="7"/>
  <c r="EU267" i="7"/>
  <c r="EV267" i="7" s="1"/>
  <c r="EQ428" i="45"/>
  <c r="EQ404" i="45" s="1"/>
  <c r="EQ407" i="45" s="1"/>
  <c r="EK29" i="45"/>
  <c r="EK450" i="45"/>
  <c r="EN411" i="45"/>
  <c r="EN7" i="45"/>
  <c r="BP15" i="7"/>
  <c r="BN15" i="7"/>
  <c r="CM26" i="8"/>
  <c r="CM28" i="8" s="1"/>
  <c r="DD26" i="8"/>
  <c r="DO293" i="7"/>
  <c r="DO86" i="8" s="1"/>
  <c r="DQ295" i="7"/>
  <c r="DN86" i="8"/>
  <c r="DM293" i="7"/>
  <c r="DM86" i="8" s="1"/>
  <c r="DM88" i="8" s="1"/>
  <c r="DB42" i="7"/>
  <c r="DA42" i="7" s="1"/>
  <c r="DB32" i="7"/>
  <c r="BN141" i="7"/>
  <c r="BN17" i="7"/>
  <c r="EO223" i="45"/>
  <c r="EO224" i="45" s="1"/>
  <c r="DB45" i="7"/>
  <c r="DA45" i="7" s="1"/>
  <c r="DD125" i="8" s="1"/>
  <c r="CJ58" i="7"/>
  <c r="CI58" i="7" s="1"/>
  <c r="DF506" i="7"/>
  <c r="DI6" i="45"/>
  <c r="DC30" i="7"/>
  <c r="DC162" i="7" s="1"/>
  <c r="DL366" i="45"/>
  <c r="DL364" i="45"/>
  <c r="EA115" i="45"/>
  <c r="EA297" i="45"/>
  <c r="EA116" i="45" s="1"/>
  <c r="DJ201" i="8"/>
  <c r="DI345" i="7"/>
  <c r="DI24" i="7" s="1"/>
  <c r="EG293" i="45"/>
  <c r="ED296" i="45"/>
  <c r="DB273" i="7"/>
  <c r="AA51" i="9" s="1"/>
  <c r="BP14" i="7"/>
  <c r="BP27" i="7" s="1"/>
  <c r="CQ143" i="7"/>
  <c r="CQ144" i="7" s="1"/>
  <c r="CQ147" i="7" s="1"/>
  <c r="CR143" i="7" s="1"/>
  <c r="CR144" i="7" s="1"/>
  <c r="CR147" i="7" s="1"/>
  <c r="CS143" i="7"/>
  <c r="CS144" i="7" s="1"/>
  <c r="CS147" i="7" s="1"/>
  <c r="BP141" i="7"/>
  <c r="EO203" i="45"/>
  <c r="EO201" i="45"/>
  <c r="CH42" i="7"/>
  <c r="CH32" i="7"/>
  <c r="EE290" i="45"/>
  <c r="EC290" i="45"/>
  <c r="CZ302" i="7"/>
  <c r="CZ319" i="7" s="1"/>
  <c r="CZ569" i="7"/>
  <c r="CZ571" i="7" s="1"/>
  <c r="CZ574" i="7" s="1"/>
  <c r="CZ577" i="7" s="1"/>
  <c r="EP201" i="45"/>
  <c r="DJ286" i="7"/>
  <c r="DK299" i="7"/>
  <c r="DJ299" i="7" s="1"/>
  <c r="CF33" i="7"/>
  <c r="DN254" i="7"/>
  <c r="CF55" i="7"/>
  <c r="CH170" i="7" s="1"/>
  <c r="CG152" i="7"/>
  <c r="DF75" i="7"/>
  <c r="DF167" i="7"/>
  <c r="CA185" i="7"/>
  <c r="BZ273" i="7"/>
  <c r="BZ330" i="7" s="1"/>
  <c r="CA330" i="7"/>
  <c r="CB185" i="7"/>
  <c r="CB186" i="7" s="1"/>
  <c r="CA283" i="7"/>
  <c r="EB296" i="45"/>
  <c r="EB354" i="45" s="1"/>
  <c r="EE293" i="45"/>
  <c r="BQ400" i="7"/>
  <c r="BQ12" i="7" s="1"/>
  <c r="EO221" i="45"/>
  <c r="CH159" i="7"/>
  <c r="CH152" i="7"/>
  <c r="CH56" i="7"/>
  <c r="BN20" i="7"/>
  <c r="BO393" i="7"/>
  <c r="BO15" i="7" s="1"/>
  <c r="BX405" i="7"/>
  <c r="EQ287" i="7"/>
  <c r="P64" i="9"/>
  <c r="AH64" i="9" s="1"/>
  <c r="CB177" i="8"/>
  <c r="CC211" i="7"/>
  <c r="CC177" i="8" s="1"/>
  <c r="BZ42" i="7"/>
  <c r="CA53" i="7"/>
  <c r="CA43" i="7" s="1"/>
  <c r="BZ43" i="7" s="1"/>
  <c r="DN288" i="7"/>
  <c r="EQ267" i="7"/>
  <c r="CX154" i="7"/>
  <c r="CX172" i="7"/>
  <c r="EQ259" i="7"/>
  <c r="ER256" i="7"/>
  <c r="EQ256" i="7" s="1"/>
  <c r="DL255" i="7"/>
  <c r="DL253" i="7" s="1"/>
  <c r="DL250" i="7" s="1"/>
  <c r="DN255" i="7"/>
  <c r="DM255" i="7" s="1"/>
  <c r="DK250" i="7"/>
  <c r="DJ253" i="7"/>
  <c r="DY115" i="45"/>
  <c r="DY297" i="45"/>
  <c r="DY116" i="45" s="1"/>
  <c r="DY299" i="45"/>
  <c r="DY300" i="45" s="1"/>
  <c r="DZ296" i="45"/>
  <c r="BQ398" i="7"/>
  <c r="BQ390" i="7" s="1"/>
  <c r="BR390" i="7"/>
  <c r="BR391" i="7" s="1"/>
  <c r="CK30" i="7"/>
  <c r="CF166" i="7"/>
  <c r="CF151" i="7"/>
  <c r="CF169" i="7"/>
  <c r="CF31" i="7"/>
  <c r="CF327" i="7"/>
  <c r="CF328" i="7"/>
  <c r="CF329" i="7"/>
  <c r="CF333" i="7"/>
  <c r="CF334" i="7"/>
  <c r="CF335" i="7"/>
  <c r="CF336" i="7"/>
  <c r="CF147" i="8"/>
  <c r="CF143" i="8" s="1"/>
  <c r="CF145" i="8"/>
  <c r="CF141" i="8" s="1"/>
  <c r="CF331" i="7"/>
  <c r="CF294" i="8"/>
  <c r="CF146" i="8"/>
  <c r="CF142" i="8" s="1"/>
  <c r="CF164" i="7"/>
  <c r="CF163" i="7"/>
  <c r="CF74" i="7"/>
  <c r="CF162" i="7"/>
  <c r="CF70" i="7"/>
  <c r="CF161" i="7"/>
  <c r="CF62" i="7"/>
  <c r="CF160" i="7"/>
  <c r="CG30" i="7"/>
  <c r="EQ282" i="7"/>
  <c r="ER280" i="7"/>
  <c r="EQ280" i="7" s="1"/>
  <c r="BP358" i="7"/>
  <c r="BP198" i="8" s="1"/>
  <c r="BP359" i="7"/>
  <c r="EP224" i="45"/>
  <c r="CX61" i="7"/>
  <c r="CZ171" i="7" s="1"/>
  <c r="CY552" i="7"/>
  <c r="CY557" i="7" s="1"/>
  <c r="DB153" i="7"/>
  <c r="CI33" i="7"/>
  <c r="CI32" i="7" s="1"/>
  <c r="EC192" i="7"/>
  <c r="EB192" i="7" s="1"/>
  <c r="EB193" i="7"/>
  <c r="EB158" i="8" s="1"/>
  <c r="CH330" i="7"/>
  <c r="CH283" i="7"/>
  <c r="CH288" i="8"/>
  <c r="CH45" i="7"/>
  <c r="CK125" i="8" s="1"/>
  <c r="CF181" i="7"/>
  <c r="CG183" i="7"/>
  <c r="DC4" i="8"/>
  <c r="DC10" i="8" s="1"/>
  <c r="DC69" i="7"/>
  <c r="DC155" i="7"/>
  <c r="DC173" i="7"/>
  <c r="DC339" i="7"/>
  <c r="DC325" i="7"/>
  <c r="DC337" i="7"/>
  <c r="DC179" i="7"/>
  <c r="DC183" i="7" s="1"/>
  <c r="DC518" i="7"/>
  <c r="EQ41" i="7"/>
  <c r="BU410" i="7"/>
  <c r="BS399" i="7"/>
  <c r="BS25" i="7" s="1"/>
  <c r="BS400" i="7"/>
  <c r="BS12" i="7" s="1"/>
  <c r="DN269" i="7"/>
  <c r="DL266" i="7"/>
  <c r="DT277" i="7"/>
  <c r="CD145" i="8"/>
  <c r="CD141" i="8" s="1"/>
  <c r="CD184" i="8"/>
  <c r="CC184" i="8" s="1"/>
  <c r="CD215" i="8"/>
  <c r="CC215" i="8" s="1"/>
  <c r="CD214" i="8"/>
  <c r="CC214" i="8" s="1"/>
  <c r="CD164" i="7"/>
  <c r="CD31" i="7"/>
  <c r="CD161" i="7"/>
  <c r="CD74" i="7"/>
  <c r="CD163" i="7"/>
  <c r="CD162" i="7"/>
  <c r="CD70" i="7"/>
  <c r="CD166" i="7"/>
  <c r="CD279" i="7"/>
  <c r="CD333" i="7"/>
  <c r="CD335" i="7"/>
  <c r="CD336" i="7"/>
  <c r="CD151" i="7"/>
  <c r="CD327" i="7"/>
  <c r="CD328" i="7"/>
  <c r="CD329" i="7"/>
  <c r="CD147" i="8"/>
  <c r="CD143" i="8" s="1"/>
  <c r="CD334" i="7"/>
  <c r="CD331" i="7"/>
  <c r="CD294" i="8"/>
  <c r="CD146" i="8"/>
  <c r="CD142" i="8" s="1"/>
  <c r="CD62" i="7"/>
  <c r="CD160" i="7"/>
  <c r="CD287" i="8"/>
  <c r="CB176" i="7"/>
  <c r="CD56" i="7"/>
  <c r="CD159" i="7"/>
  <c r="DI116" i="8"/>
  <c r="BN358" i="7"/>
  <c r="BN359" i="7"/>
  <c r="BZ45" i="7"/>
  <c r="CC125" i="8" s="1"/>
  <c r="DA183" i="7"/>
  <c r="EI158" i="8"/>
  <c r="ED158" i="8"/>
  <c r="ED193" i="7" s="1"/>
  <c r="ED192" i="7" s="1"/>
  <c r="EF193" i="7"/>
  <c r="DR289" i="8"/>
  <c r="CK58" i="7"/>
  <c r="CK57" i="7" s="1"/>
  <c r="EK12" i="45"/>
  <c r="EQ223" i="45"/>
  <c r="EQ200" i="45"/>
  <c r="ET201" i="45" s="1"/>
  <c r="BP20" i="7"/>
  <c r="CI31" i="7"/>
  <c r="CI166" i="7"/>
  <c r="CI169" i="7"/>
  <c r="CI333" i="7"/>
  <c r="CI334" i="7"/>
  <c r="CI335" i="7"/>
  <c r="CI327" i="7"/>
  <c r="CI328" i="7"/>
  <c r="CI331" i="7"/>
  <c r="CI151" i="7"/>
  <c r="CI145" i="8"/>
  <c r="CI141" i="8" s="1"/>
  <c r="CI147" i="8"/>
  <c r="CI143" i="8" s="1"/>
  <c r="CI330" i="7"/>
  <c r="CI146" i="8"/>
  <c r="CI142" i="8" s="1"/>
  <c r="CI294" i="8"/>
  <c r="CI164" i="7"/>
  <c r="CI336" i="7"/>
  <c r="CI329" i="7"/>
  <c r="CI163" i="7"/>
  <c r="DD77" i="7"/>
  <c r="DD167" i="7" s="1"/>
  <c r="DE167" i="7"/>
  <c r="DE75" i="7"/>
  <c r="J28" i="9" s="1"/>
  <c r="EL201" i="45"/>
  <c r="EL203" i="45"/>
  <c r="DZ291" i="45"/>
  <c r="CZ55" i="7"/>
  <c r="W8" i="9" s="1"/>
  <c r="CZ62" i="7"/>
  <c r="CZ153" i="7"/>
  <c r="CZ160" i="7"/>
  <c r="CZ552" i="7"/>
  <c r="CZ557" i="7" s="1"/>
  <c r="DA61" i="7"/>
  <c r="DG260" i="7"/>
  <c r="DH261" i="7"/>
  <c r="DR268" i="7"/>
  <c r="DP268" i="7"/>
  <c r="CP443" i="7"/>
  <c r="CP133" i="8"/>
  <c r="EQ369" i="45"/>
  <c r="EP370" i="45"/>
  <c r="EI217" i="45"/>
  <c r="EI218" i="45" s="1"/>
  <c r="EI204" i="45"/>
  <c r="DA154" i="7"/>
  <c r="DA161" i="7"/>
  <c r="DA70" i="7"/>
  <c r="DA172" i="7"/>
  <c r="EQ241" i="7"/>
  <c r="ER239" i="7"/>
  <c r="CJ30" i="7"/>
  <c r="BQ399" i="7"/>
  <c r="EN201" i="45"/>
  <c r="DK324" i="7"/>
  <c r="DJ266" i="7"/>
  <c r="DK323" i="7"/>
  <c r="DK322" i="7"/>
  <c r="DK575" i="7"/>
  <c r="DG117" i="8"/>
  <c r="DG18" i="8" s="1"/>
  <c r="DH116" i="8"/>
  <c r="DH117" i="8" s="1"/>
  <c r="EW278" i="7" l="1"/>
  <c r="EY278" i="7"/>
  <c r="FA278" i="7" s="1"/>
  <c r="EZ278" i="7" s="1"/>
  <c r="EY405" i="45"/>
  <c r="EW296" i="7"/>
  <c r="EY296" i="7"/>
  <c r="FA296" i="7" s="1"/>
  <c r="EZ296" i="7" s="1"/>
  <c r="EW287" i="7"/>
  <c r="EY287" i="7"/>
  <c r="EW270" i="7"/>
  <c r="EY270" i="7"/>
  <c r="FA270" i="7" s="1"/>
  <c r="EZ270" i="7" s="1"/>
  <c r="EZ274" i="7"/>
  <c r="EW271" i="7"/>
  <c r="EY271" i="7"/>
  <c r="FA271" i="7" s="1"/>
  <c r="EZ271" i="7" s="1"/>
  <c r="FA218" i="45"/>
  <c r="EK39" i="45"/>
  <c r="EK291" i="45"/>
  <c r="EM291" i="45"/>
  <c r="EX259" i="7"/>
  <c r="EY259" i="7" s="1"/>
  <c r="EV256" i="7"/>
  <c r="EX282" i="7"/>
  <c r="EY282" i="7" s="1"/>
  <c r="EV280" i="7"/>
  <c r="EV239" i="7"/>
  <c r="EX241" i="7"/>
  <c r="EY241" i="7" s="1"/>
  <c r="EX267" i="7"/>
  <c r="EY267" i="7" s="1"/>
  <c r="FA267" i="7" s="1"/>
  <c r="ET290" i="7"/>
  <c r="EV290" i="7"/>
  <c r="EX290" i="7" s="1"/>
  <c r="EV405" i="45"/>
  <c r="ET405" i="45"/>
  <c r="EW429" i="45"/>
  <c r="EX218" i="45"/>
  <c r="EK34" i="45"/>
  <c r="EQ426" i="45"/>
  <c r="EQ445" i="45" s="1"/>
  <c r="ER428" i="45"/>
  <c r="ER431" i="45" s="1"/>
  <c r="ET282" i="7"/>
  <c r="EU280" i="7"/>
  <c r="ET280" i="7" s="1"/>
  <c r="EQ370" i="45"/>
  <c r="ES369" i="45"/>
  <c r="ET259" i="7"/>
  <c r="EU256" i="7"/>
  <c r="ET256" i="7" s="1"/>
  <c r="ET428" i="45"/>
  <c r="ES428" i="45"/>
  <c r="EV428" i="45" s="1"/>
  <c r="EY428" i="45" s="1"/>
  <c r="EU429" i="45"/>
  <c r="EU432" i="45" s="1"/>
  <c r="ES405" i="45"/>
  <c r="EQ224" i="45"/>
  <c r="ET224" i="45"/>
  <c r="ET267" i="7"/>
  <c r="ET241" i="7"/>
  <c r="EU239" i="7"/>
  <c r="EN18" i="45"/>
  <c r="EN412" i="45"/>
  <c r="EN449" i="45"/>
  <c r="EQ411" i="45"/>
  <c r="EQ7" i="45"/>
  <c r="BS15" i="7"/>
  <c r="CO26" i="8"/>
  <c r="CO28" i="8" s="1"/>
  <c r="DE26" i="8"/>
  <c r="DE28" i="8" s="1"/>
  <c r="DD28" i="8"/>
  <c r="DN88" i="8"/>
  <c r="DR295" i="7"/>
  <c r="DT295" i="7" s="1"/>
  <c r="DS295" i="7" s="1"/>
  <c r="DP295" i="7"/>
  <c r="DQ293" i="7"/>
  <c r="DQ86" i="8" s="1"/>
  <c r="DQ88" i="8" s="1"/>
  <c r="DO88" i="8"/>
  <c r="DI9" i="45"/>
  <c r="DC74" i="7"/>
  <c r="DB53" i="7"/>
  <c r="DE125" i="8"/>
  <c r="DB330" i="7"/>
  <c r="DA273" i="7"/>
  <c r="DA330" i="7" s="1"/>
  <c r="DB283" i="7"/>
  <c r="DA283" i="7" s="1"/>
  <c r="DA565" i="7" s="1"/>
  <c r="DA566" i="7" s="1"/>
  <c r="CJ57" i="7"/>
  <c r="CI57" i="7" s="1"/>
  <c r="CI155" i="8" s="1"/>
  <c r="EJ290" i="45"/>
  <c r="DL6" i="45"/>
  <c r="DL375" i="45"/>
  <c r="DL391" i="45" s="1"/>
  <c r="DL367" i="45"/>
  <c r="DI11" i="45"/>
  <c r="ED115" i="45"/>
  <c r="ED297" i="45"/>
  <c r="ED116" i="45" s="1"/>
  <c r="DL188" i="7"/>
  <c r="DL218" i="7" s="1"/>
  <c r="DC33" i="7"/>
  <c r="DC32" i="7" s="1"/>
  <c r="EG296" i="45"/>
  <c r="EJ293" i="45"/>
  <c r="EM293" i="45" s="1"/>
  <c r="DC151" i="7"/>
  <c r="DC334" i="7"/>
  <c r="DC163" i="7"/>
  <c r="DC294" i="8"/>
  <c r="DC333" i="7"/>
  <c r="DC145" i="8"/>
  <c r="DC141" i="8" s="1"/>
  <c r="DC164" i="7"/>
  <c r="DC335" i="7"/>
  <c r="DC331" i="7"/>
  <c r="DC287" i="8"/>
  <c r="DC45" i="7" s="1"/>
  <c r="DF125" i="8" s="1"/>
  <c r="DC146" i="8"/>
  <c r="DC142" i="8" s="1"/>
  <c r="DC147" i="8"/>
  <c r="DC143" i="8" s="1"/>
  <c r="DC31" i="7"/>
  <c r="DC327" i="7"/>
  <c r="DC336" i="7"/>
  <c r="DC166" i="7"/>
  <c r="DC184" i="8"/>
  <c r="DC279" i="7"/>
  <c r="DC273" i="7" s="1"/>
  <c r="DC185" i="7" s="1"/>
  <c r="DC186" i="7" s="1"/>
  <c r="DC328" i="7"/>
  <c r="DC329" i="7"/>
  <c r="DC215" i="8"/>
  <c r="DC214" i="8"/>
  <c r="DC169" i="7"/>
  <c r="DI17" i="45"/>
  <c r="DF30" i="7"/>
  <c r="DK201" i="8"/>
  <c r="DL201" i="8" s="1"/>
  <c r="DL345" i="7" s="1"/>
  <c r="DL24" i="7" s="1"/>
  <c r="DJ345" i="7"/>
  <c r="DJ24" i="7" s="1"/>
  <c r="BR25" i="7"/>
  <c r="BQ25" i="7"/>
  <c r="CM58" i="7"/>
  <c r="CZ579" i="7"/>
  <c r="CT143" i="7"/>
  <c r="CT144" i="7" s="1"/>
  <c r="CT147" i="7" s="1"/>
  <c r="CU143" i="7" s="1"/>
  <c r="CU144" i="7" s="1"/>
  <c r="CU147" i="7" s="1"/>
  <c r="CV143" i="7"/>
  <c r="CV144" i="7" s="1"/>
  <c r="CV147" i="7" s="1"/>
  <c r="CW143" i="7" s="1"/>
  <c r="CW144" i="7" s="1"/>
  <c r="CW147" i="7" s="1"/>
  <c r="CX143" i="7" s="1"/>
  <c r="CX144" i="7" s="1"/>
  <c r="CX147" i="7" s="1"/>
  <c r="BR359" i="7"/>
  <c r="BR358" i="7"/>
  <c r="BR198" i="8" s="1"/>
  <c r="CQ133" i="8"/>
  <c r="CQ404" i="7"/>
  <c r="CR404" i="7" s="1"/>
  <c r="CQ443" i="7"/>
  <c r="EQ201" i="45"/>
  <c r="CK181" i="7"/>
  <c r="CK183" i="7" s="1"/>
  <c r="CK155" i="8"/>
  <c r="CK55" i="7"/>
  <c r="DI117" i="8"/>
  <c r="DI18" i="8" s="1"/>
  <c r="DU277" i="7"/>
  <c r="DS277" i="7"/>
  <c r="BV410" i="7"/>
  <c r="BX410" i="7" s="1"/>
  <c r="BX398" i="7" s="1"/>
  <c r="BU400" i="7"/>
  <c r="BU399" i="7"/>
  <c r="BU25" i="7" s="1"/>
  <c r="ER223" i="45"/>
  <c r="CG145" i="8"/>
  <c r="CG141" i="8" s="1"/>
  <c r="CG184" i="8"/>
  <c r="CF184" i="8" s="1"/>
  <c r="CG215" i="8"/>
  <c r="CF215" i="8" s="1"/>
  <c r="CG214" i="8"/>
  <c r="CF214" i="8" s="1"/>
  <c r="CG166" i="7"/>
  <c r="CG151" i="7"/>
  <c r="CG164" i="7"/>
  <c r="CG31" i="7"/>
  <c r="CG333" i="7"/>
  <c r="CG335" i="7"/>
  <c r="CG336" i="7"/>
  <c r="CG327" i="7"/>
  <c r="CG328" i="7"/>
  <c r="CG329" i="7"/>
  <c r="CG331" i="7"/>
  <c r="CG279" i="7"/>
  <c r="CF279" i="7" s="1"/>
  <c r="CG146" i="8"/>
  <c r="CG142" i="8" s="1"/>
  <c r="CG334" i="7"/>
  <c r="CG147" i="8"/>
  <c r="CG143" i="8" s="1"/>
  <c r="CG294" i="8"/>
  <c r="CG163" i="7"/>
  <c r="CG74" i="7"/>
  <c r="CG162" i="7"/>
  <c r="CG161" i="7"/>
  <c r="CG70" i="7"/>
  <c r="CG160" i="7"/>
  <c r="CG62" i="7"/>
  <c r="CG287" i="8"/>
  <c r="CF287" i="8" s="1"/>
  <c r="CE176" i="7"/>
  <c r="CF176" i="7"/>
  <c r="EE296" i="45"/>
  <c r="EE354" i="45" s="1"/>
  <c r="EH293" i="45"/>
  <c r="DF554" i="7"/>
  <c r="DF556" i="7" s="1"/>
  <c r="CJ33" i="7"/>
  <c r="CJ32" i="7" s="1"/>
  <c r="CJ147" i="8"/>
  <c r="CJ143" i="8" s="1"/>
  <c r="CJ145" i="8"/>
  <c r="CJ141" i="8" s="1"/>
  <c r="CJ184" i="8"/>
  <c r="CI184" i="8" s="1"/>
  <c r="CJ215" i="8"/>
  <c r="CI215" i="8" s="1"/>
  <c r="CJ214" i="8"/>
  <c r="CI214" i="8" s="1"/>
  <c r="CJ287" i="8"/>
  <c r="CI287" i="8" s="1"/>
  <c r="CJ164" i="7"/>
  <c r="CJ31" i="7"/>
  <c r="CJ151" i="7"/>
  <c r="CJ333" i="7"/>
  <c r="CJ335" i="7"/>
  <c r="CJ327" i="7"/>
  <c r="CJ328" i="7"/>
  <c r="CJ330" i="7"/>
  <c r="CJ331" i="7"/>
  <c r="CJ166" i="7"/>
  <c r="CJ334" i="7"/>
  <c r="CJ329" i="7"/>
  <c r="CJ146" i="8"/>
  <c r="CJ142" i="8" s="1"/>
  <c r="CJ294" i="8"/>
  <c r="CJ336" i="7"/>
  <c r="CJ163" i="7"/>
  <c r="CH176" i="7"/>
  <c r="DA62" i="7"/>
  <c r="DA153" i="7"/>
  <c r="DA160" i="7"/>
  <c r="DA552" i="7"/>
  <c r="DA557" i="7" s="1"/>
  <c r="DA171" i="7"/>
  <c r="CZ159" i="7"/>
  <c r="CZ152" i="7"/>
  <c r="CZ56" i="7"/>
  <c r="DA55" i="7"/>
  <c r="X8" i="9" s="1"/>
  <c r="CZ53" i="7"/>
  <c r="CZ43" i="7" s="1"/>
  <c r="EL217" i="45"/>
  <c r="EL204" i="45"/>
  <c r="CK33" i="7"/>
  <c r="CK42" i="7" s="1"/>
  <c r="BN205" i="8"/>
  <c r="BN198" i="8"/>
  <c r="DD30" i="7"/>
  <c r="DD169" i="7" s="1"/>
  <c r="CH300" i="7"/>
  <c r="CH569" i="7" s="1"/>
  <c r="CH565" i="7"/>
  <c r="CH566" i="7" s="1"/>
  <c r="DJ250" i="7"/>
  <c r="DK260" i="7"/>
  <c r="AD47" i="9" s="1"/>
  <c r="BY405" i="7"/>
  <c r="CA405" i="7" s="1"/>
  <c r="CB405" i="7" s="1"/>
  <c r="CD405" i="7" s="1"/>
  <c r="CE405" i="7" s="1"/>
  <c r="CG405" i="7" s="1"/>
  <c r="CH405" i="7" s="1"/>
  <c r="CJ405" i="7" s="1"/>
  <c r="EB115" i="45"/>
  <c r="EC115" i="45" s="1"/>
  <c r="R64" i="9" s="1"/>
  <c r="EB297" i="45"/>
  <c r="EB116" i="45" s="1"/>
  <c r="EC296" i="45"/>
  <c r="BZ283" i="7"/>
  <c r="BZ565" i="7" s="1"/>
  <c r="BZ566" i="7" s="1"/>
  <c r="CA300" i="7"/>
  <c r="CA569" i="7" s="1"/>
  <c r="CA565" i="7"/>
  <c r="CA566" i="7" s="1"/>
  <c r="CG56" i="7"/>
  <c r="EO217" i="45"/>
  <c r="EO204" i="45"/>
  <c r="DH18" i="8"/>
  <c r="DH77" i="7"/>
  <c r="DH75" i="7" s="1"/>
  <c r="K28" i="9" s="1"/>
  <c r="DJ115" i="8"/>
  <c r="DJ116" i="8" s="1"/>
  <c r="DJ323" i="7"/>
  <c r="DJ322" i="7"/>
  <c r="DJ575" i="7"/>
  <c r="ER369" i="45"/>
  <c r="ER370" i="45" s="1"/>
  <c r="DL42" i="8"/>
  <c r="DL45" i="8" s="1"/>
  <c r="DL44" i="8"/>
  <c r="DL46" i="8" s="1"/>
  <c r="DL49" i="8" s="1"/>
  <c r="DL245" i="7"/>
  <c r="DL568" i="7" s="1"/>
  <c r="DD75" i="7"/>
  <c r="DD554" i="7" s="1"/>
  <c r="DD556" i="7" s="1"/>
  <c r="DE554" i="7"/>
  <c r="DE556" i="7" s="1"/>
  <c r="CC279" i="7"/>
  <c r="CD273" i="7"/>
  <c r="CD283" i="7" s="1"/>
  <c r="EN12" i="45"/>
  <c r="CX552" i="7"/>
  <c r="CX557" i="7" s="1"/>
  <c r="CX171" i="7"/>
  <c r="DZ115" i="45"/>
  <c r="Q64" i="9" s="1"/>
  <c r="AI64" i="9" s="1"/>
  <c r="CL30" i="7"/>
  <c r="CM30" i="7" s="1"/>
  <c r="CM184" i="8" s="1"/>
  <c r="CL184" i="8" s="1"/>
  <c r="ER200" i="45"/>
  <c r="DG261" i="7"/>
  <c r="DG337" i="7" s="1"/>
  <c r="DS339" i="45"/>
  <c r="ER221" i="45"/>
  <c r="EF192" i="7"/>
  <c r="EE192" i="7" s="1"/>
  <c r="EE193" i="7"/>
  <c r="EE158" i="8" s="1"/>
  <c r="DD506" i="7"/>
  <c r="CF183" i="7"/>
  <c r="CG159" i="7"/>
  <c r="DO254" i="7"/>
  <c r="DQ254" i="7" s="1"/>
  <c r="DP254" i="7" s="1"/>
  <c r="DN253" i="7"/>
  <c r="DN250" i="7" s="1"/>
  <c r="DM250" i="7" s="1"/>
  <c r="DM254" i="7"/>
  <c r="CF32" i="7"/>
  <c r="CG33" i="7"/>
  <c r="DJ324" i="7"/>
  <c r="DK522" i="7"/>
  <c r="DK115" i="8"/>
  <c r="EQ239" i="7"/>
  <c r="DT268" i="7"/>
  <c r="DU268" i="7" s="1"/>
  <c r="DW268" i="7" s="1"/>
  <c r="DX268" i="7" s="1"/>
  <c r="DJ6" i="45"/>
  <c r="CI176" i="7"/>
  <c r="BS17" i="7"/>
  <c r="BS14" i="7"/>
  <c r="BS27" i="7" s="1"/>
  <c r="BS141" i="7"/>
  <c r="BQ393" i="7"/>
  <c r="BQ17" i="7" s="1"/>
  <c r="BQ391" i="7"/>
  <c r="CF152" i="7"/>
  <c r="CF56" i="7"/>
  <c r="CF170" i="7"/>
  <c r="CF159" i="7"/>
  <c r="EC291" i="45"/>
  <c r="DS289" i="8"/>
  <c r="DT289" i="8" s="1"/>
  <c r="DU289" i="8" s="1"/>
  <c r="DV289" i="8" s="1"/>
  <c r="DW289" i="8" s="1"/>
  <c r="DX289" i="8" s="1"/>
  <c r="DY289" i="8" s="1"/>
  <c r="DZ289" i="8" s="1"/>
  <c r="EA289" i="8" s="1"/>
  <c r="EB289" i="8" s="1"/>
  <c r="EC289" i="8" s="1"/>
  <c r="ED289" i="8" s="1"/>
  <c r="EE289" i="8" s="1"/>
  <c r="EF289" i="8" s="1"/>
  <c r="EG289" i="8" s="1"/>
  <c r="EH289" i="8" s="1"/>
  <c r="EI289" i="8" s="1"/>
  <c r="EJ289" i="8" s="1"/>
  <c r="EK289" i="8" s="1"/>
  <c r="EL289" i="8" s="1"/>
  <c r="EM289" i="8" s="1"/>
  <c r="EN289" i="8" s="1"/>
  <c r="EO289" i="8" s="1"/>
  <c r="EP289" i="8" s="1"/>
  <c r="EQ289" i="8" s="1"/>
  <c r="ER289" i="8" s="1"/>
  <c r="ES289" i="8" s="1"/>
  <c r="ET289" i="8" s="1"/>
  <c r="EU289" i="8" s="1"/>
  <c r="EV289" i="8" s="1"/>
  <c r="EW289" i="8" s="1"/>
  <c r="EX289" i="8" s="1"/>
  <c r="EY289" i="8" s="1"/>
  <c r="EG158" i="8"/>
  <c r="EG193" i="7" s="1"/>
  <c r="EG192" i="7" s="1"/>
  <c r="EL158" i="8"/>
  <c r="EJ158" i="8" s="1"/>
  <c r="EJ193" i="7" s="1"/>
  <c r="EI193" i="7"/>
  <c r="CC287" i="8"/>
  <c r="CC288" i="8" s="1"/>
  <c r="CD288" i="8"/>
  <c r="CD45" i="7"/>
  <c r="CG125" i="8" s="1"/>
  <c r="DO269" i="7"/>
  <c r="DO266" i="7" s="1"/>
  <c r="DM269" i="7"/>
  <c r="DN266" i="7"/>
  <c r="DC61" i="7"/>
  <c r="DC171" i="7" s="1"/>
  <c r="DC70" i="7"/>
  <c r="DC154" i="7"/>
  <c r="DC161" i="7"/>
  <c r="DC172" i="7"/>
  <c r="CK145" i="8"/>
  <c r="CK141" i="8" s="1"/>
  <c r="CK147" i="8"/>
  <c r="CK143" i="8" s="1"/>
  <c r="CK184" i="8"/>
  <c r="CK215" i="8"/>
  <c r="CK214" i="8"/>
  <c r="CK151" i="7"/>
  <c r="CK164" i="7"/>
  <c r="CK31" i="7"/>
  <c r="CK166" i="7"/>
  <c r="CK169" i="7"/>
  <c r="CK279" i="7"/>
  <c r="CK273" i="7" s="1"/>
  <c r="CK333" i="7"/>
  <c r="CK334" i="7"/>
  <c r="CK335" i="7"/>
  <c r="CK327" i="7"/>
  <c r="CK328" i="7"/>
  <c r="CK331" i="7"/>
  <c r="CK287" i="8"/>
  <c r="CK45" i="7" s="1"/>
  <c r="CN125" i="8" s="1"/>
  <c r="CK336" i="7"/>
  <c r="CK294" i="8"/>
  <c r="CK146" i="8"/>
  <c r="CK142" i="8" s="1"/>
  <c r="CK329" i="7"/>
  <c r="CK163" i="7"/>
  <c r="CK74" i="7"/>
  <c r="CK162" i="7"/>
  <c r="CK161" i="7"/>
  <c r="CK70" i="7"/>
  <c r="CK62" i="7"/>
  <c r="CK160" i="7"/>
  <c r="DZ297" i="45"/>
  <c r="DZ116" i="45" s="1"/>
  <c r="DZ293" i="45"/>
  <c r="DZ294" i="45" s="1"/>
  <c r="DZ299" i="45"/>
  <c r="DZ300" i="45" s="1"/>
  <c r="DO288" i="7"/>
  <c r="DQ288" i="7" s="1"/>
  <c r="DM288" i="7"/>
  <c r="BZ53" i="7"/>
  <c r="BO20" i="7"/>
  <c r="BO17" i="7"/>
  <c r="BO141" i="7"/>
  <c r="BZ185" i="7"/>
  <c r="CA186" i="7"/>
  <c r="BZ186" i="7" s="1"/>
  <c r="EH290" i="45"/>
  <c r="EF290" i="45"/>
  <c r="CH53" i="7"/>
  <c r="CH43" i="7" s="1"/>
  <c r="CQ26" i="8"/>
  <c r="CQ28" i="8" s="1"/>
  <c r="CQ59" i="7" s="1"/>
  <c r="DG26" i="8"/>
  <c r="DG28" i="8" s="1"/>
  <c r="DF33" i="7"/>
  <c r="Y7" i="9" s="1"/>
  <c r="Y12" i="9" s="1"/>
  <c r="DI28" i="45"/>
  <c r="DE506" i="7"/>
  <c r="DO255" i="7"/>
  <c r="DG506" i="7"/>
  <c r="BQ358" i="7"/>
  <c r="BQ198" i="8" s="1"/>
  <c r="BQ359" i="7"/>
  <c r="DJ17" i="45"/>
  <c r="DE4" i="8"/>
  <c r="DE10" i="8" s="1"/>
  <c r="DE69" i="7"/>
  <c r="DE154" i="7" s="1"/>
  <c r="DE155" i="7"/>
  <c r="DE179" i="7"/>
  <c r="DF173" i="7"/>
  <c r="DE518" i="7"/>
  <c r="DE525" i="7" s="1"/>
  <c r="DE339" i="7"/>
  <c r="DE325" i="7"/>
  <c r="DE337" i="7"/>
  <c r="CL33" i="7"/>
  <c r="CN30" i="7"/>
  <c r="CN31" i="7" s="1"/>
  <c r="DD33" i="7"/>
  <c r="DF4" i="8"/>
  <c r="DF10" i="8" s="1"/>
  <c r="DF69" i="7"/>
  <c r="DF61" i="7" s="1"/>
  <c r="DF552" i="7" s="1"/>
  <c r="DF155" i="7"/>
  <c r="DF337" i="7"/>
  <c r="DF179" i="7"/>
  <c r="DF518" i="7"/>
  <c r="DF339" i="7"/>
  <c r="DF325" i="7"/>
  <c r="CS133" i="8"/>
  <c r="CR443" i="7"/>
  <c r="CR133" i="8"/>
  <c r="DG30" i="7"/>
  <c r="DG327" i="7" s="1"/>
  <c r="DH506" i="7"/>
  <c r="DI506" i="7"/>
  <c r="DG33" i="7"/>
  <c r="CN59" i="7"/>
  <c r="CN57" i="7" s="1"/>
  <c r="CN181" i="7" s="1"/>
  <c r="CN183" i="7" s="1"/>
  <c r="DJ28" i="45"/>
  <c r="CN33" i="7"/>
  <c r="CN42" i="7" s="1"/>
  <c r="DD4" i="8"/>
  <c r="DD10" i="8" s="1"/>
  <c r="DD155" i="7"/>
  <c r="DD173" i="7"/>
  <c r="DD518" i="7"/>
  <c r="DD339" i="7"/>
  <c r="DD337" i="7"/>
  <c r="CO30" i="7"/>
  <c r="CO336" i="7" s="1"/>
  <c r="CR26" i="8"/>
  <c r="CR28" i="8" s="1"/>
  <c r="DJ506" i="7"/>
  <c r="CO33" i="7"/>
  <c r="DJ13" i="45"/>
  <c r="DH4" i="8"/>
  <c r="DH10" i="8" s="1"/>
  <c r="DH69" i="7"/>
  <c r="DH61" i="7" s="1"/>
  <c r="DH339" i="7"/>
  <c r="DH155" i="7"/>
  <c r="DH179" i="7"/>
  <c r="DH337" i="7"/>
  <c r="DH518" i="7"/>
  <c r="DH525" i="7" s="1"/>
  <c r="CQ30" i="7"/>
  <c r="CQ70" i="7" s="1"/>
  <c r="DI60" i="45"/>
  <c r="DI66" i="45" s="1"/>
  <c r="CR30" i="7"/>
  <c r="CR160" i="7" s="1"/>
  <c r="DK506" i="7"/>
  <c r="DG4" i="8"/>
  <c r="DG10" i="8" s="1"/>
  <c r="DG155" i="7"/>
  <c r="DG173" i="7"/>
  <c r="DG518" i="7"/>
  <c r="DG339" i="7"/>
  <c r="CQ33" i="7"/>
  <c r="CQ42" i="7" s="1"/>
  <c r="CT26" i="8"/>
  <c r="CT58" i="7" s="1"/>
  <c r="CT57" i="7" s="1"/>
  <c r="DI44" i="45"/>
  <c r="DI47" i="45" s="1"/>
  <c r="DJ60" i="45"/>
  <c r="DJ66" i="45" s="1"/>
  <c r="CR33" i="7"/>
  <c r="DJ44" i="45"/>
  <c r="DL234" i="7"/>
  <c r="DL332" i="7" s="1"/>
  <c r="CT33" i="7"/>
  <c r="CW30" i="7"/>
  <c r="CW333" i="7" s="1"/>
  <c r="DL229" i="7"/>
  <c r="CU30" i="7"/>
  <c r="DL263" i="7"/>
  <c r="DN42" i="8"/>
  <c r="DN45" i="8" s="1"/>
  <c r="DN44" i="8"/>
  <c r="DN46" i="8" s="1"/>
  <c r="DN49" i="8" s="1"/>
  <c r="DM49" i="8" s="1"/>
  <c r="DN245" i="7"/>
  <c r="AE42" i="9" s="1"/>
  <c r="DM247" i="7"/>
  <c r="DM42" i="8" s="1"/>
  <c r="CU26" i="8"/>
  <c r="DK44" i="45"/>
  <c r="CT30" i="7"/>
  <c r="CT214" i="8" s="1"/>
  <c r="CX30" i="7"/>
  <c r="CX328" i="7" s="1"/>
  <c r="CW33" i="7"/>
  <c r="CW42" i="7" s="1"/>
  <c r="DM244" i="7"/>
  <c r="DM184" i="8" s="1"/>
  <c r="CU33" i="7"/>
  <c r="CW190" i="7"/>
  <c r="CW188" i="7" s="1"/>
  <c r="CX33" i="7"/>
  <c r="DN229" i="7"/>
  <c r="AE38" i="9" s="1"/>
  <c r="DM230" i="7"/>
  <c r="DN263" i="7"/>
  <c r="DM263" i="7" s="1"/>
  <c r="DM264" i="7"/>
  <c r="DN234" i="7"/>
  <c r="AE39" i="9" s="1"/>
  <c r="DM238" i="7"/>
  <c r="CX26" i="8"/>
  <c r="CY26" i="8" s="1"/>
  <c r="CY190" i="7"/>
  <c r="CY188" i="7" s="1"/>
  <c r="DW277" i="7" l="1"/>
  <c r="DV268" i="7"/>
  <c r="FA259" i="7"/>
  <c r="EY256" i="7"/>
  <c r="FA287" i="7"/>
  <c r="EZ287" i="7" s="1"/>
  <c r="EZ267" i="7"/>
  <c r="EZ289" i="8"/>
  <c r="FA289" i="8" s="1"/>
  <c r="FA282" i="7"/>
  <c r="EY280" i="7"/>
  <c r="EW405" i="45"/>
  <c r="EX405" i="45" s="1"/>
  <c r="EZ429" i="45"/>
  <c r="EW290" i="7"/>
  <c r="EY290" i="7"/>
  <c r="FA290" i="7" s="1"/>
  <c r="EZ290" i="7" s="1"/>
  <c r="FA241" i="7"/>
  <c r="EY239" i="7"/>
  <c r="EK290" i="45"/>
  <c r="EL290" i="45" s="1"/>
  <c r="DJ20" i="45"/>
  <c r="DJ92" i="45" s="1"/>
  <c r="DI20" i="45"/>
  <c r="DI99" i="45" s="1"/>
  <c r="DJ99" i="45" s="1"/>
  <c r="DJ154" i="8" s="1"/>
  <c r="DJ522" i="7"/>
  <c r="EU405" i="45"/>
  <c r="EP291" i="45"/>
  <c r="EN291" i="45"/>
  <c r="ET239" i="7"/>
  <c r="AJ64" i="9"/>
  <c r="EW267" i="7"/>
  <c r="EW282" i="7"/>
  <c r="EX280" i="7"/>
  <c r="EW280" i="7" s="1"/>
  <c r="EW241" i="7"/>
  <c r="EX239" i="7"/>
  <c r="EW259" i="7"/>
  <c r="EX256" i="7"/>
  <c r="EW256" i="7" s="1"/>
  <c r="ET404" i="45"/>
  <c r="ET407" i="45" s="1"/>
  <c r="ET411" i="45" s="1"/>
  <c r="EW428" i="45"/>
  <c r="EX429" i="45"/>
  <c r="EX432" i="45" s="1"/>
  <c r="EF296" i="45"/>
  <c r="DL392" i="45"/>
  <c r="DI30" i="7"/>
  <c r="DI327" i="7" s="1"/>
  <c r="DI71" i="45"/>
  <c r="DI73" i="45"/>
  <c r="DL17" i="45"/>
  <c r="DL395" i="45"/>
  <c r="DL398" i="45"/>
  <c r="DL61" i="45" s="1"/>
  <c r="DL401" i="45"/>
  <c r="DJ38" i="45"/>
  <c r="AD46" i="9"/>
  <c r="AD48" i="9"/>
  <c r="DI33" i="45"/>
  <c r="DI38" i="45"/>
  <c r="ER201" i="45"/>
  <c r="EU201" i="45"/>
  <c r="ET369" i="45"/>
  <c r="ES370" i="45"/>
  <c r="ER224" i="45"/>
  <c r="EU224" i="45"/>
  <c r="EU428" i="45"/>
  <c r="EU431" i="45" s="1"/>
  <c r="DI14" i="45"/>
  <c r="EN29" i="45"/>
  <c r="EN23" i="45"/>
  <c r="EN450" i="45"/>
  <c r="EQ449" i="45"/>
  <c r="EQ450" i="45" s="1"/>
  <c r="EQ18" i="45"/>
  <c r="EQ412" i="45"/>
  <c r="DD325" i="7"/>
  <c r="DL242" i="7"/>
  <c r="DL564" i="7" s="1"/>
  <c r="DC42" i="7"/>
  <c r="DL155" i="8"/>
  <c r="CL329" i="7"/>
  <c r="DD164" i="7"/>
  <c r="DD151" i="7"/>
  <c r="DM201" i="8"/>
  <c r="DN201" i="8" s="1"/>
  <c r="DO201" i="8" s="1"/>
  <c r="DP201" i="8" s="1"/>
  <c r="DP345" i="7" s="1"/>
  <c r="DP24" i="7" s="1"/>
  <c r="DL11" i="45"/>
  <c r="DI77" i="7"/>
  <c r="DI167" i="7" s="1"/>
  <c r="DJ9" i="45"/>
  <c r="CL32" i="7"/>
  <c r="EM290" i="45"/>
  <c r="CL294" i="8"/>
  <c r="EG115" i="45"/>
  <c r="DD328" i="7"/>
  <c r="DD162" i="7"/>
  <c r="DD32" i="7"/>
  <c r="DM266" i="7"/>
  <c r="DI67" i="45"/>
  <c r="DI94" i="45"/>
  <c r="DI57" i="45"/>
  <c r="CG45" i="7"/>
  <c r="CJ125" i="8" s="1"/>
  <c r="DS268" i="7"/>
  <c r="CL335" i="7"/>
  <c r="CM161" i="7"/>
  <c r="CG273" i="7"/>
  <c r="CH185" i="7" s="1"/>
  <c r="CH186" i="7" s="1"/>
  <c r="EG297" i="45"/>
  <c r="EG116" i="45" s="1"/>
  <c r="CM70" i="7"/>
  <c r="CL328" i="7"/>
  <c r="CG288" i="8"/>
  <c r="CL334" i="7"/>
  <c r="CL161" i="7"/>
  <c r="CM31" i="7"/>
  <c r="CL70" i="7"/>
  <c r="CL327" i="7"/>
  <c r="CM151" i="7"/>
  <c r="DI54" i="45"/>
  <c r="CQ151" i="7"/>
  <c r="DQ269" i="7"/>
  <c r="DQ266" i="7" s="1"/>
  <c r="CM329" i="7"/>
  <c r="CM145" i="8"/>
  <c r="CM141" i="8" s="1"/>
  <c r="CM287" i="8"/>
  <c r="CL287" i="8" s="1"/>
  <c r="CM147" i="8"/>
  <c r="CM143" i="8" s="1"/>
  <c r="DA56" i="7"/>
  <c r="CM279" i="7"/>
  <c r="CM331" i="7"/>
  <c r="DI31" i="45"/>
  <c r="CA302" i="7"/>
  <c r="BZ302" i="7" s="1"/>
  <c r="BZ319" i="7" s="1"/>
  <c r="CL74" i="7"/>
  <c r="CL336" i="7"/>
  <c r="CL333" i="7"/>
  <c r="CL31" i="7"/>
  <c r="CM162" i="7"/>
  <c r="CM336" i="7"/>
  <c r="CM328" i="7"/>
  <c r="CM166" i="7"/>
  <c r="CH302" i="7"/>
  <c r="CH319" i="7" s="1"/>
  <c r="BZ300" i="7"/>
  <c r="BZ569" i="7" s="1"/>
  <c r="BZ571" i="7" s="1"/>
  <c r="BZ574" i="7" s="1"/>
  <c r="BZ577" i="7" s="1"/>
  <c r="CL162" i="7"/>
  <c r="CL145" i="8"/>
  <c r="CL141" i="8" s="1"/>
  <c r="CL176" i="7"/>
  <c r="CL151" i="7"/>
  <c r="CK176" i="7"/>
  <c r="CM74" i="7"/>
  <c r="CM294" i="8"/>
  <c r="CM327" i="7"/>
  <c r="CM214" i="8"/>
  <c r="CL214" i="8" s="1"/>
  <c r="CN169" i="7"/>
  <c r="CN161" i="7"/>
  <c r="DU295" i="7"/>
  <c r="DK261" i="7"/>
  <c r="CL62" i="7"/>
  <c r="CL163" i="7"/>
  <c r="CL146" i="8"/>
  <c r="CL142" i="8" s="1"/>
  <c r="CL169" i="7"/>
  <c r="CL166" i="7"/>
  <c r="CM62" i="7"/>
  <c r="CM163" i="7"/>
  <c r="CM334" i="7"/>
  <c r="CM335" i="7"/>
  <c r="CM215" i="8"/>
  <c r="CL215" i="8" s="1"/>
  <c r="DK6" i="45"/>
  <c r="DA170" i="7"/>
  <c r="DA53" i="7"/>
  <c r="CN335" i="7"/>
  <c r="DT293" i="7"/>
  <c r="DT86" i="8" s="1"/>
  <c r="DJ260" i="7"/>
  <c r="CL160" i="7"/>
  <c r="CL164" i="7"/>
  <c r="CL147" i="8"/>
  <c r="CL143" i="8" s="1"/>
  <c r="CL331" i="7"/>
  <c r="DL260" i="7"/>
  <c r="CM160" i="7"/>
  <c r="CM164" i="7"/>
  <c r="CM146" i="8"/>
  <c r="CM142" i="8" s="1"/>
  <c r="CM333" i="7"/>
  <c r="DJ11" i="45"/>
  <c r="DA159" i="7"/>
  <c r="BU14" i="7"/>
  <c r="BU12" i="7"/>
  <c r="CK32" i="7"/>
  <c r="CO32" i="7"/>
  <c r="DD163" i="7"/>
  <c r="DD146" i="8"/>
  <c r="DD142" i="8" s="1"/>
  <c r="DH325" i="7"/>
  <c r="CQ58" i="7"/>
  <c r="CQ57" i="7" s="1"/>
  <c r="EL193" i="7"/>
  <c r="EL192" i="7" s="1"/>
  <c r="EC297" i="45"/>
  <c r="EC116" i="45" s="1"/>
  <c r="EO158" i="8"/>
  <c r="ER158" i="8" s="1"/>
  <c r="EU158" i="8" s="1"/>
  <c r="EX158" i="8" s="1"/>
  <c r="FA158" i="8" s="1"/>
  <c r="DM45" i="8"/>
  <c r="CX329" i="7"/>
  <c r="CJ45" i="7"/>
  <c r="CW336" i="7"/>
  <c r="CR151" i="7"/>
  <c r="CW32" i="7"/>
  <c r="CR161" i="7"/>
  <c r="CT161" i="7"/>
  <c r="CR294" i="8"/>
  <c r="DQ255" i="7"/>
  <c r="DP255" i="7" s="1"/>
  <c r="CT335" i="7"/>
  <c r="CW215" i="8"/>
  <c r="CR145" i="8"/>
  <c r="CR141" i="8" s="1"/>
  <c r="DM229" i="7"/>
  <c r="CW70" i="7"/>
  <c r="CW169" i="7"/>
  <c r="CS443" i="7"/>
  <c r="CY204" i="7"/>
  <c r="CY212" i="7" s="1"/>
  <c r="CO329" i="7"/>
  <c r="CW204" i="7"/>
  <c r="CW212" i="7" s="1"/>
  <c r="CW211" i="7" s="1"/>
  <c r="CW177" i="8" s="1"/>
  <c r="CW152" i="8"/>
  <c r="CO146" i="8"/>
  <c r="CO142" i="8" s="1"/>
  <c r="CN162" i="7"/>
  <c r="CW56" i="7"/>
  <c r="DN568" i="7"/>
  <c r="DG163" i="7"/>
  <c r="DL9" i="45"/>
  <c r="CT32" i="7"/>
  <c r="CT74" i="7"/>
  <c r="CU147" i="8"/>
  <c r="CU143" i="8" s="1"/>
  <c r="DG164" i="7"/>
  <c r="DM234" i="7"/>
  <c r="DM332" i="7" s="1"/>
  <c r="CT163" i="7"/>
  <c r="CT147" i="8"/>
  <c r="CT143" i="8" s="1"/>
  <c r="DG162" i="7"/>
  <c r="DG145" i="8"/>
  <c r="DG141" i="8" s="1"/>
  <c r="DI22" i="45"/>
  <c r="DB565" i="7"/>
  <c r="DB566" i="7" s="1"/>
  <c r="CT333" i="7"/>
  <c r="CT164" i="7"/>
  <c r="DN332" i="7"/>
  <c r="CT146" i="8"/>
  <c r="CT142" i="8" s="1"/>
  <c r="CT145" i="8"/>
  <c r="CT141" i="8" s="1"/>
  <c r="CX31" i="7"/>
  <c r="DG74" i="7"/>
  <c r="DG328" i="7"/>
  <c r="CT162" i="7"/>
  <c r="DN242" i="7"/>
  <c r="AE41" i="9" s="1"/>
  <c r="AE40" i="9" s="1"/>
  <c r="CT294" i="8"/>
  <c r="DG31" i="7"/>
  <c r="DG32" i="7"/>
  <c r="BW398" i="7"/>
  <c r="BW390" i="7" s="1"/>
  <c r="BW393" i="7" s="1"/>
  <c r="BW20" i="7" s="1"/>
  <c r="BX390" i="7"/>
  <c r="BX391" i="7" s="1"/>
  <c r="CT124" i="8"/>
  <c r="CT133" i="8" s="1"/>
  <c r="DC330" i="7"/>
  <c r="CJ155" i="8"/>
  <c r="CX161" i="7"/>
  <c r="CW151" i="7"/>
  <c r="CU334" i="7"/>
  <c r="DG69" i="7"/>
  <c r="CY143" i="7"/>
  <c r="CY144" i="7" s="1"/>
  <c r="CY147" i="7" s="1"/>
  <c r="DB143" i="7" s="1"/>
  <c r="DB144" i="7" s="1"/>
  <c r="DB147" i="7" s="1"/>
  <c r="DC143" i="7" s="1"/>
  <c r="DC144" i="7" s="1"/>
  <c r="DC147" i="7" s="1"/>
  <c r="DD143" i="7" s="1"/>
  <c r="DD144" i="7" s="1"/>
  <c r="DD147" i="7" s="1"/>
  <c r="CX169" i="7"/>
  <c r="CU145" i="8"/>
  <c r="CU141" i="8" s="1"/>
  <c r="CV30" i="7"/>
  <c r="CV145" i="8" s="1"/>
  <c r="CV141" i="8" s="1"/>
  <c r="CW218" i="7"/>
  <c r="CT336" i="7"/>
  <c r="CT328" i="7"/>
  <c r="CT184" i="8"/>
  <c r="CX74" i="7"/>
  <c r="CX147" i="8"/>
  <c r="CX143" i="8" s="1"/>
  <c r="CU74" i="7"/>
  <c r="CU166" i="7"/>
  <c r="CW146" i="8"/>
  <c r="CW142" i="8" s="1"/>
  <c r="CR166" i="7"/>
  <c r="DK17" i="45"/>
  <c r="CN146" i="8"/>
  <c r="CN142" i="8" s="1"/>
  <c r="DG336" i="7"/>
  <c r="DG335" i="7"/>
  <c r="CM33" i="7"/>
  <c r="DM253" i="7"/>
  <c r="CX331" i="7"/>
  <c r="CT329" i="7"/>
  <c r="CT166" i="7"/>
  <c r="CX146" i="8"/>
  <c r="CX142" i="8" s="1"/>
  <c r="CW155" i="8"/>
  <c r="CT70" i="7"/>
  <c r="CT331" i="7"/>
  <c r="CT327" i="7"/>
  <c r="CX162" i="7"/>
  <c r="CX335" i="7"/>
  <c r="CU336" i="7"/>
  <c r="CS33" i="7"/>
  <c r="F19" i="9" s="1"/>
  <c r="CS26" i="8"/>
  <c r="CS28" i="8" s="1"/>
  <c r="CP30" i="7"/>
  <c r="CP62" i="7" s="1"/>
  <c r="DJ22" i="45"/>
  <c r="DE33" i="7"/>
  <c r="J19" i="9" s="1"/>
  <c r="DG329" i="7"/>
  <c r="DG166" i="7"/>
  <c r="CZ169" i="7"/>
  <c r="CU163" i="7"/>
  <c r="DJ90" i="45"/>
  <c r="BV398" i="7"/>
  <c r="BV390" i="7" s="1"/>
  <c r="BV393" i="7" s="1"/>
  <c r="BV20" i="7" s="1"/>
  <c r="CI288" i="8"/>
  <c r="BU15" i="7"/>
  <c r="DC283" i="7"/>
  <c r="DB300" i="7"/>
  <c r="AA53" i="9" s="1"/>
  <c r="AA52" i="9" s="1"/>
  <c r="AA58" i="9" s="1"/>
  <c r="DF557" i="7"/>
  <c r="BQ15" i="7"/>
  <c r="BQ141" i="7"/>
  <c r="EP293" i="45"/>
  <c r="ES293" i="45" s="1"/>
  <c r="EV293" i="45" s="1"/>
  <c r="EY293" i="45" s="1"/>
  <c r="EJ296" i="45"/>
  <c r="EC293" i="45"/>
  <c r="EC294" i="45" s="1"/>
  <c r="DH552" i="7"/>
  <c r="DG61" i="7"/>
  <c r="CJ288" i="8"/>
  <c r="DL204" i="7"/>
  <c r="DC552" i="7"/>
  <c r="DC557" i="7" s="1"/>
  <c r="DM245" i="7"/>
  <c r="DM568" i="7" s="1"/>
  <c r="CC45" i="7"/>
  <c r="CF125" i="8" s="1"/>
  <c r="BQ14" i="7"/>
  <c r="BQ27" i="7" s="1"/>
  <c r="BR393" i="7"/>
  <c r="BR15" i="7" s="1"/>
  <c r="BT399" i="7"/>
  <c r="BT25" i="7" s="1"/>
  <c r="DC62" i="7"/>
  <c r="DC153" i="7"/>
  <c r="DH154" i="7"/>
  <c r="BQ20" i="7"/>
  <c r="BV400" i="7"/>
  <c r="DC160" i="7"/>
  <c r="DP293" i="7"/>
  <c r="DP86" i="8" s="1"/>
  <c r="DP88" i="8" s="1"/>
  <c r="DO253" i="7"/>
  <c r="DO250" i="7" s="1"/>
  <c r="BV399" i="7"/>
  <c r="DC55" i="7"/>
  <c r="EF291" i="45"/>
  <c r="DF334" i="7"/>
  <c r="DF327" i="7"/>
  <c r="DF147" i="8"/>
  <c r="DF143" i="8" s="1"/>
  <c r="DF294" i="8"/>
  <c r="DH30" i="7"/>
  <c r="DH160" i="7" s="1"/>
  <c r="DF146" i="8"/>
  <c r="DF142" i="8" s="1"/>
  <c r="DF145" i="8"/>
  <c r="DF141" i="8" s="1"/>
  <c r="DF279" i="7"/>
  <c r="DF273" i="7" s="1"/>
  <c r="DF287" i="8"/>
  <c r="DF45" i="7" s="1"/>
  <c r="DI125" i="8" s="1"/>
  <c r="DF336" i="7"/>
  <c r="DF31" i="7"/>
  <c r="DF166" i="7"/>
  <c r="DF163" i="7"/>
  <c r="DF335" i="7"/>
  <c r="DF214" i="8"/>
  <c r="DF74" i="7"/>
  <c r="DF161" i="7"/>
  <c r="DF164" i="7"/>
  <c r="DF333" i="7"/>
  <c r="DF328" i="7"/>
  <c r="DF151" i="7"/>
  <c r="DG169" i="7"/>
  <c r="DF329" i="7"/>
  <c r="DF215" i="8"/>
  <c r="DF169" i="7"/>
  <c r="DF162" i="7"/>
  <c r="DF331" i="7"/>
  <c r="DJ54" i="45"/>
  <c r="DJ47" i="45"/>
  <c r="DG75" i="7"/>
  <c r="DH554" i="7"/>
  <c r="DH556" i="7" s="1"/>
  <c r="CK185" i="7"/>
  <c r="CK186" i="7" s="1"/>
  <c r="CK330" i="7"/>
  <c r="CK283" i="7"/>
  <c r="CK159" i="7"/>
  <c r="CK152" i="7"/>
  <c r="CK56" i="7"/>
  <c r="DF160" i="7"/>
  <c r="CV26" i="8"/>
  <c r="CV58" i="7" s="1"/>
  <c r="CT31" i="7"/>
  <c r="CX327" i="7"/>
  <c r="CX145" i="8"/>
  <c r="CX141" i="8" s="1"/>
  <c r="CX336" i="7"/>
  <c r="CX70" i="7"/>
  <c r="CX166" i="7"/>
  <c r="CX333" i="7"/>
  <c r="CX164" i="7"/>
  <c r="DA151" i="7"/>
  <c r="CX62" i="7"/>
  <c r="CY30" i="7"/>
  <c r="CX151" i="7"/>
  <c r="CX334" i="7"/>
  <c r="CX163" i="7"/>
  <c r="DA31" i="7"/>
  <c r="CX160" i="7"/>
  <c r="CQ160" i="7"/>
  <c r="DD179" i="7"/>
  <c r="BS358" i="7"/>
  <c r="BS198" i="8" s="1"/>
  <c r="BS359" i="7"/>
  <c r="EH296" i="45"/>
  <c r="EH354" i="45" s="1"/>
  <c r="EK293" i="45"/>
  <c r="CU335" i="7"/>
  <c r="CU164" i="7"/>
  <c r="CU161" i="7"/>
  <c r="CU333" i="7"/>
  <c r="CU146" i="8"/>
  <c r="CU142" i="8" s="1"/>
  <c r="CU70" i="7"/>
  <c r="CU151" i="7"/>
  <c r="CU331" i="7"/>
  <c r="CU328" i="7"/>
  <c r="CU329" i="7"/>
  <c r="CU169" i="7"/>
  <c r="CS30" i="7"/>
  <c r="CR176" i="7" s="1"/>
  <c r="CR328" i="7"/>
  <c r="CR147" i="8"/>
  <c r="CR143" i="8" s="1"/>
  <c r="CR74" i="7"/>
  <c r="CR146" i="8"/>
  <c r="CR142" i="8" s="1"/>
  <c r="CR70" i="7"/>
  <c r="CR169" i="7"/>
  <c r="CR164" i="7"/>
  <c r="CR62" i="7"/>
  <c r="CR327" i="7"/>
  <c r="CR163" i="7"/>
  <c r="CR333" i="7"/>
  <c r="CR329" i="7"/>
  <c r="CT169" i="7"/>
  <c r="CR335" i="7"/>
  <c r="CR336" i="7"/>
  <c r="DE58" i="7"/>
  <c r="CQ214" i="8"/>
  <c r="CQ215" i="8"/>
  <c r="CQ335" i="7"/>
  <c r="CQ287" i="8"/>
  <c r="CQ45" i="7" s="1"/>
  <c r="CT125" i="8" s="1"/>
  <c r="CQ279" i="7"/>
  <c r="CQ273" i="7" s="1"/>
  <c r="CQ294" i="8"/>
  <c r="CQ62" i="7"/>
  <c r="CQ166" i="7"/>
  <c r="CQ336" i="7"/>
  <c r="CQ184" i="8"/>
  <c r="CQ327" i="7"/>
  <c r="CQ74" i="7"/>
  <c r="CQ169" i="7"/>
  <c r="CT151" i="7"/>
  <c r="CQ328" i="7"/>
  <c r="CQ331" i="7"/>
  <c r="CQ32" i="7"/>
  <c r="CQ147" i="8"/>
  <c r="CQ143" i="8" s="1"/>
  <c r="CQ329" i="7"/>
  <c r="DJ117" i="8"/>
  <c r="DJ18" i="8" s="1"/>
  <c r="DK116" i="8"/>
  <c r="DK117" i="8" s="1"/>
  <c r="BU141" i="7"/>
  <c r="BT400" i="7"/>
  <c r="BT12" i="7" s="1"/>
  <c r="BU17" i="7"/>
  <c r="CQ31" i="7"/>
  <c r="CW214" i="8"/>
  <c r="CW145" i="8"/>
  <c r="CW141" i="8" s="1"/>
  <c r="CZ151" i="7"/>
  <c r="CN32" i="7"/>
  <c r="CP33" i="7"/>
  <c r="E19" i="9" s="1"/>
  <c r="DF62" i="7"/>
  <c r="DF153" i="7"/>
  <c r="CN214" i="8"/>
  <c r="CN333" i="7"/>
  <c r="CN279" i="7"/>
  <c r="CN273" i="7" s="1"/>
  <c r="CN336" i="7"/>
  <c r="CN70" i="7"/>
  <c r="CN184" i="8"/>
  <c r="CN334" i="7"/>
  <c r="CN164" i="7"/>
  <c r="CN287" i="8"/>
  <c r="CN45" i="7" s="1"/>
  <c r="CQ125" i="8" s="1"/>
  <c r="CN160" i="7"/>
  <c r="CN215" i="8"/>
  <c r="CN327" i="7"/>
  <c r="CN329" i="7"/>
  <c r="CN151" i="7"/>
  <c r="CN328" i="7"/>
  <c r="CN74" i="7"/>
  <c r="CN145" i="8"/>
  <c r="CN141" i="8" s="1"/>
  <c r="CN294" i="8"/>
  <c r="CN62" i="7"/>
  <c r="CN147" i="8"/>
  <c r="CN143" i="8" s="1"/>
  <c r="CN331" i="7"/>
  <c r="CN166" i="7"/>
  <c r="CN163" i="7"/>
  <c r="CC283" i="7"/>
  <c r="CC565" i="7" s="1"/>
  <c r="CC566" i="7" s="1"/>
  <c r="CD300" i="7"/>
  <c r="CD565" i="7"/>
  <c r="CD566" i="7" s="1"/>
  <c r="DF42" i="7"/>
  <c r="DF32" i="7"/>
  <c r="DH33" i="7"/>
  <c r="K19" i="9" s="1"/>
  <c r="Y15" i="9" s="1"/>
  <c r="DR288" i="7"/>
  <c r="DT288" i="7" s="1"/>
  <c r="DP288" i="7"/>
  <c r="DR254" i="7"/>
  <c r="DT254" i="7" s="1"/>
  <c r="DM44" i="8"/>
  <c r="DM46" i="8" s="1"/>
  <c r="CN155" i="8"/>
  <c r="CN55" i="7"/>
  <c r="CG32" i="7"/>
  <c r="CG42" i="7"/>
  <c r="CD185" i="7"/>
  <c r="CC185" i="7" s="1"/>
  <c r="CC273" i="7"/>
  <c r="CC330" i="7" s="1"/>
  <c r="CE185" i="7"/>
  <c r="CE186" i="7" s="1"/>
  <c r="DG77" i="7"/>
  <c r="DG167" i="7" s="1"/>
  <c r="DH167" i="7"/>
  <c r="EL218" i="45"/>
  <c r="EO218" i="45"/>
  <c r="EE115" i="45"/>
  <c r="EF115" i="45" s="1"/>
  <c r="S64" i="9" s="1"/>
  <c r="AK64" i="9" s="1"/>
  <c r="EE297" i="45"/>
  <c r="EE116" i="45" s="1"/>
  <c r="BY410" i="7"/>
  <c r="BX400" i="7"/>
  <c r="BX399" i="7"/>
  <c r="CM57" i="7"/>
  <c r="CL58" i="7"/>
  <c r="DL376" i="45"/>
  <c r="CO166" i="7"/>
  <c r="CO333" i="7"/>
  <c r="CO160" i="7"/>
  <c r="CO334" i="7"/>
  <c r="CO62" i="7"/>
  <c r="DJ31" i="45"/>
  <c r="DJ33" i="45"/>
  <c r="DK28" i="45"/>
  <c r="EI290" i="45"/>
  <c r="EI192" i="7"/>
  <c r="EH192" i="7" s="1"/>
  <c r="EH193" i="7"/>
  <c r="EH158" i="8" s="1"/>
  <c r="CO147" i="8"/>
  <c r="CO143" i="8" s="1"/>
  <c r="ER203" i="45"/>
  <c r="EU204" i="45" s="1"/>
  <c r="CD330" i="7"/>
  <c r="DG179" i="7"/>
  <c r="CP59" i="7"/>
  <c r="CO59" i="7" s="1"/>
  <c r="BQ205" i="8"/>
  <c r="DD31" i="7"/>
  <c r="DD335" i="7"/>
  <c r="DD294" i="8"/>
  <c r="DD327" i="7"/>
  <c r="DD145" i="8"/>
  <c r="DD141" i="8" s="1"/>
  <c r="DD331" i="7"/>
  <c r="DD74" i="7"/>
  <c r="DE30" i="7"/>
  <c r="DD176" i="7" s="1"/>
  <c r="DD147" i="8"/>
  <c r="DD143" i="8" s="1"/>
  <c r="DD166" i="7"/>
  <c r="DF70" i="7"/>
  <c r="DF154" i="7"/>
  <c r="CA571" i="7"/>
  <c r="CA574" i="7" s="1"/>
  <c r="DD336" i="7"/>
  <c r="DD334" i="7"/>
  <c r="DG151" i="7"/>
  <c r="DG333" i="7"/>
  <c r="DG147" i="8"/>
  <c r="DG143" i="8" s="1"/>
  <c r="DG334" i="7"/>
  <c r="DG146" i="8"/>
  <c r="DG142" i="8" s="1"/>
  <c r="CK53" i="7"/>
  <c r="CK43" i="7" s="1"/>
  <c r="DE61" i="7"/>
  <c r="DD69" i="7"/>
  <c r="DF172" i="7" s="1"/>
  <c r="DD329" i="7"/>
  <c r="DD333" i="7"/>
  <c r="CJ181" i="7"/>
  <c r="CI181" i="7" s="1"/>
  <c r="DR293" i="7"/>
  <c r="DR86" i="8" s="1"/>
  <c r="DR88" i="8" s="1"/>
  <c r="CP26" i="8"/>
  <c r="CH571" i="7"/>
  <c r="CH574" i="7" s="1"/>
  <c r="CK405" i="7"/>
  <c r="CW161" i="7"/>
  <c r="CW331" i="7"/>
  <c r="CW279" i="7"/>
  <c r="CW273" i="7" s="1"/>
  <c r="CW184" i="8"/>
  <c r="CW159" i="7"/>
  <c r="CW74" i="7"/>
  <c r="CW328" i="7"/>
  <c r="CW163" i="7"/>
  <c r="CX28" i="8"/>
  <c r="CW62" i="7"/>
  <c r="CW162" i="7"/>
  <c r="CW335" i="7"/>
  <c r="CW164" i="7"/>
  <c r="CS59" i="7"/>
  <c r="CW160" i="7"/>
  <c r="CW287" i="8"/>
  <c r="CW45" i="7" s="1"/>
  <c r="CZ125" i="8" s="1"/>
  <c r="CW334" i="7"/>
  <c r="CY28" i="8"/>
  <c r="CY58" i="7"/>
  <c r="CX188" i="7"/>
  <c r="CY152" i="8"/>
  <c r="CY218" i="7"/>
  <c r="CX190" i="7"/>
  <c r="CW294" i="8"/>
  <c r="CW31" i="7"/>
  <c r="CT215" i="8"/>
  <c r="CT334" i="7"/>
  <c r="CT279" i="7"/>
  <c r="CT273" i="7" s="1"/>
  <c r="CT287" i="8"/>
  <c r="CT45" i="7" s="1"/>
  <c r="CW125" i="8" s="1"/>
  <c r="CW147" i="8"/>
  <c r="CW143" i="8" s="1"/>
  <c r="CW166" i="7"/>
  <c r="CW327" i="7"/>
  <c r="CW329" i="7"/>
  <c r="CZ31" i="7"/>
  <c r="CX32" i="7"/>
  <c r="DN184" i="7"/>
  <c r="CY33" i="7"/>
  <c r="H19" i="9" s="1"/>
  <c r="DN260" i="7"/>
  <c r="AE47" i="9" s="1"/>
  <c r="CT42" i="7"/>
  <c r="CV33" i="7"/>
  <c r="G19" i="9" s="1"/>
  <c r="CU31" i="7"/>
  <c r="CU327" i="7"/>
  <c r="CU294" i="8"/>
  <c r="CU162" i="7"/>
  <c r="CU32" i="7"/>
  <c r="DL184" i="7"/>
  <c r="CR162" i="7"/>
  <c r="CR331" i="7"/>
  <c r="CR334" i="7"/>
  <c r="CR31" i="7"/>
  <c r="CR32" i="7"/>
  <c r="CQ161" i="7"/>
  <c r="CQ163" i="7"/>
  <c r="CQ333" i="7"/>
  <c r="CQ145" i="8"/>
  <c r="CQ141" i="8" s="1"/>
  <c r="CQ164" i="7"/>
  <c r="CQ334" i="7"/>
  <c r="CQ146" i="8"/>
  <c r="CQ142" i="8" s="1"/>
  <c r="CQ162" i="7"/>
  <c r="EJ192" i="7"/>
  <c r="CO162" i="7"/>
  <c r="CO294" i="8"/>
  <c r="CO327" i="7"/>
  <c r="CO169" i="7"/>
  <c r="DG331" i="7"/>
  <c r="DG294" i="8"/>
  <c r="CF288" i="8"/>
  <c r="CO74" i="7"/>
  <c r="CO331" i="7"/>
  <c r="CO335" i="7"/>
  <c r="CO31" i="7"/>
  <c r="CO70" i="7"/>
  <c r="CO163" i="7"/>
  <c r="CO145" i="8"/>
  <c r="CO141" i="8" s="1"/>
  <c r="CO151" i="7"/>
  <c r="CO161" i="7"/>
  <c r="CO164" i="7"/>
  <c r="CO328" i="7"/>
  <c r="DB43" i="7"/>
  <c r="DV277" i="7" l="1"/>
  <c r="DX277" i="7"/>
  <c r="DZ277" i="7" s="1"/>
  <c r="DJ25" i="45"/>
  <c r="EF293" i="45"/>
  <c r="EF294" i="45" s="1"/>
  <c r="DI92" i="45"/>
  <c r="DI33" i="7"/>
  <c r="Z7" i="9" s="1"/>
  <c r="DI25" i="45"/>
  <c r="DI90" i="45"/>
  <c r="EP290" i="45"/>
  <c r="EP296" i="45" s="1"/>
  <c r="DU293" i="7"/>
  <c r="DU86" i="8" s="1"/>
  <c r="DU88" i="8" s="1"/>
  <c r="DW295" i="7"/>
  <c r="DX295" i="7" s="1"/>
  <c r="DX293" i="7" s="1"/>
  <c r="DX86" i="8" s="1"/>
  <c r="DJ71" i="45"/>
  <c r="DJ33" i="7"/>
  <c r="AA7" i="9" s="1"/>
  <c r="EN290" i="45"/>
  <c r="EO290" i="45" s="1"/>
  <c r="EZ241" i="7"/>
  <c r="FA239" i="7"/>
  <c r="EZ282" i="7"/>
  <c r="FA280" i="7"/>
  <c r="EZ280" i="7" s="1"/>
  <c r="EY158" i="8"/>
  <c r="EY193" i="7" s="1"/>
  <c r="EY192" i="7" s="1"/>
  <c r="FA193" i="7"/>
  <c r="EW404" i="45"/>
  <c r="EW407" i="45" s="1"/>
  <c r="EW411" i="45" s="1"/>
  <c r="EZ428" i="45"/>
  <c r="EZ405" i="45"/>
  <c r="FA429" i="45"/>
  <c r="FA432" i="45" s="1"/>
  <c r="EZ259" i="7"/>
  <c r="FA256" i="7"/>
  <c r="EZ256" i="7" s="1"/>
  <c r="DJ41" i="45"/>
  <c r="EQ23" i="45"/>
  <c r="EN39" i="45"/>
  <c r="DL22" i="45"/>
  <c r="DI294" i="8"/>
  <c r="EQ291" i="45"/>
  <c r="ES291" i="45"/>
  <c r="DI328" i="7"/>
  <c r="DI164" i="7"/>
  <c r="DI336" i="7"/>
  <c r="DI287" i="8"/>
  <c r="DI45" i="7" s="1"/>
  <c r="DL125" i="8" s="1"/>
  <c r="EF297" i="45"/>
  <c r="EF116" i="45" s="1"/>
  <c r="DI166" i="7"/>
  <c r="DI214" i="8"/>
  <c r="DI31" i="7"/>
  <c r="DI329" i="7"/>
  <c r="DI147" i="8"/>
  <c r="DI143" i="8" s="1"/>
  <c r="DI145" i="8"/>
  <c r="DI141" i="8" s="1"/>
  <c r="DI333" i="7"/>
  <c r="DI169" i="7"/>
  <c r="DI335" i="7"/>
  <c r="DI151" i="7"/>
  <c r="DI331" i="7"/>
  <c r="DI215" i="8"/>
  <c r="DI146" i="8"/>
  <c r="DI142" i="8" s="1"/>
  <c r="DI279" i="7"/>
  <c r="DI273" i="7" s="1"/>
  <c r="DI330" i="7" s="1"/>
  <c r="DI334" i="7"/>
  <c r="DL20" i="45"/>
  <c r="DL71" i="45" s="1"/>
  <c r="EW239" i="7"/>
  <c r="ET7" i="45"/>
  <c r="ET12" i="45" s="1"/>
  <c r="EX193" i="7"/>
  <c r="EV158" i="8"/>
  <c r="EV193" i="7" s="1"/>
  <c r="EV192" i="7" s="1"/>
  <c r="DJ261" i="7"/>
  <c r="EX428" i="45"/>
  <c r="EX431" i="45" s="1"/>
  <c r="ET370" i="45"/>
  <c r="EV369" i="45"/>
  <c r="EJ297" i="45"/>
  <c r="EJ116" i="45" s="1"/>
  <c r="G20" i="9"/>
  <c r="DJ14" i="45"/>
  <c r="DJ73" i="45"/>
  <c r="DL30" i="7"/>
  <c r="DL329" i="7" s="1"/>
  <c r="DL73" i="45"/>
  <c r="K20" i="9"/>
  <c r="J20" i="9"/>
  <c r="F20" i="9"/>
  <c r="H20" i="9"/>
  <c r="I20" i="9"/>
  <c r="AE46" i="9"/>
  <c r="AE48" i="9"/>
  <c r="DI36" i="45"/>
  <c r="DI41" i="45"/>
  <c r="DK38" i="45"/>
  <c r="EU369" i="45"/>
  <c r="EU370" i="45" s="1"/>
  <c r="ES158" i="8"/>
  <c r="ES193" i="7" s="1"/>
  <c r="ES192" i="7" s="1"/>
  <c r="EU193" i="7"/>
  <c r="ET412" i="45"/>
  <c r="ET449" i="45"/>
  <c r="ET18" i="45"/>
  <c r="EN34" i="45"/>
  <c r="EQ29" i="45"/>
  <c r="DI75" i="7"/>
  <c r="DI554" i="7" s="1"/>
  <c r="DI556" i="7" s="1"/>
  <c r="DP266" i="7"/>
  <c r="CJ185" i="7"/>
  <c r="CI185" i="7" s="1"/>
  <c r="CP164" i="7"/>
  <c r="CP287" i="8"/>
  <c r="CO287" i="8" s="1"/>
  <c r="CF273" i="7"/>
  <c r="CF330" i="7" s="1"/>
  <c r="CG330" i="7"/>
  <c r="CG283" i="7"/>
  <c r="CG565" i="7" s="1"/>
  <c r="CG566" i="7" s="1"/>
  <c r="CG185" i="7"/>
  <c r="CG186" i="7" s="1"/>
  <c r="CF186" i="7" s="1"/>
  <c r="EM296" i="45"/>
  <c r="DJ94" i="45"/>
  <c r="DL261" i="7"/>
  <c r="DF176" i="7"/>
  <c r="DK9" i="45"/>
  <c r="DJ30" i="7"/>
  <c r="DJ334" i="7" s="1"/>
  <c r="CF45" i="7"/>
  <c r="CI125" i="8" s="1"/>
  <c r="DJ67" i="45"/>
  <c r="EL291" i="45"/>
  <c r="CM45" i="7"/>
  <c r="CP125" i="8" s="1"/>
  <c r="DO345" i="7"/>
  <c r="DO24" i="7" s="1"/>
  <c r="BW391" i="7"/>
  <c r="DQ201" i="8"/>
  <c r="DR201" i="8" s="1"/>
  <c r="DS201" i="8" s="1"/>
  <c r="CI45" i="7"/>
  <c r="CL125" i="8" s="1"/>
  <c r="CM125" i="8"/>
  <c r="DM345" i="7"/>
  <c r="DM24" i="7" s="1"/>
  <c r="DK11" i="45"/>
  <c r="CS42" i="7"/>
  <c r="CT404" i="7"/>
  <c r="CU404" i="7" s="1"/>
  <c r="CP160" i="7"/>
  <c r="CP163" i="7"/>
  <c r="CP162" i="7"/>
  <c r="CP329" i="7"/>
  <c r="BZ579" i="7"/>
  <c r="DM242" i="7"/>
  <c r="DM564" i="7" s="1"/>
  <c r="CP327" i="7"/>
  <c r="DP269" i="7"/>
  <c r="CO176" i="7"/>
  <c r="CN176" i="7"/>
  <c r="CA319" i="7"/>
  <c r="CP31" i="7"/>
  <c r="CP331" i="7"/>
  <c r="DR269" i="7"/>
  <c r="DR266" i="7" s="1"/>
  <c r="CT443" i="7"/>
  <c r="DS293" i="7"/>
  <c r="DS86" i="8" s="1"/>
  <c r="DS88" i="8" s="1"/>
  <c r="DK54" i="45"/>
  <c r="BV391" i="7"/>
  <c r="DE143" i="7"/>
  <c r="DE144" i="7" s="1"/>
  <c r="DE147" i="7" s="1"/>
  <c r="DF143" i="7" s="1"/>
  <c r="DF144" i="7" s="1"/>
  <c r="DF147" i="7" s="1"/>
  <c r="DG143" i="7" s="1"/>
  <c r="DG144" i="7" s="1"/>
  <c r="DG147" i="7" s="1"/>
  <c r="CL279" i="7"/>
  <c r="CM273" i="7"/>
  <c r="CN185" i="7" s="1"/>
  <c r="CN186" i="7" s="1"/>
  <c r="DN564" i="7"/>
  <c r="CS294" i="8"/>
  <c r="CJ132" i="8"/>
  <c r="CJ133" i="8" s="1"/>
  <c r="EM158" i="8"/>
  <c r="EM193" i="7" s="1"/>
  <c r="EM192" i="7" s="1"/>
  <c r="EO193" i="7"/>
  <c r="EO192" i="7" s="1"/>
  <c r="CD186" i="7"/>
  <c r="CC186" i="7" s="1"/>
  <c r="DQ253" i="7"/>
  <c r="AF45" i="9" s="1"/>
  <c r="BX393" i="7"/>
  <c r="BX14" i="7" s="1"/>
  <c r="BX27" i="7" s="1"/>
  <c r="BX12" i="7"/>
  <c r="BV25" i="7"/>
  <c r="BV14" i="7"/>
  <c r="BV27" i="7" s="1"/>
  <c r="BV12" i="7"/>
  <c r="BV358" i="7" s="1"/>
  <c r="BV198" i="8" s="1"/>
  <c r="CV287" i="8"/>
  <c r="CV45" i="7" s="1"/>
  <c r="CT176" i="7"/>
  <c r="CV335" i="7"/>
  <c r="CS58" i="7"/>
  <c r="CS57" i="7" s="1"/>
  <c r="CV161" i="7"/>
  <c r="CV294" i="8"/>
  <c r="CV146" i="8"/>
  <c r="CV142" i="8" s="1"/>
  <c r="CV70" i="7"/>
  <c r="CV331" i="7"/>
  <c r="CV31" i="7"/>
  <c r="CV215" i="8"/>
  <c r="CU215" i="8" s="1"/>
  <c r="CV328" i="7"/>
  <c r="CV74" i="7"/>
  <c r="CV279" i="7"/>
  <c r="CV273" i="7" s="1"/>
  <c r="Y51" i="9" s="1"/>
  <c r="CY31" i="7"/>
  <c r="CV327" i="7"/>
  <c r="CV147" i="8"/>
  <c r="CV143" i="8" s="1"/>
  <c r="CV336" i="7"/>
  <c r="DL14" i="45"/>
  <c r="DL94" i="45"/>
  <c r="CQ155" i="8"/>
  <c r="CQ55" i="7"/>
  <c r="CQ152" i="7" s="1"/>
  <c r="EK193" i="7"/>
  <c r="EK158" i="8" s="1"/>
  <c r="EK192" i="7"/>
  <c r="CP166" i="7"/>
  <c r="CP333" i="7"/>
  <c r="CU124" i="8"/>
  <c r="CV124" i="8" s="1"/>
  <c r="DB302" i="7"/>
  <c r="DA302" i="7" s="1"/>
  <c r="DA319" i="7" s="1"/>
  <c r="CP151" i="7"/>
  <c r="CP161" i="7"/>
  <c r="CP147" i="8"/>
  <c r="CP143" i="8" s="1"/>
  <c r="CP146" i="8"/>
  <c r="CP142" i="8" s="1"/>
  <c r="CP184" i="8"/>
  <c r="CO184" i="8" s="1"/>
  <c r="DB569" i="7"/>
  <c r="DB571" i="7" s="1"/>
  <c r="DB574" i="7" s="1"/>
  <c r="DB579" i="7" s="1"/>
  <c r="CP70" i="7"/>
  <c r="CP214" i="8"/>
  <c r="CO214" i="8" s="1"/>
  <c r="CP279" i="7"/>
  <c r="CP273" i="7" s="1"/>
  <c r="W51" i="9" s="1"/>
  <c r="CQ181" i="7"/>
  <c r="CQ183" i="7" s="1"/>
  <c r="CP145" i="8"/>
  <c r="CP141" i="8" s="1"/>
  <c r="DH557" i="7"/>
  <c r="DN261" i="7"/>
  <c r="CX204" i="7"/>
  <c r="CS287" i="8"/>
  <c r="CS45" i="7" s="1"/>
  <c r="CX218" i="7"/>
  <c r="CQ176" i="7"/>
  <c r="CS62" i="7"/>
  <c r="CV151" i="7"/>
  <c r="CX176" i="7"/>
  <c r="DI154" i="8"/>
  <c r="DK154" i="8" s="1"/>
  <c r="CV184" i="8"/>
  <c r="CU184" i="8" s="1"/>
  <c r="CU176" i="7"/>
  <c r="CV164" i="7"/>
  <c r="CY70" i="7"/>
  <c r="CY294" i="8"/>
  <c r="CV329" i="7"/>
  <c r="CP215" i="8"/>
  <c r="CO215" i="8" s="1"/>
  <c r="CP334" i="7"/>
  <c r="CP74" i="7"/>
  <c r="CP336" i="7"/>
  <c r="CZ143" i="7"/>
  <c r="CZ144" i="7" s="1"/>
  <c r="CZ147" i="7" s="1"/>
  <c r="DA143" i="7" s="1"/>
  <c r="DA144" i="7" s="1"/>
  <c r="DA147" i="7" s="1"/>
  <c r="CY184" i="8"/>
  <c r="CX184" i="8" s="1"/>
  <c r="CP294" i="8"/>
  <c r="CP328" i="7"/>
  <c r="CP335" i="7"/>
  <c r="CV166" i="7"/>
  <c r="DE42" i="7"/>
  <c r="DD42" i="7" s="1"/>
  <c r="CV214" i="8"/>
  <c r="CU214" i="8" s="1"/>
  <c r="CV334" i="7"/>
  <c r="CV163" i="7"/>
  <c r="DK20" i="45"/>
  <c r="DK22" i="45"/>
  <c r="DG172" i="7"/>
  <c r="DG161" i="7"/>
  <c r="DG70" i="7"/>
  <c r="CV333" i="7"/>
  <c r="CM32" i="7"/>
  <c r="CM42" i="7"/>
  <c r="CV162" i="7"/>
  <c r="DA300" i="7"/>
  <c r="DA569" i="7" s="1"/>
  <c r="DA571" i="7" s="1"/>
  <c r="DA574" i="7" s="1"/>
  <c r="DC300" i="7"/>
  <c r="DC565" i="7"/>
  <c r="DC566" i="7" s="1"/>
  <c r="BV15" i="7"/>
  <c r="BT15" i="7"/>
  <c r="EJ115" i="45"/>
  <c r="DG62" i="7"/>
  <c r="DG552" i="7"/>
  <c r="DC170" i="7"/>
  <c r="DC152" i="7"/>
  <c r="DC56" i="7"/>
  <c r="DC159" i="7"/>
  <c r="DC53" i="7"/>
  <c r="DC43" i="7" s="1"/>
  <c r="DG160" i="7"/>
  <c r="CW185" i="7"/>
  <c r="CW186" i="7" s="1"/>
  <c r="CY329" i="7"/>
  <c r="BV17" i="7"/>
  <c r="BV141" i="7"/>
  <c r="BR14" i="7"/>
  <c r="BR27" i="7" s="1"/>
  <c r="BR20" i="7"/>
  <c r="BR17" i="7"/>
  <c r="BR141" i="7"/>
  <c r="CY146" i="8"/>
  <c r="CY142" i="8" s="1"/>
  <c r="CS32" i="7"/>
  <c r="CS333" i="7"/>
  <c r="DG171" i="7"/>
  <c r="BT17" i="7"/>
  <c r="BT14" i="7"/>
  <c r="BT27" i="7" s="1"/>
  <c r="BT141" i="7"/>
  <c r="ER204" i="45"/>
  <c r="ER217" i="45"/>
  <c r="DK33" i="45"/>
  <c r="DH32" i="7"/>
  <c r="DH42" i="7"/>
  <c r="DG42" i="7" s="1"/>
  <c r="CN283" i="7"/>
  <c r="CN330" i="7"/>
  <c r="EI291" i="45"/>
  <c r="CF42" i="7"/>
  <c r="CG53" i="7"/>
  <c r="CG43" i="7" s="1"/>
  <c r="CF43" i="7" s="1"/>
  <c r="CD569" i="7"/>
  <c r="CD571" i="7" s="1"/>
  <c r="CD574" i="7" s="1"/>
  <c r="CD302" i="7"/>
  <c r="CC300" i="7"/>
  <c r="CC569" i="7" s="1"/>
  <c r="CC571" i="7" s="1"/>
  <c r="CC574" i="7" s="1"/>
  <c r="DK47" i="45"/>
  <c r="DJ57" i="45"/>
  <c r="CH577" i="7"/>
  <c r="CH579" i="7"/>
  <c r="DE147" i="8"/>
  <c r="DE143" i="8" s="1"/>
  <c r="DE151" i="7"/>
  <c r="DE327" i="7"/>
  <c r="DE331" i="7"/>
  <c r="DE162" i="7"/>
  <c r="DE145" i="8"/>
  <c r="DE141" i="8" s="1"/>
  <c r="DE164" i="7"/>
  <c r="DE328" i="7"/>
  <c r="DE287" i="8"/>
  <c r="DE31" i="7"/>
  <c r="DE163" i="7"/>
  <c r="DE74" i="7"/>
  <c r="DE333" i="7"/>
  <c r="DE294" i="8"/>
  <c r="DE166" i="7"/>
  <c r="DE336" i="7"/>
  <c r="DE335" i="7"/>
  <c r="DC176" i="7"/>
  <c r="DE32" i="7"/>
  <c r="DE70" i="7"/>
  <c r="DE184" i="8"/>
  <c r="DD184" i="8" s="1"/>
  <c r="DE146" i="8"/>
  <c r="DE142" i="8" s="1"/>
  <c r="DE161" i="7"/>
  <c r="DE215" i="8"/>
  <c r="DD215" i="8" s="1"/>
  <c r="DE334" i="7"/>
  <c r="DE279" i="7"/>
  <c r="DE329" i="7"/>
  <c r="DE214" i="8"/>
  <c r="DD214" i="8" s="1"/>
  <c r="CM55" i="7"/>
  <c r="CM155" i="8"/>
  <c r="CL57" i="7"/>
  <c r="CL155" i="8" s="1"/>
  <c r="CM181" i="7"/>
  <c r="DU254" i="7"/>
  <c r="DW254" i="7" s="1"/>
  <c r="DX254" i="7" s="1"/>
  <c r="DS254" i="7"/>
  <c r="DK77" i="7"/>
  <c r="DK18" i="8"/>
  <c r="EQ12" i="45"/>
  <c r="DT88" i="8"/>
  <c r="DF283" i="7"/>
  <c r="DF330" i="7"/>
  <c r="DD154" i="7"/>
  <c r="DD161" i="7"/>
  <c r="DD172" i="7"/>
  <c r="DD70" i="7"/>
  <c r="DK31" i="45"/>
  <c r="DJ36" i="45"/>
  <c r="BW399" i="7"/>
  <c r="BW25" i="7" s="1"/>
  <c r="BX25" i="7"/>
  <c r="DS288" i="7"/>
  <c r="DU288" i="7"/>
  <c r="DW288" i="7" s="1"/>
  <c r="DX288" i="7" s="1"/>
  <c r="DX286" i="7" s="1"/>
  <c r="BU359" i="7"/>
  <c r="BU358" i="7"/>
  <c r="BU198" i="8" s="1"/>
  <c r="DD58" i="7"/>
  <c r="DE57" i="7"/>
  <c r="CS215" i="8"/>
  <c r="CR215" i="8" s="1"/>
  <c r="CS145" i="8"/>
  <c r="CS141" i="8" s="1"/>
  <c r="CS279" i="7"/>
  <c r="CS164" i="7"/>
  <c r="CS74" i="7"/>
  <c r="CS184" i="8"/>
  <c r="CR184" i="8" s="1"/>
  <c r="CS335" i="7"/>
  <c r="CS331" i="7"/>
  <c r="CS161" i="7"/>
  <c r="CS166" i="7"/>
  <c r="CS146" i="8"/>
  <c r="CS142" i="8" s="1"/>
  <c r="CS160" i="7"/>
  <c r="CS151" i="7"/>
  <c r="CS163" i="7"/>
  <c r="CS31" i="7"/>
  <c r="CS329" i="7"/>
  <c r="CS327" i="7"/>
  <c r="CS336" i="7"/>
  <c r="CS334" i="7"/>
  <c r="CS162" i="7"/>
  <c r="CS328" i="7"/>
  <c r="CS70" i="7"/>
  <c r="CS214" i="8"/>
  <c r="CR214" i="8" s="1"/>
  <c r="CS147" i="8"/>
  <c r="CS143" i="8" s="1"/>
  <c r="EK296" i="45"/>
  <c r="EK354" i="45" s="1"/>
  <c r="EN293" i="45"/>
  <c r="CV57" i="7"/>
  <c r="CU58" i="7"/>
  <c r="EP158" i="8"/>
  <c r="EP193" i="7" s="1"/>
  <c r="EP192" i="7" s="1"/>
  <c r="ER193" i="7"/>
  <c r="DG176" i="7"/>
  <c r="DH31" i="7"/>
  <c r="DH328" i="7"/>
  <c r="DH163" i="7"/>
  <c r="DH74" i="7"/>
  <c r="DH147" i="8"/>
  <c r="DH143" i="8" s="1"/>
  <c r="DH151" i="7"/>
  <c r="DH166" i="7"/>
  <c r="DH331" i="7"/>
  <c r="DH327" i="7"/>
  <c r="DH329" i="7"/>
  <c r="DH215" i="8"/>
  <c r="DG215" i="8" s="1"/>
  <c r="DH146" i="8"/>
  <c r="DH142" i="8" s="1"/>
  <c r="DH287" i="8"/>
  <c r="DH70" i="7"/>
  <c r="DH162" i="7"/>
  <c r="DH333" i="7"/>
  <c r="DH294" i="8"/>
  <c r="DH145" i="8"/>
  <c r="DH141" i="8" s="1"/>
  <c r="DH336" i="7"/>
  <c r="DH214" i="8"/>
  <c r="DG214" i="8" s="1"/>
  <c r="DH335" i="7"/>
  <c r="DH161" i="7"/>
  <c r="DH279" i="7"/>
  <c r="DH334" i="7"/>
  <c r="DH164" i="7"/>
  <c r="DH62" i="7"/>
  <c r="CA410" i="7"/>
  <c r="BY399" i="7"/>
  <c r="BY400" i="7"/>
  <c r="BY398" i="7"/>
  <c r="BY390" i="7" s="1"/>
  <c r="DL28" i="45"/>
  <c r="DG325" i="7"/>
  <c r="DG554" i="7"/>
  <c r="DG556" i="7" s="1"/>
  <c r="CP28" i="8"/>
  <c r="CP58" i="7"/>
  <c r="DE153" i="7"/>
  <c r="DE160" i="7"/>
  <c r="DD61" i="7"/>
  <c r="DE552" i="7"/>
  <c r="DE557" i="7" s="1"/>
  <c r="DH153" i="7"/>
  <c r="DE62" i="7"/>
  <c r="CA577" i="7"/>
  <c r="CA579" i="7"/>
  <c r="DG154" i="7"/>
  <c r="BW400" i="7"/>
  <c r="CN56" i="7"/>
  <c r="CN159" i="7"/>
  <c r="CN53" i="7"/>
  <c r="CN43" i="7" s="1"/>
  <c r="CN152" i="7"/>
  <c r="CP42" i="7"/>
  <c r="CP32" i="7"/>
  <c r="CQ330" i="7"/>
  <c r="CQ185" i="7"/>
  <c r="CQ283" i="7"/>
  <c r="EI296" i="45"/>
  <c r="EH297" i="45"/>
  <c r="EH116" i="45" s="1"/>
  <c r="EH115" i="45"/>
  <c r="EI115" i="45" s="1"/>
  <c r="CY145" i="8"/>
  <c r="CY141" i="8" s="1"/>
  <c r="CY279" i="7"/>
  <c r="CY163" i="7"/>
  <c r="CY162" i="7"/>
  <c r="CY331" i="7"/>
  <c r="CY327" i="7"/>
  <c r="CY160" i="7"/>
  <c r="CY151" i="7"/>
  <c r="CY334" i="7"/>
  <c r="CW176" i="7"/>
  <c r="CY215" i="8"/>
  <c r="CX215" i="8" s="1"/>
  <c r="CY333" i="7"/>
  <c r="DB151" i="7"/>
  <c r="CY287" i="8"/>
  <c r="CY45" i="7" s="1"/>
  <c r="CY328" i="7"/>
  <c r="CY147" i="8"/>
  <c r="CY143" i="8" s="1"/>
  <c r="CY164" i="7"/>
  <c r="DB31" i="7"/>
  <c r="CY214" i="8"/>
  <c r="CX214" i="8" s="1"/>
  <c r="CY335" i="7"/>
  <c r="CY336" i="7"/>
  <c r="CY161" i="7"/>
  <c r="CY62" i="7"/>
  <c r="CY166" i="7"/>
  <c r="CY74" i="7"/>
  <c r="CK565" i="7"/>
  <c r="CK566" i="7" s="1"/>
  <c r="CK300" i="7"/>
  <c r="CW53" i="7"/>
  <c r="CW43" i="7" s="1"/>
  <c r="CR59" i="7"/>
  <c r="CW330" i="7"/>
  <c r="CW283" i="7"/>
  <c r="CM405" i="7"/>
  <c r="CN405" i="7" s="1"/>
  <c r="CP405" i="7" s="1"/>
  <c r="CQ405" i="7" s="1"/>
  <c r="CS405" i="7" s="1"/>
  <c r="CT405" i="7" s="1"/>
  <c r="CV405" i="7" s="1"/>
  <c r="CW405" i="7" s="1"/>
  <c r="CY405" i="7" s="1"/>
  <c r="CZ405" i="7" s="1"/>
  <c r="DM260" i="7"/>
  <c r="DM184" i="7"/>
  <c r="DZ268" i="7"/>
  <c r="CV42" i="7"/>
  <c r="CV32" i="7"/>
  <c r="CT330" i="7"/>
  <c r="CT185" i="7"/>
  <c r="CT283" i="7"/>
  <c r="CY42" i="7"/>
  <c r="CY32" i="7"/>
  <c r="CX152" i="8"/>
  <c r="CX294" i="8"/>
  <c r="CY57" i="7"/>
  <c r="CY55" i="7" s="1"/>
  <c r="CX58" i="7"/>
  <c r="DA43" i="7"/>
  <c r="CY211" i="7"/>
  <c r="CX212" i="7"/>
  <c r="DX299" i="7" l="1"/>
  <c r="DK33" i="7"/>
  <c r="L19" i="9" s="1"/>
  <c r="L20" i="9" s="1"/>
  <c r="DI32" i="7"/>
  <c r="DI42" i="7"/>
  <c r="EQ290" i="45"/>
  <c r="ER290" i="45" s="1"/>
  <c r="EW7" i="45"/>
  <c r="EW12" i="45" s="1"/>
  <c r="DW286" i="7"/>
  <c r="DV288" i="7"/>
  <c r="DY277" i="7"/>
  <c r="EA277" i="7"/>
  <c r="EC277" i="7" s="1"/>
  <c r="DV295" i="7"/>
  <c r="DW293" i="7"/>
  <c r="DV254" i="7"/>
  <c r="FA405" i="45"/>
  <c r="EZ193" i="7"/>
  <c r="EZ158" i="8" s="1"/>
  <c r="FA192" i="7"/>
  <c r="EZ192" i="7" s="1"/>
  <c r="EZ239" i="7"/>
  <c r="FA428" i="45"/>
  <c r="FA431" i="45" s="1"/>
  <c r="EZ404" i="45"/>
  <c r="EZ407" i="45" s="1"/>
  <c r="DL38" i="45"/>
  <c r="ET23" i="45"/>
  <c r="EV291" i="45"/>
  <c r="ET291" i="45"/>
  <c r="ES290" i="45"/>
  <c r="DI283" i="7"/>
  <c r="DI565" i="7" s="1"/>
  <c r="DI566" i="7" s="1"/>
  <c r="DL25" i="45"/>
  <c r="DL90" i="45"/>
  <c r="DL92" i="45"/>
  <c r="DL33" i="7"/>
  <c r="AB7" i="9" s="1"/>
  <c r="DL88" i="45"/>
  <c r="CY53" i="7"/>
  <c r="DL279" i="7"/>
  <c r="DL273" i="7" s="1"/>
  <c r="DL330" i="7" s="1"/>
  <c r="DL335" i="7"/>
  <c r="DL166" i="7"/>
  <c r="DL145" i="8"/>
  <c r="DL141" i="8" s="1"/>
  <c r="DL294" i="8"/>
  <c r="DM261" i="7"/>
  <c r="DL146" i="8"/>
  <c r="DL142" i="8" s="1"/>
  <c r="EX192" i="7"/>
  <c r="EW192" i="7" s="1"/>
  <c r="EW193" i="7"/>
  <c r="EW158" i="8" s="1"/>
  <c r="EW369" i="45"/>
  <c r="EV370" i="45"/>
  <c r="EW412" i="45"/>
  <c r="EW449" i="45"/>
  <c r="EW18" i="45"/>
  <c r="EM297" i="45"/>
  <c r="EM116" i="45" s="1"/>
  <c r="EP115" i="45"/>
  <c r="DK71" i="45"/>
  <c r="DK100" i="45"/>
  <c r="DL336" i="7"/>
  <c r="DL331" i="7"/>
  <c r="DL215" i="8"/>
  <c r="DL334" i="7"/>
  <c r="DL151" i="7"/>
  <c r="DL327" i="7"/>
  <c r="DL328" i="7"/>
  <c r="DL333" i="7"/>
  <c r="DL214" i="8"/>
  <c r="DL287" i="8"/>
  <c r="DL45" i="7" s="1"/>
  <c r="DO125" i="8" s="1"/>
  <c r="DL31" i="7"/>
  <c r="DL147" i="8"/>
  <c r="DL143" i="8" s="1"/>
  <c r="DK90" i="45"/>
  <c r="DK73" i="45"/>
  <c r="DK41" i="45"/>
  <c r="EQ34" i="45"/>
  <c r="EQ39" i="45"/>
  <c r="DI73" i="7"/>
  <c r="Z9" i="9" s="1"/>
  <c r="Z12" i="9" s="1"/>
  <c r="DJ31" i="7"/>
  <c r="ET450" i="45"/>
  <c r="ET29" i="45"/>
  <c r="ER218" i="45"/>
  <c r="EU218" i="45"/>
  <c r="EU192" i="7"/>
  <c r="ET192" i="7" s="1"/>
  <c r="ET193" i="7"/>
  <c r="ET158" i="8" s="1"/>
  <c r="DJ32" i="7"/>
  <c r="CF132" i="8"/>
  <c r="CF133" i="8" s="1"/>
  <c r="DJ329" i="7"/>
  <c r="DJ331" i="7"/>
  <c r="DJ145" i="8"/>
  <c r="DJ141" i="8" s="1"/>
  <c r="DJ327" i="7"/>
  <c r="CG300" i="7"/>
  <c r="CF300" i="7" s="1"/>
  <c r="CF283" i="7"/>
  <c r="CF565" i="7" s="1"/>
  <c r="CF566" i="7" s="1"/>
  <c r="DR345" i="7"/>
  <c r="DR24" i="7" s="1"/>
  <c r="DJ146" i="8"/>
  <c r="DJ142" i="8" s="1"/>
  <c r="DJ333" i="7"/>
  <c r="DJ166" i="7"/>
  <c r="DJ151" i="7"/>
  <c r="CP45" i="7"/>
  <c r="CS125" i="8" s="1"/>
  <c r="DK30" i="7"/>
  <c r="DJ176" i="7" s="1"/>
  <c r="DJ335" i="7"/>
  <c r="DJ328" i="7"/>
  <c r="DJ169" i="7"/>
  <c r="DL169" i="7"/>
  <c r="DJ294" i="8"/>
  <c r="DJ336" i="7"/>
  <c r="DJ147" i="8"/>
  <c r="DJ143" i="8" s="1"/>
  <c r="CF185" i="7"/>
  <c r="EM115" i="45"/>
  <c r="EP297" i="45"/>
  <c r="EP116" i="45" s="1"/>
  <c r="CL45" i="7"/>
  <c r="CO125" i="8" s="1"/>
  <c r="DK94" i="45"/>
  <c r="DK96" i="45"/>
  <c r="DK57" i="45"/>
  <c r="DK67" i="45"/>
  <c r="DK14" i="45"/>
  <c r="BU27" i="7"/>
  <c r="BX20" i="7"/>
  <c r="CF53" i="7"/>
  <c r="DJ164" i="7"/>
  <c r="CQ186" i="7"/>
  <c r="CU133" i="8"/>
  <c r="CU443" i="7"/>
  <c r="CR42" i="7"/>
  <c r="DT269" i="7"/>
  <c r="DS269" i="7" s="1"/>
  <c r="CU287" i="8"/>
  <c r="DQ250" i="7"/>
  <c r="DP250" i="7" s="1"/>
  <c r="DZ295" i="7"/>
  <c r="BV359" i="7"/>
  <c r="CQ56" i="7"/>
  <c r="DH143" i="7"/>
  <c r="DH144" i="7" s="1"/>
  <c r="DH147" i="7" s="1"/>
  <c r="DK143" i="7" s="1"/>
  <c r="DK144" i="7" s="1"/>
  <c r="DK147" i="7" s="1"/>
  <c r="CR58" i="7"/>
  <c r="EN193" i="7"/>
  <c r="EN158" i="8" s="1"/>
  <c r="BX141" i="7"/>
  <c r="BX15" i="7"/>
  <c r="BX17" i="7"/>
  <c r="CU279" i="7"/>
  <c r="CQ53" i="7"/>
  <c r="CQ43" i="7" s="1"/>
  <c r="EN192" i="7"/>
  <c r="DB577" i="7"/>
  <c r="DB319" i="7"/>
  <c r="CM185" i="7"/>
  <c r="CL185" i="7" s="1"/>
  <c r="CM283" i="7"/>
  <c r="CM330" i="7"/>
  <c r="CL273" i="7"/>
  <c r="CL330" i="7" s="1"/>
  <c r="DP253" i="7"/>
  <c r="DT255" i="7"/>
  <c r="DS255" i="7" s="1"/>
  <c r="DR255" i="7"/>
  <c r="DR253" i="7" s="1"/>
  <c r="DR250" i="7" s="1"/>
  <c r="BY12" i="7"/>
  <c r="BW14" i="7"/>
  <c r="BW27" i="7" s="1"/>
  <c r="BW12" i="7"/>
  <c r="CR287" i="8"/>
  <c r="CQ159" i="7"/>
  <c r="DE55" i="7"/>
  <c r="DG557" i="7"/>
  <c r="BV197" i="8"/>
  <c r="CO279" i="7"/>
  <c r="CP330" i="7"/>
  <c r="CP283" i="7"/>
  <c r="CO283" i="7" s="1"/>
  <c r="CO565" i="7" s="1"/>
  <c r="CO566" i="7" s="1"/>
  <c r="CP185" i="7"/>
  <c r="CO185" i="7" s="1"/>
  <c r="CO273" i="7"/>
  <c r="CO330" i="7" s="1"/>
  <c r="CL42" i="7"/>
  <c r="DK25" i="45"/>
  <c r="DK92" i="45"/>
  <c r="DT201" i="8"/>
  <c r="DU201" i="8" s="1"/>
  <c r="DV201" i="8" s="1"/>
  <c r="DS345" i="7"/>
  <c r="DS24" i="7" s="1"/>
  <c r="CX287" i="8"/>
  <c r="DC569" i="7"/>
  <c r="DC571" i="7" s="1"/>
  <c r="DC574" i="7" s="1"/>
  <c r="DC302" i="7"/>
  <c r="DC319" i="7" s="1"/>
  <c r="DA577" i="7"/>
  <c r="DA579" i="7"/>
  <c r="BW15" i="7"/>
  <c r="BY393" i="7"/>
  <c r="BY15" i="7" s="1"/>
  <c r="BY391" i="7"/>
  <c r="EK297" i="45"/>
  <c r="EK116" i="45" s="1"/>
  <c r="EK115" i="45"/>
  <c r="EL115" i="45" s="1"/>
  <c r="EL296" i="45"/>
  <c r="DD279" i="7"/>
  <c r="DE273" i="7"/>
  <c r="AB51" i="9" s="1"/>
  <c r="DD287" i="8"/>
  <c r="DE45" i="7"/>
  <c r="DH125" i="8" s="1"/>
  <c r="CC579" i="7"/>
  <c r="CC577" i="7"/>
  <c r="CN300" i="7"/>
  <c r="CN565" i="7"/>
  <c r="CN566" i="7" s="1"/>
  <c r="EI293" i="45"/>
  <c r="EI294" i="45" s="1"/>
  <c r="EI297" i="45"/>
  <c r="EI116" i="45" s="1"/>
  <c r="BX358" i="7"/>
  <c r="BX198" i="8" s="1"/>
  <c r="BX359" i="7"/>
  <c r="DH273" i="7"/>
  <c r="AC51" i="9" s="1"/>
  <c r="DG279" i="7"/>
  <c r="DE181" i="7"/>
  <c r="DD57" i="7"/>
  <c r="DD155" i="8" s="1"/>
  <c r="DE155" i="8"/>
  <c r="DK75" i="7"/>
  <c r="DJ77" i="7"/>
  <c r="DJ167" i="7" s="1"/>
  <c r="DK167" i="7"/>
  <c r="DZ254" i="7"/>
  <c r="CC302" i="7"/>
  <c r="CC319" i="7" s="1"/>
  <c r="CD319" i="7"/>
  <c r="BT359" i="7"/>
  <c r="BT358" i="7"/>
  <c r="CD579" i="7"/>
  <c r="CD577" i="7"/>
  <c r="CV443" i="7"/>
  <c r="CV133" i="8"/>
  <c r="CW124" i="8"/>
  <c r="DF171" i="7"/>
  <c r="DD160" i="7"/>
  <c r="DD153" i="7"/>
  <c r="DD62" i="7"/>
  <c r="DD552" i="7"/>
  <c r="DD557" i="7" s="1"/>
  <c r="DD171" i="7"/>
  <c r="DG153" i="7"/>
  <c r="BY25" i="7"/>
  <c r="CU57" i="7"/>
  <c r="CM183" i="7"/>
  <c r="CL181" i="7"/>
  <c r="BW17" i="7"/>
  <c r="BW141" i="7"/>
  <c r="CA400" i="7"/>
  <c r="CB410" i="7"/>
  <c r="CA398" i="7"/>
  <c r="CA399" i="7"/>
  <c r="DF300" i="7"/>
  <c r="DF565" i="7"/>
  <c r="DF566" i="7" s="1"/>
  <c r="EO291" i="45"/>
  <c r="CQ565" i="7"/>
  <c r="CQ566" i="7" s="1"/>
  <c r="CQ300" i="7"/>
  <c r="CK302" i="7"/>
  <c r="CK319" i="7" s="1"/>
  <c r="CK569" i="7"/>
  <c r="CK571" i="7" s="1"/>
  <c r="CK574" i="7" s="1"/>
  <c r="CO42" i="7"/>
  <c r="DL31" i="45"/>
  <c r="DL41" i="45" s="1"/>
  <c r="DL33" i="45"/>
  <c r="CS273" i="7"/>
  <c r="X51" i="9" s="1"/>
  <c r="CR279" i="7"/>
  <c r="DZ288" i="7"/>
  <c r="DB125" i="8"/>
  <c r="CX45" i="7"/>
  <c r="DA125" i="8" s="1"/>
  <c r="CX279" i="7"/>
  <c r="CY273" i="7"/>
  <c r="Z51" i="9" s="1"/>
  <c r="CP57" i="7"/>
  <c r="CO58" i="7"/>
  <c r="DL506" i="7"/>
  <c r="DG287" i="8"/>
  <c r="DH45" i="7"/>
  <c r="DK125" i="8" s="1"/>
  <c r="ER192" i="7"/>
  <c r="EQ192" i="7" s="1"/>
  <c r="EQ193" i="7"/>
  <c r="EQ158" i="8" s="1"/>
  <c r="EN296" i="45"/>
  <c r="EN354" i="45" s="1"/>
  <c r="EQ293" i="45"/>
  <c r="DK36" i="45"/>
  <c r="CL55" i="7"/>
  <c r="CM56" i="7"/>
  <c r="CM159" i="7"/>
  <c r="CM53" i="7"/>
  <c r="CM43" i="7" s="1"/>
  <c r="CL43" i="7" s="1"/>
  <c r="CW300" i="7"/>
  <c r="CW565" i="7"/>
  <c r="CW566" i="7" s="1"/>
  <c r="CV283" i="7"/>
  <c r="CV330" i="7"/>
  <c r="CU273" i="7"/>
  <c r="CU330" i="7" s="1"/>
  <c r="CS55" i="7"/>
  <c r="CS181" i="7"/>
  <c r="CR57" i="7"/>
  <c r="CR155" i="8" s="1"/>
  <c r="CS155" i="8"/>
  <c r="CX57" i="7"/>
  <c r="CY181" i="7"/>
  <c r="CY155" i="8"/>
  <c r="CV125" i="8"/>
  <c r="CR45" i="7"/>
  <c r="CU125" i="8" s="1"/>
  <c r="CU42" i="7"/>
  <c r="EA268" i="7"/>
  <c r="DY268" i="7"/>
  <c r="CT300" i="7"/>
  <c r="CT565" i="7"/>
  <c r="CT566" i="7" s="1"/>
  <c r="CY125" i="8"/>
  <c r="CU45" i="7"/>
  <c r="CX125" i="8" s="1"/>
  <c r="CX42" i="7"/>
  <c r="CX211" i="7"/>
  <c r="CX177" i="8" s="1"/>
  <c r="CY177" i="8"/>
  <c r="DB405" i="7"/>
  <c r="Z15" i="9" l="1"/>
  <c r="AA15" i="9" s="1"/>
  <c r="DK42" i="7"/>
  <c r="DJ42" i="7" s="1"/>
  <c r="ET290" i="45"/>
  <c r="EU290" i="45" s="1"/>
  <c r="EU291" i="45" s="1"/>
  <c r="DW86" i="8"/>
  <c r="DV293" i="7"/>
  <c r="DV86" i="8" s="1"/>
  <c r="DV88" i="8" s="1"/>
  <c r="ED277" i="7"/>
  <c r="EF277" i="7" s="1"/>
  <c r="EB277" i="7"/>
  <c r="DV345" i="7"/>
  <c r="DV24" i="7" s="1"/>
  <c r="DW201" i="8"/>
  <c r="DV286" i="7"/>
  <c r="DW299" i="7"/>
  <c r="DV299" i="7" s="1"/>
  <c r="EZ411" i="45"/>
  <c r="EZ7" i="45"/>
  <c r="EZ12" i="45" s="1"/>
  <c r="EW291" i="45"/>
  <c r="EY291" i="45"/>
  <c r="EW370" i="45"/>
  <c r="EY369" i="45"/>
  <c r="EW23" i="45"/>
  <c r="ET39" i="45"/>
  <c r="DL32" i="7"/>
  <c r="DL42" i="7"/>
  <c r="EV290" i="45"/>
  <c r="ES296" i="45"/>
  <c r="DI300" i="7"/>
  <c r="DI302" i="7" s="1"/>
  <c r="DI319" i="7" s="1"/>
  <c r="DL283" i="7"/>
  <c r="DL565" i="7" s="1"/>
  <c r="DL566" i="7" s="1"/>
  <c r="DI173" i="7"/>
  <c r="EX369" i="45"/>
  <c r="EX370" i="45" s="1"/>
  <c r="EW450" i="45"/>
  <c r="EW29" i="45"/>
  <c r="L28" i="9"/>
  <c r="DI74" i="7"/>
  <c r="DI69" i="7"/>
  <c r="DI70" i="7" s="1"/>
  <c r="DI325" i="7"/>
  <c r="DI337" i="7"/>
  <c r="DI162" i="7"/>
  <c r="DI518" i="7"/>
  <c r="DI155" i="7"/>
  <c r="DI4" i="8"/>
  <c r="DI10" i="8" s="1"/>
  <c r="DI179" i="7"/>
  <c r="DI183" i="7" s="1"/>
  <c r="DI339" i="7"/>
  <c r="ET34" i="45"/>
  <c r="EQ296" i="45"/>
  <c r="EQ354" i="45" s="1"/>
  <c r="ET293" i="45"/>
  <c r="CF569" i="7"/>
  <c r="CF571" i="7" s="1"/>
  <c r="CF574" i="7" s="1"/>
  <c r="CF579" i="7" s="1"/>
  <c r="CG569" i="7"/>
  <c r="CG571" i="7" s="1"/>
  <c r="CG574" i="7" s="1"/>
  <c r="CG577" i="7" s="1"/>
  <c r="CG302" i="7"/>
  <c r="CF302" i="7" s="1"/>
  <c r="CF319" i="7" s="1"/>
  <c r="DK145" i="8"/>
  <c r="DK141" i="8" s="1"/>
  <c r="DI176" i="7"/>
  <c r="DK164" i="7"/>
  <c r="DK147" i="8"/>
  <c r="DK143" i="8" s="1"/>
  <c r="DK327" i="7"/>
  <c r="DK32" i="7"/>
  <c r="DK336" i="7"/>
  <c r="DK334" i="7"/>
  <c r="DK215" i="8"/>
  <c r="DJ215" i="8" s="1"/>
  <c r="DK166" i="7"/>
  <c r="DK329" i="7"/>
  <c r="DK333" i="7"/>
  <c r="DK31" i="7"/>
  <c r="DK287" i="8"/>
  <c r="DK45" i="7" s="1"/>
  <c r="DN125" i="8" s="1"/>
  <c r="DK146" i="8"/>
  <c r="DK142" i="8" s="1"/>
  <c r="DK279" i="7"/>
  <c r="DK328" i="7"/>
  <c r="DK294" i="8"/>
  <c r="DK335" i="7"/>
  <c r="DK331" i="7"/>
  <c r="DK151" i="7"/>
  <c r="DK214" i="8"/>
  <c r="DJ214" i="8" s="1"/>
  <c r="CO45" i="7"/>
  <c r="CR125" i="8" s="1"/>
  <c r="DI82" i="45"/>
  <c r="DU269" i="7"/>
  <c r="DW269" i="7" s="1"/>
  <c r="DX269" i="7" s="1"/>
  <c r="DX266" i="7" s="1"/>
  <c r="DI143" i="7"/>
  <c r="DI144" i="7" s="1"/>
  <c r="DI147" i="7" s="1"/>
  <c r="DJ143" i="7" s="1"/>
  <c r="DJ144" i="7" s="1"/>
  <c r="DJ147" i="7" s="1"/>
  <c r="DT266" i="7"/>
  <c r="CP565" i="7"/>
  <c r="CP566" i="7" s="1"/>
  <c r="DT253" i="7"/>
  <c r="CM565" i="7"/>
  <c r="CM566" i="7" s="1"/>
  <c r="CM300" i="7"/>
  <c r="CL283" i="7"/>
  <c r="CL565" i="7" s="1"/>
  <c r="CL566" i="7" s="1"/>
  <c r="CA12" i="7"/>
  <c r="BY14" i="7"/>
  <c r="DE152" i="7"/>
  <c r="DE53" i="7"/>
  <c r="DE43" i="7" s="1"/>
  <c r="DD55" i="7"/>
  <c r="DE159" i="7"/>
  <c r="DE56" i="7"/>
  <c r="BY17" i="7"/>
  <c r="CP300" i="7"/>
  <c r="W53" i="9" s="1"/>
  <c r="W52" i="9" s="1"/>
  <c r="W58" i="9" s="1"/>
  <c r="CY185" i="7"/>
  <c r="CX185" i="7" s="1"/>
  <c r="BZ400" i="7"/>
  <c r="BY141" i="7"/>
  <c r="DU345" i="7"/>
  <c r="DU24" i="7" s="1"/>
  <c r="DC577" i="7"/>
  <c r="DC579" i="7"/>
  <c r="DZ293" i="7"/>
  <c r="DY295" i="7"/>
  <c r="EA295" i="7"/>
  <c r="ER291" i="45"/>
  <c r="DG45" i="7"/>
  <c r="DJ125" i="8" s="1"/>
  <c r="CY330" i="7"/>
  <c r="CY283" i="7"/>
  <c r="DB185" i="7"/>
  <c r="CZ185" i="7"/>
  <c r="CZ186" i="7" s="1"/>
  <c r="CX273" i="7"/>
  <c r="CX330" i="7" s="1"/>
  <c r="CS283" i="7"/>
  <c r="CR273" i="7"/>
  <c r="CR330" i="7" s="1"/>
  <c r="CS330" i="7"/>
  <c r="CS185" i="7"/>
  <c r="CR185" i="7" s="1"/>
  <c r="CL159" i="7"/>
  <c r="CL170" i="7"/>
  <c r="CL56" i="7"/>
  <c r="CL53" i="7"/>
  <c r="CN170" i="7"/>
  <c r="BZ398" i="7"/>
  <c r="BZ390" i="7" s="1"/>
  <c r="CA390" i="7"/>
  <c r="CA391" i="7" s="1"/>
  <c r="BW358" i="7"/>
  <c r="BW359" i="7"/>
  <c r="CX124" i="8"/>
  <c r="CW133" i="8"/>
  <c r="CW404" i="7"/>
  <c r="CX404" i="7" s="1"/>
  <c r="CW443" i="7"/>
  <c r="DF185" i="7"/>
  <c r="DE330" i="7"/>
  <c r="DE283" i="7"/>
  <c r="DD273" i="7"/>
  <c r="DD330" i="7" s="1"/>
  <c r="DE185" i="7"/>
  <c r="DD185" i="7" s="1"/>
  <c r="BZ399" i="7"/>
  <c r="CV185" i="7"/>
  <c r="CU185" i="7" s="1"/>
  <c r="CP55" i="7"/>
  <c r="CO57" i="7"/>
  <c r="CO155" i="8" s="1"/>
  <c r="CP181" i="7"/>
  <c r="CP155" i="8"/>
  <c r="DY288" i="7"/>
  <c r="EA288" i="7"/>
  <c r="EC288" i="7" s="1"/>
  <c r="DL36" i="45"/>
  <c r="CQ302" i="7"/>
  <c r="CQ319" i="7" s="1"/>
  <c r="CQ569" i="7"/>
  <c r="CQ571" i="7" s="1"/>
  <c r="CQ574" i="7" s="1"/>
  <c r="CD410" i="7"/>
  <c r="CB399" i="7"/>
  <c r="CB398" i="7"/>
  <c r="CB390" i="7" s="1"/>
  <c r="CB400" i="7"/>
  <c r="BT198" i="8"/>
  <c r="BT205" i="8"/>
  <c r="DK554" i="7"/>
  <c r="DK556" i="7" s="1"/>
  <c r="DJ75" i="7"/>
  <c r="DK73" i="7"/>
  <c r="DD181" i="7"/>
  <c r="DE183" i="7"/>
  <c r="CN302" i="7"/>
  <c r="CN319" i="7" s="1"/>
  <c r="CN569" i="7"/>
  <c r="CN571" i="7" s="1"/>
  <c r="CN574" i="7" s="1"/>
  <c r="EL297" i="45"/>
  <c r="EL116" i="45" s="1"/>
  <c r="EL293" i="45"/>
  <c r="EL294" i="45" s="1"/>
  <c r="DJ82" i="45"/>
  <c r="CL183" i="7"/>
  <c r="CM186" i="7"/>
  <c r="CL186" i="7" s="1"/>
  <c r="EN297" i="45"/>
  <c r="EN116" i="45" s="1"/>
  <c r="EN115" i="45"/>
  <c r="EO115" i="45" s="1"/>
  <c r="EO296" i="45"/>
  <c r="DF302" i="7"/>
  <c r="DF319" i="7" s="1"/>
  <c r="DF569" i="7"/>
  <c r="DF571" i="7" s="1"/>
  <c r="DF574" i="7" s="1"/>
  <c r="EA254" i="7"/>
  <c r="EC254" i="7" s="1"/>
  <c r="DY254" i="7"/>
  <c r="DH185" i="7"/>
  <c r="DH330" i="7"/>
  <c r="DH283" i="7"/>
  <c r="DG273" i="7"/>
  <c r="DG330" i="7" s="1"/>
  <c r="DI185" i="7"/>
  <c r="DD45" i="7"/>
  <c r="DG125" i="8" s="1"/>
  <c r="CK577" i="7"/>
  <c r="CK579" i="7"/>
  <c r="BY20" i="7"/>
  <c r="CW302" i="7"/>
  <c r="CW319" i="7" s="1"/>
  <c r="CW569" i="7"/>
  <c r="CW571" i="7" s="1"/>
  <c r="CW574" i="7" s="1"/>
  <c r="CR181" i="7"/>
  <c r="CS183" i="7"/>
  <c r="CS159" i="7"/>
  <c r="CS56" i="7"/>
  <c r="CS53" i="7"/>
  <c r="CR55" i="7"/>
  <c r="CU283" i="7"/>
  <c r="CU565" i="7" s="1"/>
  <c r="CU566" i="7" s="1"/>
  <c r="CV565" i="7"/>
  <c r="CV566" i="7" s="1"/>
  <c r="CV300" i="7"/>
  <c r="Y53" i="9" s="1"/>
  <c r="Y52" i="9" s="1"/>
  <c r="Y58" i="9" s="1"/>
  <c r="EC268" i="7"/>
  <c r="CY56" i="7"/>
  <c r="DB152" i="7"/>
  <c r="CX55" i="7"/>
  <c r="CY159" i="7"/>
  <c r="CT569" i="7"/>
  <c r="CT571" i="7" s="1"/>
  <c r="CT574" i="7" s="1"/>
  <c r="CT577" i="7" s="1"/>
  <c r="CT302" i="7"/>
  <c r="CT319" i="7" s="1"/>
  <c r="CX181" i="7"/>
  <c r="CY183" i="7"/>
  <c r="CX155" i="8"/>
  <c r="DL143" i="7"/>
  <c r="DN143" i="7"/>
  <c r="DC405" i="7"/>
  <c r="DW88" i="8" l="1"/>
  <c r="DX88" i="8"/>
  <c r="EW290" i="45"/>
  <c r="EX290" i="45" s="1"/>
  <c r="EX291" i="45" s="1"/>
  <c r="EG277" i="7"/>
  <c r="EI277" i="7" s="1"/>
  <c r="EE277" i="7"/>
  <c r="DV269" i="7"/>
  <c r="DW266" i="7"/>
  <c r="DX115" i="8" s="1"/>
  <c r="DX114" i="8" s="1"/>
  <c r="DY114" i="8" s="1"/>
  <c r="AG45" i="9"/>
  <c r="DW255" i="7"/>
  <c r="EY290" i="45"/>
  <c r="EZ291" i="45"/>
  <c r="EY370" i="45"/>
  <c r="EZ369" i="45"/>
  <c r="EZ370" i="45" s="1"/>
  <c r="EZ412" i="45"/>
  <c r="EZ449" i="45"/>
  <c r="EZ18" i="45"/>
  <c r="EZ23" i="45" s="1"/>
  <c r="DD56" i="7"/>
  <c r="DI569" i="7"/>
  <c r="DI571" i="7" s="1"/>
  <c r="DI574" i="7" s="1"/>
  <c r="DI577" i="7" s="1"/>
  <c r="ES115" i="45"/>
  <c r="ES297" i="45"/>
  <c r="ES116" i="45" s="1"/>
  <c r="EV296" i="45"/>
  <c r="DS266" i="7"/>
  <c r="EW34" i="45"/>
  <c r="EW39" i="45"/>
  <c r="ET296" i="45"/>
  <c r="EW293" i="45"/>
  <c r="ER296" i="45"/>
  <c r="ER297" i="45" s="1"/>
  <c r="ER116" i="45" s="1"/>
  <c r="DI186" i="7"/>
  <c r="DI61" i="7"/>
  <c r="DI552" i="7" s="1"/>
  <c r="DI557" i="7" s="1"/>
  <c r="DI161" i="7"/>
  <c r="DI172" i="7"/>
  <c r="DI154" i="7"/>
  <c r="EQ297" i="45"/>
  <c r="EQ116" i="45" s="1"/>
  <c r="EQ115" i="45"/>
  <c r="ER115" i="45" s="1"/>
  <c r="CF577" i="7"/>
  <c r="DJ279" i="7"/>
  <c r="DJ287" i="8"/>
  <c r="CG319" i="7"/>
  <c r="CG579" i="7"/>
  <c r="DK273" i="7"/>
  <c r="AD51" i="9" s="1"/>
  <c r="DI84" i="45"/>
  <c r="DI83" i="45"/>
  <c r="DU266" i="7"/>
  <c r="BY197" i="8"/>
  <c r="BY341" i="7" s="1"/>
  <c r="BY342" i="7" s="1"/>
  <c r="BY219" i="7" s="1"/>
  <c r="BY220" i="7" s="1"/>
  <c r="BY27" i="7"/>
  <c r="DS253" i="7"/>
  <c r="CP569" i="7"/>
  <c r="CP571" i="7" s="1"/>
  <c r="CP574" i="7" s="1"/>
  <c r="CP579" i="7" s="1"/>
  <c r="DT250" i="7"/>
  <c r="DS250" i="7" s="1"/>
  <c r="DU255" i="7"/>
  <c r="DU253" i="7" s="1"/>
  <c r="DU250" i="7" s="1"/>
  <c r="CY43" i="7"/>
  <c r="DD170" i="7"/>
  <c r="CO300" i="7"/>
  <c r="CO569" i="7" s="1"/>
  <c r="CO571" i="7" s="1"/>
  <c r="CO574" i="7" s="1"/>
  <c r="CO579" i="7" s="1"/>
  <c r="CP302" i="7"/>
  <c r="CO302" i="7" s="1"/>
  <c r="CO319" i="7" s="1"/>
  <c r="CM302" i="7"/>
  <c r="CL300" i="7"/>
  <c r="CL569" i="7" s="1"/>
  <c r="CL571" i="7" s="1"/>
  <c r="CL574" i="7" s="1"/>
  <c r="CM569" i="7"/>
  <c r="CM571" i="7" s="1"/>
  <c r="CM574" i="7" s="1"/>
  <c r="DD159" i="7"/>
  <c r="DD152" i="7"/>
  <c r="CB12" i="7"/>
  <c r="BZ12" i="7"/>
  <c r="CS152" i="7"/>
  <c r="CX53" i="7"/>
  <c r="DG185" i="7"/>
  <c r="BZ25" i="7"/>
  <c r="DX201" i="8"/>
  <c r="CA25" i="7"/>
  <c r="EC295" i="7"/>
  <c r="EA293" i="7"/>
  <c r="EA86" i="8" s="1"/>
  <c r="DZ86" i="8"/>
  <c r="DZ88" i="8" s="1"/>
  <c r="DY293" i="7"/>
  <c r="DY86" i="8" s="1"/>
  <c r="DY88" i="8" s="1"/>
  <c r="DD183" i="7"/>
  <c r="DE186" i="7"/>
  <c r="DD186" i="7" s="1"/>
  <c r="CB25" i="7"/>
  <c r="EB288" i="7"/>
  <c r="ED288" i="7"/>
  <c r="EF288" i="7" s="1"/>
  <c r="BW198" i="8"/>
  <c r="BW197" i="8" s="1"/>
  <c r="BX197" i="8" s="1"/>
  <c r="BW205" i="8"/>
  <c r="DF577" i="7"/>
  <c r="DF579" i="7"/>
  <c r="DJ84" i="45"/>
  <c r="DJ83" i="45"/>
  <c r="DA185" i="7"/>
  <c r="DB186" i="7"/>
  <c r="DA186" i="7" s="1"/>
  <c r="CR283" i="7"/>
  <c r="CR565" i="7" s="1"/>
  <c r="CR566" i="7" s="1"/>
  <c r="CS565" i="7"/>
  <c r="CS566" i="7" s="1"/>
  <c r="CS300" i="7"/>
  <c r="X53" i="9" s="1"/>
  <c r="X52" i="9" s="1"/>
  <c r="X58" i="9" s="1"/>
  <c r="DG283" i="7"/>
  <c r="DG565" i="7" s="1"/>
  <c r="DG566" i="7" s="1"/>
  <c r="DH300" i="7"/>
  <c r="AC53" i="9" s="1"/>
  <c r="AC52" i="9" s="1"/>
  <c r="AC58" i="9" s="1"/>
  <c r="DH565" i="7"/>
  <c r="DH566" i="7" s="1"/>
  <c r="ED254" i="7"/>
  <c r="EF254" i="7" s="1"/>
  <c r="EB254" i="7"/>
  <c r="DJ45" i="7"/>
  <c r="DM125" i="8" s="1"/>
  <c r="EO297" i="45"/>
  <c r="EO116" i="45" s="1"/>
  <c r="EO293" i="45"/>
  <c r="EO294" i="45" s="1"/>
  <c r="CN577" i="7"/>
  <c r="CN579" i="7"/>
  <c r="CE410" i="7"/>
  <c r="CD400" i="7"/>
  <c r="CD398" i="7"/>
  <c r="CD399" i="7"/>
  <c r="CP56" i="7"/>
  <c r="CO55" i="7"/>
  <c r="CR152" i="7" s="1"/>
  <c r="CP159" i="7"/>
  <c r="CP152" i="7"/>
  <c r="CP53" i="7"/>
  <c r="DD53" i="7"/>
  <c r="DD283" i="7"/>
  <c r="DD565" i="7" s="1"/>
  <c r="DD566" i="7" s="1"/>
  <c r="DE300" i="7"/>
  <c r="AB53" i="9" s="1"/>
  <c r="AB52" i="9" s="1"/>
  <c r="AB58" i="9" s="1"/>
  <c r="DE565" i="7"/>
  <c r="DE566" i="7" s="1"/>
  <c r="DK82" i="45"/>
  <c r="DD43" i="7"/>
  <c r="CB393" i="7"/>
  <c r="CB17" i="7" s="1"/>
  <c r="CB391" i="7"/>
  <c r="CQ579" i="7"/>
  <c r="CQ577" i="7"/>
  <c r="DJ554" i="7"/>
  <c r="DJ556" i="7" s="1"/>
  <c r="CY300" i="7"/>
  <c r="Z53" i="9" s="1"/>
  <c r="Z52" i="9" s="1"/>
  <c r="Z58" i="9" s="1"/>
  <c r="CX283" i="7"/>
  <c r="CX565" i="7" s="1"/>
  <c r="CX566" i="7" s="1"/>
  <c r="CY565" i="7"/>
  <c r="CY566" i="7" s="1"/>
  <c r="DK179" i="7"/>
  <c r="DK339" i="7"/>
  <c r="DK4" i="8"/>
  <c r="DK10" i="8" s="1"/>
  <c r="DK69" i="7"/>
  <c r="DK325" i="7"/>
  <c r="DK162" i="7"/>
  <c r="DK518" i="7"/>
  <c r="DK525" i="7" s="1"/>
  <c r="DJ73" i="7"/>
  <c r="AA9" i="9" s="1"/>
  <c r="AA12" i="9" s="1"/>
  <c r="DK155" i="7"/>
  <c r="DK74" i="7"/>
  <c r="DK337" i="7"/>
  <c r="CO181" i="7"/>
  <c r="CP183" i="7"/>
  <c r="CY124" i="8"/>
  <c r="CX133" i="8"/>
  <c r="CX443" i="7"/>
  <c r="BZ391" i="7"/>
  <c r="BZ393" i="7"/>
  <c r="BZ15" i="7" s="1"/>
  <c r="CU300" i="7"/>
  <c r="CU569" i="7" s="1"/>
  <c r="CU571" i="7" s="1"/>
  <c r="CU574" i="7" s="1"/>
  <c r="CU577" i="7" s="1"/>
  <c r="CV302" i="7"/>
  <c r="CV569" i="7"/>
  <c r="CV571" i="7" s="1"/>
  <c r="CV574" i="7" s="1"/>
  <c r="CV577" i="7" s="1"/>
  <c r="CR56" i="7"/>
  <c r="CR159" i="7"/>
  <c r="CR170" i="7"/>
  <c r="CR53" i="7"/>
  <c r="CR183" i="7"/>
  <c r="CS186" i="7"/>
  <c r="CR186" i="7" s="1"/>
  <c r="CS43" i="7"/>
  <c r="CW577" i="7"/>
  <c r="CW579" i="7"/>
  <c r="CY186" i="7"/>
  <c r="CX186" i="7" s="1"/>
  <c r="CX183" i="7"/>
  <c r="DA152" i="7"/>
  <c r="CZ170" i="7"/>
  <c r="CX170" i="7"/>
  <c r="CX159" i="7"/>
  <c r="CX56" i="7"/>
  <c r="ED268" i="7"/>
  <c r="EB268" i="7"/>
  <c r="DE405" i="7"/>
  <c r="EZ290" i="45" l="1"/>
  <c r="FA290" i="45" s="1"/>
  <c r="DV255" i="7"/>
  <c r="DW253" i="7"/>
  <c r="DW339" i="7"/>
  <c r="DV266" i="7"/>
  <c r="DW323" i="7"/>
  <c r="DW322" i="7"/>
  <c r="DW324" i="7"/>
  <c r="EH277" i="7"/>
  <c r="EJ277" i="7"/>
  <c r="EL277" i="7" s="1"/>
  <c r="DI579" i="7"/>
  <c r="FA369" i="45"/>
  <c r="FA370" i="45" s="1"/>
  <c r="EW296" i="45"/>
  <c r="EW354" i="45" s="1"/>
  <c r="EZ293" i="45"/>
  <c r="EZ29" i="45"/>
  <c r="EZ450" i="45"/>
  <c r="EY296" i="45"/>
  <c r="EU296" i="45"/>
  <c r="EU293" i="45" s="1"/>
  <c r="ET354" i="45"/>
  <c r="EV115" i="45"/>
  <c r="EV297" i="45"/>
  <c r="EV116" i="45" s="1"/>
  <c r="ER293" i="45"/>
  <c r="ER294" i="45" s="1"/>
  <c r="CR43" i="7"/>
  <c r="CS54" i="7"/>
  <c r="CX43" i="7"/>
  <c r="DI171" i="7"/>
  <c r="ET115" i="45"/>
  <c r="EU115" i="45" s="1"/>
  <c r="ET297" i="45"/>
  <c r="ET116" i="45" s="1"/>
  <c r="DI55" i="7"/>
  <c r="DI153" i="7"/>
  <c r="DI62" i="7"/>
  <c r="DI160" i="7"/>
  <c r="DJ273" i="7"/>
  <c r="DJ330" i="7" s="1"/>
  <c r="DL185" i="7"/>
  <c r="DK330" i="7"/>
  <c r="DK185" i="7"/>
  <c r="DJ185" i="7" s="1"/>
  <c r="DK283" i="7"/>
  <c r="DK300" i="7" s="1"/>
  <c r="AD53" i="9" s="1"/>
  <c r="AD52" i="9" s="1"/>
  <c r="AD58" i="9" s="1"/>
  <c r="CP577" i="7"/>
  <c r="BY22" i="7"/>
  <c r="BY359" i="7" s="1"/>
  <c r="CA341" i="7"/>
  <c r="CP319" i="7"/>
  <c r="CA345" i="7"/>
  <c r="CA202" i="8" s="1"/>
  <c r="CO577" i="7"/>
  <c r="CL577" i="7"/>
  <c r="CL579" i="7"/>
  <c r="CM319" i="7"/>
  <c r="CL302" i="7"/>
  <c r="CL319" i="7" s="1"/>
  <c r="CM577" i="7"/>
  <c r="CM579" i="7"/>
  <c r="BZ14" i="7"/>
  <c r="CD12" i="7"/>
  <c r="CB14" i="7"/>
  <c r="DX345" i="7"/>
  <c r="DX24" i="7" s="1"/>
  <c r="DY201" i="8"/>
  <c r="CB15" i="7"/>
  <c r="EA88" i="8"/>
  <c r="EB295" i="7"/>
  <c r="ED295" i="7"/>
  <c r="EC293" i="7"/>
  <c r="CC400" i="7"/>
  <c r="CR300" i="7"/>
  <c r="CR569" i="7" s="1"/>
  <c r="CR571" i="7" s="1"/>
  <c r="CR574" i="7" s="1"/>
  <c r="CS569" i="7"/>
  <c r="CS571" i="7" s="1"/>
  <c r="CS574" i="7" s="1"/>
  <c r="CS302" i="7"/>
  <c r="DJ4" i="8"/>
  <c r="DJ10" i="8" s="1"/>
  <c r="DJ518" i="7"/>
  <c r="DJ339" i="7"/>
  <c r="DJ162" i="7"/>
  <c r="DJ337" i="7"/>
  <c r="DJ155" i="7"/>
  <c r="DJ74" i="7"/>
  <c r="DJ173" i="7"/>
  <c r="DJ325" i="7"/>
  <c r="CE398" i="7"/>
  <c r="CE390" i="7" s="1"/>
  <c r="CE400" i="7"/>
  <c r="CE399" i="7"/>
  <c r="CG410" i="7"/>
  <c r="BZ20" i="7"/>
  <c r="BZ17" i="7"/>
  <c r="CA393" i="7"/>
  <c r="BZ141" i="7"/>
  <c r="CO183" i="7"/>
  <c r="CP186" i="7"/>
  <c r="CO186" i="7" s="1"/>
  <c r="DJ179" i="7"/>
  <c r="DK183" i="7"/>
  <c r="CB141" i="7"/>
  <c r="CO159" i="7"/>
  <c r="CO152" i="7"/>
  <c r="CO170" i="7"/>
  <c r="CO56" i="7"/>
  <c r="CQ170" i="7"/>
  <c r="CO53" i="7"/>
  <c r="DG300" i="7"/>
  <c r="DG569" i="7" s="1"/>
  <c r="DG571" i="7" s="1"/>
  <c r="DG574" i="7" s="1"/>
  <c r="DH302" i="7"/>
  <c r="DH569" i="7"/>
  <c r="DH571" i="7" s="1"/>
  <c r="DH574" i="7" s="1"/>
  <c r="DZ269" i="7"/>
  <c r="BZ359" i="7"/>
  <c r="BZ358" i="7"/>
  <c r="BZ205" i="8" s="1"/>
  <c r="CY443" i="7"/>
  <c r="CZ124" i="8"/>
  <c r="CY302" i="7"/>
  <c r="CX300" i="7"/>
  <c r="CX569" i="7" s="1"/>
  <c r="CX571" i="7" s="1"/>
  <c r="CX574" i="7" s="1"/>
  <c r="CY569" i="7"/>
  <c r="CY571" i="7" s="1"/>
  <c r="CY574" i="7" s="1"/>
  <c r="CP43" i="7"/>
  <c r="CO43" i="7" s="1"/>
  <c r="CC399" i="7"/>
  <c r="DY339" i="45"/>
  <c r="EE254" i="7"/>
  <c r="EG254" i="7"/>
  <c r="EI254" i="7" s="1"/>
  <c r="CB20" i="7"/>
  <c r="DK83" i="45"/>
  <c r="DK87" i="45"/>
  <c r="DK88" i="45" s="1"/>
  <c r="DK84" i="45"/>
  <c r="EE288" i="7"/>
  <c r="EG288" i="7"/>
  <c r="EI288" i="7" s="1"/>
  <c r="DJ69" i="7"/>
  <c r="DK61" i="7"/>
  <c r="DK70" i="7"/>
  <c r="DK154" i="7"/>
  <c r="DK161" i="7"/>
  <c r="DD300" i="7"/>
  <c r="DD569" i="7" s="1"/>
  <c r="DD571" i="7" s="1"/>
  <c r="DD574" i="7" s="1"/>
  <c r="DE569" i="7"/>
  <c r="DE571" i="7" s="1"/>
  <c r="DE574" i="7" s="1"/>
  <c r="DE302" i="7"/>
  <c r="CD390" i="7"/>
  <c r="CD391" i="7" s="1"/>
  <c r="CC398" i="7"/>
  <c r="CC390" i="7" s="1"/>
  <c r="CV319" i="7"/>
  <c r="CU302" i="7"/>
  <c r="CU319" i="7" s="1"/>
  <c r="EF268" i="7"/>
  <c r="DF405" i="7"/>
  <c r="AH45" i="9" l="1"/>
  <c r="DX255" i="7"/>
  <c r="DX253" i="7" s="1"/>
  <c r="DX250" i="7" s="1"/>
  <c r="DX260" i="7" s="1"/>
  <c r="DX261" i="7" s="1"/>
  <c r="EZ296" i="45"/>
  <c r="EZ297" i="45" s="1"/>
  <c r="EZ116" i="45" s="1"/>
  <c r="DV324" i="7"/>
  <c r="EW297" i="45"/>
  <c r="EW116" i="45" s="1"/>
  <c r="DW115" i="8"/>
  <c r="DW114" i="8" s="1"/>
  <c r="DV323" i="7"/>
  <c r="DV322" i="7"/>
  <c r="DV253" i="7"/>
  <c r="DW250" i="7"/>
  <c r="EM277" i="7"/>
  <c r="EO277" i="7" s="1"/>
  <c r="EK277" i="7"/>
  <c r="EX296" i="45"/>
  <c r="EX297" i="45" s="1"/>
  <c r="EX116" i="45" s="1"/>
  <c r="EW115" i="45"/>
  <c r="EX115" i="45" s="1"/>
  <c r="FA291" i="45"/>
  <c r="EY115" i="45"/>
  <c r="EY297" i="45"/>
  <c r="EY116" i="45" s="1"/>
  <c r="EZ39" i="45"/>
  <c r="EZ34" i="45"/>
  <c r="Z8" i="9"/>
  <c r="EU297" i="45"/>
  <c r="EU116" i="45" s="1"/>
  <c r="EU294" i="45"/>
  <c r="DI53" i="7"/>
  <c r="DI43" i="7" s="1"/>
  <c r="DI56" i="7"/>
  <c r="DI159" i="7"/>
  <c r="DJ283" i="7"/>
  <c r="DJ565" i="7" s="1"/>
  <c r="DJ566" i="7" s="1"/>
  <c r="DK565" i="7"/>
  <c r="DK566" i="7" s="1"/>
  <c r="CA342" i="7"/>
  <c r="CA219" i="7" s="1"/>
  <c r="CA220" i="7" s="1"/>
  <c r="BZ220" i="7" s="1"/>
  <c r="CA22" i="7"/>
  <c r="CA359" i="7" s="1"/>
  <c r="BY358" i="7"/>
  <c r="CA24" i="7"/>
  <c r="CB197" i="8"/>
  <c r="CB341" i="7" s="1"/>
  <c r="CB342" i="7" s="1"/>
  <c r="CB219" i="7" s="1"/>
  <c r="CB220" i="7" s="1"/>
  <c r="CB27" i="7"/>
  <c r="BZ197" i="8"/>
  <c r="CA197" i="8" s="1"/>
  <c r="BZ27" i="7"/>
  <c r="DZ255" i="7"/>
  <c r="DZ253" i="7" s="1"/>
  <c r="AI45" i="9" s="1"/>
  <c r="CE12" i="7"/>
  <c r="CA15" i="7"/>
  <c r="CA14" i="7"/>
  <c r="CA27" i="7" s="1"/>
  <c r="CC12" i="7"/>
  <c r="CE25" i="7"/>
  <c r="DZ201" i="8"/>
  <c r="EA201" i="8" s="1"/>
  <c r="DY345" i="7"/>
  <c r="DY24" i="7" s="1"/>
  <c r="CD25" i="7"/>
  <c r="EF295" i="7"/>
  <c r="ED293" i="7"/>
  <c r="ED86" i="8" s="1"/>
  <c r="EB293" i="7"/>
  <c r="EB86" i="8" s="1"/>
  <c r="EB88" i="8" s="1"/>
  <c r="EC86" i="8"/>
  <c r="EH254" i="7"/>
  <c r="EJ254" i="7"/>
  <c r="EL254" i="7" s="1"/>
  <c r="DD302" i="7"/>
  <c r="DD319" i="7" s="1"/>
  <c r="DE319" i="7"/>
  <c r="DK87" i="7"/>
  <c r="DI87" i="45"/>
  <c r="CC25" i="7"/>
  <c r="CX577" i="7"/>
  <c r="CX579" i="7"/>
  <c r="CZ443" i="7"/>
  <c r="CZ404" i="7"/>
  <c r="DA404" i="7" s="1"/>
  <c r="DA124" i="8"/>
  <c r="CZ133" i="8"/>
  <c r="DY269" i="7"/>
  <c r="EA269" i="7"/>
  <c r="DZ266" i="7"/>
  <c r="DY266" i="7" s="1"/>
  <c r="DJ183" i="7"/>
  <c r="DK186" i="7"/>
  <c r="DJ186" i="7" s="1"/>
  <c r="CA20" i="7"/>
  <c r="CA141" i="7"/>
  <c r="CA17" i="7"/>
  <c r="CE393" i="7"/>
  <c r="CE20" i="7" s="1"/>
  <c r="CE391" i="7"/>
  <c r="CS577" i="7"/>
  <c r="CS579" i="7"/>
  <c r="DE579" i="7"/>
  <c r="DE577" i="7"/>
  <c r="DG577" i="7"/>
  <c r="DG579" i="7"/>
  <c r="CC391" i="7"/>
  <c r="CC393" i="7"/>
  <c r="CC15" i="7" s="1"/>
  <c r="DK153" i="7"/>
  <c r="DK552" i="7"/>
  <c r="DK557" i="7" s="1"/>
  <c r="DJ61" i="7"/>
  <c r="DK160" i="7"/>
  <c r="DK55" i="7"/>
  <c r="DK62" i="7"/>
  <c r="CY319" i="7"/>
  <c r="CX302" i="7"/>
  <c r="CX319" i="7" s="1"/>
  <c r="DJ300" i="7"/>
  <c r="DK569" i="7"/>
  <c r="DK302" i="7"/>
  <c r="CS319" i="7"/>
  <c r="CR302" i="7"/>
  <c r="CR319" i="7" s="1"/>
  <c r="DD577" i="7"/>
  <c r="DD579" i="7"/>
  <c r="DJ154" i="7"/>
  <c r="DJ161" i="7"/>
  <c r="DJ70" i="7"/>
  <c r="DJ172" i="7"/>
  <c r="DH577" i="7"/>
  <c r="DH579" i="7"/>
  <c r="CR577" i="7"/>
  <c r="CR579" i="7"/>
  <c r="CY579" i="7"/>
  <c r="CY577" i="7"/>
  <c r="EJ288" i="7"/>
  <c r="EL288" i="7" s="1"/>
  <c r="EH288" i="7"/>
  <c r="DH319" i="7"/>
  <c r="DG302" i="7"/>
  <c r="DG319" i="7" s="1"/>
  <c r="CG400" i="7"/>
  <c r="CH410" i="7"/>
  <c r="CG399" i="7"/>
  <c r="CG398" i="7"/>
  <c r="EG268" i="7"/>
  <c r="EE268" i="7"/>
  <c r="DH405" i="7"/>
  <c r="EZ354" i="45" l="1"/>
  <c r="EZ115" i="45"/>
  <c r="FA115" i="45" s="1"/>
  <c r="FA296" i="45"/>
  <c r="FA297" i="45" s="1"/>
  <c r="FA116" i="45" s="1"/>
  <c r="EX293" i="45"/>
  <c r="EX294" i="45" s="1"/>
  <c r="EP277" i="7"/>
  <c r="ER277" i="7" s="1"/>
  <c r="EN277" i="7"/>
  <c r="DV250" i="7"/>
  <c r="DW260" i="7"/>
  <c r="DJ569" i="7"/>
  <c r="DJ571" i="7" s="1"/>
  <c r="DJ574" i="7" s="1"/>
  <c r="DJ577" i="7" s="1"/>
  <c r="BZ342" i="7"/>
  <c r="BZ219" i="7"/>
  <c r="DK571" i="7"/>
  <c r="DK574" i="7" s="1"/>
  <c r="DK577" i="7" s="1"/>
  <c r="CA358" i="7"/>
  <c r="CD341" i="7"/>
  <c r="CB22" i="7"/>
  <c r="CB359" i="7" s="1"/>
  <c r="DI88" i="45"/>
  <c r="DI95" i="45"/>
  <c r="DI96" i="45" s="1"/>
  <c r="CD345" i="7"/>
  <c r="CD24" i="7" s="1"/>
  <c r="DY255" i="7"/>
  <c r="CG12" i="7"/>
  <c r="CC14" i="7"/>
  <c r="CE14" i="7"/>
  <c r="CE17" i="7"/>
  <c r="EA345" i="7"/>
  <c r="EA24" i="7" s="1"/>
  <c r="EB201" i="8"/>
  <c r="CE15" i="7"/>
  <c r="CE141" i="7"/>
  <c r="EC88" i="8"/>
  <c r="ED88" i="8"/>
  <c r="DY253" i="7"/>
  <c r="EC255" i="7"/>
  <c r="EA255" i="7"/>
  <c r="EA253" i="7" s="1"/>
  <c r="EE295" i="7"/>
  <c r="EF293" i="7"/>
  <c r="EG295" i="7"/>
  <c r="CC358" i="7"/>
  <c r="CC205" i="8" s="1"/>
  <c r="CC359" i="7"/>
  <c r="DK56" i="7"/>
  <c r="DK53" i="7"/>
  <c r="DJ55" i="7"/>
  <c r="DK159" i="7"/>
  <c r="DB124" i="8"/>
  <c r="DA443" i="7"/>
  <c r="DA133" i="8"/>
  <c r="CF400" i="7"/>
  <c r="DJ552" i="7"/>
  <c r="DJ557" i="7" s="1"/>
  <c r="DJ153" i="7"/>
  <c r="DJ171" i="7"/>
  <c r="DJ160" i="7"/>
  <c r="DJ62" i="7"/>
  <c r="CC20" i="7"/>
  <c r="CD393" i="7"/>
  <c r="CC17" i="7"/>
  <c r="DJ87" i="45"/>
  <c r="DI87" i="7"/>
  <c r="DI86" i="7" s="1"/>
  <c r="DI91" i="7" s="1"/>
  <c r="DI5" i="8" s="1"/>
  <c r="DI11" i="8" s="1"/>
  <c r="CJ410" i="7"/>
  <c r="CH398" i="7"/>
  <c r="CH390" i="7" s="1"/>
  <c r="CH399" i="7"/>
  <c r="CH400" i="7"/>
  <c r="DK319" i="7"/>
  <c r="DJ302" i="7"/>
  <c r="DJ319" i="7" s="1"/>
  <c r="EK254" i="7"/>
  <c r="EM254" i="7"/>
  <c r="EO254" i="7" s="1"/>
  <c r="CF399" i="7"/>
  <c r="CG390" i="7"/>
  <c r="CG391" i="7" s="1"/>
  <c r="CF398" i="7"/>
  <c r="CF390" i="7" s="1"/>
  <c r="CF391" i="7" s="1"/>
  <c r="CF393" i="7" s="1"/>
  <c r="EK288" i="7"/>
  <c r="EM288" i="7"/>
  <c r="EO288" i="7" s="1"/>
  <c r="CC141" i="7"/>
  <c r="EC269" i="7"/>
  <c r="EA266" i="7"/>
  <c r="DK86" i="7"/>
  <c r="EI268" i="7"/>
  <c r="DI405" i="7"/>
  <c r="FA293" i="45" l="1"/>
  <c r="FA294" i="45" s="1"/>
  <c r="DV260" i="7"/>
  <c r="DW261" i="7"/>
  <c r="EQ277" i="7"/>
  <c r="ES277" i="7"/>
  <c r="EU277" i="7" s="1"/>
  <c r="AA8" i="9"/>
  <c r="DJ579" i="7"/>
  <c r="CB358" i="7"/>
  <c r="DK579" i="7"/>
  <c r="CD202" i="8"/>
  <c r="CD342" i="7"/>
  <c r="CD219" i="7" s="1"/>
  <c r="CD22" i="7"/>
  <c r="CD359" i="7" s="1"/>
  <c r="DJ88" i="45"/>
  <c r="DJ95" i="45"/>
  <c r="DJ96" i="45" s="1"/>
  <c r="CE197" i="8"/>
  <c r="CE341" i="7" s="1"/>
  <c r="CE342" i="7" s="1"/>
  <c r="CE219" i="7" s="1"/>
  <c r="CE220" i="7" s="1"/>
  <c r="CE27" i="7"/>
  <c r="CC197" i="8"/>
  <c r="CD197" i="8" s="1"/>
  <c r="CC27" i="7"/>
  <c r="DJ87" i="7"/>
  <c r="CH14" i="7"/>
  <c r="CH12" i="7"/>
  <c r="CD15" i="7"/>
  <c r="CD14" i="7"/>
  <c r="CD27" i="7" s="1"/>
  <c r="CF14" i="7"/>
  <c r="CF12" i="7"/>
  <c r="EB345" i="7"/>
  <c r="EB24" i="7" s="1"/>
  <c r="EC201" i="8"/>
  <c r="ED201" i="8" s="1"/>
  <c r="DI177" i="8"/>
  <c r="DI11" i="7"/>
  <c r="CF15" i="7"/>
  <c r="CH15" i="7"/>
  <c r="DI338" i="7"/>
  <c r="DI157" i="7"/>
  <c r="CG25" i="7"/>
  <c r="EI295" i="7"/>
  <c r="EG293" i="7"/>
  <c r="EG86" i="8" s="1"/>
  <c r="EC253" i="7"/>
  <c r="AJ45" i="9" s="1"/>
  <c r="EB255" i="7"/>
  <c r="DI174" i="7"/>
  <c r="DI163" i="7"/>
  <c r="CH25" i="7"/>
  <c r="EF86" i="8"/>
  <c r="EE293" i="7"/>
  <c r="EE86" i="8" s="1"/>
  <c r="EE88" i="8" s="1"/>
  <c r="CF25" i="7"/>
  <c r="CH17" i="7"/>
  <c r="CH141" i="7"/>
  <c r="CF17" i="7"/>
  <c r="CF141" i="7"/>
  <c r="ED269" i="7"/>
  <c r="EB269" i="7"/>
  <c r="EC266" i="7"/>
  <c r="EB266" i="7" s="1"/>
  <c r="EP254" i="7"/>
  <c r="ER254" i="7" s="1"/>
  <c r="EN254" i="7"/>
  <c r="CF20" i="7"/>
  <c r="CG393" i="7"/>
  <c r="DK91" i="7"/>
  <c r="DJ86" i="7"/>
  <c r="CI390" i="7"/>
  <c r="CH391" i="7"/>
  <c r="DK43" i="7"/>
  <c r="DJ43" i="7" s="1"/>
  <c r="EN288" i="7"/>
  <c r="EP288" i="7"/>
  <c r="ER288" i="7" s="1"/>
  <c r="CJ398" i="7"/>
  <c r="CK410" i="7"/>
  <c r="CJ399" i="7"/>
  <c r="CJ400" i="7"/>
  <c r="CD20" i="7"/>
  <c r="CD17" i="7"/>
  <c r="CD141" i="7"/>
  <c r="DB443" i="7"/>
  <c r="DC124" i="8"/>
  <c r="DJ170" i="7"/>
  <c r="DJ56" i="7"/>
  <c r="DJ53" i="7"/>
  <c r="DJ159" i="7"/>
  <c r="EJ268" i="7"/>
  <c r="EH268" i="7"/>
  <c r="DK405" i="7"/>
  <c r="ET277" i="7" l="1"/>
  <c r="EV277" i="7"/>
  <c r="EX277" i="7" s="1"/>
  <c r="DV261" i="7"/>
  <c r="DW337" i="7"/>
  <c r="EQ254" i="7"/>
  <c r="ES254" i="7"/>
  <c r="EU254" i="7" s="1"/>
  <c r="EV254" i="7" s="1"/>
  <c r="EX254" i="7" s="1"/>
  <c r="EY254" i="7" s="1"/>
  <c r="EQ288" i="7"/>
  <c r="ES288" i="7"/>
  <c r="EU288" i="7" s="1"/>
  <c r="CD358" i="7"/>
  <c r="CC342" i="7"/>
  <c r="CE22" i="7"/>
  <c r="CF197" i="8"/>
  <c r="CG197" i="8" s="1"/>
  <c r="CG198" i="8" s="1"/>
  <c r="CF27" i="7"/>
  <c r="CH197" i="8"/>
  <c r="CH27" i="7"/>
  <c r="CG15" i="7"/>
  <c r="CG14" i="7"/>
  <c r="CG27" i="7" s="1"/>
  <c r="CJ12" i="7"/>
  <c r="EE201" i="8"/>
  <c r="ED345" i="7"/>
  <c r="ED24" i="7" s="1"/>
  <c r="EG88" i="8"/>
  <c r="EF88" i="8"/>
  <c r="EF255" i="7"/>
  <c r="ED255" i="7"/>
  <c r="ED253" i="7" s="1"/>
  <c r="EB253" i="7"/>
  <c r="EH295" i="7"/>
  <c r="EI293" i="7"/>
  <c r="EJ295" i="7"/>
  <c r="DC404" i="7"/>
  <c r="DD404" i="7" s="1"/>
  <c r="DC133" i="8"/>
  <c r="DC443" i="7"/>
  <c r="DD124" i="8"/>
  <c r="CM410" i="7"/>
  <c r="CK398" i="7"/>
  <c r="CK390" i="7" s="1"/>
  <c r="CK399" i="7"/>
  <c r="CK400" i="7"/>
  <c r="CI400" i="7"/>
  <c r="CH358" i="7"/>
  <c r="CH359" i="7"/>
  <c r="CJ390" i="7"/>
  <c r="CJ391" i="7" s="1"/>
  <c r="CI398" i="7"/>
  <c r="CG20" i="7"/>
  <c r="CG141" i="7"/>
  <c r="CG17" i="7"/>
  <c r="CI399" i="7"/>
  <c r="CI25" i="7" s="1"/>
  <c r="CI393" i="7"/>
  <c r="CI391" i="7"/>
  <c r="CD220" i="7"/>
  <c r="CC220" i="7" s="1"/>
  <c r="CC219" i="7"/>
  <c r="DK163" i="7"/>
  <c r="DK157" i="7"/>
  <c r="DK177" i="8"/>
  <c r="DK5" i="8"/>
  <c r="DK11" i="8" s="1"/>
  <c r="DK11" i="7"/>
  <c r="DK338" i="7"/>
  <c r="DJ91" i="7"/>
  <c r="EF269" i="7"/>
  <c r="ED266" i="7"/>
  <c r="EL268" i="7"/>
  <c r="DL405" i="7"/>
  <c r="EW277" i="7" l="1"/>
  <c r="EY277" i="7"/>
  <c r="FA277" i="7" s="1"/>
  <c r="EZ277" i="7" s="1"/>
  <c r="FA254" i="7"/>
  <c r="ET288" i="7"/>
  <c r="EV288" i="7"/>
  <c r="EX288" i="7" s="1"/>
  <c r="EW254" i="7"/>
  <c r="CE359" i="7"/>
  <c r="ET254" i="7"/>
  <c r="CF341" i="7"/>
  <c r="CF22" i="7" s="1"/>
  <c r="CE358" i="7"/>
  <c r="CI14" i="7"/>
  <c r="CI12" i="7"/>
  <c r="CK12" i="7"/>
  <c r="CK25" i="7"/>
  <c r="EE345" i="7"/>
  <c r="EE24" i="7" s="1"/>
  <c r="EF201" i="8"/>
  <c r="EG201" i="8" s="1"/>
  <c r="CI15" i="7"/>
  <c r="EF253" i="7"/>
  <c r="AK45" i="9" s="1"/>
  <c r="EE255" i="7"/>
  <c r="EH293" i="7"/>
  <c r="EH86" i="8" s="1"/>
  <c r="EH88" i="8" s="1"/>
  <c r="EI86" i="8"/>
  <c r="EL295" i="7"/>
  <c r="EJ293" i="7"/>
  <c r="EJ86" i="8" s="1"/>
  <c r="DJ174" i="7"/>
  <c r="DJ5" i="8"/>
  <c r="DJ11" i="8" s="1"/>
  <c r="DJ157" i="7"/>
  <c r="DJ177" i="8"/>
  <c r="DJ338" i="7"/>
  <c r="DJ11" i="7"/>
  <c r="DJ163" i="7"/>
  <c r="DD443" i="7"/>
  <c r="DE124" i="8"/>
  <c r="DD133" i="8"/>
  <c r="CI20" i="7"/>
  <c r="CJ393" i="7"/>
  <c r="CK391" i="7"/>
  <c r="CK393" i="7"/>
  <c r="CK20" i="7" s="1"/>
  <c r="CJ25" i="7"/>
  <c r="EG269" i="7"/>
  <c r="EE269" i="7"/>
  <c r="EF266" i="7"/>
  <c r="EE266" i="7" s="1"/>
  <c r="CI17" i="7"/>
  <c r="CI141" i="7"/>
  <c r="CM399" i="7"/>
  <c r="CM400" i="7"/>
  <c r="CN410" i="7"/>
  <c r="CM398" i="7"/>
  <c r="EM268" i="7"/>
  <c r="EK268" i="7"/>
  <c r="DN405" i="7"/>
  <c r="EW288" i="7" l="1"/>
  <c r="EY288" i="7"/>
  <c r="EZ254" i="7"/>
  <c r="DF124" i="8"/>
  <c r="DG124" i="8" s="1"/>
  <c r="DH124" i="8" s="1"/>
  <c r="DI124" i="8" s="1"/>
  <c r="DJ124" i="8" s="1"/>
  <c r="DK124" i="8" s="1"/>
  <c r="DL124" i="8" s="1"/>
  <c r="DM124" i="8" s="1"/>
  <c r="DN124" i="8" s="1"/>
  <c r="DO124" i="8" s="1"/>
  <c r="DP124" i="8" s="1"/>
  <c r="DQ124" i="8" s="1"/>
  <c r="DR124" i="8" s="1"/>
  <c r="CG341" i="7"/>
  <c r="CG342" i="7" s="1"/>
  <c r="CG345" i="7"/>
  <c r="CG24" i="7" s="1"/>
  <c r="CI197" i="8"/>
  <c r="CI341" i="7" s="1"/>
  <c r="CI27" i="7"/>
  <c r="CK14" i="7"/>
  <c r="CJ15" i="7"/>
  <c r="CJ14" i="7"/>
  <c r="CJ27" i="7" s="1"/>
  <c r="CM14" i="7"/>
  <c r="CM12" i="7"/>
  <c r="CM15" i="7"/>
  <c r="EG345" i="7"/>
  <c r="EG24" i="7" s="1"/>
  <c r="EH201" i="8"/>
  <c r="CK15" i="7"/>
  <c r="EL293" i="7"/>
  <c r="EM295" i="7"/>
  <c r="EK295" i="7"/>
  <c r="EJ88" i="8"/>
  <c r="EI88" i="8"/>
  <c r="EE253" i="7"/>
  <c r="EI255" i="7"/>
  <c r="EG255" i="7"/>
  <c r="EG253" i="7" s="1"/>
  <c r="CM390" i="7"/>
  <c r="CM391" i="7" s="1"/>
  <c r="CL398" i="7"/>
  <c r="CL390" i="7" s="1"/>
  <c r="EI269" i="7"/>
  <c r="EG266" i="7"/>
  <c r="CF358" i="7"/>
  <c r="CF205" i="8" s="1"/>
  <c r="CF359" i="7"/>
  <c r="CK141" i="7"/>
  <c r="DE443" i="7"/>
  <c r="DE133" i="8"/>
  <c r="CN400" i="7"/>
  <c r="CN398" i="7"/>
  <c r="CN390" i="7" s="1"/>
  <c r="CN391" i="7" s="1"/>
  <c r="CN393" i="7" s="1"/>
  <c r="CN20" i="7" s="1"/>
  <c r="CP410" i="7"/>
  <c r="CN399" i="7"/>
  <c r="CM141" i="7"/>
  <c r="CL400" i="7"/>
  <c r="CM17" i="7"/>
  <c r="CJ20" i="7"/>
  <c r="CJ17" i="7"/>
  <c r="CJ141" i="7"/>
  <c r="CL399" i="7"/>
  <c r="CK17" i="7"/>
  <c r="EO268" i="7"/>
  <c r="DO405" i="7"/>
  <c r="FA288" i="7" l="1"/>
  <c r="EZ288" i="7" s="1"/>
  <c r="DR133" i="8"/>
  <c r="DS124" i="8"/>
  <c r="DT124" i="8" s="1"/>
  <c r="DU124" i="8" s="1"/>
  <c r="DR123" i="8"/>
  <c r="CG22" i="7"/>
  <c r="CG358" i="7" s="1"/>
  <c r="CG202" i="8"/>
  <c r="CJ197" i="8"/>
  <c r="CJ198" i="8" s="1"/>
  <c r="CM27" i="7"/>
  <c r="CK197" i="8"/>
  <c r="CK341" i="7" s="1"/>
  <c r="CK27" i="7"/>
  <c r="CL25" i="7"/>
  <c r="CN14" i="7"/>
  <c r="CN12" i="7"/>
  <c r="CL12" i="7"/>
  <c r="EI201" i="8"/>
  <c r="EJ201" i="8" s="1"/>
  <c r="EH345" i="7"/>
  <c r="EH24" i="7" s="1"/>
  <c r="CN15" i="7"/>
  <c r="EO295" i="7"/>
  <c r="EM293" i="7"/>
  <c r="EM86" i="8" s="1"/>
  <c r="EI253" i="7"/>
  <c r="EH255" i="7"/>
  <c r="EL86" i="8"/>
  <c r="EK293" i="7"/>
  <c r="EK86" i="8" s="1"/>
  <c r="EK88" i="8" s="1"/>
  <c r="CJ345" i="7"/>
  <c r="CI22" i="7"/>
  <c r="CJ341" i="7"/>
  <c r="CN17" i="7"/>
  <c r="CN141" i="7"/>
  <c r="CM25" i="7"/>
  <c r="DF133" i="8"/>
  <c r="DF443" i="7"/>
  <c r="DF404" i="7"/>
  <c r="DG404" i="7" s="1"/>
  <c r="CL391" i="7"/>
  <c r="CL393" i="7"/>
  <c r="CL20" i="7" s="1"/>
  <c r="CN25" i="7"/>
  <c r="CF342" i="7"/>
  <c r="CG219" i="7"/>
  <c r="CQ410" i="7"/>
  <c r="CP400" i="7"/>
  <c r="CP398" i="7"/>
  <c r="CP399" i="7"/>
  <c r="EJ269" i="7"/>
  <c r="EH269" i="7"/>
  <c r="EI266" i="7"/>
  <c r="EH266" i="7" s="1"/>
  <c r="EN268" i="7"/>
  <c r="EP268" i="7"/>
  <c r="DQ405" i="7"/>
  <c r="DV124" i="8" l="1"/>
  <c r="DW124" i="8" s="1"/>
  <c r="DR122" i="8"/>
  <c r="DS123" i="8"/>
  <c r="DT123" i="8" s="1"/>
  <c r="CG359" i="7"/>
  <c r="CN197" i="8"/>
  <c r="CN341" i="7" s="1"/>
  <c r="CN27" i="7"/>
  <c r="CL14" i="7"/>
  <c r="CP12" i="7"/>
  <c r="CL141" i="7"/>
  <c r="CL17" i="7"/>
  <c r="EK201" i="8"/>
  <c r="EJ345" i="7"/>
  <c r="EJ24" i="7" s="1"/>
  <c r="CL15" i="7"/>
  <c r="EL255" i="7"/>
  <c r="EJ255" i="7"/>
  <c r="EJ253" i="7" s="1"/>
  <c r="EH253" i="7"/>
  <c r="EL88" i="8"/>
  <c r="EM88" i="8"/>
  <c r="EO293" i="7"/>
  <c r="EP295" i="7"/>
  <c r="EN295" i="7"/>
  <c r="EL269" i="7"/>
  <c r="EJ266" i="7"/>
  <c r="CG220" i="7"/>
  <c r="CF220" i="7" s="1"/>
  <c r="CF219" i="7"/>
  <c r="CO399" i="7"/>
  <c r="CJ22" i="7"/>
  <c r="CJ342" i="7"/>
  <c r="CP390" i="7"/>
  <c r="CP391" i="7" s="1"/>
  <c r="CP393" i="7" s="1"/>
  <c r="CP14" i="7" s="1"/>
  <c r="CO398" i="7"/>
  <c r="CO390" i="7" s="1"/>
  <c r="CO391" i="7" s="1"/>
  <c r="CO393" i="7" s="1"/>
  <c r="CO20" i="7" s="1"/>
  <c r="CK22" i="7"/>
  <c r="CK342" i="7"/>
  <c r="CK219" i="7" s="1"/>
  <c r="CK220" i="7" s="1"/>
  <c r="DG443" i="7"/>
  <c r="DG133" i="8"/>
  <c r="CI359" i="7"/>
  <c r="CI358" i="7"/>
  <c r="CI205" i="8" s="1"/>
  <c r="CO400" i="7"/>
  <c r="CJ24" i="7"/>
  <c r="CJ202" i="8"/>
  <c r="CS410" i="7"/>
  <c r="CQ400" i="7"/>
  <c r="CQ398" i="7"/>
  <c r="CQ390" i="7" s="1"/>
  <c r="CQ391" i="7" s="1"/>
  <c r="CQ399" i="7"/>
  <c r="ER268" i="7"/>
  <c r="ES268" i="7" s="1"/>
  <c r="DR405" i="7"/>
  <c r="DX124" i="8" l="1"/>
  <c r="DX133" i="8" s="1"/>
  <c r="CP27" i="7"/>
  <c r="EU268" i="7"/>
  <c r="EV268" i="7" s="1"/>
  <c r="CL197" i="8"/>
  <c r="CL341" i="7" s="1"/>
  <c r="CL27" i="7"/>
  <c r="CQ12" i="7"/>
  <c r="CQ14" i="7"/>
  <c r="CO14" i="7"/>
  <c r="CO12" i="7"/>
  <c r="EK345" i="7"/>
  <c r="EK24" i="7" s="1"/>
  <c r="EL201" i="8"/>
  <c r="EM201" i="8" s="1"/>
  <c r="CP20" i="7"/>
  <c r="E10" i="9" s="1"/>
  <c r="CP15" i="7"/>
  <c r="CP141" i="7"/>
  <c r="CQ15" i="7"/>
  <c r="CO15" i="7"/>
  <c r="ER295" i="7"/>
  <c r="ES295" i="7" s="1"/>
  <c r="EP293" i="7"/>
  <c r="EP86" i="8" s="1"/>
  <c r="EN293" i="7"/>
  <c r="EN86" i="8" s="1"/>
  <c r="EN88" i="8" s="1"/>
  <c r="EO86" i="8"/>
  <c r="EL253" i="7"/>
  <c r="EK255" i="7"/>
  <c r="CP17" i="7"/>
  <c r="CP25" i="7"/>
  <c r="CQ17" i="7"/>
  <c r="CQ141" i="7"/>
  <c r="CS399" i="7"/>
  <c r="CS400" i="7"/>
  <c r="CS398" i="7"/>
  <c r="CT410" i="7"/>
  <c r="CJ219" i="7"/>
  <c r="CI342" i="7"/>
  <c r="EM269" i="7"/>
  <c r="EK269" i="7"/>
  <c r="EL266" i="7"/>
  <c r="EK266" i="7" s="1"/>
  <c r="DH133" i="8"/>
  <c r="DH443" i="7"/>
  <c r="CK358" i="7"/>
  <c r="CK359" i="7"/>
  <c r="CN22" i="7"/>
  <c r="CN342" i="7"/>
  <c r="CN219" i="7" s="1"/>
  <c r="CN220" i="7" s="1"/>
  <c r="CO141" i="7"/>
  <c r="CO17" i="7"/>
  <c r="CJ358" i="7"/>
  <c r="CJ359" i="7"/>
  <c r="CO25" i="7"/>
  <c r="CQ25" i="7"/>
  <c r="EQ268" i="7"/>
  <c r="DT405" i="7"/>
  <c r="DY124" i="8" l="1"/>
  <c r="DZ124" i="8" s="1"/>
  <c r="EA124" i="8" s="1"/>
  <c r="EB124" i="8" s="1"/>
  <c r="EC124" i="8" s="1"/>
  <c r="ED124" i="8" s="1"/>
  <c r="EE124" i="8" s="1"/>
  <c r="EF124" i="8" s="1"/>
  <c r="EG124" i="8" s="1"/>
  <c r="EH124" i="8" s="1"/>
  <c r="EI124" i="8" s="1"/>
  <c r="EJ124" i="8" s="1"/>
  <c r="EK124" i="8" s="1"/>
  <c r="EL124" i="8" s="1"/>
  <c r="EM124" i="8" s="1"/>
  <c r="EN124" i="8" s="1"/>
  <c r="EO124" i="8" s="1"/>
  <c r="EP124" i="8" s="1"/>
  <c r="EQ124" i="8" s="1"/>
  <c r="ER124" i="8" s="1"/>
  <c r="ES124" i="8" s="1"/>
  <c r="EX268" i="7"/>
  <c r="EY268" i="7" s="1"/>
  <c r="FA268" i="7" s="1"/>
  <c r="EU295" i="7"/>
  <c r="EV295" i="7" s="1"/>
  <c r="ES293" i="7"/>
  <c r="ES86" i="8" s="1"/>
  <c r="ET268" i="7"/>
  <c r="CL22" i="7"/>
  <c r="CL358" i="7" s="1"/>
  <c r="CL205" i="8" s="1"/>
  <c r="CM345" i="7"/>
  <c r="CM24" i="7" s="1"/>
  <c r="CM197" i="8"/>
  <c r="CM198" i="8" s="1"/>
  <c r="CM341" i="7"/>
  <c r="CO197" i="8"/>
  <c r="CP197" i="8" s="1"/>
  <c r="CP198" i="8" s="1"/>
  <c r="CO27" i="7"/>
  <c r="CQ197" i="8"/>
  <c r="CQ341" i="7" s="1"/>
  <c r="CQ27" i="7"/>
  <c r="E11" i="9"/>
  <c r="CS14" i="7"/>
  <c r="CS12" i="7"/>
  <c r="CS15" i="7"/>
  <c r="EM345" i="7"/>
  <c r="EM24" i="7" s="1"/>
  <c r="EN201" i="8"/>
  <c r="EP88" i="8"/>
  <c r="EO88" i="8"/>
  <c r="EK253" i="7"/>
  <c r="EM255" i="7"/>
  <c r="EM253" i="7" s="1"/>
  <c r="EO255" i="7"/>
  <c r="EQ295" i="7"/>
  <c r="ER293" i="7"/>
  <c r="CR399" i="7"/>
  <c r="CI219" i="7"/>
  <c r="CJ220" i="7"/>
  <c r="CI220" i="7" s="1"/>
  <c r="DI404" i="7"/>
  <c r="DJ404" i="7" s="1"/>
  <c r="DI443" i="7"/>
  <c r="DI133" i="8"/>
  <c r="CT398" i="7"/>
  <c r="CT390" i="7" s="1"/>
  <c r="CT399" i="7"/>
  <c r="CT400" i="7"/>
  <c r="CV410" i="7"/>
  <c r="CN358" i="7"/>
  <c r="CN359" i="7"/>
  <c r="EO269" i="7"/>
  <c r="EM266" i="7"/>
  <c r="CR398" i="7"/>
  <c r="CR390" i="7" s="1"/>
  <c r="CS390" i="7"/>
  <c r="CS391" i="7" s="1"/>
  <c r="CR400" i="7"/>
  <c r="CS17" i="7"/>
  <c r="CS141" i="7"/>
  <c r="DU405" i="7"/>
  <c r="EG404" i="7" l="1"/>
  <c r="EH404" i="7" s="1"/>
  <c r="ET124" i="8"/>
  <c r="EU124" i="8" s="1"/>
  <c r="EV124" i="8" s="1"/>
  <c r="EZ268" i="7"/>
  <c r="CS27" i="7"/>
  <c r="EX295" i="7"/>
  <c r="EY295" i="7" s="1"/>
  <c r="EV293" i="7"/>
  <c r="EV86" i="8" s="1"/>
  <c r="EW268" i="7"/>
  <c r="ET295" i="7"/>
  <c r="EU293" i="7"/>
  <c r="CO341" i="7"/>
  <c r="CM22" i="7"/>
  <c r="CM359" i="7" s="1"/>
  <c r="CM342" i="7"/>
  <c r="CM219" i="7" s="1"/>
  <c r="CM220" i="7" s="1"/>
  <c r="CL220" i="7" s="1"/>
  <c r="CL359" i="7"/>
  <c r="CM202" i="8"/>
  <c r="CT25" i="7"/>
  <c r="CR12" i="7"/>
  <c r="CT12" i="7"/>
  <c r="EO201" i="8"/>
  <c r="EP201" i="8" s="1"/>
  <c r="EN345" i="7"/>
  <c r="EN24" i="7" s="1"/>
  <c r="EN255" i="7"/>
  <c r="EO253" i="7"/>
  <c r="ER86" i="8"/>
  <c r="EQ293" i="7"/>
  <c r="EQ86" i="8" s="1"/>
  <c r="EQ88" i="8" s="1"/>
  <c r="CT393" i="7"/>
  <c r="CT141" i="7" s="1"/>
  <c r="CT391" i="7"/>
  <c r="EP269" i="7"/>
  <c r="EN269" i="7"/>
  <c r="EO266" i="7"/>
  <c r="EN266" i="7" s="1"/>
  <c r="DJ443" i="7"/>
  <c r="DJ133" i="8"/>
  <c r="CQ342" i="7"/>
  <c r="CQ219" i="7" s="1"/>
  <c r="CQ220" i="7" s="1"/>
  <c r="CQ22" i="7"/>
  <c r="CS25" i="7"/>
  <c r="CR391" i="7"/>
  <c r="CR393" i="7"/>
  <c r="CR20" i="7" s="1"/>
  <c r="CW410" i="7"/>
  <c r="CV400" i="7"/>
  <c r="CV398" i="7"/>
  <c r="CV399" i="7"/>
  <c r="CR25" i="7"/>
  <c r="DW405" i="7"/>
  <c r="EW124" i="8" l="1"/>
  <c r="EX124" i="8" s="1"/>
  <c r="EY124" i="8" s="1"/>
  <c r="EJ404" i="7"/>
  <c r="EK404" i="7" s="1"/>
  <c r="FA295" i="7"/>
  <c r="EY293" i="7"/>
  <c r="EW295" i="7"/>
  <c r="EX293" i="7"/>
  <c r="EU86" i="8"/>
  <c r="ET293" i="7"/>
  <c r="ET86" i="8" s="1"/>
  <c r="ET88" i="8" s="1"/>
  <c r="ER88" i="8"/>
  <c r="ES88" i="8"/>
  <c r="CL219" i="7"/>
  <c r="CO22" i="7"/>
  <c r="CP341" i="7"/>
  <c r="E12" i="9" s="1"/>
  <c r="CP345" i="7"/>
  <c r="CP24" i="7" s="1"/>
  <c r="CM358" i="7"/>
  <c r="CL342" i="7"/>
  <c r="CT14" i="7"/>
  <c r="CT27" i="7" s="1"/>
  <c r="CV12" i="7"/>
  <c r="CR14" i="7"/>
  <c r="CT15" i="7"/>
  <c r="EP345" i="7"/>
  <c r="EP24" i="7" s="1"/>
  <c r="EQ201" i="8"/>
  <c r="CR15" i="7"/>
  <c r="CR141" i="7"/>
  <c r="EN253" i="7"/>
  <c r="ER255" i="7"/>
  <c r="EP255" i="7"/>
  <c r="EP253" i="7" s="1"/>
  <c r="CT17" i="7"/>
  <c r="DK133" i="8"/>
  <c r="DK443" i="7"/>
  <c r="CW400" i="7"/>
  <c r="CY410" i="7"/>
  <c r="CW398" i="7"/>
  <c r="CW399" i="7"/>
  <c r="CW25" i="7" s="1"/>
  <c r="CU399" i="7"/>
  <c r="CU398" i="7"/>
  <c r="CU390" i="7" s="1"/>
  <c r="CV390" i="7"/>
  <c r="CV391" i="7" s="1"/>
  <c r="ER269" i="7"/>
  <c r="ES269" i="7" s="1"/>
  <c r="EP266" i="7"/>
  <c r="CU400" i="7"/>
  <c r="CQ358" i="7"/>
  <c r="CQ359" i="7"/>
  <c r="CR17" i="7"/>
  <c r="CT20" i="7"/>
  <c r="DX405" i="7"/>
  <c r="EZ124" i="8" l="1"/>
  <c r="FA124" i="8" s="1"/>
  <c r="EM404" i="7"/>
  <c r="EN404" i="7" s="1"/>
  <c r="EY86" i="8"/>
  <c r="EZ295" i="7"/>
  <c r="FA293" i="7"/>
  <c r="EX86" i="8"/>
  <c r="EW293" i="7"/>
  <c r="EW86" i="8" s="1"/>
  <c r="EW88" i="8" s="1"/>
  <c r="EU88" i="8"/>
  <c r="EV88" i="8"/>
  <c r="EU269" i="7"/>
  <c r="EV269" i="7" s="1"/>
  <c r="ES266" i="7"/>
  <c r="CO359" i="7"/>
  <c r="CP342" i="7"/>
  <c r="CO342" i="7" s="1"/>
  <c r="CP202" i="8"/>
  <c r="CO358" i="7"/>
  <c r="CO205" i="8" s="1"/>
  <c r="CP22" i="7"/>
  <c r="CP358" i="7" s="1"/>
  <c r="CR197" i="8"/>
  <c r="CR341" i="7" s="1"/>
  <c r="CR27" i="7"/>
  <c r="CW14" i="7"/>
  <c r="CW12" i="7"/>
  <c r="CU12" i="7"/>
  <c r="CT197" i="8"/>
  <c r="CT341" i="7" s="1"/>
  <c r="ER201" i="8"/>
  <c r="ES201" i="8" s="1"/>
  <c r="EQ345" i="7"/>
  <c r="EQ24" i="7" s="1"/>
  <c r="CU25" i="7"/>
  <c r="CW15" i="7"/>
  <c r="EQ255" i="7"/>
  <c r="ER253" i="7"/>
  <c r="EQ269" i="7"/>
  <c r="ER266" i="7"/>
  <c r="EQ266" i="7" s="1"/>
  <c r="CU393" i="7"/>
  <c r="CU15" i="7" s="1"/>
  <c r="CU391" i="7"/>
  <c r="CY400" i="7"/>
  <c r="CZ410" i="7"/>
  <c r="CY398" i="7"/>
  <c r="CY399" i="7"/>
  <c r="CX399" i="7" s="1"/>
  <c r="CW141" i="7"/>
  <c r="CW17" i="7"/>
  <c r="DL443" i="7"/>
  <c r="DL404" i="7"/>
  <c r="DM404" i="7" s="1"/>
  <c r="CV25" i="7"/>
  <c r="DZ405" i="7"/>
  <c r="DS198" i="8"/>
  <c r="FA86" i="8" l="1"/>
  <c r="FA88" i="8" s="1"/>
  <c r="EZ293" i="7"/>
  <c r="EZ86" i="8" s="1"/>
  <c r="EZ88" i="8" s="1"/>
  <c r="EX88" i="8"/>
  <c r="EY88" i="8"/>
  <c r="EX269" i="7"/>
  <c r="EY269" i="7" s="1"/>
  <c r="EV266" i="7"/>
  <c r="EU255" i="7"/>
  <c r="ES255" i="7"/>
  <c r="ES253" i="7" s="1"/>
  <c r="ES345" i="7"/>
  <c r="ES24" i="7" s="1"/>
  <c r="ET201" i="8"/>
  <c r="ET269" i="7"/>
  <c r="EU266" i="7"/>
  <c r="ET266" i="7" s="1"/>
  <c r="CP219" i="7"/>
  <c r="CO219" i="7" s="1"/>
  <c r="CP359" i="7"/>
  <c r="CS197" i="8"/>
  <c r="CS198" i="8" s="1"/>
  <c r="CW197" i="8"/>
  <c r="CW341" i="7" s="1"/>
  <c r="CW27" i="7"/>
  <c r="CU14" i="7"/>
  <c r="CY14" i="7"/>
  <c r="CY12" i="7"/>
  <c r="CU17" i="7"/>
  <c r="CU141" i="7"/>
  <c r="CY15" i="7"/>
  <c r="EQ253" i="7"/>
  <c r="DM443" i="7"/>
  <c r="CY141" i="7"/>
  <c r="CY17" i="7"/>
  <c r="CX400" i="7"/>
  <c r="CX398" i="7"/>
  <c r="CX390" i="7" s="1"/>
  <c r="CY390" i="7"/>
  <c r="CY25" i="7" s="1"/>
  <c r="CR22" i="7"/>
  <c r="CS345" i="7"/>
  <c r="CS341" i="7"/>
  <c r="F12" i="9" s="1"/>
  <c r="CT22" i="7"/>
  <c r="CT342" i="7"/>
  <c r="CT219" i="7" s="1"/>
  <c r="CT220" i="7" s="1"/>
  <c r="CU20" i="7"/>
  <c r="CV393" i="7"/>
  <c r="CZ398" i="7"/>
  <c r="CZ400" i="7"/>
  <c r="DB410" i="7"/>
  <c r="CZ399" i="7"/>
  <c r="CZ25" i="7" s="1"/>
  <c r="EA405" i="7"/>
  <c r="EY266" i="7" l="1"/>
  <c r="FA269" i="7"/>
  <c r="EW269" i="7"/>
  <c r="EX266" i="7"/>
  <c r="EW266" i="7" s="1"/>
  <c r="EU201" i="8"/>
  <c r="EV201" i="8" s="1"/>
  <c r="ET345" i="7"/>
  <c r="ET24" i="7" s="1"/>
  <c r="ET255" i="7"/>
  <c r="EU253" i="7"/>
  <c r="CP220" i="7"/>
  <c r="CO220" i="7" s="1"/>
  <c r="CU197" i="8"/>
  <c r="CU341" i="7" s="1"/>
  <c r="CV341" i="7" s="1"/>
  <c r="G12" i="9" s="1"/>
  <c r="CU27" i="7"/>
  <c r="CV15" i="7"/>
  <c r="CV14" i="7"/>
  <c r="CZ14" i="7"/>
  <c r="W13" i="9" s="1"/>
  <c r="CZ12" i="7"/>
  <c r="CX12" i="7"/>
  <c r="CZ15" i="7"/>
  <c r="CV20" i="7"/>
  <c r="G10" i="9" s="1"/>
  <c r="CV141" i="7"/>
  <c r="CV17" i="7"/>
  <c r="CT358" i="7"/>
  <c r="CT359" i="7"/>
  <c r="DB398" i="7"/>
  <c r="DB399" i="7"/>
  <c r="DA399" i="7" s="1"/>
  <c r="DB400" i="7"/>
  <c r="DC410" i="7"/>
  <c r="CS342" i="7"/>
  <c r="CS22" i="7"/>
  <c r="M13" i="7"/>
  <c r="DN443" i="7"/>
  <c r="CZ141" i="7"/>
  <c r="CZ17" i="7"/>
  <c r="CS24" i="7"/>
  <c r="CS202" i="8"/>
  <c r="CW342" i="7"/>
  <c r="CW219" i="7" s="1"/>
  <c r="CW220" i="7" s="1"/>
  <c r="CW22" i="7"/>
  <c r="CR358" i="7"/>
  <c r="CR205" i="8" s="1"/>
  <c r="CR359" i="7"/>
  <c r="CX25" i="7"/>
  <c r="CX393" i="7"/>
  <c r="CX20" i="7" s="1"/>
  <c r="CX391" i="7"/>
  <c r="EA198" i="8"/>
  <c r="EC405" i="7"/>
  <c r="EZ269" i="7" l="1"/>
  <c r="FA266" i="7"/>
  <c r="EZ266" i="7" s="1"/>
  <c r="CV27" i="7"/>
  <c r="EV345" i="7"/>
  <c r="EV24" i="7" s="1"/>
  <c r="EW201" i="8"/>
  <c r="EV255" i="7"/>
  <c r="EV253" i="7" s="1"/>
  <c r="EX255" i="7"/>
  <c r="ET253" i="7"/>
  <c r="CV22" i="7"/>
  <c r="CV345" i="7"/>
  <c r="CV202" i="8" s="1"/>
  <c r="CV342" i="7"/>
  <c r="CV219" i="7" s="1"/>
  <c r="CU22" i="7"/>
  <c r="CU359" i="7" s="1"/>
  <c r="CV197" i="8"/>
  <c r="CV198" i="8" s="1"/>
  <c r="CY27" i="7"/>
  <c r="CZ27" i="7"/>
  <c r="CX14" i="7"/>
  <c r="DB12" i="7"/>
  <c r="CX15" i="7"/>
  <c r="CX17" i="7"/>
  <c r="CS219" i="7"/>
  <c r="CR342" i="7"/>
  <c r="CW358" i="7"/>
  <c r="CW359" i="7"/>
  <c r="CX141" i="7"/>
  <c r="DB390" i="7"/>
  <c r="DB25" i="7" s="1"/>
  <c r="DA398" i="7"/>
  <c r="DA390" i="7" s="1"/>
  <c r="DC400" i="7"/>
  <c r="DC398" i="7"/>
  <c r="DC390" i="7" s="1"/>
  <c r="DE410" i="7"/>
  <c r="DC399" i="7"/>
  <c r="CZ197" i="8"/>
  <c r="DO404" i="7"/>
  <c r="DP404" i="7" s="1"/>
  <c r="DO443" i="7"/>
  <c r="DA400" i="7"/>
  <c r="G11" i="9"/>
  <c r="CS358" i="7"/>
  <c r="CS359" i="7"/>
  <c r="ED405" i="7"/>
  <c r="EE198" i="8"/>
  <c r="ED198" i="8"/>
  <c r="EW255" i="7" l="1"/>
  <c r="EX253" i="7"/>
  <c r="EX201" i="8"/>
  <c r="EY201" i="8" s="1"/>
  <c r="EW345" i="7"/>
  <c r="EW24" i="7" s="1"/>
  <c r="CV358" i="7"/>
  <c r="CV359" i="7"/>
  <c r="CV24" i="7"/>
  <c r="CU342" i="7"/>
  <c r="CU358" i="7"/>
  <c r="CU205" i="8" s="1"/>
  <c r="CX27" i="7"/>
  <c r="DC12" i="7"/>
  <c r="DA12" i="7"/>
  <c r="CZ341" i="7"/>
  <c r="DA25" i="7"/>
  <c r="DA393" i="7"/>
  <c r="DA17" i="7" s="1"/>
  <c r="DA391" i="7"/>
  <c r="DC391" i="7"/>
  <c r="DC393" i="7"/>
  <c r="CU219" i="7"/>
  <c r="CV220" i="7"/>
  <c r="CU220" i="7" s="1"/>
  <c r="DP443" i="7"/>
  <c r="CX197" i="8"/>
  <c r="DE399" i="7"/>
  <c r="DF410" i="7"/>
  <c r="DE400" i="7"/>
  <c r="DC25" i="7"/>
  <c r="CS220" i="7"/>
  <c r="CR220" i="7" s="1"/>
  <c r="CR219" i="7"/>
  <c r="EG198" i="8"/>
  <c r="EF405" i="7"/>
  <c r="FA255" i="7" l="1"/>
  <c r="EY255" i="7"/>
  <c r="EY253" i="7" s="1"/>
  <c r="EZ201" i="8"/>
  <c r="EY345" i="7"/>
  <c r="EY24" i="7" s="1"/>
  <c r="EW253" i="7"/>
  <c r="DE12" i="7"/>
  <c r="DA14" i="7"/>
  <c r="X13" i="9" s="1"/>
  <c r="DC14" i="7"/>
  <c r="DA15" i="7"/>
  <c r="DC15" i="7"/>
  <c r="DH410" i="7"/>
  <c r="DF400" i="7"/>
  <c r="DF398" i="7"/>
  <c r="DF390" i="7" s="1"/>
  <c r="DF399" i="7"/>
  <c r="CZ342" i="7"/>
  <c r="CZ219" i="7" s="1"/>
  <c r="CZ220" i="7" s="1"/>
  <c r="CZ22" i="7"/>
  <c r="W14" i="9" s="1"/>
  <c r="DD400" i="7"/>
  <c r="DA141" i="7"/>
  <c r="DA20" i="7"/>
  <c r="DB393" i="7"/>
  <c r="CX341" i="7"/>
  <c r="CY197" i="8"/>
  <c r="CY198" i="8" s="1"/>
  <c r="DC141" i="7"/>
  <c r="DC20" i="7"/>
  <c r="DE393" i="7"/>
  <c r="DE15" i="7" s="1"/>
  <c r="DE25" i="7"/>
  <c r="DD399" i="7"/>
  <c r="DD25" i="7" s="1"/>
  <c r="DQ443" i="7"/>
  <c r="DC17" i="7"/>
  <c r="EG405" i="7"/>
  <c r="EJ198" i="8"/>
  <c r="EH198" i="8"/>
  <c r="FA201" i="8" l="1"/>
  <c r="EZ345" i="7"/>
  <c r="EZ24" i="7" s="1"/>
  <c r="EZ255" i="7"/>
  <c r="FA253" i="7"/>
  <c r="EZ253" i="7" s="1"/>
  <c r="DC197" i="8"/>
  <c r="DC341" i="7" s="1"/>
  <c r="DC342" i="7" s="1"/>
  <c r="DC219" i="7" s="1"/>
  <c r="DC220" i="7" s="1"/>
  <c r="DC27" i="7"/>
  <c r="DA27" i="7"/>
  <c r="DD14" i="7"/>
  <c r="DD12" i="7"/>
  <c r="DB15" i="7"/>
  <c r="DB14" i="7"/>
  <c r="DF12" i="7"/>
  <c r="DE14" i="7"/>
  <c r="DF25" i="7"/>
  <c r="DD15" i="7"/>
  <c r="DA197" i="8"/>
  <c r="DA341" i="7" s="1"/>
  <c r="CX22" i="7"/>
  <c r="CY341" i="7"/>
  <c r="H12" i="9" s="1"/>
  <c r="CY345" i="7"/>
  <c r="DF393" i="7"/>
  <c r="DF17" i="7" s="1"/>
  <c r="DF391" i="7"/>
  <c r="DR443" i="7"/>
  <c r="DR404" i="7"/>
  <c r="DS404" i="7" s="1"/>
  <c r="DD141" i="7"/>
  <c r="DD17" i="7"/>
  <c r="DB20" i="7"/>
  <c r="I10" i="9" s="1"/>
  <c r="DB17" i="7"/>
  <c r="DB141" i="7"/>
  <c r="DE17" i="7"/>
  <c r="DE20" i="7"/>
  <c r="J10" i="9" s="1"/>
  <c r="DE141" i="7"/>
  <c r="CZ358" i="7"/>
  <c r="CZ359" i="7"/>
  <c r="DH399" i="7"/>
  <c r="DI410" i="7"/>
  <c r="DH400" i="7"/>
  <c r="EM198" i="8"/>
  <c r="EI405" i="7"/>
  <c r="EK198" i="8"/>
  <c r="DB27" i="7" l="1"/>
  <c r="DC22" i="7"/>
  <c r="DE27" i="7"/>
  <c r="DD197" i="8"/>
  <c r="DE197" i="8" s="1"/>
  <c r="DE198" i="8" s="1"/>
  <c r="DD27" i="7"/>
  <c r="DF14" i="7"/>
  <c r="DH12" i="7"/>
  <c r="DF15" i="7"/>
  <c r="DF141" i="7"/>
  <c r="DB197" i="8"/>
  <c r="DB198" i="8" s="1"/>
  <c r="DA22" i="7"/>
  <c r="X14" i="9" s="1"/>
  <c r="DB341" i="7"/>
  <c r="I12" i="9" s="1"/>
  <c r="DB345" i="7"/>
  <c r="CX358" i="7"/>
  <c r="CX205" i="8" s="1"/>
  <c r="CX359" i="7"/>
  <c r="CY22" i="7"/>
  <c r="CY342" i="7"/>
  <c r="DG400" i="7"/>
  <c r="DS443" i="7"/>
  <c r="DK410" i="7"/>
  <c r="DI400" i="7"/>
  <c r="DI399" i="7"/>
  <c r="DI25" i="7" s="1"/>
  <c r="DI398" i="7"/>
  <c r="DF20" i="7"/>
  <c r="DH393" i="7"/>
  <c r="DH14" i="7" s="1"/>
  <c r="DG399" i="7"/>
  <c r="DG25" i="7" s="1"/>
  <c r="DH25" i="7"/>
  <c r="CY24" i="7"/>
  <c r="CY202" i="8"/>
  <c r="EN198" i="8"/>
  <c r="EP198" i="8"/>
  <c r="ES198" i="8" s="1"/>
  <c r="EV198" i="8" s="1"/>
  <c r="EY198" i="8" s="1"/>
  <c r="EJ405" i="7"/>
  <c r="Y13" i="9" l="1"/>
  <c r="DH27" i="7"/>
  <c r="J11" i="9"/>
  <c r="I11" i="9"/>
  <c r="DD341" i="7"/>
  <c r="DE341" i="7" s="1"/>
  <c r="J12" i="9" s="1"/>
  <c r="DC358" i="7"/>
  <c r="DC359" i="7"/>
  <c r="DF27" i="7"/>
  <c r="DI14" i="7"/>
  <c r="DI12" i="7"/>
  <c r="DG14" i="7"/>
  <c r="DG12" i="7"/>
  <c r="DG15" i="7"/>
  <c r="DI15" i="7"/>
  <c r="DH20" i="7"/>
  <c r="DH15" i="7"/>
  <c r="DH17" i="7"/>
  <c r="DI17" i="7"/>
  <c r="DI141" i="7"/>
  <c r="DT443" i="7"/>
  <c r="DU443" i="7" s="1"/>
  <c r="DV443" i="7" s="1"/>
  <c r="DW443" i="7" s="1"/>
  <c r="DX443" i="7" s="1"/>
  <c r="DY443" i="7" s="1"/>
  <c r="DZ443" i="7" s="1"/>
  <c r="EA443" i="7" s="1"/>
  <c r="EB443" i="7" s="1"/>
  <c r="EC443" i="7" s="1"/>
  <c r="ED443" i="7" s="1"/>
  <c r="EE443" i="7" s="1"/>
  <c r="EF443" i="7" s="1"/>
  <c r="EG443" i="7" s="1"/>
  <c r="EH443" i="7" s="1"/>
  <c r="EI443" i="7" s="1"/>
  <c r="EJ443" i="7" s="1"/>
  <c r="EK443" i="7" s="1"/>
  <c r="EL443" i="7" s="1"/>
  <c r="DH141" i="7"/>
  <c r="CY358" i="7"/>
  <c r="CY359" i="7"/>
  <c r="DA358" i="7"/>
  <c r="DA205" i="8" s="1"/>
  <c r="DA359" i="7"/>
  <c r="DK399" i="7"/>
  <c r="DL410" i="7"/>
  <c r="DK398" i="7"/>
  <c r="DJ398" i="7" s="1"/>
  <c r="DK400" i="7"/>
  <c r="CY219" i="7"/>
  <c r="CX342" i="7"/>
  <c r="DF197" i="8"/>
  <c r="DG141" i="7"/>
  <c r="DG17" i="7"/>
  <c r="DB342" i="7"/>
  <c r="DB22" i="7"/>
  <c r="DB202" i="8"/>
  <c r="DB24" i="7"/>
  <c r="EQ198" i="8"/>
  <c r="ET198" i="8" s="1"/>
  <c r="EW198" i="8" s="1"/>
  <c r="EZ198" i="8" s="1"/>
  <c r="EL405" i="7"/>
  <c r="K10" i="9" l="1"/>
  <c r="Z13" i="9"/>
  <c r="DE345" i="7"/>
  <c r="DE24" i="7" s="1"/>
  <c r="DD22" i="7"/>
  <c r="DD359" i="7" s="1"/>
  <c r="DG197" i="8"/>
  <c r="DG341" i="7" s="1"/>
  <c r="DG27" i="7"/>
  <c r="DI27" i="7"/>
  <c r="DK14" i="7"/>
  <c r="DK12" i="7"/>
  <c r="DK15" i="7"/>
  <c r="DA342" i="7"/>
  <c r="DB219" i="7"/>
  <c r="DK17" i="7"/>
  <c r="L7" i="9" s="1"/>
  <c r="DJ400" i="7"/>
  <c r="DK141" i="7"/>
  <c r="DU404" i="7"/>
  <c r="DV404" i="7" s="1"/>
  <c r="DF341" i="7"/>
  <c r="DB358" i="7"/>
  <c r="DB359" i="7"/>
  <c r="CY220" i="7"/>
  <c r="CX220" i="7" s="1"/>
  <c r="CX219" i="7"/>
  <c r="DL400" i="7"/>
  <c r="DL398" i="7"/>
  <c r="DN410" i="7"/>
  <c r="DL399" i="7"/>
  <c r="DI197" i="8"/>
  <c r="DJ399" i="7"/>
  <c r="DJ25" i="7" s="1"/>
  <c r="DK25" i="7"/>
  <c r="DE22" i="7"/>
  <c r="DE342" i="7"/>
  <c r="EM405" i="7"/>
  <c r="DE202" i="8" l="1"/>
  <c r="DK27" i="7"/>
  <c r="K11" i="9"/>
  <c r="DD358" i="7"/>
  <c r="DD205" i="8" s="1"/>
  <c r="DG22" i="7"/>
  <c r="DG359" i="7" s="1"/>
  <c r="DH197" i="8"/>
  <c r="DH198" i="8" s="1"/>
  <c r="DJ14" i="7"/>
  <c r="DJ12" i="7"/>
  <c r="DJ15" i="7"/>
  <c r="DE358" i="7"/>
  <c r="DE359" i="7"/>
  <c r="DJ17" i="7"/>
  <c r="DJ141" i="7"/>
  <c r="DD342" i="7"/>
  <c r="DE219" i="7"/>
  <c r="DI341" i="7"/>
  <c r="DO410" i="7"/>
  <c r="DN399" i="7"/>
  <c r="DM399" i="7" s="1"/>
  <c r="DN398" i="7"/>
  <c r="DM398" i="7" s="1"/>
  <c r="DN400" i="7"/>
  <c r="DM400" i="7" s="1"/>
  <c r="DF22" i="7"/>
  <c r="Y14" i="9" s="1"/>
  <c r="DF342" i="7"/>
  <c r="DF219" i="7" s="1"/>
  <c r="DF220" i="7" s="1"/>
  <c r="DH341" i="7"/>
  <c r="K12" i="9" s="1"/>
  <c r="DH345" i="7"/>
  <c r="DB220" i="7"/>
  <c r="DA220" i="7" s="1"/>
  <c r="DA219" i="7"/>
  <c r="DX404" i="7"/>
  <c r="DY404" i="7" s="1"/>
  <c r="EO405" i="7"/>
  <c r="AA13" i="9" l="1"/>
  <c r="DG358" i="7"/>
  <c r="DG205" i="8" s="1"/>
  <c r="DJ27" i="7"/>
  <c r="DF358" i="7"/>
  <c r="DF359" i="7"/>
  <c r="DI342" i="7"/>
  <c r="DI219" i="7" s="1"/>
  <c r="DI220" i="7" s="1"/>
  <c r="DI22" i="7"/>
  <c r="Z14" i="9" s="1"/>
  <c r="DH202" i="8"/>
  <c r="DH24" i="7"/>
  <c r="DH342" i="7"/>
  <c r="DH22" i="7"/>
  <c r="DO398" i="7"/>
  <c r="DO400" i="7"/>
  <c r="DO399" i="7"/>
  <c r="DQ410" i="7"/>
  <c r="DE220" i="7"/>
  <c r="DD220" i="7" s="1"/>
  <c r="DD219" i="7"/>
  <c r="EA404" i="7"/>
  <c r="EB404" i="7" s="1"/>
  <c r="DJ197" i="8"/>
  <c r="EP405" i="7"/>
  <c r="DJ341" i="7" l="1"/>
  <c r="DK197" i="8"/>
  <c r="DK198" i="8" s="1"/>
  <c r="DH358" i="7"/>
  <c r="DH359" i="7"/>
  <c r="ED404" i="7"/>
  <c r="EE404" i="7" s="1"/>
  <c r="DQ398" i="7"/>
  <c r="DP398" i="7" s="1"/>
  <c r="DR410" i="7"/>
  <c r="DQ400" i="7"/>
  <c r="DP400" i="7" s="1"/>
  <c r="DQ399" i="7"/>
  <c r="DP399" i="7" s="1"/>
  <c r="DG342" i="7"/>
  <c r="DH219" i="7"/>
  <c r="DI358" i="7"/>
  <c r="DI359" i="7"/>
  <c r="ER405" i="7"/>
  <c r="ES405" i="7" s="1"/>
  <c r="EU405" i="7" l="1"/>
  <c r="EV405" i="7" s="1"/>
  <c r="DG219" i="7"/>
  <c r="DH220" i="7"/>
  <c r="DG220" i="7" s="1"/>
  <c r="DR399" i="7"/>
  <c r="DT410" i="7"/>
  <c r="DR398" i="7"/>
  <c r="DR400" i="7"/>
  <c r="DJ22" i="7"/>
  <c r="AA14" i="9" s="1"/>
  <c r="DK341" i="7"/>
  <c r="L12" i="9" s="1"/>
  <c r="DK345" i="7"/>
  <c r="EX405" i="7" l="1"/>
  <c r="EY405" i="7" s="1"/>
  <c r="DJ358" i="7"/>
  <c r="DJ205" i="8" s="1"/>
  <c r="DJ359" i="7"/>
  <c r="DT398" i="7"/>
  <c r="DS398" i="7" s="1"/>
  <c r="DT399" i="7"/>
  <c r="DS399" i="7" s="1"/>
  <c r="DU410" i="7"/>
  <c r="DT400" i="7"/>
  <c r="DS400" i="7" s="1"/>
  <c r="DK24" i="7"/>
  <c r="DK202" i="8"/>
  <c r="DK342" i="7"/>
  <c r="DK22" i="7"/>
  <c r="FA405" i="7" l="1"/>
  <c r="DK358" i="7"/>
  <c r="DK359" i="7"/>
  <c r="DU400" i="7"/>
  <c r="DU399" i="7"/>
  <c r="DW410" i="7"/>
  <c r="DU398" i="7"/>
  <c r="DK219" i="7"/>
  <c r="DJ342" i="7"/>
  <c r="DJ219" i="7" l="1"/>
  <c r="DK220" i="7"/>
  <c r="DJ220" i="7" s="1"/>
  <c r="DW398" i="7"/>
  <c r="DV398" i="7" s="1"/>
  <c r="DW400" i="7"/>
  <c r="DW399" i="7"/>
  <c r="DX410" i="7"/>
  <c r="DV399" i="7" l="1"/>
  <c r="DV400" i="7"/>
  <c r="DZ410" i="7"/>
  <c r="DX398" i="7"/>
  <c r="DX400" i="7"/>
  <c r="DX399" i="7"/>
  <c r="EA410" i="7" l="1"/>
  <c r="DZ399" i="7"/>
  <c r="DY399" i="7" s="1"/>
  <c r="DZ398" i="7"/>
  <c r="DY398" i="7" s="1"/>
  <c r="DZ400" i="7"/>
  <c r="DY400" i="7" s="1"/>
  <c r="EA398" i="7" l="1"/>
  <c r="EA400" i="7"/>
  <c r="EC410" i="7"/>
  <c r="EA399" i="7"/>
  <c r="EC398" i="7" l="1"/>
  <c r="EB398" i="7" s="1"/>
  <c r="EC400" i="7"/>
  <c r="EB400" i="7" s="1"/>
  <c r="ED410" i="7"/>
  <c r="EC399" i="7"/>
  <c r="EB399" i="7" s="1"/>
  <c r="EF410" i="7" l="1"/>
  <c r="ED400" i="7"/>
  <c r="ED399" i="7"/>
  <c r="ED398" i="7"/>
  <c r="EF399" i="7" l="1"/>
  <c r="EE399" i="7" s="1"/>
  <c r="EF398" i="7"/>
  <c r="EE398" i="7" s="1"/>
  <c r="EG410" i="7"/>
  <c r="EF400" i="7"/>
  <c r="EE400" i="7" s="1"/>
  <c r="EG400" i="7" l="1"/>
  <c r="EG399" i="7"/>
  <c r="EG398" i="7"/>
  <c r="EI410" i="7"/>
  <c r="EI398" i="7" l="1"/>
  <c r="EH398" i="7" s="1"/>
  <c r="EI400" i="7"/>
  <c r="EH400" i="7" s="1"/>
  <c r="EI399" i="7"/>
  <c r="EH399" i="7" s="1"/>
  <c r="EJ410" i="7"/>
  <c r="EJ399" i="7" l="1"/>
  <c r="EJ398" i="7"/>
  <c r="EL410" i="7"/>
  <c r="EJ400" i="7"/>
  <c r="EL399" i="7" l="1"/>
  <c r="EK399" i="7" s="1"/>
  <c r="EL400" i="7"/>
  <c r="EK400" i="7" s="1"/>
  <c r="EM410" i="7"/>
  <c r="EL398" i="7"/>
  <c r="EK398" i="7" s="1"/>
  <c r="EM400" i="7" l="1"/>
  <c r="EO410" i="7"/>
  <c r="EM399" i="7"/>
  <c r="EM398" i="7"/>
  <c r="EP410" i="7" l="1"/>
  <c r="EO400" i="7"/>
  <c r="EN400" i="7" s="1"/>
  <c r="EO399" i="7"/>
  <c r="EN399" i="7" s="1"/>
  <c r="EO398" i="7"/>
  <c r="EN398" i="7" s="1"/>
  <c r="ER410" i="7" l="1"/>
  <c r="ES410" i="7" s="1"/>
  <c r="EP400" i="7"/>
  <c r="EP398" i="7"/>
  <c r="EP399" i="7"/>
  <c r="EU410" i="7" l="1"/>
  <c r="EV410" i="7" s="1"/>
  <c r="ES399" i="7"/>
  <c r="ES398" i="7"/>
  <c r="ES400" i="7"/>
  <c r="ER400" i="7"/>
  <c r="EQ400" i="7" s="1"/>
  <c r="ER398" i="7"/>
  <c r="EQ398" i="7" s="1"/>
  <c r="ER399" i="7"/>
  <c r="EQ399" i="7" s="1"/>
  <c r="EX410" i="7" l="1"/>
  <c r="EY410" i="7" s="1"/>
  <c r="EV400" i="7"/>
  <c r="EV399" i="7"/>
  <c r="EV398" i="7"/>
  <c r="EU399" i="7"/>
  <c r="ET399" i="7" s="1"/>
  <c r="EU400" i="7"/>
  <c r="ET400" i="7" s="1"/>
  <c r="EU398" i="7"/>
  <c r="ET398" i="7" s="1"/>
  <c r="FA410" i="7" l="1"/>
  <c r="EY399" i="7"/>
  <c r="EY400" i="7"/>
  <c r="EY398" i="7"/>
  <c r="EX398" i="7"/>
  <c r="EW398" i="7" s="1"/>
  <c r="EX400" i="7"/>
  <c r="EW400" i="7" s="1"/>
  <c r="EX399" i="7"/>
  <c r="EW399" i="7" s="1"/>
  <c r="FA398" i="7" l="1"/>
  <c r="EZ398" i="7" s="1"/>
  <c r="FA399" i="7"/>
  <c r="EZ399" i="7" s="1"/>
  <c r="FA400" i="7"/>
  <c r="EZ400" i="7" s="1"/>
  <c r="T5" i="57" l="1"/>
  <c r="W5" i="57" l="1"/>
  <c r="W13" i="57" l="1"/>
  <c r="X5" i="57"/>
  <c r="W44" i="57"/>
  <c r="AD44" i="57" l="1"/>
  <c r="DL81" i="7" l="1"/>
  <c r="DL145" i="7"/>
  <c r="DL210" i="7"/>
  <c r="DL176" i="8" s="1"/>
  <c r="DL174" i="8" s="1"/>
  <c r="DL291" i="7"/>
  <c r="DL179" i="8" s="1"/>
  <c r="DL315" i="7"/>
  <c r="DL560" i="7" l="1"/>
  <c r="DL562" i="7" s="1"/>
  <c r="DL553" i="7"/>
  <c r="DL82" i="7"/>
  <c r="DL85" i="7"/>
  <c r="DL217" i="7"/>
  <c r="DL212" i="7"/>
  <c r="DL211" i="7" s="1"/>
  <c r="DL317" i="7"/>
  <c r="DL286" i="7"/>
  <c r="DL132" i="8"/>
  <c r="DL164" i="7" l="1"/>
  <c r="DL116" i="7"/>
  <c r="AB10" i="9" s="1"/>
  <c r="DL175" i="7"/>
  <c r="DL156" i="7"/>
  <c r="DL519" i="7"/>
  <c r="DL10" i="7"/>
  <c r="DL115" i="8"/>
  <c r="DL116" i="8" s="1"/>
  <c r="DL299" i="7"/>
  <c r="DL300" i="7" s="1"/>
  <c r="DL322" i="7"/>
  <c r="DL324" i="7"/>
  <c r="DL323" i="7"/>
  <c r="DL575" i="7"/>
  <c r="DL133" i="8"/>
  <c r="DL520" i="7"/>
  <c r="DL140" i="7" l="1"/>
  <c r="DL302" i="7"/>
  <c r="DL319" i="7" s="1"/>
  <c r="DL569" i="7"/>
  <c r="DL571" i="7" s="1"/>
  <c r="DL574" i="7" s="1"/>
  <c r="DL577" i="7" s="1"/>
  <c r="DL117" i="8"/>
  <c r="DL522" i="7"/>
  <c r="DL144" i="7" l="1"/>
  <c r="DL147" i="7" s="1"/>
  <c r="DM143" i="7" s="1"/>
  <c r="DL18" i="8"/>
  <c r="DL77" i="7"/>
  <c r="DL75" i="7" l="1"/>
  <c r="DL167" i="7"/>
  <c r="DL73" i="7" l="1"/>
  <c r="AB9" i="9" s="1"/>
  <c r="AB12" i="9" s="1"/>
  <c r="DL554" i="7"/>
  <c r="DL556" i="7" s="1"/>
  <c r="DL179" i="7" l="1"/>
  <c r="DL69" i="7"/>
  <c r="DL74" i="7"/>
  <c r="DL162" i="7"/>
  <c r="DL518" i="7"/>
  <c r="DL4" i="8"/>
  <c r="DL10" i="8" s="1"/>
  <c r="DL155" i="7"/>
  <c r="DL173" i="7"/>
  <c r="DL337" i="7"/>
  <c r="DL325" i="7"/>
  <c r="DL339" i="7"/>
  <c r="DL70" i="7" l="1"/>
  <c r="DL154" i="7"/>
  <c r="DL61" i="7"/>
  <c r="DL161" i="7"/>
  <c r="DL172" i="7"/>
  <c r="DL183" i="7"/>
  <c r="DL186" i="7" s="1"/>
  <c r="DL55" i="7" l="1"/>
  <c r="DL62" i="7"/>
  <c r="DL160" i="7"/>
  <c r="DL552" i="7"/>
  <c r="DL557" i="7" s="1"/>
  <c r="DL579" i="7" s="1"/>
  <c r="DL153" i="7"/>
  <c r="DL171" i="7"/>
  <c r="AB8" i="9" l="1"/>
  <c r="DL56" i="7"/>
  <c r="DL53" i="7"/>
  <c r="DL43" i="7" s="1"/>
  <c r="DL159" i="7"/>
  <c r="DL152" i="7"/>
  <c r="DL170" i="7"/>
  <c r="DL390" i="7" l="1"/>
  <c r="DL25" i="7" l="1"/>
  <c r="DL14" i="7"/>
  <c r="AB13" i="9" l="1"/>
  <c r="DL27" i="7"/>
  <c r="DL141" i="7"/>
  <c r="DL20" i="7"/>
  <c r="DM391" i="7"/>
  <c r="DL197" i="8" l="1"/>
  <c r="DL341" i="7" s="1"/>
  <c r="DL22" i="7" s="1"/>
  <c r="AB14" i="9" s="1"/>
  <c r="DL342" i="7" l="1"/>
  <c r="DL219" i="7" s="1"/>
  <c r="DL220" i="7" s="1"/>
  <c r="DL348" i="7"/>
  <c r="DL352" i="7" l="1"/>
  <c r="DM354" i="7" s="1"/>
  <c r="DN354" i="7" s="1"/>
  <c r="DM355" i="7"/>
  <c r="DN355" i="7" s="1"/>
  <c r="DN307" i="7" l="1"/>
  <c r="DM308" i="7"/>
  <c r="DM305" i="7"/>
  <c r="DM307" i="7" l="1"/>
  <c r="EW389" i="45" l="1"/>
  <c r="EY389" i="45" s="1"/>
  <c r="DM389" i="45"/>
  <c r="DN388" i="45"/>
  <c r="EZ389" i="45" l="1"/>
  <c r="DN389" i="45"/>
  <c r="DM180" i="7" l="1"/>
  <c r="DM182" i="7"/>
  <c r="DN145" i="7"/>
  <c r="DM145" i="7" s="1"/>
  <c r="DN210" i="7"/>
  <c r="DN291" i="7"/>
  <c r="DN179" i="8" s="1"/>
  <c r="DN315" i="7"/>
  <c r="AE56" i="9" s="1"/>
  <c r="AE54" i="9" s="1"/>
  <c r="DM348" i="7"/>
  <c r="DO355" i="7" s="1"/>
  <c r="DO307" i="7" s="1"/>
  <c r="DM352" i="7"/>
  <c r="DO354" i="7" s="1"/>
  <c r="DM291" i="7" l="1"/>
  <c r="DM179" i="8" s="1"/>
  <c r="DN217" i="7"/>
  <c r="DM217" i="7" s="1"/>
  <c r="DN348" i="7"/>
  <c r="DN203" i="8" s="1"/>
  <c r="DN286" i="7"/>
  <c r="AE50" i="9" s="1"/>
  <c r="DM208" i="7"/>
  <c r="DN317" i="7"/>
  <c r="DN560" i="7"/>
  <c r="DN562" i="7" s="1"/>
  <c r="DM315" i="7"/>
  <c r="DM314" i="7"/>
  <c r="DN176" i="8"/>
  <c r="DM210" i="7"/>
  <c r="DM176" i="8" s="1"/>
  <c r="DM187" i="7"/>
  <c r="DN81" i="7"/>
  <c r="DM80" i="7"/>
  <c r="M30" i="9" l="1"/>
  <c r="DM286" i="7"/>
  <c r="DN115" i="8" s="1"/>
  <c r="DN324" i="7"/>
  <c r="DN299" i="7"/>
  <c r="DN575" i="7"/>
  <c r="DM25" i="7"/>
  <c r="DM560" i="7"/>
  <c r="DM562" i="7" s="1"/>
  <c r="DN82" i="7"/>
  <c r="DN85" i="7"/>
  <c r="DM81" i="7"/>
  <c r="DN553" i="7"/>
  <c r="DM132" i="8"/>
  <c r="DN322" i="7"/>
  <c r="DM317" i="7"/>
  <c r="DM520" i="7" s="1"/>
  <c r="DN323" i="7"/>
  <c r="DN520" i="7"/>
  <c r="DN521" i="7" s="1"/>
  <c r="DM575" i="7" l="1"/>
  <c r="DM115" i="8"/>
  <c r="DM116" i="8" s="1"/>
  <c r="DN116" i="8" s="1"/>
  <c r="DN117" i="8" s="1"/>
  <c r="DM322" i="7"/>
  <c r="DM299" i="7"/>
  <c r="DN522" i="7"/>
  <c r="DM324" i="7"/>
  <c r="DM82" i="7"/>
  <c r="DM553" i="7"/>
  <c r="DM323" i="7"/>
  <c r="DN116" i="7"/>
  <c r="DN10" i="7"/>
  <c r="DM85" i="7"/>
  <c r="DN156" i="7"/>
  <c r="DN519" i="7"/>
  <c r="DN132" i="8"/>
  <c r="DN133" i="8" s="1"/>
  <c r="DM133" i="8"/>
  <c r="DM117" i="8" l="1"/>
  <c r="DM18" i="8" s="1"/>
  <c r="DM522" i="7"/>
  <c r="DM523" i="7" s="1"/>
  <c r="DM116" i="7"/>
  <c r="AC10" i="9" s="1"/>
  <c r="DN140" i="7"/>
  <c r="DM10" i="7"/>
  <c r="DM14" i="7" s="1"/>
  <c r="DM175" i="7"/>
  <c r="DM156" i="7"/>
  <c r="DM519" i="7"/>
  <c r="DN18" i="8"/>
  <c r="DN77" i="7"/>
  <c r="AC13" i="9" l="1"/>
  <c r="DM27" i="7"/>
  <c r="DM140" i="7"/>
  <c r="DN144" i="7"/>
  <c r="DN147" i="7" s="1"/>
  <c r="DN75" i="7"/>
  <c r="M28" i="9" s="1"/>
  <c r="DN167" i="7"/>
  <c r="DM77" i="7"/>
  <c r="DM167" i="7" s="1"/>
  <c r="DN73" i="7" l="1"/>
  <c r="DO143" i="7"/>
  <c r="DQ143" i="7"/>
  <c r="DM144" i="7"/>
  <c r="DM147" i="7" s="1"/>
  <c r="DM75" i="7"/>
  <c r="DN554" i="7"/>
  <c r="DN556" i="7" s="1"/>
  <c r="DM73" i="7" l="1"/>
  <c r="AC9" i="9" s="1"/>
  <c r="DM554" i="7"/>
  <c r="DM556" i="7" s="1"/>
  <c r="DN518" i="7"/>
  <c r="DN525" i="7" s="1"/>
  <c r="DN4" i="8"/>
  <c r="DN10" i="8" s="1"/>
  <c r="DN155" i="7"/>
  <c r="DN69" i="7"/>
  <c r="DL177" i="7"/>
  <c r="DN337" i="7"/>
  <c r="DN179" i="7"/>
  <c r="DN325" i="7"/>
  <c r="DN339" i="7"/>
  <c r="DM155" i="7" l="1"/>
  <c r="DM173" i="7"/>
  <c r="DM337" i="7"/>
  <c r="DM518" i="7"/>
  <c r="DM177" i="7"/>
  <c r="DM4" i="8"/>
  <c r="DM10" i="8" s="1"/>
  <c r="DM325" i="7"/>
  <c r="DM339" i="7"/>
  <c r="DN61" i="7"/>
  <c r="DM69" i="7"/>
  <c r="DN154" i="7"/>
  <c r="DM179" i="7"/>
  <c r="DN183" i="7"/>
  <c r="DM183" i="7" l="1"/>
  <c r="DM154" i="7"/>
  <c r="DM172" i="7"/>
  <c r="DM61" i="7"/>
  <c r="DN552" i="7"/>
  <c r="DN557" i="7" s="1"/>
  <c r="DN153" i="7"/>
  <c r="DN55" i="7"/>
  <c r="DM171" i="7" l="1"/>
  <c r="DM153" i="7"/>
  <c r="DM552" i="7"/>
  <c r="DM557" i="7" s="1"/>
  <c r="DN152" i="7"/>
  <c r="DM55" i="7"/>
  <c r="AC8" i="9" l="1"/>
  <c r="DM152" i="7"/>
  <c r="DM170" i="7"/>
  <c r="DN175" i="8" l="1"/>
  <c r="DN174" i="8" s="1"/>
  <c r="DM209" i="7"/>
  <c r="DM175" i="8" s="1"/>
  <c r="DM174" i="8" s="1"/>
  <c r="DN25" i="7" l="1"/>
  <c r="DM20" i="7" l="1"/>
  <c r="DM141" i="7"/>
  <c r="DN14" i="7"/>
  <c r="M14" i="9" l="1"/>
  <c r="DN27" i="7"/>
  <c r="DM197" i="8"/>
  <c r="DN197" i="8" s="1"/>
  <c r="DN141" i="7"/>
  <c r="DN20" i="7"/>
  <c r="M10" i="9" l="1"/>
  <c r="DM341" i="7"/>
  <c r="DM22" i="7" s="1"/>
  <c r="AC14" i="9" s="1"/>
  <c r="M11" i="9" l="1"/>
  <c r="DN341" i="7"/>
  <c r="DN345" i="7"/>
  <c r="DN202" i="8" s="1"/>
  <c r="DN24" i="7" l="1"/>
  <c r="DN22" i="7"/>
  <c r="DN342" i="7"/>
  <c r="M12" i="9" l="1"/>
  <c r="DN219" i="7"/>
  <c r="DM342" i="7"/>
  <c r="DM219" i="7" l="1"/>
  <c r="DM163" i="45" l="1"/>
  <c r="DN163" i="45" l="1"/>
  <c r="DM165" i="45" l="1"/>
  <c r="DM167" i="45" l="1"/>
  <c r="DM104" i="45" s="1"/>
  <c r="DM103" i="45"/>
  <c r="DN166" i="45"/>
  <c r="DM175" i="45"/>
  <c r="DN165" i="45"/>
  <c r="DM176" i="45" l="1"/>
  <c r="DM503" i="7" s="1"/>
  <c r="DN175" i="45"/>
  <c r="DM178" i="45"/>
  <c r="DM502" i="7"/>
  <c r="DN167" i="45"/>
  <c r="DN104" i="45" s="1"/>
  <c r="DM118" i="45"/>
  <c r="DN103" i="45"/>
  <c r="AE61" i="9" l="1"/>
  <c r="DM119" i="45"/>
  <c r="DM121" i="45"/>
  <c r="DM129" i="45"/>
  <c r="DN118" i="45"/>
  <c r="DM179" i="45"/>
  <c r="DN176" i="45"/>
  <c r="DN503" i="7" s="1"/>
  <c r="DN178" i="45"/>
  <c r="DN502" i="7"/>
  <c r="DN119" i="45" l="1"/>
  <c r="DN121" i="45"/>
  <c r="DN129" i="45"/>
  <c r="DM357" i="45"/>
  <c r="DM361" i="45" s="1"/>
  <c r="DN361" i="45" s="1"/>
  <c r="DM130" i="45"/>
  <c r="DN179" i="45"/>
  <c r="DM122" i="45"/>
  <c r="DN130" i="45" l="1"/>
  <c r="DN122" i="45"/>
  <c r="DN357" i="45"/>
  <c r="DM358" i="45"/>
  <c r="DN358" i="45" l="1"/>
  <c r="DM364" i="45"/>
  <c r="DM366" i="45"/>
  <c r="DN364" i="45" l="1"/>
  <c r="DM6" i="45"/>
  <c r="DM375" i="45"/>
  <c r="DM391" i="45" s="1"/>
  <c r="DM367" i="45"/>
  <c r="DN366" i="45"/>
  <c r="DM392" i="45" l="1"/>
  <c r="DN391" i="45"/>
  <c r="DN392" i="45" s="1"/>
  <c r="DM395" i="45"/>
  <c r="DM401" i="45"/>
  <c r="DM398" i="45"/>
  <c r="DM17" i="45"/>
  <c r="DM376" i="45"/>
  <c r="DN375" i="45"/>
  <c r="DM11" i="45"/>
  <c r="DN6" i="45"/>
  <c r="DN367" i="45"/>
  <c r="DN398" i="45" l="1"/>
  <c r="DN61" i="45" s="1"/>
  <c r="DN395" i="45"/>
  <c r="DN401" i="45"/>
  <c r="DM28" i="45"/>
  <c r="DM22" i="45"/>
  <c r="DN17" i="45"/>
  <c r="DN11" i="45"/>
  <c r="DN376" i="45"/>
  <c r="DM38" i="45" l="1"/>
  <c r="DL60" i="45"/>
  <c r="DM506" i="7"/>
  <c r="DN28" i="45"/>
  <c r="DM33" i="45"/>
  <c r="DN22" i="45"/>
  <c r="DN38" i="45" l="1"/>
  <c r="DL44" i="45"/>
  <c r="DL54" i="45" s="1"/>
  <c r="DM60" i="45"/>
  <c r="DN506" i="7"/>
  <c r="DN33" i="45"/>
  <c r="DL49" i="45" l="1"/>
  <c r="DM61" i="45"/>
  <c r="DM70" i="45" l="1"/>
  <c r="DM44" i="45"/>
  <c r="DM54" i="45" s="1"/>
  <c r="EA61" i="45" l="1"/>
  <c r="DN44" i="45"/>
  <c r="DN54" i="45" s="1"/>
  <c r="DM49" i="45"/>
  <c r="ED61" i="45" l="1"/>
  <c r="DN49" i="45"/>
  <c r="EB61" i="45" l="1"/>
  <c r="EE61" i="45"/>
  <c r="EH61" i="45" l="1"/>
  <c r="EK61" i="45" l="1"/>
  <c r="EN61" i="45" l="1"/>
  <c r="EQ61" i="45" l="1"/>
  <c r="ET61" i="45"/>
  <c r="BA177" i="8" l="1"/>
  <c r="BB177" i="8"/>
  <c r="BC177" i="8"/>
  <c r="BP177" i="8"/>
  <c r="BQ177" i="8"/>
  <c r="BR177" i="8"/>
  <c r="N16" i="57" l="1"/>
  <c r="N3" i="57" s="1"/>
  <c r="N7" i="57" l="1"/>
  <c r="M16" i="57" l="1"/>
  <c r="O16" i="57" l="1"/>
  <c r="M3" i="57"/>
  <c r="O3" i="57" l="1"/>
  <c r="M7" i="57"/>
  <c r="O7" i="57" l="1"/>
  <c r="O8" i="57" l="1"/>
  <c r="M8" i="57" l="1"/>
  <c r="M9" i="57" s="1"/>
  <c r="M80" i="57" l="1"/>
  <c r="M91" i="57" s="1"/>
  <c r="N8" i="57"/>
  <c r="N9" i="57" s="1"/>
  <c r="N80" i="57" s="1"/>
  <c r="N91" i="57" s="1"/>
  <c r="N93" i="57" l="1"/>
  <c r="N94" i="57" s="1"/>
  <c r="M93" i="57"/>
  <c r="M94" i="57" s="1"/>
  <c r="O91" i="57"/>
  <c r="N77" i="57"/>
  <c r="O80" i="57"/>
  <c r="M77" i="57"/>
  <c r="O9" i="57"/>
  <c r="O85" i="57" s="1"/>
  <c r="M85" i="57" s="1"/>
  <c r="O92" i="57" l="1"/>
  <c r="O93" i="57"/>
  <c r="O94" i="57" s="1"/>
  <c r="O81" i="57"/>
  <c r="N85" i="57"/>
  <c r="N84" i="57" s="1"/>
  <c r="N87" i="57" s="1"/>
  <c r="N88" i="57" s="1"/>
  <c r="M84" i="57"/>
  <c r="M87" i="57" s="1"/>
  <c r="O77" i="57"/>
  <c r="O87" i="57" l="1"/>
  <c r="O88" i="57" s="1"/>
  <c r="M88" i="57"/>
  <c r="X32" i="57" l="1"/>
  <c r="Q43" i="57"/>
  <c r="Q5" i="57" l="1"/>
  <c r="T13" i="57" s="1"/>
  <c r="Q44" i="57"/>
  <c r="T44" i="57"/>
  <c r="S5" i="57"/>
  <c r="R43" i="57"/>
  <c r="R44" i="57" s="1"/>
  <c r="U5" i="57" l="1"/>
  <c r="X13" i="57" s="1"/>
  <c r="V13" i="57"/>
  <c r="S44" i="57"/>
  <c r="V44" i="57"/>
  <c r="R5" i="57"/>
  <c r="R13" i="57" s="1"/>
  <c r="Q13" i="57"/>
  <c r="U13" i="57" l="1"/>
  <c r="S13" i="57"/>
  <c r="U44" i="57"/>
  <c r="X44" i="57"/>
  <c r="R16" i="57" l="1"/>
  <c r="R17" i="57" s="1"/>
  <c r="S3" i="57"/>
  <c r="P16" i="57"/>
  <c r="Q16" i="57" l="1"/>
  <c r="U26" i="57"/>
  <c r="P3" i="57"/>
  <c r="P11" i="57" s="1"/>
  <c r="P17" i="57"/>
  <c r="T16" i="57" l="1"/>
  <c r="T3" i="57" s="1"/>
  <c r="U3" i="57" s="1"/>
  <c r="S11" i="57"/>
  <c r="Q3" i="57"/>
  <c r="R3" i="57" s="1"/>
  <c r="Q17" i="57"/>
  <c r="S17" i="57"/>
  <c r="V3" i="57" l="1"/>
  <c r="V11" i="57" s="1"/>
  <c r="U17" i="57"/>
  <c r="U11" i="57"/>
  <c r="T11" i="57"/>
  <c r="R11" i="57"/>
  <c r="Q11" i="57"/>
  <c r="W16" i="57"/>
  <c r="Z17" i="57" s="1"/>
  <c r="T17" i="57"/>
  <c r="V17" i="57"/>
  <c r="Y3" i="57" l="1"/>
  <c r="AB11" i="57" s="1"/>
  <c r="W3" i="57"/>
  <c r="X26" i="57"/>
  <c r="W17" i="57"/>
  <c r="AC25" i="57"/>
  <c r="AE25" i="57"/>
  <c r="AE16" i="57" s="1"/>
  <c r="AE3" i="57" s="1"/>
  <c r="Y17" i="57"/>
  <c r="W11" i="57" l="1"/>
  <c r="Z11" i="57"/>
  <c r="AA3" i="57"/>
  <c r="Y11" i="57"/>
  <c r="X3" i="57"/>
  <c r="X11" i="57" s="1"/>
  <c r="X17" i="57"/>
  <c r="AE11" i="57"/>
  <c r="AE17" i="57"/>
  <c r="AD25" i="57"/>
  <c r="AD26" i="57" s="1"/>
  <c r="AC16" i="57"/>
  <c r="AC3" i="57" s="1"/>
  <c r="AD3" i="57" s="1"/>
  <c r="AF25" i="57"/>
  <c r="AF16" i="57" s="1"/>
  <c r="AF3" i="57" s="1"/>
  <c r="AG3" i="57" s="1"/>
  <c r="AH25" i="57"/>
  <c r="AH16" i="57" s="1"/>
  <c r="AH3" i="57" s="1"/>
  <c r="AA11" i="57" l="1"/>
  <c r="AH17" i="57"/>
  <c r="AF17" i="57"/>
  <c r="AC11" i="57"/>
  <c r="AG16" i="57"/>
  <c r="AC17" i="57"/>
  <c r="AD16" i="57"/>
  <c r="AD17" i="57" s="1"/>
  <c r="AI25" i="57"/>
  <c r="AG25" i="57"/>
  <c r="AG26" i="57" s="1"/>
  <c r="AK25" i="57"/>
  <c r="AK16" i="57" s="1"/>
  <c r="AK3" i="57" s="1"/>
  <c r="AD11" i="57" l="1"/>
  <c r="AH11" i="57"/>
  <c r="AG17" i="57"/>
  <c r="AK17" i="57"/>
  <c r="AJ25" i="57"/>
  <c r="AJ26" i="57" s="1"/>
  <c r="AI16" i="57"/>
  <c r="AI3" i="57" s="1"/>
  <c r="AJ3" i="57" s="1"/>
  <c r="AF11" i="57"/>
  <c r="AG11" i="57"/>
  <c r="AL25" i="57"/>
  <c r="AL16" i="57" s="1"/>
  <c r="AN25" i="57"/>
  <c r="AM16" i="57" l="1"/>
  <c r="AL3" i="57"/>
  <c r="AM3" i="57" s="1"/>
  <c r="AL17" i="57"/>
  <c r="AK11" i="57"/>
  <c r="AI17" i="57"/>
  <c r="AJ16" i="57"/>
  <c r="AJ17" i="57" s="1"/>
  <c r="AN16" i="57"/>
  <c r="AN3" i="57" s="1"/>
  <c r="AQ25" i="57"/>
  <c r="AQ16" i="57" s="1"/>
  <c r="AQ3" i="57" s="1"/>
  <c r="AM25" i="57"/>
  <c r="AM26" i="57" s="1"/>
  <c r="AO25" i="57"/>
  <c r="AN17" i="57" l="1"/>
  <c r="AL11" i="57"/>
  <c r="AQ11" i="57"/>
  <c r="AT25" i="57"/>
  <c r="AW25" i="57" s="1"/>
  <c r="AZ25" i="57" s="1"/>
  <c r="BC25" i="57" s="1"/>
  <c r="AN11" i="57"/>
  <c r="AO16" i="57"/>
  <c r="AO3" i="57" s="1"/>
  <c r="AP3" i="57" s="1"/>
  <c r="AR25" i="57"/>
  <c r="AU25" i="57" s="1"/>
  <c r="AX25" i="57" s="1"/>
  <c r="AI11" i="57"/>
  <c r="AJ11" i="57"/>
  <c r="AM17" i="57"/>
  <c r="AQ17" i="57"/>
  <c r="AP25" i="57"/>
  <c r="AP26" i="57" s="1"/>
  <c r="BC16" i="57" l="1"/>
  <c r="AZ16" i="57"/>
  <c r="AX16" i="57"/>
  <c r="AX3" i="57" s="1"/>
  <c r="BA25" i="57"/>
  <c r="AY25" i="57"/>
  <c r="AW16" i="57"/>
  <c r="AV25" i="57"/>
  <c r="AS25" i="57"/>
  <c r="AS26" i="57" s="1"/>
  <c r="AR16" i="57"/>
  <c r="AM11" i="57"/>
  <c r="AO17" i="57"/>
  <c r="AT16" i="57"/>
  <c r="AT3" i="57" s="1"/>
  <c r="AP16" i="57"/>
  <c r="AP17" i="57" s="1"/>
  <c r="AU16" i="57"/>
  <c r="AU3" i="57" s="1"/>
  <c r="BC3" i="57" l="1"/>
  <c r="BC17" i="57"/>
  <c r="BA16" i="57"/>
  <c r="BB16" i="57" s="1"/>
  <c r="BD25" i="57"/>
  <c r="BB25" i="57"/>
  <c r="BB26" i="57" s="1"/>
  <c r="AZ17" i="57"/>
  <c r="AZ3" i="57"/>
  <c r="AV26" i="57"/>
  <c r="AY26" i="57"/>
  <c r="AX11" i="57"/>
  <c r="AW3" i="57"/>
  <c r="AW17" i="57"/>
  <c r="AY16" i="57"/>
  <c r="AX17" i="57"/>
  <c r="AV3" i="57"/>
  <c r="AR17" i="57"/>
  <c r="AR3" i="57"/>
  <c r="AS3" i="57" s="1"/>
  <c r="AS16" i="57"/>
  <c r="AS17" i="57" s="1"/>
  <c r="AT17" i="57"/>
  <c r="AU17" i="57"/>
  <c r="AT11" i="57"/>
  <c r="AO11" i="57"/>
  <c r="AP11" i="57"/>
  <c r="AV16" i="57"/>
  <c r="BA17" i="57" l="1"/>
  <c r="BA3" i="57"/>
  <c r="BA11" i="57" s="1"/>
  <c r="BC11" i="57"/>
  <c r="BD16" i="57"/>
  <c r="BE25" i="57"/>
  <c r="BE26" i="57" s="1"/>
  <c r="BB17" i="57"/>
  <c r="AZ11" i="57"/>
  <c r="AY3" i="57"/>
  <c r="AY11" i="57" s="1"/>
  <c r="AW11" i="57"/>
  <c r="AY17" i="57"/>
  <c r="AR11" i="57"/>
  <c r="AV17" i="57"/>
  <c r="AU11" i="57"/>
  <c r="AV11" i="57"/>
  <c r="AS11" i="57"/>
  <c r="BB3" i="57" l="1"/>
  <c r="BB11" i="57" s="1"/>
  <c r="BD17" i="57"/>
  <c r="BD3" i="57"/>
  <c r="BE16" i="57"/>
  <c r="BE17" i="57" s="1"/>
  <c r="BD11" i="57" l="1"/>
  <c r="BE3" i="57"/>
  <c r="X6" i="57"/>
  <c r="AE40" i="57"/>
  <c r="BE11" i="57" l="1"/>
  <c r="AH40" i="57"/>
  <c r="Y8" i="57" l="1"/>
  <c r="AA8" i="57" s="1"/>
  <c r="AE31" i="57" l="1"/>
  <c r="AC31" i="57"/>
  <c r="AF31" i="57" s="1"/>
  <c r="AI31" i="57" s="1"/>
  <c r="AL31" i="57" s="1"/>
  <c r="AO31" i="57" s="1"/>
  <c r="AR31" i="57" s="1"/>
  <c r="AU31" i="57" s="1"/>
  <c r="AX31" i="57" s="1"/>
  <c r="BA31" i="57" s="1"/>
  <c r="BD31" i="57" s="1"/>
  <c r="AG31" i="57" l="1"/>
  <c r="AH31" i="57"/>
  <c r="AD31" i="57"/>
  <c r="AD32" i="57" s="1"/>
  <c r="AG32" i="57" l="1"/>
  <c r="AK31" i="57"/>
  <c r="AJ31" i="57"/>
  <c r="AJ32" i="57" s="1"/>
  <c r="AC52" i="57"/>
  <c r="AC8" i="57" s="1"/>
  <c r="AD8" i="57" l="1"/>
  <c r="AM31" i="57"/>
  <c r="AM32" i="57" s="1"/>
  <c r="AN31" i="57"/>
  <c r="AD52" i="57"/>
  <c r="AD53" i="57" s="1"/>
  <c r="AE34" i="57"/>
  <c r="AH34" i="57" s="1"/>
  <c r="AE52" i="57"/>
  <c r="AE8" i="57" s="1"/>
  <c r="AF52" i="57"/>
  <c r="AF8" i="57" s="1"/>
  <c r="AG8" i="57" l="1"/>
  <c r="AK34" i="57"/>
  <c r="AQ31" i="57"/>
  <c r="AP31" i="57"/>
  <c r="AP32" i="57" s="1"/>
  <c r="AG52" i="57"/>
  <c r="AG53" i="57" s="1"/>
  <c r="AI52" i="57"/>
  <c r="AI8" i="57" s="1"/>
  <c r="AH52" i="57"/>
  <c r="AH8" i="57" s="1"/>
  <c r="AJ8" i="57" l="1"/>
  <c r="AN34" i="57"/>
  <c r="AT31" i="57"/>
  <c r="AS31" i="57"/>
  <c r="AS32" i="57" s="1"/>
  <c r="AL52" i="57"/>
  <c r="AL8" i="57" s="1"/>
  <c r="AJ52" i="57"/>
  <c r="AJ53" i="57" s="1"/>
  <c r="AK52" i="57"/>
  <c r="AK8" i="57" s="1"/>
  <c r="AV31" i="57" l="1"/>
  <c r="AV32" i="57" s="1"/>
  <c r="AW31" i="57"/>
  <c r="AZ31" i="57" s="1"/>
  <c r="BC31" i="57" s="1"/>
  <c r="AM8" i="57"/>
  <c r="AQ34" i="57"/>
  <c r="AM52" i="57"/>
  <c r="AM53" i="57" s="1"/>
  <c r="AN52" i="57"/>
  <c r="AN8" i="57" s="1"/>
  <c r="AO52" i="57"/>
  <c r="AO8" i="57" s="1"/>
  <c r="BE31" i="57" l="1"/>
  <c r="BB31" i="57"/>
  <c r="AY31" i="57"/>
  <c r="AY32" i="57" s="1"/>
  <c r="AP8" i="57"/>
  <c r="AT34" i="57"/>
  <c r="AR52" i="57"/>
  <c r="AR8" i="57" s="1"/>
  <c r="AP52" i="57"/>
  <c r="AP53" i="57" s="1"/>
  <c r="AQ52" i="57"/>
  <c r="AQ8" i="57" s="1"/>
  <c r="BE32" i="57" l="1"/>
  <c r="BB32" i="57"/>
  <c r="AW34" i="57"/>
  <c r="AZ34" i="57" s="1"/>
  <c r="BC34" i="57" s="1"/>
  <c r="AS8" i="57"/>
  <c r="AS52" i="57"/>
  <c r="AS53" i="57" s="1"/>
  <c r="AT52" i="57"/>
  <c r="AU52" i="57"/>
  <c r="AT8" i="57" l="1"/>
  <c r="AW52" i="57"/>
  <c r="AU8" i="57"/>
  <c r="AX52" i="57"/>
  <c r="BA52" i="57" s="1"/>
  <c r="AV52" i="57"/>
  <c r="AV53" i="57" s="1"/>
  <c r="AK40" i="57"/>
  <c r="BA8" i="57" l="1"/>
  <c r="BD52" i="57"/>
  <c r="BD8" i="57" s="1"/>
  <c r="AW8" i="57"/>
  <c r="AZ52" i="57"/>
  <c r="BC52" i="57" s="1"/>
  <c r="AV8" i="57"/>
  <c r="AY52" i="57"/>
  <c r="AY53" i="57" s="1"/>
  <c r="AX8" i="57"/>
  <c r="BC8" i="57" l="1"/>
  <c r="BE8" i="57" s="1"/>
  <c r="BE52" i="57"/>
  <c r="AY8" i="57"/>
  <c r="BB52" i="57"/>
  <c r="BB53" i="57" s="1"/>
  <c r="AZ8" i="57"/>
  <c r="BB8" i="57" s="1"/>
  <c r="AN40" i="57"/>
  <c r="BE53" i="57" l="1"/>
  <c r="AQ40" i="57"/>
  <c r="AT40" i="57" l="1"/>
  <c r="AW40" i="57" s="1"/>
  <c r="AZ40" i="57" s="1"/>
  <c r="BC40" i="57" s="1"/>
  <c r="DP87" i="7" l="1"/>
  <c r="CI4" i="8"/>
  <c r="CI10" i="8" s="1"/>
  <c r="CJ4" i="8"/>
  <c r="CJ10" i="8" s="1"/>
  <c r="CJ69" i="7"/>
  <c r="CI69" i="7" s="1"/>
  <c r="CI74" i="7"/>
  <c r="CJ74" i="7"/>
  <c r="CI155" i="7"/>
  <c r="CJ155" i="7"/>
  <c r="CL155" i="7"/>
  <c r="CM155" i="7"/>
  <c r="CI162" i="7"/>
  <c r="CJ162" i="7"/>
  <c r="CI173" i="7"/>
  <c r="CK173" i="7"/>
  <c r="CH177" i="7"/>
  <c r="CI177" i="7"/>
  <c r="CJ179" i="7"/>
  <c r="CJ183" i="7" s="1"/>
  <c r="CI183" i="7" s="1"/>
  <c r="CI337" i="7"/>
  <c r="CJ337" i="7"/>
  <c r="CI339" i="7"/>
  <c r="CJ339" i="7"/>
  <c r="CI179" i="7" l="1"/>
  <c r="CM154" i="7"/>
  <c r="CJ161" i="7"/>
  <c r="CJ154" i="7"/>
  <c r="CJ186" i="7"/>
  <c r="CI186" i="7" s="1"/>
  <c r="DP87" i="45"/>
  <c r="DR87" i="7"/>
  <c r="CI70" i="7"/>
  <c r="CI154" i="7"/>
  <c r="CL154" i="7"/>
  <c r="CI161" i="7"/>
  <c r="CI172" i="7"/>
  <c r="CK172" i="7"/>
  <c r="CJ61" i="7"/>
  <c r="CJ70" i="7"/>
  <c r="DU87" i="7" l="1"/>
  <c r="DV87" i="7" s="1"/>
  <c r="CJ62" i="7"/>
  <c r="CJ55" i="7"/>
  <c r="CJ153" i="7"/>
  <c r="CI61" i="7"/>
  <c r="CM153" i="7"/>
  <c r="CJ160" i="7"/>
  <c r="CJ552" i="7"/>
  <c r="CI153" i="7" l="1"/>
  <c r="CL153" i="7"/>
  <c r="CI160" i="7"/>
  <c r="CI171" i="7"/>
  <c r="CI62" i="7"/>
  <c r="CK171" i="7"/>
  <c r="CI552" i="7"/>
  <c r="CI55" i="7"/>
  <c r="CJ56" i="7"/>
  <c r="CJ152" i="7"/>
  <c r="CJ159" i="7"/>
  <c r="CM152" i="7"/>
  <c r="DT87" i="7" l="1"/>
  <c r="DS87" i="7" s="1"/>
  <c r="CI170" i="7"/>
  <c r="CK170" i="7"/>
  <c r="CI152" i="7"/>
  <c r="CI159" i="7"/>
  <c r="CL152" i="7"/>
  <c r="CI56" i="7"/>
  <c r="EA87" i="7" l="1"/>
  <c r="EA97" i="45"/>
  <c r="EC87" i="45"/>
  <c r="EC97" i="45" s="1"/>
  <c r="EC88" i="7" s="1"/>
  <c r="ED87" i="45"/>
  <c r="DZ87" i="45"/>
  <c r="EB97" i="45" l="1"/>
  <c r="EA88" i="7"/>
  <c r="EB88" i="7" s="1"/>
  <c r="ED87" i="7"/>
  <c r="ED97" i="45"/>
  <c r="ED88" i="7" s="1"/>
  <c r="EC87" i="7"/>
  <c r="DZ87" i="7"/>
  <c r="EG87" i="45"/>
  <c r="EE87" i="45"/>
  <c r="EA86" i="7" l="1"/>
  <c r="ED86" i="7"/>
  <c r="EG87" i="7"/>
  <c r="EG97" i="45"/>
  <c r="EG88" i="7" s="1"/>
  <c r="DY87" i="7"/>
  <c r="EB87" i="7"/>
  <c r="EC86" i="7"/>
  <c r="EJ87" i="45"/>
  <c r="EH87" i="45"/>
  <c r="EI87" i="45" s="1"/>
  <c r="EI97" i="45" s="1"/>
  <c r="EF87" i="45"/>
  <c r="EF97" i="45" s="1"/>
  <c r="EB86" i="7" l="1"/>
  <c r="EG86" i="7"/>
  <c r="EE97" i="45"/>
  <c r="EF88" i="7"/>
  <c r="EE88" i="7" s="1"/>
  <c r="EH97" i="45"/>
  <c r="EI88" i="7"/>
  <c r="EH88" i="7" s="1"/>
  <c r="EJ87" i="7"/>
  <c r="EJ97" i="45"/>
  <c r="EF87" i="7"/>
  <c r="EI87" i="7"/>
  <c r="EK87" i="45"/>
  <c r="EL87" i="45" s="1"/>
  <c r="EL97" i="45" s="1"/>
  <c r="EL88" i="7" s="1"/>
  <c r="EM87" i="45"/>
  <c r="EK97" i="45" l="1"/>
  <c r="EJ88" i="7"/>
  <c r="EK88" i="7" s="1"/>
  <c r="EM87" i="7"/>
  <c r="EM97" i="45"/>
  <c r="EL87" i="7"/>
  <c r="EH87" i="7"/>
  <c r="EI86" i="7"/>
  <c r="EH86" i="7" s="1"/>
  <c r="EE87" i="7"/>
  <c r="EF86" i="7"/>
  <c r="EE86" i="7" s="1"/>
  <c r="EP87" i="45"/>
  <c r="EP97" i="45" s="1"/>
  <c r="EP88" i="7" s="1"/>
  <c r="EN87" i="45"/>
  <c r="EJ86" i="7" l="1"/>
  <c r="EM88" i="7"/>
  <c r="EP87" i="7"/>
  <c r="EP86" i="7" s="1"/>
  <c r="ES87" i="45"/>
  <c r="ES97" i="45" s="1"/>
  <c r="ES88" i="7" s="1"/>
  <c r="EK87" i="7"/>
  <c r="EL86" i="7"/>
  <c r="EQ87" i="45"/>
  <c r="ET87" i="45" s="1"/>
  <c r="EW87" i="45" s="1"/>
  <c r="EZ87" i="45" s="1"/>
  <c r="EO87" i="45"/>
  <c r="EO97" i="45" s="1"/>
  <c r="EO88" i="7" s="1"/>
  <c r="DF26" i="8"/>
  <c r="DH26" i="8" s="1"/>
  <c r="DH28" i="8" s="1"/>
  <c r="CT27" i="8"/>
  <c r="CT28" i="8" s="1"/>
  <c r="CU27" i="8"/>
  <c r="CU28" i="8" s="1"/>
  <c r="CT55" i="8"/>
  <c r="CT66" i="7" s="1"/>
  <c r="CT155" i="8" s="1"/>
  <c r="CU55" i="8"/>
  <c r="CV55" i="8"/>
  <c r="CV66" i="7" s="1"/>
  <c r="CV155" i="8" s="1"/>
  <c r="EK86" i="7" l="1"/>
  <c r="EN88" i="7"/>
  <c r="EN97" i="45"/>
  <c r="EM86" i="7"/>
  <c r="ES87" i="7"/>
  <c r="ES86" i="7" s="1"/>
  <c r="EV87" i="45"/>
  <c r="EU87" i="45"/>
  <c r="DF28" i="8"/>
  <c r="CV27" i="8"/>
  <c r="CV28" i="8" s="1"/>
  <c r="DF58" i="7"/>
  <c r="DF57" i="7" s="1"/>
  <c r="DF181" i="7" s="1"/>
  <c r="DF183" i="7" s="1"/>
  <c r="DF186" i="7" s="1"/>
  <c r="DH58" i="7"/>
  <c r="DH57" i="7" s="1"/>
  <c r="CV65" i="7"/>
  <c r="CV63" i="7" s="1"/>
  <c r="ER87" i="45"/>
  <c r="ER97" i="45" s="1"/>
  <c r="CU66" i="7"/>
  <c r="CU155" i="8" s="1"/>
  <c r="CT65" i="7"/>
  <c r="CT63" i="7" s="1"/>
  <c r="CT61" i="7" s="1"/>
  <c r="CW153" i="7" s="1"/>
  <c r="EO87" i="7"/>
  <c r="EV97" i="45" l="1"/>
  <c r="EV88" i="7" s="1"/>
  <c r="EY87" i="45"/>
  <c r="EQ97" i="45"/>
  <c r="ER88" i="7"/>
  <c r="EQ88" i="7" s="1"/>
  <c r="EU87" i="7"/>
  <c r="EU97" i="45"/>
  <c r="EX87" i="45"/>
  <c r="EX97" i="45" s="1"/>
  <c r="EV87" i="7"/>
  <c r="DF55" i="7"/>
  <c r="DF155" i="8"/>
  <c r="CV181" i="7"/>
  <c r="CV183" i="7" s="1"/>
  <c r="CV61" i="7"/>
  <c r="CY153" i="7" s="1"/>
  <c r="DH181" i="7"/>
  <c r="DH183" i="7" s="1"/>
  <c r="DG183" i="7" s="1"/>
  <c r="DG57" i="7"/>
  <c r="DG155" i="8" s="1"/>
  <c r="DH55" i="7"/>
  <c r="DH155" i="8"/>
  <c r="DG58" i="7"/>
  <c r="ER87" i="7"/>
  <c r="EQ87" i="7" s="1"/>
  <c r="CT153" i="7"/>
  <c r="CU65" i="7"/>
  <c r="CT160" i="7"/>
  <c r="CT171" i="7"/>
  <c r="CT55" i="7"/>
  <c r="CU63" i="7"/>
  <c r="CT181" i="7"/>
  <c r="CT183" i="7" s="1"/>
  <c r="CT186" i="7" s="1"/>
  <c r="CT552" i="7"/>
  <c r="CT557" i="7" s="1"/>
  <c r="CT579" i="7" s="1"/>
  <c r="CT62" i="7"/>
  <c r="EN87" i="7"/>
  <c r="EO86" i="7"/>
  <c r="EN86" i="7" s="1"/>
  <c r="EV86" i="7" l="1"/>
  <c r="EY87" i="7"/>
  <c r="EY97" i="45"/>
  <c r="EY88" i="7" s="1"/>
  <c r="FA87" i="45"/>
  <c r="Y8" i="9"/>
  <c r="EW97" i="45"/>
  <c r="EX88" i="7"/>
  <c r="EW88" i="7" s="1"/>
  <c r="ET97" i="45"/>
  <c r="EU88" i="7"/>
  <c r="ET88" i="7" s="1"/>
  <c r="ET87" i="7"/>
  <c r="EX87" i="7"/>
  <c r="DF159" i="7"/>
  <c r="CV552" i="7"/>
  <c r="CV557" i="7" s="1"/>
  <c r="CV579" i="7" s="1"/>
  <c r="CV160" i="7"/>
  <c r="CU61" i="7"/>
  <c r="CX153" i="7" s="1"/>
  <c r="CV153" i="7"/>
  <c r="CV62" i="7"/>
  <c r="CV55" i="7"/>
  <c r="DF170" i="7"/>
  <c r="DF152" i="7"/>
  <c r="DF56" i="7"/>
  <c r="DF53" i="7"/>
  <c r="DF43" i="7" s="1"/>
  <c r="DI152" i="7"/>
  <c r="DK152" i="7"/>
  <c r="DH159" i="7"/>
  <c r="DH56" i="7"/>
  <c r="DH152" i="7"/>
  <c r="DH53" i="7"/>
  <c r="DG55" i="7"/>
  <c r="DH186" i="7"/>
  <c r="DG186" i="7" s="1"/>
  <c r="DG181" i="7"/>
  <c r="ER86" i="7"/>
  <c r="EQ86" i="7" s="1"/>
  <c r="CT56" i="7"/>
  <c r="CT170" i="7"/>
  <c r="CW152" i="7"/>
  <c r="CT159" i="7"/>
  <c r="CT53" i="7"/>
  <c r="CT43" i="7" s="1"/>
  <c r="CT152" i="7"/>
  <c r="CU181" i="7"/>
  <c r="CV186" i="7"/>
  <c r="CU186" i="7" s="1"/>
  <c r="CU183" i="7"/>
  <c r="FA87" i="7" l="1"/>
  <c r="FA97" i="45"/>
  <c r="EY86" i="7"/>
  <c r="DG170" i="7"/>
  <c r="EU86" i="7"/>
  <c r="ET86" i="7" s="1"/>
  <c r="EX86" i="7"/>
  <c r="EW86" i="7" s="1"/>
  <c r="EW87" i="7"/>
  <c r="CW171" i="7"/>
  <c r="CU55" i="7"/>
  <c r="CU56" i="7" s="1"/>
  <c r="CU160" i="7"/>
  <c r="CU171" i="7"/>
  <c r="CU153" i="7"/>
  <c r="CU552" i="7"/>
  <c r="CU557" i="7" s="1"/>
  <c r="CU579" i="7" s="1"/>
  <c r="CV56" i="7"/>
  <c r="CY152" i="7"/>
  <c r="CV159" i="7"/>
  <c r="CU62" i="7"/>
  <c r="CV53" i="7"/>
  <c r="CV43" i="7" s="1"/>
  <c r="CU43" i="7" s="1"/>
  <c r="CV152" i="7"/>
  <c r="DH43" i="7"/>
  <c r="DG53" i="7"/>
  <c r="DG56" i="7"/>
  <c r="DG152" i="7"/>
  <c r="DI170" i="7"/>
  <c r="DJ152" i="7"/>
  <c r="DG159" i="7"/>
  <c r="EZ97" i="45" l="1"/>
  <c r="FA88" i="7"/>
  <c r="EZ88" i="7" s="1"/>
  <c r="EZ87" i="7"/>
  <c r="CX152" i="7"/>
  <c r="CW170" i="7"/>
  <c r="CU53" i="7"/>
  <c r="CU152" i="7"/>
  <c r="CU159" i="7"/>
  <c r="CU170" i="7"/>
  <c r="DG43" i="7"/>
  <c r="FA86" i="7" l="1"/>
  <c r="EZ86" i="7" s="1"/>
  <c r="CB33" i="7" l="1"/>
  <c r="CB42" i="7" s="1"/>
  <c r="CB53" i="7" s="1"/>
  <c r="CB43" i="7" s="1"/>
  <c r="CD33" i="7" l="1"/>
  <c r="CB32" i="7"/>
  <c r="CD42" i="7" l="1"/>
  <c r="CD32" i="7"/>
  <c r="CC42" i="7" l="1"/>
  <c r="CC53" i="7" s="1"/>
  <c r="CD53" i="7"/>
  <c r="CD43" i="7" s="1"/>
  <c r="CC43" i="7" s="1"/>
  <c r="DL91" i="7" l="1"/>
  <c r="DM87" i="45" l="1"/>
  <c r="DN87" i="7"/>
  <c r="DN86" i="7" s="1"/>
  <c r="DM86" i="7" s="1"/>
  <c r="DL17" i="7"/>
  <c r="DL5" i="8"/>
  <c r="DL11" i="8" s="1"/>
  <c r="DL11" i="7"/>
  <c r="DL12" i="7" s="1"/>
  <c r="DL177" i="8"/>
  <c r="DL157" i="7"/>
  <c r="DL174" i="7"/>
  <c r="DL163" i="7"/>
  <c r="DL338" i="7"/>
  <c r="DM87" i="7" l="1"/>
  <c r="DN91" i="7"/>
  <c r="DL15" i="7"/>
  <c r="DP89" i="7"/>
  <c r="DN11" i="7" l="1"/>
  <c r="DN17" i="7"/>
  <c r="DN338" i="7"/>
  <c r="DM91" i="7"/>
  <c r="DN5" i="8"/>
  <c r="DN11" i="8" s="1"/>
  <c r="DN157" i="7"/>
  <c r="DL359" i="7"/>
  <c r="DL358" i="7"/>
  <c r="DS89" i="7"/>
  <c r="DN12" i="7" l="1"/>
  <c r="M7" i="9" s="1"/>
  <c r="DN15" i="7"/>
  <c r="DM11" i="7"/>
  <c r="DM12" i="7" s="1"/>
  <c r="DM5" i="8"/>
  <c r="DM11" i="8" s="1"/>
  <c r="DM17" i="7"/>
  <c r="DM338" i="7"/>
  <c r="DM174" i="7"/>
  <c r="DM157" i="7"/>
  <c r="DN198" i="8"/>
  <c r="DN358" i="7" l="1"/>
  <c r="DN359" i="7"/>
  <c r="DM15" i="7"/>
  <c r="DM359" i="7"/>
  <c r="DM358" i="7"/>
  <c r="DM205" i="8" s="1"/>
  <c r="DL154" i="8" l="1"/>
  <c r="DP189" i="7" l="1"/>
  <c r="DO26" i="8" l="1"/>
  <c r="DO58" i="7" s="1"/>
  <c r="DO57" i="7" s="1"/>
  <c r="DO181" i="7" l="1"/>
  <c r="DO28" i="8"/>
  <c r="DO145" i="7"/>
  <c r="DO176" i="8"/>
  <c r="DO174" i="8" s="1"/>
  <c r="DO291" i="7"/>
  <c r="DO179" i="8" s="1"/>
  <c r="DO315" i="7"/>
  <c r="DO317" i="7" l="1"/>
  <c r="DO520" i="7" s="1"/>
  <c r="DO286" i="7"/>
  <c r="DO115" i="8" s="1"/>
  <c r="DO116" i="8" s="1"/>
  <c r="DO117" i="8" s="1"/>
  <c r="DO560" i="7"/>
  <c r="DO562" i="7" s="1"/>
  <c r="DO217" i="7"/>
  <c r="DO42" i="8"/>
  <c r="DO44" i="8"/>
  <c r="DO245" i="7"/>
  <c r="DO568" i="7" s="1"/>
  <c r="DO132" i="8"/>
  <c r="DO322" i="7" l="1"/>
  <c r="DO324" i="7"/>
  <c r="DO323" i="7"/>
  <c r="DO299" i="7"/>
  <c r="DO575" i="7"/>
  <c r="DO46" i="8"/>
  <c r="DO49" i="8" s="1"/>
  <c r="DO133" i="8"/>
  <c r="DO45" i="8"/>
  <c r="DO522" i="7" l="1"/>
  <c r="DO18" i="8"/>
  <c r="DO77" i="7"/>
  <c r="DO75" i="7" l="1"/>
  <c r="DO167" i="7"/>
  <c r="DO73" i="7" l="1"/>
  <c r="AD9" i="9" s="1"/>
  <c r="DO4" i="8" l="1"/>
  <c r="DO10" i="8" s="1"/>
  <c r="DO69" i="7"/>
  <c r="DO173" i="7"/>
  <c r="DO179" i="7"/>
  <c r="DO183" i="7" s="1"/>
  <c r="DO155" i="7"/>
  <c r="DO325" i="7"/>
  <c r="DO339" i="7"/>
  <c r="DO518" i="7"/>
  <c r="DO61" i="7" l="1"/>
  <c r="DO172" i="7"/>
  <c r="DO154" i="7"/>
  <c r="DO55" i="7" l="1"/>
  <c r="DO171" i="7"/>
  <c r="DO153" i="7"/>
  <c r="DO552" i="7"/>
  <c r="AD8" i="9" l="1"/>
  <c r="DO170" i="7"/>
  <c r="DO152" i="7"/>
  <c r="DO229" i="7"/>
  <c r="DO234" i="7" l="1"/>
  <c r="DO242" i="7" s="1"/>
  <c r="DO564" i="7" s="1"/>
  <c r="DO332" i="7" l="1"/>
  <c r="DO260" i="7"/>
  <c r="DO261" i="7" s="1"/>
  <c r="DO337" i="7" s="1"/>
  <c r="DO263" i="7"/>
  <c r="DO184" i="7" s="1"/>
  <c r="DO390" i="7" l="1"/>
  <c r="DO25" i="7" l="1"/>
  <c r="DO393" i="7"/>
  <c r="DQ393" i="7" s="1"/>
  <c r="DP391" i="7"/>
  <c r="DO20" i="7" l="1"/>
  <c r="DQ391" i="7"/>
  <c r="DR393" i="7" l="1"/>
  <c r="DV390" i="7" l="1"/>
  <c r="DX390" i="7" l="1"/>
  <c r="DV25" i="7"/>
  <c r="DW25" i="7" l="1"/>
  <c r="DY390" i="7"/>
  <c r="DZ390" i="7" l="1"/>
  <c r="EA390" i="7" l="1"/>
  <c r="EB390" i="7" l="1"/>
  <c r="EC390" i="7" l="1"/>
  <c r="ED390" i="7" l="1"/>
  <c r="EE390" i="7" l="1"/>
  <c r="EF390" i="7" l="1"/>
  <c r="EG390" i="7" l="1"/>
  <c r="EH390" i="7" l="1"/>
  <c r="EI390" i="7" l="1"/>
  <c r="EJ390" i="7" l="1"/>
  <c r="EK390" i="7" l="1"/>
  <c r="EL390" i="7" l="1"/>
  <c r="EM390" i="7" l="1"/>
  <c r="EN390" i="7" l="1"/>
  <c r="EO390" i="7" l="1"/>
  <c r="EP390" i="7" l="1"/>
  <c r="EQ390" i="7" l="1"/>
  <c r="ER390" i="7" l="1"/>
  <c r="DQ88" i="7"/>
  <c r="DP88" i="7" s="1"/>
  <c r="DQ175" i="8"/>
  <c r="DP175" i="8"/>
  <c r="ES390" i="7" l="1"/>
  <c r="DT88" i="7"/>
  <c r="DT86" i="7" s="1"/>
  <c r="DS97" i="45"/>
  <c r="DR106" i="45"/>
  <c r="EC135" i="8" l="1"/>
  <c r="ED135" i="8" s="1"/>
  <c r="EE135" i="8" s="1"/>
  <c r="EF135" i="8" s="1"/>
  <c r="ET390" i="7"/>
  <c r="DR107" i="45"/>
  <c r="DR88" i="7"/>
  <c r="DU106" i="45"/>
  <c r="DX107" i="45" s="1"/>
  <c r="EG135" i="8" l="1"/>
  <c r="EH135" i="8" s="1"/>
  <c r="EI135" i="8" s="1"/>
  <c r="EJ135" i="8" s="1"/>
  <c r="EK135" i="8" s="1"/>
  <c r="EL135" i="8" s="1"/>
  <c r="EM135" i="8" s="1"/>
  <c r="EN135" i="8" s="1"/>
  <c r="EO135" i="8" s="1"/>
  <c r="EP135" i="8" s="1"/>
  <c r="EQ135" i="8" s="1"/>
  <c r="ER135" i="8" s="1"/>
  <c r="ES135" i="8" s="1"/>
  <c r="ET135" i="8" s="1"/>
  <c r="EU135" i="8" s="1"/>
  <c r="EV135" i="8" s="1"/>
  <c r="EW135" i="8" s="1"/>
  <c r="EX135" i="8" s="1"/>
  <c r="EY135" i="8" s="1"/>
  <c r="EZ135" i="8" s="1"/>
  <c r="FA135" i="8" s="1"/>
  <c r="AH44" i="9"/>
  <c r="DW572" i="7"/>
  <c r="DV572" i="7"/>
  <c r="EU390" i="7"/>
  <c r="EV390" i="7" s="1"/>
  <c r="EW390" i="7" s="1"/>
  <c r="EX390" i="7" s="1"/>
  <c r="EY390" i="7" s="1"/>
  <c r="EZ390" i="7" s="1"/>
  <c r="FA390" i="7" s="1"/>
  <c r="DZ88" i="7"/>
  <c r="DZ86" i="7" s="1"/>
  <c r="DS88" i="7"/>
  <c r="DR86" i="7"/>
  <c r="DS86" i="7" s="1"/>
  <c r="DU88" i="7"/>
  <c r="DV88" i="7" s="1"/>
  <c r="DU107" i="45"/>
  <c r="DX86" i="7" l="1"/>
  <c r="DX91" i="7" s="1"/>
  <c r="DX5" i="8" s="1"/>
  <c r="DX11" i="8" s="1"/>
  <c r="DU86" i="7"/>
  <c r="DV86" i="7" s="1"/>
  <c r="DY88" i="7" l="1"/>
  <c r="DY251" i="7" l="1"/>
  <c r="DZ251" i="7" s="1"/>
  <c r="DY86" i="7"/>
  <c r="DT169" i="45"/>
  <c r="DW170" i="45" s="1"/>
  <c r="DS106" i="45"/>
  <c r="DT173" i="45"/>
  <c r="DT106" i="45"/>
  <c r="DW107" i="45" s="1"/>
  <c r="DS107" i="45" l="1"/>
  <c r="DV107" i="45"/>
  <c r="DX572" i="7"/>
  <c r="DT170" i="45"/>
  <c r="DT107" i="45"/>
  <c r="DY106" i="45" l="1"/>
  <c r="DZ170" i="45" l="1"/>
  <c r="DZ106" i="45"/>
  <c r="DZ107" i="45" s="1"/>
  <c r="DY107" i="45"/>
  <c r="DO241" i="45" l="1"/>
  <c r="DO226" i="45" l="1"/>
  <c r="DO109" i="45" s="1"/>
  <c r="DP241" i="45"/>
  <c r="DR241" i="45"/>
  <c r="DO227" i="45" l="1"/>
  <c r="DR226" i="45"/>
  <c r="DU241" i="45"/>
  <c r="DX241" i="45" s="1"/>
  <c r="DX226" i="45" s="1"/>
  <c r="DP226" i="45"/>
  <c r="DS241" i="45"/>
  <c r="DV241" i="45" s="1"/>
  <c r="DV226" i="45" s="1"/>
  <c r="DP242" i="45"/>
  <c r="DO260" i="45"/>
  <c r="DO195" i="45" l="1"/>
  <c r="DO269" i="45"/>
  <c r="DO110" i="45" s="1"/>
  <c r="DS226" i="45"/>
  <c r="DV227" i="45" s="1"/>
  <c r="DP227" i="45"/>
  <c r="DQ226" i="45"/>
  <c r="DU226" i="45"/>
  <c r="DW226" i="45" s="1"/>
  <c r="DR227" i="45"/>
  <c r="DX227" i="45" l="1"/>
  <c r="DW241" i="45"/>
  <c r="DW238" i="45" s="1"/>
  <c r="DR260" i="45"/>
  <c r="EA241" i="45"/>
  <c r="DU227" i="45"/>
  <c r="DQ241" i="45"/>
  <c r="DQ242" i="45" s="1"/>
  <c r="DQ227" i="45"/>
  <c r="DO192" i="45"/>
  <c r="DO193" i="45" s="1"/>
  <c r="DO196" i="45"/>
  <c r="DY241" i="45"/>
  <c r="DS227" i="45"/>
  <c r="DO505" i="7"/>
  <c r="DT226" i="45"/>
  <c r="DW227" i="45" s="1"/>
  <c r="DP260" i="45"/>
  <c r="DQ260" i="45"/>
  <c r="DO504" i="7"/>
  <c r="DS260" i="45" l="1"/>
  <c r="DY226" i="45"/>
  <c r="EB241" i="45"/>
  <c r="DP109" i="45"/>
  <c r="DP195" i="45"/>
  <c r="DP269" i="45"/>
  <c r="DP110" i="45" s="1"/>
  <c r="DQ238" i="45"/>
  <c r="DT260" i="45"/>
  <c r="DT241" i="45"/>
  <c r="DT242" i="45" s="1"/>
  <c r="DT227" i="45"/>
  <c r="EA226" i="45"/>
  <c r="ED241" i="45"/>
  <c r="DW242" i="45" l="1"/>
  <c r="DQ195" i="45"/>
  <c r="DQ269" i="45"/>
  <c r="DQ110" i="45" s="1"/>
  <c r="DT238" i="45"/>
  <c r="DY227" i="45"/>
  <c r="DP504" i="7"/>
  <c r="DQ109" i="45"/>
  <c r="N62" i="9" s="1"/>
  <c r="DP505" i="7"/>
  <c r="EB226" i="45"/>
  <c r="EC226" i="45" s="1"/>
  <c r="EE241" i="45"/>
  <c r="DP192" i="45"/>
  <c r="DP193" i="45" s="1"/>
  <c r="DP196" i="45"/>
  <c r="ED226" i="45"/>
  <c r="EG241" i="45"/>
  <c r="EA227" i="45"/>
  <c r="DZ226" i="45"/>
  <c r="AF62" i="9" l="1"/>
  <c r="EG226" i="45" l="1"/>
  <c r="EJ241" i="45"/>
  <c r="DQ505" i="7"/>
  <c r="EE226" i="45"/>
  <c r="EF226" i="45" s="1"/>
  <c r="EH241" i="45"/>
  <c r="EB227" i="45"/>
  <c r="DQ504" i="7"/>
  <c r="DQ192" i="45"/>
  <c r="DQ193" i="45" s="1"/>
  <c r="DQ196" i="45"/>
  <c r="DZ241" i="45"/>
  <c r="DZ242" i="45" s="1"/>
  <c r="DZ227" i="45"/>
  <c r="EC241" i="45"/>
  <c r="EC238" i="45" s="1"/>
  <c r="EC227" i="45"/>
  <c r="ED227" i="45"/>
  <c r="EH226" i="45" l="1"/>
  <c r="EI226" i="45" s="1"/>
  <c r="EK241" i="45"/>
  <c r="EE227" i="45"/>
  <c r="EC242" i="45"/>
  <c r="EJ226" i="45"/>
  <c r="EM241" i="45"/>
  <c r="EF241" i="45"/>
  <c r="EF242" i="45" s="1"/>
  <c r="EF227" i="45"/>
  <c r="DZ238" i="45"/>
  <c r="EG227" i="45"/>
  <c r="EF238" i="45" l="1"/>
  <c r="EM226" i="45"/>
  <c r="EP241" i="45"/>
  <c r="EK226" i="45"/>
  <c r="EL226" i="45" s="1"/>
  <c r="EN241" i="45"/>
  <c r="EH227" i="45"/>
  <c r="EJ227" i="45"/>
  <c r="EI241" i="45"/>
  <c r="EI242" i="45" s="1"/>
  <c r="EI227" i="45"/>
  <c r="EP226" i="45" l="1"/>
  <c r="EP227" i="45" s="1"/>
  <c r="ES241" i="45"/>
  <c r="EL241" i="45"/>
  <c r="EL242" i="45" s="1"/>
  <c r="EL227" i="45"/>
  <c r="EI238" i="45"/>
  <c r="EN226" i="45"/>
  <c r="EO226" i="45" s="1"/>
  <c r="EQ241" i="45"/>
  <c r="EK227" i="45"/>
  <c r="EM227" i="45"/>
  <c r="ES226" i="45" l="1"/>
  <c r="ES227" i="45" s="1"/>
  <c r="EV241" i="45"/>
  <c r="EQ226" i="45"/>
  <c r="ER226" i="45" s="1"/>
  <c r="ER241" i="45" s="1"/>
  <c r="ET241" i="45"/>
  <c r="EL238" i="45"/>
  <c r="EO241" i="45"/>
  <c r="EO242" i="45" s="1"/>
  <c r="EO227" i="45"/>
  <c r="EN227" i="45"/>
  <c r="EV226" i="45" l="1"/>
  <c r="EV227" i="45" s="1"/>
  <c r="EY241" i="45"/>
  <c r="EY226" i="45" s="1"/>
  <c r="ET226" i="45"/>
  <c r="EU226" i="45" s="1"/>
  <c r="EU227" i="45" s="1"/>
  <c r="EW241" i="45"/>
  <c r="ER227" i="45"/>
  <c r="EQ227" i="45"/>
  <c r="EO238" i="45"/>
  <c r="ER242" i="45"/>
  <c r="ER238" i="45"/>
  <c r="EY227" i="45" l="1"/>
  <c r="EW226" i="45"/>
  <c r="EW227" i="45" s="1"/>
  <c r="EZ241" i="45"/>
  <c r="EZ226" i="45" s="1"/>
  <c r="ET227" i="45"/>
  <c r="EU241" i="45"/>
  <c r="EU242" i="45" s="1"/>
  <c r="DR60" i="45"/>
  <c r="EX226" i="45" l="1"/>
  <c r="EX241" i="45" s="1"/>
  <c r="EX242" i="45" s="1"/>
  <c r="EZ227" i="45"/>
  <c r="FA226" i="45"/>
  <c r="FA241" i="45" s="1"/>
  <c r="EU238" i="45"/>
  <c r="EX238" i="45" l="1"/>
  <c r="EX227" i="45"/>
  <c r="FA242" i="45"/>
  <c r="FA227" i="45"/>
  <c r="FA238" i="45"/>
  <c r="DQ373" i="45"/>
  <c r="DT373" i="45"/>
  <c r="DP373" i="45"/>
  <c r="DS373" i="45" l="1"/>
  <c r="DZ372" i="45" l="1"/>
  <c r="DZ373" i="45" s="1"/>
  <c r="DY373" i="45" l="1"/>
  <c r="X8" i="57" l="1"/>
  <c r="DP26" i="8" l="1"/>
  <c r="DP28" i="8" s="1"/>
  <c r="DQ26" i="8" l="1"/>
  <c r="DQ28" i="8" l="1"/>
  <c r="DQ58" i="7"/>
  <c r="DQ57" i="7" l="1"/>
  <c r="DP58" i="7"/>
  <c r="DP57" i="7" l="1"/>
  <c r="DQ181" i="7"/>
  <c r="DO348" i="7"/>
  <c r="DP355" i="7" s="1"/>
  <c r="DQ355" i="7" s="1"/>
  <c r="DO352" i="7"/>
  <c r="DP354" i="7" s="1"/>
  <c r="DQ354" i="7" s="1"/>
  <c r="DP181" i="7" l="1"/>
  <c r="AF20" i="9"/>
  <c r="DP305" i="7"/>
  <c r="DP308" i="7"/>
  <c r="DQ307" i="7"/>
  <c r="DP307" i="7" l="1"/>
  <c r="DQ81" i="7"/>
  <c r="DP180" i="7"/>
  <c r="DP182" i="7"/>
  <c r="DQ20" i="7"/>
  <c r="DQ145" i="7"/>
  <c r="DP145" i="7" s="1"/>
  <c r="DQ176" i="8"/>
  <c r="DQ174" i="8" s="1"/>
  <c r="DQ315" i="7"/>
  <c r="DP316" i="7"/>
  <c r="DP348" i="7"/>
  <c r="DQ348" i="7" s="1"/>
  <c r="DQ203" i="8" s="1"/>
  <c r="DP352" i="7"/>
  <c r="DR354" i="7" s="1"/>
  <c r="N30" i="9" l="1"/>
  <c r="AF56" i="9"/>
  <c r="AF54" i="9" s="1"/>
  <c r="N10" i="9"/>
  <c r="DQ560" i="7"/>
  <c r="DQ562" i="7" s="1"/>
  <c r="DR355" i="7"/>
  <c r="DR307" i="7" s="1"/>
  <c r="DP314" i="7"/>
  <c r="DQ217" i="7"/>
  <c r="DP217" i="7" s="1"/>
  <c r="DQ553" i="7"/>
  <c r="DQ82" i="7"/>
  <c r="DQ519" i="7" s="1"/>
  <c r="DQ179" i="8"/>
  <c r="DQ286" i="7"/>
  <c r="AF50" i="9" s="1"/>
  <c r="DP291" i="7"/>
  <c r="DP179" i="8" s="1"/>
  <c r="DQ25" i="7"/>
  <c r="DQ317" i="7"/>
  <c r="DP315" i="7"/>
  <c r="DQ44" i="8"/>
  <c r="DQ42" i="8"/>
  <c r="DQ245" i="7"/>
  <c r="AF42" i="9" s="1"/>
  <c r="DP247" i="7"/>
  <c r="DP210" i="7"/>
  <c r="DP176" i="8" s="1"/>
  <c r="DP174" i="8" s="1"/>
  <c r="DP208" i="7"/>
  <c r="DP187" i="7"/>
  <c r="DP80" i="7"/>
  <c r="DP20" i="7" l="1"/>
  <c r="N11" i="9"/>
  <c r="DP245" i="7"/>
  <c r="DP568" i="7" s="1"/>
  <c r="DQ568" i="7"/>
  <c r="DQ45" i="8"/>
  <c r="DQ46" i="8"/>
  <c r="DQ49" i="8" s="1"/>
  <c r="DP49" i="8" s="1"/>
  <c r="DQ299" i="7"/>
  <c r="DP299" i="7" s="1"/>
  <c r="DP286" i="7"/>
  <c r="DQ115" i="8" s="1"/>
  <c r="DQ324" i="7"/>
  <c r="DQ323" i="7"/>
  <c r="DQ322" i="7"/>
  <c r="N42" i="9" s="1"/>
  <c r="DQ575" i="7"/>
  <c r="DP317" i="7"/>
  <c r="DP520" i="7" s="1"/>
  <c r="DQ520" i="7"/>
  <c r="DQ521" i="7" s="1"/>
  <c r="DP44" i="8"/>
  <c r="DP46" i="8" s="1"/>
  <c r="DP42" i="8"/>
  <c r="DP45" i="8" s="1"/>
  <c r="DP25" i="7"/>
  <c r="DP560" i="7"/>
  <c r="DP562" i="7" s="1"/>
  <c r="DP132" i="8"/>
  <c r="N41" i="9" l="1"/>
  <c r="N43" i="9" s="1"/>
  <c r="DP133" i="8"/>
  <c r="DQ132" i="8"/>
  <c r="DQ133" i="8" s="1"/>
  <c r="DP324" i="7"/>
  <c r="DQ522" i="7"/>
  <c r="DQ523" i="7" s="1"/>
  <c r="DP115" i="8"/>
  <c r="DP116" i="8" s="1"/>
  <c r="DP323" i="7"/>
  <c r="DP322" i="7"/>
  <c r="DP575" i="7"/>
  <c r="DQ116" i="8" l="1"/>
  <c r="DQ117" i="8" s="1"/>
  <c r="DP117" i="8"/>
  <c r="DP18" i="8" s="1"/>
  <c r="DP522" i="7"/>
  <c r="DQ18" i="8" l="1"/>
  <c r="DQ77" i="7"/>
  <c r="DQ75" i="7" l="1"/>
  <c r="N28" i="9" s="1"/>
  <c r="DP77" i="7"/>
  <c r="DP167" i="7" s="1"/>
  <c r="DQ167" i="7"/>
  <c r="DP75" i="7" l="1"/>
  <c r="DQ554" i="7"/>
  <c r="DQ73" i="7"/>
  <c r="DQ4" i="8" l="1"/>
  <c r="DQ10" i="8" s="1"/>
  <c r="DP73" i="7"/>
  <c r="AE9" i="9" s="1"/>
  <c r="DQ69" i="7"/>
  <c r="DQ179" i="7"/>
  <c r="DQ155" i="7"/>
  <c r="DO177" i="7"/>
  <c r="DQ325" i="7"/>
  <c r="DQ339" i="7"/>
  <c r="DQ518" i="7"/>
  <c r="DQ525" i="7" s="1"/>
  <c r="DP4" i="8" l="1"/>
  <c r="DP10" i="8" s="1"/>
  <c r="DP155" i="7"/>
  <c r="DP173" i="7"/>
  <c r="DP177" i="7"/>
  <c r="DP325" i="7"/>
  <c r="DP339" i="7"/>
  <c r="DP518" i="7"/>
  <c r="DQ61" i="7"/>
  <c r="DP69" i="7"/>
  <c r="DQ154" i="7"/>
  <c r="DP179" i="7"/>
  <c r="DQ183" i="7"/>
  <c r="DP154" i="7" l="1"/>
  <c r="DP172" i="7"/>
  <c r="DQ55" i="7"/>
  <c r="DP61" i="7"/>
  <c r="DQ153" i="7"/>
  <c r="DQ552" i="7"/>
  <c r="DP183" i="7"/>
  <c r="DP171" i="7" l="1"/>
  <c r="DP153" i="7"/>
  <c r="DP552" i="7"/>
  <c r="DP55" i="7"/>
  <c r="DQ152" i="7"/>
  <c r="DP152" i="7" l="1"/>
  <c r="DP170" i="7"/>
  <c r="DQ229" i="7" l="1"/>
  <c r="AF38" i="9" s="1"/>
  <c r="DP230" i="7"/>
  <c r="DQ234" i="7"/>
  <c r="AF39" i="9" s="1"/>
  <c r="DP238" i="7"/>
  <c r="DQ332" i="7" l="1"/>
  <c r="DP229" i="7"/>
  <c r="DQ242" i="7"/>
  <c r="DP234" i="7"/>
  <c r="AF41" i="9" l="1"/>
  <c r="AF40" i="9" s="1"/>
  <c r="DQ564" i="7"/>
  <c r="DP242" i="7"/>
  <c r="DP564" i="7" s="1"/>
  <c r="DP332" i="7"/>
  <c r="DP244" i="7"/>
  <c r="DP184" i="8" s="1"/>
  <c r="DQ260" i="7"/>
  <c r="AF47" i="9" s="1"/>
  <c r="AF46" i="9" l="1"/>
  <c r="AF48" i="9"/>
  <c r="DQ261" i="7"/>
  <c r="DP260" i="7"/>
  <c r="DP261" i="7" l="1"/>
  <c r="DQ337" i="7"/>
  <c r="N38" i="9" s="1"/>
  <c r="DP337" i="7" l="1"/>
  <c r="DQ263" i="7"/>
  <c r="DQ184" i="7" s="1"/>
  <c r="DP264" i="7"/>
  <c r="AF23" i="9" l="1"/>
  <c r="DP184" i="7"/>
  <c r="DP263" i="7"/>
  <c r="V4" i="57" l="1"/>
  <c r="Y4" i="57"/>
  <c r="AB12" i="57" s="1"/>
  <c r="Y5" i="57" l="1"/>
  <c r="AB13" i="57" s="1"/>
  <c r="V7" i="57"/>
  <c r="DR8" i="45" s="1"/>
  <c r="Y13" i="57" l="1"/>
  <c r="Y7" i="57"/>
  <c r="AB14" i="57" s="1"/>
  <c r="Y12" i="57"/>
  <c r="AE37" i="57"/>
  <c r="V9" i="57"/>
  <c r="DX8" i="45" l="1"/>
  <c r="Y9" i="57"/>
  <c r="DU8" i="45"/>
  <c r="V77" i="57"/>
  <c r="V85" i="57"/>
  <c r="V81" i="57"/>
  <c r="DX19" i="45"/>
  <c r="Y14" i="57"/>
  <c r="AE28" i="57"/>
  <c r="AE4" i="57" s="1"/>
  <c r="AE7" i="57" s="1"/>
  <c r="AH37" i="57"/>
  <c r="DR19" i="45"/>
  <c r="DX13" i="45" l="1"/>
  <c r="Y81" i="57"/>
  <c r="AC81" i="57" s="1"/>
  <c r="Y77" i="57"/>
  <c r="AB78" i="57" s="1"/>
  <c r="Y85" i="57"/>
  <c r="AE9" i="57"/>
  <c r="EA8" i="45"/>
  <c r="DU19" i="45"/>
  <c r="AH28" i="57"/>
  <c r="AH4" i="57" s="1"/>
  <c r="AH7" i="57" s="1"/>
  <c r="AK37" i="57"/>
  <c r="AE29" i="57"/>
  <c r="DR64" i="45"/>
  <c r="DX24" i="45" l="1"/>
  <c r="Y78" i="57"/>
  <c r="ED8" i="45"/>
  <c r="AH9" i="57"/>
  <c r="DR65" i="45"/>
  <c r="DR66" i="45"/>
  <c r="DU24" i="45"/>
  <c r="AK28" i="57"/>
  <c r="AK4" i="57" s="1"/>
  <c r="AK7" i="57" s="1"/>
  <c r="AN37" i="57"/>
  <c r="AH29" i="57"/>
  <c r="AE12" i="57"/>
  <c r="EG8" i="45" l="1"/>
  <c r="AK9" i="57"/>
  <c r="AE14" i="57"/>
  <c r="AN28" i="57"/>
  <c r="AN4" i="57" s="1"/>
  <c r="AN7" i="57" s="1"/>
  <c r="AQ37" i="57"/>
  <c r="DU13" i="45"/>
  <c r="AK29" i="57"/>
  <c r="DR154" i="8"/>
  <c r="AH12" i="57"/>
  <c r="AN9" i="57" l="1"/>
  <c r="EJ8" i="45"/>
  <c r="AE80" i="57"/>
  <c r="EA19" i="45"/>
  <c r="AK12" i="57"/>
  <c r="AH14" i="57"/>
  <c r="AQ28" i="57"/>
  <c r="AQ4" i="57" s="1"/>
  <c r="AQ7" i="57" s="1"/>
  <c r="AT37" i="57"/>
  <c r="AW37" i="57" s="1"/>
  <c r="AN29" i="57"/>
  <c r="DR190" i="7"/>
  <c r="DR188" i="7" s="1"/>
  <c r="AW28" i="57" l="1"/>
  <c r="AW4" i="57" s="1"/>
  <c r="AZ37" i="57"/>
  <c r="BC37" i="57" s="1"/>
  <c r="AQ9" i="57"/>
  <c r="EM8" i="45"/>
  <c r="ED19" i="45"/>
  <c r="AH80" i="57"/>
  <c r="EA24" i="45"/>
  <c r="AK14" i="57"/>
  <c r="EA30" i="45"/>
  <c r="AE77" i="57"/>
  <c r="AQ29" i="57"/>
  <c r="AT28" i="57"/>
  <c r="AT4" i="57" s="1"/>
  <c r="AT7" i="57" s="1"/>
  <c r="DR204" i="7"/>
  <c r="DR218" i="7"/>
  <c r="AN12" i="57"/>
  <c r="BC28" i="57" l="1"/>
  <c r="EA40" i="45"/>
  <c r="AZ28" i="57"/>
  <c r="AW12" i="57"/>
  <c r="AW7" i="57"/>
  <c r="AW29" i="57"/>
  <c r="AT9" i="57"/>
  <c r="EP8" i="45"/>
  <c r="EA13" i="45"/>
  <c r="AQ12" i="57"/>
  <c r="AK80" i="57"/>
  <c r="EG19" i="45"/>
  <c r="ED30" i="45"/>
  <c r="AH77" i="57"/>
  <c r="ED24" i="45"/>
  <c r="AN14" i="57"/>
  <c r="AT29" i="57"/>
  <c r="BC4" i="57" l="1"/>
  <c r="BC29" i="57"/>
  <c r="ED40" i="45"/>
  <c r="AZ29" i="57"/>
  <c r="AZ4" i="57"/>
  <c r="AW9" i="57"/>
  <c r="ES8" i="45"/>
  <c r="ES13" i="45" s="1"/>
  <c r="AW14" i="57"/>
  <c r="ED13" i="45"/>
  <c r="EG24" i="45"/>
  <c r="AH78" i="57"/>
  <c r="EG30" i="45"/>
  <c r="AK77" i="57"/>
  <c r="AQ14" i="57"/>
  <c r="EJ19" i="45"/>
  <c r="AN80" i="57"/>
  <c r="AT12" i="57"/>
  <c r="ED35" i="45"/>
  <c r="BC12" i="57" l="1"/>
  <c r="BC7" i="57"/>
  <c r="EG40" i="45"/>
  <c r="AZ12" i="57"/>
  <c r="AZ7" i="57"/>
  <c r="ES19" i="45"/>
  <c r="AW80" i="57"/>
  <c r="EG13" i="45"/>
  <c r="AT14" i="57"/>
  <c r="EJ30" i="45"/>
  <c r="AN77" i="57"/>
  <c r="AQ80" i="57"/>
  <c r="EM19" i="45"/>
  <c r="AK78" i="57"/>
  <c r="EJ24" i="45"/>
  <c r="EG35" i="45"/>
  <c r="EY8" i="45" l="1"/>
  <c r="BC14" i="57"/>
  <c r="BC9" i="57"/>
  <c r="EJ40" i="45"/>
  <c r="AZ14" i="57"/>
  <c r="AZ9" i="57"/>
  <c r="EV8" i="45"/>
  <c r="ES30" i="45"/>
  <c r="AW77" i="57"/>
  <c r="EM30" i="45"/>
  <c r="AQ77" i="57"/>
  <c r="AN78" i="57"/>
  <c r="EP19" i="45"/>
  <c r="AT80" i="57"/>
  <c r="EM24" i="45"/>
  <c r="EJ13" i="45"/>
  <c r="EJ35" i="45"/>
  <c r="EY19" i="45" l="1"/>
  <c r="BC80" i="57"/>
  <c r="EY13" i="45"/>
  <c r="EM40" i="45"/>
  <c r="ES24" i="45"/>
  <c r="ES40" i="45"/>
  <c r="EV13" i="45"/>
  <c r="EV19" i="45"/>
  <c r="AZ80" i="57"/>
  <c r="EM35" i="45"/>
  <c r="EM13" i="45"/>
  <c r="EP30" i="45"/>
  <c r="AT77" i="57"/>
  <c r="AW78" i="57" s="1"/>
  <c r="EP24" i="45"/>
  <c r="AQ78" i="57"/>
  <c r="EY24" i="45" l="1"/>
  <c r="EY30" i="45"/>
  <c r="BC77" i="57"/>
  <c r="EV24" i="45"/>
  <c r="EV30" i="45"/>
  <c r="AZ77" i="57"/>
  <c r="ES35" i="45"/>
  <c r="EP40" i="45"/>
  <c r="AT78" i="57"/>
  <c r="EP13" i="45"/>
  <c r="EP35" i="45"/>
  <c r="BC78" i="57" l="1"/>
  <c r="EY40" i="45"/>
  <c r="EY35" i="45"/>
  <c r="AZ78" i="57"/>
  <c r="EV40" i="45"/>
  <c r="EV35" i="45"/>
  <c r="DR30" i="45"/>
  <c r="V87" i="57"/>
  <c r="DR46" i="45" s="1"/>
  <c r="DR40" i="45" l="1"/>
  <c r="V88" i="57"/>
  <c r="DR56" i="45"/>
  <c r="DU30" i="45" l="1"/>
  <c r="DX30" i="45"/>
  <c r="DX40" i="45" l="1"/>
  <c r="DX35" i="45"/>
  <c r="DW30" i="45"/>
  <c r="DU40" i="45"/>
  <c r="DU35" i="45"/>
  <c r="AE78" i="57" l="1"/>
  <c r="EA35" i="45"/>
  <c r="EL153" i="45" l="1"/>
  <c r="ER153" i="45"/>
  <c r="EF153" i="45"/>
  <c r="EI153" i="45"/>
  <c r="EO153" i="45"/>
  <c r="EC153" i="45"/>
  <c r="EC154" i="45" s="1"/>
  <c r="EO154" i="45" l="1"/>
  <c r="EI154" i="45"/>
  <c r="EF154" i="45"/>
  <c r="ER154" i="45"/>
  <c r="EU154" i="45"/>
  <c r="EL154" i="45"/>
  <c r="DR27" i="8"/>
  <c r="DR55" i="8"/>
  <c r="DR66" i="7" s="1"/>
  <c r="DR65" i="7" s="1"/>
  <c r="DR63" i="7" s="1"/>
  <c r="DR26" i="8"/>
  <c r="DR58" i="7" s="1"/>
  <c r="DR57" i="7" s="1"/>
  <c r="DR260" i="7"/>
  <c r="DR181" i="7" l="1"/>
  <c r="DR155" i="8"/>
  <c r="DR28" i="8"/>
  <c r="DR568" i="7"/>
  <c r="DR42" i="8"/>
  <c r="DR44" i="8"/>
  <c r="DR46" i="8" l="1"/>
  <c r="DR49" i="8" s="1"/>
  <c r="DR45" i="8"/>
  <c r="DR145" i="7"/>
  <c r="DR210" i="7"/>
  <c r="DR176" i="8" s="1"/>
  <c r="DR174" i="8" s="1"/>
  <c r="DR291" i="7"/>
  <c r="DR315" i="7"/>
  <c r="DR560" i="7" s="1"/>
  <c r="DR562" i="7" s="1"/>
  <c r="DR25" i="7" l="1"/>
  <c r="DR317" i="7"/>
  <c r="DR520" i="7" s="1"/>
  <c r="DR179" i="8"/>
  <c r="DR286" i="7"/>
  <c r="DR115" i="8" s="1"/>
  <c r="DR217" i="7"/>
  <c r="DR212" i="7"/>
  <c r="DR211" i="7" s="1"/>
  <c r="DR20" i="7"/>
  <c r="DR116" i="8" l="1"/>
  <c r="DR117" i="8" s="1"/>
  <c r="DS116" i="8"/>
  <c r="DR299" i="7"/>
  <c r="DR323" i="7"/>
  <c r="DR322" i="7"/>
  <c r="DR324" i="7"/>
  <c r="DR575" i="7"/>
  <c r="DR522" i="7" l="1"/>
  <c r="DR18" i="8" l="1"/>
  <c r="DR77" i="7"/>
  <c r="DR75" i="7" l="1"/>
  <c r="DR167" i="7"/>
  <c r="DR73" i="7" l="1"/>
  <c r="AF9" i="9" s="1"/>
  <c r="DR4" i="8" l="1"/>
  <c r="DR10" i="8" s="1"/>
  <c r="DR69" i="7"/>
  <c r="DR173" i="7"/>
  <c r="DR179" i="7"/>
  <c r="DR183" i="7" s="1"/>
  <c r="DR155" i="7"/>
  <c r="DR339" i="7"/>
  <c r="DR518" i="7"/>
  <c r="DR325" i="7"/>
  <c r="DR61" i="7" l="1"/>
  <c r="DR172" i="7"/>
  <c r="DR154" i="7"/>
  <c r="DR55" i="7" l="1"/>
  <c r="DR171" i="7"/>
  <c r="DR153" i="7"/>
  <c r="DR552" i="7"/>
  <c r="DR170" i="7" l="1"/>
  <c r="DR152" i="7"/>
  <c r="DR229" i="7" l="1"/>
  <c r="DR234" i="7"/>
  <c r="DR332" i="7" l="1"/>
  <c r="DR242" i="7"/>
  <c r="DR261" i="7" l="1"/>
  <c r="DR564" i="7"/>
  <c r="DR337" i="7" l="1"/>
  <c r="DR263" i="7" l="1"/>
  <c r="DR184" i="7" s="1"/>
  <c r="W103" i="57" l="1"/>
  <c r="Z103" i="57"/>
  <c r="X98" i="57"/>
  <c r="W104" i="57"/>
  <c r="Z104" i="57"/>
  <c r="X104" i="57" l="1"/>
  <c r="X109" i="57"/>
  <c r="X108" i="57" s="1"/>
  <c r="AA104" i="57"/>
  <c r="DU64" i="45" l="1"/>
  <c r="Y87" i="57"/>
  <c r="AB89" i="57" s="1"/>
  <c r="DU46" i="45" l="1"/>
  <c r="DW46" i="45" s="1"/>
  <c r="AA87" i="57"/>
  <c r="DW64" i="45"/>
  <c r="DW66" i="45" s="1"/>
  <c r="Y89" i="57"/>
  <c r="Y88" i="57"/>
  <c r="DU65" i="45"/>
  <c r="DU56" i="45" l="1"/>
  <c r="DU51" i="45"/>
  <c r="DU127" i="8" l="1"/>
  <c r="DZ127" i="8"/>
  <c r="DR81" i="7"/>
  <c r="DX127" i="8" l="1"/>
  <c r="DX123" i="8" s="1"/>
  <c r="DX122" i="8" s="1"/>
  <c r="DR553" i="7"/>
  <c r="DR82" i="7"/>
  <c r="V91" i="57" s="1"/>
  <c r="DY127" i="8"/>
  <c r="EC127" i="8"/>
  <c r="EA127" i="8" l="1"/>
  <c r="ED127" i="8" s="1"/>
  <c r="EG127" i="8" s="1"/>
  <c r="EJ127" i="8" s="1"/>
  <c r="EM127" i="8" s="1"/>
  <c r="EP127" i="8" s="1"/>
  <c r="ES127" i="8" s="1"/>
  <c r="EV127" i="8" s="1"/>
  <c r="EY127" i="8" s="1"/>
  <c r="V92" i="57"/>
  <c r="V93" i="57"/>
  <c r="DR519" i="7"/>
  <c r="DR554" i="7"/>
  <c r="EF127" i="8"/>
  <c r="EB127" i="8"/>
  <c r="EE127" i="8" l="1"/>
  <c r="EI127" i="8"/>
  <c r="EL127" i="8" l="1"/>
  <c r="EH127" i="8"/>
  <c r="EK127" i="8" l="1"/>
  <c r="EO127" i="8"/>
  <c r="ER127" i="8" l="1"/>
  <c r="EN127" i="8"/>
  <c r="EQ127" i="8" l="1"/>
  <c r="EU127" i="8"/>
  <c r="DR83" i="7"/>
  <c r="ET127" i="8" l="1"/>
  <c r="EX127" i="8"/>
  <c r="DR85" i="7"/>
  <c r="DR91" i="7" s="1"/>
  <c r="DR555" i="7"/>
  <c r="DR556" i="7" s="1"/>
  <c r="DR557" i="7" s="1"/>
  <c r="EW127" i="8" l="1"/>
  <c r="FA127" i="8"/>
  <c r="EZ127" i="8" s="1"/>
  <c r="DR10" i="7"/>
  <c r="DR116" i="7"/>
  <c r="AF10" i="9" s="1"/>
  <c r="DR14" i="7" l="1"/>
  <c r="AF13" i="9" s="1"/>
  <c r="DR5" i="8"/>
  <c r="DR11" i="8" s="1"/>
  <c r="DR177" i="8"/>
  <c r="DR17" i="7"/>
  <c r="DR11" i="7"/>
  <c r="DR338" i="7"/>
  <c r="DR140" i="7"/>
  <c r="DR141" i="7" s="1"/>
  <c r="DR12" i="7" l="1"/>
  <c r="DR15" i="7"/>
  <c r="DR348" i="7" l="1"/>
  <c r="DS355" i="7" l="1"/>
  <c r="DT355" i="7" s="1"/>
  <c r="DR352" i="7"/>
  <c r="DS354" i="7" s="1"/>
  <c r="DT354" i="7" s="1"/>
  <c r="DT307" i="7" l="1"/>
  <c r="DS308" i="7"/>
  <c r="DS305" i="7"/>
  <c r="DS307" i="7" l="1"/>
  <c r="DS122" i="8"/>
  <c r="DT122" i="8"/>
  <c r="CY28" i="45" l="1"/>
  <c r="CY29" i="45"/>
  <c r="CY31" i="45" l="1"/>
  <c r="CY41" i="45" s="1"/>
  <c r="DP163" i="45" l="1"/>
  <c r="DP165" i="45"/>
  <c r="DR103" i="45"/>
  <c r="DR175" i="45"/>
  <c r="DR502" i="7" l="1"/>
  <c r="DR178" i="45"/>
  <c r="DP103" i="45"/>
  <c r="DP175" i="45"/>
  <c r="DP167" i="45"/>
  <c r="DP104" i="45" s="1"/>
  <c r="DP502" i="7" l="1"/>
  <c r="DP178" i="45"/>
  <c r="DP179" i="45" s="1"/>
  <c r="DP176" i="45"/>
  <c r="DP503" i="7" s="1"/>
  <c r="DP118" i="45"/>
  <c r="DP119" i="45" l="1"/>
  <c r="DP121" i="45"/>
  <c r="DP129" i="45"/>
  <c r="DP130" i="45" l="1"/>
  <c r="DP357" i="45"/>
  <c r="DP361" i="45" s="1"/>
  <c r="DP122" i="45"/>
  <c r="DP358" i="45" l="1"/>
  <c r="DR163" i="45" l="1"/>
  <c r="DO163" i="45" l="1"/>
  <c r="DR165" i="45"/>
  <c r="DO165" i="45" l="1"/>
  <c r="DR167" i="45"/>
  <c r="DR104" i="45" s="1"/>
  <c r="DQ163" i="45"/>
  <c r="DQ165" i="45" l="1"/>
  <c r="DO103" i="45"/>
  <c r="DO175" i="45"/>
  <c r="DO167" i="45"/>
  <c r="DO104" i="45" s="1"/>
  <c r="DR176" i="45" l="1"/>
  <c r="DR503" i="7" s="1"/>
  <c r="DO178" i="45"/>
  <c r="DQ175" i="45"/>
  <c r="DO176" i="45"/>
  <c r="DO503" i="7" s="1"/>
  <c r="DO502" i="7"/>
  <c r="DQ167" i="45"/>
  <c r="DQ104" i="45" s="1"/>
  <c r="DQ103" i="45"/>
  <c r="N61" i="9" s="1"/>
  <c r="AF61" i="9" s="1"/>
  <c r="DO118" i="45"/>
  <c r="DO179" i="45" l="1"/>
  <c r="DR179" i="45"/>
  <c r="DO121" i="45"/>
  <c r="DO119" i="45"/>
  <c r="DO129" i="45"/>
  <c r="DO357" i="45" s="1"/>
  <c r="DQ118" i="45"/>
  <c r="DQ178" i="45"/>
  <c r="DQ179" i="45" s="1"/>
  <c r="DQ502" i="7"/>
  <c r="DQ176" i="45"/>
  <c r="DQ503" i="7" s="1"/>
  <c r="DQ119" i="45" l="1"/>
  <c r="DQ121" i="45"/>
  <c r="DO130" i="45"/>
  <c r="DO361" i="45"/>
  <c r="DQ361" i="45" s="1"/>
  <c r="DQ129" i="45"/>
  <c r="DQ130" i="45" s="1"/>
  <c r="DO122" i="45"/>
  <c r="DO358" i="45" l="1"/>
  <c r="DQ357" i="45"/>
  <c r="DQ122" i="45"/>
  <c r="DQ364" i="45" l="1"/>
  <c r="DQ358" i="45"/>
  <c r="DO366" i="45"/>
  <c r="DO364" i="45"/>
  <c r="DP364" i="45" l="1"/>
  <c r="DP366" i="45"/>
  <c r="DQ366" i="45" s="1"/>
  <c r="DO367" i="45"/>
  <c r="DO6" i="45"/>
  <c r="DO375" i="45"/>
  <c r="DO391" i="45" l="1"/>
  <c r="DO398" i="45"/>
  <c r="DO61" i="45" s="1"/>
  <c r="DP375" i="45"/>
  <c r="DP6" i="45"/>
  <c r="DP11" i="45" s="1"/>
  <c r="DP367" i="45"/>
  <c r="DQ367" i="45"/>
  <c r="DO376" i="45"/>
  <c r="DO17" i="45"/>
  <c r="DO11" i="45"/>
  <c r="DQ375" i="45" l="1"/>
  <c r="DQ376" i="45" s="1"/>
  <c r="DP391" i="45"/>
  <c r="DP392" i="45" s="1"/>
  <c r="DP398" i="45"/>
  <c r="DP61" i="45" s="1"/>
  <c r="DO392" i="45"/>
  <c r="DP60" i="45"/>
  <c r="DP17" i="45"/>
  <c r="DP376" i="45"/>
  <c r="DQ6" i="45"/>
  <c r="DQ11" i="45" s="1"/>
  <c r="DO22" i="45"/>
  <c r="DO60" i="45"/>
  <c r="DQ391" i="45" l="1"/>
  <c r="DQ392" i="45" s="1"/>
  <c r="DQ60" i="45"/>
  <c r="DQ17" i="45"/>
  <c r="DP22" i="45"/>
  <c r="N47" i="9" l="1"/>
  <c r="N48" i="9" s="1"/>
  <c r="DQ398" i="45"/>
  <c r="DQ61" i="45" s="1"/>
  <c r="DQ22" i="45"/>
  <c r="DO382" i="45" l="1"/>
  <c r="DO383" i="45" s="1"/>
  <c r="DO386" i="45"/>
  <c r="DQ385" i="45" l="1"/>
  <c r="DQ382" i="45" l="1"/>
  <c r="DQ383" i="45" s="1"/>
  <c r="DQ386" i="45"/>
  <c r="DP382" i="45"/>
  <c r="DP383" i="45" s="1"/>
  <c r="DP386" i="45"/>
  <c r="DR382" i="45" l="1"/>
  <c r="DR386" i="45"/>
  <c r="DT165" i="45" l="1"/>
  <c r="DS165" i="45"/>
  <c r="DT167" i="45" l="1"/>
  <c r="DT104" i="45" s="1"/>
  <c r="DT163" i="45"/>
  <c r="DS167" i="45"/>
  <c r="DS104" i="45" s="1"/>
  <c r="DS175" i="45"/>
  <c r="DS103" i="45"/>
  <c r="DT103" i="45" s="1"/>
  <c r="O61" i="9" s="1"/>
  <c r="AG61" i="9" s="1"/>
  <c r="DV386" i="45"/>
  <c r="DV176" i="45" l="1"/>
  <c r="DT175" i="45"/>
  <c r="DT385" i="45"/>
  <c r="DS386" i="45"/>
  <c r="DS382" i="45"/>
  <c r="DS178" i="45"/>
  <c r="DS502" i="7"/>
  <c r="DS176" i="45"/>
  <c r="DS503" i="7" s="1"/>
  <c r="DT502" i="7" l="1"/>
  <c r="DT178" i="45"/>
  <c r="DT179" i="45" s="1"/>
  <c r="DT176" i="45"/>
  <c r="DT503" i="7" s="1"/>
  <c r="DS179" i="45"/>
  <c r="DV179" i="45"/>
  <c r="DT382" i="45"/>
  <c r="DT383" i="45" s="1"/>
  <c r="DT386" i="45"/>
  <c r="DW385" i="45" l="1"/>
  <c r="DW386" i="45" s="1"/>
  <c r="DX386" i="45"/>
  <c r="DW382" i="45"/>
  <c r="DW383" i="45" s="1"/>
  <c r="DU382" i="45"/>
  <c r="DX383" i="45" s="1"/>
  <c r="DU386" i="45"/>
  <c r="DY383" i="45" l="1"/>
  <c r="EA383" i="45" s="1"/>
  <c r="EB383" i="45" l="1"/>
  <c r="EA382" i="45"/>
  <c r="ED382" i="45" s="1"/>
  <c r="EG382" i="45" s="1"/>
  <c r="EJ382" i="45" l="1"/>
  <c r="DZ162" i="45"/>
  <c r="EM382" i="45" l="1"/>
  <c r="DZ163" i="45"/>
  <c r="EP382" i="45" l="1"/>
  <c r="EC162" i="45"/>
  <c r="EC163" i="45" s="1"/>
  <c r="ES382" i="45" l="1"/>
  <c r="DZ385" i="45"/>
  <c r="EV382" i="45" l="1"/>
  <c r="EY382" i="45" s="1"/>
  <c r="DZ382" i="45"/>
  <c r="DZ383" i="45" s="1"/>
  <c r="DZ386" i="45"/>
  <c r="DY386" i="45"/>
  <c r="DY382" i="45"/>
  <c r="EB382" i="45" s="1"/>
  <c r="EE382" i="45" s="1"/>
  <c r="EH382" i="45" l="1"/>
  <c r="EK382" i="45" l="1"/>
  <c r="EA386" i="45"/>
  <c r="EN382" i="45" l="1"/>
  <c r="EQ382" i="45" l="1"/>
  <c r="ET382" i="45" l="1"/>
  <c r="EB386" i="45"/>
  <c r="EC385" i="45"/>
  <c r="EW382" i="45" l="1"/>
  <c r="EZ382" i="45" s="1"/>
  <c r="EC386" i="45"/>
  <c r="DO389" i="45" l="1"/>
  <c r="DP389" i="45"/>
  <c r="DV389" i="45"/>
  <c r="DW388" i="45"/>
  <c r="ED388" i="45"/>
  <c r="EE388" i="45"/>
  <c r="EH388" i="45" s="1"/>
  <c r="EK388" i="45" s="1"/>
  <c r="EN388" i="45" s="1"/>
  <c r="EQ388" i="45" s="1"/>
  <c r="ET388" i="45" s="1"/>
  <c r="EF388" i="45" l="1"/>
  <c r="EG388" i="45"/>
  <c r="DR389" i="45"/>
  <c r="DS389" i="45"/>
  <c r="DQ388" i="45"/>
  <c r="DT388" i="45"/>
  <c r="DW389" i="45" s="1"/>
  <c r="DU389" i="45"/>
  <c r="EC388" i="45"/>
  <c r="DZ388" i="45"/>
  <c r="EI388" i="45" l="1"/>
  <c r="EI389" i="45" s="1"/>
  <c r="EJ388" i="45"/>
  <c r="EF389" i="45"/>
  <c r="DP28" i="45"/>
  <c r="DQ389" i="45"/>
  <c r="DT389" i="45"/>
  <c r="DZ389" i="45"/>
  <c r="EC389" i="45"/>
  <c r="EL388" i="45" l="1"/>
  <c r="EL389" i="45" s="1"/>
  <c r="EM388" i="45"/>
  <c r="DP395" i="45"/>
  <c r="DP506" i="7" s="1"/>
  <c r="DP400" i="45"/>
  <c r="DP44" i="45" s="1"/>
  <c r="DP33" i="45"/>
  <c r="DP38" i="45"/>
  <c r="DO28" i="45"/>
  <c r="DO400" i="45"/>
  <c r="DQ395" i="45"/>
  <c r="DO395" i="45"/>
  <c r="EO388" i="45" l="1"/>
  <c r="EO389" i="45" s="1"/>
  <c r="EP388" i="45"/>
  <c r="DP401" i="45"/>
  <c r="DO506" i="7"/>
  <c r="DQ506" i="7"/>
  <c r="DO44" i="45"/>
  <c r="DQ400" i="45"/>
  <c r="DO401" i="45"/>
  <c r="DO33" i="45"/>
  <c r="DO38" i="45"/>
  <c r="DQ28" i="45"/>
  <c r="EW388" i="45"/>
  <c r="EZ388" i="45" s="1"/>
  <c r="DP49" i="45"/>
  <c r="DP54" i="45"/>
  <c r="ER388" i="45" l="1"/>
  <c r="ER389" i="45" s="1"/>
  <c r="ES388" i="45"/>
  <c r="N49" i="9"/>
  <c r="N50" i="9" s="1"/>
  <c r="DQ44" i="45"/>
  <c r="DQ401" i="45"/>
  <c r="DO54" i="45"/>
  <c r="DO49" i="45"/>
  <c r="DQ33" i="45"/>
  <c r="DQ38" i="45"/>
  <c r="EU388" i="45" l="1"/>
  <c r="EU389" i="45" s="1"/>
  <c r="EV388" i="45"/>
  <c r="DQ49" i="45"/>
  <c r="DQ54" i="45"/>
  <c r="EX388" i="45" l="1"/>
  <c r="EX389" i="45" s="1"/>
  <c r="EY388" i="45"/>
  <c r="FA388" i="45" s="1"/>
  <c r="DR109" i="45"/>
  <c r="DR118" i="45" s="1"/>
  <c r="DR195" i="45"/>
  <c r="DR192" i="45" s="1"/>
  <c r="DR193" i="45" s="1"/>
  <c r="DR269" i="45"/>
  <c r="DR110" i="45" s="1"/>
  <c r="FA389" i="45" l="1"/>
  <c r="DR266" i="45"/>
  <c r="DR119" i="45"/>
  <c r="DR121" i="45"/>
  <c r="DR122" i="45" s="1"/>
  <c r="DR196" i="45"/>
  <c r="DR505" i="7"/>
  <c r="DR504" i="7"/>
  <c r="EA265" i="45" l="1"/>
  <c r="EA268" i="45" s="1"/>
  <c r="DU109" i="45"/>
  <c r="DW109" i="45" s="1"/>
  <c r="DU269" i="45"/>
  <c r="DU110" i="45" s="1"/>
  <c r="DU195" i="45"/>
  <c r="DX196" i="45" s="1"/>
  <c r="ED265" i="45" l="1"/>
  <c r="ED268" i="45" s="1"/>
  <c r="DU504" i="7"/>
  <c r="DX505" i="7"/>
  <c r="DU196" i="45"/>
  <c r="DU192" i="45"/>
  <c r="DU505" i="7"/>
  <c r="DU193" i="45" l="1"/>
  <c r="DX193" i="45"/>
  <c r="EA109" i="45"/>
  <c r="EA269" i="45"/>
  <c r="EA110" i="45" s="1"/>
  <c r="EA505" i="7" s="1"/>
  <c r="EG265" i="45"/>
  <c r="EG268" i="45" s="1"/>
  <c r="DX504" i="7"/>
  <c r="ED109" i="45" l="1"/>
  <c r="ED269" i="45"/>
  <c r="ED110" i="45" s="1"/>
  <c r="ED505" i="7" s="1"/>
  <c r="EA504" i="7"/>
  <c r="EJ265" i="45"/>
  <c r="EJ268" i="45" s="1"/>
  <c r="EG109" i="45" l="1"/>
  <c r="EG269" i="45"/>
  <c r="EG110" i="45" s="1"/>
  <c r="EG505" i="7" s="1"/>
  <c r="ED504" i="7"/>
  <c r="EM265" i="45"/>
  <c r="EM268" i="45" s="1"/>
  <c r="EJ109" i="45" l="1"/>
  <c r="EJ269" i="45"/>
  <c r="EJ110" i="45" s="1"/>
  <c r="EJ505" i="7" s="1"/>
  <c r="EP265" i="45"/>
  <c r="EP268" i="45" s="1"/>
  <c r="EG504" i="7"/>
  <c r="EM109" i="45" l="1"/>
  <c r="EM269" i="45"/>
  <c r="EM110" i="45" s="1"/>
  <c r="EM505" i="7" s="1"/>
  <c r="EJ504" i="7"/>
  <c r="ES265" i="45"/>
  <c r="ES268" i="45" l="1"/>
  <c r="EV265" i="45"/>
  <c r="EY265" i="45" s="1"/>
  <c r="EY268" i="45" s="1"/>
  <c r="EP109" i="45"/>
  <c r="EP269" i="45"/>
  <c r="EP110" i="45" s="1"/>
  <c r="EP505" i="7" s="1"/>
  <c r="EM504" i="7"/>
  <c r="EY109" i="45" l="1"/>
  <c r="EV268" i="45"/>
  <c r="EY269" i="45" s="1"/>
  <c r="EY110" i="45" s="1"/>
  <c r="EY505" i="7" s="1"/>
  <c r="EP504" i="7"/>
  <c r="ES109" i="45"/>
  <c r="ES269" i="45"/>
  <c r="ES110" i="45" s="1"/>
  <c r="ES505" i="7" s="1"/>
  <c r="EY504" i="7" l="1"/>
  <c r="EV269" i="45"/>
  <c r="EV110" i="45" s="1"/>
  <c r="EV505" i="7" s="1"/>
  <c r="EV109" i="45"/>
  <c r="ES504" i="7"/>
  <c r="EV504" i="7" l="1"/>
  <c r="DT195" i="45"/>
  <c r="DT269" i="45"/>
  <c r="DT110" i="45" s="1"/>
  <c r="DT192" i="45" l="1"/>
  <c r="DW196" i="45"/>
  <c r="DT196" i="45"/>
  <c r="DT505" i="7"/>
  <c r="DT193" i="45" l="1"/>
  <c r="DW193" i="45"/>
  <c r="DS109" i="45"/>
  <c r="DS195" i="45"/>
  <c r="DT266" i="45"/>
  <c r="DS269" i="45"/>
  <c r="DS110" i="45" s="1"/>
  <c r="DS192" i="45" l="1"/>
  <c r="DV196" i="45"/>
  <c r="DS266" i="45"/>
  <c r="DS196" i="45"/>
  <c r="DS505" i="7"/>
  <c r="DS504" i="7"/>
  <c r="DS118" i="45"/>
  <c r="DT109" i="45"/>
  <c r="O62" i="9" s="1"/>
  <c r="AG62" i="9" s="1"/>
  <c r="DS129" i="45" l="1"/>
  <c r="DV130" i="45" s="1"/>
  <c r="DV119" i="45"/>
  <c r="DS193" i="45"/>
  <c r="DV193" i="45"/>
  <c r="DY265" i="45"/>
  <c r="DY268" i="45" s="1"/>
  <c r="DT504" i="7"/>
  <c r="DT118" i="45"/>
  <c r="DS119" i="45"/>
  <c r="DS121" i="45"/>
  <c r="DZ268" i="45" l="1"/>
  <c r="DS357" i="45"/>
  <c r="DV358" i="45" s="1"/>
  <c r="DS122" i="45"/>
  <c r="DV122" i="45"/>
  <c r="DZ265" i="45"/>
  <c r="DZ266" i="45" s="1"/>
  <c r="EB265" i="45"/>
  <c r="EB268" i="45" s="1"/>
  <c r="EC268" i="45" s="1"/>
  <c r="DS130" i="45"/>
  <c r="DV505" i="7"/>
  <c r="DT119" i="45"/>
  <c r="DT121" i="45"/>
  <c r="DT122" i="45" s="1"/>
  <c r="DS361" i="45" l="1"/>
  <c r="EC265" i="45"/>
  <c r="EC266" i="45" s="1"/>
  <c r="EE265" i="45"/>
  <c r="EE268" i="45" s="1"/>
  <c r="EF268" i="45" s="1"/>
  <c r="DY195" i="45"/>
  <c r="DY269" i="45"/>
  <c r="DY110" i="45" s="1"/>
  <c r="DY505" i="7" s="1"/>
  <c r="DY109" i="45"/>
  <c r="DV504" i="7"/>
  <c r="P62" i="9"/>
  <c r="AH62" i="9" s="1"/>
  <c r="DS358" i="45"/>
  <c r="DW504" i="7" l="1"/>
  <c r="DS364" i="45"/>
  <c r="DS366" i="45"/>
  <c r="DV367" i="45" s="1"/>
  <c r="DY192" i="45"/>
  <c r="DY193" i="45" s="1"/>
  <c r="DY196" i="45"/>
  <c r="DZ195" i="45"/>
  <c r="DZ269" i="45"/>
  <c r="DZ110" i="45" s="1"/>
  <c r="EF265" i="45"/>
  <c r="EF266" i="45" s="1"/>
  <c r="EH265" i="45"/>
  <c r="EH268" i="45" s="1"/>
  <c r="EI268" i="45" s="1"/>
  <c r="DW505" i="7"/>
  <c r="DY504" i="7"/>
  <c r="DZ109" i="45"/>
  <c r="Q62" i="9" s="1"/>
  <c r="AI62" i="9" s="1"/>
  <c r="EB109" i="45"/>
  <c r="EB269" i="45"/>
  <c r="EB110" i="45" s="1"/>
  <c r="EB505" i="7" s="1"/>
  <c r="EC269" i="45" l="1"/>
  <c r="EC110" i="45" s="1"/>
  <c r="EC505" i="7" s="1"/>
  <c r="EE269" i="45"/>
  <c r="EE110" i="45" s="1"/>
  <c r="EE505" i="7" s="1"/>
  <c r="EE109" i="45"/>
  <c r="DZ505" i="7"/>
  <c r="DZ192" i="45"/>
  <c r="DZ193" i="45" s="1"/>
  <c r="DZ196" i="45"/>
  <c r="EB504" i="7"/>
  <c r="EC109" i="45"/>
  <c r="EI265" i="45"/>
  <c r="EI266" i="45" s="1"/>
  <c r="EK265" i="45"/>
  <c r="EK268" i="45" s="1"/>
  <c r="EL268" i="45" s="1"/>
  <c r="DZ504" i="7"/>
  <c r="DS6" i="45"/>
  <c r="DV11" i="45" s="1"/>
  <c r="DS367" i="45"/>
  <c r="DS375" i="45"/>
  <c r="DV376" i="45" s="1"/>
  <c r="EC504" i="7" l="1"/>
  <c r="R62" i="9"/>
  <c r="AJ62" i="9" s="1"/>
  <c r="DS391" i="45"/>
  <c r="DV392" i="45" s="1"/>
  <c r="DS398" i="45"/>
  <c r="EL265" i="45"/>
  <c r="EL266" i="45" s="1"/>
  <c r="EN265" i="45"/>
  <c r="EN268" i="45" s="1"/>
  <c r="EO268" i="45" s="1"/>
  <c r="EH109" i="45"/>
  <c r="EH269" i="45"/>
  <c r="EH110" i="45" s="1"/>
  <c r="EH505" i="7" s="1"/>
  <c r="EF269" i="45"/>
  <c r="EF110" i="45" s="1"/>
  <c r="EF505" i="7" s="1"/>
  <c r="DS11" i="45"/>
  <c r="EE504" i="7"/>
  <c r="EF109" i="45"/>
  <c r="DS17" i="45"/>
  <c r="DS376" i="45"/>
  <c r="DV22" i="45" l="1"/>
  <c r="EF504" i="7"/>
  <c r="S62" i="9"/>
  <c r="AK62" i="9" s="1"/>
  <c r="DS392" i="45"/>
  <c r="EO265" i="45"/>
  <c r="EO266" i="45" s="1"/>
  <c r="EQ265" i="45"/>
  <c r="EQ268" i="45" s="1"/>
  <c r="ER268" i="45" s="1"/>
  <c r="DS22" i="45"/>
  <c r="EH504" i="7"/>
  <c r="EI109" i="45"/>
  <c r="EI504" i="7" s="1"/>
  <c r="DS28" i="45"/>
  <c r="DS395" i="45"/>
  <c r="EI269" i="45"/>
  <c r="EI110" i="45" s="1"/>
  <c r="EI505" i="7" s="1"/>
  <c r="EK269" i="45"/>
  <c r="EK110" i="45" s="1"/>
  <c r="EK505" i="7" s="1"/>
  <c r="EK109" i="45"/>
  <c r="DV33" i="45" l="1"/>
  <c r="EL269" i="45"/>
  <c r="EL110" i="45" s="1"/>
  <c r="EL505" i="7" s="1"/>
  <c r="DS33" i="45"/>
  <c r="DS38" i="45"/>
  <c r="DS506" i="7"/>
  <c r="ER265" i="45"/>
  <c r="ER266" i="45" s="1"/>
  <c r="ET265" i="45"/>
  <c r="EK504" i="7"/>
  <c r="EL109" i="45"/>
  <c r="EL504" i="7" s="1"/>
  <c r="EN109" i="45"/>
  <c r="EN269" i="45"/>
  <c r="EN110" i="45" s="1"/>
  <c r="EN505" i="7" s="1"/>
  <c r="ET268" i="45" l="1"/>
  <c r="EU268" i="45" s="1"/>
  <c r="EW265" i="45"/>
  <c r="EZ265" i="45" s="1"/>
  <c r="EO269" i="45"/>
  <c r="EO110" i="45" s="1"/>
  <c r="EO505" i="7" s="1"/>
  <c r="EU265" i="45"/>
  <c r="EU266" i="45" s="1"/>
  <c r="EQ269" i="45"/>
  <c r="EQ110" i="45" s="1"/>
  <c r="EQ505" i="7" s="1"/>
  <c r="EQ109" i="45"/>
  <c r="EN504" i="7"/>
  <c r="EO109" i="45"/>
  <c r="EO504" i="7" s="1"/>
  <c r="FA265" i="45" l="1"/>
  <c r="EZ268" i="45"/>
  <c r="EW268" i="45"/>
  <c r="EX265" i="45"/>
  <c r="EX266" i="45" s="1"/>
  <c r="ER269" i="45"/>
  <c r="ER110" i="45" s="1"/>
  <c r="ER505" i="7" s="1"/>
  <c r="EQ504" i="7"/>
  <c r="ER109" i="45"/>
  <c r="ER504" i="7" s="1"/>
  <c r="ET109" i="45"/>
  <c r="ET269" i="45"/>
  <c r="ET110" i="45" s="1"/>
  <c r="ET505" i="7" s="1"/>
  <c r="EZ109" i="45" l="1"/>
  <c r="EZ269" i="45"/>
  <c r="EZ110" i="45" s="1"/>
  <c r="EZ505" i="7" s="1"/>
  <c r="FA268" i="45"/>
  <c r="FA266" i="45"/>
  <c r="EW269" i="45"/>
  <c r="EW110" i="45" s="1"/>
  <c r="EW505" i="7" s="1"/>
  <c r="EW109" i="45"/>
  <c r="EX268" i="45"/>
  <c r="EU269" i="45"/>
  <c r="EU110" i="45" s="1"/>
  <c r="EU505" i="7" s="1"/>
  <c r="ET504" i="7"/>
  <c r="EU109" i="45"/>
  <c r="EU504" i="7" s="1"/>
  <c r="DR335" i="45"/>
  <c r="DR352" i="45"/>
  <c r="FA269" i="45" l="1"/>
  <c r="FA110" i="45" s="1"/>
  <c r="FA505" i="7" s="1"/>
  <c r="EZ504" i="7"/>
  <c r="FA109" i="45"/>
  <c r="FA504" i="7" s="1"/>
  <c r="EX269" i="45"/>
  <c r="EX110" i="45" s="1"/>
  <c r="EX505" i="7" s="1"/>
  <c r="EW504" i="7"/>
  <c r="EX109" i="45"/>
  <c r="EX504" i="7" s="1"/>
  <c r="DR125" i="45"/>
  <c r="DR341" i="45"/>
  <c r="DR338" i="45" s="1"/>
  <c r="DR339" i="45" s="1"/>
  <c r="DR336" i="45"/>
  <c r="DT335" i="45"/>
  <c r="DR344" i="45"/>
  <c r="DT344" i="45" s="1"/>
  <c r="DT336" i="45" l="1"/>
  <c r="DW336" i="45"/>
  <c r="O65" i="9"/>
  <c r="AG65" i="9" s="1"/>
  <c r="DR129" i="45"/>
  <c r="DT129" i="45" s="1"/>
  <c r="DT130" i="45" s="1"/>
  <c r="DU125" i="45"/>
  <c r="DT345" i="45"/>
  <c r="DT341" i="45"/>
  <c r="DR347" i="45"/>
  <c r="DT338" i="45"/>
  <c r="DR130" i="45" l="1"/>
  <c r="DT125" i="45"/>
  <c r="DR357" i="45"/>
  <c r="DR361" i="45" s="1"/>
  <c r="DT361" i="45" s="1"/>
  <c r="DR348" i="45"/>
  <c r="DT347" i="45"/>
  <c r="DT348" i="45" s="1"/>
  <c r="DR358" i="45" l="1"/>
  <c r="DT357" i="45"/>
  <c r="DT358" i="45" s="1"/>
  <c r="DR366" i="45"/>
  <c r="DT364" i="45"/>
  <c r="DR364" i="45"/>
  <c r="EB125" i="45" l="1"/>
  <c r="DR6" i="45"/>
  <c r="DR375" i="45"/>
  <c r="DR367" i="45"/>
  <c r="DT366" i="45"/>
  <c r="EB352" i="45" l="1"/>
  <c r="DR391" i="45"/>
  <c r="DR398" i="45"/>
  <c r="EE125" i="45"/>
  <c r="EB339" i="45"/>
  <c r="DR17" i="45"/>
  <c r="DT375" i="45"/>
  <c r="DR376" i="45"/>
  <c r="DT367" i="45"/>
  <c r="DT6" i="45"/>
  <c r="DT11" i="45" s="1"/>
  <c r="DR11" i="45"/>
  <c r="DR9" i="45"/>
  <c r="EE352" i="45" l="1"/>
  <c r="DT376" i="45"/>
  <c r="DT395" i="45"/>
  <c r="DT398" i="45"/>
  <c r="DT391" i="45"/>
  <c r="DR392" i="45"/>
  <c r="EE339" i="45"/>
  <c r="EH125" i="45"/>
  <c r="EH339" i="45"/>
  <c r="DR28" i="45"/>
  <c r="DR395" i="45"/>
  <c r="DR400" i="45"/>
  <c r="DR61" i="45"/>
  <c r="DT17" i="45"/>
  <c r="DR22" i="45"/>
  <c r="DR20" i="45"/>
  <c r="DR73" i="45" s="1"/>
  <c r="DR30" i="7"/>
  <c r="DR92" i="45"/>
  <c r="DS92" i="45" s="1"/>
  <c r="DR67" i="45"/>
  <c r="DR94" i="45"/>
  <c r="DR90" i="45"/>
  <c r="O47" i="9" l="1"/>
  <c r="O48" i="9" s="1"/>
  <c r="EH352" i="45"/>
  <c r="DR71" i="45"/>
  <c r="DR100" i="45"/>
  <c r="DR145" i="8"/>
  <c r="DR146" i="8"/>
  <c r="DR147" i="8"/>
  <c r="DT392" i="45"/>
  <c r="EK125" i="45"/>
  <c r="DR287" i="8"/>
  <c r="DR45" i="7" s="1"/>
  <c r="DR214" i="8"/>
  <c r="DR215" i="8"/>
  <c r="DR294" i="8"/>
  <c r="DR74" i="7"/>
  <c r="DR56" i="7"/>
  <c r="DR62" i="7"/>
  <c r="DR70" i="7"/>
  <c r="DR161" i="7"/>
  <c r="DR166" i="7"/>
  <c r="DR162" i="7"/>
  <c r="DR159" i="7"/>
  <c r="DR163" i="7"/>
  <c r="DR160" i="7"/>
  <c r="DR164" i="7"/>
  <c r="DR327" i="7"/>
  <c r="DR331" i="7"/>
  <c r="DR335" i="7"/>
  <c r="DR279" i="7"/>
  <c r="DR273" i="7" s="1"/>
  <c r="DR328" i="7"/>
  <c r="DR336" i="7"/>
  <c r="DR329" i="7"/>
  <c r="DR333" i="7"/>
  <c r="DR334" i="7"/>
  <c r="DR506" i="7"/>
  <c r="DT506" i="7"/>
  <c r="DS61" i="45"/>
  <c r="DT28" i="45"/>
  <c r="DR33" i="45"/>
  <c r="DR31" i="45"/>
  <c r="DR38" i="45"/>
  <c r="DT22" i="45"/>
  <c r="DR33" i="7"/>
  <c r="AF7" i="9" s="1"/>
  <c r="DR88" i="45"/>
  <c r="DR44" i="45"/>
  <c r="DR401" i="45"/>
  <c r="AF8" i="9" l="1"/>
  <c r="O49" i="9"/>
  <c r="O50" i="9" s="1"/>
  <c r="EK352" i="45"/>
  <c r="EK339" i="45"/>
  <c r="EN125" i="45"/>
  <c r="DR41" i="45"/>
  <c r="DT33" i="45"/>
  <c r="DT38" i="45"/>
  <c r="DR142" i="8"/>
  <c r="DR32" i="7"/>
  <c r="DR42" i="7"/>
  <c r="DR53" i="7" s="1"/>
  <c r="DR43" i="7" s="1"/>
  <c r="DS400" i="45"/>
  <c r="DS60" i="45"/>
  <c r="DR141" i="8"/>
  <c r="DU125" i="8"/>
  <c r="DR49" i="45"/>
  <c r="DR54" i="45"/>
  <c r="DR47" i="45"/>
  <c r="DR283" i="7"/>
  <c r="DR330" i="7"/>
  <c r="DR143" i="8"/>
  <c r="EN352" i="45" l="1"/>
  <c r="EN339" i="45"/>
  <c r="EQ339" i="45"/>
  <c r="DR57" i="45"/>
  <c r="DR82" i="45"/>
  <c r="DS44" i="45"/>
  <c r="DV49" i="45" s="1"/>
  <c r="DS401" i="45"/>
  <c r="DT400" i="45"/>
  <c r="AF12" i="9"/>
  <c r="DY61" i="45"/>
  <c r="DR300" i="7"/>
  <c r="DR565" i="7"/>
  <c r="DR566" i="7" s="1"/>
  <c r="DT60" i="45"/>
  <c r="DT61" i="45"/>
  <c r="EQ352" i="45" l="1"/>
  <c r="EQ125" i="45"/>
  <c r="EW352" i="45"/>
  <c r="DT44" i="45"/>
  <c r="DT401" i="45"/>
  <c r="DR83" i="45"/>
  <c r="DR95" i="45"/>
  <c r="DR96" i="45" s="1"/>
  <c r="DS49" i="45"/>
  <c r="DS54" i="45"/>
  <c r="DR302" i="7"/>
  <c r="DR319" i="7" s="1"/>
  <c r="DR569" i="7"/>
  <c r="DR571" i="7" s="1"/>
  <c r="DR574" i="7" s="1"/>
  <c r="ET125" i="45" l="1"/>
  <c r="EW125" i="45"/>
  <c r="ET352" i="45"/>
  <c r="ET339" i="45"/>
  <c r="DR579" i="7"/>
  <c r="DR577" i="7"/>
  <c r="DT49" i="45"/>
  <c r="DT54" i="45"/>
  <c r="DY321" i="45" l="1"/>
  <c r="EA319" i="45" l="1"/>
  <c r="DZ321" i="45"/>
  <c r="DZ322" i="45" s="1"/>
  <c r="DY318" i="45"/>
  <c r="DN325" i="45"/>
  <c r="DO324" i="45"/>
  <c r="DP324" i="45"/>
  <c r="DR324" i="45"/>
  <c r="DS324" i="45"/>
  <c r="DY324" i="45"/>
  <c r="DY327" i="45" s="1"/>
  <c r="EA324" i="45"/>
  <c r="EB324" i="45"/>
  <c r="EB327" i="45" s="1"/>
  <c r="EB328" i="45" s="1"/>
  <c r="ED324" i="45"/>
  <c r="EE324" i="45"/>
  <c r="EE327" i="45" s="1"/>
  <c r="EE328" i="45" s="1"/>
  <c r="EG324" i="45"/>
  <c r="EG327" i="45" s="1"/>
  <c r="EG328" i="45" s="1"/>
  <c r="EH324" i="45"/>
  <c r="EJ324" i="45"/>
  <c r="EJ327" i="45" s="1"/>
  <c r="EJ328" i="45" s="1"/>
  <c r="EK324" i="45"/>
  <c r="EK327" i="45" s="1"/>
  <c r="EM324" i="45"/>
  <c r="EN324" i="45"/>
  <c r="EN327" i="45" s="1"/>
  <c r="EN328" i="45" s="1"/>
  <c r="EP324" i="45"/>
  <c r="EQ324" i="45"/>
  <c r="EQ327" i="45" s="1"/>
  <c r="EQ328" i="45" s="1"/>
  <c r="ES324" i="45"/>
  <c r="ES327" i="45" s="1"/>
  <c r="ES328" i="45" s="1"/>
  <c r="ET324" i="45"/>
  <c r="EL327" i="45" l="1"/>
  <c r="EL328" i="45" s="1"/>
  <c r="DZ324" i="45"/>
  <c r="DZ325" i="45" s="1"/>
  <c r="DQ324" i="45"/>
  <c r="DQ325" i="45" s="1"/>
  <c r="DT324" i="45"/>
  <c r="DT325" i="45" s="1"/>
  <c r="EO324" i="45"/>
  <c r="EO325" i="45" s="1"/>
  <c r="EM327" i="45"/>
  <c r="EM328" i="45" s="1"/>
  <c r="EL324" i="45"/>
  <c r="EL325" i="45" s="1"/>
  <c r="EC324" i="45"/>
  <c r="EC325" i="45" s="1"/>
  <c r="EA327" i="45"/>
  <c r="EA328" i="45" s="1"/>
  <c r="ER324" i="45"/>
  <c r="ER325" i="45" s="1"/>
  <c r="EP327" i="45"/>
  <c r="EP328" i="45" s="1"/>
  <c r="EU324" i="45"/>
  <c r="EU325" i="45" s="1"/>
  <c r="ET327" i="45"/>
  <c r="EF324" i="45"/>
  <c r="EF325" i="45" s="1"/>
  <c r="ED327" i="45"/>
  <c r="ED328" i="45" s="1"/>
  <c r="EK328" i="45"/>
  <c r="EI324" i="45"/>
  <c r="EI325" i="45" s="1"/>
  <c r="EH327" i="45"/>
  <c r="DY319" i="45"/>
  <c r="EB319" i="45"/>
  <c r="DY328" i="45"/>
  <c r="DZ327" i="45"/>
  <c r="DZ328" i="45" s="1"/>
  <c r="DZ318" i="45"/>
  <c r="DR318" i="45"/>
  <c r="DU319" i="45" s="1"/>
  <c r="DS318" i="45"/>
  <c r="DV319" i="45" s="1"/>
  <c r="DR327" i="45"/>
  <c r="DR328" i="45" s="1"/>
  <c r="DS327" i="45"/>
  <c r="DS328" i="45" s="1"/>
  <c r="DO318" i="45"/>
  <c r="DP318" i="45"/>
  <c r="DO327" i="45"/>
  <c r="DP327" i="45"/>
  <c r="DP328" i="45" s="1"/>
  <c r="EO327" i="45" l="1"/>
  <c r="EO328" i="45" s="1"/>
  <c r="ER327" i="45"/>
  <c r="ER328" i="45" s="1"/>
  <c r="DQ327" i="45"/>
  <c r="DQ328" i="45" s="1"/>
  <c r="EI327" i="45"/>
  <c r="EI328" i="45" s="1"/>
  <c r="EH328" i="45"/>
  <c r="DT327" i="45"/>
  <c r="DT328" i="45" s="1"/>
  <c r="EC327" i="45"/>
  <c r="EC328" i="45" s="1"/>
  <c r="EF327" i="45"/>
  <c r="EF328" i="45" s="1"/>
  <c r="EU327" i="45"/>
  <c r="EU328" i="45" s="1"/>
  <c r="ET328" i="45"/>
  <c r="DQ318" i="45"/>
  <c r="DS319" i="45"/>
  <c r="DT318" i="45"/>
  <c r="DW319" i="45" s="1"/>
  <c r="DR319" i="45"/>
  <c r="DZ319" i="45"/>
  <c r="EC319" i="45"/>
  <c r="DO328" i="45"/>
  <c r="DL318" i="45"/>
  <c r="DL319" i="45" s="1"/>
  <c r="DM318" i="45"/>
  <c r="DM319" i="45" s="1"/>
  <c r="DL327" i="45"/>
  <c r="DM327" i="45"/>
  <c r="DM328" i="45" s="1"/>
  <c r="DN318" i="45" l="1"/>
  <c r="DN319" i="45" s="1"/>
  <c r="DP319" i="45"/>
  <c r="DO319" i="45"/>
  <c r="DT319" i="45"/>
  <c r="DN327" i="45"/>
  <c r="DN328" i="45" s="1"/>
  <c r="DL328" i="45"/>
  <c r="DT339" i="45"/>
  <c r="DN339" i="45"/>
  <c r="DQ339" i="45"/>
  <c r="DN342" i="45"/>
  <c r="DQ342" i="45"/>
  <c r="DT342" i="45"/>
  <c r="DQ319" i="45" l="1"/>
  <c r="DQ411" i="45" l="1"/>
  <c r="DP405" i="45"/>
  <c r="DQ440" i="45" l="1"/>
  <c r="DP440" i="45" s="1"/>
  <c r="DQ441" i="45"/>
  <c r="DP441" i="45" s="1"/>
  <c r="DQ439" i="45"/>
  <c r="DP439" i="45" s="1"/>
  <c r="DQ442" i="45"/>
  <c r="DP442" i="45" s="1"/>
  <c r="DQ453" i="45"/>
  <c r="DQ445" i="45"/>
  <c r="DQ446" i="45" s="1"/>
  <c r="DQ412" i="45"/>
  <c r="DT412" i="45"/>
  <c r="DP407" i="45"/>
  <c r="DP7" i="45" s="1"/>
  <c r="DQ447" i="45" l="1"/>
  <c r="DT447" i="45"/>
  <c r="DQ7" i="45"/>
  <c r="DS12" i="45"/>
  <c r="DP411" i="45"/>
  <c r="DP437" i="45" s="1"/>
  <c r="DP435" i="45" l="1"/>
  <c r="DP434" i="45"/>
  <c r="DP436" i="45"/>
  <c r="DP445" i="45"/>
  <c r="DP453" i="45"/>
  <c r="DP63" i="45" s="1"/>
  <c r="DT12" i="45"/>
  <c r="O52" i="9" s="1"/>
  <c r="DP18" i="45"/>
  <c r="DS412" i="45"/>
  <c r="DP62" i="45" l="1"/>
  <c r="DQ18" i="45"/>
  <c r="DS23" i="45"/>
  <c r="DP29" i="45"/>
  <c r="DQ450" i="45"/>
  <c r="DP450" i="45"/>
  <c r="N51" i="9" l="1"/>
  <c r="DT23" i="45"/>
  <c r="DP39" i="45"/>
  <c r="DQ29" i="45"/>
  <c r="DS34" i="45"/>
  <c r="DP45" i="45"/>
  <c r="DP456" i="45"/>
  <c r="DQ62" i="45"/>
  <c r="DQ63" i="45"/>
  <c r="N53" i="9" l="1"/>
  <c r="N54" i="9" s="1"/>
  <c r="DP55" i="45"/>
  <c r="DS50" i="45"/>
  <c r="DQ45" i="45"/>
  <c r="DQ456" i="45"/>
  <c r="DT34" i="45"/>
  <c r="DQ39" i="45"/>
  <c r="DT50" i="45" l="1"/>
  <c r="DQ55" i="45"/>
  <c r="DM405" i="45"/>
  <c r="DM406" i="45"/>
  <c r="DM404" i="45"/>
  <c r="DM407" i="45" l="1"/>
  <c r="DM411" i="45" s="1"/>
  <c r="DM437" i="45" l="1"/>
  <c r="DM434" i="45"/>
  <c r="DM436" i="45"/>
  <c r="DM435" i="45"/>
  <c r="DM445" i="45"/>
  <c r="DM412" i="45"/>
  <c r="DM18" i="45"/>
  <c r="DP412" i="45"/>
  <c r="DM29" i="45"/>
  <c r="DN450" i="45"/>
  <c r="DM450" i="45"/>
  <c r="DN18" i="45" l="1"/>
  <c r="DP23" i="45"/>
  <c r="DM7" i="45"/>
  <c r="DM12" i="45" s="1"/>
  <c r="DM23" i="45"/>
  <c r="DM20" i="45"/>
  <c r="DM33" i="7" s="1"/>
  <c r="DP34" i="45"/>
  <c r="DM39" i="45"/>
  <c r="DN29" i="45"/>
  <c r="DM31" i="45"/>
  <c r="DM34" i="45"/>
  <c r="DN20" i="45" l="1"/>
  <c r="DN73" i="45" s="1"/>
  <c r="DQ23" i="45"/>
  <c r="DN23" i="45"/>
  <c r="DP12" i="45"/>
  <c r="DM9" i="45"/>
  <c r="DM73" i="45" s="1"/>
  <c r="DM71" i="45"/>
  <c r="DM25" i="45"/>
  <c r="DM92" i="45"/>
  <c r="DN7" i="45"/>
  <c r="DQ12" i="45" s="1"/>
  <c r="N52" i="9" s="1"/>
  <c r="DM90" i="45"/>
  <c r="DM88" i="45"/>
  <c r="DM154" i="8"/>
  <c r="DN154" i="8" s="1"/>
  <c r="DN190" i="7" s="1"/>
  <c r="DM41" i="45"/>
  <c r="DN31" i="45"/>
  <c r="DM36" i="45"/>
  <c r="DQ34" i="45"/>
  <c r="DN39" i="45"/>
  <c r="DN34" i="45"/>
  <c r="DN33" i="7"/>
  <c r="M19" i="9" s="1"/>
  <c r="AC7" i="9"/>
  <c r="AC12" i="9" s="1"/>
  <c r="DN25" i="45" l="1"/>
  <c r="DN88" i="45"/>
  <c r="DN71" i="45"/>
  <c r="DN92" i="45"/>
  <c r="DN100" i="45"/>
  <c r="DN9" i="45"/>
  <c r="DM30" i="7"/>
  <c r="DM32" i="7" s="1"/>
  <c r="DM94" i="45"/>
  <c r="DM14" i="45"/>
  <c r="DN12" i="45"/>
  <c r="DN41" i="45"/>
  <c r="DN36" i="45"/>
  <c r="DM190" i="7"/>
  <c r="DN188" i="7"/>
  <c r="DN42" i="7"/>
  <c r="DM70" i="7" l="1"/>
  <c r="DN67" i="45"/>
  <c r="DM328" i="7"/>
  <c r="DM159" i="7"/>
  <c r="DN90" i="45"/>
  <c r="DN94" i="45"/>
  <c r="DM336" i="7"/>
  <c r="DM331" i="7"/>
  <c r="DM31" i="7"/>
  <c r="DM164" i="7"/>
  <c r="DM147" i="8"/>
  <c r="DM143" i="8" s="1"/>
  <c r="DM329" i="7"/>
  <c r="DM169" i="7"/>
  <c r="DM74" i="7"/>
  <c r="DM145" i="8"/>
  <c r="DM141" i="8" s="1"/>
  <c r="DM335" i="7"/>
  <c r="DM56" i="7"/>
  <c r="DM151" i="7"/>
  <c r="DM334" i="7"/>
  <c r="DM333" i="7"/>
  <c r="DM166" i="7"/>
  <c r="DM160" i="7"/>
  <c r="DN30" i="7"/>
  <c r="DM176" i="7" s="1"/>
  <c r="DM327" i="7"/>
  <c r="DM161" i="7"/>
  <c r="DM163" i="7"/>
  <c r="DM162" i="7"/>
  <c r="DM62" i="7"/>
  <c r="DM146" i="8"/>
  <c r="DM142" i="8" s="1"/>
  <c r="DN14" i="45"/>
  <c r="DN155" i="8"/>
  <c r="DM188" i="7"/>
  <c r="DN204" i="7"/>
  <c r="DN218" i="7"/>
  <c r="AB15" i="9"/>
  <c r="AC15" i="9" s="1"/>
  <c r="M20" i="9"/>
  <c r="DM42" i="7"/>
  <c r="DN214" i="8" l="1"/>
  <c r="DM214" i="8" s="1"/>
  <c r="DL176" i="7"/>
  <c r="DN333" i="7"/>
  <c r="DN162" i="7"/>
  <c r="DN159" i="7"/>
  <c r="DN331" i="7"/>
  <c r="DN62" i="7"/>
  <c r="DN328" i="7"/>
  <c r="DN32" i="7"/>
  <c r="DN335" i="7"/>
  <c r="DN334" i="7"/>
  <c r="DN164" i="7"/>
  <c r="DN151" i="7"/>
  <c r="DN161" i="7"/>
  <c r="DN215" i="8"/>
  <c r="DM215" i="8" s="1"/>
  <c r="DN145" i="8"/>
  <c r="DN141" i="8" s="1"/>
  <c r="DN160" i="7"/>
  <c r="DN287" i="8"/>
  <c r="DN45" i="7" s="1"/>
  <c r="DN329" i="7"/>
  <c r="DN279" i="7"/>
  <c r="DM279" i="7" s="1"/>
  <c r="DN166" i="7"/>
  <c r="DN56" i="7"/>
  <c r="DN327" i="7"/>
  <c r="DN336" i="7"/>
  <c r="DN70" i="7"/>
  <c r="DN74" i="7"/>
  <c r="DN163" i="7"/>
  <c r="DN31" i="7"/>
  <c r="DN146" i="8"/>
  <c r="DN142" i="8" s="1"/>
  <c r="DN147" i="8"/>
  <c r="DN143" i="8" s="1"/>
  <c r="DN294" i="8"/>
  <c r="DM204" i="7"/>
  <c r="DN212" i="7"/>
  <c r="DM218" i="7"/>
  <c r="DN220" i="7"/>
  <c r="DM220" i="7" s="1"/>
  <c r="DM155" i="8"/>
  <c r="DM294" i="8"/>
  <c r="DN273" i="7" l="1"/>
  <c r="DN185" i="7" s="1"/>
  <c r="DM287" i="8"/>
  <c r="DQ125" i="8"/>
  <c r="DM45" i="7"/>
  <c r="DN53" i="7"/>
  <c r="DN43" i="7" s="1"/>
  <c r="DM43" i="7" s="1"/>
  <c r="DN211" i="7"/>
  <c r="DM212" i="7"/>
  <c r="DN283" i="7" l="1"/>
  <c r="DN300" i="7" s="1"/>
  <c r="DN330" i="7"/>
  <c r="DM273" i="7"/>
  <c r="DM330" i="7" s="1"/>
  <c r="AE51" i="9"/>
  <c r="DP125" i="8"/>
  <c r="DM53" i="7"/>
  <c r="DN177" i="8"/>
  <c r="DM211" i="7"/>
  <c r="DM177" i="8" s="1"/>
  <c r="DM185" i="7"/>
  <c r="DN186" i="7"/>
  <c r="DM186" i="7" s="1"/>
  <c r="DM283" i="7" l="1"/>
  <c r="DM565" i="7" s="1"/>
  <c r="DM566" i="7" s="1"/>
  <c r="DN565" i="7"/>
  <c r="DN566" i="7" s="1"/>
  <c r="DN302" i="7"/>
  <c r="DM300" i="7"/>
  <c r="DN569" i="7"/>
  <c r="AE53" i="9"/>
  <c r="AE52" i="9" s="1"/>
  <c r="AE58" i="9" s="1"/>
  <c r="DM569" i="7" l="1"/>
  <c r="DM571" i="7" s="1"/>
  <c r="DM574" i="7" s="1"/>
  <c r="DM577" i="7" s="1"/>
  <c r="DN571" i="7"/>
  <c r="DN574" i="7" s="1"/>
  <c r="DN577" i="7" s="1"/>
  <c r="DM302" i="7"/>
  <c r="DM319" i="7" s="1"/>
  <c r="DN319" i="7"/>
  <c r="DM579" i="7" l="1"/>
  <c r="DN579" i="7"/>
  <c r="DN45" i="45"/>
  <c r="DN50" i="45" s="1"/>
  <c r="DN456" i="45"/>
  <c r="DQ50" i="45" l="1"/>
  <c r="DN55" i="45"/>
  <c r="DL62" i="45"/>
  <c r="DL66" i="45" s="1"/>
  <c r="DL67" i="45" s="1"/>
  <c r="DM62" i="45"/>
  <c r="DM66" i="45" s="1"/>
  <c r="DM67" i="45" s="1"/>
  <c r="DL453" i="45"/>
  <c r="DL63" i="45" s="1"/>
  <c r="DM453" i="45"/>
  <c r="DM63" i="45" s="1"/>
  <c r="DL455" i="45"/>
  <c r="DL45" i="45" s="1"/>
  <c r="DL55" i="45" s="1"/>
  <c r="DM45" i="45"/>
  <c r="DM456" i="45" l="1"/>
  <c r="DL50" i="45"/>
  <c r="DL456" i="45"/>
  <c r="DM50" i="45"/>
  <c r="DM55" i="45"/>
  <c r="DM47" i="45"/>
  <c r="DP50" i="45"/>
  <c r="DL47" i="45"/>
  <c r="DO50" i="45"/>
  <c r="DM82" i="45" l="1"/>
  <c r="DM52" i="45"/>
  <c r="DM57" i="45"/>
  <c r="DL52" i="45"/>
  <c r="DL57" i="45"/>
  <c r="DN47" i="45"/>
  <c r="DL82" i="45"/>
  <c r="DN52" i="45" l="1"/>
  <c r="DN57" i="45"/>
  <c r="DN82" i="45"/>
  <c r="DL84" i="45"/>
  <c r="DL95" i="45"/>
  <c r="DL96" i="45" s="1"/>
  <c r="DL83" i="45"/>
  <c r="DM84" i="45"/>
  <c r="DM95" i="45"/>
  <c r="DM96" i="45" s="1"/>
  <c r="DM83" i="45"/>
  <c r="DN83" i="45" l="1"/>
  <c r="DN95" i="45"/>
  <c r="DN96" i="45" s="1"/>
  <c r="DN84" i="45"/>
  <c r="P37" i="57"/>
  <c r="Q37" i="57" l="1"/>
  <c r="Q28" i="57" s="1"/>
  <c r="S38" i="57"/>
  <c r="P28" i="57"/>
  <c r="S29" i="57" s="1"/>
  <c r="Q38" i="57" l="1"/>
  <c r="V38" i="57"/>
  <c r="Q29" i="57"/>
  <c r="Q4" i="57"/>
  <c r="P29" i="57"/>
  <c r="R28" i="57"/>
  <c r="P4" i="57"/>
  <c r="R29" i="57" l="1"/>
  <c r="U29" i="57"/>
  <c r="Q12" i="57"/>
  <c r="Q7" i="57"/>
  <c r="P7" i="57"/>
  <c r="P12" i="57"/>
  <c r="R4" i="57"/>
  <c r="AC37" i="57"/>
  <c r="V29" i="57"/>
  <c r="S4" i="57"/>
  <c r="X38" i="57"/>
  <c r="AD37" i="57" l="1"/>
  <c r="AD38" i="57" s="1"/>
  <c r="AF37" i="57"/>
  <c r="R7" i="57"/>
  <c r="R12" i="57"/>
  <c r="V12" i="57"/>
  <c r="S12" i="57"/>
  <c r="S7" i="57"/>
  <c r="X29" i="57"/>
  <c r="Q14" i="57"/>
  <c r="P14" i="57"/>
  <c r="S14" i="57" l="1"/>
  <c r="V14" i="57"/>
  <c r="S9" i="57"/>
  <c r="R8" i="57"/>
  <c r="R14" i="57"/>
  <c r="AG37" i="57"/>
  <c r="AG38" i="57" s="1"/>
  <c r="AI37" i="57"/>
  <c r="DO19" i="45" l="1"/>
  <c r="S77" i="57"/>
  <c r="S85" i="57"/>
  <c r="S41" i="57"/>
  <c r="AJ37" i="57"/>
  <c r="AJ38" i="57" s="1"/>
  <c r="AL37" i="57"/>
  <c r="P8" i="57"/>
  <c r="P9" i="57" s="1"/>
  <c r="Q8" i="57" l="1"/>
  <c r="AM37" i="57"/>
  <c r="AM38" i="57" s="1"/>
  <c r="AO37" i="57"/>
  <c r="DR24" i="45"/>
  <c r="DO24" i="45"/>
  <c r="DO20" i="45"/>
  <c r="DO8" i="45"/>
  <c r="P84" i="57"/>
  <c r="Q9" i="57"/>
  <c r="P80" i="57"/>
  <c r="DO100" i="45" l="1"/>
  <c r="DO73" i="45"/>
  <c r="P91" i="57"/>
  <c r="P87" i="57"/>
  <c r="S89" i="57" s="1"/>
  <c r="P77" i="57"/>
  <c r="DO66" i="45"/>
  <c r="DO65" i="45"/>
  <c r="Q84" i="57"/>
  <c r="Q80" i="57"/>
  <c r="R80" i="57" s="1"/>
  <c r="R81" i="57" s="1"/>
  <c r="DR25" i="45"/>
  <c r="DO25" i="45"/>
  <c r="DO88" i="45"/>
  <c r="DO90" i="45"/>
  <c r="DO71" i="45"/>
  <c r="DO92" i="45"/>
  <c r="DO33" i="7"/>
  <c r="V78" i="57"/>
  <c r="DO40" i="45"/>
  <c r="DO31" i="45"/>
  <c r="DR35" i="45"/>
  <c r="DO35" i="45"/>
  <c r="DR13" i="45"/>
  <c r="DO13" i="45"/>
  <c r="DO9" i="45"/>
  <c r="AP37" i="57"/>
  <c r="AP38" i="57" s="1"/>
  <c r="AR37" i="57"/>
  <c r="S88" i="57"/>
  <c r="V89" i="57"/>
  <c r="DO56" i="45" l="1"/>
  <c r="DR51" i="45"/>
  <c r="DO47" i="45"/>
  <c r="P78" i="57"/>
  <c r="AS37" i="57"/>
  <c r="AS38" i="57" s="1"/>
  <c r="AU37" i="57"/>
  <c r="DO154" i="8"/>
  <c r="P88" i="57"/>
  <c r="P89" i="57"/>
  <c r="DR14" i="45"/>
  <c r="DO14" i="45"/>
  <c r="DO94" i="45"/>
  <c r="DO30" i="7"/>
  <c r="DO41" i="45"/>
  <c r="DR36" i="45"/>
  <c r="DO36" i="45"/>
  <c r="S78" i="57"/>
  <c r="AD7" i="9"/>
  <c r="DO42" i="7"/>
  <c r="Q91" i="57"/>
  <c r="R91" i="57" s="1"/>
  <c r="Q87" i="57"/>
  <c r="Q77" i="57"/>
  <c r="DO67" i="45"/>
  <c r="P93" i="57"/>
  <c r="P94" i="57" s="1"/>
  <c r="DO32" i="7" l="1"/>
  <c r="R92" i="57"/>
  <c r="Q89" i="57"/>
  <c r="Q88" i="57"/>
  <c r="Q78" i="57"/>
  <c r="DO57" i="45"/>
  <c r="DR52" i="45"/>
  <c r="DO52" i="45"/>
  <c r="DO82" i="45"/>
  <c r="DO279" i="7"/>
  <c r="DO273" i="7" s="1"/>
  <c r="DO336" i="7"/>
  <c r="DO331" i="7"/>
  <c r="DO166" i="7"/>
  <c r="DO159" i="7"/>
  <c r="DR151" i="7"/>
  <c r="DO56" i="7"/>
  <c r="DO215" i="8"/>
  <c r="DO147" i="8"/>
  <c r="DO143" i="8" s="1"/>
  <c r="DO145" i="8"/>
  <c r="DO141" i="8" s="1"/>
  <c r="DO335" i="7"/>
  <c r="DO329" i="7"/>
  <c r="DO162" i="7"/>
  <c r="DO151" i="7"/>
  <c r="DO169" i="7"/>
  <c r="DO31" i="7"/>
  <c r="DO214" i="8"/>
  <c r="DO287" i="8"/>
  <c r="DO45" i="7" s="1"/>
  <c r="DO334" i="7"/>
  <c r="DO328" i="7"/>
  <c r="DO161" i="7"/>
  <c r="DO74" i="7"/>
  <c r="DO70" i="7"/>
  <c r="DR31" i="7"/>
  <c r="DO146" i="8"/>
  <c r="DO142" i="8" s="1"/>
  <c r="DO333" i="7"/>
  <c r="DO327" i="7"/>
  <c r="DO160" i="7"/>
  <c r="DO62" i="7"/>
  <c r="R87" i="57"/>
  <c r="DO190" i="7"/>
  <c r="DO188" i="7" s="1"/>
  <c r="Q93" i="57"/>
  <c r="R93" i="57" s="1"/>
  <c r="R94" i="57" s="1"/>
  <c r="AD12" i="9"/>
  <c r="AV37" i="57"/>
  <c r="AV38" i="57" s="1"/>
  <c r="AX37" i="57"/>
  <c r="BA37" i="57" s="1"/>
  <c r="R77" i="57"/>
  <c r="BB37" i="57" l="1"/>
  <c r="BD37" i="57"/>
  <c r="BE37" i="57" s="1"/>
  <c r="AY37" i="57"/>
  <c r="AY38" i="57" s="1"/>
  <c r="Q94" i="57"/>
  <c r="R88" i="57"/>
  <c r="R89" i="57"/>
  <c r="DO283" i="7"/>
  <c r="DO185" i="7"/>
  <c r="DO186" i="7" s="1"/>
  <c r="DO330" i="7"/>
  <c r="R78" i="57"/>
  <c r="DR125" i="8"/>
  <c r="DO53" i="7"/>
  <c r="DO43" i="7" s="1"/>
  <c r="DO218" i="7"/>
  <c r="DO294" i="8"/>
  <c r="DO155" i="8"/>
  <c r="DO204" i="7"/>
  <c r="DO212" i="7" s="1"/>
  <c r="DO211" i="7" s="1"/>
  <c r="DO95" i="45"/>
  <c r="DO96" i="45" s="1"/>
  <c r="DR84" i="45"/>
  <c r="DO84" i="45"/>
  <c r="DO83" i="45"/>
  <c r="BE38" i="57" l="1"/>
  <c r="BB38" i="57"/>
  <c r="DO565" i="7"/>
  <c r="DO566" i="7" s="1"/>
  <c r="DO300" i="7"/>
  <c r="DO569" i="7" l="1"/>
  <c r="DO571" i="7" s="1"/>
  <c r="DO574" i="7" s="1"/>
  <c r="DO577" i="7" s="1"/>
  <c r="DO302" i="7"/>
  <c r="DO319" i="7" s="1"/>
  <c r="DU166" i="45" l="1"/>
  <c r="DX167" i="45" s="1"/>
  <c r="DX104" i="45" s="1"/>
  <c r="DW166" i="45" l="1"/>
  <c r="DW167" i="45" s="1"/>
  <c r="DW104" i="45" s="1"/>
  <c r="DU167" i="45"/>
  <c r="DU104" i="45" s="1"/>
  <c r="DU175" i="45"/>
  <c r="DU103" i="45"/>
  <c r="DX176" i="45" l="1"/>
  <c r="DW175" i="45"/>
  <c r="DW178" i="45" s="1"/>
  <c r="DW179" i="45" s="1"/>
  <c r="DU118" i="45"/>
  <c r="DW103" i="45"/>
  <c r="DU502" i="7"/>
  <c r="DU178" i="45"/>
  <c r="DU176" i="45"/>
  <c r="DU503" i="7" s="1"/>
  <c r="DU179" i="45" l="1"/>
  <c r="DX179" i="45"/>
  <c r="DU119" i="45"/>
  <c r="DX119" i="45"/>
  <c r="DW176" i="45"/>
  <c r="DU121" i="45"/>
  <c r="DW118" i="45"/>
  <c r="DW121" i="45" s="1"/>
  <c r="DW122" i="45" s="1"/>
  <c r="DU129" i="45"/>
  <c r="DU122" i="45" l="1"/>
  <c r="DX122" i="45"/>
  <c r="DW129" i="45"/>
  <c r="DW130" i="45" s="1"/>
  <c r="DX130" i="45"/>
  <c r="DW119" i="45"/>
  <c r="DU357" i="45"/>
  <c r="DX358" i="45" s="1"/>
  <c r="DU130" i="45"/>
  <c r="DW357" i="45" l="1"/>
  <c r="DW358" i="45" s="1"/>
  <c r="DU361" i="45"/>
  <c r="DW361" i="45" s="1"/>
  <c r="DU358" i="45"/>
  <c r="DU364" i="45"/>
  <c r="DU366" i="45"/>
  <c r="DX367" i="45" s="1"/>
  <c r="DW366" i="45" l="1"/>
  <c r="DW367" i="45" s="1"/>
  <c r="DU6" i="45"/>
  <c r="DU367" i="45"/>
  <c r="DU375" i="45"/>
  <c r="DX376" i="45" s="1"/>
  <c r="DW375" i="45" l="1"/>
  <c r="DW376" i="45" s="1"/>
  <c r="DX389" i="45"/>
  <c r="DW6" i="45"/>
  <c r="DW11" i="45" s="1"/>
  <c r="DX11" i="45"/>
  <c r="DU398" i="45"/>
  <c r="DU61" i="45" s="1"/>
  <c r="DU395" i="45"/>
  <c r="DU391" i="45"/>
  <c r="DX392" i="45" s="1"/>
  <c r="DU11" i="45"/>
  <c r="DU17" i="45"/>
  <c r="DX22" i="45" s="1"/>
  <c r="DU376" i="45"/>
  <c r="DW398" i="45" l="1"/>
  <c r="DW61" i="45" s="1"/>
  <c r="DW395" i="45"/>
  <c r="DW391" i="45"/>
  <c r="DW392" i="45" s="1"/>
  <c r="DW17" i="45"/>
  <c r="DU392" i="45"/>
  <c r="DU60" i="45"/>
  <c r="DU22" i="45"/>
  <c r="DU28" i="45"/>
  <c r="DX33" i="45" s="1"/>
  <c r="DU400" i="45"/>
  <c r="DW400" i="45" s="1"/>
  <c r="DW28" i="45" l="1"/>
  <c r="DW33" i="45" s="1"/>
  <c r="DW22" i="45"/>
  <c r="DW44" i="45"/>
  <c r="DW401" i="45"/>
  <c r="DU38" i="45"/>
  <c r="DU33" i="45"/>
  <c r="DU401" i="45"/>
  <c r="DU44" i="45"/>
  <c r="DX49" i="45" s="1"/>
  <c r="DU506" i="7"/>
  <c r="DW38" i="45" l="1"/>
  <c r="DW54" i="45"/>
  <c r="DW49" i="45"/>
  <c r="DU54" i="45"/>
  <c r="DU49" i="45"/>
  <c r="DX503" i="7" l="1"/>
  <c r="DX502" i="7"/>
  <c r="DX506" i="7" l="1"/>
  <c r="DV503" i="7" l="1"/>
  <c r="DV502" i="7"/>
  <c r="P61" i="9"/>
  <c r="AH61" i="9" s="1"/>
  <c r="DW503" i="7"/>
  <c r="DW502" i="7"/>
  <c r="DV506" i="7" l="1"/>
  <c r="DY164" i="45" l="1"/>
  <c r="DY166" i="45" s="1"/>
  <c r="DZ166" i="45" l="1"/>
  <c r="DZ164" i="45"/>
  <c r="DY167" i="45"/>
  <c r="DY104" i="45" s="1"/>
  <c r="DY175" i="45"/>
  <c r="DY103" i="45"/>
  <c r="DY178" i="45" l="1"/>
  <c r="DY179" i="45" s="1"/>
  <c r="DY176" i="45"/>
  <c r="DY503" i="7" s="1"/>
  <c r="DZ175" i="45"/>
  <c r="DY502" i="7"/>
  <c r="DZ103" i="45"/>
  <c r="Q61" i="9" s="1"/>
  <c r="AI61" i="9" s="1"/>
  <c r="DY118" i="45"/>
  <c r="DZ167" i="45"/>
  <c r="DZ104" i="45" s="1"/>
  <c r="DZ165" i="45"/>
  <c r="DZ178" i="45" l="1"/>
  <c r="DZ179" i="45" s="1"/>
  <c r="DZ502" i="7"/>
  <c r="DZ176" i="45"/>
  <c r="DZ503" i="7" s="1"/>
  <c r="DY121" i="45"/>
  <c r="DY122" i="45" s="1"/>
  <c r="DY119" i="45"/>
  <c r="DZ118" i="45"/>
  <c r="DY129" i="45"/>
  <c r="DY357" i="45" l="1"/>
  <c r="DZ121" i="45"/>
  <c r="DZ122" i="45" s="1"/>
  <c r="DZ119" i="45"/>
  <c r="DY363" i="45" l="1"/>
  <c r="DY366" i="45" l="1"/>
  <c r="DY6" i="45" l="1"/>
  <c r="DY375" i="45"/>
  <c r="DY17" i="45" s="1"/>
  <c r="DY394" i="45" l="1"/>
  <c r="DY397" i="45"/>
  <c r="DY391" i="45" l="1"/>
  <c r="DY28" i="45"/>
  <c r="DY400" i="45"/>
  <c r="DY60" i="45"/>
  <c r="DY401" i="45" l="1"/>
  <c r="DY44" i="45"/>
  <c r="DY506" i="7"/>
  <c r="DY38" i="45"/>
  <c r="DY54" i="45" l="1"/>
  <c r="EA164" i="45" l="1"/>
  <c r="EA166" i="45" s="1"/>
  <c r="EA167" i="45" l="1"/>
  <c r="EA104" i="45" s="1"/>
  <c r="EA103" i="45"/>
  <c r="EB164" i="45"/>
  <c r="EC164" i="45" s="1"/>
  <c r="EC165" i="45" l="1"/>
  <c r="EB166" i="45"/>
  <c r="EB167" i="45" l="1"/>
  <c r="EB104" i="45" s="1"/>
  <c r="EC166" i="45"/>
  <c r="EB103" i="45"/>
  <c r="EC167" i="45" l="1"/>
  <c r="EC104" i="45" s="1"/>
  <c r="EC103" i="45"/>
  <c r="R61" i="9" s="1"/>
  <c r="AJ61" i="9" s="1"/>
  <c r="DL146" i="45"/>
  <c r="DL147" i="45" l="1"/>
  <c r="DM146" i="45"/>
  <c r="DM147" i="45" s="1"/>
  <c r="DP146" i="45"/>
  <c r="DS146" i="45"/>
  <c r="DV147" i="45" s="1"/>
  <c r="DP147" i="45" l="1"/>
  <c r="DS147" i="45"/>
  <c r="DY155" i="45" l="1"/>
  <c r="DO146" i="45"/>
  <c r="DR146" i="45"/>
  <c r="DU147" i="45" s="1"/>
  <c r="DR147" i="45" l="1"/>
  <c r="DO147" i="45"/>
  <c r="DY146" i="45"/>
  <c r="EB155" i="45"/>
  <c r="EE155" i="45" l="1"/>
  <c r="EH155" i="45" s="1"/>
  <c r="EK155" i="45" s="1"/>
  <c r="EN155" i="45" s="1"/>
  <c r="EQ155" i="45" s="1"/>
  <c r="ET155" i="45" s="1"/>
  <c r="EW155" i="45" s="1"/>
  <c r="EZ155" i="45" s="1"/>
  <c r="EB146" i="45"/>
  <c r="DY147" i="45"/>
  <c r="EA155" i="45" l="1"/>
  <c r="EB147" i="45"/>
  <c r="EE146" i="45"/>
  <c r="EE162" i="45" l="1"/>
  <c r="EE163" i="45" s="1"/>
  <c r="EH146" i="45"/>
  <c r="ED155" i="45"/>
  <c r="EG155" i="45" s="1"/>
  <c r="EJ155" i="45" s="1"/>
  <c r="EM155" i="45" s="1"/>
  <c r="EP155" i="45" s="1"/>
  <c r="ES155" i="45" s="1"/>
  <c r="EV155" i="45" s="1"/>
  <c r="EY155" i="45" s="1"/>
  <c r="EA146" i="45"/>
  <c r="DZ146" i="45"/>
  <c r="EC146" i="45" l="1"/>
  <c r="EA147" i="45"/>
  <c r="ED146" i="45"/>
  <c r="EH162" i="45"/>
  <c r="EH163" i="45" s="1"/>
  <c r="EK146" i="45"/>
  <c r="DZ155" i="45"/>
  <c r="DZ156" i="45" s="1"/>
  <c r="DZ147" i="45"/>
  <c r="EK162" i="45" l="1"/>
  <c r="EK163" i="45" s="1"/>
  <c r="EN146" i="45"/>
  <c r="EF146" i="45"/>
  <c r="ED162" i="45"/>
  <c r="ED163" i="45" s="1"/>
  <c r="EG146" i="45"/>
  <c r="EC155" i="45"/>
  <c r="EC156" i="45" s="1"/>
  <c r="EC147" i="45"/>
  <c r="EF147" i="45" l="1"/>
  <c r="EI146" i="45"/>
  <c r="EG162" i="45"/>
  <c r="EJ146" i="45"/>
  <c r="EF162" i="45"/>
  <c r="EF163" i="45" s="1"/>
  <c r="EN162" i="45"/>
  <c r="EN163" i="45" s="1"/>
  <c r="EQ146" i="45"/>
  <c r="EF155" i="45" l="1"/>
  <c r="EF156" i="45" s="1"/>
  <c r="EG163" i="45"/>
  <c r="EI162" i="45"/>
  <c r="EI147" i="45"/>
  <c r="EQ162" i="45"/>
  <c r="EQ163" i="45" s="1"/>
  <c r="ET146" i="45"/>
  <c r="EW146" i="45" s="1"/>
  <c r="EZ146" i="45" s="1"/>
  <c r="EJ162" i="45"/>
  <c r="EL146" i="45"/>
  <c r="EM146" i="45"/>
  <c r="EZ162" i="45" l="1"/>
  <c r="EW162" i="45"/>
  <c r="EM162" i="45"/>
  <c r="EO146" i="45"/>
  <c r="EP146" i="45"/>
  <c r="EL147" i="45"/>
  <c r="EL162" i="45"/>
  <c r="EJ163" i="45"/>
  <c r="ET162" i="45"/>
  <c r="ET163" i="45" s="1"/>
  <c r="EI155" i="45"/>
  <c r="EI156" i="45" s="1"/>
  <c r="EI163" i="45"/>
  <c r="EZ163" i="45" l="1"/>
  <c r="EW163" i="45"/>
  <c r="EP162" i="45"/>
  <c r="ER146" i="45"/>
  <c r="ES146" i="45"/>
  <c r="EV146" i="45" s="1"/>
  <c r="EY146" i="45" s="1"/>
  <c r="EL163" i="45"/>
  <c r="EL155" i="45"/>
  <c r="EL156" i="45" s="1"/>
  <c r="EO147" i="45"/>
  <c r="EO162" i="45"/>
  <c r="EM163" i="45"/>
  <c r="FA146" i="45" l="1"/>
  <c r="EY162" i="45"/>
  <c r="EV162" i="45"/>
  <c r="EX146" i="45"/>
  <c r="EU146" i="45"/>
  <c r="ES162" i="45"/>
  <c r="ER147" i="45"/>
  <c r="ER162" i="45"/>
  <c r="EP163" i="45"/>
  <c r="EO155" i="45"/>
  <c r="EO156" i="45" s="1"/>
  <c r="EO163" i="45"/>
  <c r="EY163" i="45" l="1"/>
  <c r="FA162" i="45"/>
  <c r="FA147" i="45"/>
  <c r="EX147" i="45"/>
  <c r="EV163" i="45"/>
  <c r="EX162" i="45"/>
  <c r="EU147" i="45"/>
  <c r="ES163" i="45"/>
  <c r="EU162" i="45"/>
  <c r="ER155" i="45"/>
  <c r="ER156" i="45" s="1"/>
  <c r="ER163" i="45"/>
  <c r="FA163" i="45" l="1"/>
  <c r="FA155" i="45"/>
  <c r="EX163" i="45"/>
  <c r="EX155" i="45"/>
  <c r="EU155" i="45"/>
  <c r="EU156" i="45" s="1"/>
  <c r="EU163" i="45"/>
  <c r="DM148" i="45"/>
  <c r="DM150" i="45" s="1"/>
  <c r="FA156" i="45" l="1"/>
  <c r="EX156" i="45"/>
  <c r="DM149" i="45"/>
  <c r="DM140" i="45"/>
  <c r="DM151" i="45"/>
  <c r="DM159" i="45"/>
  <c r="DM160" i="45" s="1"/>
  <c r="DM141" i="45"/>
  <c r="DL148" i="45"/>
  <c r="DL150" i="45" s="1"/>
  <c r="DL159" i="45" l="1"/>
  <c r="DL160" i="45" s="1"/>
  <c r="DL151" i="45"/>
  <c r="DL140" i="45"/>
  <c r="DL141" i="45"/>
  <c r="DL149" i="45"/>
  <c r="DN150" i="45"/>
  <c r="DN151" i="45" l="1"/>
  <c r="DN159" i="45"/>
  <c r="DN160" i="45" s="1"/>
  <c r="DP148" i="45"/>
  <c r="DS157" i="45"/>
  <c r="DS148" i="45" l="1"/>
  <c r="DS149" i="45" s="1"/>
  <c r="DV157" i="45"/>
  <c r="DV148" i="45" s="1"/>
  <c r="DP150" i="45"/>
  <c r="DO148" i="45"/>
  <c r="DR157" i="45"/>
  <c r="DS150" i="45" l="1"/>
  <c r="DS151" i="45" s="1"/>
  <c r="DV149" i="45"/>
  <c r="DV150" i="45"/>
  <c r="DR148" i="45"/>
  <c r="DR150" i="45" s="1"/>
  <c r="DT157" i="45"/>
  <c r="DY157" i="45"/>
  <c r="DU157" i="45"/>
  <c r="DX157" i="45" s="1"/>
  <c r="DX148" i="45" s="1"/>
  <c r="DP151" i="45"/>
  <c r="DP159" i="45"/>
  <c r="DP160" i="45" s="1"/>
  <c r="DP140" i="45"/>
  <c r="DO150" i="45"/>
  <c r="DO141" i="45" s="1"/>
  <c r="DP141" i="45"/>
  <c r="DX150" i="45" l="1"/>
  <c r="DS140" i="45"/>
  <c r="DU140" i="45" s="1"/>
  <c r="DS159" i="45"/>
  <c r="DS160" i="45" s="1"/>
  <c r="DS141" i="45"/>
  <c r="DU148" i="45"/>
  <c r="DU149" i="45" s="1"/>
  <c r="DW157" i="45"/>
  <c r="DV141" i="45"/>
  <c r="DV159" i="45"/>
  <c r="DV151" i="45"/>
  <c r="DV140" i="45"/>
  <c r="DX140" i="45" s="1"/>
  <c r="DX141" i="45" s="1"/>
  <c r="DR149" i="45"/>
  <c r="DY148" i="45"/>
  <c r="EB157" i="45"/>
  <c r="DR159" i="45"/>
  <c r="DR140" i="45"/>
  <c r="DR151" i="45"/>
  <c r="DT150" i="45"/>
  <c r="DR141" i="45"/>
  <c r="DO151" i="45"/>
  <c r="DO159" i="45"/>
  <c r="DO160" i="45" s="1"/>
  <c r="DO140" i="45"/>
  <c r="DQ150" i="45"/>
  <c r="DX159" i="45" l="1"/>
  <c r="DX149" i="45"/>
  <c r="DV160" i="45"/>
  <c r="DY140" i="45"/>
  <c r="DY141" i="45" s="1"/>
  <c r="DU150" i="45"/>
  <c r="DU151" i="45" s="1"/>
  <c r="DW158" i="45"/>
  <c r="DW148" i="45"/>
  <c r="EE157" i="45"/>
  <c r="EH157" i="45" s="1"/>
  <c r="EK157" i="45" s="1"/>
  <c r="EN157" i="45" s="1"/>
  <c r="EQ157" i="45" s="1"/>
  <c r="ET157" i="45" s="1"/>
  <c r="EW157" i="45" s="1"/>
  <c r="EZ157" i="45" s="1"/>
  <c r="EB148" i="45"/>
  <c r="DY150" i="45"/>
  <c r="DY149" i="45"/>
  <c r="DQ151" i="45"/>
  <c r="DQ159" i="45"/>
  <c r="DQ160" i="45" s="1"/>
  <c r="DT151" i="45"/>
  <c r="DT159" i="45"/>
  <c r="EA140" i="45"/>
  <c r="DU141" i="45"/>
  <c r="EA157" i="45"/>
  <c r="DR160" i="45"/>
  <c r="DX151" i="45" l="1"/>
  <c r="EB140" i="45"/>
  <c r="EE140" i="45" s="1"/>
  <c r="DW150" i="45"/>
  <c r="DW151" i="45" s="1"/>
  <c r="DT160" i="45"/>
  <c r="EE148" i="45"/>
  <c r="EB149" i="45"/>
  <c r="EB150" i="45"/>
  <c r="DY151" i="45"/>
  <c r="DY159" i="45"/>
  <c r="DY160" i="45" s="1"/>
  <c r="EB141" i="45"/>
  <c r="ED140" i="45"/>
  <c r="EA141" i="45"/>
  <c r="ED157" i="45"/>
  <c r="EG157" i="45" s="1"/>
  <c r="EJ157" i="45" s="1"/>
  <c r="EM157" i="45" s="1"/>
  <c r="EP157" i="45" s="1"/>
  <c r="ES157" i="45" s="1"/>
  <c r="EV157" i="45" s="1"/>
  <c r="EY157" i="45" s="1"/>
  <c r="EA148" i="45"/>
  <c r="DZ148" i="45"/>
  <c r="DU159" i="45"/>
  <c r="DU160" i="45" s="1"/>
  <c r="DX160" i="45" l="1"/>
  <c r="DW159" i="45"/>
  <c r="DW160" i="45" s="1"/>
  <c r="DW141" i="45"/>
  <c r="DW140" i="45"/>
  <c r="EB151" i="45"/>
  <c r="EB159" i="45"/>
  <c r="EB160" i="45" s="1"/>
  <c r="EH148" i="45"/>
  <c r="EE150" i="45"/>
  <c r="EE151" i="45" s="1"/>
  <c r="EE164" i="45"/>
  <c r="EE165" i="45" s="1"/>
  <c r="DZ150" i="45"/>
  <c r="DZ141" i="45" s="1"/>
  <c r="DZ157" i="45"/>
  <c r="DZ158" i="45" s="1"/>
  <c r="DZ149" i="45"/>
  <c r="EA149" i="45"/>
  <c r="EC148" i="45"/>
  <c r="ED148" i="45"/>
  <c r="EA150" i="45"/>
  <c r="EH140" i="45"/>
  <c r="EE141" i="45"/>
  <c r="ED141" i="45"/>
  <c r="EG140" i="45"/>
  <c r="EH150" i="45" l="1"/>
  <c r="EH151" i="45" s="1"/>
  <c r="EH164" i="45"/>
  <c r="EK148" i="45"/>
  <c r="EB299" i="45"/>
  <c r="EB300" i="45" s="1"/>
  <c r="EB288" i="45"/>
  <c r="EB275" i="45"/>
  <c r="EB379" i="45"/>
  <c r="EB380" i="45" s="1"/>
  <c r="EB189" i="45"/>
  <c r="EB190" i="45" s="1"/>
  <c r="EB172" i="45"/>
  <c r="EB183" i="45"/>
  <c r="EB184" i="45" s="1"/>
  <c r="EB195" i="45"/>
  <c r="EE133" i="45"/>
  <c r="EE166" i="45"/>
  <c r="EK140" i="45"/>
  <c r="EH141" i="45"/>
  <c r="EF148" i="45"/>
  <c r="ED150" i="45"/>
  <c r="EG148" i="45"/>
  <c r="ED164" i="45"/>
  <c r="ED165" i="45" s="1"/>
  <c r="DZ159" i="45"/>
  <c r="DZ160" i="45" s="1"/>
  <c r="DZ151" i="45"/>
  <c r="DZ140" i="45"/>
  <c r="EC150" i="45"/>
  <c r="EC141" i="45" s="1"/>
  <c r="EA159" i="45"/>
  <c r="EA160" i="45" s="1"/>
  <c r="EA151" i="45"/>
  <c r="EG141" i="45"/>
  <c r="EJ140" i="45"/>
  <c r="EC157" i="45"/>
  <c r="EC158" i="45" s="1"/>
  <c r="EC149" i="45"/>
  <c r="EE275" i="45" l="1"/>
  <c r="EE183" i="45"/>
  <c r="EE184" i="45" s="1"/>
  <c r="EE195" i="45"/>
  <c r="EE299" i="45"/>
  <c r="EE300" i="45" s="1"/>
  <c r="EE189" i="45"/>
  <c r="EE190" i="45" s="1"/>
  <c r="EE379" i="45"/>
  <c r="EE288" i="45"/>
  <c r="EE172" i="45"/>
  <c r="EH133" i="45"/>
  <c r="EB192" i="45"/>
  <c r="EB193" i="45" s="1"/>
  <c r="EB196" i="45"/>
  <c r="EK164" i="45"/>
  <c r="EN148" i="45"/>
  <c r="EK150" i="45"/>
  <c r="EK151" i="45" s="1"/>
  <c r="EE103" i="45"/>
  <c r="EE159" i="45"/>
  <c r="EE160" i="45" s="1"/>
  <c r="EE167" i="45"/>
  <c r="EE104" i="45" s="1"/>
  <c r="EB276" i="45"/>
  <c r="EB281" i="45"/>
  <c r="EH165" i="45"/>
  <c r="EH166" i="45"/>
  <c r="EB175" i="45"/>
  <c r="EB106" i="45"/>
  <c r="EB107" i="45" s="1"/>
  <c r="EB173" i="45"/>
  <c r="EA183" i="45"/>
  <c r="EA184" i="45" s="1"/>
  <c r="EA299" i="45"/>
  <c r="EA300" i="45" s="1"/>
  <c r="EA189" i="45"/>
  <c r="EA190" i="45" s="1"/>
  <c r="EA288" i="45"/>
  <c r="EA195" i="45"/>
  <c r="EA379" i="45"/>
  <c r="EA380" i="45" s="1"/>
  <c r="EA172" i="45"/>
  <c r="ED133" i="45"/>
  <c r="ED151" i="45"/>
  <c r="EF150" i="45"/>
  <c r="EF141" i="45" s="1"/>
  <c r="EM140" i="45"/>
  <c r="EJ141" i="45"/>
  <c r="EF149" i="45"/>
  <c r="EF164" i="45"/>
  <c r="EF165" i="45" s="1"/>
  <c r="ED166" i="45"/>
  <c r="EC140" i="45"/>
  <c r="EC151" i="45"/>
  <c r="EC159" i="45"/>
  <c r="EC160" i="45" s="1"/>
  <c r="EI148" i="45"/>
  <c r="EG150" i="45"/>
  <c r="EG164" i="45"/>
  <c r="EJ148" i="45"/>
  <c r="EN140" i="45"/>
  <c r="EK141" i="45"/>
  <c r="EE380" i="45" l="1"/>
  <c r="EE385" i="45"/>
  <c r="EE386" i="45" s="1"/>
  <c r="EK166" i="45"/>
  <c r="EK165" i="45"/>
  <c r="EE106" i="45"/>
  <c r="EE107" i="45" s="1"/>
  <c r="EE173" i="45"/>
  <c r="EE175" i="45"/>
  <c r="EB282" i="45"/>
  <c r="EB113" i="45" s="1"/>
  <c r="EB112" i="45"/>
  <c r="EB118" i="45" s="1"/>
  <c r="EB284" i="45"/>
  <c r="EB285" i="45" s="1"/>
  <c r="EE196" i="45"/>
  <c r="EE192" i="45"/>
  <c r="EE193" i="45" s="1"/>
  <c r="EB178" i="45"/>
  <c r="EB179" i="45" s="1"/>
  <c r="EB502" i="7"/>
  <c r="EB176" i="45"/>
  <c r="EB503" i="7" s="1"/>
  <c r="EH167" i="45"/>
  <c r="EH104" i="45" s="1"/>
  <c r="EH103" i="45"/>
  <c r="EH159" i="45"/>
  <c r="EH160" i="45" s="1"/>
  <c r="EQ148" i="45"/>
  <c r="EN150" i="45"/>
  <c r="EN151" i="45" s="1"/>
  <c r="EN164" i="45"/>
  <c r="EH275" i="45"/>
  <c r="EH379" i="45"/>
  <c r="EK133" i="45"/>
  <c r="EH299" i="45"/>
  <c r="EH300" i="45" s="1"/>
  <c r="EH288" i="45"/>
  <c r="EH189" i="45"/>
  <c r="EH190" i="45" s="1"/>
  <c r="EH195" i="45"/>
  <c r="EH183" i="45"/>
  <c r="EH184" i="45" s="1"/>
  <c r="EH172" i="45"/>
  <c r="EE276" i="45"/>
  <c r="EE281" i="45"/>
  <c r="EI149" i="45"/>
  <c r="EI164" i="45"/>
  <c r="EG165" i="45"/>
  <c r="EG166" i="45"/>
  <c r="EA276" i="45"/>
  <c r="EC275" i="45"/>
  <c r="EA281" i="45"/>
  <c r="ED195" i="45"/>
  <c r="ED183" i="45"/>
  <c r="ED184" i="45" s="1"/>
  <c r="ED288" i="45"/>
  <c r="ED299" i="45"/>
  <c r="ED300" i="45" s="1"/>
  <c r="ED189" i="45"/>
  <c r="ED190" i="45" s="1"/>
  <c r="EF133" i="45"/>
  <c r="ED379" i="45"/>
  <c r="ED275" i="45"/>
  <c r="ED172" i="45"/>
  <c r="EG133" i="45"/>
  <c r="EG275" i="45" s="1"/>
  <c r="EF157" i="45"/>
  <c r="EF158" i="45" s="1"/>
  <c r="EP140" i="45"/>
  <c r="EM141" i="45"/>
  <c r="EA106" i="45"/>
  <c r="EA107" i="45" s="1"/>
  <c r="EA173" i="45"/>
  <c r="EC172" i="45"/>
  <c r="EA175" i="45"/>
  <c r="EG151" i="45"/>
  <c r="EI150" i="45"/>
  <c r="EI141" i="45" s="1"/>
  <c r="EN141" i="45"/>
  <c r="EQ140" i="45"/>
  <c r="EL148" i="45"/>
  <c r="EJ150" i="45"/>
  <c r="EJ164" i="45"/>
  <c r="EM148" i="45"/>
  <c r="ED159" i="45"/>
  <c r="ED160" i="45" s="1"/>
  <c r="ED167" i="45"/>
  <c r="ED104" i="45" s="1"/>
  <c r="EF166" i="45"/>
  <c r="ED103" i="45"/>
  <c r="EF151" i="45"/>
  <c r="EF140" i="45"/>
  <c r="EC189" i="45"/>
  <c r="EC190" i="45" s="1"/>
  <c r="EC299" i="45"/>
  <c r="EC300" i="45" s="1"/>
  <c r="EC134" i="45"/>
  <c r="EC288" i="45"/>
  <c r="EC195" i="45"/>
  <c r="EC379" i="45"/>
  <c r="EC183" i="45"/>
  <c r="EC184" i="45" s="1"/>
  <c r="EA192" i="45"/>
  <c r="EA193" i="45" s="1"/>
  <c r="EA196" i="45"/>
  <c r="EH380" i="45" l="1"/>
  <c r="EH385" i="45"/>
  <c r="EH386" i="45" s="1"/>
  <c r="EE282" i="45"/>
  <c r="EE113" i="45" s="1"/>
  <c r="EE284" i="45"/>
  <c r="EE285" i="45" s="1"/>
  <c r="EE112" i="45"/>
  <c r="EE118" i="45" s="1"/>
  <c r="EH192" i="45"/>
  <c r="EH193" i="45" s="1"/>
  <c r="EH196" i="45"/>
  <c r="EK379" i="45"/>
  <c r="EK275" i="45"/>
  <c r="EN133" i="45"/>
  <c r="EK183" i="45"/>
  <c r="EK184" i="45" s="1"/>
  <c r="EK189" i="45"/>
  <c r="EK190" i="45" s="1"/>
  <c r="EK195" i="45"/>
  <c r="EK288" i="45"/>
  <c r="EK299" i="45"/>
  <c r="EK300" i="45" s="1"/>
  <c r="EK172" i="45"/>
  <c r="EQ150" i="45"/>
  <c r="EQ151" i="45" s="1"/>
  <c r="ET148" i="45"/>
  <c r="EW148" i="45" s="1"/>
  <c r="EZ148" i="45" s="1"/>
  <c r="EQ164" i="45"/>
  <c r="EB121" i="45"/>
  <c r="EB122" i="45" s="1"/>
  <c r="EB119" i="45"/>
  <c r="EB129" i="45"/>
  <c r="EH175" i="45"/>
  <c r="EH106" i="45"/>
  <c r="EH107" i="45" s="1"/>
  <c r="EH173" i="45"/>
  <c r="EH276" i="45"/>
  <c r="EH281" i="45"/>
  <c r="EN165" i="45"/>
  <c r="EN166" i="45"/>
  <c r="EE176" i="45"/>
  <c r="EE503" i="7" s="1"/>
  <c r="EE178" i="45"/>
  <c r="EE179" i="45" s="1"/>
  <c r="EE502" i="7"/>
  <c r="EK167" i="45"/>
  <c r="EK104" i="45" s="1"/>
  <c r="EK103" i="45"/>
  <c r="EK159" i="45"/>
  <c r="EK160" i="45" s="1"/>
  <c r="EL150" i="45"/>
  <c r="EL141" i="45" s="1"/>
  <c r="EJ151" i="45"/>
  <c r="ED380" i="45"/>
  <c r="ED385" i="45"/>
  <c r="EC192" i="45"/>
  <c r="EC193" i="45" s="1"/>
  <c r="EC196" i="45"/>
  <c r="EL149" i="45"/>
  <c r="EQ141" i="45"/>
  <c r="ET140" i="45"/>
  <c r="ES140" i="45"/>
  <c r="EP141" i="45"/>
  <c r="ED106" i="45"/>
  <c r="ED107" i="45" s="1"/>
  <c r="ED173" i="45"/>
  <c r="EF172" i="45"/>
  <c r="ED175" i="45"/>
  <c r="EF195" i="45"/>
  <c r="EF379" i="45"/>
  <c r="EF380" i="45" s="1"/>
  <c r="EF299" i="45"/>
  <c r="EF300" i="45" s="1"/>
  <c r="EF134" i="45"/>
  <c r="EF288" i="45"/>
  <c r="EF183" i="45"/>
  <c r="EF184" i="45" s="1"/>
  <c r="EF189" i="45"/>
  <c r="EF190" i="45" s="1"/>
  <c r="EC273" i="45"/>
  <c r="EC276" i="45"/>
  <c r="EC382" i="45"/>
  <c r="EC383" i="45" s="1"/>
  <c r="EC380" i="45"/>
  <c r="EF159" i="45"/>
  <c r="EF160" i="45" s="1"/>
  <c r="EF167" i="45"/>
  <c r="EF104" i="45" s="1"/>
  <c r="EL164" i="45"/>
  <c r="EJ165" i="45"/>
  <c r="EJ166" i="45"/>
  <c r="EA178" i="45"/>
  <c r="EA179" i="45" s="1"/>
  <c r="EA176" i="45"/>
  <c r="EA503" i="7" s="1"/>
  <c r="EA502" i="7"/>
  <c r="EC175" i="45"/>
  <c r="ED196" i="45"/>
  <c r="ED192" i="45"/>
  <c r="ED193" i="45" s="1"/>
  <c r="EG183" i="45"/>
  <c r="EG184" i="45" s="1"/>
  <c r="EG299" i="45"/>
  <c r="EG300" i="45" s="1"/>
  <c r="EG195" i="45"/>
  <c r="EG379" i="45"/>
  <c r="EI133" i="45"/>
  <c r="EG189" i="45"/>
  <c r="EG190" i="45" s="1"/>
  <c r="EG288" i="45"/>
  <c r="EJ133" i="45"/>
  <c r="EG172" i="45"/>
  <c r="EG167" i="45"/>
  <c r="EG104" i="45" s="1"/>
  <c r="EI166" i="45"/>
  <c r="EG159" i="45"/>
  <c r="EG160" i="45" s="1"/>
  <c r="EG103" i="45"/>
  <c r="EC106" i="45"/>
  <c r="EC107" i="45" s="1"/>
  <c r="EC169" i="45"/>
  <c r="EC170" i="45" s="1"/>
  <c r="EC173" i="45"/>
  <c r="EA284" i="45"/>
  <c r="EA285" i="45" s="1"/>
  <c r="EC281" i="45"/>
  <c r="EA282" i="45"/>
  <c r="EA113" i="45" s="1"/>
  <c r="EA112" i="45"/>
  <c r="EI151" i="45"/>
  <c r="EI140" i="45"/>
  <c r="EF103" i="45"/>
  <c r="S61" i="9" s="1"/>
  <c r="AK61" i="9" s="1"/>
  <c r="EM150" i="45"/>
  <c r="EO148" i="45"/>
  <c r="EP148" i="45"/>
  <c r="EM164" i="45"/>
  <c r="EF275" i="45"/>
  <c r="ED276" i="45"/>
  <c r="ED281" i="45"/>
  <c r="EI157" i="45"/>
  <c r="EI158" i="45" s="1"/>
  <c r="EI165" i="45"/>
  <c r="EZ164" i="45" l="1"/>
  <c r="EZ150" i="45"/>
  <c r="EG380" i="45"/>
  <c r="EG385" i="45"/>
  <c r="EI385" i="45" s="1"/>
  <c r="EK380" i="45"/>
  <c r="EK385" i="45"/>
  <c r="EK386" i="45" s="1"/>
  <c r="EF385" i="45"/>
  <c r="ES141" i="45"/>
  <c r="EV140" i="45"/>
  <c r="EW164" i="45"/>
  <c r="EW150" i="45"/>
  <c r="ET141" i="45"/>
  <c r="EW140" i="45"/>
  <c r="EN189" i="45"/>
  <c r="EN190" i="45" s="1"/>
  <c r="EN288" i="45"/>
  <c r="EN379" i="45"/>
  <c r="EN195" i="45"/>
  <c r="EN275" i="45"/>
  <c r="EN172" i="45"/>
  <c r="EN183" i="45"/>
  <c r="EN184" i="45" s="1"/>
  <c r="EN299" i="45"/>
  <c r="EN300" i="45" s="1"/>
  <c r="EQ133" i="45"/>
  <c r="EN167" i="45"/>
  <c r="EN104" i="45" s="1"/>
  <c r="EN159" i="45"/>
  <c r="EN160" i="45" s="1"/>
  <c r="EN103" i="45"/>
  <c r="EH112" i="45"/>
  <c r="EH118" i="45" s="1"/>
  <c r="EH284" i="45"/>
  <c r="EH285" i="45" s="1"/>
  <c r="EH282" i="45"/>
  <c r="EH113" i="45" s="1"/>
  <c r="EH178" i="45"/>
  <c r="EH179" i="45" s="1"/>
  <c r="EH176" i="45"/>
  <c r="EH503" i="7" s="1"/>
  <c r="EH502" i="7"/>
  <c r="EQ165" i="45"/>
  <c r="EQ166" i="45"/>
  <c r="EK192" i="45"/>
  <c r="EK193" i="45" s="1"/>
  <c r="EK196" i="45"/>
  <c r="EK276" i="45"/>
  <c r="EK281" i="45"/>
  <c r="EE119" i="45"/>
  <c r="EE121" i="45"/>
  <c r="EE122" i="45" s="1"/>
  <c r="EE129" i="45"/>
  <c r="EB130" i="45"/>
  <c r="EB357" i="45"/>
  <c r="ET164" i="45"/>
  <c r="ET150" i="45"/>
  <c r="ET151" i="45" s="1"/>
  <c r="EK173" i="45"/>
  <c r="EK106" i="45"/>
  <c r="EK107" i="45" s="1"/>
  <c r="EK175" i="45"/>
  <c r="EO150" i="45"/>
  <c r="EO141" i="45" s="1"/>
  <c r="EM151" i="45"/>
  <c r="EG276" i="45"/>
  <c r="EG281" i="45"/>
  <c r="EI275" i="45"/>
  <c r="EM165" i="45"/>
  <c r="EO164" i="45"/>
  <c r="EM166" i="45"/>
  <c r="ED284" i="45"/>
  <c r="ED285" i="45" s="1"/>
  <c r="ED112" i="45"/>
  <c r="ED282" i="45"/>
  <c r="ED113" i="45" s="1"/>
  <c r="EF281" i="45"/>
  <c r="EO149" i="45"/>
  <c r="EC112" i="45"/>
  <c r="R63" i="9" s="1"/>
  <c r="AJ63" i="9" s="1"/>
  <c r="EA118" i="45"/>
  <c r="EI103" i="45"/>
  <c r="EC178" i="45"/>
  <c r="EC179" i="45" s="1"/>
  <c r="EC502" i="7"/>
  <c r="EC176" i="45"/>
  <c r="EC503" i="7" s="1"/>
  <c r="EJ159" i="45"/>
  <c r="EJ160" i="45" s="1"/>
  <c r="EJ167" i="45"/>
  <c r="EJ104" i="45" s="1"/>
  <c r="EL166" i="45"/>
  <c r="EJ103" i="45"/>
  <c r="ED178" i="45"/>
  <c r="ED179" i="45" s="1"/>
  <c r="ED176" i="45"/>
  <c r="ED503" i="7" s="1"/>
  <c r="ED502" i="7"/>
  <c r="EF175" i="45"/>
  <c r="ED386" i="45"/>
  <c r="EF106" i="45"/>
  <c r="EF107" i="45" s="1"/>
  <c r="EF169" i="45"/>
  <c r="EF170" i="45" s="1"/>
  <c r="EF173" i="45"/>
  <c r="EG106" i="45"/>
  <c r="EG107" i="45" s="1"/>
  <c r="EG173" i="45"/>
  <c r="EI172" i="45"/>
  <c r="EG175" i="45"/>
  <c r="EC284" i="45"/>
  <c r="EC285" i="45" s="1"/>
  <c r="EC278" i="45"/>
  <c r="EC279" i="45" s="1"/>
  <c r="EC282" i="45"/>
  <c r="EC113" i="45" s="1"/>
  <c r="EI159" i="45"/>
  <c r="EI160" i="45" s="1"/>
  <c r="EI167" i="45"/>
  <c r="EI104" i="45" s="1"/>
  <c r="EJ183" i="45"/>
  <c r="EJ184" i="45" s="1"/>
  <c r="EJ189" i="45"/>
  <c r="EJ190" i="45" s="1"/>
  <c r="EJ195" i="45"/>
  <c r="EJ299" i="45"/>
  <c r="EJ300" i="45" s="1"/>
  <c r="EL133" i="45"/>
  <c r="EJ288" i="45"/>
  <c r="EJ379" i="45"/>
  <c r="EJ275" i="45"/>
  <c r="EM133" i="45"/>
  <c r="EJ172" i="45"/>
  <c r="EG192" i="45"/>
  <c r="EG193" i="45" s="1"/>
  <c r="EG196" i="45"/>
  <c r="EL157" i="45"/>
  <c r="EL158" i="45" s="1"/>
  <c r="EL165" i="45"/>
  <c r="EF276" i="45"/>
  <c r="EF273" i="45"/>
  <c r="EP150" i="45"/>
  <c r="ER148" i="45"/>
  <c r="ES148" i="45"/>
  <c r="EV148" i="45" s="1"/>
  <c r="EY148" i="45" s="1"/>
  <c r="EP164" i="45"/>
  <c r="EI189" i="45"/>
  <c r="EI190" i="45" s="1"/>
  <c r="EI183" i="45"/>
  <c r="EI184" i="45" s="1"/>
  <c r="EI379" i="45"/>
  <c r="EI380" i="45" s="1"/>
  <c r="EI195" i="45"/>
  <c r="EI299" i="45"/>
  <c r="EI300" i="45" s="1"/>
  <c r="EI134" i="45"/>
  <c r="EI288" i="45"/>
  <c r="EF196" i="45"/>
  <c r="EF192" i="45"/>
  <c r="EF193" i="45" s="1"/>
  <c r="EL151" i="45"/>
  <c r="EL140" i="45"/>
  <c r="EG386" i="45" l="1"/>
  <c r="EW141" i="45"/>
  <c r="EZ140" i="45"/>
  <c r="EZ141" i="45" s="1"/>
  <c r="EV141" i="45"/>
  <c r="EY140" i="45"/>
  <c r="EY141" i="45" s="1"/>
  <c r="EZ151" i="45"/>
  <c r="FA148" i="45"/>
  <c r="EY164" i="45"/>
  <c r="EY150" i="45"/>
  <c r="EZ165" i="45"/>
  <c r="EZ166" i="45"/>
  <c r="EJ380" i="45"/>
  <c r="EJ385" i="45"/>
  <c r="EN380" i="45"/>
  <c r="EN385" i="45"/>
  <c r="EN386" i="45" s="1"/>
  <c r="EI382" i="45"/>
  <c r="EF386" i="45"/>
  <c r="EF382" i="45"/>
  <c r="EI386" i="45"/>
  <c r="EW151" i="45"/>
  <c r="EW165" i="45"/>
  <c r="EW166" i="45"/>
  <c r="EV164" i="45"/>
  <c r="EX148" i="45"/>
  <c r="EV150" i="45"/>
  <c r="EK176" i="45"/>
  <c r="EK503" i="7" s="1"/>
  <c r="EK502" i="7"/>
  <c r="EK178" i="45"/>
  <c r="EK179" i="45" s="1"/>
  <c r="ET165" i="45"/>
  <c r="ET166" i="45"/>
  <c r="EN175" i="45"/>
  <c r="EN106" i="45"/>
  <c r="EN107" i="45" s="1"/>
  <c r="EN173" i="45"/>
  <c r="EB358" i="45"/>
  <c r="EH121" i="45"/>
  <c r="EH122" i="45" s="1"/>
  <c r="EH119" i="45"/>
  <c r="EH129" i="45"/>
  <c r="EQ189" i="45"/>
  <c r="EQ190" i="45" s="1"/>
  <c r="EQ299" i="45"/>
  <c r="EQ300" i="45" s="1"/>
  <c r="EQ275" i="45"/>
  <c r="ET133" i="45"/>
  <c r="EW133" i="45" s="1"/>
  <c r="EZ133" i="45" s="1"/>
  <c r="EQ183" i="45"/>
  <c r="EQ184" i="45" s="1"/>
  <c r="EQ379" i="45"/>
  <c r="EQ172" i="45"/>
  <c r="EQ195" i="45"/>
  <c r="EQ288" i="45"/>
  <c r="EN276" i="45"/>
  <c r="EN281" i="45"/>
  <c r="EK284" i="45"/>
  <c r="EK285" i="45" s="1"/>
  <c r="EK282" i="45"/>
  <c r="EK113" i="45" s="1"/>
  <c r="EK112" i="45"/>
  <c r="EK118" i="45" s="1"/>
  <c r="EQ103" i="45"/>
  <c r="EQ159" i="45"/>
  <c r="EQ160" i="45" s="1"/>
  <c r="EQ167" i="45"/>
  <c r="EQ104" i="45" s="1"/>
  <c r="EN192" i="45"/>
  <c r="EN193" i="45" s="1"/>
  <c r="EN196" i="45"/>
  <c r="EE130" i="45"/>
  <c r="EE357" i="45"/>
  <c r="EJ276" i="45"/>
  <c r="EL275" i="45"/>
  <c r="EJ281" i="45"/>
  <c r="EF178" i="45"/>
  <c r="EF179" i="45" s="1"/>
  <c r="EF502" i="7"/>
  <c r="EF176" i="45"/>
  <c r="EF503" i="7" s="1"/>
  <c r="EL103" i="45"/>
  <c r="EF112" i="45"/>
  <c r="S63" i="9" s="1"/>
  <c r="AK63" i="9" s="1"/>
  <c r="ED118" i="45"/>
  <c r="EI273" i="45"/>
  <c r="EI276" i="45"/>
  <c r="EI106" i="45"/>
  <c r="EI107" i="45" s="1"/>
  <c r="EI173" i="45"/>
  <c r="EI169" i="45"/>
  <c r="EI170" i="45" s="1"/>
  <c r="EO157" i="45"/>
  <c r="EO158" i="45" s="1"/>
  <c r="EO165" i="45"/>
  <c r="EP165" i="45"/>
  <c r="ER164" i="45"/>
  <c r="EP166" i="45"/>
  <c r="EL189" i="45"/>
  <c r="EL190" i="45" s="1"/>
  <c r="EL379" i="45"/>
  <c r="EL380" i="45" s="1"/>
  <c r="EL288" i="45"/>
  <c r="EL299" i="45"/>
  <c r="EL300" i="45" s="1"/>
  <c r="EL195" i="45"/>
  <c r="EL183" i="45"/>
  <c r="EL184" i="45" s="1"/>
  <c r="EL134" i="45"/>
  <c r="EL159" i="45"/>
  <c r="EL160" i="45" s="1"/>
  <c r="EL167" i="45"/>
  <c r="EL104" i="45" s="1"/>
  <c r="EG112" i="45"/>
  <c r="EG282" i="45"/>
  <c r="EG113" i="45" s="1"/>
  <c r="EG284" i="45"/>
  <c r="EG285" i="45" s="1"/>
  <c r="EI281" i="45"/>
  <c r="ER149" i="45"/>
  <c r="EM183" i="45"/>
  <c r="EM184" i="45" s="1"/>
  <c r="EM299" i="45"/>
  <c r="EM300" i="45" s="1"/>
  <c r="EM189" i="45"/>
  <c r="EM190" i="45" s="1"/>
  <c r="EM195" i="45"/>
  <c r="EM275" i="45"/>
  <c r="EO133" i="45"/>
  <c r="EM379" i="45"/>
  <c r="EM288" i="45"/>
  <c r="EM172" i="45"/>
  <c r="EP133" i="45"/>
  <c r="EJ196" i="45"/>
  <c r="EJ192" i="45"/>
  <c r="EJ193" i="45" s="1"/>
  <c r="EO140" i="45"/>
  <c r="EO151" i="45"/>
  <c r="ER150" i="45"/>
  <c r="ER141" i="45" s="1"/>
  <c r="EP151" i="45"/>
  <c r="EI196" i="45"/>
  <c r="EI192" i="45"/>
  <c r="EI193" i="45" s="1"/>
  <c r="ES150" i="45"/>
  <c r="EU148" i="45"/>
  <c r="ES164" i="45"/>
  <c r="EJ106" i="45"/>
  <c r="EJ107" i="45" s="1"/>
  <c r="EJ173" i="45"/>
  <c r="EL172" i="45"/>
  <c r="EJ175" i="45"/>
  <c r="EG178" i="45"/>
  <c r="EG179" i="45" s="1"/>
  <c r="EI175" i="45"/>
  <c r="EG502" i="7"/>
  <c r="EG176" i="45"/>
  <c r="EG503" i="7" s="1"/>
  <c r="EA121" i="45"/>
  <c r="EA122" i="45" s="1"/>
  <c r="EA119" i="45"/>
  <c r="EC118" i="45"/>
  <c r="EF284" i="45"/>
  <c r="EF285" i="45" s="1"/>
  <c r="EF282" i="45"/>
  <c r="EF113" i="45" s="1"/>
  <c r="EF278" i="45"/>
  <c r="EF279" i="45" s="1"/>
  <c r="EM167" i="45"/>
  <c r="EM104" i="45" s="1"/>
  <c r="EO166" i="45"/>
  <c r="EM159" i="45"/>
  <c r="EM160" i="45" s="1"/>
  <c r="EM103" i="45"/>
  <c r="EY165" i="45" l="1"/>
  <c r="FA164" i="45"/>
  <c r="EY166" i="45"/>
  <c r="EZ159" i="45"/>
  <c r="EZ103" i="45"/>
  <c r="EZ167" i="45"/>
  <c r="EZ104" i="45" s="1"/>
  <c r="FA149" i="45"/>
  <c r="EZ379" i="45"/>
  <c r="EZ189" i="45"/>
  <c r="EZ275" i="45"/>
  <c r="EZ183" i="45"/>
  <c r="EZ172" i="45"/>
  <c r="EZ288" i="45"/>
  <c r="EZ299" i="45"/>
  <c r="EZ195" i="45"/>
  <c r="FA150" i="45"/>
  <c r="FA141" i="45" s="1"/>
  <c r="EY151" i="45"/>
  <c r="EM380" i="45"/>
  <c r="EM385" i="45"/>
  <c r="EJ386" i="45"/>
  <c r="EL385" i="45"/>
  <c r="EQ380" i="45"/>
  <c r="EQ385" i="45"/>
  <c r="EQ386" i="45" s="1"/>
  <c r="EF383" i="45"/>
  <c r="EI383" i="45"/>
  <c r="EV165" i="45"/>
  <c r="EV166" i="45"/>
  <c r="EX164" i="45"/>
  <c r="EW379" i="45"/>
  <c r="EW275" i="45"/>
  <c r="EW189" i="45"/>
  <c r="EW183" i="45"/>
  <c r="EW172" i="45"/>
  <c r="EW288" i="45"/>
  <c r="EW299" i="45"/>
  <c r="EW195" i="45"/>
  <c r="EW159" i="45"/>
  <c r="EW167" i="45"/>
  <c r="EW104" i="45" s="1"/>
  <c r="EW103" i="45"/>
  <c r="EV151" i="45"/>
  <c r="EX150" i="45"/>
  <c r="EX149" i="45"/>
  <c r="EE358" i="45"/>
  <c r="EN282" i="45"/>
  <c r="EN113" i="45" s="1"/>
  <c r="EN284" i="45"/>
  <c r="EN285" i="45" s="1"/>
  <c r="EN112" i="45"/>
  <c r="EN118" i="45" s="1"/>
  <c r="EQ175" i="45"/>
  <c r="EQ106" i="45"/>
  <c r="EQ107" i="45" s="1"/>
  <c r="EQ173" i="45"/>
  <c r="EQ281" i="45"/>
  <c r="EQ276" i="45"/>
  <c r="EN176" i="45"/>
  <c r="EN503" i="7" s="1"/>
  <c r="EN178" i="45"/>
  <c r="EN179" i="45" s="1"/>
  <c r="EN502" i="7"/>
  <c r="EK121" i="45"/>
  <c r="EK122" i="45" s="1"/>
  <c r="EK119" i="45"/>
  <c r="EK129" i="45"/>
  <c r="EQ192" i="45"/>
  <c r="EQ193" i="45" s="1"/>
  <c r="EQ196" i="45"/>
  <c r="ET275" i="45"/>
  <c r="ET288" i="45"/>
  <c r="ET189" i="45"/>
  <c r="ET190" i="45" s="1"/>
  <c r="ET379" i="45"/>
  <c r="ET183" i="45"/>
  <c r="ET184" i="45" s="1"/>
  <c r="ET172" i="45"/>
  <c r="ET195" i="45"/>
  <c r="ET299" i="45"/>
  <c r="ET300" i="45" s="1"/>
  <c r="EH130" i="45"/>
  <c r="EH357" i="45"/>
  <c r="ET103" i="45"/>
  <c r="ET159" i="45"/>
  <c r="ET160" i="45" s="1"/>
  <c r="ET167" i="45"/>
  <c r="ET104" i="45" s="1"/>
  <c r="EI178" i="45"/>
  <c r="EI179" i="45" s="1"/>
  <c r="EI502" i="7"/>
  <c r="EI176" i="45"/>
  <c r="EI503" i="7" s="1"/>
  <c r="ES151" i="45"/>
  <c r="EU150" i="45"/>
  <c r="EU141" i="45" s="1"/>
  <c r="EP299" i="45"/>
  <c r="EP300" i="45" s="1"/>
  <c r="EP183" i="45"/>
  <c r="EP184" i="45" s="1"/>
  <c r="EP189" i="45"/>
  <c r="EP190" i="45" s="1"/>
  <c r="EP195" i="45"/>
  <c r="EP288" i="45"/>
  <c r="EP275" i="45"/>
  <c r="ER133" i="45"/>
  <c r="EP379" i="45"/>
  <c r="EP172" i="45"/>
  <c r="ES133" i="45"/>
  <c r="EV133" i="45" s="1"/>
  <c r="EY133" i="45" s="1"/>
  <c r="EM192" i="45"/>
  <c r="EM193" i="45" s="1"/>
  <c r="EM196" i="45"/>
  <c r="EO103" i="45"/>
  <c r="EC121" i="45"/>
  <c r="EC122" i="45" s="1"/>
  <c r="EC119" i="45"/>
  <c r="EM106" i="45"/>
  <c r="EM107" i="45" s="1"/>
  <c r="EM173" i="45"/>
  <c r="EO172" i="45"/>
  <c r="EM175" i="45"/>
  <c r="EI112" i="45"/>
  <c r="EG118" i="45"/>
  <c r="EL276" i="45"/>
  <c r="EL273" i="45"/>
  <c r="EO189" i="45"/>
  <c r="EO190" i="45" s="1"/>
  <c r="EO299" i="45"/>
  <c r="EO300" i="45" s="1"/>
  <c r="EO183" i="45"/>
  <c r="EO184" i="45" s="1"/>
  <c r="EO288" i="45"/>
  <c r="EO134" i="45"/>
  <c r="EO379" i="45"/>
  <c r="EO380" i="45" s="1"/>
  <c r="EO195" i="45"/>
  <c r="EI278" i="45"/>
  <c r="EI279" i="45" s="1"/>
  <c r="EI284" i="45"/>
  <c r="EI285" i="45" s="1"/>
  <c r="EI282" i="45"/>
  <c r="EI113" i="45" s="1"/>
  <c r="EJ178" i="45"/>
  <c r="EJ179" i="45" s="1"/>
  <c r="EL175" i="45"/>
  <c r="EJ502" i="7"/>
  <c r="EJ176" i="45"/>
  <c r="EJ503" i="7" s="1"/>
  <c r="EU164" i="45"/>
  <c r="ES165" i="45"/>
  <c r="ES166" i="45"/>
  <c r="EO159" i="45"/>
  <c r="EO160" i="45" s="1"/>
  <c r="EO167" i="45"/>
  <c r="EO104" i="45" s="1"/>
  <c r="EL169" i="45"/>
  <c r="EL170" i="45" s="1"/>
  <c r="EL106" i="45"/>
  <c r="EL107" i="45" s="1"/>
  <c r="EL173" i="45"/>
  <c r="EU149" i="45"/>
  <c r="ER151" i="45"/>
  <c r="ER140" i="45"/>
  <c r="EM276" i="45"/>
  <c r="EM281" i="45"/>
  <c r="EO275" i="45"/>
  <c r="EL192" i="45"/>
  <c r="EL193" i="45" s="1"/>
  <c r="EL196" i="45"/>
  <c r="ER166" i="45"/>
  <c r="EP167" i="45"/>
  <c r="EP104" i="45" s="1"/>
  <c r="EP159" i="45"/>
  <c r="EP160" i="45" s="1"/>
  <c r="EP103" i="45"/>
  <c r="ER165" i="45"/>
  <c r="ER157" i="45"/>
  <c r="ER158" i="45" s="1"/>
  <c r="ED121" i="45"/>
  <c r="ED122" i="45" s="1"/>
  <c r="EF118" i="45"/>
  <c r="ED119" i="45"/>
  <c r="EJ284" i="45"/>
  <c r="EJ285" i="45" s="1"/>
  <c r="EJ282" i="45"/>
  <c r="EJ113" i="45" s="1"/>
  <c r="EL281" i="45"/>
  <c r="EJ112" i="45"/>
  <c r="EZ184" i="45" l="1"/>
  <c r="EZ160" i="45"/>
  <c r="EZ196" i="45"/>
  <c r="EZ192" i="45"/>
  <c r="EY379" i="45"/>
  <c r="FA133" i="45"/>
  <c r="EY275" i="45"/>
  <c r="EY189" i="45"/>
  <c r="EY172" i="45"/>
  <c r="EY183" i="45"/>
  <c r="EY288" i="45"/>
  <c r="EY299" i="45"/>
  <c r="EY195" i="45"/>
  <c r="EZ300" i="45"/>
  <c r="EZ276" i="45"/>
  <c r="EZ281" i="45"/>
  <c r="EY167" i="45"/>
  <c r="EY104" i="45" s="1"/>
  <c r="EY159" i="45"/>
  <c r="FA166" i="45"/>
  <c r="EY103" i="45"/>
  <c r="EZ190" i="45"/>
  <c r="FA165" i="45"/>
  <c r="FA157" i="45"/>
  <c r="FA151" i="45"/>
  <c r="FA140" i="45"/>
  <c r="EZ106" i="45"/>
  <c r="EZ173" i="45"/>
  <c r="EZ175" i="45"/>
  <c r="EZ380" i="45"/>
  <c r="EZ385" i="45"/>
  <c r="EL386" i="45"/>
  <c r="EL382" i="45"/>
  <c r="EL383" i="45" s="1"/>
  <c r="EP380" i="45"/>
  <c r="EP385" i="45"/>
  <c r="ET380" i="45"/>
  <c r="ET385" i="45"/>
  <c r="ET386" i="45" s="1"/>
  <c r="EM386" i="45"/>
  <c r="EO385" i="45"/>
  <c r="EX141" i="45"/>
  <c r="EX151" i="45"/>
  <c r="EX140" i="45"/>
  <c r="EW160" i="45"/>
  <c r="EW173" i="45"/>
  <c r="EW106" i="45"/>
  <c r="EW175" i="45"/>
  <c r="EW380" i="45"/>
  <c r="EW385" i="45"/>
  <c r="EV379" i="45"/>
  <c r="EV275" i="45"/>
  <c r="EX133" i="45"/>
  <c r="EV189" i="45"/>
  <c r="EV172" i="45"/>
  <c r="EV183" i="45"/>
  <c r="EV299" i="45"/>
  <c r="EV288" i="45"/>
  <c r="EV195" i="45"/>
  <c r="EW196" i="45"/>
  <c r="EW192" i="45"/>
  <c r="EW184" i="45"/>
  <c r="EX165" i="45"/>
  <c r="EX157" i="45"/>
  <c r="EW300" i="45"/>
  <c r="EW190" i="45"/>
  <c r="EV103" i="45"/>
  <c r="EV167" i="45"/>
  <c r="EV104" i="45" s="1"/>
  <c r="EX166" i="45"/>
  <c r="EV159" i="45"/>
  <c r="EW276" i="45"/>
  <c r="EW281" i="45"/>
  <c r="EH358" i="45"/>
  <c r="ET175" i="45"/>
  <c r="ET106" i="45"/>
  <c r="ET107" i="45" s="1"/>
  <c r="ET173" i="45"/>
  <c r="EK130" i="45"/>
  <c r="EK357" i="45"/>
  <c r="ET281" i="45"/>
  <c r="ET276" i="45"/>
  <c r="EQ176" i="45"/>
  <c r="EQ503" i="7" s="1"/>
  <c r="EQ178" i="45"/>
  <c r="EQ179" i="45" s="1"/>
  <c r="EQ502" i="7"/>
  <c r="ET192" i="45"/>
  <c r="ET193" i="45" s="1"/>
  <c r="ET196" i="45"/>
  <c r="EQ282" i="45"/>
  <c r="EQ113" i="45" s="1"/>
  <c r="EQ284" i="45"/>
  <c r="EQ285" i="45" s="1"/>
  <c r="EQ112" i="45"/>
  <c r="EQ118" i="45" s="1"/>
  <c r="EN119" i="45"/>
  <c r="EN121" i="45"/>
  <c r="EN122" i="45" s="1"/>
  <c r="EN129" i="45"/>
  <c r="EL112" i="45"/>
  <c r="EJ118" i="45"/>
  <c r="ER103" i="45"/>
  <c r="EU165" i="45"/>
  <c r="EU157" i="45"/>
  <c r="EU158" i="45" s="1"/>
  <c r="ES183" i="45"/>
  <c r="ES184" i="45" s="1"/>
  <c r="ES189" i="45"/>
  <c r="ES190" i="45" s="1"/>
  <c r="ES379" i="45"/>
  <c r="ES195" i="45"/>
  <c r="ES288" i="45"/>
  <c r="ES275" i="45"/>
  <c r="EU133" i="45"/>
  <c r="ES299" i="45"/>
  <c r="ES300" i="45" s="1"/>
  <c r="ES172" i="45"/>
  <c r="EP281" i="45"/>
  <c r="EP276" i="45"/>
  <c r="ER275" i="45"/>
  <c r="EU140" i="45"/>
  <c r="EU151" i="45"/>
  <c r="EP106" i="45"/>
  <c r="EP107" i="45" s="1"/>
  <c r="EP173" i="45"/>
  <c r="ER172" i="45"/>
  <c r="EP175" i="45"/>
  <c r="EO196" i="45"/>
  <c r="EO192" i="45"/>
  <c r="EO193" i="45" s="1"/>
  <c r="EG121" i="45"/>
  <c r="EG122" i="45" s="1"/>
  <c r="EG119" i="45"/>
  <c r="EI118" i="45"/>
  <c r="EM178" i="45"/>
  <c r="EM179" i="45" s="1"/>
  <c r="EO175" i="45"/>
  <c r="EM176" i="45"/>
  <c r="EM503" i="7" s="1"/>
  <c r="EM502" i="7"/>
  <c r="EO276" i="45"/>
  <c r="EO273" i="45"/>
  <c r="ES159" i="45"/>
  <c r="ES160" i="45" s="1"/>
  <c r="EU166" i="45"/>
  <c r="ES167" i="45"/>
  <c r="ES104" i="45" s="1"/>
  <c r="ES103" i="45"/>
  <c r="EL284" i="45"/>
  <c r="EL285" i="45" s="1"/>
  <c r="EL282" i="45"/>
  <c r="EL113" i="45" s="1"/>
  <c r="EL278" i="45"/>
  <c r="EL279" i="45" s="1"/>
  <c r="EF121" i="45"/>
  <c r="EF122" i="45" s="1"/>
  <c r="EF119" i="45"/>
  <c r="ER167" i="45"/>
  <c r="ER104" i="45" s="1"/>
  <c r="ER159" i="45"/>
  <c r="ER160" i="45" s="1"/>
  <c r="EM282" i="45"/>
  <c r="EM113" i="45" s="1"/>
  <c r="EM284" i="45"/>
  <c r="EM285" i="45" s="1"/>
  <c r="EM112" i="45"/>
  <c r="EO281" i="45"/>
  <c r="EL178" i="45"/>
  <c r="EL179" i="45" s="1"/>
  <c r="EL502" i="7"/>
  <c r="EL176" i="45"/>
  <c r="EL503" i="7" s="1"/>
  <c r="EO106" i="45"/>
  <c r="EO107" i="45" s="1"/>
  <c r="EO169" i="45"/>
  <c r="EO170" i="45" s="1"/>
  <c r="EO173" i="45"/>
  <c r="ER299" i="45"/>
  <c r="ER300" i="45" s="1"/>
  <c r="ER195" i="45"/>
  <c r="ER379" i="45"/>
  <c r="ER380" i="45" s="1"/>
  <c r="ER183" i="45"/>
  <c r="ER184" i="45" s="1"/>
  <c r="ER134" i="45"/>
  <c r="ER288" i="45"/>
  <c r="ER189" i="45"/>
  <c r="ER190" i="45" s="1"/>
  <c r="EP196" i="45"/>
  <c r="EP192" i="45"/>
  <c r="EP193" i="45" s="1"/>
  <c r="FA158" i="45" l="1"/>
  <c r="EX158" i="45"/>
  <c r="EY300" i="45"/>
  <c r="EZ386" i="45"/>
  <c r="EZ107" i="45"/>
  <c r="EY160" i="45"/>
  <c r="EY184" i="45"/>
  <c r="FA379" i="45"/>
  <c r="FA134" i="45"/>
  <c r="FA189" i="45"/>
  <c r="FA183" i="45"/>
  <c r="FA288" i="45"/>
  <c r="FA299" i="45"/>
  <c r="FA195" i="45"/>
  <c r="EY196" i="45"/>
  <c r="EY192" i="45"/>
  <c r="EY106" i="45"/>
  <c r="FA172" i="45"/>
  <c r="EY173" i="45"/>
  <c r="EY175" i="45"/>
  <c r="EY380" i="45"/>
  <c r="EY385" i="45"/>
  <c r="EZ502" i="7"/>
  <c r="EZ178" i="45"/>
  <c r="EZ176" i="45"/>
  <c r="EZ503" i="7" s="1"/>
  <c r="FA103" i="45"/>
  <c r="EZ112" i="45"/>
  <c r="EZ118" i="45" s="1"/>
  <c r="EZ282" i="45"/>
  <c r="EZ113" i="45" s="1"/>
  <c r="EZ284" i="45"/>
  <c r="EY190" i="45"/>
  <c r="EZ193" i="45"/>
  <c r="FA167" i="45"/>
  <c r="FA104" i="45" s="1"/>
  <c r="FA159" i="45"/>
  <c r="EY276" i="45"/>
  <c r="FA275" i="45"/>
  <c r="EY281" i="45"/>
  <c r="ES380" i="45"/>
  <c r="ES385" i="45"/>
  <c r="EO382" i="45"/>
  <c r="EO383" i="45" s="1"/>
  <c r="EO386" i="45"/>
  <c r="EP386" i="45"/>
  <c r="ER385" i="45"/>
  <c r="EV380" i="45"/>
  <c r="EV385" i="45"/>
  <c r="EW112" i="45"/>
  <c r="EW118" i="45" s="1"/>
  <c r="EW284" i="45"/>
  <c r="EW282" i="45"/>
  <c r="EW113" i="45" s="1"/>
  <c r="EW193" i="45"/>
  <c r="EV300" i="45"/>
  <c r="EX379" i="45"/>
  <c r="EX134" i="45"/>
  <c r="EX189" i="45"/>
  <c r="EX183" i="45"/>
  <c r="EX288" i="45"/>
  <c r="EX299" i="45"/>
  <c r="EX195" i="45"/>
  <c r="EX103" i="45"/>
  <c r="EV184" i="45"/>
  <c r="EX275" i="45"/>
  <c r="EV276" i="45"/>
  <c r="EV281" i="45"/>
  <c r="EW176" i="45"/>
  <c r="EW503" i="7" s="1"/>
  <c r="EW178" i="45"/>
  <c r="EW502" i="7"/>
  <c r="EV160" i="45"/>
  <c r="EV196" i="45"/>
  <c r="EV192" i="45"/>
  <c r="EV173" i="45"/>
  <c r="EX172" i="45"/>
  <c r="EV106" i="45"/>
  <c r="EV175" i="45"/>
  <c r="EW107" i="45"/>
  <c r="EX167" i="45"/>
  <c r="EX104" i="45" s="1"/>
  <c r="EX159" i="45"/>
  <c r="EV190" i="45"/>
  <c r="EW386" i="45"/>
  <c r="EQ129" i="45"/>
  <c r="EQ119" i="45"/>
  <c r="EQ121" i="45"/>
  <c r="EQ122" i="45" s="1"/>
  <c r="EN130" i="45"/>
  <c r="EN357" i="45"/>
  <c r="EK358" i="45"/>
  <c r="ET176" i="45"/>
  <c r="ET503" i="7" s="1"/>
  <c r="ET178" i="45"/>
  <c r="ET179" i="45" s="1"/>
  <c r="ET502" i="7"/>
  <c r="ET284" i="45"/>
  <c r="ET285" i="45" s="1"/>
  <c r="ET282" i="45"/>
  <c r="ET113" i="45" s="1"/>
  <c r="ET112" i="45"/>
  <c r="ET118" i="45" s="1"/>
  <c r="ER192" i="45"/>
  <c r="ER193" i="45" s="1"/>
  <c r="ER196" i="45"/>
  <c r="EO112" i="45"/>
  <c r="EM118" i="45"/>
  <c r="EI119" i="45"/>
  <c r="EI121" i="45"/>
  <c r="EI122" i="45" s="1"/>
  <c r="EP178" i="45"/>
  <c r="EP179" i="45" s="1"/>
  <c r="ER175" i="45"/>
  <c r="EP502" i="7"/>
  <c r="EP176" i="45"/>
  <c r="EP503" i="7" s="1"/>
  <c r="EP112" i="45"/>
  <c r="EP284" i="45"/>
  <c r="EP285" i="45" s="1"/>
  <c r="EP282" i="45"/>
  <c r="EP113" i="45" s="1"/>
  <c r="ER281" i="45"/>
  <c r="ES192" i="45"/>
  <c r="ES193" i="45" s="1"/>
  <c r="ES196" i="45"/>
  <c r="ER169" i="45"/>
  <c r="ER170" i="45" s="1"/>
  <c r="ER106" i="45"/>
  <c r="ER107" i="45" s="1"/>
  <c r="ER173" i="45"/>
  <c r="ES106" i="45"/>
  <c r="ES107" i="45" s="1"/>
  <c r="ES173" i="45"/>
  <c r="EU172" i="45"/>
  <c r="ES175" i="45"/>
  <c r="EO178" i="45"/>
  <c r="EO179" i="45" s="1"/>
  <c r="EO502" i="7"/>
  <c r="EO176" i="45"/>
  <c r="EO503" i="7" s="1"/>
  <c r="ER276" i="45"/>
  <c r="ER273" i="45"/>
  <c r="EU275" i="45"/>
  <c r="ES276" i="45"/>
  <c r="ES281" i="45"/>
  <c r="EU159" i="45"/>
  <c r="EU160" i="45" s="1"/>
  <c r="EU167" i="45"/>
  <c r="EU104" i="45" s="1"/>
  <c r="EO278" i="45"/>
  <c r="EO279" i="45" s="1"/>
  <c r="EO282" i="45"/>
  <c r="EO113" i="45" s="1"/>
  <c r="EO284" i="45"/>
  <c r="EO285" i="45" s="1"/>
  <c r="EU103" i="45"/>
  <c r="EU379" i="45"/>
  <c r="EU189" i="45"/>
  <c r="EU190" i="45" s="1"/>
  <c r="EU183" i="45"/>
  <c r="EU184" i="45" s="1"/>
  <c r="EU195" i="45"/>
  <c r="EU288" i="45"/>
  <c r="EU299" i="45"/>
  <c r="EU300" i="45" s="1"/>
  <c r="EU134" i="45"/>
  <c r="EL118" i="45"/>
  <c r="EJ121" i="45"/>
  <c r="EJ122" i="45" s="1"/>
  <c r="EJ119" i="45"/>
  <c r="EZ285" i="45" l="1"/>
  <c r="FA160" i="45"/>
  <c r="FA184" i="45"/>
  <c r="EY284" i="45"/>
  <c r="EY282" i="45"/>
  <c r="EY113" i="45" s="1"/>
  <c r="FA281" i="45"/>
  <c r="EY112" i="45"/>
  <c r="EY386" i="45"/>
  <c r="FA385" i="45"/>
  <c r="FA169" i="45"/>
  <c r="FA173" i="45"/>
  <c r="FA106" i="45"/>
  <c r="FA196" i="45"/>
  <c r="FA192" i="45"/>
  <c r="FA190" i="45"/>
  <c r="FA276" i="45"/>
  <c r="FA273" i="45"/>
  <c r="EY107" i="45"/>
  <c r="FA300" i="45"/>
  <c r="EZ121" i="45"/>
  <c r="EZ119" i="45"/>
  <c r="EZ129" i="45"/>
  <c r="EZ179" i="45"/>
  <c r="EY502" i="7"/>
  <c r="EY178" i="45"/>
  <c r="FA175" i="45"/>
  <c r="EY176" i="45"/>
  <c r="EY503" i="7" s="1"/>
  <c r="EY193" i="45"/>
  <c r="FA380" i="45"/>
  <c r="EV386" i="45"/>
  <c r="ER386" i="45"/>
  <c r="ER382" i="45"/>
  <c r="ER383" i="45" s="1"/>
  <c r="ES386" i="45"/>
  <c r="EU385" i="45"/>
  <c r="EU386" i="45" s="1"/>
  <c r="EU380" i="45"/>
  <c r="EV107" i="45"/>
  <c r="EX192" i="45"/>
  <c r="EX196" i="45"/>
  <c r="EX190" i="45"/>
  <c r="EX385" i="45"/>
  <c r="EX169" i="45"/>
  <c r="EX173" i="45"/>
  <c r="EX106" i="45"/>
  <c r="EV282" i="45"/>
  <c r="EV113" i="45" s="1"/>
  <c r="EV112" i="45"/>
  <c r="EV284" i="45"/>
  <c r="EX281" i="45"/>
  <c r="EX300" i="45"/>
  <c r="EX160" i="45"/>
  <c r="EX380" i="45"/>
  <c r="EW285" i="45"/>
  <c r="EV502" i="7"/>
  <c r="EX175" i="45"/>
  <c r="EV178" i="45"/>
  <c r="EV176" i="45"/>
  <c r="EV503" i="7" s="1"/>
  <c r="EV193" i="45"/>
  <c r="EW179" i="45"/>
  <c r="EX276" i="45"/>
  <c r="EX273" i="45"/>
  <c r="EX184" i="45"/>
  <c r="EW121" i="45"/>
  <c r="EW119" i="45"/>
  <c r="EW129" i="45"/>
  <c r="ET119" i="45"/>
  <c r="ET121" i="45"/>
  <c r="ET122" i="45" s="1"/>
  <c r="ET129" i="45"/>
  <c r="EB506" i="7"/>
  <c r="EQ357" i="45"/>
  <c r="EQ130" i="45"/>
  <c r="EN358" i="45"/>
  <c r="EU196" i="45"/>
  <c r="EU192" i="45"/>
  <c r="EU193" i="45" s="1"/>
  <c r="EU273" i="45"/>
  <c r="EU276" i="45"/>
  <c r="ES178" i="45"/>
  <c r="ES179" i="45" s="1"/>
  <c r="EU175" i="45"/>
  <c r="ES176" i="45"/>
  <c r="ES503" i="7" s="1"/>
  <c r="ES502" i="7"/>
  <c r="ER112" i="45"/>
  <c r="EP118" i="45"/>
  <c r="EL119" i="45"/>
  <c r="EL121" i="45"/>
  <c r="EL122" i="45" s="1"/>
  <c r="ES284" i="45"/>
  <c r="ES285" i="45" s="1"/>
  <c r="ES112" i="45"/>
  <c r="ES282" i="45"/>
  <c r="ES113" i="45" s="1"/>
  <c r="EU281" i="45"/>
  <c r="EU106" i="45"/>
  <c r="EU107" i="45" s="1"/>
  <c r="EU173" i="45"/>
  <c r="EU169" i="45"/>
  <c r="EU170" i="45" s="1"/>
  <c r="ER284" i="45"/>
  <c r="ER285" i="45" s="1"/>
  <c r="ER282" i="45"/>
  <c r="ER113" i="45" s="1"/>
  <c r="ER278" i="45"/>
  <c r="ER279" i="45" s="1"/>
  <c r="ER178" i="45"/>
  <c r="ER179" i="45" s="1"/>
  <c r="ER502" i="7"/>
  <c r="ER176" i="45"/>
  <c r="ER503" i="7" s="1"/>
  <c r="EM121" i="45"/>
  <c r="EM122" i="45" s="1"/>
  <c r="EM119" i="45"/>
  <c r="EO118" i="45"/>
  <c r="FA107" i="45" l="1"/>
  <c r="EZ122" i="45"/>
  <c r="EY285" i="45"/>
  <c r="EY179" i="45"/>
  <c r="FA386" i="45"/>
  <c r="FA382" i="45"/>
  <c r="FA112" i="45"/>
  <c r="EY118" i="45"/>
  <c r="FA502" i="7"/>
  <c r="FA176" i="45"/>
  <c r="FA503" i="7" s="1"/>
  <c r="FA178" i="45"/>
  <c r="EZ357" i="45"/>
  <c r="EZ130" i="45"/>
  <c r="FA193" i="45"/>
  <c r="FA170" i="45"/>
  <c r="FA278" i="45"/>
  <c r="FA282" i="45"/>
  <c r="FA113" i="45" s="1"/>
  <c r="FA284" i="45"/>
  <c r="EU382" i="45"/>
  <c r="EU383" i="45" s="1"/>
  <c r="EW122" i="45"/>
  <c r="EV179" i="45"/>
  <c r="EV285" i="45"/>
  <c r="EX176" i="45"/>
  <c r="EX503" i="7" s="1"/>
  <c r="EX178" i="45"/>
  <c r="EX502" i="7"/>
  <c r="EX112" i="45"/>
  <c r="EV118" i="45"/>
  <c r="EX170" i="45"/>
  <c r="EX193" i="45"/>
  <c r="EW357" i="45"/>
  <c r="EW130" i="45"/>
  <c r="EX282" i="45"/>
  <c r="EX113" i="45" s="1"/>
  <c r="EX278" i="45"/>
  <c r="EX284" i="45"/>
  <c r="EX107" i="45"/>
  <c r="EX386" i="45"/>
  <c r="EX382" i="45"/>
  <c r="EE506" i="7"/>
  <c r="ET130" i="45"/>
  <c r="ET357" i="45"/>
  <c r="EQ358" i="45"/>
  <c r="EU278" i="45"/>
  <c r="EU279" i="45" s="1"/>
  <c r="EU282" i="45"/>
  <c r="EU113" i="45" s="1"/>
  <c r="EU284" i="45"/>
  <c r="EU285" i="45" s="1"/>
  <c r="EP121" i="45"/>
  <c r="EP122" i="45" s="1"/>
  <c r="EP119" i="45"/>
  <c r="ER118" i="45"/>
  <c r="EU178" i="45"/>
  <c r="EU179" i="45" s="1"/>
  <c r="EU502" i="7"/>
  <c r="EU176" i="45"/>
  <c r="EU503" i="7" s="1"/>
  <c r="EO119" i="45"/>
  <c r="EO121" i="45"/>
  <c r="EO122" i="45" s="1"/>
  <c r="EU112" i="45"/>
  <c r="ES118" i="45"/>
  <c r="FA118" i="45" l="1"/>
  <c r="EY119" i="45"/>
  <c r="EY121" i="45"/>
  <c r="FA285" i="45"/>
  <c r="FA179" i="45"/>
  <c r="FA383" i="45"/>
  <c r="FA279" i="45"/>
  <c r="EZ358" i="45"/>
  <c r="EX285" i="45"/>
  <c r="EX179" i="45"/>
  <c r="EX383" i="45"/>
  <c r="EX279" i="45"/>
  <c r="EW358" i="45"/>
  <c r="EX118" i="45"/>
  <c r="EV119" i="45"/>
  <c r="EV121" i="45"/>
  <c r="ET358" i="45"/>
  <c r="EH506" i="7"/>
  <c r="ER121" i="45"/>
  <c r="ER122" i="45" s="1"/>
  <c r="ER119" i="45"/>
  <c r="ES121" i="45"/>
  <c r="ES122" i="45" s="1"/>
  <c r="ES119" i="45"/>
  <c r="EU118" i="45"/>
  <c r="FA119" i="45" l="1"/>
  <c r="FA121" i="45"/>
  <c r="EY122" i="45"/>
  <c r="EX121" i="45"/>
  <c r="EX119" i="45"/>
  <c r="EV122" i="45"/>
  <c r="EK506" i="7"/>
  <c r="EU119" i="45"/>
  <c r="EU121" i="45"/>
  <c r="EU122" i="45" s="1"/>
  <c r="EA506" i="7"/>
  <c r="FA122" i="45" l="1"/>
  <c r="EX122" i="45"/>
  <c r="ED506" i="7"/>
  <c r="EQ506" i="7" l="1"/>
  <c r="EG506" i="7"/>
  <c r="ET506" i="7" l="1"/>
  <c r="EJ506" i="7"/>
  <c r="EP506" i="7" l="1"/>
  <c r="ES506" i="7" l="1"/>
  <c r="DN158" i="45" l="1"/>
  <c r="DN148" i="45"/>
  <c r="DN149" i="45" s="1"/>
  <c r="DN141" i="45" l="1"/>
  <c r="DQ148" i="45"/>
  <c r="DQ158" i="45"/>
  <c r="DQ141" i="45" l="1"/>
  <c r="DQ149" i="45"/>
  <c r="DT158" i="45"/>
  <c r="DT148" i="45"/>
  <c r="DW149" i="45" s="1"/>
  <c r="DN288" i="45"/>
  <c r="DN293" i="45"/>
  <c r="DN294" i="45" s="1"/>
  <c r="DQ293" i="45"/>
  <c r="DQ288" i="45"/>
  <c r="DT288" i="45"/>
  <c r="DT293" i="45"/>
  <c r="DW294" i="45" s="1"/>
  <c r="DT149" i="45" l="1"/>
  <c r="DT294" i="45"/>
  <c r="DQ294" i="45"/>
  <c r="DT141" i="45"/>
  <c r="DN146" i="45"/>
  <c r="DN147" i="45" s="1"/>
  <c r="DN156" i="45"/>
  <c r="DN140" i="45" l="1"/>
  <c r="DQ156" i="45"/>
  <c r="DQ146" i="45"/>
  <c r="DQ140" i="45" s="1"/>
  <c r="DT156" i="45"/>
  <c r="DT146" i="45"/>
  <c r="DW147" i="45" s="1"/>
  <c r="DO81" i="7"/>
  <c r="DO82" i="7" s="1"/>
  <c r="S91" i="57" s="1"/>
  <c r="S92" i="57" l="1"/>
  <c r="S93" i="57"/>
  <c r="DQ147" i="45"/>
  <c r="DT140" i="45"/>
  <c r="DT147" i="45"/>
  <c r="DO519" i="7"/>
  <c r="DO554" i="7"/>
  <c r="DO553" i="7"/>
  <c r="DP81" i="7"/>
  <c r="DP82" i="7" l="1"/>
  <c r="T91" i="57" s="1"/>
  <c r="DP553" i="7"/>
  <c r="T92" i="57" l="1"/>
  <c r="T93" i="57"/>
  <c r="U93" i="57" s="1"/>
  <c r="U91" i="57"/>
  <c r="U92" i="57" s="1"/>
  <c r="DP519" i="7"/>
  <c r="DP554" i="7"/>
  <c r="DO90" i="7"/>
  <c r="DO86" i="7" s="1"/>
  <c r="DO555" i="7"/>
  <c r="DO556" i="7" s="1"/>
  <c r="DO557" i="7" s="1"/>
  <c r="DO579" i="7" s="1"/>
  <c r="DO85" i="7"/>
  <c r="DO116" i="7" l="1"/>
  <c r="DR156" i="7"/>
  <c r="DO164" i="7"/>
  <c r="DO175" i="7"/>
  <c r="DO156" i="7"/>
  <c r="DO10" i="7"/>
  <c r="DO91" i="7"/>
  <c r="DO14" i="7" l="1"/>
  <c r="DO27" i="7"/>
  <c r="AD13" i="9"/>
  <c r="DR27" i="7"/>
  <c r="DO197" i="8"/>
  <c r="AD10" i="9"/>
  <c r="DO140" i="7"/>
  <c r="DO11" i="7"/>
  <c r="DO5" i="8"/>
  <c r="DO11" i="8" s="1"/>
  <c r="DO163" i="7"/>
  <c r="DR157" i="7"/>
  <c r="DO157" i="7"/>
  <c r="DO338" i="7"/>
  <c r="DO177" i="8"/>
  <c r="DO174" i="7"/>
  <c r="DO17" i="7"/>
  <c r="DO144" i="7" l="1"/>
  <c r="DO147" i="7" s="1"/>
  <c r="DP143" i="7" s="1"/>
  <c r="DO141" i="7"/>
  <c r="DO15" i="7"/>
  <c r="DO12" i="7"/>
  <c r="DO341" i="7"/>
  <c r="DO342" i="7" l="1"/>
  <c r="DO219" i="7" s="1"/>
  <c r="DO220" i="7" s="1"/>
  <c r="DO22" i="7"/>
  <c r="DO359" i="7" l="1"/>
  <c r="DO358" i="7"/>
  <c r="AD14" i="9"/>
  <c r="W40" i="57"/>
  <c r="X40" i="57" l="1"/>
  <c r="X34" i="57" s="1"/>
  <c r="Z40" i="57"/>
  <c r="AA40" i="57" s="1"/>
  <c r="AA41" i="57" l="1"/>
  <c r="AA34" i="57"/>
  <c r="AC40" i="57"/>
  <c r="W34" i="57"/>
  <c r="AA35" i="57" l="1"/>
  <c r="Z34" i="57"/>
  <c r="W28" i="57"/>
  <c r="AF40" i="57"/>
  <c r="AD40" i="57"/>
  <c r="AD41" i="57" s="1"/>
  <c r="Z28" i="57" l="1"/>
  <c r="Z35" i="57"/>
  <c r="Z4" i="57"/>
  <c r="Z29" i="57"/>
  <c r="AI40" i="57"/>
  <c r="AG40" i="57"/>
  <c r="AG41" i="57" s="1"/>
  <c r="W4" i="57"/>
  <c r="AC34" i="57"/>
  <c r="Z12" i="57" l="1"/>
  <c r="AA4" i="57"/>
  <c r="AF34" i="57"/>
  <c r="AD34" i="57"/>
  <c r="AD35" i="57" s="1"/>
  <c r="AC28" i="57"/>
  <c r="AL40" i="57"/>
  <c r="AJ40" i="57"/>
  <c r="AJ41" i="57" s="1"/>
  <c r="X4" i="57"/>
  <c r="W7" i="57"/>
  <c r="AA12" i="57" l="1"/>
  <c r="DS8" i="45"/>
  <c r="W9" i="57"/>
  <c r="AO40" i="57"/>
  <c r="AM40" i="57"/>
  <c r="AM41" i="57" s="1"/>
  <c r="AC4" i="57"/>
  <c r="AD28" i="57"/>
  <c r="AD29" i="57" s="1"/>
  <c r="AC29" i="57"/>
  <c r="X7" i="57"/>
  <c r="AI34" i="57"/>
  <c r="AF28" i="57"/>
  <c r="AG34" i="57"/>
  <c r="AG35" i="57" s="1"/>
  <c r="W77" i="57" l="1"/>
  <c r="X77" i="57" s="1"/>
  <c r="W85" i="57"/>
  <c r="AF4" i="57"/>
  <c r="AG28" i="57"/>
  <c r="AG29" i="57" s="1"/>
  <c r="AF29" i="57"/>
  <c r="AI28" i="57"/>
  <c r="AL34" i="57"/>
  <c r="AJ34" i="57"/>
  <c r="AJ35" i="57" s="1"/>
  <c r="AD4" i="57"/>
  <c r="AC7" i="57"/>
  <c r="AC12" i="57"/>
  <c r="DS19" i="45"/>
  <c r="X9" i="57"/>
  <c r="X85" i="57" s="1"/>
  <c r="DS9" i="45"/>
  <c r="DT8" i="45"/>
  <c r="AR40" i="57"/>
  <c r="AP40" i="57"/>
  <c r="AP41" i="57" s="1"/>
  <c r="W87" i="57" l="1"/>
  <c r="Z89" i="57" s="1"/>
  <c r="DS30" i="45"/>
  <c r="X81" i="57"/>
  <c r="DY8" i="45"/>
  <c r="DY9" i="45" s="1"/>
  <c r="AC9" i="57"/>
  <c r="DY19" i="45" s="1"/>
  <c r="DT19" i="45"/>
  <c r="DS20" i="45"/>
  <c r="AD12" i="57"/>
  <c r="AD7" i="57"/>
  <c r="AL28" i="57"/>
  <c r="AO34" i="57"/>
  <c r="AM34" i="57"/>
  <c r="AM35" i="57" s="1"/>
  <c r="AG4" i="57"/>
  <c r="AF7" i="57"/>
  <c r="AF12" i="57"/>
  <c r="DT9" i="45"/>
  <c r="DS30" i="7"/>
  <c r="DS94" i="45"/>
  <c r="DS64" i="45"/>
  <c r="AI4" i="57"/>
  <c r="AI29" i="57"/>
  <c r="AJ28" i="57"/>
  <c r="AJ29" i="57" s="1"/>
  <c r="AU40" i="57"/>
  <c r="AS40" i="57"/>
  <c r="AS41" i="57" s="1"/>
  <c r="DZ19" i="45" l="1"/>
  <c r="DY20" i="45"/>
  <c r="DV35" i="45"/>
  <c r="DS100" i="45"/>
  <c r="DS73" i="45"/>
  <c r="O55" i="9"/>
  <c r="DU190" i="7"/>
  <c r="AX40" i="57"/>
  <c r="AV40" i="57"/>
  <c r="AV41" i="57" s="1"/>
  <c r="DZ8" i="45"/>
  <c r="DT64" i="45"/>
  <c r="DS65" i="45"/>
  <c r="DS66" i="45"/>
  <c r="DT30" i="7"/>
  <c r="DS169" i="7"/>
  <c r="DS331" i="7"/>
  <c r="DS166" i="7"/>
  <c r="DT92" i="45"/>
  <c r="DS26" i="8"/>
  <c r="X87" i="57"/>
  <c r="AA89" i="57" s="1"/>
  <c r="DS46" i="45"/>
  <c r="DV51" i="45" s="1"/>
  <c r="W88" i="57"/>
  <c r="DS154" i="8"/>
  <c r="DT154" i="8" s="1"/>
  <c r="DT190" i="7" s="1"/>
  <c r="AG7" i="57"/>
  <c r="AG14" i="57" s="1"/>
  <c r="AG12" i="57"/>
  <c r="DS55" i="8"/>
  <c r="DS27" i="8"/>
  <c r="DT27" i="8" s="1"/>
  <c r="AO28" i="57"/>
  <c r="AR34" i="57"/>
  <c r="AP34" i="57"/>
  <c r="AP35" i="57" s="1"/>
  <c r="DS33" i="7"/>
  <c r="AG7" i="9" s="1"/>
  <c r="DS88" i="45"/>
  <c r="DS71" i="45"/>
  <c r="DS31" i="45"/>
  <c r="DV36" i="45" s="1"/>
  <c r="DT30" i="45"/>
  <c r="DS40" i="45"/>
  <c r="AI7" i="57"/>
  <c r="AJ4" i="57"/>
  <c r="AI12" i="57"/>
  <c r="DT94" i="45"/>
  <c r="AF9" i="57"/>
  <c r="EB8" i="45"/>
  <c r="AF14" i="57"/>
  <c r="AL4" i="57"/>
  <c r="AL29" i="57"/>
  <c r="AM28" i="57"/>
  <c r="AM29" i="57" s="1"/>
  <c r="DT20" i="45"/>
  <c r="DT73" i="45" s="1"/>
  <c r="AC80" i="57"/>
  <c r="AD9" i="57"/>
  <c r="DW35" i="45" l="1"/>
  <c r="DU188" i="7"/>
  <c r="DV188" i="7" s="1"/>
  <c r="DV190" i="7"/>
  <c r="DS67" i="45"/>
  <c r="AG8" i="9"/>
  <c r="AY40" i="57"/>
  <c r="AY41" i="57" s="1"/>
  <c r="BA40" i="57"/>
  <c r="O57" i="9"/>
  <c r="O58" i="9" s="1"/>
  <c r="DT100" i="45"/>
  <c r="DT147" i="8"/>
  <c r="DT145" i="8"/>
  <c r="AJ12" i="57"/>
  <c r="AJ7" i="57"/>
  <c r="AJ14" i="57" s="1"/>
  <c r="DT40" i="45"/>
  <c r="DT33" i="7"/>
  <c r="O19" i="9" s="1"/>
  <c r="DS32" i="7"/>
  <c r="AO4" i="57"/>
  <c r="AP28" i="57"/>
  <c r="AP29" i="57" s="1"/>
  <c r="AO29" i="57"/>
  <c r="DU27" i="8"/>
  <c r="DW27" i="8" s="1"/>
  <c r="DU55" i="8"/>
  <c r="DU66" i="7" s="1"/>
  <c r="DT188" i="7"/>
  <c r="DS190" i="7"/>
  <c r="DS47" i="45"/>
  <c r="DV52" i="45" s="1"/>
  <c r="DT46" i="45"/>
  <c r="DW51" i="45" s="1"/>
  <c r="DS56" i="45"/>
  <c r="DT287" i="8"/>
  <c r="DT279" i="7"/>
  <c r="DR176" i="7"/>
  <c r="DT215" i="8"/>
  <c r="DS215" i="8" s="1"/>
  <c r="DT214" i="8"/>
  <c r="DS214" i="8" s="1"/>
  <c r="DT166" i="7"/>
  <c r="DT331" i="7"/>
  <c r="DY30" i="7"/>
  <c r="DY94" i="45"/>
  <c r="EB13" i="45"/>
  <c r="EC8" i="45"/>
  <c r="EC13" i="45" s="1"/>
  <c r="X88" i="57"/>
  <c r="EE8" i="45"/>
  <c r="AI9" i="57"/>
  <c r="AI14" i="57"/>
  <c r="DT26" i="8"/>
  <c r="DS28" i="8"/>
  <c r="DY30" i="45"/>
  <c r="AD80" i="57"/>
  <c r="AD81" i="57" s="1"/>
  <c r="AC77" i="57"/>
  <c r="DT31" i="45"/>
  <c r="DS41" i="45"/>
  <c r="AF80" i="57"/>
  <c r="EB19" i="45"/>
  <c r="AG9" i="57"/>
  <c r="DT71" i="45"/>
  <c r="DT88" i="45"/>
  <c r="AM4" i="57"/>
  <c r="AL7" i="57"/>
  <c r="AL12" i="57"/>
  <c r="AR28" i="57"/>
  <c r="AU34" i="57"/>
  <c r="AS34" i="57"/>
  <c r="AS35" i="57" s="1"/>
  <c r="DT55" i="8"/>
  <c r="DT66" i="7" s="1"/>
  <c r="DT90" i="45"/>
  <c r="DS176" i="7"/>
  <c r="DT65" i="45"/>
  <c r="DT66" i="45"/>
  <c r="DU218" i="7" l="1"/>
  <c r="DV218" i="7" s="1"/>
  <c r="DU204" i="7"/>
  <c r="DU212" i="7" s="1"/>
  <c r="DV212" i="7" s="1"/>
  <c r="DU65" i="7"/>
  <c r="DV66" i="7"/>
  <c r="BB40" i="57"/>
  <c r="BB41" i="57" s="1"/>
  <c r="BD40" i="57"/>
  <c r="BE40" i="57" s="1"/>
  <c r="DT67" i="45"/>
  <c r="O21" i="9"/>
  <c r="O22" i="9" s="1"/>
  <c r="Q55" i="9"/>
  <c r="AG26" i="9"/>
  <c r="P57" i="9"/>
  <c r="EB30" i="45"/>
  <c r="AG80" i="57"/>
  <c r="AG81" i="57" s="1"/>
  <c r="AF77" i="57"/>
  <c r="AR4" i="57"/>
  <c r="AR29" i="57"/>
  <c r="AS28" i="57"/>
  <c r="AS29" i="57" s="1"/>
  <c r="DT65" i="7"/>
  <c r="DS66" i="7"/>
  <c r="EC19" i="45"/>
  <c r="EB24" i="45"/>
  <c r="DZ30" i="45"/>
  <c r="DY40" i="45"/>
  <c r="DY35" i="45"/>
  <c r="DT229" i="7"/>
  <c r="DS230" i="7"/>
  <c r="DS145" i="8" s="1"/>
  <c r="DT45" i="7"/>
  <c r="DW125" i="8" s="1"/>
  <c r="DS287" i="8"/>
  <c r="DT56" i="45"/>
  <c r="AP4" i="57"/>
  <c r="AO7" i="57"/>
  <c r="AO12" i="57"/>
  <c r="DT263" i="7"/>
  <c r="DS264" i="7"/>
  <c r="DS147" i="8" s="1"/>
  <c r="DS82" i="45"/>
  <c r="DV84" i="45" s="1"/>
  <c r="DT47" i="45"/>
  <c r="O23" i="9" s="1"/>
  <c r="O26" i="9" s="1"/>
  <c r="DS57" i="45"/>
  <c r="AL9" i="57"/>
  <c r="EH8" i="45"/>
  <c r="AL14" i="57"/>
  <c r="DT41" i="45"/>
  <c r="AI80" i="57"/>
  <c r="EE19" i="45"/>
  <c r="AJ9" i="57"/>
  <c r="DU26" i="8"/>
  <c r="DW26" i="8" s="1"/>
  <c r="AX34" i="57"/>
  <c r="BA34" i="57" s="1"/>
  <c r="BD34" i="57" s="1"/>
  <c r="AU28" i="57"/>
  <c r="AV34" i="57"/>
  <c r="AV35" i="57" s="1"/>
  <c r="AM7" i="57"/>
  <c r="AM14" i="57" s="1"/>
  <c r="AM12" i="57"/>
  <c r="DY33" i="7"/>
  <c r="AK7" i="9" s="1"/>
  <c r="DY88" i="45"/>
  <c r="AD77" i="57"/>
  <c r="EE13" i="45"/>
  <c r="EF8" i="45"/>
  <c r="EF13" i="45" s="1"/>
  <c r="DY331" i="7"/>
  <c r="DY166" i="7"/>
  <c r="DT273" i="7"/>
  <c r="AG51" i="9" s="1"/>
  <c r="DS279" i="7"/>
  <c r="AG15" i="9"/>
  <c r="DT42" i="7"/>
  <c r="DT32" i="7"/>
  <c r="DT58" i="7"/>
  <c r="DT28" i="8"/>
  <c r="DT234" i="7"/>
  <c r="DW332" i="7" s="1"/>
  <c r="DS238" i="7"/>
  <c r="DS188" i="7"/>
  <c r="DT204" i="7"/>
  <c r="DT218" i="7"/>
  <c r="DS218" i="7" s="1"/>
  <c r="DT294" i="8"/>
  <c r="DV204" i="7" l="1"/>
  <c r="BE41" i="57"/>
  <c r="DW28" i="8"/>
  <c r="DW58" i="7"/>
  <c r="AG38" i="9"/>
  <c r="DW184" i="7"/>
  <c r="DU63" i="7"/>
  <c r="DV63" i="7" s="1"/>
  <c r="DV65" i="7"/>
  <c r="BD28" i="57"/>
  <c r="BE34" i="57"/>
  <c r="DT146" i="8"/>
  <c r="DT142" i="8" s="1"/>
  <c r="AG39" i="9"/>
  <c r="AG19" i="9"/>
  <c r="AF16" i="9"/>
  <c r="O37" i="9"/>
  <c r="BA28" i="57"/>
  <c r="BB34" i="57"/>
  <c r="R55" i="9"/>
  <c r="Q57" i="9"/>
  <c r="Q58" i="9" s="1"/>
  <c r="O27" i="9"/>
  <c r="DS204" i="7"/>
  <c r="AG28" i="9"/>
  <c r="AG27" i="9" s="1"/>
  <c r="DT184" i="7"/>
  <c r="AU4" i="57"/>
  <c r="AV28" i="57"/>
  <c r="AV29" i="57" s="1"/>
  <c r="AU29" i="57"/>
  <c r="EF19" i="45"/>
  <c r="S55" i="9" s="1"/>
  <c r="EE24" i="45"/>
  <c r="DS244" i="7"/>
  <c r="DS184" i="8" s="1"/>
  <c r="DS45" i="7"/>
  <c r="DV125" i="8" s="1"/>
  <c r="AS4" i="57"/>
  <c r="AR7" i="57"/>
  <c r="AR12" i="57"/>
  <c r="EC30" i="45"/>
  <c r="EB40" i="45"/>
  <c r="EB35" i="45"/>
  <c r="DT332" i="7"/>
  <c r="DS234" i="7"/>
  <c r="DS146" i="8" s="1"/>
  <c r="DT328" i="7"/>
  <c r="AX28" i="57"/>
  <c r="AY34" i="57"/>
  <c r="AY35" i="57" s="1"/>
  <c r="DU58" i="7"/>
  <c r="DU57" i="7" s="1"/>
  <c r="DU28" i="8"/>
  <c r="DT57" i="45"/>
  <c r="DT63" i="7"/>
  <c r="DS65" i="7"/>
  <c r="AF78" i="57"/>
  <c r="AG77" i="57"/>
  <c r="AG78" i="57" s="1"/>
  <c r="DY32" i="7"/>
  <c r="EE30" i="45"/>
  <c r="AJ80" i="57"/>
  <c r="AJ81" i="57" s="1"/>
  <c r="AI77" i="57"/>
  <c r="EI8" i="45"/>
  <c r="EI13" i="45" s="1"/>
  <c r="EH13" i="45"/>
  <c r="DT82" i="45"/>
  <c r="DS83" i="45"/>
  <c r="DS95" i="45"/>
  <c r="DS96" i="45" s="1"/>
  <c r="DS263" i="7"/>
  <c r="DT283" i="7"/>
  <c r="DT143" i="8"/>
  <c r="DT329" i="7"/>
  <c r="DT336" i="7"/>
  <c r="EK8" i="45"/>
  <c r="AO9" i="57"/>
  <c r="AO14" i="57"/>
  <c r="DT242" i="7"/>
  <c r="AG41" i="9" s="1"/>
  <c r="DS229" i="7"/>
  <c r="DT327" i="7"/>
  <c r="DT141" i="8"/>
  <c r="DT335" i="7"/>
  <c r="EC24" i="45"/>
  <c r="DS42" i="7"/>
  <c r="DS294" i="8"/>
  <c r="DT57" i="7"/>
  <c r="DS58" i="7"/>
  <c r="AF15" i="9"/>
  <c r="DT330" i="7"/>
  <c r="DS273" i="7"/>
  <c r="DS330" i="7" s="1"/>
  <c r="EH19" i="45"/>
  <c r="AL80" i="57"/>
  <c r="AM9" i="57"/>
  <c r="AP7" i="57"/>
  <c r="AP14" i="57" s="1"/>
  <c r="AP12" i="57"/>
  <c r="DZ35" i="45"/>
  <c r="DZ40" i="45"/>
  <c r="DV58" i="7" l="1"/>
  <c r="DW57" i="7"/>
  <c r="BE35" i="57"/>
  <c r="BD4" i="57"/>
  <c r="BD29" i="57"/>
  <c r="BE28" i="57"/>
  <c r="R57" i="9"/>
  <c r="R58" i="9" s="1"/>
  <c r="BB35" i="57"/>
  <c r="R56" i="9"/>
  <c r="BA4" i="57"/>
  <c r="BA29" i="57"/>
  <c r="BB28" i="57"/>
  <c r="AG23" i="9"/>
  <c r="DT564" i="7"/>
  <c r="DS242" i="7"/>
  <c r="DS564" i="7" s="1"/>
  <c r="AG40" i="9"/>
  <c r="DS283" i="7"/>
  <c r="DS565" i="7" s="1"/>
  <c r="DT565" i="7"/>
  <c r="EH30" i="45"/>
  <c r="AM80" i="57"/>
  <c r="AM81" i="57" s="1"/>
  <c r="AL77" i="57"/>
  <c r="DS184" i="7"/>
  <c r="EL8" i="45"/>
  <c r="EL13" i="45" s="1"/>
  <c r="EK13" i="45"/>
  <c r="DT334" i="7"/>
  <c r="DT333" i="7"/>
  <c r="AR9" i="57"/>
  <c r="EN8" i="45"/>
  <c r="AR14" i="57"/>
  <c r="EI19" i="45"/>
  <c r="EH24" i="45"/>
  <c r="AX4" i="57"/>
  <c r="AY28" i="57"/>
  <c r="AY29" i="57" s="1"/>
  <c r="AX29" i="57"/>
  <c r="AS12" i="57"/>
  <c r="AS7" i="57"/>
  <c r="AS14" i="57" s="1"/>
  <c r="EF24" i="45"/>
  <c r="S56" i="9" s="1"/>
  <c r="DS143" i="8"/>
  <c r="DS329" i="7"/>
  <c r="DS336" i="7"/>
  <c r="DT95" i="45"/>
  <c r="DT96" i="45" s="1"/>
  <c r="DT83" i="45"/>
  <c r="AI78" i="57"/>
  <c r="AJ77" i="57"/>
  <c r="AJ78" i="57" s="1"/>
  <c r="EF30" i="45"/>
  <c r="S57" i="9" s="1"/>
  <c r="S58" i="9" s="1"/>
  <c r="EE40" i="45"/>
  <c r="EE35" i="45"/>
  <c r="DS63" i="7"/>
  <c r="DU181" i="7"/>
  <c r="DU155" i="8"/>
  <c r="DS332" i="7"/>
  <c r="DS328" i="7"/>
  <c r="DS142" i="8"/>
  <c r="EC40" i="45"/>
  <c r="EC35" i="45"/>
  <c r="DS57" i="7"/>
  <c r="DS155" i="8" s="1"/>
  <c r="DT181" i="7"/>
  <c r="DT155" i="8"/>
  <c r="DS141" i="8"/>
  <c r="DS327" i="7"/>
  <c r="DS335" i="7"/>
  <c r="EK19" i="45"/>
  <c r="AO80" i="57"/>
  <c r="AP9" i="57"/>
  <c r="AU7" i="57"/>
  <c r="AV4" i="57"/>
  <c r="AU12" i="57"/>
  <c r="DV57" i="7" l="1"/>
  <c r="DW181" i="7"/>
  <c r="DW55" i="7"/>
  <c r="BE29" i="57"/>
  <c r="BD12" i="57"/>
  <c r="BD7" i="57"/>
  <c r="BE4" i="57"/>
  <c r="DS181" i="7"/>
  <c r="AG20" i="9"/>
  <c r="AG24" i="9" s="1"/>
  <c r="BA12" i="57"/>
  <c r="BA7" i="57"/>
  <c r="BB4" i="57"/>
  <c r="BB29" i="57"/>
  <c r="DT566" i="7"/>
  <c r="DS566" i="7"/>
  <c r="EK30" i="45"/>
  <c r="AP80" i="57"/>
  <c r="AP81" i="57" s="1"/>
  <c r="AO77" i="57"/>
  <c r="EL19" i="45"/>
  <c r="EK24" i="45"/>
  <c r="AY4" i="57"/>
  <c r="AX12" i="57"/>
  <c r="AX7" i="57"/>
  <c r="EI30" i="45"/>
  <c r="EH40" i="45"/>
  <c r="EH35" i="45"/>
  <c r="DS334" i="7"/>
  <c r="DS333" i="7"/>
  <c r="DT245" i="7"/>
  <c r="AG42" i="9" s="1"/>
  <c r="DT44" i="8"/>
  <c r="DT42" i="8"/>
  <c r="DS247" i="7"/>
  <c r="EO8" i="45"/>
  <c r="EO13" i="45" s="1"/>
  <c r="EN13" i="45"/>
  <c r="AV7" i="57"/>
  <c r="AV14" i="57" s="1"/>
  <c r="AV12" i="57"/>
  <c r="EQ8" i="45"/>
  <c r="AU14" i="57"/>
  <c r="AU9" i="57"/>
  <c r="EF40" i="45"/>
  <c r="EF35" i="45"/>
  <c r="EI24" i="45"/>
  <c r="EN19" i="45"/>
  <c r="AR80" i="57"/>
  <c r="AS9" i="57"/>
  <c r="AM77" i="57"/>
  <c r="AM78" i="57" s="1"/>
  <c r="AL78" i="57"/>
  <c r="DV181" i="7" l="1"/>
  <c r="DW183" i="7"/>
  <c r="BE12" i="57"/>
  <c r="BE7" i="57"/>
  <c r="BD14" i="57"/>
  <c r="EZ8" i="45"/>
  <c r="BD9" i="57"/>
  <c r="BB12" i="57"/>
  <c r="BB7" i="57"/>
  <c r="BA14" i="57"/>
  <c r="BA9" i="57"/>
  <c r="EW8" i="45"/>
  <c r="EN30" i="45"/>
  <c r="AS80" i="57"/>
  <c r="AS81" i="57" s="1"/>
  <c r="AR77" i="57"/>
  <c r="DS44" i="8"/>
  <c r="DS46" i="8" s="1"/>
  <c r="DS42" i="8"/>
  <c r="DS45" i="8" s="1"/>
  <c r="DT45" i="8"/>
  <c r="EI40" i="45"/>
  <c r="EI35" i="45"/>
  <c r="AX14" i="57"/>
  <c r="AX9" i="57"/>
  <c r="ET8" i="45"/>
  <c r="ER8" i="45"/>
  <c r="ER13" i="45" s="1"/>
  <c r="EQ13" i="45"/>
  <c r="EO19" i="45"/>
  <c r="EN24" i="45"/>
  <c r="AV9" i="57"/>
  <c r="AU80" i="57"/>
  <c r="EQ19" i="45"/>
  <c r="DT46" i="8"/>
  <c r="DT49" i="8" s="1"/>
  <c r="DS49" i="8" s="1"/>
  <c r="EL24" i="45"/>
  <c r="EK40" i="45"/>
  <c r="EK35" i="45"/>
  <c r="EL30" i="45"/>
  <c r="DU42" i="8"/>
  <c r="DU44" i="8"/>
  <c r="DU245" i="7"/>
  <c r="DS245" i="7"/>
  <c r="DS568" i="7" s="1"/>
  <c r="DT568" i="7"/>
  <c r="DT260" i="7"/>
  <c r="AG47" i="9" s="1"/>
  <c r="AY7" i="57"/>
  <c r="AY14" i="57" s="1"/>
  <c r="AY12" i="57"/>
  <c r="AP77" i="57"/>
  <c r="AP78" i="57" s="1"/>
  <c r="AO78" i="57"/>
  <c r="EZ13" i="45" l="1"/>
  <c r="FA8" i="45"/>
  <c r="BE14" i="57"/>
  <c r="EZ19" i="45"/>
  <c r="BD80" i="57"/>
  <c r="BE9" i="57"/>
  <c r="EW19" i="45"/>
  <c r="BA80" i="57"/>
  <c r="BB9" i="57"/>
  <c r="BB14" i="57"/>
  <c r="EW13" i="45"/>
  <c r="EX8" i="45"/>
  <c r="EL40" i="45"/>
  <c r="EL35" i="45"/>
  <c r="ER19" i="45"/>
  <c r="EQ24" i="45"/>
  <c r="EO24" i="45"/>
  <c r="ET13" i="45"/>
  <c r="EU8" i="45"/>
  <c r="DU45" i="8"/>
  <c r="AS77" i="57"/>
  <c r="AS78" i="57" s="1"/>
  <c r="AR78" i="57"/>
  <c r="EO30" i="45"/>
  <c r="EN35" i="45"/>
  <c r="EN40" i="45"/>
  <c r="DS260" i="7"/>
  <c r="DT261" i="7"/>
  <c r="DU568" i="7"/>
  <c r="ET19" i="45"/>
  <c r="AX80" i="57"/>
  <c r="AY9" i="57"/>
  <c r="EQ30" i="45"/>
  <c r="AV80" i="57"/>
  <c r="AV81" i="57" s="1"/>
  <c r="AU77" i="57"/>
  <c r="DU46" i="8"/>
  <c r="DU49" i="8" s="1"/>
  <c r="EZ30" i="45" l="1"/>
  <c r="BE80" i="57"/>
  <c r="BE81" i="57" s="1"/>
  <c r="BD77" i="57"/>
  <c r="FA13" i="45"/>
  <c r="EZ24" i="45"/>
  <c r="FA19" i="45"/>
  <c r="EW24" i="45"/>
  <c r="EX19" i="45"/>
  <c r="EW30" i="45"/>
  <c r="BB80" i="57"/>
  <c r="BB81" i="57" s="1"/>
  <c r="BA77" i="57"/>
  <c r="EU13" i="45"/>
  <c r="EX13" i="45"/>
  <c r="AG48" i="9"/>
  <c r="AG46" i="9"/>
  <c r="EQ40" i="45"/>
  <c r="ER30" i="45"/>
  <c r="EQ35" i="45"/>
  <c r="EO35" i="45"/>
  <c r="EO40" i="45"/>
  <c r="AU78" i="57"/>
  <c r="AV77" i="57"/>
  <c r="AV78" i="57" s="1"/>
  <c r="ET30" i="45"/>
  <c r="AY80" i="57"/>
  <c r="AY81" i="57" s="1"/>
  <c r="AX77" i="57"/>
  <c r="DS261" i="7"/>
  <c r="ET24" i="45"/>
  <c r="EU19" i="45"/>
  <c r="ER24" i="45"/>
  <c r="BD78" i="57" l="1"/>
  <c r="BE77" i="57"/>
  <c r="FA24" i="45"/>
  <c r="EZ35" i="45"/>
  <c r="EZ40" i="45"/>
  <c r="FA30" i="45"/>
  <c r="BA78" i="57"/>
  <c r="BB77" i="57"/>
  <c r="EW40" i="45"/>
  <c r="EW35" i="45"/>
  <c r="EX30" i="45"/>
  <c r="EX24" i="45"/>
  <c r="EU24" i="45"/>
  <c r="EU30" i="45"/>
  <c r="ET40" i="45"/>
  <c r="ET35" i="45"/>
  <c r="ER40" i="45"/>
  <c r="ER35" i="45"/>
  <c r="AX78" i="57"/>
  <c r="AY77" i="57"/>
  <c r="AY78" i="57" s="1"/>
  <c r="FA35" i="45" l="1"/>
  <c r="FA40" i="45"/>
  <c r="BE78" i="57"/>
  <c r="BB78" i="57"/>
  <c r="EX40" i="45"/>
  <c r="EX35" i="45"/>
  <c r="EU40" i="45"/>
  <c r="EU35" i="45"/>
  <c r="T41" i="57" l="1"/>
  <c r="U40" i="57"/>
  <c r="X41" i="57" s="1"/>
  <c r="U41" i="57" l="1"/>
  <c r="U34" i="57"/>
  <c r="U35" i="57" s="1"/>
  <c r="X35" i="57" l="1"/>
  <c r="T34" i="57"/>
  <c r="T28" i="57" s="1"/>
  <c r="W29" i="57" l="1"/>
  <c r="T4" i="57"/>
  <c r="W12" i="57" l="1"/>
  <c r="T12" i="57"/>
  <c r="U4" i="57"/>
  <c r="T7" i="57"/>
  <c r="W14" i="57" l="1"/>
  <c r="T14" i="57"/>
  <c r="T9" i="57"/>
  <c r="X12" i="57"/>
  <c r="U12" i="57"/>
  <c r="U7" i="57"/>
  <c r="T77" i="57" l="1"/>
  <c r="U77" i="57" s="1"/>
  <c r="T85" i="57"/>
  <c r="DP19" i="45"/>
  <c r="U9" i="57"/>
  <c r="X14" i="57"/>
  <c r="U14" i="57"/>
  <c r="DP64" i="45" l="1"/>
  <c r="U85" i="57"/>
  <c r="DS24" i="45"/>
  <c r="DQ19" i="45"/>
  <c r="DP20" i="45"/>
  <c r="DP8" i="45"/>
  <c r="DP24" i="45"/>
  <c r="U81" i="57"/>
  <c r="DP30" i="45"/>
  <c r="DP100" i="45" l="1"/>
  <c r="DP73" i="45"/>
  <c r="N55" i="9"/>
  <c r="DS35" i="45"/>
  <c r="DQ30" i="45"/>
  <c r="DP31" i="45"/>
  <c r="DP35" i="45"/>
  <c r="DP40" i="45"/>
  <c r="W78" i="57"/>
  <c r="T78" i="57"/>
  <c r="DT24" i="45"/>
  <c r="O56" i="9" s="1"/>
  <c r="DQ24" i="45"/>
  <c r="N56" i="9" s="1"/>
  <c r="DQ20" i="45"/>
  <c r="DQ73" i="45" s="1"/>
  <c r="W89" i="57"/>
  <c r="U87" i="57"/>
  <c r="DP46" i="45"/>
  <c r="T89" i="57"/>
  <c r="T88" i="57"/>
  <c r="DS13" i="45"/>
  <c r="DQ8" i="45"/>
  <c r="DP9" i="45"/>
  <c r="DP13" i="45"/>
  <c r="DS25" i="45"/>
  <c r="DP33" i="7"/>
  <c r="AE7" i="9" s="1"/>
  <c r="DP25" i="45"/>
  <c r="DP88" i="45"/>
  <c r="DP92" i="45"/>
  <c r="DP90" i="45"/>
  <c r="DP71" i="45"/>
  <c r="DQ64" i="45"/>
  <c r="DP66" i="45"/>
  <c r="DP65" i="45"/>
  <c r="N57" i="9" l="1"/>
  <c r="N58" i="9" s="1"/>
  <c r="DP67" i="45"/>
  <c r="DP154" i="8"/>
  <c r="DQ154" i="8" s="1"/>
  <c r="DQ190" i="7" s="1"/>
  <c r="DQ100" i="45"/>
  <c r="DT13" i="45"/>
  <c r="DQ13" i="45"/>
  <c r="DS51" i="45"/>
  <c r="DP47" i="45"/>
  <c r="DP56" i="45"/>
  <c r="DQ46" i="45"/>
  <c r="X78" i="57"/>
  <c r="U78" i="57"/>
  <c r="DS36" i="45"/>
  <c r="DQ31" i="45"/>
  <c r="N21" i="9" s="1"/>
  <c r="DP36" i="45"/>
  <c r="DP41" i="45"/>
  <c r="DS14" i="45"/>
  <c r="DQ9" i="45"/>
  <c r="DP14" i="45"/>
  <c r="DP30" i="7"/>
  <c r="DP32" i="7" s="1"/>
  <c r="DP94" i="45"/>
  <c r="DT25" i="45"/>
  <c r="DQ25" i="45"/>
  <c r="DQ71" i="45"/>
  <c r="DQ92" i="45"/>
  <c r="DQ88" i="45"/>
  <c r="DT35" i="45"/>
  <c r="DQ35" i="45"/>
  <c r="DQ40" i="45"/>
  <c r="DQ33" i="7"/>
  <c r="N19" i="9" s="1"/>
  <c r="AE12" i="9"/>
  <c r="DQ66" i="45"/>
  <c r="DQ65" i="45"/>
  <c r="X89" i="57"/>
  <c r="U88" i="57"/>
  <c r="U89" i="57"/>
  <c r="DP83" i="7"/>
  <c r="N22" i="9" l="1"/>
  <c r="DQ188" i="7"/>
  <c r="DP190" i="7"/>
  <c r="DQ83" i="7"/>
  <c r="DP555" i="7"/>
  <c r="DP556" i="7" s="1"/>
  <c r="DP557" i="7" s="1"/>
  <c r="DS31" i="7"/>
  <c r="DS151" i="7"/>
  <c r="DQ30" i="7"/>
  <c r="DP176" i="7" s="1"/>
  <c r="DP169" i="7"/>
  <c r="DP151" i="7"/>
  <c r="DP334" i="7"/>
  <c r="DP331" i="7"/>
  <c r="DP329" i="7"/>
  <c r="DP162" i="7"/>
  <c r="DP56" i="7"/>
  <c r="DP166" i="7"/>
  <c r="DP161" i="7"/>
  <c r="DP70" i="7"/>
  <c r="DR169" i="7"/>
  <c r="DP31" i="7"/>
  <c r="DP159" i="7"/>
  <c r="DP333" i="7"/>
  <c r="DP146" i="8"/>
  <c r="DP142" i="8" s="1"/>
  <c r="DP147" i="8"/>
  <c r="DP143" i="8" s="1"/>
  <c r="DP327" i="7"/>
  <c r="DP74" i="7"/>
  <c r="DP336" i="7"/>
  <c r="DP335" i="7"/>
  <c r="DP145" i="8"/>
  <c r="DP141" i="8" s="1"/>
  <c r="DP62" i="7"/>
  <c r="DP160" i="7"/>
  <c r="DP328" i="7"/>
  <c r="DT51" i="45"/>
  <c r="DQ56" i="45"/>
  <c r="DT14" i="45"/>
  <c r="DQ14" i="45"/>
  <c r="DQ90" i="45"/>
  <c r="DQ94" i="45"/>
  <c r="DT36" i="45"/>
  <c r="DQ36" i="45"/>
  <c r="DQ41" i="45"/>
  <c r="DS52" i="45"/>
  <c r="DQ47" i="45"/>
  <c r="N23" i="9" s="1"/>
  <c r="N26" i="9" s="1"/>
  <c r="N37" i="9" s="1"/>
  <c r="DP82" i="45"/>
  <c r="DP57" i="45"/>
  <c r="DP52" i="45"/>
  <c r="DQ42" i="7"/>
  <c r="DQ67" i="45"/>
  <c r="AF26" i="9" l="1"/>
  <c r="AF19" i="9"/>
  <c r="AF24" i="9" s="1"/>
  <c r="N44" i="9"/>
  <c r="N29" i="9"/>
  <c r="N27" i="9"/>
  <c r="N31" i="9"/>
  <c r="DQ32" i="7"/>
  <c r="DT31" i="7"/>
  <c r="DT151" i="7"/>
  <c r="DQ279" i="7"/>
  <c r="DQ146" i="8"/>
  <c r="DQ142" i="8" s="1"/>
  <c r="DQ145" i="8"/>
  <c r="DQ141" i="8" s="1"/>
  <c r="DQ214" i="8"/>
  <c r="DP214" i="8" s="1"/>
  <c r="DQ331" i="7"/>
  <c r="DQ70" i="7"/>
  <c r="DQ334" i="7"/>
  <c r="DQ159" i="7"/>
  <c r="DQ74" i="7"/>
  <c r="DQ166" i="7"/>
  <c r="DQ161" i="7"/>
  <c r="DQ328" i="7"/>
  <c r="DQ336" i="7"/>
  <c r="DQ151" i="7"/>
  <c r="DQ56" i="7"/>
  <c r="DQ147" i="8"/>
  <c r="DQ143" i="8" s="1"/>
  <c r="DQ287" i="8"/>
  <c r="DQ162" i="7"/>
  <c r="DQ160" i="7"/>
  <c r="DQ329" i="7"/>
  <c r="DQ62" i="7"/>
  <c r="DQ333" i="7"/>
  <c r="DQ327" i="7"/>
  <c r="DQ335" i="7"/>
  <c r="DQ31" i="7"/>
  <c r="DQ215" i="8"/>
  <c r="DP215" i="8" s="1"/>
  <c r="DO176" i="7"/>
  <c r="DQ90" i="7"/>
  <c r="DQ85" i="7"/>
  <c r="DQ555" i="7"/>
  <c r="DQ556" i="7" s="1"/>
  <c r="DQ557" i="7" s="1"/>
  <c r="DP42" i="7"/>
  <c r="DS84" i="45"/>
  <c r="DQ82" i="45"/>
  <c r="DP95" i="45"/>
  <c r="DP96" i="45" s="1"/>
  <c r="DP84" i="45"/>
  <c r="DP83" i="45"/>
  <c r="DQ155" i="8"/>
  <c r="DQ294" i="8"/>
  <c r="DQ218" i="7"/>
  <c r="DQ204" i="7"/>
  <c r="AF28" i="9" s="1"/>
  <c r="DP188" i="7"/>
  <c r="O20" i="9"/>
  <c r="AD15" i="9"/>
  <c r="AE15" i="9" s="1"/>
  <c r="N20" i="9"/>
  <c r="DT52" i="45"/>
  <c r="DQ57" i="45"/>
  <c r="DQ52" i="45"/>
  <c r="AF27" i="9" l="1"/>
  <c r="N32" i="9"/>
  <c r="DT84" i="45"/>
  <c r="DQ84" i="45"/>
  <c r="DQ95" i="45"/>
  <c r="DQ96" i="45" s="1"/>
  <c r="DQ83" i="45"/>
  <c r="DP204" i="7"/>
  <c r="DQ212" i="7"/>
  <c r="DQ10" i="7"/>
  <c r="DP85" i="7"/>
  <c r="DQ116" i="7"/>
  <c r="DQ164" i="7"/>
  <c r="DQ156" i="7"/>
  <c r="DP218" i="7"/>
  <c r="DQ86" i="7"/>
  <c r="DP86" i="7" s="1"/>
  <c r="DP90" i="7"/>
  <c r="DP294" i="8"/>
  <c r="DP155" i="8"/>
  <c r="DP287" i="8"/>
  <c r="DQ45" i="7"/>
  <c r="DP279" i="7"/>
  <c r="DQ273" i="7"/>
  <c r="AF33" i="9" l="1"/>
  <c r="AF32" i="9" s="1"/>
  <c r="DT185" i="7"/>
  <c r="AF51" i="9"/>
  <c r="DQ283" i="7"/>
  <c r="DP273" i="7"/>
  <c r="DP330" i="7" s="1"/>
  <c r="DR185" i="7"/>
  <c r="DR186" i="7" s="1"/>
  <c r="DQ330" i="7"/>
  <c r="DQ185" i="7"/>
  <c r="DQ140" i="7"/>
  <c r="DP116" i="7"/>
  <c r="AE10" i="9" s="1"/>
  <c r="DP10" i="7"/>
  <c r="DP175" i="7"/>
  <c r="DR175" i="7"/>
  <c r="DP156" i="7"/>
  <c r="DP164" i="7"/>
  <c r="DQ211" i="7"/>
  <c r="DP212" i="7"/>
  <c r="DP45" i="7"/>
  <c r="DT125" i="8"/>
  <c r="DQ53" i="7"/>
  <c r="DQ43" i="7" s="1"/>
  <c r="DP43" i="7" s="1"/>
  <c r="DQ91" i="7"/>
  <c r="N34" i="9" s="1"/>
  <c r="N33" i="9" s="1"/>
  <c r="DQ14" i="7"/>
  <c r="DP14" i="7" l="1"/>
  <c r="AE13" i="9"/>
  <c r="N16" i="9"/>
  <c r="N14" i="9"/>
  <c r="DQ17" i="7"/>
  <c r="DQ11" i="7"/>
  <c r="DP91" i="7"/>
  <c r="DQ5" i="8"/>
  <c r="DQ11" i="8" s="1"/>
  <c r="DQ157" i="7"/>
  <c r="DQ338" i="7"/>
  <c r="N39" i="9" s="1"/>
  <c r="DQ163" i="7"/>
  <c r="DS125" i="8"/>
  <c r="DP53" i="7"/>
  <c r="DQ144" i="7"/>
  <c r="DQ147" i="7" s="1"/>
  <c r="DP140" i="7"/>
  <c r="DQ141" i="7"/>
  <c r="DS185" i="7"/>
  <c r="DP211" i="7"/>
  <c r="DQ177" i="8"/>
  <c r="DQ27" i="7"/>
  <c r="DP197" i="8"/>
  <c r="DP27" i="7"/>
  <c r="DP185" i="7"/>
  <c r="DQ186" i="7"/>
  <c r="DP186" i="7" s="1"/>
  <c r="DQ565" i="7"/>
  <c r="DQ566" i="7" s="1"/>
  <c r="DP283" i="7"/>
  <c r="DP565" i="7" s="1"/>
  <c r="DP566" i="7" s="1"/>
  <c r="DQ300" i="7"/>
  <c r="AF53" i="9" s="1"/>
  <c r="N15" i="9" l="1"/>
  <c r="DP177" i="8"/>
  <c r="DP341" i="7"/>
  <c r="DQ197" i="8"/>
  <c r="DR143" i="7"/>
  <c r="DR144" i="7" s="1"/>
  <c r="DR147" i="7" s="1"/>
  <c r="DS143" i="7" s="1"/>
  <c r="DT143" i="7"/>
  <c r="DP11" i="7"/>
  <c r="DP17" i="7"/>
  <c r="DP163" i="7"/>
  <c r="DP338" i="7"/>
  <c r="DP157" i="7"/>
  <c r="DP174" i="7"/>
  <c r="DP5" i="8"/>
  <c r="DP11" i="8" s="1"/>
  <c r="DR174" i="7"/>
  <c r="DP300" i="7"/>
  <c r="DP569" i="7" s="1"/>
  <c r="DP571" i="7" s="1"/>
  <c r="DP574" i="7" s="1"/>
  <c r="DQ569" i="7"/>
  <c r="DQ571" i="7" s="1"/>
  <c r="DQ574" i="7" s="1"/>
  <c r="DQ302" i="7"/>
  <c r="AF52" i="9"/>
  <c r="AF58" i="9" s="1"/>
  <c r="DP141" i="7"/>
  <c r="DP144" i="7"/>
  <c r="DP147" i="7" s="1"/>
  <c r="DQ12" i="7"/>
  <c r="N7" i="9" s="1"/>
  <c r="DQ15" i="7"/>
  <c r="DP577" i="7" l="1"/>
  <c r="DP579" i="7"/>
  <c r="DP302" i="7"/>
  <c r="DP319" i="7" s="1"/>
  <c r="DQ319" i="7"/>
  <c r="DP12" i="7"/>
  <c r="DP15" i="7"/>
  <c r="DQ198" i="8"/>
  <c r="DQ577" i="7"/>
  <c r="DQ579" i="7"/>
  <c r="DQ341" i="7"/>
  <c r="DQ345" i="7"/>
  <c r="DP22" i="7"/>
  <c r="AE14" i="9" l="1"/>
  <c r="DQ342" i="7"/>
  <c r="DQ22" i="7"/>
  <c r="DP358" i="7"/>
  <c r="DP205" i="8" s="1"/>
  <c r="DP359" i="7"/>
  <c r="DQ202" i="8"/>
  <c r="DQ24" i="7"/>
  <c r="N12" i="9" l="1"/>
  <c r="DQ358" i="7"/>
  <c r="DQ359" i="7"/>
  <c r="N40" i="9" s="1"/>
  <c r="DP342" i="7"/>
  <c r="DQ219" i="7"/>
  <c r="DP219" i="7" l="1"/>
  <c r="DQ220" i="7"/>
  <c r="DP220" i="7" s="1"/>
  <c r="DS117" i="8"/>
  <c r="DS18" i="8" s="1"/>
  <c r="DT116" i="8"/>
  <c r="DT117" i="8" s="1"/>
  <c r="DT18" i="8" l="1"/>
  <c r="DT77" i="7"/>
  <c r="DS77" i="7" l="1"/>
  <c r="DT75" i="7"/>
  <c r="O28" i="9" l="1"/>
  <c r="O44" i="9" s="1"/>
  <c r="DS75" i="7"/>
  <c r="O29" i="9" l="1"/>
  <c r="DS180" i="7"/>
  <c r="DT73" i="7" l="1"/>
  <c r="DW155" i="7" l="1"/>
  <c r="DT69" i="7"/>
  <c r="DT81" i="7"/>
  <c r="DS80" i="7"/>
  <c r="DT179" i="7"/>
  <c r="DT61" i="7" l="1"/>
  <c r="DS61" i="7" s="1"/>
  <c r="DW154" i="7"/>
  <c r="O30" i="9"/>
  <c r="DS81" i="7"/>
  <c r="DT553" i="7"/>
  <c r="DT82" i="7"/>
  <c r="DT55" i="7" l="1"/>
  <c r="DW152" i="7" s="1"/>
  <c r="DS552" i="7"/>
  <c r="DT552" i="7"/>
  <c r="DW153" i="7"/>
  <c r="DS82" i="7"/>
  <c r="W91" i="57" s="1"/>
  <c r="DS553" i="7"/>
  <c r="DS182" i="7"/>
  <c r="DT183" i="7"/>
  <c r="DT554" i="7"/>
  <c r="DT518" i="7"/>
  <c r="DT519" i="7"/>
  <c r="W93" i="57" l="1"/>
  <c r="X93" i="57" s="1"/>
  <c r="DT83" i="7" s="1"/>
  <c r="W92" i="57"/>
  <c r="X91" i="57"/>
  <c r="X92" i="57" s="1"/>
  <c r="DS183" i="7"/>
  <c r="DS554" i="7"/>
  <c r="O31" i="9" l="1"/>
  <c r="O32" i="9" s="1"/>
  <c r="DT217" i="7"/>
  <c r="DT85" i="7"/>
  <c r="DS73" i="7"/>
  <c r="DT91" i="7" l="1"/>
  <c r="DW157" i="7" s="1"/>
  <c r="DW156" i="7"/>
  <c r="AG9" i="9"/>
  <c r="AG16" i="9" s="1"/>
  <c r="DS316" i="7"/>
  <c r="DT10" i="7"/>
  <c r="DT116" i="7"/>
  <c r="DT140" i="7" s="1"/>
  <c r="DS85" i="7"/>
  <c r="DS10" i="7" s="1"/>
  <c r="DS55" i="7"/>
  <c r="DS91" i="7" l="1"/>
  <c r="O34" i="9"/>
  <c r="O33" i="9" s="1"/>
  <c r="AG12" i="9"/>
  <c r="DS53" i="7"/>
  <c r="DS170" i="7"/>
  <c r="DS152" i="7"/>
  <c r="DS56" i="7"/>
  <c r="DT11" i="7"/>
  <c r="DS159" i="7"/>
  <c r="DT144" i="7"/>
  <c r="DS140" i="7"/>
  <c r="DT5" i="8"/>
  <c r="DT11" i="8" s="1"/>
  <c r="DT157" i="7"/>
  <c r="DT163" i="7"/>
  <c r="DT56" i="7"/>
  <c r="DT53" i="7"/>
  <c r="DT43" i="7" s="1"/>
  <c r="DS43" i="7" s="1"/>
  <c r="DT159" i="7"/>
  <c r="DT152" i="7"/>
  <c r="DS164" i="7"/>
  <c r="DS156" i="7"/>
  <c r="DS175" i="7"/>
  <c r="DT145" i="7" l="1"/>
  <c r="DT147" i="7" s="1"/>
  <c r="DW143" i="7" s="1"/>
  <c r="DW144" i="7" s="1"/>
  <c r="DW147" i="7" s="1"/>
  <c r="DX143" i="7" s="1"/>
  <c r="DX144" i="7" s="1"/>
  <c r="DS144" i="7"/>
  <c r="DS11" i="7"/>
  <c r="DS174" i="7"/>
  <c r="DS5" i="8"/>
  <c r="DS11" i="8" s="1"/>
  <c r="DS157" i="7"/>
  <c r="DS163" i="7"/>
  <c r="DS160" i="7"/>
  <c r="DS171" i="7"/>
  <c r="DS153" i="7"/>
  <c r="DS62" i="7"/>
  <c r="DT153" i="7"/>
  <c r="DT62" i="7"/>
  <c r="DT160" i="7"/>
  <c r="DU143" i="7" l="1"/>
  <c r="DT291" i="7"/>
  <c r="DS210" i="7"/>
  <c r="DS176" i="8" s="1"/>
  <c r="DT176" i="8"/>
  <c r="DT174" i="8" s="1"/>
  <c r="DS145" i="7"/>
  <c r="DS147" i="7" s="1"/>
  <c r="DT212" i="7"/>
  <c r="AG33" i="9" s="1"/>
  <c r="AG32" i="9" s="1"/>
  <c r="DS69" i="7"/>
  <c r="DS519" i="7"/>
  <c r="DT161" i="7"/>
  <c r="DT154" i="7"/>
  <c r="DT70" i="7"/>
  <c r="DS132" i="8"/>
  <c r="DS133" i="8" s="1"/>
  <c r="DS116" i="7"/>
  <c r="AG10" i="9" s="1"/>
  <c r="DS518" i="7"/>
  <c r="DS177" i="7"/>
  <c r="DS4" i="8"/>
  <c r="DS10" i="8" s="1"/>
  <c r="DS337" i="7"/>
  <c r="DS155" i="7"/>
  <c r="DS74" i="7"/>
  <c r="DS325" i="7"/>
  <c r="DS162" i="7"/>
  <c r="DS173" i="7"/>
  <c r="DS172" i="7" l="1"/>
  <c r="DT132" i="8"/>
  <c r="DT133" i="8" s="1"/>
  <c r="DS154" i="7"/>
  <c r="DS212" i="7"/>
  <c r="DT211" i="7"/>
  <c r="DS314" i="7"/>
  <c r="DS70" i="7"/>
  <c r="DS161" i="7"/>
  <c r="DT315" i="7"/>
  <c r="AG56" i="9" s="1"/>
  <c r="DT286" i="7"/>
  <c r="DT179" i="8"/>
  <c r="DS291" i="7"/>
  <c r="DS179" i="8" s="1"/>
  <c r="DT555" i="7"/>
  <c r="DT556" i="7" s="1"/>
  <c r="DT557" i="7" s="1"/>
  <c r="DS83" i="7"/>
  <c r="DS187" i="7"/>
  <c r="DT186" i="7"/>
  <c r="DS186" i="7" s="1"/>
  <c r="DS217" i="7"/>
  <c r="AG50" i="9" l="1"/>
  <c r="DW167" i="7"/>
  <c r="DS555" i="7"/>
  <c r="DS556" i="7" s="1"/>
  <c r="DS557" i="7" s="1"/>
  <c r="DS211" i="7"/>
  <c r="DS177" i="8" s="1"/>
  <c r="DT177" i="8"/>
  <c r="DT324" i="7"/>
  <c r="DS286" i="7"/>
  <c r="DT115" i="8" s="1"/>
  <c r="DT299" i="7"/>
  <c r="DT575" i="7"/>
  <c r="DT167" i="7"/>
  <c r="DT317" i="7"/>
  <c r="AG54" i="9"/>
  <c r="DS315" i="7"/>
  <c r="DT25" i="7"/>
  <c r="DT560" i="7"/>
  <c r="DT562" i="7" s="1"/>
  <c r="DS208" i="7"/>
  <c r="DT323" i="7" l="1"/>
  <c r="O41" i="9"/>
  <c r="O43" i="9" s="1"/>
  <c r="DT322" i="7"/>
  <c r="O42" i="9" s="1"/>
  <c r="DS560" i="7"/>
  <c r="DS562" i="7" s="1"/>
  <c r="DS339" i="7"/>
  <c r="DT522" i="7"/>
  <c r="DS324" i="7"/>
  <c r="DS317" i="7"/>
  <c r="DS322" i="7" s="1"/>
  <c r="DT520" i="7"/>
  <c r="DT521" i="7" s="1"/>
  <c r="DT525" i="7" s="1"/>
  <c r="DT338" i="7"/>
  <c r="O39" i="9" s="1"/>
  <c r="DS352" i="7"/>
  <c r="DU354" i="7" s="1"/>
  <c r="DT300" i="7"/>
  <c r="AG53" i="9" s="1"/>
  <c r="DS299" i="7"/>
  <c r="DS115" i="8"/>
  <c r="DU117" i="8" s="1"/>
  <c r="DS575" i="7"/>
  <c r="DS167" i="7"/>
  <c r="DT156" i="7"/>
  <c r="DT164" i="7"/>
  <c r="DS179" i="7"/>
  <c r="DT339" i="7"/>
  <c r="DT4" i="8"/>
  <c r="DT10" i="8" s="1"/>
  <c r="DT155" i="7"/>
  <c r="DT162" i="7"/>
  <c r="DT74" i="7"/>
  <c r="DT325" i="7"/>
  <c r="DR177" i="7"/>
  <c r="DT337" i="7"/>
  <c r="O38" i="9" s="1"/>
  <c r="DS323" i="7" l="1"/>
  <c r="DS520" i="7"/>
  <c r="DS338" i="7"/>
  <c r="DS300" i="7"/>
  <c r="DS569" i="7" s="1"/>
  <c r="DS571" i="7" s="1"/>
  <c r="DS574" i="7" s="1"/>
  <c r="DT302" i="7"/>
  <c r="DT569" i="7"/>
  <c r="DT571" i="7" s="1"/>
  <c r="DT574" i="7" s="1"/>
  <c r="AG52" i="9"/>
  <c r="AG58" i="9" s="1"/>
  <c r="DS522" i="7"/>
  <c r="DU77" i="7"/>
  <c r="DV77" i="7" s="1"/>
  <c r="DU18" i="8"/>
  <c r="DT577" i="7" l="1"/>
  <c r="DT579" i="7"/>
  <c r="DS302" i="7"/>
  <c r="DS319" i="7" s="1"/>
  <c r="DT319" i="7"/>
  <c r="DS577" i="7"/>
  <c r="DS579" i="7"/>
  <c r="DS348" i="7" l="1"/>
  <c r="DT348" i="7" s="1"/>
  <c r="DT203" i="8" s="1"/>
  <c r="DS25" i="7"/>
  <c r="DT12" i="7"/>
  <c r="O7" i="9" s="1"/>
  <c r="DS376" i="7"/>
  <c r="DT376" i="7" s="1"/>
  <c r="DU376" i="7" l="1"/>
  <c r="DU355" i="7"/>
  <c r="DU307" i="7" s="1"/>
  <c r="DT391" i="7"/>
  <c r="DS389" i="7"/>
  <c r="DS393" i="7"/>
  <c r="DU378" i="7" l="1"/>
  <c r="DV367" i="7" s="1"/>
  <c r="DU393" i="7"/>
  <c r="DV376" i="7"/>
  <c r="DS12" i="7"/>
  <c r="DS391" i="7"/>
  <c r="DS14" i="7"/>
  <c r="DS20" i="7"/>
  <c r="DS141" i="7"/>
  <c r="DS15" i="7"/>
  <c r="DS17" i="7"/>
  <c r="DT393" i="7"/>
  <c r="DV389" i="7" l="1"/>
  <c r="DV391" i="7" s="1"/>
  <c r="DW12" i="7"/>
  <c r="DV393" i="7"/>
  <c r="DX376" i="7"/>
  <c r="DY376" i="7" s="1"/>
  <c r="EA376" i="7" s="1"/>
  <c r="DW376" i="7"/>
  <c r="DX367" i="7" s="1"/>
  <c r="AG13" i="9"/>
  <c r="DS197" i="8"/>
  <c r="DS27" i="7"/>
  <c r="DT20" i="7"/>
  <c r="DT17" i="7"/>
  <c r="DT14" i="7"/>
  <c r="DT141" i="7"/>
  <c r="DT15" i="7"/>
  <c r="DV20" i="7" l="1"/>
  <c r="DW393" i="7"/>
  <c r="DW17" i="7" s="1"/>
  <c r="DX389" i="7"/>
  <c r="DX391" i="7" s="1"/>
  <c r="DX378" i="7"/>
  <c r="DY367" i="7" s="1"/>
  <c r="DY389" i="7" s="1"/>
  <c r="DY391" i="7" s="1"/>
  <c r="DX393" i="7"/>
  <c r="DZ367" i="7"/>
  <c r="DZ389" i="7" s="1"/>
  <c r="DZ391" i="7" s="1"/>
  <c r="DZ376" i="7"/>
  <c r="O10" i="9"/>
  <c r="O16" i="9"/>
  <c r="O14" i="9"/>
  <c r="O15" i="9" s="1"/>
  <c r="EB376" i="7"/>
  <c r="ED376" i="7" s="1"/>
  <c r="DS341" i="7"/>
  <c r="DT27" i="7"/>
  <c r="DX141" i="7" l="1"/>
  <c r="DW141" i="7"/>
  <c r="DW15" i="7"/>
  <c r="DW14" i="7"/>
  <c r="DW20" i="7"/>
  <c r="DY378" i="7"/>
  <c r="DY393" i="7"/>
  <c r="DZ378" i="7"/>
  <c r="O11" i="9"/>
  <c r="EC376" i="7"/>
  <c r="EE376" i="7"/>
  <c r="EG376" i="7" s="1"/>
  <c r="BW449" i="7"/>
  <c r="BX449" i="7" s="1"/>
  <c r="BY449" i="7" s="1"/>
  <c r="BZ449" i="7" s="1"/>
  <c r="CA449" i="7" s="1"/>
  <c r="CB449" i="7" s="1"/>
  <c r="CC449" i="7" s="1"/>
  <c r="CD449" i="7" s="1"/>
  <c r="CE449" i="7" s="1"/>
  <c r="CF449" i="7" s="1"/>
  <c r="CG449" i="7" s="1"/>
  <c r="CH449" i="7" s="1"/>
  <c r="CI449" i="7" s="1"/>
  <c r="CJ449" i="7" s="1"/>
  <c r="CK449" i="7" s="1"/>
  <c r="CL449" i="7" s="1"/>
  <c r="CM449" i="7" s="1"/>
  <c r="CN449" i="7" s="1"/>
  <c r="CO449" i="7" s="1"/>
  <c r="CP449" i="7" s="1"/>
  <c r="CQ449" i="7" s="1"/>
  <c r="CR449" i="7" s="1"/>
  <c r="CS449" i="7" s="1"/>
  <c r="CT449" i="7" s="1"/>
  <c r="CU449" i="7" s="1"/>
  <c r="CV449" i="7" s="1"/>
  <c r="CW449" i="7" s="1"/>
  <c r="CX449" i="7" s="1"/>
  <c r="CY449" i="7" s="1"/>
  <c r="CZ449" i="7" s="1"/>
  <c r="DA449" i="7" s="1"/>
  <c r="DB449" i="7" s="1"/>
  <c r="DC449" i="7" s="1"/>
  <c r="DD449" i="7" s="1"/>
  <c r="DE449" i="7" s="1"/>
  <c r="DF449" i="7" s="1"/>
  <c r="DG449" i="7" s="1"/>
  <c r="DH449" i="7" s="1"/>
  <c r="DI449" i="7" s="1"/>
  <c r="DJ449" i="7" s="1"/>
  <c r="DK449" i="7" s="1"/>
  <c r="DL449" i="7" s="1"/>
  <c r="DM449" i="7" s="1"/>
  <c r="DN449" i="7" s="1"/>
  <c r="DO449" i="7" s="1"/>
  <c r="DP449" i="7" s="1"/>
  <c r="DQ449" i="7" s="1"/>
  <c r="DR449" i="7" s="1"/>
  <c r="DS449" i="7" s="1"/>
  <c r="DT449" i="7" s="1"/>
  <c r="DU449" i="7" s="1"/>
  <c r="DV449" i="7" s="1"/>
  <c r="DW449" i="7" s="1"/>
  <c r="DS22" i="7"/>
  <c r="DZ393" i="7" l="1"/>
  <c r="DW27" i="7"/>
  <c r="EC367" i="7"/>
  <c r="EA367" i="7"/>
  <c r="AG14" i="9"/>
  <c r="EF376" i="7"/>
  <c r="EH376" i="7"/>
  <c r="EJ376" i="7" s="1"/>
  <c r="DS358" i="7"/>
  <c r="DS205" i="8" s="1"/>
  <c r="DS359" i="7"/>
  <c r="O9" i="9" l="1"/>
  <c r="N9" i="9"/>
  <c r="EA389" i="7"/>
  <c r="EA391" i="7" s="1"/>
  <c r="EA393" i="7"/>
  <c r="EA378" i="7"/>
  <c r="EB367" i="7" s="1"/>
  <c r="EC389" i="7"/>
  <c r="EC378" i="7"/>
  <c r="EI376" i="7"/>
  <c r="EK376" i="7"/>
  <c r="EM376" i="7" s="1"/>
  <c r="EC391" i="7" l="1"/>
  <c r="EB378" i="7"/>
  <c r="EB389" i="7"/>
  <c r="EB391" i="7" s="1"/>
  <c r="EB393" i="7"/>
  <c r="EC393" i="7" s="1"/>
  <c r="ED367" i="7"/>
  <c r="EF367" i="7"/>
  <c r="EL376" i="7"/>
  <c r="EN376" i="7"/>
  <c r="EP376" i="7" s="1"/>
  <c r="EF389" i="7" l="1"/>
  <c r="EF378" i="7"/>
  <c r="ED378" i="7"/>
  <c r="EE367" i="7" s="1"/>
  <c r="ED389" i="7"/>
  <c r="ED391" i="7" s="1"/>
  <c r="ED393" i="7"/>
  <c r="EO376" i="7"/>
  <c r="EQ376" i="7"/>
  <c r="ES376" i="7" s="1"/>
  <c r="DU176" i="8"/>
  <c r="DU174" i="8" s="1"/>
  <c r="EE378" i="7" l="1"/>
  <c r="EE389" i="7"/>
  <c r="EE391" i="7" s="1"/>
  <c r="EE393" i="7"/>
  <c r="EF393" i="7" s="1"/>
  <c r="EG367" i="7"/>
  <c r="EI367" i="7"/>
  <c r="EF391" i="7"/>
  <c r="ER376" i="7"/>
  <c r="ET376" i="7"/>
  <c r="DU179" i="8"/>
  <c r="DU286" i="7"/>
  <c r="DV115" i="8" l="1"/>
  <c r="DV167" i="7"/>
  <c r="EG393" i="7"/>
  <c r="EG378" i="7"/>
  <c r="EH367" i="7" s="1"/>
  <c r="EG389" i="7"/>
  <c r="EG391" i="7" s="1"/>
  <c r="EI378" i="7"/>
  <c r="EI389" i="7"/>
  <c r="EU376" i="7"/>
  <c r="EV376" i="7"/>
  <c r="EW376" i="7" s="1"/>
  <c r="DU299" i="7"/>
  <c r="DU115" i="8"/>
  <c r="DV116" i="8" s="1"/>
  <c r="DV117" i="8" s="1"/>
  <c r="DV18" i="8" s="1"/>
  <c r="DU167" i="7"/>
  <c r="EX376" i="7" l="1"/>
  <c r="EY376" i="7"/>
  <c r="DU114" i="8"/>
  <c r="EJ367" i="7"/>
  <c r="EL367" i="7"/>
  <c r="EH389" i="7"/>
  <c r="EH391" i="7" s="1"/>
  <c r="EH378" i="7"/>
  <c r="EH393" i="7"/>
  <c r="EI393" i="7" s="1"/>
  <c r="EI391" i="7"/>
  <c r="EZ376" i="7" l="1"/>
  <c r="FA376" i="7" s="1"/>
  <c r="EL378" i="7"/>
  <c r="EL389" i="7"/>
  <c r="EJ389" i="7"/>
  <c r="EJ391" i="7" s="1"/>
  <c r="EJ378" i="7"/>
  <c r="EK367" i="7" s="1"/>
  <c r="EJ393" i="7"/>
  <c r="EA114" i="8" l="1"/>
  <c r="ED114" i="8" s="1"/>
  <c r="EG114" i="8" s="1"/>
  <c r="EJ114" i="8" s="1"/>
  <c r="EM114" i="8" s="1"/>
  <c r="EP114" i="8" s="1"/>
  <c r="ES114" i="8" s="1"/>
  <c r="EV114" i="8" s="1"/>
  <c r="EY114" i="8" s="1"/>
  <c r="EK393" i="7"/>
  <c r="EL393" i="7" s="1"/>
  <c r="EK389" i="7"/>
  <c r="EK391" i="7" s="1"/>
  <c r="EK378" i="7"/>
  <c r="EL391" i="7"/>
  <c r="EM367" i="7"/>
  <c r="EO367" i="7"/>
  <c r="EB114" i="8" l="1"/>
  <c r="EE114" i="8" s="1"/>
  <c r="EH114" i="8" s="1"/>
  <c r="EK114" i="8" s="1"/>
  <c r="EN114" i="8" s="1"/>
  <c r="EQ114" i="8" s="1"/>
  <c r="ET114" i="8" s="1"/>
  <c r="EW114" i="8" s="1"/>
  <c r="EZ114" i="8" s="1"/>
  <c r="DZ114" i="8"/>
  <c r="EC114" i="8" s="1"/>
  <c r="EF114" i="8" s="1"/>
  <c r="EI114" i="8" s="1"/>
  <c r="EL114" i="8" s="1"/>
  <c r="EO114" i="8" s="1"/>
  <c r="ER114" i="8" s="1"/>
  <c r="EU114" i="8" s="1"/>
  <c r="EX114" i="8" s="1"/>
  <c r="FA114" i="8" s="1"/>
  <c r="EO389" i="7"/>
  <c r="EO378" i="7"/>
  <c r="EM389" i="7"/>
  <c r="EM391" i="7" s="1"/>
  <c r="EM378" i="7"/>
  <c r="EN367" i="7" s="1"/>
  <c r="EM393" i="7"/>
  <c r="EO391" i="7" l="1"/>
  <c r="EN378" i="7"/>
  <c r="EN393" i="7"/>
  <c r="EO393" i="7" s="1"/>
  <c r="EN389" i="7"/>
  <c r="EN391" i="7" s="1"/>
  <c r="ER367" i="7"/>
  <c r="EP367" i="7"/>
  <c r="EP378" i="7" l="1"/>
  <c r="EQ367" i="7" s="1"/>
  <c r="EP389" i="7"/>
  <c r="EP391" i="7" s="1"/>
  <c r="EP393" i="7"/>
  <c r="ER389" i="7"/>
  <c r="ER378" i="7"/>
  <c r="EU367" i="7" l="1"/>
  <c r="ES367" i="7"/>
  <c r="ER391" i="7"/>
  <c r="EQ393" i="7"/>
  <c r="ER393" i="7" s="1"/>
  <c r="EQ378" i="7"/>
  <c r="EQ389" i="7"/>
  <c r="EQ391" i="7" s="1"/>
  <c r="ES378" i="7" l="1"/>
  <c r="ET367" i="7" s="1"/>
  <c r="ES393" i="7"/>
  <c r="ES389" i="7"/>
  <c r="ES391" i="7" s="1"/>
  <c r="EU389" i="7"/>
  <c r="EU378" i="7"/>
  <c r="EU391" i="7" l="1"/>
  <c r="EX367" i="7"/>
  <c r="EV367" i="7"/>
  <c r="ET378" i="7"/>
  <c r="ET393" i="7"/>
  <c r="EU393" i="7" s="1"/>
  <c r="ET389" i="7"/>
  <c r="ET391" i="7" s="1"/>
  <c r="EV389" i="7" l="1"/>
  <c r="EV391" i="7" s="1"/>
  <c r="EV378" i="7"/>
  <c r="EW367" i="7" s="1"/>
  <c r="EV393" i="7"/>
  <c r="EX378" i="7"/>
  <c r="EX389" i="7"/>
  <c r="BC154" i="8"/>
  <c r="BC190" i="7" s="1"/>
  <c r="FA367" i="7" l="1"/>
  <c r="EY367" i="7"/>
  <c r="EW393" i="7"/>
  <c r="EX393" i="7" s="1"/>
  <c r="EW378" i="7"/>
  <c r="EW389" i="7"/>
  <c r="EW391" i="7" s="1"/>
  <c r="EX391" i="7"/>
  <c r="BB190" i="7"/>
  <c r="BC188" i="7"/>
  <c r="EY389" i="7" l="1"/>
  <c r="EY391" i="7" s="1"/>
  <c r="EY378" i="7"/>
  <c r="EZ367" i="7" s="1"/>
  <c r="EY393" i="7"/>
  <c r="FA389" i="7"/>
  <c r="FA391" i="7" s="1"/>
  <c r="FA378" i="7"/>
  <c r="BC155" i="8"/>
  <c r="BC294" i="8"/>
  <c r="BB188" i="7"/>
  <c r="BB155" i="8" s="1"/>
  <c r="BC204" i="7"/>
  <c r="BC26" i="8"/>
  <c r="EZ378" i="7" l="1"/>
  <c r="EZ389" i="7"/>
  <c r="EZ391" i="7" s="1"/>
  <c r="EZ393" i="7"/>
  <c r="FA393" i="7" s="1"/>
  <c r="BC212" i="7"/>
  <c r="BB204" i="7"/>
  <c r="BD26" i="8"/>
  <c r="BB26" i="8"/>
  <c r="BB28" i="8" s="1"/>
  <c r="BC28" i="8"/>
  <c r="BD58" i="7" l="1"/>
  <c r="BE26" i="8"/>
  <c r="BE28" i="8" s="1"/>
  <c r="BD28" i="8"/>
  <c r="BE58" i="7" l="1"/>
  <c r="BD57" i="7"/>
  <c r="BE57" i="7" l="1"/>
  <c r="BE155" i="8" s="1"/>
  <c r="BD155" i="8"/>
  <c r="BD55" i="7"/>
  <c r="BD181" i="7"/>
  <c r="BE181" i="7" l="1"/>
  <c r="BD183" i="7"/>
  <c r="BD53" i="7"/>
  <c r="BD43" i="7" s="1"/>
  <c r="BE43" i="7" s="1"/>
  <c r="BD56" i="7"/>
  <c r="BD152" i="7"/>
  <c r="BE55" i="7"/>
  <c r="BG152" i="7"/>
  <c r="BD170" i="7"/>
  <c r="BD159" i="7"/>
  <c r="BH152" i="7" l="1"/>
  <c r="BE170" i="7"/>
  <c r="BE152" i="7"/>
  <c r="BG170" i="7"/>
  <c r="BE53" i="7"/>
  <c r="BE159" i="7"/>
  <c r="BE56" i="7"/>
  <c r="BD186" i="7"/>
  <c r="BE186" i="7" s="1"/>
  <c r="BE183" i="7"/>
  <c r="CE104" i="8"/>
  <c r="CE17" i="8" s="1"/>
  <c r="CH102" i="8"/>
  <c r="CH104" i="8" s="1"/>
  <c r="CH17" i="8" l="1"/>
  <c r="CJ104" i="8"/>
  <c r="CJ76" i="7" s="1"/>
  <c r="CF104" i="8"/>
  <c r="CF17" i="8" l="1"/>
  <c r="CF102" i="8"/>
  <c r="CI76" i="7"/>
  <c r="CI105" i="8" s="1"/>
  <c r="CJ35" i="7"/>
  <c r="CJ75" i="7"/>
  <c r="CI35" i="7" l="1"/>
  <c r="CJ34" i="7"/>
  <c r="CI17" i="8"/>
  <c r="CJ105" i="8"/>
  <c r="CJ17" i="8" s="1"/>
  <c r="CJ325" i="7"/>
  <c r="CJ554" i="7"/>
  <c r="CI75" i="7"/>
  <c r="CI325" i="7" l="1"/>
  <c r="CI554" i="7"/>
  <c r="CJ555" i="7"/>
  <c r="CJ556" i="7" s="1"/>
  <c r="CJ557" i="7" s="1"/>
  <c r="CJ579" i="7" s="1"/>
  <c r="CI34" i="7"/>
  <c r="CI555" i="7" s="1"/>
  <c r="CJ42" i="7"/>
  <c r="CI556" i="7" l="1"/>
  <c r="CI557" i="7" s="1"/>
  <c r="CI579" i="7" s="1"/>
  <c r="CI42" i="7"/>
  <c r="CI53" i="7" s="1"/>
  <c r="CJ53" i="7"/>
  <c r="CJ43" i="7" s="1"/>
  <c r="CI43" i="7" s="1"/>
  <c r="CP123" i="8"/>
  <c r="CP122" i="8" s="1"/>
  <c r="CO128" i="8" s="1"/>
  <c r="CJ122" i="8"/>
  <c r="CI128" i="8" s="1"/>
  <c r="BA178" i="8" l="1"/>
  <c r="BA224" i="7"/>
  <c r="BB222" i="7" s="1"/>
  <c r="BA212" i="7"/>
  <c r="BB212" i="7" s="1"/>
  <c r="BB214" i="7"/>
  <c r="BB178" i="8" s="1"/>
  <c r="CA211" i="7"/>
  <c r="CA176" i="8"/>
  <c r="CA174" i="8" s="1"/>
  <c r="CA177" i="8" l="1"/>
  <c r="BZ210" i="7"/>
  <c r="BZ176" i="8" s="1"/>
  <c r="BZ174" i="8" s="1"/>
  <c r="BY211" i="7"/>
  <c r="BY177" i="8" s="1"/>
  <c r="BY176" i="8"/>
  <c r="BY174" i="8" s="1"/>
  <c r="BZ211" i="7" l="1"/>
  <c r="BZ177" i="8" s="1"/>
  <c r="BS123" i="8"/>
  <c r="BS122" i="8" s="1"/>
  <c r="CC123" i="8"/>
  <c r="CC122" i="8" s="1"/>
  <c r="BQ123" i="8"/>
  <c r="BQ122" i="8" s="1"/>
  <c r="BP123" i="8"/>
  <c r="BP122" i="8" s="1"/>
  <c r="CF123" i="8"/>
  <c r="CF122" i="8" s="1"/>
  <c r="CB123" i="8"/>
  <c r="CB122" i="8" s="1"/>
  <c r="BV123" i="8"/>
  <c r="BV122" i="8" s="1"/>
  <c r="CK123" i="8"/>
  <c r="CK122" i="8" s="1"/>
  <c r="BY123" i="8"/>
  <c r="BY122" i="8" s="1"/>
  <c r="CE123" i="8"/>
  <c r="CE122" i="8" s="1"/>
  <c r="CW123" i="8"/>
  <c r="CW122" i="8" s="1"/>
  <c r="CI123" i="8"/>
  <c r="CI122" i="8" s="1"/>
  <c r="CH123" i="8"/>
  <c r="CH122" i="8" s="1"/>
  <c r="BT123" i="8"/>
  <c r="BT122" i="8" s="1"/>
  <c r="CL123" i="8"/>
  <c r="CL122" i="8" s="1"/>
  <c r="CT123" i="8"/>
  <c r="CT122" i="8" s="1"/>
  <c r="CQ123" i="8"/>
  <c r="CQ122" i="8" s="1"/>
  <c r="BZ123" i="8"/>
  <c r="BZ122" i="8" s="1"/>
  <c r="CD123" i="8"/>
  <c r="CD122" i="8" s="1"/>
  <c r="CC128" i="8" s="1"/>
  <c r="CA123" i="8"/>
  <c r="CA122" i="8" s="1"/>
  <c r="BZ128" i="8" s="1"/>
  <c r="BR123" i="8"/>
  <c r="BR122" i="8" s="1"/>
  <c r="BQ128" i="8" s="1"/>
  <c r="BW123" i="8"/>
  <c r="BW122" i="8" s="1"/>
  <c r="CN123" i="8"/>
  <c r="CN122" i="8" s="1"/>
  <c r="CO123" i="8"/>
  <c r="CO122" i="8" s="1"/>
  <c r="CV123" i="8"/>
  <c r="CV122" i="8" s="1"/>
  <c r="CU128" i="8" s="1"/>
  <c r="CU123" i="8"/>
  <c r="CU122" i="8" s="1"/>
  <c r="CR123" i="8"/>
  <c r="CR122" i="8" s="1"/>
  <c r="CS123" i="8"/>
  <c r="CS122" i="8" s="1"/>
  <c r="CR128" i="8" s="1"/>
  <c r="BU123" i="8"/>
  <c r="BU122" i="8" s="1"/>
  <c r="BT128" i="8" s="1"/>
  <c r="CG123" i="8"/>
  <c r="CG122" i="8" s="1"/>
  <c r="CM123" i="8"/>
  <c r="CM122" i="8" s="1"/>
  <c r="CL128" i="8" s="1"/>
  <c r="BX123" i="8"/>
  <c r="BX122" i="8" s="1"/>
  <c r="BW128" i="8" s="1"/>
  <c r="CY123" i="8"/>
  <c r="CY122" i="8" s="1"/>
  <c r="CX128" i="8" s="1"/>
  <c r="CX123" i="8"/>
  <c r="CX122" i="8" s="1"/>
  <c r="CG129" i="8" l="1"/>
  <c r="CF128" i="8"/>
  <c r="CF129" i="8" s="1"/>
  <c r="DM123" i="8"/>
  <c r="DM122" i="8" s="1"/>
  <c r="DO123" i="8"/>
  <c r="DO122" i="8" s="1"/>
  <c r="CZ123" i="8"/>
  <c r="CZ122" i="8" s="1"/>
  <c r="DL123" i="8"/>
  <c r="DL122" i="8" s="1"/>
  <c r="DF123" i="8"/>
  <c r="DF122" i="8" s="1"/>
  <c r="DI123" i="8"/>
  <c r="DI122" i="8" s="1"/>
  <c r="DC123" i="8"/>
  <c r="DC122" i="8" s="1"/>
  <c r="DD123" i="8"/>
  <c r="DD122" i="8" s="1"/>
  <c r="DP123" i="8"/>
  <c r="DP122" i="8" s="1"/>
  <c r="DQ123" i="8"/>
  <c r="DQ122" i="8" s="1"/>
  <c r="DP128" i="8" s="1"/>
  <c r="DH123" i="8"/>
  <c r="DH122" i="8" s="1"/>
  <c r="DG128" i="8" s="1"/>
  <c r="DG123" i="8"/>
  <c r="DG122" i="8" s="1"/>
  <c r="DE123" i="8"/>
  <c r="DE122" i="8" s="1"/>
  <c r="DD128" i="8" s="1"/>
  <c r="DN123" i="8"/>
  <c r="DN122" i="8" s="1"/>
  <c r="DM128" i="8" s="1"/>
  <c r="DB123" i="8"/>
  <c r="DB122" i="8" s="1"/>
  <c r="DA128" i="8" s="1"/>
  <c r="DA123" i="8"/>
  <c r="DA122" i="8" s="1"/>
  <c r="DK123" i="8"/>
  <c r="DK122" i="8" s="1"/>
  <c r="DJ128" i="8" s="1"/>
  <c r="DJ123" i="8"/>
  <c r="DJ122" i="8" s="1"/>
  <c r="BR174" i="8"/>
  <c r="BR209" i="7"/>
  <c r="EB175" i="8"/>
  <c r="EE175" i="8"/>
  <c r="DY175" i="8"/>
  <c r="CF209" i="7"/>
  <c r="CF174" i="8" s="1"/>
  <c r="CG211" i="7"/>
  <c r="CG177" i="8" s="1"/>
  <c r="CG174" i="8"/>
  <c r="CF211" i="7" l="1"/>
  <c r="CF177" i="8" s="1"/>
  <c r="BP174" i="8"/>
  <c r="BP209" i="7"/>
  <c r="BQ209" i="7" s="1"/>
  <c r="BQ174" i="8"/>
  <c r="DS175" i="8"/>
  <c r="DS174" i="8" s="1"/>
  <c r="EM61" i="45"/>
  <c r="EG61" i="45"/>
  <c r="EJ61" i="45" l="1"/>
  <c r="EP61" i="45" l="1"/>
  <c r="ES61" i="45" l="1"/>
  <c r="EM506" i="7" l="1"/>
  <c r="EN506" i="7" l="1"/>
  <c r="DX176" i="8" l="1"/>
  <c r="DX174" i="8" s="1"/>
  <c r="DY176" i="8"/>
  <c r="DY174" i="8" s="1"/>
  <c r="EA176" i="8"/>
  <c r="EA174" i="8" s="1"/>
  <c r="EB176" i="8"/>
  <c r="EB174" i="8" s="1"/>
  <c r="ED176" i="8"/>
  <c r="ED174" i="8" s="1"/>
  <c r="EE176" i="8"/>
  <c r="EE174" i="8" s="1"/>
  <c r="EG176" i="8"/>
  <c r="EG174" i="8" s="1"/>
  <c r="EH176" i="8"/>
  <c r="EH174" i="8" s="1"/>
  <c r="EJ176" i="8"/>
  <c r="EJ174" i="8" s="1"/>
  <c r="EK176" i="8"/>
  <c r="EK174" i="8" s="1"/>
  <c r="EM176" i="8"/>
  <c r="EM174" i="8" s="1"/>
  <c r="EN176" i="8"/>
  <c r="EN174" i="8" s="1"/>
  <c r="EP176" i="8"/>
  <c r="EP174" i="8" s="1"/>
  <c r="EQ176" i="8"/>
  <c r="EQ174" i="8" s="1"/>
  <c r="ES176" i="8"/>
  <c r="ES174" i="8" s="1"/>
  <c r="ET176" i="8"/>
  <c r="ET174" i="8" s="1"/>
  <c r="EV176" i="8"/>
  <c r="EV174" i="8" s="1"/>
  <c r="EW176" i="8"/>
  <c r="EW174" i="8" s="1"/>
  <c r="DY70" i="45" l="1"/>
  <c r="DU29" i="45"/>
  <c r="DU62" i="45"/>
  <c r="DU455" i="45"/>
  <c r="DU45" i="45" s="1"/>
  <c r="DW29" i="45" l="1"/>
  <c r="DU66" i="45"/>
  <c r="DU34" i="45"/>
  <c r="DU31" i="45"/>
  <c r="DU50" i="45"/>
  <c r="DU47" i="45"/>
  <c r="DW47" i="45" s="1"/>
  <c r="DW52" i="45" s="1"/>
  <c r="DW34" i="45" l="1"/>
  <c r="DW31" i="45"/>
  <c r="DW36" i="45" s="1"/>
  <c r="P53" i="9"/>
  <c r="DU82" i="45"/>
  <c r="DW82" i="45" s="1"/>
  <c r="DU52" i="45"/>
  <c r="AH8" i="9"/>
  <c r="DU36" i="45"/>
  <c r="DW95" i="45" l="1"/>
  <c r="DW84" i="45"/>
  <c r="EA453" i="45"/>
  <c r="DU84" i="45"/>
  <c r="DU95" i="45"/>
  <c r="DU234" i="7"/>
  <c r="DU263" i="7"/>
  <c r="DU229" i="7"/>
  <c r="DU184" i="7" s="1"/>
  <c r="DV332" i="7" l="1"/>
  <c r="ED453" i="45"/>
  <c r="EA63" i="45"/>
  <c r="DV184" i="7"/>
  <c r="DY72" i="45"/>
  <c r="DU260" i="7"/>
  <c r="DU332" i="7"/>
  <c r="EB453" i="45" l="1"/>
  <c r="DY63" i="45"/>
  <c r="DY452" i="45"/>
  <c r="DY62" i="45" s="1"/>
  <c r="DW23" i="45"/>
  <c r="DW39" i="45"/>
  <c r="P51" i="9"/>
  <c r="P54" i="9" s="1"/>
  <c r="EG453" i="45"/>
  <c r="ED63" i="45"/>
  <c r="EE453" i="45" l="1"/>
  <c r="EB63" i="45"/>
  <c r="EB452" i="45"/>
  <c r="EJ453" i="45"/>
  <c r="EG63" i="45"/>
  <c r="EB62" i="45" l="1"/>
  <c r="EB455" i="45"/>
  <c r="EH453" i="45"/>
  <c r="EE63" i="45"/>
  <c r="EE452" i="45"/>
  <c r="EM453" i="45"/>
  <c r="EJ63" i="45"/>
  <c r="EE62" i="45" l="1"/>
  <c r="EE455" i="45"/>
  <c r="EB45" i="45"/>
  <c r="EB55" i="45" s="1"/>
  <c r="EB456" i="45"/>
  <c r="EK453" i="45"/>
  <c r="EH63" i="45"/>
  <c r="EH452" i="45"/>
  <c r="EP453" i="45"/>
  <c r="EM63" i="45"/>
  <c r="EH62" i="45" l="1"/>
  <c r="EH455" i="45"/>
  <c r="EN453" i="45"/>
  <c r="EK63" i="45"/>
  <c r="EK452" i="45"/>
  <c r="EE45" i="45"/>
  <c r="EE456" i="45"/>
  <c r="ES453" i="45"/>
  <c r="EP63" i="45"/>
  <c r="EE55" i="45" l="1"/>
  <c r="EE50" i="45"/>
  <c r="EQ453" i="45"/>
  <c r="EN63" i="45"/>
  <c r="EN452" i="45"/>
  <c r="EK62" i="45"/>
  <c r="EK455" i="45"/>
  <c r="EH45" i="45"/>
  <c r="EH456" i="45"/>
  <c r="EV453" i="45"/>
  <c r="EY453" i="45" s="1"/>
  <c r="ES63" i="45"/>
  <c r="EH50" i="45" l="1"/>
  <c r="EH55" i="45"/>
  <c r="EK45" i="45"/>
  <c r="EK456" i="45"/>
  <c r="ET453" i="45"/>
  <c r="EQ63" i="45"/>
  <c r="EQ452" i="45"/>
  <c r="EN62" i="45"/>
  <c r="EN455" i="45"/>
  <c r="EY63" i="45"/>
  <c r="EV63" i="45"/>
  <c r="EW453" i="45" l="1"/>
  <c r="ET63" i="45"/>
  <c r="ET452" i="45"/>
  <c r="EK55" i="45"/>
  <c r="EK50" i="45"/>
  <c r="EQ62" i="45"/>
  <c r="EQ455" i="45"/>
  <c r="EN456" i="45"/>
  <c r="EN45" i="45"/>
  <c r="EQ456" i="45" l="1"/>
  <c r="EQ45" i="45"/>
  <c r="ET62" i="45"/>
  <c r="ET455" i="45"/>
  <c r="EN55" i="45"/>
  <c r="EN50" i="45"/>
  <c r="EZ453" i="45"/>
  <c r="EW63" i="45"/>
  <c r="EW452" i="45"/>
  <c r="ET456" i="45" l="1"/>
  <c r="ET45" i="45"/>
  <c r="EQ50" i="45"/>
  <c r="EQ55" i="45"/>
  <c r="EZ63" i="45"/>
  <c r="EZ452" i="45"/>
  <c r="EW62" i="45"/>
  <c r="EW455" i="45"/>
  <c r="EW45" i="45" l="1"/>
  <c r="EW456" i="45"/>
  <c r="EZ62" i="45"/>
  <c r="EZ455" i="45"/>
  <c r="ET55" i="45"/>
  <c r="ET50" i="45"/>
  <c r="EZ456" i="45" l="1"/>
  <c r="EZ45" i="45"/>
  <c r="EW50" i="45"/>
  <c r="EW55" i="45"/>
  <c r="EZ50" i="45" l="1"/>
  <c r="EZ55" i="45"/>
  <c r="DU83" i="7" l="1"/>
  <c r="DU123" i="8"/>
  <c r="DU132" i="8"/>
  <c r="DU81" i="7"/>
  <c r="DV81" i="7" l="1"/>
  <c r="DU122" i="8"/>
  <c r="DV123" i="8"/>
  <c r="DV83" i="7"/>
  <c r="DU82" i="7"/>
  <c r="Y91" i="57" s="1"/>
  <c r="Y93" i="57" s="1"/>
  <c r="DU553" i="7"/>
  <c r="DU85" i="7"/>
  <c r="DU133" i="8"/>
  <c r="DV82" i="7" l="1"/>
  <c r="DW123" i="8"/>
  <c r="DW122" i="8" s="1"/>
  <c r="DV122" i="8"/>
  <c r="DU519" i="7"/>
  <c r="DU10" i="7"/>
  <c r="DV85" i="7"/>
  <c r="DU156" i="7"/>
  <c r="DU175" i="7"/>
  <c r="DU91" i="7"/>
  <c r="DU116" i="7"/>
  <c r="Y92" i="57"/>
  <c r="DU14" i="7" l="1"/>
  <c r="DU198" i="8" s="1"/>
  <c r="AH13" i="9"/>
  <c r="DU27" i="7"/>
  <c r="DU140" i="7"/>
  <c r="DV140" i="7" s="1"/>
  <c r="DV141" i="7" s="1"/>
  <c r="DV116" i="7"/>
  <c r="DU5" i="8"/>
  <c r="DU11" i="8" s="1"/>
  <c r="DV91" i="7"/>
  <c r="DV156" i="7"/>
  <c r="DV175" i="7"/>
  <c r="DV10" i="7"/>
  <c r="AH10" i="9"/>
  <c r="DU157" i="7"/>
  <c r="DU177" i="8"/>
  <c r="DU11" i="7"/>
  <c r="DU174" i="7"/>
  <c r="DU17" i="7"/>
  <c r="DU145" i="7"/>
  <c r="DV145" i="7" s="1"/>
  <c r="DV14" i="7" l="1"/>
  <c r="DV198" i="8" s="1"/>
  <c r="DU144" i="7"/>
  <c r="DU147" i="7" s="1"/>
  <c r="DV143" i="7" s="1"/>
  <c r="DV144" i="7" s="1"/>
  <c r="DV147" i="7" s="1"/>
  <c r="DU141" i="7"/>
  <c r="DV27" i="7"/>
  <c r="DV17" i="7"/>
  <c r="DV174" i="7"/>
  <c r="DV11" i="7"/>
  <c r="DV338" i="7"/>
  <c r="DV157" i="7"/>
  <c r="DU15" i="7"/>
  <c r="DU12" i="7"/>
  <c r="DV12" i="7" l="1"/>
  <c r="DV15" i="7"/>
  <c r="DU76" i="7"/>
  <c r="DU75" i="7" l="1"/>
  <c r="DV76" i="7"/>
  <c r="DU35" i="7"/>
  <c r="DU105" i="8"/>
  <c r="DV75" i="7" l="1"/>
  <c r="DU554" i="7"/>
  <c r="DU73" i="7"/>
  <c r="DU325" i="7" s="1"/>
  <c r="DU34" i="7"/>
  <c r="DV34" i="7" s="1"/>
  <c r="DV35" i="7"/>
  <c r="DU315" i="7"/>
  <c r="DU317" i="7" s="1"/>
  <c r="DU217" i="7"/>
  <c r="DV217" i="7" s="1"/>
  <c r="DU20" i="7"/>
  <c r="DU17" i="8"/>
  <c r="AH9" i="9" l="1"/>
  <c r="DU69" i="7"/>
  <c r="DV69" i="7" s="1"/>
  <c r="DV172" i="7" s="1"/>
  <c r="DU4" i="8"/>
  <c r="DU10" i="8" s="1"/>
  <c r="DU173" i="7"/>
  <c r="DU518" i="7"/>
  <c r="DV73" i="7"/>
  <c r="DV173" i="7" s="1"/>
  <c r="DU179" i="7"/>
  <c r="DU183" i="7" s="1"/>
  <c r="DU155" i="7"/>
  <c r="DU555" i="7"/>
  <c r="DU556" i="7" s="1"/>
  <c r="DU25" i="7"/>
  <c r="DU560" i="7"/>
  <c r="DU562" i="7" s="1"/>
  <c r="DU520" i="7"/>
  <c r="DU521" i="7" s="1"/>
  <c r="DU322" i="7"/>
  <c r="DU338" i="7"/>
  <c r="DU224" i="7"/>
  <c r="DV222" i="7" s="1"/>
  <c r="DU103" i="8"/>
  <c r="DU102" i="8" s="1"/>
  <c r="DU172" i="7" l="1"/>
  <c r="DV154" i="7"/>
  <c r="DU61" i="7"/>
  <c r="DV61" i="7" s="1"/>
  <c r="DV153" i="7" s="1"/>
  <c r="DU154" i="7"/>
  <c r="DV179" i="7"/>
  <c r="DV177" i="7"/>
  <c r="DV337" i="7"/>
  <c r="DV339" i="7"/>
  <c r="DV325" i="7"/>
  <c r="DV155" i="7"/>
  <c r="DV183" i="7"/>
  <c r="DU242" i="7"/>
  <c r="DU575" i="7"/>
  <c r="DU324" i="7"/>
  <c r="DU323" i="7"/>
  <c r="DU339" i="7"/>
  <c r="DV171" i="7" l="1"/>
  <c r="DU171" i="7"/>
  <c r="DU55" i="7"/>
  <c r="DV55" i="7" s="1"/>
  <c r="DU153" i="7"/>
  <c r="DU552" i="7"/>
  <c r="DU557" i="7" s="1"/>
  <c r="DV170" i="7"/>
  <c r="DV152" i="7"/>
  <c r="DU522" i="7"/>
  <c r="DU523" i="7" s="1"/>
  <c r="DU564" i="7"/>
  <c r="DU261" i="7"/>
  <c r="DU152" i="7" l="1"/>
  <c r="DU170" i="7"/>
  <c r="DU337" i="7"/>
  <c r="AH29" i="9" l="1"/>
  <c r="AH50" i="9" l="1"/>
  <c r="DX179" i="8" l="1"/>
  <c r="DY116" i="8" l="1"/>
  <c r="DY117" i="8" s="1"/>
  <c r="DY18" i="8" s="1"/>
  <c r="DX167" i="7" l="1"/>
  <c r="DZ116" i="8"/>
  <c r="DZ117" i="8" s="1"/>
  <c r="DZ18" i="8" l="1"/>
  <c r="DZ77" i="7"/>
  <c r="DY77" i="7" l="1"/>
  <c r="DU336" i="45"/>
  <c r="DU341" i="45"/>
  <c r="DU344" i="45"/>
  <c r="DW344" i="45" s="1"/>
  <c r="DW345" i="45" s="1"/>
  <c r="DU338" i="45" l="1"/>
  <c r="DW341" i="45"/>
  <c r="DW342" i="45" s="1"/>
  <c r="DZ335" i="45"/>
  <c r="DZ336" i="45" s="1"/>
  <c r="DZ351" i="45"/>
  <c r="DZ341" i="45"/>
  <c r="DZ344" i="45"/>
  <c r="DY352" i="45"/>
  <c r="EA335" i="45"/>
  <c r="EA351" i="45" s="1"/>
  <c r="DU347" i="45"/>
  <c r="DW347" i="45" s="1"/>
  <c r="DW348" i="45" s="1"/>
  <c r="DW338" i="45" l="1"/>
  <c r="DW339" i="45" s="1"/>
  <c r="DX339" i="45"/>
  <c r="DU339" i="45"/>
  <c r="DZ345" i="45"/>
  <c r="DZ342" i="45"/>
  <c r="DZ124" i="45"/>
  <c r="EC351" i="45"/>
  <c r="EA124" i="45"/>
  <c r="EC124" i="45" s="1"/>
  <c r="EA354" i="45"/>
  <c r="EC354" i="45" s="1"/>
  <c r="EC335" i="45"/>
  <c r="EC336" i="45" s="1"/>
  <c r="EA344" i="45"/>
  <c r="EC344" i="45" s="1"/>
  <c r="ED335" i="45"/>
  <c r="ED351" i="45" s="1"/>
  <c r="EA341" i="45"/>
  <c r="EA338" i="45" s="1"/>
  <c r="DU348" i="45"/>
  <c r="DY125" i="45"/>
  <c r="DZ352" i="45"/>
  <c r="DZ354" i="45" l="1"/>
  <c r="DZ129" i="45"/>
  <c r="ED124" i="45"/>
  <c r="EF124" i="45" s="1"/>
  <c r="S65" i="9" s="1"/>
  <c r="EF351" i="45"/>
  <c r="ED354" i="45"/>
  <c r="EF354" i="45" s="1"/>
  <c r="EC345" i="45"/>
  <c r="DZ347" i="45"/>
  <c r="DZ348" i="45" s="1"/>
  <c r="DZ338" i="45"/>
  <c r="DZ339" i="45" s="1"/>
  <c r="EA339" i="45"/>
  <c r="EC338" i="45"/>
  <c r="DY130" i="45"/>
  <c r="ED341" i="45"/>
  <c r="EF335" i="45"/>
  <c r="EF336" i="45" s="1"/>
  <c r="ED344" i="45"/>
  <c r="EF344" i="45" s="1"/>
  <c r="EG335" i="45"/>
  <c r="EG351" i="45" s="1"/>
  <c r="Q65" i="9"/>
  <c r="DZ125" i="45"/>
  <c r="P65" i="9"/>
  <c r="AH65" i="9" s="1"/>
  <c r="EA352" i="45"/>
  <c r="EA347" i="45"/>
  <c r="EC341" i="45"/>
  <c r="EC342" i="45" s="1"/>
  <c r="DZ357" i="45" l="1"/>
  <c r="EG124" i="45"/>
  <c r="EI124" i="45" s="1"/>
  <c r="EI351" i="45"/>
  <c r="EG354" i="45"/>
  <c r="EI354" i="45" s="1"/>
  <c r="AI65" i="9"/>
  <c r="EC339" i="45"/>
  <c r="EC352" i="45"/>
  <c r="EF345" i="45"/>
  <c r="DY358" i="45"/>
  <c r="EA125" i="45"/>
  <c r="EA129" i="45"/>
  <c r="EA348" i="45"/>
  <c r="EC347" i="45"/>
  <c r="EC348" i="45" s="1"/>
  <c r="ED352" i="45"/>
  <c r="EF341" i="45"/>
  <c r="EF342" i="45" s="1"/>
  <c r="ED347" i="45"/>
  <c r="DZ130" i="45"/>
  <c r="EI335" i="45"/>
  <c r="EI336" i="45" s="1"/>
  <c r="EG344" i="45"/>
  <c r="EI344" i="45" s="1"/>
  <c r="EJ335" i="45"/>
  <c r="EJ351" i="45" s="1"/>
  <c r="EG341" i="45"/>
  <c r="ED338" i="45"/>
  <c r="DZ363" i="45" l="1"/>
  <c r="EL351" i="45"/>
  <c r="EJ124" i="45"/>
  <c r="EL124" i="45" s="1"/>
  <c r="EJ354" i="45"/>
  <c r="EL354" i="45" s="1"/>
  <c r="EI345" i="45"/>
  <c r="DZ358" i="45"/>
  <c r="EJ341" i="45"/>
  <c r="EL335" i="45"/>
  <c r="EL336" i="45" s="1"/>
  <c r="EJ344" i="45"/>
  <c r="EL344" i="45" s="1"/>
  <c r="EM335" i="45"/>
  <c r="EM351" i="45" s="1"/>
  <c r="EF352" i="45"/>
  <c r="R65" i="9"/>
  <c r="EC125" i="45"/>
  <c r="EG347" i="45"/>
  <c r="EI341" i="45"/>
  <c r="EI342" i="45" s="1"/>
  <c r="ED339" i="45"/>
  <c r="EF338" i="45"/>
  <c r="EF339" i="45" s="1"/>
  <c r="EF347" i="45"/>
  <c r="EF348" i="45" s="1"/>
  <c r="ED348" i="45"/>
  <c r="EG352" i="45"/>
  <c r="EF125" i="45"/>
  <c r="ED125" i="45"/>
  <c r="ED129" i="45"/>
  <c r="DY364" i="45"/>
  <c r="EG338" i="45"/>
  <c r="EC129" i="45"/>
  <c r="EC130" i="45" s="1"/>
  <c r="EA130" i="45"/>
  <c r="EA357" i="45"/>
  <c r="AJ65" i="9" l="1"/>
  <c r="AK65" i="9"/>
  <c r="EO351" i="45"/>
  <c r="EM124" i="45"/>
  <c r="EO124" i="45" s="1"/>
  <c r="EM354" i="45"/>
  <c r="EO354" i="45" s="1"/>
  <c r="EL345" i="45"/>
  <c r="DY367" i="45"/>
  <c r="EI125" i="45"/>
  <c r="EG125" i="45"/>
  <c r="EG129" i="45"/>
  <c r="EG339" i="45"/>
  <c r="EI338" i="45"/>
  <c r="EI339" i="45" s="1"/>
  <c r="EG348" i="45"/>
  <c r="EI347" i="45"/>
  <c r="EI348" i="45" s="1"/>
  <c r="EC357" i="45"/>
  <c r="EC358" i="45" s="1"/>
  <c r="EA358" i="45"/>
  <c r="EF129" i="45"/>
  <c r="EF130" i="45" s="1"/>
  <c r="ED130" i="45"/>
  <c r="ED357" i="45"/>
  <c r="DZ364" i="45"/>
  <c r="EJ352" i="45"/>
  <c r="EL341" i="45"/>
  <c r="EL342" i="45" s="1"/>
  <c r="EJ347" i="45"/>
  <c r="EI352" i="45"/>
  <c r="EO335" i="45"/>
  <c r="EO336" i="45" s="1"/>
  <c r="EP335" i="45"/>
  <c r="EP351" i="45" s="1"/>
  <c r="EM341" i="45"/>
  <c r="EM344" i="45"/>
  <c r="EO344" i="45" s="1"/>
  <c r="EJ338" i="45"/>
  <c r="DZ17" i="45" l="1"/>
  <c r="DZ366" i="45"/>
  <c r="DZ367" i="45" s="1"/>
  <c r="EP124" i="45"/>
  <c r="ER124" i="45" s="1"/>
  <c r="ER351" i="45"/>
  <c r="EP354" i="45"/>
  <c r="ER354" i="45" s="1"/>
  <c r="EM352" i="45"/>
  <c r="EL352" i="45"/>
  <c r="EI129" i="45"/>
  <c r="EI130" i="45" s="1"/>
  <c r="EG130" i="45"/>
  <c r="EG357" i="45"/>
  <c r="DY376" i="45"/>
  <c r="DY389" i="45" s="1"/>
  <c r="EM347" i="45"/>
  <c r="EO341" i="45"/>
  <c r="EO342" i="45" s="1"/>
  <c r="EL125" i="45"/>
  <c r="EJ125" i="45"/>
  <c r="EJ129" i="45"/>
  <c r="EJ339" i="45"/>
  <c r="EL338" i="45"/>
  <c r="EL339" i="45" s="1"/>
  <c r="EF357" i="45"/>
  <c r="EF358" i="45" s="1"/>
  <c r="ED358" i="45"/>
  <c r="DZ375" i="45"/>
  <c r="EM338" i="45"/>
  <c r="EO345" i="45"/>
  <c r="EP341" i="45"/>
  <c r="EP338" i="45" s="1"/>
  <c r="ER335" i="45"/>
  <c r="ER336" i="45" s="1"/>
  <c r="EP344" i="45"/>
  <c r="ER344" i="45" s="1"/>
  <c r="ES335" i="45"/>
  <c r="ES351" i="45" s="1"/>
  <c r="EL347" i="45"/>
  <c r="EL348" i="45" s="1"/>
  <c r="EJ348" i="45"/>
  <c r="DY11" i="45"/>
  <c r="DZ6" i="45" l="1"/>
  <c r="DZ11" i="45" s="1"/>
  <c r="ES124" i="45"/>
  <c r="EU124" i="45" s="1"/>
  <c r="EU351" i="45"/>
  <c r="ES354" i="45"/>
  <c r="EU354" i="45" s="1"/>
  <c r="ER345" i="45"/>
  <c r="DZ376" i="45"/>
  <c r="DY392" i="45"/>
  <c r="EP339" i="45"/>
  <c r="ER338" i="45"/>
  <c r="DZ394" i="45"/>
  <c r="EU335" i="45"/>
  <c r="EU336" i="45" s="1"/>
  <c r="EV335" i="45"/>
  <c r="ES341" i="45"/>
  <c r="ES338" i="45" s="1"/>
  <c r="ES344" i="45"/>
  <c r="EU344" i="45" s="1"/>
  <c r="EL129" i="45"/>
  <c r="EL130" i="45" s="1"/>
  <c r="EJ130" i="45"/>
  <c r="EJ357" i="45"/>
  <c r="EM348" i="45"/>
  <c r="EO347" i="45"/>
  <c r="EO348" i="45" s="1"/>
  <c r="EI357" i="45"/>
  <c r="EI358" i="45" s="1"/>
  <c r="EG358" i="45"/>
  <c r="EO125" i="45"/>
  <c r="EM125" i="45"/>
  <c r="EM129" i="45"/>
  <c r="EP352" i="45"/>
  <c r="ER341" i="45"/>
  <c r="ER342" i="45" s="1"/>
  <c r="EP347" i="45"/>
  <c r="EM339" i="45"/>
  <c r="EO338" i="45"/>
  <c r="EO339" i="45" s="1"/>
  <c r="DZ397" i="45"/>
  <c r="DW506" i="7"/>
  <c r="DY22" i="45"/>
  <c r="EO352" i="45"/>
  <c r="DZ395" i="45" l="1"/>
  <c r="DZ506" i="7" s="1"/>
  <c r="EV351" i="45"/>
  <c r="EV124" i="45" s="1"/>
  <c r="EX124" i="45" s="1"/>
  <c r="EY335" i="45"/>
  <c r="ER125" i="45"/>
  <c r="EP125" i="45"/>
  <c r="EP129" i="45"/>
  <c r="ER347" i="45"/>
  <c r="ER348" i="45" s="1"/>
  <c r="EP348" i="45"/>
  <c r="Q47" i="9"/>
  <c r="DZ22" i="45"/>
  <c r="ES347" i="45"/>
  <c r="EU341" i="45"/>
  <c r="EU342" i="45" s="1"/>
  <c r="DZ400" i="45"/>
  <c r="DY33" i="45"/>
  <c r="ES339" i="45"/>
  <c r="EU338" i="45"/>
  <c r="EU339" i="45" s="1"/>
  <c r="DZ28" i="45"/>
  <c r="P47" i="9"/>
  <c r="P48" i="9" s="1"/>
  <c r="DZ60" i="45"/>
  <c r="DZ398" i="45"/>
  <c r="DZ61" i="45" s="1"/>
  <c r="DZ391" i="45"/>
  <c r="DZ392" i="45" s="1"/>
  <c r="ER352" i="45"/>
  <c r="EU345" i="45"/>
  <c r="EV341" i="45"/>
  <c r="EV338" i="45" s="1"/>
  <c r="EX335" i="45"/>
  <c r="EX336" i="45" s="1"/>
  <c r="EV344" i="45"/>
  <c r="EX344" i="45" s="1"/>
  <c r="EO129" i="45"/>
  <c r="EO130" i="45" s="1"/>
  <c r="EM130" i="45"/>
  <c r="EM357" i="45"/>
  <c r="EL357" i="45"/>
  <c r="EL358" i="45" s="1"/>
  <c r="EJ358" i="45"/>
  <c r="ES352" i="45"/>
  <c r="ER339" i="45"/>
  <c r="EX351" i="45" l="1"/>
  <c r="EV354" i="45"/>
  <c r="EX354" i="45" s="1"/>
  <c r="EY344" i="45"/>
  <c r="FA344" i="45" s="1"/>
  <c r="EY341" i="45"/>
  <c r="EY338" i="45" s="1"/>
  <c r="FA335" i="45"/>
  <c r="FA336" i="45" s="1"/>
  <c r="EY351" i="45"/>
  <c r="P24" i="9"/>
  <c r="EM358" i="45"/>
  <c r="EO357" i="45"/>
  <c r="EO358" i="45" s="1"/>
  <c r="EX341" i="45"/>
  <c r="EX342" i="45" s="1"/>
  <c r="EV347" i="45"/>
  <c r="DY49" i="45"/>
  <c r="EV352" i="45"/>
  <c r="EV339" i="45"/>
  <c r="EX338" i="45"/>
  <c r="EX339" i="45" s="1"/>
  <c r="Q49" i="9"/>
  <c r="Q50" i="9" s="1"/>
  <c r="DZ33" i="45"/>
  <c r="DZ38" i="45"/>
  <c r="EU352" i="45"/>
  <c r="EX345" i="45"/>
  <c r="P49" i="9"/>
  <c r="P50" i="9" s="1"/>
  <c r="ES348" i="45"/>
  <c r="EU347" i="45"/>
  <c r="EU348" i="45" s="1"/>
  <c r="Q48" i="9"/>
  <c r="ER129" i="45"/>
  <c r="ER130" i="45" s="1"/>
  <c r="EP130" i="45"/>
  <c r="EP357" i="45"/>
  <c r="EU125" i="45"/>
  <c r="ES125" i="45"/>
  <c r="ES129" i="45"/>
  <c r="AI8" i="9"/>
  <c r="DZ401" i="45"/>
  <c r="DZ44" i="45"/>
  <c r="FA338" i="45" l="1"/>
  <c r="FA339" i="45" s="1"/>
  <c r="EY339" i="45"/>
  <c r="FA341" i="45"/>
  <c r="FA342" i="45" s="1"/>
  <c r="EY347" i="45"/>
  <c r="EY352" i="45"/>
  <c r="FA351" i="45"/>
  <c r="FA352" i="45" s="1"/>
  <c r="EY124" i="45"/>
  <c r="EY354" i="45"/>
  <c r="FA354" i="45" s="1"/>
  <c r="FA345" i="45"/>
  <c r="P25" i="9"/>
  <c r="ER357" i="45"/>
  <c r="ER358" i="45" s="1"/>
  <c r="EP358" i="45"/>
  <c r="EX125" i="45"/>
  <c r="EV125" i="45"/>
  <c r="EV129" i="45"/>
  <c r="EX347" i="45"/>
  <c r="EX348" i="45" s="1"/>
  <c r="EV348" i="45"/>
  <c r="AH26" i="9"/>
  <c r="DZ54" i="45"/>
  <c r="DZ49" i="45"/>
  <c r="P21" i="9"/>
  <c r="EU129" i="45"/>
  <c r="EU130" i="45" s="1"/>
  <c r="ES130" i="45"/>
  <c r="ES357" i="45"/>
  <c r="EX352" i="45"/>
  <c r="EY348" i="45" l="1"/>
  <c r="FA347" i="45"/>
  <c r="FA348" i="45" s="1"/>
  <c r="EY125" i="45"/>
  <c r="FA124" i="45"/>
  <c r="FA125" i="45" s="1"/>
  <c r="EY129" i="45"/>
  <c r="EU357" i="45"/>
  <c r="EU358" i="45" s="1"/>
  <c r="ES358" i="45"/>
  <c r="EX129" i="45"/>
  <c r="EX130" i="45" s="1"/>
  <c r="EV130" i="45"/>
  <c r="EV357" i="45"/>
  <c r="P23" i="9"/>
  <c r="P26" i="9" s="1"/>
  <c r="AH28" i="9"/>
  <c r="AH27" i="9" s="1"/>
  <c r="EY130" i="45" l="1"/>
  <c r="FA129" i="45"/>
  <c r="FA130" i="45" s="1"/>
  <c r="EY357" i="45"/>
  <c r="AH19" i="9"/>
  <c r="AH16" i="9"/>
  <c r="DW4" i="8"/>
  <c r="DW10" i="8" s="1"/>
  <c r="EX357" i="45"/>
  <c r="EX358" i="45" s="1"/>
  <c r="EV358" i="45"/>
  <c r="FA357" i="45" l="1"/>
  <c r="FA358" i="45" s="1"/>
  <c r="EY358" i="45"/>
  <c r="DV4" i="8"/>
  <c r="DV10" i="8" s="1"/>
  <c r="DU177" i="7"/>
  <c r="DV518" i="7" l="1"/>
  <c r="AI9" i="9"/>
  <c r="AI16" i="9" l="1"/>
  <c r="P31" i="9" l="1"/>
  <c r="AH57" i="9" l="1"/>
  <c r="DW155" i="8" l="1"/>
  <c r="DV155" i="8" l="1"/>
  <c r="DW42" i="8" l="1"/>
  <c r="DW45" i="8" s="1"/>
  <c r="DW44" i="8"/>
  <c r="DW46" i="8" s="1"/>
  <c r="DW49" i="8" s="1"/>
  <c r="DV49" i="8" s="1"/>
  <c r="DV42" i="8" l="1"/>
  <c r="DV45" i="8" s="1"/>
  <c r="DV44" i="8"/>
  <c r="DV46" i="8" s="1"/>
  <c r="AH42" i="9"/>
  <c r="DV568" i="7"/>
  <c r="DW568" i="7"/>
  <c r="AH20" i="9" l="1"/>
  <c r="DW552" i="7"/>
  <c r="DV552" i="7" l="1"/>
  <c r="DU341" i="7" l="1"/>
  <c r="DR197" i="8"/>
  <c r="DR341" i="7" s="1"/>
  <c r="DT345" i="7" s="1"/>
  <c r="DT197" i="8" l="1"/>
  <c r="DT198" i="8" s="1"/>
  <c r="DT24" i="7"/>
  <c r="DT202" i="8"/>
  <c r="DU22" i="7"/>
  <c r="DR22" i="7"/>
  <c r="DR342" i="7"/>
  <c r="DR219" i="7" s="1"/>
  <c r="DR220" i="7" s="1"/>
  <c r="DT341" i="7"/>
  <c r="DU342" i="7"/>
  <c r="DT22" i="7" l="1"/>
  <c r="DT342" i="7"/>
  <c r="DR359" i="7"/>
  <c r="DR358" i="7"/>
  <c r="AF14" i="9"/>
  <c r="DU219" i="7"/>
  <c r="DU220" i="7" s="1"/>
  <c r="DU348" i="7"/>
  <c r="DV355" i="7" s="1"/>
  <c r="DW355" i="7" s="1"/>
  <c r="DU359" i="7"/>
  <c r="AH14" i="9"/>
  <c r="DU358" i="7"/>
  <c r="DT219" i="7" l="1"/>
  <c r="DS342" i="7"/>
  <c r="DU352" i="7"/>
  <c r="DV354" i="7" s="1"/>
  <c r="DW354" i="7" s="1"/>
  <c r="DT358" i="7"/>
  <c r="O12" i="9"/>
  <c r="DT359" i="7"/>
  <c r="O40" i="9" s="1"/>
  <c r="DT220" i="7" l="1"/>
  <c r="DS220" i="7" s="1"/>
  <c r="DS219" i="7"/>
  <c r="DV105" i="8" l="1"/>
  <c r="P28" i="9" l="1"/>
  <c r="DW105" i="8"/>
  <c r="DW17" i="8" s="1"/>
  <c r="P29" i="9" l="1"/>
  <c r="P44" i="9"/>
  <c r="DV132" i="8"/>
  <c r="DV555" i="7"/>
  <c r="DW555" i="7"/>
  <c r="AH21" i="9"/>
  <c r="P30" i="9" l="1"/>
  <c r="P32" i="9" s="1"/>
  <c r="DW554" i="7"/>
  <c r="DW553" i="7"/>
  <c r="DW132" i="8"/>
  <c r="DW133" i="8" s="1"/>
  <c r="DV133" i="8"/>
  <c r="DW556" i="7" l="1"/>
  <c r="DW557" i="7" s="1"/>
  <c r="AI10" i="9"/>
  <c r="DW177" i="8"/>
  <c r="DW5" i="8"/>
  <c r="DW11" i="8" s="1"/>
  <c r="P34" i="9"/>
  <c r="P33" i="9" s="1"/>
  <c r="AH22" i="9"/>
  <c r="DV553" i="7"/>
  <c r="AH31" i="9" l="1"/>
  <c r="AH33" i="9"/>
  <c r="P14" i="9"/>
  <c r="P15" i="9" s="1"/>
  <c r="P16" i="9"/>
  <c r="DV5" i="8"/>
  <c r="DV11" i="8" s="1"/>
  <c r="DV177" i="8"/>
  <c r="DV519" i="7"/>
  <c r="Z91" i="57"/>
  <c r="DV554" i="7"/>
  <c r="DV556" i="7" s="1"/>
  <c r="DV557" i="7" s="1"/>
  <c r="AH32" i="9" l="1"/>
  <c r="Z93" i="57"/>
  <c r="AA93" i="57" s="1"/>
  <c r="AA91" i="57"/>
  <c r="AA92" i="57" s="1"/>
  <c r="Z92" i="57"/>
  <c r="DZ143" i="7"/>
  <c r="P7" i="9"/>
  <c r="AI13" i="9"/>
  <c r="DV341" i="7"/>
  <c r="DW341" i="7" l="1"/>
  <c r="DW345" i="7"/>
  <c r="DW24" i="7" s="1"/>
  <c r="DV22" i="7"/>
  <c r="AH55" i="9"/>
  <c r="DW198" i="8"/>
  <c r="DV358" i="7" l="1"/>
  <c r="DV359" i="7"/>
  <c r="DW342" i="7"/>
  <c r="DW22" i="7"/>
  <c r="AH56" i="9"/>
  <c r="AH54" i="9" s="1"/>
  <c r="DW560" i="7"/>
  <c r="DW562" i="7" s="1"/>
  <c r="DW358" i="7" l="1"/>
  <c r="DW359" i="7"/>
  <c r="DW219" i="7"/>
  <c r="DV342" i="7"/>
  <c r="DV348" i="7" s="1"/>
  <c r="P42" i="9"/>
  <c r="P39" i="9"/>
  <c r="DW202" i="8"/>
  <c r="DV560" i="7"/>
  <c r="DV562" i="7" s="1"/>
  <c r="AI14" i="9"/>
  <c r="DV205" i="8"/>
  <c r="DW348" i="7" l="1"/>
  <c r="DV352" i="7"/>
  <c r="DV219" i="7"/>
  <c r="DW220" i="7"/>
  <c r="DV220" i="7" s="1"/>
  <c r="DV520" i="7"/>
  <c r="P12" i="9"/>
  <c r="P40" i="9"/>
  <c r="DX355" i="7" l="1"/>
  <c r="DX354" i="7"/>
  <c r="DW203" i="8"/>
  <c r="DV103" i="8" l="1"/>
  <c r="DV104" i="8" s="1"/>
  <c r="DV17" i="8" s="1"/>
  <c r="DW103" i="8"/>
  <c r="DW102" i="8" s="1"/>
  <c r="DV184" i="8"/>
  <c r="DW184" i="8"/>
  <c r="DY184" i="8" s="1"/>
  <c r="P9" i="9"/>
  <c r="P10" i="9"/>
  <c r="P11" i="9"/>
  <c r="AH23" i="9"/>
  <c r="AH25" i="9"/>
  <c r="AH34" i="9"/>
  <c r="AH37" i="9"/>
  <c r="P38" i="9"/>
  <c r="AH38" i="9"/>
  <c r="AH39" i="9"/>
  <c r="P41" i="9"/>
  <c r="P43" i="9" s="1"/>
  <c r="AH41" i="9"/>
  <c r="AH47" i="9"/>
  <c r="DZ222" i="7"/>
  <c r="DV522" i="7"/>
  <c r="DV564" i="7"/>
  <c r="DW564" i="7"/>
  <c r="DV575" i="7"/>
  <c r="DW575" i="7"/>
  <c r="DZ184" i="8" l="1"/>
  <c r="EA184" i="8" s="1"/>
  <c r="EB184" i="8" s="1"/>
  <c r="EC184" i="8" s="1"/>
  <c r="ED184" i="8" s="1"/>
  <c r="EE184" i="8" s="1"/>
  <c r="EF184" i="8" s="1"/>
  <c r="DY244" i="7"/>
  <c r="DZ244" i="7" s="1"/>
  <c r="ED244" i="7"/>
  <c r="EC244" i="7"/>
  <c r="EB244" i="7" s="1"/>
  <c r="EA244" i="7"/>
  <c r="EG184" i="8"/>
  <c r="EF244" i="7"/>
  <c r="EE244" i="7" s="1"/>
  <c r="AH48" i="9"/>
  <c r="AH46" i="9"/>
  <c r="AH40" i="9"/>
  <c r="AH24" i="9"/>
  <c r="ED211" i="7" l="1"/>
  <c r="EE211" i="7"/>
  <c r="EC211" i="7"/>
  <c r="EB211" i="7"/>
  <c r="EA211" i="7"/>
  <c r="EF211" i="7"/>
  <c r="EH184" i="8"/>
  <c r="EI184" i="8" s="1"/>
  <c r="EG244" i="7"/>
  <c r="EG211" i="7" s="1"/>
  <c r="EJ184" i="8" l="1"/>
  <c r="EI244" i="7"/>
  <c r="EI211" i="7" l="1"/>
  <c r="EH244" i="7"/>
  <c r="EH211" i="7" s="1"/>
  <c r="EK184" i="8"/>
  <c r="EL184" i="8" s="1"/>
  <c r="EJ244" i="7"/>
  <c r="EJ211" i="7" s="1"/>
  <c r="EM184" i="8" l="1"/>
  <c r="EL244" i="7"/>
  <c r="EL211" i="7" l="1"/>
  <c r="EK244" i="7"/>
  <c r="EK211" i="7" s="1"/>
  <c r="EN184" i="8"/>
  <c r="EO184" i="8" s="1"/>
  <c r="EM244" i="7"/>
  <c r="EM211" i="7" s="1"/>
  <c r="EP184" i="8" l="1"/>
  <c r="EO244" i="7"/>
  <c r="EO211" i="7" l="1"/>
  <c r="EN244" i="7"/>
  <c r="EN211" i="7" s="1"/>
  <c r="EP244" i="7"/>
  <c r="EP211" i="7" s="1"/>
  <c r="EQ184" i="8"/>
  <c r="ER184" i="8" s="1"/>
  <c r="ES184" i="8" l="1"/>
  <c r="ER244" i="7"/>
  <c r="ER211" i="7" l="1"/>
  <c r="EQ244" i="7"/>
  <c r="EQ211" i="7" s="1"/>
  <c r="ET184" i="8"/>
  <c r="EU184" i="8" s="1"/>
  <c r="ES244" i="7"/>
  <c r="ES211" i="7" s="1"/>
  <c r="EV184" i="8" l="1"/>
  <c r="EU244" i="7"/>
  <c r="ET244" i="7" l="1"/>
  <c r="ET211" i="7" s="1"/>
  <c r="EU211" i="7"/>
  <c r="EW184" i="8"/>
  <c r="EX184" i="8" s="1"/>
  <c r="EV244" i="7"/>
  <c r="EV211" i="7" s="1"/>
  <c r="EX244" i="7" l="1"/>
  <c r="EY184" i="8"/>
  <c r="EZ184" i="8" l="1"/>
  <c r="FA184" i="8" s="1"/>
  <c r="FA244" i="7" s="1"/>
  <c r="EY244" i="7"/>
  <c r="EY211" i="7" s="1"/>
  <c r="EX211" i="7"/>
  <c r="EW244" i="7"/>
  <c r="EW211" i="7" s="1"/>
  <c r="FA211" i="7" l="1"/>
  <c r="EZ244" i="7"/>
  <c r="EZ211" i="7" s="1"/>
  <c r="Z5" i="57" l="1"/>
  <c r="Z7" i="57" s="1"/>
  <c r="AA7" i="57"/>
  <c r="AD14" i="57" s="1"/>
  <c r="AA13" i="57"/>
  <c r="AD13" i="57"/>
  <c r="AA14" i="57" l="1"/>
  <c r="DV8" i="45"/>
  <c r="Z14" i="57"/>
  <c r="Z9" i="57"/>
  <c r="Z81" i="57" s="1"/>
  <c r="AC14" i="57"/>
  <c r="AC13" i="57"/>
  <c r="Z13" i="57"/>
  <c r="DV19" i="45" l="1"/>
  <c r="Z85" i="57"/>
  <c r="AA9" i="57"/>
  <c r="Z88" i="57"/>
  <c r="Z77" i="57"/>
  <c r="DV13" i="45"/>
  <c r="DV56" i="45"/>
  <c r="DW8" i="45"/>
  <c r="DV65" i="45"/>
  <c r="DY13" i="45"/>
  <c r="DW13" i="45" l="1"/>
  <c r="DW56" i="45"/>
  <c r="DZ13" i="45"/>
  <c r="DW65" i="45"/>
  <c r="AC78" i="57"/>
  <c r="AA77" i="57"/>
  <c r="Z78" i="57"/>
  <c r="AA88" i="57"/>
  <c r="AA85" i="57"/>
  <c r="AA81" i="57"/>
  <c r="DX64" i="45"/>
  <c r="DX65" i="45" s="1"/>
  <c r="AE85" i="57"/>
  <c r="DW19" i="45"/>
  <c r="DY24" i="45"/>
  <c r="DV40" i="45"/>
  <c r="DV24" i="45"/>
  <c r="P55" i="9" l="1"/>
  <c r="P58" i="9" s="1"/>
  <c r="AD78" i="57"/>
  <c r="AA78" i="57"/>
  <c r="DW24" i="45"/>
  <c r="P56" i="9" s="1"/>
  <c r="DZ24" i="45"/>
  <c r="Q56" i="9" s="1"/>
  <c r="DW20" i="45"/>
  <c r="DW40" i="45"/>
  <c r="AC84" i="57"/>
  <c r="DX46" i="45"/>
  <c r="DX56" i="45" l="1"/>
  <c r="DX51" i="45"/>
  <c r="DY64" i="45"/>
  <c r="AC87" i="57"/>
  <c r="AD87" i="57" s="1"/>
  <c r="AD84" i="57"/>
  <c r="AD85" i="57" s="1"/>
  <c r="DW25" i="45"/>
  <c r="DW41" i="45"/>
  <c r="DW100" i="45"/>
  <c r="DW71" i="45"/>
  <c r="DW88" i="45"/>
  <c r="DW73" i="45"/>
  <c r="AF85" i="57"/>
  <c r="AH85" i="57" s="1"/>
  <c r="AE84" i="57"/>
  <c r="DZ64" i="45" l="1"/>
  <c r="DZ65" i="45" s="1"/>
  <c r="AF84" i="57"/>
  <c r="AG84" i="57" s="1"/>
  <c r="AG85" i="57" s="1"/>
  <c r="EA64" i="45"/>
  <c r="AE87" i="57"/>
  <c r="AD89" i="57"/>
  <c r="AD88" i="57"/>
  <c r="DY46" i="45"/>
  <c r="AC89" i="57"/>
  <c r="AC88" i="57"/>
  <c r="DY65" i="45"/>
  <c r="DY66" i="45"/>
  <c r="DY67" i="45" l="1"/>
  <c r="DY56" i="45"/>
  <c r="DY51" i="45"/>
  <c r="AH84" i="57"/>
  <c r="AI85" i="57"/>
  <c r="EA46" i="45"/>
  <c r="AE89" i="57"/>
  <c r="AE88" i="57"/>
  <c r="EB64" i="45"/>
  <c r="AF87" i="57"/>
  <c r="EA65" i="45"/>
  <c r="DZ46" i="45"/>
  <c r="AI84" i="57" l="1"/>
  <c r="AJ84" i="57" s="1"/>
  <c r="AJ85" i="57" s="1"/>
  <c r="AK85" i="57"/>
  <c r="EB46" i="45"/>
  <c r="AF88" i="57"/>
  <c r="AF89" i="57"/>
  <c r="ED64" i="45"/>
  <c r="AH87" i="57"/>
  <c r="EB65" i="45"/>
  <c r="DZ56" i="45"/>
  <c r="DZ51" i="45"/>
  <c r="AG87" i="57"/>
  <c r="EC64" i="45"/>
  <c r="EA51" i="45"/>
  <c r="EA56" i="45"/>
  <c r="EB51" i="45" l="1"/>
  <c r="EB56" i="45"/>
  <c r="ED46" i="45"/>
  <c r="AH89" i="57"/>
  <c r="AH88" i="57"/>
  <c r="AK84" i="57"/>
  <c r="AL85" i="57"/>
  <c r="EE64" i="45"/>
  <c r="EF64" i="45" s="1"/>
  <c r="AI87" i="57"/>
  <c r="AJ87" i="57" s="1"/>
  <c r="EC46" i="45"/>
  <c r="EC65" i="45"/>
  <c r="AG89" i="57"/>
  <c r="AG88" i="57"/>
  <c r="ED65" i="45"/>
  <c r="AJ88" i="57" l="1"/>
  <c r="AJ89" i="57"/>
  <c r="ED56" i="45"/>
  <c r="ED51" i="45"/>
  <c r="EE46" i="45"/>
  <c r="AI88" i="57"/>
  <c r="AI89" i="57"/>
  <c r="EE65" i="45"/>
  <c r="AN85" i="57"/>
  <c r="AL84" i="57"/>
  <c r="AM84" i="57" s="1"/>
  <c r="AM85" i="57" s="1"/>
  <c r="EF65" i="45"/>
  <c r="EC51" i="45"/>
  <c r="EC56" i="45"/>
  <c r="EG64" i="45"/>
  <c r="AK87" i="57"/>
  <c r="EG65" i="45" l="1"/>
  <c r="EE56" i="45"/>
  <c r="EE51" i="45"/>
  <c r="EH64" i="45"/>
  <c r="AL87" i="57"/>
  <c r="AM87" i="57" s="1"/>
  <c r="EG46" i="45"/>
  <c r="AK89" i="57"/>
  <c r="AK88" i="57"/>
  <c r="AO85" i="57"/>
  <c r="AN84" i="57"/>
  <c r="EF46" i="45"/>
  <c r="EH65" i="45" l="1"/>
  <c r="EI64" i="45"/>
  <c r="EJ64" i="45"/>
  <c r="AN87" i="57"/>
  <c r="EG56" i="45"/>
  <c r="EG51" i="45"/>
  <c r="AM89" i="57"/>
  <c r="AM88" i="57"/>
  <c r="EF56" i="45"/>
  <c r="EF51" i="45"/>
  <c r="AO84" i="57"/>
  <c r="AP84" i="57" s="1"/>
  <c r="AP85" i="57" s="1"/>
  <c r="AQ85" i="57"/>
  <c r="AL89" i="57"/>
  <c r="EH46" i="45"/>
  <c r="EI46" i="45" s="1"/>
  <c r="AL88" i="57"/>
  <c r="EJ46" i="45" l="1"/>
  <c r="AN89" i="57"/>
  <c r="AN88" i="57"/>
  <c r="EK64" i="45"/>
  <c r="AO87" i="57"/>
  <c r="EJ65" i="45"/>
  <c r="EI65" i="45"/>
  <c r="AQ84" i="57"/>
  <c r="AR85" i="57"/>
  <c r="EI56" i="45"/>
  <c r="EI51" i="45"/>
  <c r="EH56" i="45"/>
  <c r="EH51" i="45"/>
  <c r="EK46" i="45" l="1"/>
  <c r="AO89" i="57"/>
  <c r="AO88" i="57"/>
  <c r="EK65" i="45"/>
  <c r="AP87" i="57"/>
  <c r="EJ51" i="45"/>
  <c r="EJ56" i="45"/>
  <c r="EL64" i="45"/>
  <c r="AR84" i="57"/>
  <c r="AS84" i="57" s="1"/>
  <c r="AS85" i="57" s="1"/>
  <c r="AT85" i="57"/>
  <c r="EM64" i="45"/>
  <c r="AQ87" i="57"/>
  <c r="EM46" i="45" s="1"/>
  <c r="EK51" i="45" l="1"/>
  <c r="EK56" i="45"/>
  <c r="AR87" i="57"/>
  <c r="EN64" i="45"/>
  <c r="EL46" i="45"/>
  <c r="AP88" i="57"/>
  <c r="AP89" i="57"/>
  <c r="AT84" i="57"/>
  <c r="AU85" i="57"/>
  <c r="AQ88" i="57"/>
  <c r="AQ89" i="57"/>
  <c r="EM65" i="45"/>
  <c r="EL65" i="45"/>
  <c r="EL56" i="45" l="1"/>
  <c r="EL51" i="45"/>
  <c r="EN46" i="45"/>
  <c r="EO46" i="45" s="1"/>
  <c r="AR88" i="57"/>
  <c r="AR89" i="57"/>
  <c r="EN65" i="45"/>
  <c r="AS87" i="57"/>
  <c r="AW85" i="57"/>
  <c r="AU84" i="57"/>
  <c r="AV84" i="57" s="1"/>
  <c r="AV85" i="57" s="1"/>
  <c r="EO64" i="45"/>
  <c r="EM56" i="45"/>
  <c r="EM51" i="45"/>
  <c r="EP64" i="45"/>
  <c r="AT87" i="57"/>
  <c r="EN51" i="45" l="1"/>
  <c r="EN56" i="45"/>
  <c r="AS89" i="57"/>
  <c r="AS88" i="57"/>
  <c r="AW84" i="57"/>
  <c r="AX85" i="57"/>
  <c r="EO56" i="45"/>
  <c r="EO51" i="45"/>
  <c r="EP46" i="45"/>
  <c r="AT89" i="57"/>
  <c r="AT88" i="57"/>
  <c r="EO65" i="45"/>
  <c r="EP65" i="45"/>
  <c r="EQ64" i="45"/>
  <c r="AU87" i="57"/>
  <c r="AV87" i="57" s="1"/>
  <c r="AX84" i="57" l="1"/>
  <c r="AY84" i="57" s="1"/>
  <c r="AY85" i="57" s="1"/>
  <c r="AZ85" i="57"/>
  <c r="EQ65" i="45"/>
  <c r="ES64" i="45"/>
  <c r="AW87" i="57"/>
  <c r="AV88" i="57"/>
  <c r="AV89" i="57"/>
  <c r="ER64" i="45"/>
  <c r="EP56" i="45"/>
  <c r="EP51" i="45"/>
  <c r="EQ46" i="45"/>
  <c r="ER46" i="45" s="1"/>
  <c r="AU89" i="57"/>
  <c r="AU88" i="57"/>
  <c r="ES65" i="45" l="1"/>
  <c r="ER51" i="45"/>
  <c r="ER56" i="45"/>
  <c r="ER65" i="45"/>
  <c r="AZ84" i="57"/>
  <c r="BA85" i="57"/>
  <c r="ET64" i="45"/>
  <c r="AX87" i="57"/>
  <c r="AY87" i="57" s="1"/>
  <c r="EQ56" i="45"/>
  <c r="EQ51" i="45"/>
  <c r="ES46" i="45"/>
  <c r="AW89" i="57"/>
  <c r="AW88" i="57"/>
  <c r="AY88" i="57" l="1"/>
  <c r="AY89" i="57"/>
  <c r="AZ87" i="57"/>
  <c r="EV64" i="45"/>
  <c r="ET46" i="45"/>
  <c r="EU46" i="45" s="1"/>
  <c r="AX88" i="57"/>
  <c r="AX89" i="57"/>
  <c r="ET65" i="45"/>
  <c r="ES51" i="45"/>
  <c r="ES56" i="45"/>
  <c r="BA84" i="57"/>
  <c r="BC85" i="57"/>
  <c r="EU64" i="45"/>
  <c r="EU56" i="45" l="1"/>
  <c r="EU51" i="45"/>
  <c r="EV65" i="45"/>
  <c r="BD85" i="57"/>
  <c r="BD84" i="57" s="1"/>
  <c r="BC84" i="57"/>
  <c r="EV46" i="45"/>
  <c r="AZ88" i="57"/>
  <c r="AZ89" i="57"/>
  <c r="EW64" i="45"/>
  <c r="BA87" i="57"/>
  <c r="BB87" i="57" s="1"/>
  <c r="BB84" i="57"/>
  <c r="BB85" i="57" s="1"/>
  <c r="EU65" i="45"/>
  <c r="ET56" i="45"/>
  <c r="ET51" i="45"/>
  <c r="BB89" i="57" l="1"/>
  <c r="BB88" i="57"/>
  <c r="EW65" i="45"/>
  <c r="EX64" i="45"/>
  <c r="EW46" i="45"/>
  <c r="BA89" i="57"/>
  <c r="BA88" i="57"/>
  <c r="EZ64" i="45"/>
  <c r="BD87" i="57"/>
  <c r="EV56" i="45"/>
  <c r="EV51" i="45"/>
  <c r="EY64" i="45"/>
  <c r="BE84" i="57"/>
  <c r="BE85" i="57" s="1"/>
  <c r="BC87" i="57"/>
  <c r="EW51" i="45" l="1"/>
  <c r="EW56" i="45"/>
  <c r="EY46" i="45"/>
  <c r="BC89" i="57"/>
  <c r="BC88" i="57"/>
  <c r="BE87" i="57"/>
  <c r="EZ65" i="45"/>
  <c r="EY65" i="45"/>
  <c r="FA64" i="45"/>
  <c r="EX65" i="45"/>
  <c r="EX46" i="45"/>
  <c r="EZ46" i="45"/>
  <c r="BD89" i="57"/>
  <c r="BD88" i="57"/>
  <c r="EX51" i="45" l="1"/>
  <c r="EX56" i="45"/>
  <c r="BE89" i="57"/>
  <c r="BE88" i="57"/>
  <c r="EZ51" i="45"/>
  <c r="EZ56" i="45"/>
  <c r="FA65" i="45"/>
  <c r="EY56" i="45"/>
  <c r="EY51" i="45"/>
  <c r="FA46" i="45"/>
  <c r="FA51" i="45" l="1"/>
  <c r="FA56" i="45"/>
  <c r="DY450" i="45" l="1"/>
  <c r="DY29" i="45"/>
  <c r="DY455" i="45"/>
  <c r="DY456" i="45" s="1"/>
  <c r="DY45" i="45" l="1"/>
  <c r="DY47" i="45" s="1"/>
  <c r="DY52" i="45" s="1"/>
  <c r="DY39" i="45"/>
  <c r="DY34" i="45"/>
  <c r="EB34" i="45"/>
  <c r="DY31" i="45"/>
  <c r="AK8" i="9" l="1"/>
  <c r="DY55" i="45"/>
  <c r="DY50" i="45"/>
  <c r="EB50" i="45"/>
  <c r="DY82" i="45"/>
  <c r="DY84" i="45" s="1"/>
  <c r="DY57" i="45"/>
  <c r="DY41" i="45"/>
  <c r="DY36" i="45"/>
  <c r="DY83" i="45" l="1"/>
  <c r="EA372" i="45" l="1"/>
  <c r="ED372" i="45" s="1"/>
  <c r="EG372" i="45" s="1"/>
  <c r="EA363" i="45" l="1"/>
  <c r="EC372" i="45"/>
  <c r="EC373" i="45" s="1"/>
  <c r="EJ372" i="45"/>
  <c r="EI372" i="45"/>
  <c r="EF372" i="45"/>
  <c r="EB363" i="45" l="1"/>
  <c r="EB366" i="45" s="1"/>
  <c r="EL372" i="45"/>
  <c r="EL373" i="45" s="1"/>
  <c r="EM372" i="45"/>
  <c r="EF373" i="45"/>
  <c r="EI373" i="45"/>
  <c r="EA364" i="45"/>
  <c r="EA366" i="45"/>
  <c r="ED363" i="45"/>
  <c r="EE363" i="45"/>
  <c r="EF361" i="45"/>
  <c r="EC361" i="45" l="1"/>
  <c r="EB364" i="45"/>
  <c r="EC363" i="45"/>
  <c r="EC364" i="45" s="1"/>
  <c r="EP372" i="45"/>
  <c r="EO372" i="45"/>
  <c r="EO373" i="45" s="1"/>
  <c r="EH363" i="45"/>
  <c r="EG363" i="45"/>
  <c r="EF363" i="45"/>
  <c r="ED364" i="45"/>
  <c r="ED366" i="45"/>
  <c r="EB375" i="45"/>
  <c r="EB367" i="45"/>
  <c r="EB6" i="45"/>
  <c r="EC366" i="45"/>
  <c r="EC367" i="45" s="1"/>
  <c r="EA367" i="45"/>
  <c r="EA6" i="45"/>
  <c r="EA375" i="45"/>
  <c r="EE366" i="45"/>
  <c r="EE364" i="45"/>
  <c r="EF364" i="45" l="1"/>
  <c r="ER372" i="45"/>
  <c r="ER373" i="45" s="1"/>
  <c r="ES372" i="45"/>
  <c r="EC6" i="45"/>
  <c r="EC11" i="45" s="1"/>
  <c r="EA11" i="45"/>
  <c r="EJ363" i="45"/>
  <c r="EK363" i="45"/>
  <c r="EB397" i="45"/>
  <c r="EB60" i="45" s="1"/>
  <c r="EB66" i="45" s="1"/>
  <c r="EB376" i="45"/>
  <c r="EB394" i="45"/>
  <c r="EB391" i="45" s="1"/>
  <c r="EB392" i="45" s="1"/>
  <c r="EB17" i="45"/>
  <c r="EG366" i="45"/>
  <c r="EI363" i="45"/>
  <c r="EI364" i="45" s="1"/>
  <c r="EG364" i="45"/>
  <c r="EE367" i="45"/>
  <c r="EE6" i="45"/>
  <c r="EE375" i="45"/>
  <c r="ED6" i="45"/>
  <c r="ED375" i="45"/>
  <c r="EF366" i="45"/>
  <c r="EF367" i="45" s="1"/>
  <c r="ED367" i="45"/>
  <c r="EA397" i="45"/>
  <c r="EA394" i="45"/>
  <c r="EA391" i="45" s="1"/>
  <c r="EA17" i="45"/>
  <c r="EA376" i="45"/>
  <c r="EC375" i="45"/>
  <c r="EC376" i="45" s="1"/>
  <c r="EB11" i="45"/>
  <c r="EB9" i="45"/>
  <c r="EH364" i="45"/>
  <c r="EH366" i="45"/>
  <c r="EB67" i="45" l="1"/>
  <c r="EV372" i="45"/>
  <c r="EU372" i="45"/>
  <c r="EU373" i="45" s="1"/>
  <c r="EA22" i="45"/>
  <c r="EC17" i="45"/>
  <c r="EE9" i="45"/>
  <c r="EE11" i="45"/>
  <c r="EG6" i="45"/>
  <c r="EG375" i="45"/>
  <c r="EG367" i="45"/>
  <c r="EI366" i="45"/>
  <c r="EI367" i="45" s="1"/>
  <c r="EB22" i="45"/>
  <c r="EB20" i="45"/>
  <c r="EH367" i="45"/>
  <c r="EH6" i="45"/>
  <c r="EH375" i="45"/>
  <c r="EA392" i="45"/>
  <c r="EC391" i="45"/>
  <c r="EC392" i="45" s="1"/>
  <c r="EA400" i="45"/>
  <c r="EA28" i="45"/>
  <c r="EC394" i="45"/>
  <c r="EC395" i="45" s="1"/>
  <c r="EC396" i="45" s="1"/>
  <c r="ED394" i="45"/>
  <c r="ED391" i="45" s="1"/>
  <c r="ED17" i="45"/>
  <c r="ED376" i="45"/>
  <c r="ED397" i="45"/>
  <c r="EF375" i="45"/>
  <c r="EF376" i="45" s="1"/>
  <c r="EA60" i="45"/>
  <c r="EC397" i="45"/>
  <c r="ED11" i="45"/>
  <c r="EF6" i="45"/>
  <c r="EF11" i="45" s="1"/>
  <c r="EB28" i="45"/>
  <c r="EB400" i="45"/>
  <c r="EK364" i="45"/>
  <c r="EK366" i="45"/>
  <c r="EB94" i="45"/>
  <c r="EB14" i="45"/>
  <c r="EB30" i="7"/>
  <c r="EE397" i="45"/>
  <c r="EE60" i="45" s="1"/>
  <c r="EE66" i="45" s="1"/>
  <c r="EE394" i="45"/>
  <c r="EE391" i="45" s="1"/>
  <c r="EE392" i="45" s="1"/>
  <c r="EE376" i="45"/>
  <c r="EE17" i="45"/>
  <c r="EJ366" i="45"/>
  <c r="EJ364" i="45"/>
  <c r="EL363" i="45"/>
  <c r="EL364" i="45" s="1"/>
  <c r="EM363" i="45"/>
  <c r="EN363" i="45"/>
  <c r="EC506" i="7" l="1"/>
  <c r="EE67" i="45"/>
  <c r="EX372" i="45"/>
  <c r="EX373" i="45" s="1"/>
  <c r="EY372" i="45"/>
  <c r="FA372" i="45" s="1"/>
  <c r="EM366" i="45"/>
  <c r="EM364" i="45"/>
  <c r="EO363" i="45"/>
  <c r="EO364" i="45" s="1"/>
  <c r="EE20" i="45"/>
  <c r="EE22" i="45"/>
  <c r="EB401" i="45"/>
  <c r="EB44" i="45"/>
  <c r="EF391" i="45"/>
  <c r="EF392" i="45" s="1"/>
  <c r="ED392" i="45"/>
  <c r="EC28" i="45"/>
  <c r="EA38" i="45"/>
  <c r="EA33" i="45"/>
  <c r="EH397" i="45"/>
  <c r="EH60" i="45" s="1"/>
  <c r="EH66" i="45" s="1"/>
  <c r="EH17" i="45"/>
  <c r="EH394" i="45"/>
  <c r="EH391" i="45" s="1"/>
  <c r="EH392" i="45" s="1"/>
  <c r="EH376" i="45"/>
  <c r="EG397" i="45"/>
  <c r="EG376" i="45"/>
  <c r="EI375" i="45"/>
  <c r="EI376" i="45" s="1"/>
  <c r="EG394" i="45"/>
  <c r="EG391" i="45" s="1"/>
  <c r="EG17" i="45"/>
  <c r="EB31" i="7"/>
  <c r="EB151" i="7"/>
  <c r="EB166" i="7"/>
  <c r="EB331" i="7"/>
  <c r="EB31" i="45"/>
  <c r="EB38" i="45"/>
  <c r="EB33" i="45"/>
  <c r="EC60" i="45"/>
  <c r="EC398" i="45"/>
  <c r="EC61" i="45" s="1"/>
  <c r="ED22" i="45"/>
  <c r="EF17" i="45"/>
  <c r="S47" i="9" s="1"/>
  <c r="EC400" i="45"/>
  <c r="EA44" i="45"/>
  <c r="EA401" i="45"/>
  <c r="EH9" i="45"/>
  <c r="EH11" i="45"/>
  <c r="EI6" i="45"/>
  <c r="EI11" i="45" s="1"/>
  <c r="EG11" i="45"/>
  <c r="EP363" i="45"/>
  <c r="EQ363" i="45"/>
  <c r="ED60" i="45"/>
  <c r="EF397" i="45"/>
  <c r="ED400" i="45"/>
  <c r="ED28" i="45"/>
  <c r="EF394" i="45"/>
  <c r="EF395" i="45" s="1"/>
  <c r="EF396" i="45" s="1"/>
  <c r="EC22" i="45"/>
  <c r="R47" i="9"/>
  <c r="R48" i="9" s="1"/>
  <c r="EK6" i="45"/>
  <c r="EK375" i="45"/>
  <c r="EK367" i="45"/>
  <c r="EN366" i="45"/>
  <c r="EN364" i="45"/>
  <c r="EJ6" i="45"/>
  <c r="EJ367" i="45"/>
  <c r="EJ375" i="45"/>
  <c r="EL366" i="45"/>
  <c r="EL367" i="45" s="1"/>
  <c r="EE28" i="45"/>
  <c r="EE400" i="45"/>
  <c r="EB33" i="7"/>
  <c r="EB32" i="7" s="1"/>
  <c r="EB88" i="45"/>
  <c r="EB72" i="45"/>
  <c r="EB70" i="45"/>
  <c r="EB25" i="45"/>
  <c r="EE94" i="45"/>
  <c r="EE30" i="7"/>
  <c r="EE14" i="45"/>
  <c r="EF506" i="7" l="1"/>
  <c r="FA373" i="45"/>
  <c r="S48" i="9"/>
  <c r="ES363" i="45"/>
  <c r="ET363" i="45"/>
  <c r="EK9" i="45"/>
  <c r="EK11" i="45"/>
  <c r="ED401" i="45"/>
  <c r="ED44" i="45"/>
  <c r="EF400" i="45"/>
  <c r="ER363" i="45"/>
  <c r="ER364" i="45" s="1"/>
  <c r="EP366" i="45"/>
  <c r="EP364" i="45"/>
  <c r="EF22" i="45"/>
  <c r="EB41" i="45"/>
  <c r="EB36" i="45"/>
  <c r="EG28" i="45"/>
  <c r="EI394" i="45"/>
  <c r="EI395" i="45" s="1"/>
  <c r="EI396" i="45" s="1"/>
  <c r="EG400" i="45"/>
  <c r="EG60" i="45"/>
  <c r="EI397" i="45"/>
  <c r="EI398" i="45" s="1"/>
  <c r="EH400" i="45"/>
  <c r="EH28" i="45"/>
  <c r="EB47" i="45"/>
  <c r="EB49" i="45"/>
  <c r="EB54" i="45"/>
  <c r="EC44" i="45"/>
  <c r="EC401" i="45"/>
  <c r="EJ397" i="45"/>
  <c r="EJ394" i="45"/>
  <c r="EJ391" i="45" s="1"/>
  <c r="EJ17" i="45"/>
  <c r="EL375" i="45"/>
  <c r="EL376" i="45" s="1"/>
  <c r="EJ376" i="45"/>
  <c r="EN6" i="45"/>
  <c r="EN375" i="45"/>
  <c r="EN367" i="45"/>
  <c r="EF60" i="45"/>
  <c r="EF398" i="45"/>
  <c r="EF61" i="45" s="1"/>
  <c r="EA54" i="45"/>
  <c r="EA49" i="45"/>
  <c r="EH20" i="45"/>
  <c r="EH22" i="45"/>
  <c r="EG392" i="45"/>
  <c r="EI391" i="45"/>
  <c r="EI392" i="45" s="1"/>
  <c r="EE31" i="7"/>
  <c r="EE151" i="7"/>
  <c r="EE166" i="7"/>
  <c r="EE331" i="7"/>
  <c r="EE401" i="45"/>
  <c r="EE44" i="45"/>
  <c r="R49" i="9"/>
  <c r="R50" i="9" s="1"/>
  <c r="EC38" i="45"/>
  <c r="EC33" i="45"/>
  <c r="EE31" i="45"/>
  <c r="EE38" i="45"/>
  <c r="EE33" i="45"/>
  <c r="EJ11" i="45"/>
  <c r="EL6" i="45"/>
  <c r="EL11" i="45" s="1"/>
  <c r="EK397" i="45"/>
  <c r="EK60" i="45" s="1"/>
  <c r="EK66" i="45" s="1"/>
  <c r="EK394" i="45"/>
  <c r="EK391" i="45" s="1"/>
  <c r="EK392" i="45" s="1"/>
  <c r="EK17" i="45"/>
  <c r="EK376" i="45"/>
  <c r="ED33" i="45"/>
  <c r="EF28" i="45"/>
  <c r="S49" i="9" s="1"/>
  <c r="S50" i="9" s="1"/>
  <c r="ED38" i="45"/>
  <c r="EQ364" i="45"/>
  <c r="EQ366" i="45"/>
  <c r="EH30" i="7"/>
  <c r="EH94" i="45"/>
  <c r="EH14" i="45"/>
  <c r="EI17" i="45"/>
  <c r="EG22" i="45"/>
  <c r="EH67" i="45"/>
  <c r="EE33" i="7"/>
  <c r="EE32" i="7" s="1"/>
  <c r="EE72" i="45"/>
  <c r="EE70" i="45"/>
  <c r="EE25" i="45"/>
  <c r="EE88" i="45"/>
  <c r="EM6" i="45"/>
  <c r="EM375" i="45"/>
  <c r="EO366" i="45"/>
  <c r="EO367" i="45" s="1"/>
  <c r="EM367" i="45"/>
  <c r="EI506" i="7" l="1"/>
  <c r="EK67" i="45"/>
  <c r="EJ392" i="45"/>
  <c r="EL391" i="45"/>
  <c r="EL392" i="45" s="1"/>
  <c r="EN11" i="45"/>
  <c r="EN9" i="45"/>
  <c r="EC54" i="45"/>
  <c r="EC49" i="45"/>
  <c r="EH31" i="45"/>
  <c r="EH33" i="45"/>
  <c r="EH38" i="45"/>
  <c r="EI400" i="45"/>
  <c r="EG44" i="45"/>
  <c r="EG401" i="45"/>
  <c r="EP6" i="45"/>
  <c r="EP375" i="45"/>
  <c r="EP367" i="45"/>
  <c r="ER366" i="45"/>
  <c r="ER367" i="45" s="1"/>
  <c r="EK14" i="45"/>
  <c r="EK30" i="7"/>
  <c r="EK94" i="45"/>
  <c r="EI22" i="45"/>
  <c r="EF38" i="45"/>
  <c r="EF33" i="45"/>
  <c r="EK20" i="45"/>
  <c r="EK22" i="45"/>
  <c r="EM394" i="45"/>
  <c r="EM391" i="45" s="1"/>
  <c r="EM376" i="45"/>
  <c r="EM397" i="45"/>
  <c r="EM17" i="45"/>
  <c r="EO375" i="45"/>
  <c r="EO376" i="45" s="1"/>
  <c r="EQ375" i="45"/>
  <c r="EQ367" i="45"/>
  <c r="EQ6" i="45"/>
  <c r="EK400" i="45"/>
  <c r="EK28" i="45"/>
  <c r="EE36" i="45"/>
  <c r="EE41" i="45"/>
  <c r="EJ28" i="45"/>
  <c r="EL394" i="45"/>
  <c r="EL395" i="45" s="1"/>
  <c r="EJ400" i="45"/>
  <c r="EV363" i="45"/>
  <c r="EW363" i="45"/>
  <c r="EH44" i="45"/>
  <c r="EH401" i="45"/>
  <c r="EI60" i="45"/>
  <c r="EI61" i="45"/>
  <c r="EI28" i="45"/>
  <c r="EG38" i="45"/>
  <c r="EG33" i="45"/>
  <c r="EF401" i="45"/>
  <c r="EF44" i="45"/>
  <c r="ET366" i="45"/>
  <c r="ET364" i="45"/>
  <c r="EM11" i="45"/>
  <c r="EO6" i="45"/>
  <c r="EO11" i="45" s="1"/>
  <c r="EE47" i="45"/>
  <c r="EE49" i="45"/>
  <c r="EE54" i="45"/>
  <c r="EJ60" i="45"/>
  <c r="EL397" i="45"/>
  <c r="EL398" i="45" s="1"/>
  <c r="EH31" i="7"/>
  <c r="EH166" i="7"/>
  <c r="EH331" i="7"/>
  <c r="EH151" i="7"/>
  <c r="EH33" i="7"/>
  <c r="EH32" i="7" s="1"/>
  <c r="EH25" i="45"/>
  <c r="EH72" i="45"/>
  <c r="EH88" i="45"/>
  <c r="EH70" i="45"/>
  <c r="EN397" i="45"/>
  <c r="EN60" i="45" s="1"/>
  <c r="EN66" i="45" s="1"/>
  <c r="EN394" i="45"/>
  <c r="EN391" i="45" s="1"/>
  <c r="EN392" i="45" s="1"/>
  <c r="EN17" i="45"/>
  <c r="EN376" i="45"/>
  <c r="EL17" i="45"/>
  <c r="EJ22" i="45"/>
  <c r="EB57" i="45"/>
  <c r="EB52" i="45"/>
  <c r="EB82" i="45"/>
  <c r="ED54" i="45"/>
  <c r="ED49" i="45"/>
  <c r="ES364" i="45"/>
  <c r="EU363" i="45"/>
  <c r="EU364" i="45" s="1"/>
  <c r="ES366" i="45"/>
  <c r="EL396" i="45" l="1"/>
  <c r="EL506" i="7"/>
  <c r="EN67" i="45"/>
  <c r="EK31" i="45"/>
  <c r="EK38" i="45"/>
  <c r="EK33" i="45"/>
  <c r="EF54" i="45"/>
  <c r="EF49" i="45"/>
  <c r="EH47" i="45"/>
  <c r="EH49" i="45"/>
  <c r="EH54" i="45"/>
  <c r="EO391" i="45"/>
  <c r="EO392" i="45" s="1"/>
  <c r="EM392" i="45"/>
  <c r="EM400" i="45"/>
  <c r="EO394" i="45"/>
  <c r="EO395" i="45" s="1"/>
  <c r="EO396" i="45" s="1"/>
  <c r="EM28" i="45"/>
  <c r="EI44" i="45"/>
  <c r="EI401" i="45"/>
  <c r="EH41" i="45"/>
  <c r="EH36" i="45"/>
  <c r="EB84" i="45"/>
  <c r="EB83" i="45"/>
  <c r="EL22" i="45"/>
  <c r="EV366" i="45"/>
  <c r="EX363" i="45"/>
  <c r="EX364" i="45" s="1"/>
  <c r="EV364" i="45"/>
  <c r="ES6" i="45"/>
  <c r="ES375" i="45"/>
  <c r="EU366" i="45"/>
  <c r="EU367" i="45" s="1"/>
  <c r="ES367" i="45"/>
  <c r="EN20" i="45"/>
  <c r="EN22" i="45"/>
  <c r="ET6" i="45"/>
  <c r="ET375" i="45"/>
  <c r="ET367" i="45"/>
  <c r="EW364" i="45"/>
  <c r="EW366" i="45"/>
  <c r="EL28" i="45"/>
  <c r="EJ33" i="45"/>
  <c r="EJ38" i="45"/>
  <c r="EQ397" i="45"/>
  <c r="EQ60" i="45" s="1"/>
  <c r="EQ66" i="45" s="1"/>
  <c r="EQ394" i="45"/>
  <c r="EQ376" i="45"/>
  <c r="EQ17" i="45"/>
  <c r="EO17" i="45"/>
  <c r="EM22" i="45"/>
  <c r="EM60" i="45"/>
  <c r="EO397" i="45"/>
  <c r="EO398" i="45" s="1"/>
  <c r="EP17" i="45"/>
  <c r="ER375" i="45"/>
  <c r="ER376" i="45" s="1"/>
  <c r="EP376" i="45"/>
  <c r="EP397" i="45"/>
  <c r="EP394" i="45"/>
  <c r="EP391" i="45" s="1"/>
  <c r="EK72" i="45"/>
  <c r="EK25" i="45"/>
  <c r="EK70" i="45"/>
  <c r="EK88" i="45"/>
  <c r="EK33" i="7"/>
  <c r="EK32" i="7" s="1"/>
  <c r="EY363" i="45"/>
  <c r="EZ363" i="45"/>
  <c r="EN400" i="45"/>
  <c r="EN28" i="45"/>
  <c r="EL60" i="45"/>
  <c r="EL61" i="45"/>
  <c r="EE82" i="45"/>
  <c r="EE57" i="45"/>
  <c r="EE52" i="45"/>
  <c r="EI33" i="45"/>
  <c r="EI38" i="45"/>
  <c r="EL400" i="45"/>
  <c r="EJ401" i="45"/>
  <c r="EJ44" i="45"/>
  <c r="EK44" i="45"/>
  <c r="EK401" i="45"/>
  <c r="EQ9" i="45"/>
  <c r="EQ11" i="45"/>
  <c r="EK151" i="7"/>
  <c r="EK166" i="7"/>
  <c r="EK331" i="7"/>
  <c r="EK31" i="7"/>
  <c r="EP11" i="45"/>
  <c r="ER6" i="45"/>
  <c r="ER11" i="45" s="1"/>
  <c r="EG54" i="45"/>
  <c r="EG49" i="45"/>
  <c r="EN14" i="45"/>
  <c r="EN94" i="45"/>
  <c r="EN30" i="7"/>
  <c r="EO506" i="7" l="1"/>
  <c r="EP392" i="45"/>
  <c r="EL44" i="45"/>
  <c r="EL401" i="45"/>
  <c r="EJ49" i="45"/>
  <c r="EJ54" i="45"/>
  <c r="EN401" i="45"/>
  <c r="EN44" i="45"/>
  <c r="EZ366" i="45"/>
  <c r="EZ364" i="45"/>
  <c r="EQ22" i="45"/>
  <c r="EQ20" i="45"/>
  <c r="EQ67" i="45"/>
  <c r="EL38" i="45"/>
  <c r="EL33" i="45"/>
  <c r="ET9" i="45"/>
  <c r="ET11" i="45"/>
  <c r="EK47" i="45"/>
  <c r="EK49" i="45"/>
  <c r="EK54" i="45"/>
  <c r="FA363" i="45"/>
  <c r="FA364" i="45" s="1"/>
  <c r="EY366" i="45"/>
  <c r="EY364" i="45"/>
  <c r="EI49" i="45"/>
  <c r="EI54" i="45"/>
  <c r="EM44" i="45"/>
  <c r="EO400" i="45"/>
  <c r="EM401" i="45"/>
  <c r="EQ28" i="45"/>
  <c r="EQ400" i="45"/>
  <c r="EN33" i="7"/>
  <c r="EN32" i="7" s="1"/>
  <c r="EN88" i="45"/>
  <c r="EN25" i="45"/>
  <c r="EN72" i="45"/>
  <c r="EN70" i="45"/>
  <c r="ES397" i="45"/>
  <c r="ES17" i="45"/>
  <c r="EU375" i="45"/>
  <c r="EU376" i="45" s="1"/>
  <c r="ES394" i="45"/>
  <c r="ES391" i="45" s="1"/>
  <c r="ES376" i="45"/>
  <c r="EV367" i="45"/>
  <c r="EV375" i="45"/>
  <c r="EX366" i="45"/>
  <c r="EX367" i="45" s="1"/>
  <c r="EV6" i="45"/>
  <c r="EH57" i="45"/>
  <c r="EH82" i="45"/>
  <c r="EH52" i="45"/>
  <c r="EP28" i="45"/>
  <c r="EP400" i="45"/>
  <c r="ER394" i="45"/>
  <c r="ER395" i="45" s="1"/>
  <c r="EO60" i="45"/>
  <c r="EO61" i="45"/>
  <c r="EW375" i="45"/>
  <c r="EW6" i="45"/>
  <c r="EW367" i="45"/>
  <c r="EN166" i="7"/>
  <c r="EN31" i="7"/>
  <c r="EN331" i="7"/>
  <c r="EN151" i="7"/>
  <c r="EQ94" i="45"/>
  <c r="EQ14" i="45"/>
  <c r="EQ30" i="7"/>
  <c r="EE84" i="45"/>
  <c r="EE83" i="45"/>
  <c r="EN33" i="45"/>
  <c r="EN31" i="45"/>
  <c r="EN38" i="45"/>
  <c r="EP60" i="45"/>
  <c r="ER397" i="45"/>
  <c r="ER398" i="45" s="1"/>
  <c r="ER17" i="45"/>
  <c r="EP22" i="45"/>
  <c r="EO22" i="45"/>
  <c r="EQ391" i="45"/>
  <c r="EQ392" i="45" s="1"/>
  <c r="ET397" i="45"/>
  <c r="ET60" i="45" s="1"/>
  <c r="ET66" i="45" s="1"/>
  <c r="ET376" i="45"/>
  <c r="ET394" i="45"/>
  <c r="ET17" i="45"/>
  <c r="ES11" i="45"/>
  <c r="EU6" i="45"/>
  <c r="EU11" i="45" s="1"/>
  <c r="EM33" i="45"/>
  <c r="EM38" i="45"/>
  <c r="EO28" i="45"/>
  <c r="EK41" i="45"/>
  <c r="EK36" i="45"/>
  <c r="ER506" i="7" l="1"/>
  <c r="ET67" i="45"/>
  <c r="ES392" i="45"/>
  <c r="ET28" i="45"/>
  <c r="ET400" i="45"/>
  <c r="EQ331" i="7"/>
  <c r="EQ166" i="7"/>
  <c r="EQ31" i="7"/>
  <c r="EQ151" i="7"/>
  <c r="ET391" i="45"/>
  <c r="ET392" i="45" s="1"/>
  <c r="ER22" i="45"/>
  <c r="EU17" i="45"/>
  <c r="ES22" i="45"/>
  <c r="EM54" i="45"/>
  <c r="EM49" i="45"/>
  <c r="EK52" i="45"/>
  <c r="EK82" i="45"/>
  <c r="EK57" i="45"/>
  <c r="EN47" i="45"/>
  <c r="EN54" i="45"/>
  <c r="EN49" i="45"/>
  <c r="EW397" i="45"/>
  <c r="EW60" i="45" s="1"/>
  <c r="EW66" i="45" s="1"/>
  <c r="EW17" i="45"/>
  <c r="EW394" i="45"/>
  <c r="EW391" i="45" s="1"/>
  <c r="EW376" i="45"/>
  <c r="ET22" i="45"/>
  <c r="ET20" i="45"/>
  <c r="ER60" i="45"/>
  <c r="ER61" i="45"/>
  <c r="EV11" i="45"/>
  <c r="EX6" i="45"/>
  <c r="EX11" i="45" s="1"/>
  <c r="EQ44" i="45"/>
  <c r="EQ401" i="45"/>
  <c r="EY367" i="45"/>
  <c r="EY375" i="45"/>
  <c r="EY6" i="45"/>
  <c r="FA366" i="45"/>
  <c r="FA367" i="45" s="1"/>
  <c r="EQ31" i="45"/>
  <c r="EQ33" i="45"/>
  <c r="EQ38" i="45"/>
  <c r="ET14" i="45"/>
  <c r="ET30" i="7"/>
  <c r="ET94" i="45"/>
  <c r="EQ72" i="45"/>
  <c r="EQ70" i="45"/>
  <c r="EQ88" i="45"/>
  <c r="EQ33" i="7"/>
  <c r="EQ32" i="7" s="1"/>
  <c r="EQ25" i="45"/>
  <c r="EZ367" i="45"/>
  <c r="EZ6" i="45"/>
  <c r="EZ375" i="45"/>
  <c r="EL54" i="45"/>
  <c r="EL49" i="45"/>
  <c r="ER400" i="45"/>
  <c r="EP44" i="45"/>
  <c r="EP401" i="45"/>
  <c r="ES28" i="45"/>
  <c r="ES400" i="45"/>
  <c r="EU394" i="45"/>
  <c r="EU395" i="45" s="1"/>
  <c r="ES60" i="45"/>
  <c r="EU397" i="45"/>
  <c r="EU398" i="45" s="1"/>
  <c r="EO38" i="45"/>
  <c r="EO33" i="45"/>
  <c r="EN41" i="45"/>
  <c r="EN36" i="45"/>
  <c r="EW9" i="45"/>
  <c r="EW11" i="45"/>
  <c r="EP38" i="45"/>
  <c r="EP33" i="45"/>
  <c r="ER28" i="45"/>
  <c r="EH84" i="45"/>
  <c r="EH83" i="45"/>
  <c r="EV397" i="45"/>
  <c r="EV394" i="45"/>
  <c r="EV391" i="45" s="1"/>
  <c r="EV376" i="45"/>
  <c r="EV17" i="45"/>
  <c r="EX375" i="45"/>
  <c r="EX376" i="45" s="1"/>
  <c r="EO44" i="45"/>
  <c r="EO401" i="45"/>
  <c r="ER391" i="45"/>
  <c r="ER392" i="45" s="1"/>
  <c r="EU506" i="7" l="1"/>
  <c r="EW392" i="45"/>
  <c r="EU391" i="45"/>
  <c r="EU392" i="45" s="1"/>
  <c r="EX391" i="45"/>
  <c r="EV392" i="45"/>
  <c r="ET331" i="7"/>
  <c r="ET151" i="7"/>
  <c r="ET166" i="7"/>
  <c r="ET31" i="7"/>
  <c r="EQ36" i="45"/>
  <c r="EQ41" i="45"/>
  <c r="EW14" i="45"/>
  <c r="EW30" i="7"/>
  <c r="EW94" i="45"/>
  <c r="EU400" i="45"/>
  <c r="ES44" i="45"/>
  <c r="ES401" i="45"/>
  <c r="ER44" i="45"/>
  <c r="ER401" i="45"/>
  <c r="EU61" i="45"/>
  <c r="EU60" i="45"/>
  <c r="EU28" i="45"/>
  <c r="ES38" i="45"/>
  <c r="ES33" i="45"/>
  <c r="EZ397" i="45"/>
  <c r="EZ60" i="45" s="1"/>
  <c r="EZ66" i="45" s="1"/>
  <c r="EZ17" i="45"/>
  <c r="EZ376" i="45"/>
  <c r="EZ394" i="45"/>
  <c r="EZ391" i="45" s="1"/>
  <c r="EZ392" i="45" s="1"/>
  <c r="EW20" i="45"/>
  <c r="EW22" i="45"/>
  <c r="EO49" i="45"/>
  <c r="EO54" i="45"/>
  <c r="EV22" i="45"/>
  <c r="EX17" i="45"/>
  <c r="EV60" i="45"/>
  <c r="EX397" i="45"/>
  <c r="EX398" i="45" s="1"/>
  <c r="ER38" i="45"/>
  <c r="ER33" i="45"/>
  <c r="EZ9" i="45"/>
  <c r="EZ11" i="45"/>
  <c r="EY11" i="45"/>
  <c r="FA6" i="45"/>
  <c r="FA11" i="45" s="1"/>
  <c r="EQ47" i="45"/>
  <c r="EQ49" i="45"/>
  <c r="EQ54" i="45"/>
  <c r="EW67" i="45"/>
  <c r="EN57" i="45"/>
  <c r="EN82" i="45"/>
  <c r="EN52" i="45"/>
  <c r="EK84" i="45"/>
  <c r="EK83" i="45"/>
  <c r="EU22" i="45"/>
  <c r="ET44" i="45"/>
  <c r="ET401" i="45"/>
  <c r="EP54" i="45"/>
  <c r="EP49" i="45"/>
  <c r="EV400" i="45"/>
  <c r="EX394" i="45"/>
  <c r="EX395" i="45" s="1"/>
  <c r="EV28" i="45"/>
  <c r="EY397" i="45"/>
  <c r="EY376" i="45"/>
  <c r="EY17" i="45"/>
  <c r="EY394" i="45"/>
  <c r="EY391" i="45" s="1"/>
  <c r="FA375" i="45"/>
  <c r="FA376" i="45" s="1"/>
  <c r="ET33" i="7"/>
  <c r="ET32" i="7" s="1"/>
  <c r="ET72" i="45"/>
  <c r="ET70" i="45"/>
  <c r="ET25" i="45"/>
  <c r="ET88" i="45"/>
  <c r="EW28" i="45"/>
  <c r="EW400" i="45"/>
  <c r="ET33" i="45"/>
  <c r="ET31" i="45"/>
  <c r="ET38" i="45"/>
  <c r="EX506" i="7" l="1"/>
  <c r="EX392" i="45"/>
  <c r="EY392" i="45"/>
  <c r="FA391" i="45"/>
  <c r="FA392" i="45" s="1"/>
  <c r="EX60" i="45"/>
  <c r="EX61" i="45"/>
  <c r="EW44" i="45"/>
  <c r="EW401" i="45"/>
  <c r="EW31" i="45"/>
  <c r="EW33" i="45"/>
  <c r="EW38" i="45"/>
  <c r="EY60" i="45"/>
  <c r="FA397" i="45"/>
  <c r="FA398" i="45" s="1"/>
  <c r="EX400" i="45"/>
  <c r="EV401" i="45"/>
  <c r="EV44" i="45"/>
  <c r="EX22" i="45"/>
  <c r="ER49" i="45"/>
  <c r="ER54" i="45"/>
  <c r="EV33" i="45"/>
  <c r="EX28" i="45"/>
  <c r="EV38" i="45"/>
  <c r="EY400" i="45"/>
  <c r="EY28" i="45"/>
  <c r="FA394" i="45"/>
  <c r="FA395" i="45" s="1"/>
  <c r="EN84" i="45"/>
  <c r="EN83" i="45"/>
  <c r="EQ57" i="45"/>
  <c r="EQ82" i="45"/>
  <c r="EQ52" i="45"/>
  <c r="EZ20" i="45"/>
  <c r="EZ22" i="45"/>
  <c r="EW31" i="7"/>
  <c r="EW151" i="7"/>
  <c r="EW331" i="7"/>
  <c r="EW166" i="7"/>
  <c r="EZ400" i="45"/>
  <c r="EZ28" i="45"/>
  <c r="EZ67" i="45"/>
  <c r="ES49" i="45"/>
  <c r="ES54" i="45"/>
  <c r="FA17" i="45"/>
  <c r="EY22" i="45"/>
  <c r="EZ94" i="45"/>
  <c r="EZ30" i="7"/>
  <c r="EZ14" i="45"/>
  <c r="ET41" i="45"/>
  <c r="ET36" i="45"/>
  <c r="ET47" i="45"/>
  <c r="ET54" i="45"/>
  <c r="ET49" i="45"/>
  <c r="EW25" i="45"/>
  <c r="EW70" i="45"/>
  <c r="EW33" i="7"/>
  <c r="EW32" i="7" s="1"/>
  <c r="EW72" i="45"/>
  <c r="EW88" i="45"/>
  <c r="EU33" i="45"/>
  <c r="EU38" i="45"/>
  <c r="EU401" i="45"/>
  <c r="EU44" i="45"/>
  <c r="FA506" i="7" l="1"/>
  <c r="ET57" i="45"/>
  <c r="ET82" i="45"/>
  <c r="ET52" i="45"/>
  <c r="EZ31" i="7"/>
  <c r="EZ166" i="7"/>
  <c r="EZ151" i="7"/>
  <c r="EZ331" i="7"/>
  <c r="EY44" i="45"/>
  <c r="FA400" i="45"/>
  <c r="EY401" i="45"/>
  <c r="EV49" i="45"/>
  <c r="EV54" i="45"/>
  <c r="FA60" i="45"/>
  <c r="FA61" i="45"/>
  <c r="EU49" i="45"/>
  <c r="EU54" i="45"/>
  <c r="FA22" i="45"/>
  <c r="EZ31" i="45"/>
  <c r="EZ33" i="45"/>
  <c r="EZ38" i="45"/>
  <c r="EX38" i="45"/>
  <c r="EX33" i="45"/>
  <c r="EW41" i="45"/>
  <c r="EW36" i="45"/>
  <c r="EW47" i="45"/>
  <c r="EW54" i="45"/>
  <c r="EW49" i="45"/>
  <c r="EZ401" i="45"/>
  <c r="EZ44" i="45"/>
  <c r="EZ72" i="45"/>
  <c r="EZ70" i="45"/>
  <c r="EZ88" i="45"/>
  <c r="EZ25" i="45"/>
  <c r="EZ33" i="7"/>
  <c r="EZ32" i="7" s="1"/>
  <c r="EQ84" i="45"/>
  <c r="EQ83" i="45"/>
  <c r="FA28" i="45"/>
  <c r="EY38" i="45"/>
  <c r="EY33" i="45"/>
  <c r="EX44" i="45"/>
  <c r="EX401" i="45"/>
  <c r="EY54" i="45" l="1"/>
  <c r="EY49" i="45"/>
  <c r="FA44" i="45"/>
  <c r="FA401" i="45"/>
  <c r="ET83" i="45"/>
  <c r="ET84" i="45"/>
  <c r="EX49" i="45"/>
  <c r="EX54" i="45"/>
  <c r="EW57" i="45"/>
  <c r="EW52" i="45"/>
  <c r="EW82" i="45"/>
  <c r="FA33" i="45"/>
  <c r="FA38" i="45"/>
  <c r="EZ47" i="45"/>
  <c r="EZ49" i="45"/>
  <c r="EZ54" i="45"/>
  <c r="EZ41" i="45"/>
  <c r="EZ36" i="45"/>
  <c r="EW84" i="45" l="1"/>
  <c r="EW83" i="45"/>
  <c r="EZ52" i="45"/>
  <c r="EZ82" i="45"/>
  <c r="EZ57" i="45"/>
  <c r="FA54" i="45"/>
  <c r="FA49" i="45"/>
  <c r="EZ84" i="45" l="1"/>
  <c r="EZ83" i="45"/>
  <c r="DU7" i="45" l="1"/>
  <c r="DU9" i="45" s="1"/>
  <c r="DU92" i="45" s="1"/>
  <c r="DV92" i="45" s="1"/>
  <c r="DU12" i="45"/>
  <c r="DU55" i="45"/>
  <c r="DU404" i="45"/>
  <c r="DU411" i="45"/>
  <c r="DU439" i="45"/>
  <c r="DV439" i="45" s="1"/>
  <c r="DU18" i="45" l="1"/>
  <c r="DX412" i="45"/>
  <c r="DU20" i="45"/>
  <c r="DU100" i="45" s="1"/>
  <c r="DU453" i="45"/>
  <c r="DU63" i="45" s="1"/>
  <c r="DU441" i="45"/>
  <c r="DV441" i="45" s="1"/>
  <c r="DU440" i="45"/>
  <c r="DV440" i="45" s="1"/>
  <c r="DU96" i="45"/>
  <c r="DU94" i="45"/>
  <c r="DU57" i="45"/>
  <c r="DU67" i="45"/>
  <c r="DU456" i="45"/>
  <c r="DV404" i="45"/>
  <c r="DU450" i="45"/>
  <c r="DU445" i="45"/>
  <c r="DU442" i="45"/>
  <c r="DV442" i="45" s="1"/>
  <c r="DU14" i="45"/>
  <c r="DU30" i="7"/>
  <c r="DU424" i="45"/>
  <c r="DU39" i="45"/>
  <c r="DU23" i="45"/>
  <c r="DU412" i="45"/>
  <c r="DU88" i="45" l="1"/>
  <c r="DU41" i="45"/>
  <c r="DU25" i="45"/>
  <c r="DU73" i="45"/>
  <c r="DU83" i="45"/>
  <c r="DU71" i="45"/>
  <c r="DU33" i="7"/>
  <c r="DU42" i="7" s="1"/>
  <c r="DV407" i="45"/>
  <c r="DV411" i="45" s="1"/>
  <c r="DU90" i="45"/>
  <c r="DU426" i="45"/>
  <c r="DW426" i="45" s="1"/>
  <c r="DW446" i="45" s="1"/>
  <c r="DW447" i="45" s="1"/>
  <c r="DW424" i="45"/>
  <c r="DW419" i="45" s="1"/>
  <c r="DU162" i="7"/>
  <c r="DU335" i="7"/>
  <c r="DU215" i="8"/>
  <c r="DU169" i="7"/>
  <c r="DU70" i="7"/>
  <c r="DU145" i="8"/>
  <c r="DU141" i="8" s="1"/>
  <c r="DU151" i="7"/>
  <c r="DU74" i="7"/>
  <c r="DU146" i="8"/>
  <c r="DU142" i="8" s="1"/>
  <c r="DU294" i="8"/>
  <c r="DU331" i="7"/>
  <c r="DU159" i="7"/>
  <c r="DU163" i="7"/>
  <c r="DU328" i="7"/>
  <c r="DU31" i="7"/>
  <c r="DU56" i="7"/>
  <c r="DU164" i="7"/>
  <c r="DU336" i="7"/>
  <c r="DU279" i="7"/>
  <c r="DU273" i="7" s="1"/>
  <c r="DU62" i="7"/>
  <c r="DU334" i="7"/>
  <c r="DU329" i="7"/>
  <c r="DU147" i="8"/>
  <c r="DU143" i="8" s="1"/>
  <c r="DU160" i="7"/>
  <c r="DU333" i="7"/>
  <c r="DU214" i="8"/>
  <c r="DU161" i="7"/>
  <c r="DU327" i="7"/>
  <c r="DU166" i="7"/>
  <c r="DU287" i="8"/>
  <c r="DU45" i="7" s="1"/>
  <c r="DX125" i="8" s="1"/>
  <c r="AH7" i="9" l="1"/>
  <c r="AH12" i="9" s="1"/>
  <c r="DV7" i="45"/>
  <c r="DX7" i="45"/>
  <c r="DU32" i="7"/>
  <c r="DZ424" i="45"/>
  <c r="DZ419" i="45" s="1"/>
  <c r="EA424" i="45"/>
  <c r="DU283" i="7"/>
  <c r="DU330" i="7"/>
  <c r="DU185" i="7"/>
  <c r="DU186" i="7" s="1"/>
  <c r="DY412" i="45"/>
  <c r="DV445" i="45"/>
  <c r="DV450" i="45"/>
  <c r="DV412" i="45"/>
  <c r="DV436" i="45"/>
  <c r="DV453" i="45"/>
  <c r="DV63" i="45" s="1"/>
  <c r="DV456" i="45"/>
  <c r="DV18" i="45"/>
  <c r="DV437" i="45"/>
  <c r="DV435" i="45"/>
  <c r="DV434" i="45"/>
  <c r="DU53" i="7"/>
  <c r="DU43" i="7" s="1"/>
  <c r="DV9" i="45"/>
  <c r="DY12" i="45"/>
  <c r="DV12" i="45"/>
  <c r="DV55" i="45"/>
  <c r="DW7" i="45"/>
  <c r="DX18" i="45" l="1"/>
  <c r="DX62" i="45"/>
  <c r="DX66" i="45" s="1"/>
  <c r="DX12" i="45"/>
  <c r="DX9" i="45"/>
  <c r="DZ404" i="45"/>
  <c r="DZ407" i="45" s="1"/>
  <c r="DZ411" i="45" s="1"/>
  <c r="DV39" i="45"/>
  <c r="DV23" i="45"/>
  <c r="DY23" i="45"/>
  <c r="DV20" i="45"/>
  <c r="DZ426" i="45"/>
  <c r="DZ445" i="45"/>
  <c r="DV30" i="7"/>
  <c r="DY14" i="45"/>
  <c r="DV14" i="45"/>
  <c r="DV67" i="45"/>
  <c r="DV96" i="45"/>
  <c r="DV94" i="45"/>
  <c r="DW9" i="45"/>
  <c r="DV57" i="45"/>
  <c r="DW12" i="45"/>
  <c r="P52" i="9" s="1"/>
  <c r="DW55" i="45"/>
  <c r="ED424" i="45"/>
  <c r="EA404" i="45"/>
  <c r="EA426" i="45"/>
  <c r="EC424" i="45"/>
  <c r="EC419" i="45" s="1"/>
  <c r="DU300" i="7"/>
  <c r="DU565" i="7"/>
  <c r="DU566" i="7" s="1"/>
  <c r="DX30" i="7" l="1"/>
  <c r="DX92" i="45"/>
  <c r="DY92" i="45" s="1"/>
  <c r="DY91" i="45" s="1"/>
  <c r="DY26" i="8" s="1"/>
  <c r="DX279" i="7"/>
  <c r="DX273" i="7" s="1"/>
  <c r="DX146" i="8"/>
  <c r="DX147" i="8"/>
  <c r="DX145" i="8"/>
  <c r="DX70" i="7"/>
  <c r="DX74" i="7"/>
  <c r="DX56" i="7"/>
  <c r="DX62" i="7"/>
  <c r="DX31" i="7"/>
  <c r="DX29" i="45"/>
  <c r="DX14" i="45"/>
  <c r="DX94" i="45"/>
  <c r="DX67" i="45"/>
  <c r="DX23" i="45"/>
  <c r="DX20" i="45"/>
  <c r="EA407" i="45"/>
  <c r="EC404" i="45"/>
  <c r="EC407" i="45" s="1"/>
  <c r="EC411" i="45" s="1"/>
  <c r="DU569" i="7"/>
  <c r="DU571" i="7" s="1"/>
  <c r="DU574" i="7" s="1"/>
  <c r="DU302" i="7"/>
  <c r="DU319" i="7" s="1"/>
  <c r="DZ18" i="45"/>
  <c r="DZ412" i="45"/>
  <c r="DZ439" i="45"/>
  <c r="DZ440" i="45"/>
  <c r="DZ441" i="45"/>
  <c r="DZ442" i="45"/>
  <c r="DV62" i="7"/>
  <c r="DV56" i="7"/>
  <c r="DV164" i="7"/>
  <c r="DV328" i="7"/>
  <c r="DV70" i="7"/>
  <c r="DV334" i="7"/>
  <c r="DV146" i="8"/>
  <c r="DY31" i="7"/>
  <c r="DV159" i="7"/>
  <c r="DV151" i="7"/>
  <c r="DV331" i="7"/>
  <c r="DV162" i="7"/>
  <c r="DV294" i="8"/>
  <c r="DV147" i="8"/>
  <c r="DV163" i="7"/>
  <c r="DV335" i="7"/>
  <c r="DV327" i="7"/>
  <c r="DV336" i="7"/>
  <c r="DV31" i="7"/>
  <c r="DV329" i="7"/>
  <c r="DV333" i="7"/>
  <c r="DV166" i="7"/>
  <c r="DV145" i="8"/>
  <c r="DY151" i="7"/>
  <c r="DV161" i="7"/>
  <c r="DV169" i="7"/>
  <c r="DV160" i="7"/>
  <c r="DV74" i="7"/>
  <c r="DW30" i="7"/>
  <c r="EC426" i="45"/>
  <c r="EA445" i="45"/>
  <c r="EC445" i="45" s="1"/>
  <c r="DW14" i="45"/>
  <c r="DW67" i="45"/>
  <c r="DW57" i="45"/>
  <c r="DW90" i="45"/>
  <c r="DW96" i="45"/>
  <c r="DW94" i="45"/>
  <c r="DW83" i="45"/>
  <c r="DW92" i="45"/>
  <c r="EF424" i="45"/>
  <c r="EF419" i="45" s="1"/>
  <c r="EG424" i="45"/>
  <c r="ED404" i="45"/>
  <c r="ED426" i="45"/>
  <c r="DV33" i="7"/>
  <c r="DV25" i="45"/>
  <c r="DV71" i="45"/>
  <c r="DV73" i="45"/>
  <c r="DV41" i="45"/>
  <c r="DV88" i="45"/>
  <c r="DV100" i="45"/>
  <c r="DY25" i="45"/>
  <c r="DV83" i="45"/>
  <c r="DZ446" i="45"/>
  <c r="DZ447" i="45" s="1"/>
  <c r="DX33" i="7" l="1"/>
  <c r="DX100" i="45"/>
  <c r="EB147" i="8"/>
  <c r="DZ147" i="8"/>
  <c r="DV141" i="8"/>
  <c r="DY145" i="8"/>
  <c r="ED145" i="8"/>
  <c r="EG145" i="8" s="1"/>
  <c r="EJ145" i="8" s="1"/>
  <c r="EM145" i="8" s="1"/>
  <c r="EP145" i="8" s="1"/>
  <c r="ES145" i="8" s="1"/>
  <c r="EV145" i="8" s="1"/>
  <c r="EY145" i="8" s="1"/>
  <c r="DX141" i="8"/>
  <c r="ED147" i="8"/>
  <c r="EG147" i="8" s="1"/>
  <c r="EJ147" i="8" s="1"/>
  <c r="EM147" i="8" s="1"/>
  <c r="EP147" i="8" s="1"/>
  <c r="ES147" i="8" s="1"/>
  <c r="EV147" i="8" s="1"/>
  <c r="EY147" i="8" s="1"/>
  <c r="DX143" i="8"/>
  <c r="DV142" i="8"/>
  <c r="ED146" i="8"/>
  <c r="EG146" i="8" s="1"/>
  <c r="EJ146" i="8" s="1"/>
  <c r="EM146" i="8" s="1"/>
  <c r="EP146" i="8" s="1"/>
  <c r="ES146" i="8" s="1"/>
  <c r="EV146" i="8" s="1"/>
  <c r="EY146" i="8" s="1"/>
  <c r="DX142" i="8"/>
  <c r="DX32" i="7"/>
  <c r="DX42" i="7"/>
  <c r="DX283" i="7"/>
  <c r="DX300" i="7" s="1"/>
  <c r="DX302" i="7" s="1"/>
  <c r="DX319" i="7" s="1"/>
  <c r="DX88" i="45"/>
  <c r="DX90" i="45"/>
  <c r="DX73" i="45"/>
  <c r="DX71" i="45"/>
  <c r="DX25" i="45"/>
  <c r="DX45" i="45"/>
  <c r="DX34" i="45"/>
  <c r="DX39" i="45"/>
  <c r="DX31" i="45"/>
  <c r="EC446" i="45"/>
  <c r="EC447" i="45" s="1"/>
  <c r="DU579" i="7"/>
  <c r="DU577" i="7"/>
  <c r="Q51" i="9"/>
  <c r="DZ23" i="45"/>
  <c r="DZ20" i="45"/>
  <c r="EG426" i="45"/>
  <c r="EI424" i="45"/>
  <c r="EI419" i="45" s="1"/>
  <c r="EJ424" i="45"/>
  <c r="EG404" i="45"/>
  <c r="AI7" i="9"/>
  <c r="DV32" i="7"/>
  <c r="DW33" i="7"/>
  <c r="DV143" i="8"/>
  <c r="DY439" i="45"/>
  <c r="DY434" i="45" s="1"/>
  <c r="DY440" i="45"/>
  <c r="DY435" i="45" s="1"/>
  <c r="DY441" i="45"/>
  <c r="DY436" i="45" s="1"/>
  <c r="DY442" i="45"/>
  <c r="DY437" i="45" s="1"/>
  <c r="ED445" i="45"/>
  <c r="EF445" i="45" s="1"/>
  <c r="EF426" i="45"/>
  <c r="DW329" i="7"/>
  <c r="DW215" i="8"/>
  <c r="DV215" i="8" s="1"/>
  <c r="DW287" i="8"/>
  <c r="DW163" i="7"/>
  <c r="DW160" i="7"/>
  <c r="DW335" i="7"/>
  <c r="DW327" i="7"/>
  <c r="DW145" i="8"/>
  <c r="DW141" i="8" s="1"/>
  <c r="DW214" i="8"/>
  <c r="DV214" i="8" s="1"/>
  <c r="DW333" i="7"/>
  <c r="DW166" i="7"/>
  <c r="DW162" i="7"/>
  <c r="DW159" i="7"/>
  <c r="DW294" i="8"/>
  <c r="DW151" i="7"/>
  <c r="DW334" i="7"/>
  <c r="DW279" i="7"/>
  <c r="DW164" i="7"/>
  <c r="DW146" i="8"/>
  <c r="DW142" i="8" s="1"/>
  <c r="DW31" i="7"/>
  <c r="DW74" i="7"/>
  <c r="DW331" i="7"/>
  <c r="DW328" i="7"/>
  <c r="DW62" i="7"/>
  <c r="DW147" i="8"/>
  <c r="DW143" i="8" s="1"/>
  <c r="DW161" i="7"/>
  <c r="DW70" i="7"/>
  <c r="DW336" i="7"/>
  <c r="DW56" i="7"/>
  <c r="DU176" i="7"/>
  <c r="EC439" i="45"/>
  <c r="EC440" i="45"/>
  <c r="EC441" i="45"/>
  <c r="EC442" i="45"/>
  <c r="EC412" i="45"/>
  <c r="DZ7" i="45"/>
  <c r="DZ12" i="45" s="1"/>
  <c r="Q52" i="9" s="1"/>
  <c r="ED407" i="45"/>
  <c r="EF404" i="45"/>
  <c r="EF407" i="45" s="1"/>
  <c r="EF411" i="45" s="1"/>
  <c r="DV176" i="7"/>
  <c r="EA7" i="45"/>
  <c r="EA411" i="45"/>
  <c r="EB146" i="8" l="1"/>
  <c r="DZ146" i="8"/>
  <c r="EB145" i="8"/>
  <c r="DZ145" i="8"/>
  <c r="EC147" i="8"/>
  <c r="EE147" i="8"/>
  <c r="DX55" i="45"/>
  <c r="DX50" i="45"/>
  <c r="DX47" i="45"/>
  <c r="DX36" i="45"/>
  <c r="DX41" i="45"/>
  <c r="EA90" i="45"/>
  <c r="EB90" i="45" s="1"/>
  <c r="DY89" i="45"/>
  <c r="EB100" i="45"/>
  <c r="DY99" i="45"/>
  <c r="DY154" i="8" s="1"/>
  <c r="DY190" i="7" s="1"/>
  <c r="AI12" i="9"/>
  <c r="DZ449" i="45"/>
  <c r="DZ9" i="45"/>
  <c r="DV279" i="7"/>
  <c r="DW273" i="7"/>
  <c r="DX185" i="7" s="1"/>
  <c r="EF412" i="45"/>
  <c r="EF441" i="45"/>
  <c r="EF439" i="45"/>
  <c r="EF440" i="45"/>
  <c r="EF442" i="45"/>
  <c r="EI404" i="45"/>
  <c r="EI407" i="45" s="1"/>
  <c r="EI411" i="45" s="1"/>
  <c r="EG407" i="45"/>
  <c r="ED411" i="45"/>
  <c r="ED7" i="45"/>
  <c r="EF446" i="45"/>
  <c r="EF447" i="45" s="1"/>
  <c r="EA18" i="45"/>
  <c r="EA449" i="45"/>
  <c r="EA452" i="45"/>
  <c r="EA441" i="45"/>
  <c r="EB441" i="45" s="1"/>
  <c r="EB436" i="45" s="1"/>
  <c r="EA442" i="45"/>
  <c r="EB442" i="45" s="1"/>
  <c r="EB437" i="45" s="1"/>
  <c r="EA412" i="45"/>
  <c r="EA439" i="45"/>
  <c r="EB439" i="45" s="1"/>
  <c r="EB434" i="45" s="1"/>
  <c r="EA440" i="45"/>
  <c r="EB440" i="45" s="1"/>
  <c r="EB435" i="45" s="1"/>
  <c r="DZ452" i="45"/>
  <c r="DZ88" i="45"/>
  <c r="DZ25" i="45"/>
  <c r="DV287" i="8"/>
  <c r="DW45" i="7"/>
  <c r="EJ404" i="45"/>
  <c r="EJ426" i="45"/>
  <c r="EL424" i="45"/>
  <c r="EL419" i="45" s="1"/>
  <c r="EM424" i="45"/>
  <c r="EA9" i="45"/>
  <c r="EA12" i="45"/>
  <c r="EC7" i="45"/>
  <c r="EC12" i="45" s="1"/>
  <c r="R52" i="9" s="1"/>
  <c r="DW42" i="7"/>
  <c r="P19" i="9"/>
  <c r="AI15" i="9" s="1"/>
  <c r="DW32" i="7"/>
  <c r="EG445" i="45"/>
  <c r="EI445" i="45" s="1"/>
  <c r="EI426" i="45"/>
  <c r="DZ185" i="7" l="1"/>
  <c r="DX186" i="7"/>
  <c r="DZ186" i="7" s="1"/>
  <c r="EH147" i="8"/>
  <c r="EF147" i="8"/>
  <c r="EE145" i="8"/>
  <c r="EC145" i="8"/>
  <c r="EC146" i="8"/>
  <c r="EE146" i="8"/>
  <c r="ED90" i="45"/>
  <c r="EE90" i="45" s="1"/>
  <c r="EB89" i="45"/>
  <c r="EE100" i="45"/>
  <c r="EB99" i="45"/>
  <c r="EB154" i="8" s="1"/>
  <c r="DX82" i="45"/>
  <c r="DX57" i="45"/>
  <c r="DX52" i="45"/>
  <c r="DY55" i="8"/>
  <c r="DY27" i="8"/>
  <c r="DY28" i="8" s="1"/>
  <c r="DY95" i="45"/>
  <c r="DY96" i="45" s="1"/>
  <c r="EL426" i="45"/>
  <c r="EJ445" i="45"/>
  <c r="EL445" i="45" s="1"/>
  <c r="EG411" i="45"/>
  <c r="EG7" i="45"/>
  <c r="DZ62" i="45"/>
  <c r="DZ453" i="45"/>
  <c r="DZ63" i="45" s="1"/>
  <c r="ED441" i="45"/>
  <c r="EE441" i="45" s="1"/>
  <c r="EE436" i="45" s="1"/>
  <c r="ED442" i="45"/>
  <c r="EE442" i="45" s="1"/>
  <c r="EE437" i="45" s="1"/>
  <c r="ED449" i="45"/>
  <c r="ED440" i="45"/>
  <c r="EE440" i="45" s="1"/>
  <c r="EE435" i="45" s="1"/>
  <c r="ED412" i="45"/>
  <c r="ED18" i="45"/>
  <c r="ED439" i="45"/>
  <c r="EE439" i="45" s="1"/>
  <c r="EE434" i="45" s="1"/>
  <c r="ED452" i="45"/>
  <c r="EI440" i="45"/>
  <c r="EI412" i="45"/>
  <c r="EI442" i="45"/>
  <c r="EI441" i="45"/>
  <c r="EI439" i="45"/>
  <c r="DZ455" i="45"/>
  <c r="DZ450" i="45"/>
  <c r="DW283" i="7"/>
  <c r="DW330" i="7"/>
  <c r="DV273" i="7"/>
  <c r="DV330" i="7" s="1"/>
  <c r="DW185" i="7"/>
  <c r="AH51" i="9"/>
  <c r="EI446" i="45"/>
  <c r="EI447" i="45" s="1"/>
  <c r="DZ14" i="45"/>
  <c r="DZ94" i="45"/>
  <c r="P27" i="9"/>
  <c r="P37" i="9"/>
  <c r="P22" i="9"/>
  <c r="P20" i="9"/>
  <c r="AH15" i="9"/>
  <c r="DX154" i="8"/>
  <c r="DX190" i="7" s="1"/>
  <c r="DX188" i="7" s="1"/>
  <c r="DZ99" i="45"/>
  <c r="DZ100" i="45" s="1"/>
  <c r="DV42" i="7"/>
  <c r="DW53" i="7"/>
  <c r="DW43" i="7" s="1"/>
  <c r="DV43" i="7" s="1"/>
  <c r="EL404" i="45"/>
  <c r="EL407" i="45" s="1"/>
  <c r="EL411" i="45" s="1"/>
  <c r="EJ407" i="45"/>
  <c r="EC452" i="45"/>
  <c r="EA62" i="45"/>
  <c r="EA66" i="45" s="1"/>
  <c r="EA67" i="45" s="1"/>
  <c r="DZ91" i="45"/>
  <c r="DZ92" i="45" s="1"/>
  <c r="EA29" i="45"/>
  <c r="EC449" i="45"/>
  <c r="EA455" i="45"/>
  <c r="EA450" i="45"/>
  <c r="EA20" i="45"/>
  <c r="EC18" i="45"/>
  <c r="EA23" i="45"/>
  <c r="DY169" i="7"/>
  <c r="DZ30" i="7"/>
  <c r="DX214" i="8"/>
  <c r="DX151" i="7"/>
  <c r="DX215" i="8"/>
  <c r="DX169" i="7"/>
  <c r="DX331" i="7"/>
  <c r="DX287" i="8"/>
  <c r="DX45" i="7" s="1"/>
  <c r="DX166" i="7"/>
  <c r="DV45" i="7"/>
  <c r="DY125" i="8" s="1"/>
  <c r="DZ125" i="8"/>
  <c r="DZ29" i="45"/>
  <c r="EA30" i="7"/>
  <c r="EC9" i="45"/>
  <c r="EA94" i="45"/>
  <c r="EA99" i="45"/>
  <c r="EA14" i="45"/>
  <c r="EP424" i="45"/>
  <c r="EM404" i="45"/>
  <c r="EM426" i="45"/>
  <c r="EO424" i="45"/>
  <c r="EO419" i="45" s="1"/>
  <c r="ED9" i="45"/>
  <c r="ED12" i="45"/>
  <c r="EF7" i="45"/>
  <c r="EF12" i="45" s="1"/>
  <c r="S52" i="9" s="1"/>
  <c r="EH146" i="8" l="1"/>
  <c r="EF146" i="8"/>
  <c r="DX204" i="7"/>
  <c r="DX212" i="7" s="1"/>
  <c r="DX218" i="7"/>
  <c r="EH145" i="8"/>
  <c r="EF145" i="8"/>
  <c r="EI147" i="8"/>
  <c r="EK147" i="8"/>
  <c r="DX53" i="7"/>
  <c r="DX43" i="7" s="1"/>
  <c r="DX84" i="45"/>
  <c r="DX83" i="45"/>
  <c r="DX95" i="45"/>
  <c r="DX96" i="45" s="1"/>
  <c r="EH100" i="45"/>
  <c r="EE99" i="45"/>
  <c r="EE154" i="8" s="1"/>
  <c r="EB27" i="8"/>
  <c r="EB55" i="8"/>
  <c r="EG90" i="45"/>
  <c r="EH90" i="45" s="1"/>
  <c r="EE89" i="45"/>
  <c r="EL446" i="45"/>
  <c r="EL447" i="45" s="1"/>
  <c r="DZ230" i="7"/>
  <c r="DY176" i="7"/>
  <c r="DZ238" i="7"/>
  <c r="DZ287" i="8"/>
  <c r="DZ31" i="7"/>
  <c r="DZ279" i="7"/>
  <c r="DZ151" i="7"/>
  <c r="DZ214" i="8"/>
  <c r="DY214" i="8" s="1"/>
  <c r="DZ331" i="7"/>
  <c r="DZ215" i="8"/>
  <c r="DY215" i="8" s="1"/>
  <c r="DZ166" i="7"/>
  <c r="ED62" i="45"/>
  <c r="ED66" i="45" s="1"/>
  <c r="ED67" i="45" s="1"/>
  <c r="EF452" i="45"/>
  <c r="DW186" i="7"/>
  <c r="DV186" i="7" s="1"/>
  <c r="DV185" i="7"/>
  <c r="DZ264" i="7"/>
  <c r="DZ66" i="45"/>
  <c r="DZ67" i="45" s="1"/>
  <c r="DX332" i="7"/>
  <c r="DX328" i="7"/>
  <c r="EJ411" i="45"/>
  <c r="EJ7" i="45"/>
  <c r="DX336" i="7"/>
  <c r="DX329" i="7"/>
  <c r="DX176" i="7"/>
  <c r="ED20" i="45"/>
  <c r="EF18" i="45"/>
  <c r="ED23" i="45"/>
  <c r="EG9" i="45"/>
  <c r="EG12" i="45"/>
  <c r="EI7" i="45"/>
  <c r="EI12" i="45" s="1"/>
  <c r="EM407" i="45"/>
  <c r="EO404" i="45"/>
  <c r="EO407" i="45" s="1"/>
  <c r="EO411" i="45" s="1"/>
  <c r="DZ70" i="45"/>
  <c r="EA125" i="8"/>
  <c r="DX330" i="7"/>
  <c r="EA33" i="7"/>
  <c r="EA32" i="7" s="1"/>
  <c r="EA70" i="45"/>
  <c r="EC70" i="45" s="1"/>
  <c r="EA72" i="45"/>
  <c r="EC72" i="45" s="1"/>
  <c r="EA89" i="45"/>
  <c r="EA88" i="45"/>
  <c r="EA25" i="45"/>
  <c r="EC62" i="45"/>
  <c r="EC453" i="45"/>
  <c r="EC63" i="45" s="1"/>
  <c r="DZ154" i="8"/>
  <c r="DZ45" i="45"/>
  <c r="DZ456" i="45"/>
  <c r="EG18" i="45"/>
  <c r="EG412" i="45"/>
  <c r="EG449" i="45"/>
  <c r="EG439" i="45"/>
  <c r="EH439" i="45" s="1"/>
  <c r="EH434" i="45" s="1"/>
  <c r="EG440" i="45"/>
  <c r="EH440" i="45" s="1"/>
  <c r="EH435" i="45" s="1"/>
  <c r="EG441" i="45"/>
  <c r="EH441" i="45" s="1"/>
  <c r="EH436" i="45" s="1"/>
  <c r="EG442" i="45"/>
  <c r="EH442" i="45" s="1"/>
  <c r="EH437" i="45" s="1"/>
  <c r="EG452" i="45"/>
  <c r="AJ8" i="9"/>
  <c r="DZ31" i="45"/>
  <c r="EA456" i="45"/>
  <c r="EA45" i="45"/>
  <c r="ER424" i="45"/>
  <c r="ER419" i="45" s="1"/>
  <c r="ES424" i="45"/>
  <c r="EP404" i="45"/>
  <c r="EP426" i="45"/>
  <c r="EL440" i="45"/>
  <c r="EL441" i="45"/>
  <c r="EL442" i="45"/>
  <c r="EL439" i="45"/>
  <c r="EL412" i="45"/>
  <c r="EA34" i="45"/>
  <c r="EA39" i="45"/>
  <c r="EA31" i="45"/>
  <c r="EC29" i="45"/>
  <c r="EB92" i="45"/>
  <c r="EB91" i="45" s="1"/>
  <c r="EA91" i="45"/>
  <c r="DZ72" i="45"/>
  <c r="DX76" i="45" s="1"/>
  <c r="ED30" i="7"/>
  <c r="ED14" i="45"/>
  <c r="EF9" i="45"/>
  <c r="ED94" i="45"/>
  <c r="ED99" i="45"/>
  <c r="DZ26" i="8"/>
  <c r="R51" i="9"/>
  <c r="EC23" i="45"/>
  <c r="EC20" i="45"/>
  <c r="AJ7" i="9"/>
  <c r="DZ33" i="7"/>
  <c r="EC94" i="45"/>
  <c r="EC14" i="45"/>
  <c r="EA279" i="7"/>
  <c r="EA273" i="7" s="1"/>
  <c r="EA238" i="7"/>
  <c r="EA234" i="7" s="1"/>
  <c r="EA169" i="7"/>
  <c r="EA287" i="8"/>
  <c r="EA45" i="7" s="1"/>
  <c r="EA31" i="7"/>
  <c r="EB169" i="7"/>
  <c r="EA214" i="8"/>
  <c r="EA264" i="7"/>
  <c r="EA263" i="7" s="1"/>
  <c r="EA166" i="7"/>
  <c r="EA151" i="7"/>
  <c r="EA215" i="8"/>
  <c r="EA331" i="7"/>
  <c r="EC30" i="7"/>
  <c r="EC264" i="7" s="1"/>
  <c r="EA230" i="7"/>
  <c r="EA229" i="7" s="1"/>
  <c r="DV283" i="7"/>
  <c r="DV565" i="7" s="1"/>
  <c r="DV566" i="7" s="1"/>
  <c r="DW565" i="7"/>
  <c r="DW566" i="7" s="1"/>
  <c r="DW300" i="7"/>
  <c r="EC455" i="45"/>
  <c r="EC450" i="45"/>
  <c r="EA154" i="8"/>
  <c r="EC99" i="45"/>
  <c r="EC100" i="45" s="1"/>
  <c r="DV53" i="7"/>
  <c r="EO426" i="45"/>
  <c r="EM445" i="45"/>
  <c r="EO445" i="45" s="1"/>
  <c r="Q53" i="9"/>
  <c r="Q54" i="9" s="1"/>
  <c r="DZ39" i="45"/>
  <c r="DZ34" i="45"/>
  <c r="DX335" i="7"/>
  <c r="DX327" i="7"/>
  <c r="DZ27" i="8"/>
  <c r="DZ89" i="45"/>
  <c r="ED450" i="45"/>
  <c r="ED455" i="45"/>
  <c r="EF449" i="45"/>
  <c r="ED29" i="45"/>
  <c r="EN147" i="8" l="1"/>
  <c r="EL147" i="8"/>
  <c r="EK145" i="8"/>
  <c r="EI145" i="8"/>
  <c r="EK146" i="8"/>
  <c r="EI146" i="8"/>
  <c r="EE27" i="8"/>
  <c r="EE55" i="8"/>
  <c r="EJ90" i="45"/>
  <c r="EK90" i="45" s="1"/>
  <c r="EH89" i="45"/>
  <c r="EK100" i="45"/>
  <c r="EH99" i="45"/>
  <c r="EH154" i="8" s="1"/>
  <c r="DZ190" i="7"/>
  <c r="EO446" i="45"/>
  <c r="EO447" i="45" s="1"/>
  <c r="EB264" i="7"/>
  <c r="EC263" i="7"/>
  <c r="EA41" i="45"/>
  <c r="EA36" i="45"/>
  <c r="EC31" i="45"/>
  <c r="EG23" i="45"/>
  <c r="EG20" i="45"/>
  <c r="EI18" i="45"/>
  <c r="ED33" i="7"/>
  <c r="ED25" i="45"/>
  <c r="ED89" i="45"/>
  <c r="ED70" i="45"/>
  <c r="EF70" i="45" s="1"/>
  <c r="ED72" i="45"/>
  <c r="EF72" i="45" s="1"/>
  <c r="ED88" i="45"/>
  <c r="EC456" i="45"/>
  <c r="EC45" i="45"/>
  <c r="EG62" i="45"/>
  <c r="EG66" i="45" s="1"/>
  <c r="EG67" i="45" s="1"/>
  <c r="EI452" i="45"/>
  <c r="EO439" i="45"/>
  <c r="EO440" i="45"/>
  <c r="EO441" i="45"/>
  <c r="EO442" i="45"/>
  <c r="EO412" i="45"/>
  <c r="DX565" i="7"/>
  <c r="DY287" i="8"/>
  <c r="DZ45" i="7"/>
  <c r="EM7" i="45"/>
  <c r="EM411" i="45"/>
  <c r="DY238" i="7"/>
  <c r="DZ234" i="7"/>
  <c r="Q25" i="9"/>
  <c r="DZ73" i="45"/>
  <c r="EF453" i="45"/>
  <c r="EF63" i="45" s="1"/>
  <c r="EF62" i="45"/>
  <c r="R53" i="9"/>
  <c r="R54" i="9" s="1"/>
  <c r="EC34" i="45"/>
  <c r="EC39" i="45"/>
  <c r="EC66" i="45"/>
  <c r="EC67" i="45" s="1"/>
  <c r="S51" i="9"/>
  <c r="EF23" i="45"/>
  <c r="EF20" i="45"/>
  <c r="DY279" i="7"/>
  <c r="DZ273" i="7"/>
  <c r="EA185" i="7" s="1"/>
  <c r="EC88" i="45"/>
  <c r="EC25" i="45"/>
  <c r="EA327" i="7"/>
  <c r="EF450" i="45"/>
  <c r="EF455" i="45"/>
  <c r="EF94" i="45"/>
  <c r="EF14" i="45"/>
  <c r="R24" i="9"/>
  <c r="EC71" i="45"/>
  <c r="Q24" i="9"/>
  <c r="DZ71" i="45"/>
  <c r="EL7" i="45"/>
  <c r="EL12" i="45" s="1"/>
  <c r="EJ9" i="45"/>
  <c r="EJ12" i="45"/>
  <c r="DY230" i="7"/>
  <c r="DZ229" i="7"/>
  <c r="DZ55" i="8"/>
  <c r="DZ66" i="7" s="1"/>
  <c r="DZ90" i="45"/>
  <c r="DZ47" i="45"/>
  <c r="EA283" i="7"/>
  <c r="EA329" i="7"/>
  <c r="ED154" i="8"/>
  <c r="EF99" i="45"/>
  <c r="EF100" i="45" s="1"/>
  <c r="EA47" i="45"/>
  <c r="EA50" i="45"/>
  <c r="EA55" i="45"/>
  <c r="DZ55" i="45"/>
  <c r="DZ50" i="45"/>
  <c r="R25" i="9"/>
  <c r="EC73" i="45"/>
  <c r="ED45" i="45"/>
  <c r="ED456" i="45"/>
  <c r="DV300" i="7"/>
  <c r="DV569" i="7" s="1"/>
  <c r="DV571" i="7" s="1"/>
  <c r="DV574" i="7" s="1"/>
  <c r="DW569" i="7"/>
  <c r="DW571" i="7" s="1"/>
  <c r="DW574" i="7" s="1"/>
  <c r="AH53" i="9"/>
  <c r="AH52" i="9" s="1"/>
  <c r="AH58" i="9" s="1"/>
  <c r="DW302" i="7"/>
  <c r="ED125" i="8"/>
  <c r="DZ32" i="7"/>
  <c r="Q19" i="9"/>
  <c r="Q20" i="9" s="1"/>
  <c r="EA26" i="8"/>
  <c r="EC91" i="45"/>
  <c r="EC92" i="45" s="1"/>
  <c r="EP445" i="45"/>
  <c r="ER445" i="45" s="1"/>
  <c r="ER426" i="45"/>
  <c r="Q21" i="9"/>
  <c r="DZ36" i="45"/>
  <c r="DZ41" i="45"/>
  <c r="DX155" i="8"/>
  <c r="DX294" i="8"/>
  <c r="EC33" i="7"/>
  <c r="EG30" i="7"/>
  <c r="EG14" i="45"/>
  <c r="EI9" i="45"/>
  <c r="EG94" i="45"/>
  <c r="EG99" i="45"/>
  <c r="EJ18" i="45"/>
  <c r="EJ439" i="45"/>
  <c r="EK439" i="45" s="1"/>
  <c r="EK434" i="45" s="1"/>
  <c r="EJ440" i="45"/>
  <c r="EK440" i="45" s="1"/>
  <c r="EK435" i="45" s="1"/>
  <c r="EJ441" i="45"/>
  <c r="EK441" i="45" s="1"/>
  <c r="EK436" i="45" s="1"/>
  <c r="EJ442" i="45"/>
  <c r="EK442" i="45" s="1"/>
  <c r="EK437" i="45" s="1"/>
  <c r="EJ452" i="45"/>
  <c r="EJ412" i="45"/>
  <c r="EJ449" i="45"/>
  <c r="DZ263" i="7"/>
  <c r="DY264" i="7"/>
  <c r="ES426" i="45"/>
  <c r="EU424" i="45"/>
  <c r="EU419" i="45" s="1"/>
  <c r="EV424" i="45"/>
  <c r="ES404" i="45"/>
  <c r="DX334" i="7"/>
  <c r="DX333" i="7"/>
  <c r="EA328" i="7"/>
  <c r="DZ58" i="7"/>
  <c r="DZ28" i="8"/>
  <c r="EA330" i="7"/>
  <c r="ED31" i="45"/>
  <c r="EF29" i="45"/>
  <c r="ED34" i="45"/>
  <c r="ED39" i="45"/>
  <c r="EA55" i="8"/>
  <c r="EA66" i="7" s="1"/>
  <c r="EA65" i="7" s="1"/>
  <c r="EA63" i="7" s="1"/>
  <c r="EA27" i="8"/>
  <c r="EC27" i="8" s="1"/>
  <c r="EC89" i="45"/>
  <c r="EA190" i="7"/>
  <c r="EA188" i="7" s="1"/>
  <c r="EC154" i="8"/>
  <c r="EC190" i="7" s="1"/>
  <c r="EC214" i="8"/>
  <c r="EB214" i="8" s="1"/>
  <c r="EB176" i="7"/>
  <c r="EC331" i="7"/>
  <c r="EC31" i="7"/>
  <c r="EC287" i="8"/>
  <c r="EC166" i="7"/>
  <c r="EC238" i="7"/>
  <c r="EC151" i="7"/>
  <c r="EC230" i="7"/>
  <c r="EC279" i="7"/>
  <c r="EC215" i="8"/>
  <c r="EB215" i="8" s="1"/>
  <c r="EA176" i="7"/>
  <c r="ED287" i="8"/>
  <c r="ED45" i="7" s="1"/>
  <c r="ED279" i="7"/>
  <c r="ED273" i="7" s="1"/>
  <c r="ED214" i="8"/>
  <c r="ED169" i="7"/>
  <c r="ED151" i="7"/>
  <c r="ED166" i="7"/>
  <c r="ED264" i="7"/>
  <c r="ED263" i="7" s="1"/>
  <c r="EF30" i="7"/>
  <c r="ED176" i="7" s="1"/>
  <c r="ED238" i="7"/>
  <c r="ED234" i="7" s="1"/>
  <c r="ED31" i="7"/>
  <c r="ED331" i="7"/>
  <c r="EE169" i="7"/>
  <c r="ED215" i="8"/>
  <c r="ED230" i="7"/>
  <c r="ED229" i="7" s="1"/>
  <c r="EB26" i="8"/>
  <c r="EB28" i="8" s="1"/>
  <c r="EB95" i="45"/>
  <c r="EB96" i="45" s="1"/>
  <c r="EP407" i="45"/>
  <c r="ER404" i="45"/>
  <c r="ER407" i="45" s="1"/>
  <c r="ER411" i="45" s="1"/>
  <c r="EG450" i="45"/>
  <c r="EG29" i="45"/>
  <c r="EI449" i="45"/>
  <c r="EG455" i="45"/>
  <c r="EN146" i="8" l="1"/>
  <c r="EL146" i="8"/>
  <c r="EN145" i="8"/>
  <c r="EL145" i="8"/>
  <c r="EO147" i="8"/>
  <c r="EQ147" i="8"/>
  <c r="DX44" i="8"/>
  <c r="DX46" i="8" s="1"/>
  <c r="DX49" i="8" s="1"/>
  <c r="DX42" i="8"/>
  <c r="DX45" i="8" s="1"/>
  <c r="EN100" i="45"/>
  <c r="EK99" i="45"/>
  <c r="EK154" i="8" s="1"/>
  <c r="EH55" i="8"/>
  <c r="EH27" i="8"/>
  <c r="EM90" i="45"/>
  <c r="EN90" i="45" s="1"/>
  <c r="EK89" i="45"/>
  <c r="AJ15" i="9"/>
  <c r="ER446" i="45"/>
  <c r="ER447" i="45" s="1"/>
  <c r="EF264" i="7"/>
  <c r="EE264" i="7" s="1"/>
  <c r="EG125" i="8"/>
  <c r="EB230" i="7"/>
  <c r="EC229" i="7"/>
  <c r="EC141" i="8" s="1"/>
  <c r="EV404" i="45"/>
  <c r="EV426" i="45"/>
  <c r="EX424" i="45"/>
  <c r="EX419" i="45" s="1"/>
  <c r="EY424" i="45"/>
  <c r="DZ329" i="7"/>
  <c r="EC336" i="7"/>
  <c r="DY263" i="7"/>
  <c r="EC143" i="8"/>
  <c r="EA143" i="8"/>
  <c r="EA336" i="7"/>
  <c r="DZ336" i="7"/>
  <c r="DZ283" i="7"/>
  <c r="DZ143" i="8"/>
  <c r="EJ20" i="45"/>
  <c r="EJ23" i="45"/>
  <c r="EL18" i="45"/>
  <c r="R19" i="9"/>
  <c r="EC32" i="7"/>
  <c r="DZ65" i="7"/>
  <c r="DY66" i="7"/>
  <c r="EF456" i="45"/>
  <c r="EF45" i="45"/>
  <c r="DY273" i="7"/>
  <c r="AI51" i="9"/>
  <c r="DZ330" i="7"/>
  <c r="EM9" i="45"/>
  <c r="EO7" i="45"/>
  <c r="EO12" i="45" s="1"/>
  <c r="EM12" i="45"/>
  <c r="EG33" i="7"/>
  <c r="EG25" i="45"/>
  <c r="EG88" i="45"/>
  <c r="EG89" i="45"/>
  <c r="EG70" i="45"/>
  <c r="EI70" i="45" s="1"/>
  <c r="EG72" i="45"/>
  <c r="EI72" i="45" s="1"/>
  <c r="DZ57" i="7"/>
  <c r="DY58" i="7"/>
  <c r="EJ29" i="45"/>
  <c r="EJ455" i="45"/>
  <c r="EJ450" i="45"/>
  <c r="EL449" i="45"/>
  <c r="EG154" i="8"/>
  <c r="EI99" i="45"/>
  <c r="EI100" i="45" s="1"/>
  <c r="ED190" i="7"/>
  <c r="ED188" i="7" s="1"/>
  <c r="EF154" i="8"/>
  <c r="EF190" i="7" s="1"/>
  <c r="Q23" i="9"/>
  <c r="Q26" i="9" s="1"/>
  <c r="DZ57" i="45"/>
  <c r="DZ52" i="45"/>
  <c r="EJ30" i="7"/>
  <c r="EJ14" i="45"/>
  <c r="EL9" i="45"/>
  <c r="EJ94" i="45"/>
  <c r="EJ99" i="45"/>
  <c r="S25" i="9"/>
  <c r="EF73" i="45"/>
  <c r="EG39" i="45"/>
  <c r="EG31" i="45"/>
  <c r="EI29" i="45"/>
  <c r="EG34" i="45"/>
  <c r="DW577" i="7"/>
  <c r="DW579" i="7"/>
  <c r="EB238" i="7"/>
  <c r="EC234" i="7"/>
  <c r="EC142" i="8" s="1"/>
  <c r="S53" i="9"/>
  <c r="S54" i="9" s="1"/>
  <c r="EF34" i="45"/>
  <c r="EF39" i="45"/>
  <c r="EU426" i="45"/>
  <c r="ES445" i="45"/>
  <c r="EU445" i="45" s="1"/>
  <c r="EE92" i="45"/>
  <c r="EE91" i="45" s="1"/>
  <c r="ED91" i="45"/>
  <c r="EF88" i="45"/>
  <c r="EF25" i="45"/>
  <c r="EF66" i="45"/>
  <c r="EF67" i="45" s="1"/>
  <c r="S24" i="9"/>
  <c r="EF71" i="45"/>
  <c r="ED283" i="7"/>
  <c r="ED329" i="7"/>
  <c r="EI450" i="45"/>
  <c r="EI455" i="45"/>
  <c r="ED327" i="7"/>
  <c r="EB190" i="7"/>
  <c r="EC188" i="7"/>
  <c r="ED36" i="45"/>
  <c r="ED41" i="45"/>
  <c r="EF31" i="45"/>
  <c r="DV577" i="7"/>
  <c r="DV579" i="7"/>
  <c r="EJ62" i="45"/>
  <c r="EJ66" i="45" s="1"/>
  <c r="EJ67" i="45" s="1"/>
  <c r="EL452" i="45"/>
  <c r="EI94" i="45"/>
  <c r="EI14" i="45"/>
  <c r="EA28" i="8"/>
  <c r="EC26" i="8"/>
  <c r="EA58" i="7"/>
  <c r="EA57" i="7" s="1"/>
  <c r="EA181" i="7" s="1"/>
  <c r="ED50" i="45"/>
  <c r="ED55" i="45"/>
  <c r="ED47" i="45"/>
  <c r="EA57" i="45"/>
  <c r="EA52" i="45"/>
  <c r="EC47" i="45"/>
  <c r="EA82" i="45"/>
  <c r="EA335" i="7"/>
  <c r="EA141" i="8"/>
  <c r="DZ141" i="8"/>
  <c r="DZ327" i="7"/>
  <c r="DY229" i="7"/>
  <c r="DZ335" i="7"/>
  <c r="AI38" i="9"/>
  <c r="EC125" i="8"/>
  <c r="DY45" i="7"/>
  <c r="EB125" i="8" s="1"/>
  <c r="ED55" i="8"/>
  <c r="ED66" i="7" s="1"/>
  <c r="ED65" i="7" s="1"/>
  <c r="ED63" i="7" s="1"/>
  <c r="ED27" i="8"/>
  <c r="EF27" i="8" s="1"/>
  <c r="EF89" i="45"/>
  <c r="R21" i="9"/>
  <c r="EC36" i="45"/>
  <c r="EC41" i="45"/>
  <c r="EA184" i="7"/>
  <c r="EI453" i="45"/>
  <c r="EI63" i="45" s="1"/>
  <c r="EI62" i="45"/>
  <c r="EG45" i="45"/>
  <c r="EG456" i="45"/>
  <c r="EA218" i="7"/>
  <c r="EA294" i="8"/>
  <c r="EA204" i="7"/>
  <c r="EC55" i="8"/>
  <c r="EC66" i="7" s="1"/>
  <c r="EC90" i="45"/>
  <c r="EG331" i="7"/>
  <c r="EG287" i="8"/>
  <c r="EG45" i="7" s="1"/>
  <c r="EG166" i="7"/>
  <c r="EG230" i="7"/>
  <c r="EG229" i="7" s="1"/>
  <c r="EG214" i="8"/>
  <c r="EH169" i="7"/>
  <c r="EG279" i="7"/>
  <c r="EG273" i="7" s="1"/>
  <c r="EG169" i="7"/>
  <c r="EG31" i="7"/>
  <c r="EG264" i="7"/>
  <c r="EG263" i="7" s="1"/>
  <c r="EG215" i="8"/>
  <c r="EG238" i="7"/>
  <c r="EG234" i="7" s="1"/>
  <c r="EG151" i="7"/>
  <c r="EI30" i="7"/>
  <c r="EI264" i="7" s="1"/>
  <c r="DY234" i="7"/>
  <c r="EA332" i="7"/>
  <c r="EA142" i="8"/>
  <c r="DZ142" i="8"/>
  <c r="DZ332" i="7"/>
  <c r="DZ328" i="7"/>
  <c r="AI39" i="9"/>
  <c r="EF33" i="7"/>
  <c r="ED32" i="7"/>
  <c r="ER412" i="45"/>
  <c r="ER439" i="45"/>
  <c r="ER440" i="45"/>
  <c r="ER441" i="45"/>
  <c r="ER442" i="45"/>
  <c r="EP411" i="45"/>
  <c r="EP7" i="45"/>
  <c r="DV302" i="7"/>
  <c r="DV319" i="7" s="1"/>
  <c r="DW319" i="7"/>
  <c r="EA565" i="7"/>
  <c r="EC55" i="45"/>
  <c r="EC50" i="45"/>
  <c r="ED336" i="7"/>
  <c r="ED143" i="8"/>
  <c r="EC329" i="7"/>
  <c r="EB263" i="7"/>
  <c r="EB287" i="8"/>
  <c r="EC45" i="7"/>
  <c r="ED328" i="7"/>
  <c r="EF287" i="8"/>
  <c r="EF151" i="7"/>
  <c r="EE176" i="7"/>
  <c r="EF215" i="8"/>
  <c r="EE215" i="8" s="1"/>
  <c r="EF31" i="7"/>
  <c r="EF331" i="7"/>
  <c r="EF230" i="7"/>
  <c r="EF279" i="7"/>
  <c r="EF238" i="7"/>
  <c r="EF166" i="7"/>
  <c r="EF214" i="8"/>
  <c r="EE214" i="8" s="1"/>
  <c r="ED330" i="7"/>
  <c r="EC273" i="7"/>
  <c r="ED185" i="7" s="1"/>
  <c r="EB279" i="7"/>
  <c r="EU404" i="45"/>
  <c r="EU407" i="45" s="1"/>
  <c r="EU411" i="45" s="1"/>
  <c r="ES407" i="45"/>
  <c r="Q22" i="9"/>
  <c r="DZ82" i="45"/>
  <c r="EM18" i="45"/>
  <c r="EM449" i="45"/>
  <c r="EM440" i="45"/>
  <c r="EN440" i="45" s="1"/>
  <c r="EN435" i="45" s="1"/>
  <c r="EM439" i="45"/>
  <c r="EN439" i="45" s="1"/>
  <c r="EN434" i="45" s="1"/>
  <c r="EM441" i="45"/>
  <c r="EN441" i="45" s="1"/>
  <c r="EN436" i="45" s="1"/>
  <c r="EM442" i="45"/>
  <c r="EN442" i="45" s="1"/>
  <c r="EN437" i="45" s="1"/>
  <c r="EM452" i="45"/>
  <c r="EM412" i="45"/>
  <c r="EI23" i="45"/>
  <c r="EI20" i="45"/>
  <c r="ET147" i="8" l="1"/>
  <c r="ER147" i="8"/>
  <c r="EQ145" i="8"/>
  <c r="EO145" i="8"/>
  <c r="EQ146" i="8"/>
  <c r="EO146" i="8"/>
  <c r="EF263" i="7"/>
  <c r="EG143" i="8" s="1"/>
  <c r="EK27" i="8"/>
  <c r="EK55" i="8"/>
  <c r="EP90" i="45"/>
  <c r="EQ90" i="45" s="1"/>
  <c r="EN89" i="45"/>
  <c r="EP100" i="45"/>
  <c r="EQ100" i="45" s="1"/>
  <c r="EN99" i="45"/>
  <c r="EN154" i="8" s="1"/>
  <c r="DY330" i="7"/>
  <c r="DY184" i="7"/>
  <c r="DZ184" i="7" s="1"/>
  <c r="AI23" i="9" s="1"/>
  <c r="EC332" i="7"/>
  <c r="EC334" i="7" s="1"/>
  <c r="ED184" i="7"/>
  <c r="EG176" i="7"/>
  <c r="EC335" i="7"/>
  <c r="EC283" i="7"/>
  <c r="EC565" i="7" s="1"/>
  <c r="EU446" i="45"/>
  <c r="EU447" i="45" s="1"/>
  <c r="EA155" i="8"/>
  <c r="R22" i="9"/>
  <c r="EC65" i="7"/>
  <c r="EB66" i="7"/>
  <c r="EL94" i="45"/>
  <c r="EL14" i="45"/>
  <c r="EI73" i="45"/>
  <c r="DZ565" i="7"/>
  <c r="DY283" i="7"/>
  <c r="DY565" i="7" s="1"/>
  <c r="EY404" i="45"/>
  <c r="EY426" i="45"/>
  <c r="FA424" i="45"/>
  <c r="FA419" i="45" s="1"/>
  <c r="EG328" i="7"/>
  <c r="EG327" i="7"/>
  <c r="EH264" i="7"/>
  <c r="EI263" i="7"/>
  <c r="EF55" i="8"/>
  <c r="EF66" i="7" s="1"/>
  <c r="EF90" i="45"/>
  <c r="EG190" i="7"/>
  <c r="EG188" i="7" s="1"/>
  <c r="EI154" i="8"/>
  <c r="EI190" i="7" s="1"/>
  <c r="EI71" i="45"/>
  <c r="EM30" i="7"/>
  <c r="EM14" i="45"/>
  <c r="EM94" i="45"/>
  <c r="EM99" i="45"/>
  <c r="EO9" i="45"/>
  <c r="R20" i="9"/>
  <c r="AK15" i="9"/>
  <c r="EU441" i="45"/>
  <c r="EU439" i="45"/>
  <c r="EU412" i="45"/>
  <c r="EU442" i="45"/>
  <c r="EU440" i="45"/>
  <c r="EA73" i="7"/>
  <c r="EA83" i="45"/>
  <c r="EA84" i="45"/>
  <c r="EA95" i="45"/>
  <c r="EA96" i="45" s="1"/>
  <c r="EC82" i="45"/>
  <c r="EC28" i="8"/>
  <c r="EC58" i="7"/>
  <c r="S21" i="9"/>
  <c r="EF36" i="45"/>
  <c r="EF41" i="45"/>
  <c r="EI34" i="45"/>
  <c r="EI39" i="45"/>
  <c r="EJ151" i="7"/>
  <c r="EJ264" i="7"/>
  <c r="EJ263" i="7" s="1"/>
  <c r="EJ169" i="7"/>
  <c r="EJ214" i="8"/>
  <c r="EJ238" i="7"/>
  <c r="EJ234" i="7" s="1"/>
  <c r="EJ287" i="8"/>
  <c r="EJ45" i="7" s="1"/>
  <c r="EJ215" i="8"/>
  <c r="EK169" i="7"/>
  <c r="EJ31" i="7"/>
  <c r="EJ331" i="7"/>
  <c r="EL30" i="7"/>
  <c r="EL264" i="7" s="1"/>
  <c r="EJ279" i="7"/>
  <c r="EJ273" i="7" s="1"/>
  <c r="EJ230" i="7"/>
  <c r="EJ229" i="7" s="1"/>
  <c r="EJ166" i="7"/>
  <c r="EL455" i="45"/>
  <c r="EL450" i="45"/>
  <c r="EG27" i="8"/>
  <c r="EI27" i="8" s="1"/>
  <c r="EG55" i="8"/>
  <c r="EG66" i="7" s="1"/>
  <c r="EG65" i="7" s="1"/>
  <c r="EG63" i="7" s="1"/>
  <c r="EI89" i="45"/>
  <c r="EV445" i="45"/>
  <c r="EX445" i="45" s="1"/>
  <c r="EX426" i="45"/>
  <c r="EM29" i="45"/>
  <c r="EO449" i="45"/>
  <c r="EM455" i="45"/>
  <c r="EM450" i="45"/>
  <c r="EM20" i="45"/>
  <c r="EM23" i="45"/>
  <c r="EO18" i="45"/>
  <c r="EA334" i="7"/>
  <c r="EA333" i="7"/>
  <c r="EG283" i="7"/>
  <c r="EG329" i="7"/>
  <c r="DY327" i="7"/>
  <c r="DY335" i="7"/>
  <c r="DY141" i="8"/>
  <c r="R23" i="9"/>
  <c r="R26" i="9" s="1"/>
  <c r="EC52" i="45"/>
  <c r="EC57" i="45"/>
  <c r="EI456" i="45"/>
  <c r="EI45" i="45"/>
  <c r="ED26" i="8"/>
  <c r="EF91" i="45"/>
  <c r="EF92" i="45" s="1"/>
  <c r="EG36" i="45"/>
  <c r="EI31" i="45"/>
  <c r="EG41" i="45"/>
  <c r="EL20" i="45"/>
  <c r="EL23" i="45"/>
  <c r="EX404" i="45"/>
  <c r="EX407" i="45" s="1"/>
  <c r="EX411" i="45" s="1"/>
  <c r="EV407" i="45"/>
  <c r="EE238" i="7"/>
  <c r="EF234" i="7"/>
  <c r="EF332" i="7" s="1"/>
  <c r="EE287" i="8"/>
  <c r="EF45" i="7"/>
  <c r="DZ73" i="7"/>
  <c r="DX177" i="7" s="1"/>
  <c r="DZ84" i="45"/>
  <c r="DZ83" i="45"/>
  <c r="DZ95" i="45"/>
  <c r="DZ96" i="45" s="1"/>
  <c r="EE230" i="7"/>
  <c r="EF229" i="7"/>
  <c r="EF141" i="8" s="1"/>
  <c r="EB273" i="7"/>
  <c r="EB330" i="7" s="1"/>
  <c r="EC185" i="7"/>
  <c r="EB185" i="7" s="1"/>
  <c r="AJ51" i="9"/>
  <c r="EC330" i="7"/>
  <c r="EP9" i="45"/>
  <c r="EP12" i="45"/>
  <c r="ER7" i="45"/>
  <c r="ER12" i="45" s="1"/>
  <c r="EF32" i="7"/>
  <c r="S19" i="9"/>
  <c r="S20" i="9" s="1"/>
  <c r="EJ125" i="8"/>
  <c r="EE26" i="8"/>
  <c r="EE28" i="8" s="1"/>
  <c r="EE95" i="45"/>
  <c r="EE96" i="45" s="1"/>
  <c r="EJ456" i="45"/>
  <c r="EJ45" i="45"/>
  <c r="EF50" i="45"/>
  <c r="EF55" i="45"/>
  <c r="EC184" i="7"/>
  <c r="EB229" i="7"/>
  <c r="AJ38" i="9"/>
  <c r="ED335" i="7"/>
  <c r="EC327" i="7"/>
  <c r="ED141" i="8"/>
  <c r="EB45" i="7"/>
  <c r="EE125" i="8" s="1"/>
  <c r="EF125" i="8"/>
  <c r="EF273" i="7"/>
  <c r="EE279" i="7"/>
  <c r="DX568" i="7"/>
  <c r="AJ26" i="9"/>
  <c r="EB188" i="7"/>
  <c r="EC218" i="7"/>
  <c r="EB218" i="7" s="1"/>
  <c r="EC204" i="7"/>
  <c r="EC294" i="8"/>
  <c r="EC328" i="7"/>
  <c r="ED332" i="7"/>
  <c r="ED142" i="8"/>
  <c r="AJ39" i="9"/>
  <c r="EB234" i="7"/>
  <c r="Q37" i="9"/>
  <c r="AI19" i="9"/>
  <c r="Q27" i="9"/>
  <c r="EJ34" i="45"/>
  <c r="EJ39" i="45"/>
  <c r="EJ31" i="45"/>
  <c r="EL29" i="45"/>
  <c r="EG32" i="7"/>
  <c r="EI33" i="7"/>
  <c r="EJ33" i="7"/>
  <c r="EJ25" i="45"/>
  <c r="EJ88" i="45"/>
  <c r="EJ89" i="45"/>
  <c r="EJ70" i="45"/>
  <c r="EL70" i="45" s="1"/>
  <c r="EJ72" i="45"/>
  <c r="EL72" i="45" s="1"/>
  <c r="DY329" i="7"/>
  <c r="DY143" i="8"/>
  <c r="DY336" i="7"/>
  <c r="ES7" i="45"/>
  <c r="ES411" i="45"/>
  <c r="EB329" i="7"/>
  <c r="EB143" i="8"/>
  <c r="EB336" i="7"/>
  <c r="EO452" i="45"/>
  <c r="EM62" i="45"/>
  <c r="EM66" i="45" s="1"/>
  <c r="EM67" i="45" s="1"/>
  <c r="DX162" i="7"/>
  <c r="DX173" i="7"/>
  <c r="DX155" i="7"/>
  <c r="DX325" i="7"/>
  <c r="AJ9" i="9"/>
  <c r="EG330" i="7"/>
  <c r="EG50" i="45"/>
  <c r="EG55" i="45"/>
  <c r="EG47" i="45"/>
  <c r="EI66" i="45"/>
  <c r="EI67" i="45" s="1"/>
  <c r="ED57" i="45"/>
  <c r="ED82" i="45"/>
  <c r="ED52" i="45"/>
  <c r="EF47" i="45"/>
  <c r="EL453" i="45"/>
  <c r="EL63" i="45" s="1"/>
  <c r="EL62" i="45"/>
  <c r="ED565" i="7"/>
  <c r="EJ154" i="8"/>
  <c r="EL99" i="45"/>
  <c r="EL100" i="45" s="1"/>
  <c r="EF188" i="7"/>
  <c r="EE190" i="7"/>
  <c r="EI25" i="45"/>
  <c r="EI88" i="45"/>
  <c r="DZ334" i="7"/>
  <c r="DZ333" i="7"/>
  <c r="EP449" i="45"/>
  <c r="EP452" i="45"/>
  <c r="EP439" i="45"/>
  <c r="EQ439" i="45" s="1"/>
  <c r="EQ434" i="45" s="1"/>
  <c r="EP440" i="45"/>
  <c r="EQ440" i="45" s="1"/>
  <c r="EQ435" i="45" s="1"/>
  <c r="EP441" i="45"/>
  <c r="EQ441" i="45" s="1"/>
  <c r="EQ436" i="45" s="1"/>
  <c r="EP442" i="45"/>
  <c r="EQ442" i="45" s="1"/>
  <c r="EQ437" i="45" s="1"/>
  <c r="EP18" i="45"/>
  <c r="EP412" i="45"/>
  <c r="DY328" i="7"/>
  <c r="DY142" i="8"/>
  <c r="DY332" i="7"/>
  <c r="EI215" i="8"/>
  <c r="EH215" i="8" s="1"/>
  <c r="EI214" i="8"/>
  <c r="EH214" i="8" s="1"/>
  <c r="EI331" i="7"/>
  <c r="EI238" i="7"/>
  <c r="EI230" i="7"/>
  <c r="EH176" i="7"/>
  <c r="EI287" i="8"/>
  <c r="EI151" i="7"/>
  <c r="EI279" i="7"/>
  <c r="EI31" i="7"/>
  <c r="EI166" i="7"/>
  <c r="ED204" i="7"/>
  <c r="ED294" i="8"/>
  <c r="ED218" i="7"/>
  <c r="DY57" i="7"/>
  <c r="DY65" i="7"/>
  <c r="DZ63" i="7"/>
  <c r="DY63" i="7" s="1"/>
  <c r="EI143" i="8" l="1"/>
  <c r="EF329" i="7"/>
  <c r="EE263" i="7"/>
  <c r="EE329" i="7" s="1"/>
  <c r="EG336" i="7"/>
  <c r="EF143" i="8"/>
  <c r="EF336" i="7"/>
  <c r="ET146" i="8"/>
  <c r="ER146" i="8"/>
  <c r="ET145" i="8"/>
  <c r="EW145" i="8" s="1"/>
  <c r="ER145" i="8"/>
  <c r="EF283" i="7"/>
  <c r="EF565" i="7" s="1"/>
  <c r="EU147" i="8"/>
  <c r="EW147" i="8"/>
  <c r="EC333" i="7"/>
  <c r="ES100" i="45"/>
  <c r="ET100" i="45" s="1"/>
  <c r="EQ99" i="45"/>
  <c r="EQ154" i="8" s="1"/>
  <c r="EN55" i="8"/>
  <c r="EN27" i="8"/>
  <c r="ES90" i="45"/>
  <c r="ET90" i="45" s="1"/>
  <c r="EQ89" i="45"/>
  <c r="DY181" i="7"/>
  <c r="DZ181" i="7" s="1"/>
  <c r="EB283" i="7"/>
  <c r="EB565" i="7" s="1"/>
  <c r="EJ176" i="7"/>
  <c r="EG184" i="7"/>
  <c r="EF142" i="8"/>
  <c r="EI336" i="7"/>
  <c r="EG185" i="7"/>
  <c r="EO62" i="45"/>
  <c r="EO453" i="45"/>
  <c r="EO63" i="45" s="1"/>
  <c r="EX412" i="45"/>
  <c r="EX439" i="45"/>
  <c r="EX440" i="45"/>
  <c r="EX441" i="45"/>
  <c r="EX442" i="45"/>
  <c r="ED58" i="7"/>
  <c r="ED57" i="7" s="1"/>
  <c r="ED28" i="8"/>
  <c r="EF26" i="8"/>
  <c r="EI50" i="45"/>
  <c r="EI55" i="45"/>
  <c r="EM33" i="7"/>
  <c r="EM70" i="45"/>
  <c r="EO70" i="45" s="1"/>
  <c r="EM72" i="45"/>
  <c r="EO72" i="45" s="1"/>
  <c r="EM25" i="45"/>
  <c r="EM88" i="45"/>
  <c r="EM89" i="45"/>
  <c r="EJ329" i="7"/>
  <c r="EJ283" i="7"/>
  <c r="S22" i="9"/>
  <c r="EL263" i="7"/>
  <c r="EL336" i="7" s="1"/>
  <c r="EK264" i="7"/>
  <c r="FA426" i="45"/>
  <c r="EY445" i="45"/>
  <c r="FA445" i="45" s="1"/>
  <c r="EV7" i="45"/>
  <c r="EV411" i="45"/>
  <c r="EI41" i="45"/>
  <c r="EI36" i="45"/>
  <c r="EL73" i="45"/>
  <c r="EF334" i="7"/>
  <c r="EF333" i="7"/>
  <c r="EB204" i="7"/>
  <c r="AJ28" i="9"/>
  <c r="AJ27" i="9" s="1"/>
  <c r="EJ47" i="45"/>
  <c r="EJ50" i="45"/>
  <c r="EJ55" i="45"/>
  <c r="EG565" i="7"/>
  <c r="EL45" i="45"/>
  <c r="EL456" i="45"/>
  <c r="EB58" i="7"/>
  <c r="EC57" i="7"/>
  <c r="EI188" i="7"/>
  <c r="EH190" i="7"/>
  <c r="EY407" i="45"/>
  <c r="FA404" i="45"/>
  <c r="FA407" i="45" s="1"/>
  <c r="FA411" i="45" s="1"/>
  <c r="EB65" i="7"/>
  <c r="EC63" i="7"/>
  <c r="EB63" i="7" s="1"/>
  <c r="EH279" i="7"/>
  <c r="EI273" i="7"/>
  <c r="EJ185" i="7" s="1"/>
  <c r="EL71" i="45"/>
  <c r="EL39" i="45"/>
  <c r="EL34" i="45"/>
  <c r="AK51" i="9"/>
  <c r="EF185" i="7"/>
  <c r="EE185" i="7" s="1"/>
  <c r="EF330" i="7"/>
  <c r="EE273" i="7"/>
  <c r="EE330" i="7" s="1"/>
  <c r="DZ4" i="8"/>
  <c r="DZ10" i="8" s="1"/>
  <c r="DZ162" i="7"/>
  <c r="DZ155" i="7"/>
  <c r="DZ69" i="7"/>
  <c r="DZ74" i="7"/>
  <c r="DY73" i="7"/>
  <c r="EL25" i="45"/>
  <c r="EL88" i="45"/>
  <c r="EO14" i="45"/>
  <c r="EO94" i="45"/>
  <c r="EG294" i="8"/>
  <c r="EG218" i="7"/>
  <c r="EG204" i="7"/>
  <c r="EP62" i="45"/>
  <c r="EP66" i="45" s="1"/>
  <c r="EP67" i="45" s="1"/>
  <c r="ER452" i="45"/>
  <c r="EF218" i="7"/>
  <c r="EE218" i="7" s="1"/>
  <c r="AK26" i="9"/>
  <c r="EE188" i="7"/>
  <c r="EF204" i="7"/>
  <c r="EF294" i="8"/>
  <c r="EL66" i="45"/>
  <c r="EL67" i="45" s="1"/>
  <c r="EG82" i="45"/>
  <c r="EG52" i="45"/>
  <c r="EG57" i="45"/>
  <c r="EI47" i="45"/>
  <c r="ES18" i="45"/>
  <c r="ES439" i="45"/>
  <c r="ET439" i="45" s="1"/>
  <c r="ET434" i="45" s="1"/>
  <c r="ES440" i="45"/>
  <c r="ET440" i="45" s="1"/>
  <c r="ET435" i="45" s="1"/>
  <c r="ES442" i="45"/>
  <c r="ET442" i="45" s="1"/>
  <c r="ET437" i="45" s="1"/>
  <c r="ES449" i="45"/>
  <c r="ES412" i="45"/>
  <c r="ES441" i="45"/>
  <c r="ET441" i="45" s="1"/>
  <c r="ET436" i="45" s="1"/>
  <c r="ES452" i="45"/>
  <c r="EJ55" i="8"/>
  <c r="EJ66" i="7" s="1"/>
  <c r="EJ65" i="7" s="1"/>
  <c r="EJ63" i="7" s="1"/>
  <c r="EJ27" i="8"/>
  <c r="EL27" i="8" s="1"/>
  <c r="EL89" i="45"/>
  <c r="EJ41" i="45"/>
  <c r="EL31" i="45"/>
  <c r="EJ36" i="45"/>
  <c r="ED334" i="7"/>
  <c r="ED333" i="7"/>
  <c r="EB294" i="8"/>
  <c r="EB327" i="7"/>
  <c r="EB141" i="8"/>
  <c r="EB335" i="7"/>
  <c r="EE45" i="7"/>
  <c r="EH125" i="8" s="1"/>
  <c r="EI125" i="8"/>
  <c r="EM456" i="45"/>
  <c r="EM45" i="45"/>
  <c r="EJ327" i="7"/>
  <c r="EM125" i="8"/>
  <c r="EC73" i="7"/>
  <c r="EA177" i="7" s="1"/>
  <c r="EC83" i="45"/>
  <c r="EC84" i="45"/>
  <c r="EC95" i="45"/>
  <c r="EC96" i="45" s="1"/>
  <c r="EM154" i="8"/>
  <c r="EO99" i="45"/>
  <c r="EO100" i="45" s="1"/>
  <c r="EH287" i="8"/>
  <c r="EI45" i="7"/>
  <c r="EH230" i="7"/>
  <c r="EI229" i="7"/>
  <c r="EI141" i="8" s="1"/>
  <c r="EP450" i="45"/>
  <c r="ER449" i="45"/>
  <c r="EP455" i="45"/>
  <c r="EP29" i="45"/>
  <c r="AJ16" i="9"/>
  <c r="AJ12" i="9"/>
  <c r="ES9" i="45"/>
  <c r="ES12" i="45"/>
  <c r="EU7" i="45"/>
  <c r="EU12" i="45" s="1"/>
  <c r="AJ23" i="9"/>
  <c r="EB184" i="7"/>
  <c r="EP30" i="7"/>
  <c r="EP14" i="45"/>
  <c r="EP94" i="45"/>
  <c r="EP99" i="45"/>
  <c r="ER9" i="45"/>
  <c r="AJ19" i="9"/>
  <c r="R37" i="9"/>
  <c r="R27" i="9"/>
  <c r="EO455" i="45"/>
  <c r="EO450" i="45"/>
  <c r="EX446" i="45"/>
  <c r="EX447" i="45" s="1"/>
  <c r="EJ330" i="7"/>
  <c r="EJ328" i="7"/>
  <c r="EE66" i="7"/>
  <c r="EF65" i="7"/>
  <c r="EG91" i="45"/>
  <c r="EH92" i="45"/>
  <c r="EH91" i="45" s="1"/>
  <c r="EA155" i="7"/>
  <c r="EA4" i="8"/>
  <c r="EA10" i="8" s="1"/>
  <c r="EA74" i="7"/>
  <c r="EA69" i="7"/>
  <c r="EA179" i="7"/>
  <c r="EA162" i="7"/>
  <c r="DY334" i="7"/>
  <c r="DY333" i="7"/>
  <c r="EI234" i="7"/>
  <c r="EH238" i="7"/>
  <c r="EJ190" i="7"/>
  <c r="EJ188" i="7" s="1"/>
  <c r="EL154" i="8"/>
  <c r="EL190" i="7" s="1"/>
  <c r="S23" i="9"/>
  <c r="S26" i="9" s="1"/>
  <c r="EF52" i="45"/>
  <c r="EF57" i="45"/>
  <c r="DX154" i="7"/>
  <c r="DX161" i="7"/>
  <c r="DX172" i="7"/>
  <c r="EG141" i="8"/>
  <c r="EG335" i="7"/>
  <c r="EE229" i="7"/>
  <c r="EF184" i="7"/>
  <c r="AK38" i="9"/>
  <c r="EF327" i="7"/>
  <c r="AK39" i="9"/>
  <c r="EF328" i="7"/>
  <c r="EG332" i="7"/>
  <c r="EG142" i="8"/>
  <c r="EE234" i="7"/>
  <c r="EM34" i="45"/>
  <c r="EM39" i="45"/>
  <c r="EM31" i="45"/>
  <c r="EO29" i="45"/>
  <c r="EI55" i="8"/>
  <c r="EI66" i="7" s="1"/>
  <c r="EI90" i="45"/>
  <c r="EL238" i="7"/>
  <c r="EL215" i="8"/>
  <c r="EK215" i="8" s="1"/>
  <c r="EL151" i="7"/>
  <c r="EL31" i="7"/>
  <c r="EL279" i="7"/>
  <c r="EL287" i="8"/>
  <c r="EL230" i="7"/>
  <c r="EK176" i="7"/>
  <c r="EL214" i="8"/>
  <c r="EK214" i="8" s="1"/>
  <c r="EL331" i="7"/>
  <c r="EL166" i="7"/>
  <c r="EI329" i="7"/>
  <c r="EJ336" i="7"/>
  <c r="EJ143" i="8"/>
  <c r="EH263" i="7"/>
  <c r="ED73" i="7"/>
  <c r="ED95" i="45"/>
  <c r="ED96" i="45" s="1"/>
  <c r="ED83" i="45"/>
  <c r="ED84" i="45"/>
  <c r="EF82" i="45"/>
  <c r="EI32" i="7"/>
  <c r="EP20" i="45"/>
  <c r="ER18" i="45"/>
  <c r="EP23" i="45"/>
  <c r="EL33" i="7"/>
  <c r="EJ32" i="7"/>
  <c r="EB328" i="7"/>
  <c r="EB142" i="8"/>
  <c r="EB332" i="7"/>
  <c r="EF335" i="7"/>
  <c r="EO23" i="45"/>
  <c r="EO20" i="45"/>
  <c r="EM331" i="7"/>
  <c r="EM264" i="7"/>
  <c r="EM263" i="7" s="1"/>
  <c r="EM238" i="7"/>
  <c r="EM234" i="7" s="1"/>
  <c r="EM230" i="7"/>
  <c r="EM229" i="7" s="1"/>
  <c r="EM166" i="7"/>
  <c r="EM151" i="7"/>
  <c r="EO30" i="7"/>
  <c r="EO264" i="7" s="1"/>
  <c r="EM31" i="7"/>
  <c r="EN169" i="7"/>
  <c r="EM215" i="8"/>
  <c r="EM279" i="7"/>
  <c r="EM273" i="7" s="1"/>
  <c r="EM169" i="7"/>
  <c r="EM214" i="8"/>
  <c r="EM287" i="8"/>
  <c r="EM45" i="7" s="1"/>
  <c r="EX145" i="8" l="1"/>
  <c r="EZ145" i="8"/>
  <c r="FA145" i="8" s="1"/>
  <c r="EE336" i="7"/>
  <c r="EE143" i="8"/>
  <c r="EE283" i="7"/>
  <c r="EE565" i="7" s="1"/>
  <c r="EZ147" i="8"/>
  <c r="FA147" i="8" s="1"/>
  <c r="EX147" i="8"/>
  <c r="EU145" i="8"/>
  <c r="EU146" i="8"/>
  <c r="EW146" i="8"/>
  <c r="EQ55" i="8"/>
  <c r="EQ27" i="8"/>
  <c r="EV90" i="45"/>
  <c r="EW90" i="45" s="1"/>
  <c r="ET89" i="45"/>
  <c r="EV100" i="45"/>
  <c r="EW100" i="45" s="1"/>
  <c r="ET99" i="45"/>
  <c r="ET154" i="8" s="1"/>
  <c r="EA173" i="7"/>
  <c r="DY179" i="7"/>
  <c r="EL143" i="8"/>
  <c r="EI283" i="7"/>
  <c r="EH283" i="7" s="1"/>
  <c r="EH565" i="7" s="1"/>
  <c r="EI335" i="7"/>
  <c r="FA446" i="45"/>
  <c r="FA447" i="45" s="1"/>
  <c r="EM176" i="7"/>
  <c r="EN264" i="7"/>
  <c r="EO263" i="7"/>
  <c r="EO143" i="8" s="1"/>
  <c r="EG334" i="7"/>
  <c r="EG333" i="7"/>
  <c r="EG73" i="7"/>
  <c r="EI82" i="45"/>
  <c r="EG95" i="45"/>
  <c r="EG96" i="45" s="1"/>
  <c r="EG83" i="45"/>
  <c r="EG84" i="45"/>
  <c r="EM143" i="8"/>
  <c r="EL329" i="7"/>
  <c r="EK263" i="7"/>
  <c r="EM336" i="7"/>
  <c r="EJ565" i="7"/>
  <c r="EO71" i="45"/>
  <c r="EO66" i="45"/>
  <c r="EO67" i="45" s="1"/>
  <c r="EE327" i="7"/>
  <c r="EE335" i="7"/>
  <c r="EE141" i="8"/>
  <c r="EH234" i="7"/>
  <c r="EJ142" i="8"/>
  <c r="EI328" i="7"/>
  <c r="EJ332" i="7"/>
  <c r="EH26" i="8"/>
  <c r="EH28" i="8" s="1"/>
  <c r="EH95" i="45"/>
  <c r="EH96" i="45" s="1"/>
  <c r="EP31" i="7"/>
  <c r="EP166" i="7"/>
  <c r="EP264" i="7"/>
  <c r="EP263" i="7" s="1"/>
  <c r="EP214" i="8"/>
  <c r="EP215" i="8"/>
  <c r="EP279" i="7"/>
  <c r="EP273" i="7" s="1"/>
  <c r="EQ169" i="7"/>
  <c r="EP331" i="7"/>
  <c r="EP238" i="7"/>
  <c r="EP234" i="7" s="1"/>
  <c r="EP287" i="8"/>
  <c r="EP45" i="7" s="1"/>
  <c r="EP169" i="7"/>
  <c r="EP230" i="7"/>
  <c r="EP229" i="7" s="1"/>
  <c r="ER30" i="7"/>
  <c r="ER264" i="7" s="1"/>
  <c r="EP151" i="7"/>
  <c r="ES30" i="7"/>
  <c r="ES14" i="45"/>
  <c r="ES94" i="45"/>
  <c r="ES99" i="45"/>
  <c r="EU9" i="45"/>
  <c r="EM32" i="7"/>
  <c r="EO33" i="7"/>
  <c r="EK230" i="7"/>
  <c r="EL229" i="7"/>
  <c r="EL335" i="7" s="1"/>
  <c r="EH66" i="7"/>
  <c r="EI65" i="7"/>
  <c r="EI142" i="8"/>
  <c r="AI20" i="9"/>
  <c r="EG26" i="8"/>
  <c r="EI91" i="45"/>
  <c r="EI92" i="45" s="1"/>
  <c r="EJ92" i="45" s="1"/>
  <c r="EO456" i="45"/>
  <c r="EO45" i="45"/>
  <c r="EJ184" i="7"/>
  <c r="EL36" i="45"/>
  <c r="EL41" i="45"/>
  <c r="ES450" i="45"/>
  <c r="EU449" i="45"/>
  <c r="ES455" i="45"/>
  <c r="ES29" i="45"/>
  <c r="FA441" i="45"/>
  <c r="FA439" i="45"/>
  <c r="FA440" i="45"/>
  <c r="FA442" i="45"/>
  <c r="FA412" i="45"/>
  <c r="EL55" i="45"/>
  <c r="EL50" i="45"/>
  <c r="EP125" i="8"/>
  <c r="EM330" i="7"/>
  <c r="EM327" i="7"/>
  <c r="EF73" i="7"/>
  <c r="ED177" i="7" s="1"/>
  <c r="EF83" i="45"/>
  <c r="EF95" i="45"/>
  <c r="EF96" i="45" s="1"/>
  <c r="EF84" i="45"/>
  <c r="EA70" i="7"/>
  <c r="EA154" i="7"/>
  <c r="EA61" i="7"/>
  <c r="EA161" i="7"/>
  <c r="EJ335" i="7"/>
  <c r="EJ141" i="8"/>
  <c r="EI184" i="7"/>
  <c r="EH229" i="7"/>
  <c r="EI327" i="7"/>
  <c r="EM47" i="45"/>
  <c r="EM50" i="45"/>
  <c r="EM55" i="45"/>
  <c r="ER453" i="45"/>
  <c r="ER63" i="45" s="1"/>
  <c r="ER62" i="45"/>
  <c r="EY7" i="45"/>
  <c r="EY411" i="45"/>
  <c r="EV18" i="45"/>
  <c r="EV452" i="45"/>
  <c r="EV441" i="45"/>
  <c r="EW441" i="45" s="1"/>
  <c r="EW436" i="45" s="1"/>
  <c r="EV442" i="45"/>
  <c r="EW442" i="45" s="1"/>
  <c r="EW437" i="45" s="1"/>
  <c r="EV412" i="45"/>
  <c r="EV439" i="45"/>
  <c r="EW439" i="45" s="1"/>
  <c r="EW434" i="45" s="1"/>
  <c r="EV440" i="45"/>
  <c r="EW440" i="45" s="1"/>
  <c r="EW435" i="45" s="1"/>
  <c r="EV449" i="45"/>
  <c r="EK287" i="8"/>
  <c r="EL45" i="7"/>
  <c r="EO34" i="45"/>
  <c r="EO39" i="45"/>
  <c r="EM328" i="7"/>
  <c r="EB333" i="7"/>
  <c r="EB334" i="7"/>
  <c r="ER23" i="45"/>
  <c r="ER20" i="45"/>
  <c r="EK279" i="7"/>
  <c r="EL273" i="7"/>
  <c r="EM41" i="45"/>
  <c r="EM36" i="45"/>
  <c r="EO31" i="45"/>
  <c r="EI332" i="7"/>
  <c r="EF63" i="7"/>
  <c r="EE63" i="7" s="1"/>
  <c r="EE65" i="7"/>
  <c r="EM190" i="7"/>
  <c r="EM188" i="7" s="1"/>
  <c r="EO154" i="8"/>
  <c r="EO190" i="7" s="1"/>
  <c r="EC162" i="7"/>
  <c r="EC155" i="7"/>
  <c r="EC4" i="8"/>
  <c r="EC10" i="8" s="1"/>
  <c r="EC74" i="7"/>
  <c r="EB73" i="7"/>
  <c r="EC179" i="7"/>
  <c r="EC69" i="7"/>
  <c r="EL55" i="8"/>
  <c r="EL66" i="7" s="1"/>
  <c r="EL90" i="45"/>
  <c r="EE204" i="7"/>
  <c r="AK28" i="9"/>
  <c r="AK27" i="9" s="1"/>
  <c r="DZ61" i="7"/>
  <c r="DZ154" i="7"/>
  <c r="DZ161" i="7"/>
  <c r="DY69" i="7"/>
  <c r="EA172" i="7" s="1"/>
  <c r="DZ70" i="7"/>
  <c r="EX7" i="45"/>
  <c r="EX12" i="45" s="1"/>
  <c r="EV9" i="45"/>
  <c r="EV12" i="45"/>
  <c r="EM27" i="8"/>
  <c r="EO27" i="8" s="1"/>
  <c r="EM55" i="8"/>
  <c r="EM66" i="7" s="1"/>
  <c r="EM65" i="7" s="1"/>
  <c r="EM63" i="7" s="1"/>
  <c r="EO89" i="45"/>
  <c r="EF28" i="8"/>
  <c r="EF58" i="7"/>
  <c r="EK238" i="7"/>
  <c r="EL234" i="7"/>
  <c r="EO88" i="45"/>
  <c r="EO25" i="45"/>
  <c r="EP33" i="7"/>
  <c r="EP25" i="45"/>
  <c r="EP89" i="45"/>
  <c r="EP70" i="45"/>
  <c r="ER70" i="45" s="1"/>
  <c r="EP72" i="45"/>
  <c r="ER72" i="45" s="1"/>
  <c r="EP88" i="45"/>
  <c r="S37" i="9"/>
  <c r="AK19" i="9"/>
  <c r="S27" i="9"/>
  <c r="EH45" i="7"/>
  <c r="EK125" i="8" s="1"/>
  <c r="EL125" i="8"/>
  <c r="EI52" i="45"/>
  <c r="EI57" i="45"/>
  <c r="EE294" i="8"/>
  <c r="EH188" i="7"/>
  <c r="EI294" i="8"/>
  <c r="EI218" i="7"/>
  <c r="EH218" i="7" s="1"/>
  <c r="EI204" i="7"/>
  <c r="EH204" i="7" s="1"/>
  <c r="EE184" i="7"/>
  <c r="AK23" i="9"/>
  <c r="ER14" i="45"/>
  <c r="ER94" i="45"/>
  <c r="EP31" i="45"/>
  <c r="EP34" i="45"/>
  <c r="EP39" i="45"/>
  <c r="ER29" i="45"/>
  <c r="EM283" i="7"/>
  <c r="EM329" i="7"/>
  <c r="EE328" i="7"/>
  <c r="EE332" i="7"/>
  <c r="EE142" i="8"/>
  <c r="EL188" i="7"/>
  <c r="EK190" i="7"/>
  <c r="EP154" i="8"/>
  <c r="ER99" i="45"/>
  <c r="ER100" i="45" s="1"/>
  <c r="EP45" i="45"/>
  <c r="EP456" i="45"/>
  <c r="EU18" i="45"/>
  <c r="ES20" i="45"/>
  <c r="ES23" i="45"/>
  <c r="EI185" i="7"/>
  <c r="EH185" i="7" s="1"/>
  <c r="EH273" i="7"/>
  <c r="EH330" i="7" s="1"/>
  <c r="EI330" i="7"/>
  <c r="ED181" i="7"/>
  <c r="ED155" i="8"/>
  <c r="EH329" i="7"/>
  <c r="EH143" i="8"/>
  <c r="EH336" i="7"/>
  <c r="EL32" i="7"/>
  <c r="EO331" i="7"/>
  <c r="EO279" i="7"/>
  <c r="EO166" i="7"/>
  <c r="EO151" i="7"/>
  <c r="EN176" i="7"/>
  <c r="EO214" i="8"/>
  <c r="EN214" i="8" s="1"/>
  <c r="EO31" i="7"/>
  <c r="EO287" i="8"/>
  <c r="EO238" i="7"/>
  <c r="EO230" i="7"/>
  <c r="EO215" i="8"/>
  <c r="EN215" i="8" s="1"/>
  <c r="ED179" i="7"/>
  <c r="ED69" i="7"/>
  <c r="ED4" i="8"/>
  <c r="ED10" i="8" s="1"/>
  <c r="ED162" i="7"/>
  <c r="ED155" i="7"/>
  <c r="ED74" i="7"/>
  <c r="DX160" i="7"/>
  <c r="DX171" i="7"/>
  <c r="DX153" i="7"/>
  <c r="DX552" i="7"/>
  <c r="EJ218" i="7"/>
  <c r="EJ294" i="8"/>
  <c r="EJ204" i="7"/>
  <c r="ER450" i="45"/>
  <c r="ER455" i="45"/>
  <c r="ES62" i="45"/>
  <c r="ES66" i="45" s="1"/>
  <c r="ES67" i="45" s="1"/>
  <c r="EU452" i="45"/>
  <c r="DY173" i="7"/>
  <c r="DY4" i="8"/>
  <c r="DY10" i="8" s="1"/>
  <c r="AK9" i="9"/>
  <c r="DY162" i="7"/>
  <c r="DY177" i="7"/>
  <c r="DY74" i="7"/>
  <c r="DY155" i="7"/>
  <c r="DX553" i="7"/>
  <c r="DX20" i="7"/>
  <c r="AB91" i="57"/>
  <c r="EB57" i="7"/>
  <c r="EB155" i="8" s="1"/>
  <c r="EC181" i="7"/>
  <c r="EC155" i="8"/>
  <c r="EJ52" i="45"/>
  <c r="EJ82" i="45"/>
  <c r="EL47" i="45"/>
  <c r="EJ57" i="45"/>
  <c r="EO73" i="45"/>
  <c r="EZ146" i="8" l="1"/>
  <c r="FA146" i="8" s="1"/>
  <c r="EX146" i="8"/>
  <c r="AB93" i="57"/>
  <c r="AB92" i="57"/>
  <c r="EI565" i="7"/>
  <c r="EY100" i="45"/>
  <c r="EZ100" i="45" s="1"/>
  <c r="EZ99" i="45" s="1"/>
  <c r="EZ154" i="8" s="1"/>
  <c r="EW99" i="45"/>
  <c r="EW154" i="8" s="1"/>
  <c r="ET55" i="8"/>
  <c r="ET27" i="8"/>
  <c r="EY90" i="45"/>
  <c r="EZ90" i="45" s="1"/>
  <c r="EZ89" i="45" s="1"/>
  <c r="EW89" i="45"/>
  <c r="DZ179" i="7"/>
  <c r="EM184" i="7"/>
  <c r="EO336" i="7"/>
  <c r="ER263" i="7"/>
  <c r="ER336" i="7" s="1"/>
  <c r="EQ264" i="7"/>
  <c r="ER154" i="8"/>
  <c r="ER190" i="7" s="1"/>
  <c r="EP190" i="7"/>
  <c r="EP188" i="7" s="1"/>
  <c r="ER33" i="7"/>
  <c r="EP32" i="7"/>
  <c r="EF57" i="7"/>
  <c r="EE58" i="7"/>
  <c r="EB155" i="7"/>
  <c r="EB162" i="7"/>
  <c r="EB173" i="7"/>
  <c r="EB4" i="8"/>
  <c r="EB10" i="8" s="1"/>
  <c r="EB74" i="7"/>
  <c r="EB177" i="7"/>
  <c r="EN190" i="7"/>
  <c r="EO188" i="7"/>
  <c r="EK273" i="7"/>
  <c r="EK330" i="7" s="1"/>
  <c r="EL185" i="7"/>
  <c r="EK185" i="7" s="1"/>
  <c r="EL330" i="7"/>
  <c r="ES154" i="8"/>
  <c r="EU99" i="45"/>
  <c r="EU100" i="45" s="1"/>
  <c r="ES125" i="8"/>
  <c r="EP329" i="7"/>
  <c r="EP283" i="7"/>
  <c r="EJ334" i="7"/>
  <c r="EJ333" i="7"/>
  <c r="DY154" i="7"/>
  <c r="DY161" i="7"/>
  <c r="DY172" i="7"/>
  <c r="DY70" i="7"/>
  <c r="EM204" i="7"/>
  <c r="EM294" i="8"/>
  <c r="EM218" i="7"/>
  <c r="EM57" i="45"/>
  <c r="EM52" i="45"/>
  <c r="EO47" i="45"/>
  <c r="EM82" i="45"/>
  <c r="EP328" i="7"/>
  <c r="EK329" i="7"/>
  <c r="EK336" i="7"/>
  <c r="EK143" i="8"/>
  <c r="AJ20" i="9"/>
  <c r="EB181" i="7"/>
  <c r="EO55" i="8"/>
  <c r="EO66" i="7" s="1"/>
  <c r="EO90" i="45"/>
  <c r="EK66" i="7"/>
  <c r="EL65" i="7"/>
  <c r="ER25" i="45"/>
  <c r="ER88" i="45"/>
  <c r="EV62" i="45"/>
  <c r="EV66" i="45" s="1"/>
  <c r="EV67" i="45" s="1"/>
  <c r="EX452" i="45"/>
  <c r="EA160" i="7"/>
  <c r="EA55" i="7"/>
  <c r="EA552" i="7"/>
  <c r="EA153" i="7"/>
  <c r="EA62" i="7"/>
  <c r="EM185" i="7"/>
  <c r="ES39" i="45"/>
  <c r="ES31" i="45"/>
  <c r="EU29" i="45"/>
  <c r="ES34" i="45"/>
  <c r="EO32" i="7"/>
  <c r="EO273" i="7"/>
  <c r="EP185" i="7" s="1"/>
  <c r="EN279" i="7"/>
  <c r="EV20" i="45"/>
  <c r="EV23" i="45"/>
  <c r="EX18" i="45"/>
  <c r="EH327" i="7"/>
  <c r="EH141" i="8"/>
  <c r="EH335" i="7"/>
  <c r="ES45" i="45"/>
  <c r="ES456" i="45"/>
  <c r="EI63" i="7"/>
  <c r="EH63" i="7" s="1"/>
  <c r="EH65" i="7"/>
  <c r="ES287" i="8"/>
  <c r="ES45" i="7" s="1"/>
  <c r="ES230" i="7"/>
  <c r="ES229" i="7" s="1"/>
  <c r="ES264" i="7"/>
  <c r="ES263" i="7" s="1"/>
  <c r="ES214" i="8"/>
  <c r="ES169" i="7"/>
  <c r="ES215" i="8"/>
  <c r="ES31" i="7"/>
  <c r="ES166" i="7"/>
  <c r="ES331" i="7"/>
  <c r="EU30" i="7"/>
  <c r="EU264" i="7" s="1"/>
  <c r="ET169" i="7"/>
  <c r="ES238" i="7"/>
  <c r="ES234" i="7" s="1"/>
  <c r="ES279" i="7"/>
  <c r="ES273" i="7" s="1"/>
  <c r="ES151" i="7"/>
  <c r="EL142" i="8"/>
  <c r="ER73" i="45"/>
  <c r="EY18" i="45"/>
  <c r="EY449" i="45"/>
  <c r="EY452" i="45"/>
  <c r="EY412" i="45"/>
  <c r="EY440" i="45"/>
  <c r="EZ440" i="45" s="1"/>
  <c r="EZ435" i="45" s="1"/>
  <c r="EY439" i="45"/>
  <c r="EZ439" i="45" s="1"/>
  <c r="EZ434" i="45" s="1"/>
  <c r="EY441" i="45"/>
  <c r="EZ441" i="45" s="1"/>
  <c r="EZ436" i="45" s="1"/>
  <c r="EY442" i="45"/>
  <c r="EZ442" i="45" s="1"/>
  <c r="EZ437" i="45" s="1"/>
  <c r="EF155" i="7"/>
  <c r="EF179" i="7"/>
  <c r="EF162" i="7"/>
  <c r="EF74" i="7"/>
  <c r="EF69" i="7"/>
  <c r="EF4" i="8"/>
  <c r="EF10" i="8" s="1"/>
  <c r="EE73" i="7"/>
  <c r="EG173" i="7" s="1"/>
  <c r="EU450" i="45"/>
  <c r="EU455" i="45"/>
  <c r="EO55" i="45"/>
  <c r="EO50" i="45"/>
  <c r="EP330" i="7"/>
  <c r="EH328" i="7"/>
  <c r="EH332" i="7"/>
  <c r="EH142" i="8"/>
  <c r="EK188" i="7"/>
  <c r="EL218" i="7"/>
  <c r="EK218" i="7" s="1"/>
  <c r="EL204" i="7"/>
  <c r="EK204" i="7" s="1"/>
  <c r="EL294" i="8"/>
  <c r="EO229" i="7"/>
  <c r="EO141" i="8" s="1"/>
  <c r="EN230" i="7"/>
  <c r="EU20" i="45"/>
  <c r="EU23" i="45"/>
  <c r="EU62" i="45"/>
  <c r="EU453" i="45"/>
  <c r="EU63" i="45" s="1"/>
  <c r="DZ552" i="7"/>
  <c r="DY61" i="7"/>
  <c r="DZ153" i="7"/>
  <c r="DZ55" i="7"/>
  <c r="DZ62" i="7"/>
  <c r="DZ160" i="7"/>
  <c r="EI334" i="7"/>
  <c r="EI333" i="7"/>
  <c r="EV29" i="45"/>
  <c r="EV455" i="45"/>
  <c r="EV450" i="45"/>
  <c r="EX449" i="45"/>
  <c r="EP36" i="45"/>
  <c r="EP41" i="45"/>
  <c r="ER31" i="45"/>
  <c r="ER215" i="8"/>
  <c r="EQ215" i="8" s="1"/>
  <c r="EQ176" i="7"/>
  <c r="ER331" i="7"/>
  <c r="ER238" i="7"/>
  <c r="ER287" i="8"/>
  <c r="ER230" i="7"/>
  <c r="ER31" i="7"/>
  <c r="ER279" i="7"/>
  <c r="ER214" i="8"/>
  <c r="EQ214" i="8" s="1"/>
  <c r="ER166" i="7"/>
  <c r="ER151" i="7"/>
  <c r="EL332" i="7"/>
  <c r="EL283" i="7"/>
  <c r="ES33" i="7"/>
  <c r="ES25" i="45"/>
  <c r="ES88" i="45"/>
  <c r="ES70" i="45"/>
  <c r="EU70" i="45" s="1"/>
  <c r="ES72" i="45"/>
  <c r="EU72" i="45" s="1"/>
  <c r="ES89" i="45"/>
  <c r="ED154" i="7"/>
  <c r="ED70" i="7"/>
  <c r="ED61" i="7"/>
  <c r="ED161" i="7"/>
  <c r="ER456" i="45"/>
  <c r="ER45" i="45"/>
  <c r="EH184" i="7"/>
  <c r="DX554" i="7"/>
  <c r="DX170" i="7"/>
  <c r="DX159" i="7"/>
  <c r="DX152" i="7"/>
  <c r="EO45" i="7"/>
  <c r="EN287" i="8"/>
  <c r="ER71" i="45"/>
  <c r="EC154" i="7"/>
  <c r="EC70" i="7"/>
  <c r="EB69" i="7"/>
  <c r="ED172" i="7" s="1"/>
  <c r="EC161" i="7"/>
  <c r="EC61" i="7"/>
  <c r="EO36" i="45"/>
  <c r="EO41" i="45"/>
  <c r="EO125" i="8"/>
  <c r="EK45" i="7"/>
  <c r="EN125" i="8" s="1"/>
  <c r="EY9" i="45"/>
  <c r="FA7" i="45"/>
  <c r="FA12" i="45" s="1"/>
  <c r="EY12" i="45"/>
  <c r="EM141" i="8"/>
  <c r="EL327" i="7"/>
  <c r="EM335" i="7"/>
  <c r="EL184" i="7"/>
  <c r="EK229" i="7"/>
  <c r="AK16" i="9"/>
  <c r="AK12" i="9"/>
  <c r="EP55" i="8"/>
  <c r="EP66" i="7" s="1"/>
  <c r="EP65" i="7" s="1"/>
  <c r="EP63" i="7" s="1"/>
  <c r="EP27" i="8"/>
  <c r="ER27" i="8" s="1"/>
  <c r="ER89" i="45"/>
  <c r="EV30" i="7"/>
  <c r="EV14" i="45"/>
  <c r="EV99" i="45"/>
  <c r="EV94" i="45"/>
  <c r="EX9" i="45"/>
  <c r="EK92" i="45"/>
  <c r="EK91" i="45" s="1"/>
  <c r="EJ91" i="45"/>
  <c r="EJ95" i="45" s="1"/>
  <c r="EJ96" i="45" s="1"/>
  <c r="EP327" i="7"/>
  <c r="EI73" i="7"/>
  <c r="EG177" i="7" s="1"/>
  <c r="EI95" i="45"/>
  <c r="EI96" i="45" s="1"/>
  <c r="EI83" i="45"/>
  <c r="EI84" i="45"/>
  <c r="EP143" i="8"/>
  <c r="EN263" i="7"/>
  <c r="EO329" i="7"/>
  <c r="EP336" i="7"/>
  <c r="ER34" i="45"/>
  <c r="ER39" i="45"/>
  <c r="EO234" i="7"/>
  <c r="EO142" i="8" s="1"/>
  <c r="EN238" i="7"/>
  <c r="EE333" i="7"/>
  <c r="EE334" i="7"/>
  <c r="ER66" i="45"/>
  <c r="ER67" i="45" s="1"/>
  <c r="EL57" i="45"/>
  <c r="EL52" i="45"/>
  <c r="EH294" i="8"/>
  <c r="EM332" i="7"/>
  <c r="EM142" i="8"/>
  <c r="EK234" i="7"/>
  <c r="EL328" i="7"/>
  <c r="EJ73" i="7"/>
  <c r="EJ84" i="45"/>
  <c r="EL82" i="45"/>
  <c r="EJ83" i="45"/>
  <c r="EP50" i="45"/>
  <c r="EP55" i="45"/>
  <c r="EP47" i="45"/>
  <c r="ED173" i="7"/>
  <c r="EM565" i="7"/>
  <c r="EB179" i="7"/>
  <c r="EL141" i="8"/>
  <c r="EG28" i="8"/>
  <c r="EI26" i="8"/>
  <c r="EG58" i="7"/>
  <c r="EG57" i="7" s="1"/>
  <c r="EU14" i="45"/>
  <c r="EU94" i="45"/>
  <c r="EP176" i="7"/>
  <c r="EG69" i="7"/>
  <c r="EG155" i="7"/>
  <c r="EG4" i="8"/>
  <c r="EG10" i="8" s="1"/>
  <c r="EG74" i="7"/>
  <c r="EG162" i="7"/>
  <c r="EG179" i="7"/>
  <c r="AE92" i="57" l="1"/>
  <c r="AC91" i="57"/>
  <c r="AD91" i="57" s="1"/>
  <c r="AD92" i="57" s="1"/>
  <c r="EW27" i="8"/>
  <c r="EW55" i="8"/>
  <c r="EZ55" i="8"/>
  <c r="EZ27" i="8"/>
  <c r="EO283" i="7"/>
  <c r="EO565" i="7" s="1"/>
  <c r="ER143" i="8"/>
  <c r="EO335" i="7"/>
  <c r="ER45" i="7"/>
  <c r="EQ287" i="8"/>
  <c r="EX455" i="45"/>
  <c r="EX450" i="45"/>
  <c r="DZ56" i="7"/>
  <c r="DY55" i="7"/>
  <c r="EA170" i="7" s="1"/>
  <c r="DZ152" i="7"/>
  <c r="DZ159" i="7"/>
  <c r="ES328" i="7"/>
  <c r="EV33" i="7"/>
  <c r="EV25" i="45"/>
  <c r="EV88" i="45"/>
  <c r="EV89" i="45"/>
  <c r="EV70" i="45"/>
  <c r="EX70" i="45" s="1"/>
  <c r="EV72" i="45"/>
  <c r="EX72" i="45" s="1"/>
  <c r="EU39" i="45"/>
  <c r="EU34" i="45"/>
  <c r="EO57" i="45"/>
  <c r="EO52" i="45"/>
  <c r="ER32" i="7"/>
  <c r="EI58" i="7"/>
  <c r="EI28" i="8"/>
  <c r="EO332" i="7"/>
  <c r="EV151" i="7"/>
  <c r="EV331" i="7"/>
  <c r="EW169" i="7"/>
  <c r="EV230" i="7"/>
  <c r="EV229" i="7" s="1"/>
  <c r="EV214" i="8"/>
  <c r="EV264" i="7"/>
  <c r="EV263" i="7" s="1"/>
  <c r="EV238" i="7"/>
  <c r="EV234" i="7" s="1"/>
  <c r="EV169" i="7"/>
  <c r="EV166" i="7"/>
  <c r="EV287" i="8"/>
  <c r="EV45" i="7" s="1"/>
  <c r="EV31" i="7"/>
  <c r="EV215" i="8"/>
  <c r="EX30" i="7"/>
  <c r="EX264" i="7" s="1"/>
  <c r="EV279" i="7"/>
  <c r="EV273" i="7" s="1"/>
  <c r="EL334" i="7"/>
  <c r="EL333" i="7"/>
  <c r="EK294" i="8"/>
  <c r="EE179" i="7"/>
  <c r="ES329" i="7"/>
  <c r="ES283" i="7"/>
  <c r="ES50" i="45"/>
  <c r="ES55" i="45"/>
  <c r="ES47" i="45"/>
  <c r="ES36" i="45"/>
  <c r="ES41" i="45"/>
  <c r="EU31" i="45"/>
  <c r="EA152" i="7"/>
  <c r="EA159" i="7"/>
  <c r="EA56" i="7"/>
  <c r="EG181" i="7"/>
  <c r="EG155" i="8"/>
  <c r="EP57" i="45"/>
  <c r="EP82" i="45"/>
  <c r="ER47" i="45"/>
  <c r="EP52" i="45"/>
  <c r="EU263" i="7"/>
  <c r="EU143" i="8" s="1"/>
  <c r="ET264" i="7"/>
  <c r="ER55" i="8"/>
  <c r="ER66" i="7" s="1"/>
  <c r="ER90" i="45"/>
  <c r="EK327" i="7"/>
  <c r="EK335" i="7"/>
  <c r="EK141" i="8"/>
  <c r="EC160" i="7"/>
  <c r="EB61" i="7"/>
  <c r="ED171" i="7" s="1"/>
  <c r="EC55" i="7"/>
  <c r="EC62" i="7"/>
  <c r="EC153" i="7"/>
  <c r="EC552" i="7"/>
  <c r="ER125" i="8"/>
  <c r="EN45" i="7"/>
  <c r="EQ125" i="8" s="1"/>
  <c r="ES27" i="8"/>
  <c r="EU27" i="8" s="1"/>
  <c r="ES55" i="8"/>
  <c r="ES66" i="7" s="1"/>
  <c r="ES65" i="7" s="1"/>
  <c r="ES63" i="7" s="1"/>
  <c r="EU89" i="45"/>
  <c r="EK283" i="7"/>
  <c r="EK565" i="7" s="1"/>
  <c r="EL565" i="7"/>
  <c r="ER234" i="7"/>
  <c r="ER142" i="8" s="1"/>
  <c r="EQ238" i="7"/>
  <c r="EV45" i="45"/>
  <c r="EV456" i="45"/>
  <c r="DY62" i="7"/>
  <c r="DY160" i="7"/>
  <c r="DY552" i="7"/>
  <c r="DY171" i="7"/>
  <c r="DY153" i="7"/>
  <c r="EN229" i="7"/>
  <c r="EP141" i="8"/>
  <c r="EO327" i="7"/>
  <c r="EP335" i="7"/>
  <c r="EO184" i="7"/>
  <c r="EE4" i="8"/>
  <c r="EE10" i="8" s="1"/>
  <c r="EE74" i="7"/>
  <c r="EE155" i="7"/>
  <c r="EE177" i="7"/>
  <c r="EE162" i="7"/>
  <c r="EE173" i="7"/>
  <c r="EU214" i="8"/>
  <c r="ET214" i="8" s="1"/>
  <c r="EU230" i="7"/>
  <c r="EU215" i="8"/>
  <c r="ET215" i="8" s="1"/>
  <c r="EU166" i="7"/>
  <c r="EU151" i="7"/>
  <c r="EU331" i="7"/>
  <c r="ET176" i="7"/>
  <c r="EU238" i="7"/>
  <c r="EU279" i="7"/>
  <c r="EU31" i="7"/>
  <c r="EU287" i="8"/>
  <c r="ES327" i="7"/>
  <c r="EA171" i="7"/>
  <c r="EL63" i="7"/>
  <c r="EK63" i="7" s="1"/>
  <c r="EK65" i="7"/>
  <c r="EO204" i="7"/>
  <c r="EN204" i="7" s="1"/>
  <c r="EN188" i="7"/>
  <c r="EO294" i="8"/>
  <c r="EO218" i="7"/>
  <c r="EN218" i="7" s="1"/>
  <c r="EP204" i="7"/>
  <c r="EP218" i="7"/>
  <c r="EP294" i="8"/>
  <c r="EM334" i="7"/>
  <c r="EM333" i="7"/>
  <c r="EU73" i="45"/>
  <c r="EH333" i="7"/>
  <c r="EH334" i="7"/>
  <c r="FA452" i="45"/>
  <c r="EY62" i="45"/>
  <c r="EY66" i="45" s="1"/>
  <c r="EY67" i="45" s="1"/>
  <c r="EV125" i="8"/>
  <c r="ES190" i="7"/>
  <c r="ES188" i="7" s="1"/>
  <c r="EU154" i="8"/>
  <c r="EU190" i="7" s="1"/>
  <c r="ER188" i="7"/>
  <c r="EQ190" i="7"/>
  <c r="EJ26" i="8"/>
  <c r="EL91" i="45"/>
  <c r="EL92" i="45" s="1"/>
  <c r="EM92" i="45" s="1"/>
  <c r="ER50" i="45"/>
  <c r="ER55" i="45"/>
  <c r="EV34" i="45"/>
  <c r="EV39" i="45"/>
  <c r="EX29" i="45"/>
  <c r="EV31" i="45"/>
  <c r="EK26" i="8"/>
  <c r="EK28" i="8" s="1"/>
  <c r="EK95" i="45"/>
  <c r="EK96" i="45" s="1"/>
  <c r="EY30" i="7"/>
  <c r="FA9" i="45"/>
  <c r="EY94" i="45"/>
  <c r="EY99" i="45"/>
  <c r="EY14" i="45"/>
  <c r="EB154" i="7"/>
  <c r="EB161" i="7"/>
  <c r="EB172" i="7"/>
  <c r="EB70" i="7"/>
  <c r="EU71" i="45"/>
  <c r="ER36" i="45"/>
  <c r="ER41" i="45"/>
  <c r="EF61" i="7"/>
  <c r="EE69" i="7"/>
  <c r="EG172" i="7" s="1"/>
  <c r="EF154" i="7"/>
  <c r="EF70" i="7"/>
  <c r="EF161" i="7"/>
  <c r="EY29" i="45"/>
  <c r="FA449" i="45"/>
  <c r="EY455" i="45"/>
  <c r="EY450" i="45"/>
  <c r="ES176" i="7"/>
  <c r="EX62" i="45"/>
  <c r="EX453" i="45"/>
  <c r="EX63" i="45" s="1"/>
  <c r="EP565" i="7"/>
  <c r="EP332" i="7"/>
  <c r="EO328" i="7"/>
  <c r="EN234" i="7"/>
  <c r="EP142" i="8"/>
  <c r="EK184" i="7"/>
  <c r="EG154" i="7"/>
  <c r="EG161" i="7"/>
  <c r="EG70" i="7"/>
  <c r="EG61" i="7"/>
  <c r="EJ4" i="8"/>
  <c r="EJ10" i="8" s="1"/>
  <c r="EJ155" i="7"/>
  <c r="EJ69" i="7"/>
  <c r="EJ179" i="7"/>
  <c r="EJ74" i="7"/>
  <c r="EJ162" i="7"/>
  <c r="EI74" i="7"/>
  <c r="EI69" i="7"/>
  <c r="EH73" i="7"/>
  <c r="EI179" i="7"/>
  <c r="EI162" i="7"/>
  <c r="EI155" i="7"/>
  <c r="EI4" i="8"/>
  <c r="EI10" i="8" s="1"/>
  <c r="EX14" i="45"/>
  <c r="EX94" i="45"/>
  <c r="EQ279" i="7"/>
  <c r="ER273" i="7"/>
  <c r="ES185" i="7" s="1"/>
  <c r="EU66" i="45"/>
  <c r="EU67" i="45" s="1"/>
  <c r="EY20" i="45"/>
  <c r="EY23" i="45"/>
  <c r="FA18" i="45"/>
  <c r="EO65" i="7"/>
  <c r="EN66" i="7"/>
  <c r="EN329" i="7"/>
  <c r="EN336" i="7"/>
  <c r="EN143" i="8"/>
  <c r="ED552" i="7"/>
  <c r="ED153" i="7"/>
  <c r="ED62" i="7"/>
  <c r="ED160" i="7"/>
  <c r="ED55" i="7"/>
  <c r="EU45" i="45"/>
  <c r="EU456" i="45"/>
  <c r="EX20" i="45"/>
  <c r="EX23" i="45"/>
  <c r="EO330" i="7"/>
  <c r="EN273" i="7"/>
  <c r="EN330" i="7" s="1"/>
  <c r="EO185" i="7"/>
  <c r="EN185" i="7" s="1"/>
  <c r="EE57" i="7"/>
  <c r="EE155" i="8" s="1"/>
  <c r="EF181" i="7"/>
  <c r="EF155" i="8"/>
  <c r="EL73" i="7"/>
  <c r="EL84" i="45"/>
  <c r="EL83" i="45"/>
  <c r="EK328" i="7"/>
  <c r="EK332" i="7"/>
  <c r="EK142" i="8"/>
  <c r="EP184" i="7"/>
  <c r="EV154" i="8"/>
  <c r="EX99" i="45"/>
  <c r="EX100" i="45" s="1"/>
  <c r="ES32" i="7"/>
  <c r="EU33" i="7"/>
  <c r="ER229" i="7"/>
  <c r="EQ230" i="7"/>
  <c r="EU25" i="45"/>
  <c r="EU88" i="45"/>
  <c r="ES330" i="7"/>
  <c r="EM73" i="7"/>
  <c r="EM83" i="45"/>
  <c r="EM84" i="45"/>
  <c r="EO82" i="45"/>
  <c r="ES336" i="7"/>
  <c r="EQ263" i="7"/>
  <c r="ES143" i="8"/>
  <c r="ER329" i="7"/>
  <c r="AF92" i="57" l="1"/>
  <c r="AE91" i="57"/>
  <c r="EN283" i="7"/>
  <c r="EN565" i="7" s="1"/>
  <c r="ER332" i="7"/>
  <c r="ER333" i="7" s="1"/>
  <c r="ES184" i="7"/>
  <c r="EL95" i="45"/>
  <c r="EL96" i="45" s="1"/>
  <c r="EU336" i="7"/>
  <c r="EN65" i="7"/>
  <c r="EO63" i="7"/>
  <c r="EN63" i="7" s="1"/>
  <c r="EH179" i="7"/>
  <c r="FA94" i="45"/>
  <c r="FA14" i="45"/>
  <c r="EV41" i="45"/>
  <c r="EX31" i="45"/>
  <c r="EV36" i="45"/>
  <c r="EN294" i="8"/>
  <c r="ER335" i="7"/>
  <c r="ER65" i="7"/>
  <c r="EQ66" i="7"/>
  <c r="ES52" i="45"/>
  <c r="ES57" i="45"/>
  <c r="EU47" i="45"/>
  <c r="ES82" i="45"/>
  <c r="EH58" i="7"/>
  <c r="EI57" i="7"/>
  <c r="EL4" i="8"/>
  <c r="EL10" i="8" s="1"/>
  <c r="EL155" i="7"/>
  <c r="EL74" i="7"/>
  <c r="EL69" i="7"/>
  <c r="EL179" i="7"/>
  <c r="EK73" i="7"/>
  <c r="EL162" i="7"/>
  <c r="EM179" i="7"/>
  <c r="EM4" i="8"/>
  <c r="EM10" i="8" s="1"/>
  <c r="EM162" i="7"/>
  <c r="EM155" i="7"/>
  <c r="EM69" i="7"/>
  <c r="EM74" i="7"/>
  <c r="FA23" i="45"/>
  <c r="FA20" i="45"/>
  <c r="EH4" i="8"/>
  <c r="EH10" i="8" s="1"/>
  <c r="EH74" i="7"/>
  <c r="EH173" i="7"/>
  <c r="EH177" i="7"/>
  <c r="EH162" i="7"/>
  <c r="EH155" i="7"/>
  <c r="EJ177" i="7"/>
  <c r="EY169" i="7"/>
  <c r="EY215" i="8"/>
  <c r="EY264" i="7"/>
  <c r="EY263" i="7" s="1"/>
  <c r="EY151" i="7"/>
  <c r="EZ169" i="7"/>
  <c r="EY166" i="7"/>
  <c r="EY238" i="7"/>
  <c r="EY234" i="7" s="1"/>
  <c r="EY230" i="7"/>
  <c r="EY229" i="7" s="1"/>
  <c r="EY331" i="7"/>
  <c r="EY31" i="7"/>
  <c r="FA30" i="7"/>
  <c r="EY176" i="7" s="1"/>
  <c r="EY287" i="8"/>
  <c r="EY45" i="7" s="1"/>
  <c r="EY214" i="8"/>
  <c r="EY279" i="7"/>
  <c r="EY273" i="7" s="1"/>
  <c r="EX39" i="45"/>
  <c r="EX34" i="45"/>
  <c r="EN92" i="45"/>
  <c r="EN91" i="45" s="1"/>
  <c r="EM91" i="45"/>
  <c r="ET287" i="8"/>
  <c r="EU45" i="7"/>
  <c r="EB55" i="7"/>
  <c r="ED170" i="7" s="1"/>
  <c r="EC152" i="7"/>
  <c r="EC56" i="7"/>
  <c r="EC159" i="7"/>
  <c r="EV328" i="7"/>
  <c r="EX73" i="45"/>
  <c r="EQ45" i="7"/>
  <c r="ET125" i="8" s="1"/>
  <c r="EU125" i="8"/>
  <c r="EP334" i="7"/>
  <c r="EP333" i="7"/>
  <c r="EL26" i="8"/>
  <c r="EJ58" i="7"/>
  <c r="EJ57" i="7" s="1"/>
  <c r="EJ28" i="8"/>
  <c r="EU55" i="8"/>
  <c r="EU66" i="7" s="1"/>
  <c r="EU90" i="45"/>
  <c r="EB160" i="7"/>
  <c r="EB153" i="7"/>
  <c r="EB171" i="7"/>
  <c r="EB62" i="7"/>
  <c r="EB552" i="7"/>
  <c r="EU329" i="7"/>
  <c r="ET263" i="7"/>
  <c r="EV336" i="7"/>
  <c r="EV143" i="8"/>
  <c r="EV330" i="7"/>
  <c r="EV283" i="7"/>
  <c r="EV329" i="7"/>
  <c r="EX71" i="45"/>
  <c r="EU273" i="7"/>
  <c r="EV185" i="7" s="1"/>
  <c r="ET279" i="7"/>
  <c r="ET230" i="7"/>
  <c r="EU229" i="7"/>
  <c r="EU141" i="8" s="1"/>
  <c r="EN327" i="7"/>
  <c r="EN335" i="7"/>
  <c r="EN141" i="8"/>
  <c r="EV47" i="45"/>
  <c r="EV50" i="45"/>
  <c r="EV55" i="45"/>
  <c r="ES565" i="7"/>
  <c r="EX166" i="7"/>
  <c r="EX151" i="7"/>
  <c r="EX238" i="7"/>
  <c r="EX214" i="8"/>
  <c r="EW214" i="8" s="1"/>
  <c r="EX230" i="7"/>
  <c r="EX279" i="7"/>
  <c r="EX287" i="8"/>
  <c r="EW176" i="7"/>
  <c r="EX215" i="8"/>
  <c r="EW215" i="8" s="1"/>
  <c r="EX31" i="7"/>
  <c r="EX331" i="7"/>
  <c r="EO334" i="7"/>
  <c r="EO333" i="7"/>
  <c r="EV55" i="8"/>
  <c r="EV66" i="7" s="1"/>
  <c r="EV65" i="7" s="1"/>
  <c r="EV63" i="7" s="1"/>
  <c r="EV27" i="8"/>
  <c r="EX27" i="8" s="1"/>
  <c r="EX89" i="45"/>
  <c r="EX154" i="8"/>
  <c r="EX190" i="7" s="1"/>
  <c r="EV190" i="7"/>
  <c r="EV188" i="7" s="1"/>
  <c r="EY456" i="45"/>
  <c r="EY45" i="45"/>
  <c r="EW264" i="7"/>
  <c r="EX263" i="7"/>
  <c r="EX143" i="8" s="1"/>
  <c r="EE61" i="7"/>
  <c r="EG171" i="7" s="1"/>
  <c r="EF552" i="7"/>
  <c r="EF55" i="7"/>
  <c r="EF160" i="7"/>
  <c r="EF153" i="7"/>
  <c r="EF62" i="7"/>
  <c r="ER204" i="7"/>
  <c r="EQ204" i="7" s="1"/>
  <c r="ER294" i="8"/>
  <c r="EQ188" i="7"/>
  <c r="ER218" i="7"/>
  <c r="EQ218" i="7" s="1"/>
  <c r="EU234" i="7"/>
  <c r="EU142" i="8" s="1"/>
  <c r="ET238" i="7"/>
  <c r="ER141" i="8"/>
  <c r="ER52" i="45"/>
  <c r="ER57" i="45"/>
  <c r="EV176" i="7"/>
  <c r="DY56" i="7"/>
  <c r="DY170" i="7"/>
  <c r="DY152" i="7"/>
  <c r="DY159" i="7"/>
  <c r="EI70" i="7"/>
  <c r="EI161" i="7"/>
  <c r="EI61" i="7"/>
  <c r="EH69" i="7"/>
  <c r="EJ172" i="7" s="1"/>
  <c r="EI154" i="7"/>
  <c r="EQ329" i="7"/>
  <c r="EQ336" i="7"/>
  <c r="EQ143" i="8"/>
  <c r="EY33" i="7"/>
  <c r="EY25" i="45"/>
  <c r="EY88" i="45"/>
  <c r="EY89" i="45"/>
  <c r="EY70" i="45"/>
  <c r="FA70" i="45" s="1"/>
  <c r="EY72" i="45"/>
  <c r="FA72" i="45" s="1"/>
  <c r="ED56" i="7"/>
  <c r="ED159" i="7"/>
  <c r="ED152" i="7"/>
  <c r="EJ70" i="7"/>
  <c r="EJ154" i="7"/>
  <c r="EJ161" i="7"/>
  <c r="EJ61" i="7"/>
  <c r="EY34" i="45"/>
  <c r="EY31" i="45"/>
  <c r="FA29" i="45"/>
  <c r="EY39" i="45"/>
  <c r="ET190" i="7"/>
  <c r="EU188" i="7"/>
  <c r="EP73" i="7"/>
  <c r="EP83" i="45"/>
  <c r="EP84" i="45"/>
  <c r="ER82" i="45"/>
  <c r="EU36" i="45"/>
  <c r="EU41" i="45"/>
  <c r="EV327" i="7"/>
  <c r="EK334" i="7"/>
  <c r="EK333" i="7"/>
  <c r="EU50" i="45"/>
  <c r="EU55" i="45"/>
  <c r="EE172" i="7"/>
  <c r="EE154" i="7"/>
  <c r="EE161" i="7"/>
  <c r="EE70" i="7"/>
  <c r="AK20" i="9"/>
  <c r="EE181" i="7"/>
  <c r="FA455" i="45"/>
  <c r="FA450" i="45"/>
  <c r="EY154" i="8"/>
  <c r="FA99" i="45"/>
  <c r="FA100" i="45" s="1"/>
  <c r="ES218" i="7"/>
  <c r="ES294" i="8"/>
  <c r="ES204" i="7"/>
  <c r="EN184" i="7"/>
  <c r="ER328" i="7"/>
  <c r="EQ234" i="7"/>
  <c r="ES332" i="7"/>
  <c r="ES142" i="8"/>
  <c r="EY125" i="8"/>
  <c r="EV32" i="7"/>
  <c r="EX33" i="7"/>
  <c r="EO73" i="7"/>
  <c r="EO83" i="45"/>
  <c r="EO84" i="45"/>
  <c r="ER184" i="7"/>
  <c r="ES335" i="7"/>
  <c r="EQ229" i="7"/>
  <c r="ER327" i="7"/>
  <c r="ES141" i="8"/>
  <c r="EX25" i="45"/>
  <c r="EX88" i="45"/>
  <c r="EQ273" i="7"/>
  <c r="EQ330" i="7" s="1"/>
  <c r="ER330" i="7"/>
  <c r="ER185" i="7"/>
  <c r="EQ185" i="7" s="1"/>
  <c r="EG160" i="7"/>
  <c r="EG153" i="7"/>
  <c r="EG552" i="7"/>
  <c r="EG62" i="7"/>
  <c r="EG55" i="7"/>
  <c r="EN328" i="7"/>
  <c r="EN142" i="8"/>
  <c r="EN332" i="7"/>
  <c r="ER283" i="7"/>
  <c r="EU32" i="7"/>
  <c r="EJ173" i="7"/>
  <c r="EX66" i="45"/>
  <c r="EX67" i="45" s="1"/>
  <c r="DX555" i="7"/>
  <c r="DX556" i="7" s="1"/>
  <c r="DX557" i="7" s="1"/>
  <c r="DX10" i="7"/>
  <c r="DX14" i="7" s="1"/>
  <c r="FA62" i="45"/>
  <c r="FA453" i="45"/>
  <c r="FA63" i="45" s="1"/>
  <c r="EX45" i="45"/>
  <c r="EX456" i="45"/>
  <c r="DX27" i="7" l="1"/>
  <c r="AH92" i="57"/>
  <c r="AF91" i="57"/>
  <c r="AG91" i="57" s="1"/>
  <c r="AG92" i="57" s="1"/>
  <c r="ER334" i="7"/>
  <c r="EU283" i="7"/>
  <c r="EU565" i="7" s="1"/>
  <c r="EU335" i="7"/>
  <c r="EX55" i="8"/>
  <c r="EX66" i="7" s="1"/>
  <c r="EX90" i="45"/>
  <c r="FA45" i="45"/>
  <c r="FA456" i="45"/>
  <c r="ET188" i="7"/>
  <c r="EU204" i="7"/>
  <c r="ET204" i="7" s="1"/>
  <c r="EU294" i="8"/>
  <c r="EU218" i="7"/>
  <c r="ET218" i="7" s="1"/>
  <c r="EI552" i="7"/>
  <c r="EI62" i="7"/>
  <c r="EH61" i="7"/>
  <c r="EJ171" i="7" s="1"/>
  <c r="EI153" i="7"/>
  <c r="EI160" i="7"/>
  <c r="EI55" i="7"/>
  <c r="EV332" i="7"/>
  <c r="ET234" i="7"/>
  <c r="EV142" i="8"/>
  <c r="EU328" i="7"/>
  <c r="EY47" i="45"/>
  <c r="EY50" i="45"/>
  <c r="EY55" i="45"/>
  <c r="EV141" i="8"/>
  <c r="EV335" i="7"/>
  <c r="EU184" i="7"/>
  <c r="EU327" i="7"/>
  <c r="ET229" i="7"/>
  <c r="ET329" i="7"/>
  <c r="ET336" i="7"/>
  <c r="ET143" i="8"/>
  <c r="EX125" i="8"/>
  <c r="ET45" i="7"/>
  <c r="EW125" i="8" s="1"/>
  <c r="EY328" i="7"/>
  <c r="EK4" i="8"/>
  <c r="EK10" i="8" s="1"/>
  <c r="EK177" i="7"/>
  <c r="EK162" i="7"/>
  <c r="EK173" i="7"/>
  <c r="EK155" i="7"/>
  <c r="EK74" i="7"/>
  <c r="ER63" i="7"/>
  <c r="EQ63" i="7" s="1"/>
  <c r="EQ65" i="7"/>
  <c r="FA88" i="45"/>
  <c r="FA25" i="45"/>
  <c r="EW287" i="8"/>
  <c r="EX45" i="7"/>
  <c r="EY330" i="7"/>
  <c r="EK179" i="7"/>
  <c r="EH57" i="7"/>
  <c r="EH155" i="8" s="1"/>
  <c r="EI181" i="7"/>
  <c r="EH181" i="7" s="1"/>
  <c r="EI155" i="8"/>
  <c r="EX55" i="45"/>
  <c r="EX50" i="45"/>
  <c r="EJ160" i="7"/>
  <c r="EJ55" i="7"/>
  <c r="EJ62" i="7"/>
  <c r="EJ153" i="7"/>
  <c r="EJ552" i="7"/>
  <c r="FA71" i="45"/>
  <c r="EY327" i="7"/>
  <c r="ER565" i="7"/>
  <c r="EQ283" i="7"/>
  <c r="EQ565" i="7" s="1"/>
  <c r="EN334" i="7"/>
  <c r="EN333" i="7"/>
  <c r="EQ327" i="7"/>
  <c r="EQ141" i="8"/>
  <c r="EQ335" i="7"/>
  <c r="EO162" i="7"/>
  <c r="EO179" i="7"/>
  <c r="EN73" i="7"/>
  <c r="EP173" i="7" s="1"/>
  <c r="EO155" i="7"/>
  <c r="EO4" i="8"/>
  <c r="EO10" i="8" s="1"/>
  <c r="EO69" i="7"/>
  <c r="EO74" i="7"/>
  <c r="ES334" i="7"/>
  <c r="ES333" i="7"/>
  <c r="FA33" i="7"/>
  <c r="EY32" i="7"/>
  <c r="EW279" i="7"/>
  <c r="EX273" i="7"/>
  <c r="EU65" i="7"/>
  <c r="ET66" i="7"/>
  <c r="EM173" i="7"/>
  <c r="EL70" i="7"/>
  <c r="EL154" i="7"/>
  <c r="EL161" i="7"/>
  <c r="EK69" i="7"/>
  <c r="EL61" i="7"/>
  <c r="EP4" i="8"/>
  <c r="EP10" i="8" s="1"/>
  <c r="EP179" i="7"/>
  <c r="EP162" i="7"/>
  <c r="EP155" i="7"/>
  <c r="EP74" i="7"/>
  <c r="EP69" i="7"/>
  <c r="EQ294" i="8"/>
  <c r="EQ328" i="7"/>
  <c r="EQ142" i="8"/>
  <c r="EQ332" i="7"/>
  <c r="ER73" i="7"/>
  <c r="EP177" i="7" s="1"/>
  <c r="ER83" i="45"/>
  <c r="ER84" i="45"/>
  <c r="FA34" i="45"/>
  <c r="FA39" i="45"/>
  <c r="EF159" i="7"/>
  <c r="EE55" i="7"/>
  <c r="EG170" i="7" s="1"/>
  <c r="EF152" i="7"/>
  <c r="EF56" i="7"/>
  <c r="EW230" i="7"/>
  <c r="EX229" i="7"/>
  <c r="EX141" i="8" s="1"/>
  <c r="EU185" i="7"/>
  <c r="ET185" i="7" s="1"/>
  <c r="ET273" i="7"/>
  <c r="ET330" i="7" s="1"/>
  <c r="EU330" i="7"/>
  <c r="ES73" i="7"/>
  <c r="EU82" i="45"/>
  <c r="ES83" i="45"/>
  <c r="ES84" i="45"/>
  <c r="DX164" i="7"/>
  <c r="DX175" i="7"/>
  <c r="DX156" i="7"/>
  <c r="EV184" i="7"/>
  <c r="EY41" i="45"/>
  <c r="FA31" i="45"/>
  <c r="EY36" i="45"/>
  <c r="EV218" i="7"/>
  <c r="EV204" i="7"/>
  <c r="EV294" i="8"/>
  <c r="EV52" i="45"/>
  <c r="EV82" i="45"/>
  <c r="EX47" i="45"/>
  <c r="EV57" i="45"/>
  <c r="EV565" i="7"/>
  <c r="EJ181" i="7"/>
  <c r="EJ155" i="8"/>
  <c r="EB152" i="7"/>
  <c r="EB170" i="7"/>
  <c r="EB159" i="7"/>
  <c r="EB56" i="7"/>
  <c r="EM26" i="8"/>
  <c r="EO91" i="45"/>
  <c r="EM95" i="45"/>
  <c r="EM96" i="45" s="1"/>
  <c r="FA166" i="7"/>
  <c r="FA230" i="7"/>
  <c r="FA151" i="7"/>
  <c r="FA31" i="7"/>
  <c r="EZ176" i="7"/>
  <c r="FA279" i="7"/>
  <c r="FA287" i="8"/>
  <c r="FA331" i="7"/>
  <c r="FA215" i="8"/>
  <c r="EZ215" i="8" s="1"/>
  <c r="FA214" i="8"/>
  <c r="EZ214" i="8" s="1"/>
  <c r="FA238" i="7"/>
  <c r="FA264" i="7"/>
  <c r="EY283" i="7"/>
  <c r="EY565" i="7" s="1"/>
  <c r="EY329" i="7"/>
  <c r="EM70" i="7"/>
  <c r="EM61" i="7"/>
  <c r="EM161" i="7"/>
  <c r="EM154" i="7"/>
  <c r="EM177" i="7"/>
  <c r="EU52" i="45"/>
  <c r="EU57" i="45"/>
  <c r="EX329" i="7"/>
  <c r="EW263" i="7"/>
  <c r="EY336" i="7"/>
  <c r="EY143" i="8"/>
  <c r="EY55" i="8"/>
  <c r="EY66" i="7" s="1"/>
  <c r="EY65" i="7" s="1"/>
  <c r="EY63" i="7" s="1"/>
  <c r="EY27" i="8"/>
  <c r="FA27" i="8" s="1"/>
  <c r="FA89" i="45"/>
  <c r="EH70" i="7"/>
  <c r="EH154" i="7"/>
  <c r="EH161" i="7"/>
  <c r="EH172" i="7"/>
  <c r="EQ184" i="7"/>
  <c r="FA66" i="45"/>
  <c r="FA67" i="45" s="1"/>
  <c r="EG159" i="7"/>
  <c r="EG152" i="7"/>
  <c r="EG56" i="7"/>
  <c r="EX32" i="7"/>
  <c r="EU332" i="7"/>
  <c r="FA154" i="8"/>
  <c r="FA190" i="7" s="1"/>
  <c r="EY190" i="7"/>
  <c r="EY188" i="7" s="1"/>
  <c r="FA73" i="45"/>
  <c r="EE552" i="7"/>
  <c r="EE160" i="7"/>
  <c r="EE153" i="7"/>
  <c r="EE171" i="7"/>
  <c r="EE62" i="7"/>
  <c r="EX188" i="7"/>
  <c r="EW190" i="7"/>
  <c r="EX234" i="7"/>
  <c r="EX142" i="8" s="1"/>
  <c r="EW238" i="7"/>
  <c r="EX336" i="7"/>
  <c r="EL28" i="8"/>
  <c r="EL58" i="7"/>
  <c r="EN26" i="8"/>
  <c r="EN28" i="8" s="1"/>
  <c r="EN95" i="45"/>
  <c r="EN96" i="45" s="1"/>
  <c r="EX36" i="45"/>
  <c r="EX41" i="45"/>
  <c r="DX11" i="7" l="1"/>
  <c r="DX17" i="7"/>
  <c r="AH91" i="57"/>
  <c r="AI92" i="57"/>
  <c r="ET283" i="7"/>
  <c r="ET565" i="7" s="1"/>
  <c r="AJ13" i="9"/>
  <c r="EY184" i="7"/>
  <c r="EX332" i="7"/>
  <c r="EX333" i="7" s="1"/>
  <c r="EM552" i="7"/>
  <c r="EM160" i="7"/>
  <c r="EM153" i="7"/>
  <c r="EM62" i="7"/>
  <c r="EL62" i="7"/>
  <c r="EK61" i="7"/>
  <c r="EM171" i="7" s="1"/>
  <c r="EL153" i="7"/>
  <c r="EL552" i="7"/>
  <c r="EL160" i="7"/>
  <c r="EV334" i="7"/>
  <c r="EV333" i="7"/>
  <c r="EK70" i="7"/>
  <c r="EK172" i="7"/>
  <c r="EK161" i="7"/>
  <c r="EK154" i="7"/>
  <c r="EM172" i="7"/>
  <c r="FA229" i="7"/>
  <c r="FA335" i="7" s="1"/>
  <c r="EZ230" i="7"/>
  <c r="ET65" i="7"/>
  <c r="EU63" i="7"/>
  <c r="ET63" i="7" s="1"/>
  <c r="EO154" i="7"/>
  <c r="EN69" i="7"/>
  <c r="EP172" i="7" s="1"/>
  <c r="EO61" i="7"/>
  <c r="EO70" i="7"/>
  <c r="EO161" i="7"/>
  <c r="ET327" i="7"/>
  <c r="ET141" i="8"/>
  <c r="ET335" i="7"/>
  <c r="EI56" i="7"/>
  <c r="EH55" i="7"/>
  <c r="EJ170" i="7" s="1"/>
  <c r="EI159" i="7"/>
  <c r="EI152" i="7"/>
  <c r="EX65" i="7"/>
  <c r="EW66" i="7"/>
  <c r="FA55" i="45"/>
  <c r="FA50" i="45"/>
  <c r="EL57" i="7"/>
  <c r="EK58" i="7"/>
  <c r="EY57" i="45"/>
  <c r="EY52" i="45"/>
  <c r="EY82" i="45"/>
  <c r="FA47" i="45"/>
  <c r="EY218" i="7"/>
  <c r="EY204" i="7"/>
  <c r="EY294" i="8"/>
  <c r="EX185" i="7"/>
  <c r="EW185" i="7" s="1"/>
  <c r="EX330" i="7"/>
  <c r="EW273" i="7"/>
  <c r="EW330" i="7" s="1"/>
  <c r="ET184" i="7"/>
  <c r="FA55" i="8"/>
  <c r="FA66" i="7" s="1"/>
  <c r="FA90" i="45"/>
  <c r="EZ238" i="7"/>
  <c r="FA234" i="7"/>
  <c r="FA142" i="8" s="1"/>
  <c r="FA32" i="7"/>
  <c r="EJ159" i="7"/>
  <c r="EJ152" i="7"/>
  <c r="EJ56" i="7"/>
  <c r="EZ287" i="8"/>
  <c r="FA45" i="7"/>
  <c r="EZ45" i="7" s="1"/>
  <c r="EX328" i="7"/>
  <c r="EW234" i="7"/>
  <c r="EY142" i="8"/>
  <c r="EY332" i="7"/>
  <c r="EZ190" i="7"/>
  <c r="FA188" i="7"/>
  <c r="EX283" i="7"/>
  <c r="FA273" i="7"/>
  <c r="EZ279" i="7"/>
  <c r="EO92" i="45"/>
  <c r="EP92" i="45" s="1"/>
  <c r="EO95" i="45"/>
  <c r="EO96" i="45" s="1"/>
  <c r="EE170" i="7"/>
  <c r="EE56" i="7"/>
  <c r="EE159" i="7"/>
  <c r="EE152" i="7"/>
  <c r="ER162" i="7"/>
  <c r="ER179" i="7"/>
  <c r="ER74" i="7"/>
  <c r="ER155" i="7"/>
  <c r="ER69" i="7"/>
  <c r="EQ73" i="7"/>
  <c r="ES173" i="7" s="1"/>
  <c r="ER4" i="8"/>
  <c r="ER10" i="8" s="1"/>
  <c r="EH171" i="7"/>
  <c r="EH160" i="7"/>
  <c r="EH552" i="7"/>
  <c r="EH153" i="7"/>
  <c r="EH62" i="7"/>
  <c r="ET294" i="8"/>
  <c r="EU334" i="7"/>
  <c r="EU333" i="7"/>
  <c r="EM28" i="8"/>
  <c r="EO26" i="8"/>
  <c r="EM58" i="7"/>
  <c r="EM57" i="7" s="1"/>
  <c r="EM55" i="7" s="1"/>
  <c r="EX52" i="45"/>
  <c r="EX57" i="45"/>
  <c r="DX163" i="7"/>
  <c r="DX157" i="7"/>
  <c r="DX174" i="7"/>
  <c r="DX145" i="7"/>
  <c r="DX147" i="7" s="1"/>
  <c r="DX177" i="8"/>
  <c r="EU73" i="7"/>
  <c r="ES177" i="7" s="1"/>
  <c r="EU83" i="45"/>
  <c r="EU84" i="45"/>
  <c r="EQ333" i="7"/>
  <c r="EQ334" i="7"/>
  <c r="EN4" i="8"/>
  <c r="EN10" i="8" s="1"/>
  <c r="EN162" i="7"/>
  <c r="EN155" i="7"/>
  <c r="EN173" i="7"/>
  <c r="EN74" i="7"/>
  <c r="EN177" i="7"/>
  <c r="EY185" i="7"/>
  <c r="EX218" i="7"/>
  <c r="EW218" i="7" s="1"/>
  <c r="EW188" i="7"/>
  <c r="EX204" i="7"/>
  <c r="EW204" i="7" s="1"/>
  <c r="EX294" i="8"/>
  <c r="EW329" i="7"/>
  <c r="EW336" i="7"/>
  <c r="EW143" i="8"/>
  <c r="EZ264" i="7"/>
  <c r="FA263" i="7"/>
  <c r="EV73" i="7"/>
  <c r="EX82" i="45"/>
  <c r="EV83" i="45"/>
  <c r="EV84" i="45"/>
  <c r="FA36" i="45"/>
  <c r="FA41" i="45"/>
  <c r="AJ10" i="9"/>
  <c r="ES4" i="8"/>
  <c r="ES10" i="8" s="1"/>
  <c r="ES74" i="7"/>
  <c r="ES162" i="7"/>
  <c r="ES155" i="7"/>
  <c r="ES69" i="7"/>
  <c r="ES179" i="7"/>
  <c r="EY141" i="8"/>
  <c r="EX184" i="7"/>
  <c r="EY335" i="7"/>
  <c r="EW229" i="7"/>
  <c r="EX327" i="7"/>
  <c r="EP154" i="7"/>
  <c r="EP161" i="7"/>
  <c r="EP70" i="7"/>
  <c r="EP61" i="7"/>
  <c r="EN179" i="7"/>
  <c r="FA125" i="8"/>
  <c r="EW45" i="7"/>
  <c r="EZ125" i="8" s="1"/>
  <c r="EX335" i="7"/>
  <c r="ET328" i="7"/>
  <c r="ET142" i="8"/>
  <c r="ET332" i="7"/>
  <c r="DX15" i="7" l="1"/>
  <c r="DX12" i="7"/>
  <c r="AK92" i="57"/>
  <c r="AI91" i="57"/>
  <c r="AJ91" i="57" s="1"/>
  <c r="AJ92" i="57" s="1"/>
  <c r="DX197" i="8"/>
  <c r="DX341" i="7" s="1"/>
  <c r="DX22" i="7" s="1"/>
  <c r="EX334" i="7"/>
  <c r="FA141" i="8"/>
  <c r="EX565" i="7"/>
  <c r="EW283" i="7"/>
  <c r="EW565" i="7" s="1"/>
  <c r="EL181" i="7"/>
  <c r="EK181" i="7" s="1"/>
  <c r="EK57" i="7"/>
  <c r="EK155" i="8" s="1"/>
  <c r="EL155" i="8"/>
  <c r="EW294" i="8"/>
  <c r="ER70" i="7"/>
  <c r="ER161" i="7"/>
  <c r="ER61" i="7"/>
  <c r="ER154" i="7"/>
  <c r="EQ69" i="7"/>
  <c r="ES172" i="7" s="1"/>
  <c r="FA294" i="8"/>
  <c r="FA218" i="7"/>
  <c r="EZ218" i="7" s="1"/>
  <c r="EZ188" i="7"/>
  <c r="FA204" i="7"/>
  <c r="EZ204" i="7" s="1"/>
  <c r="ES154" i="7"/>
  <c r="ES161" i="7"/>
  <c r="ES61" i="7"/>
  <c r="ES70" i="7"/>
  <c r="EH152" i="7"/>
  <c r="EH159" i="7"/>
  <c r="EH56" i="7"/>
  <c r="EH170" i="7"/>
  <c r="EO28" i="8"/>
  <c r="EO58" i="7"/>
  <c r="EM152" i="7"/>
  <c r="EM56" i="7"/>
  <c r="EM159" i="7"/>
  <c r="EU155" i="7"/>
  <c r="EU179" i="7"/>
  <c r="ET73" i="7"/>
  <c r="EV173" i="7" s="1"/>
  <c r="EU162" i="7"/>
  <c r="EU4" i="8"/>
  <c r="EU10" i="8" s="1"/>
  <c r="EU74" i="7"/>
  <c r="EU69" i="7"/>
  <c r="EY334" i="7"/>
  <c r="EY333" i="7"/>
  <c r="EZ229" i="7"/>
  <c r="FA184" i="7"/>
  <c r="FA327" i="7"/>
  <c r="EZ234" i="7"/>
  <c r="FA328" i="7"/>
  <c r="EO552" i="7"/>
  <c r="EO62" i="7"/>
  <c r="EO160" i="7"/>
  <c r="EO153" i="7"/>
  <c r="EN61" i="7"/>
  <c r="EP171" i="7" s="1"/>
  <c r="EL55" i="7"/>
  <c r="EW327" i="7"/>
  <c r="EW335" i="7"/>
  <c r="EW141" i="8"/>
  <c r="EQ179" i="7"/>
  <c r="EQ92" i="45"/>
  <c r="EQ91" i="45" s="1"/>
  <c r="EP91" i="45"/>
  <c r="FA52" i="45"/>
  <c r="FA57" i="45"/>
  <c r="EN161" i="7"/>
  <c r="EN172" i="7"/>
  <c r="EN154" i="7"/>
  <c r="EN70" i="7"/>
  <c r="EX73" i="7"/>
  <c r="EV177" i="7" s="1"/>
  <c r="EX84" i="45"/>
  <c r="EX83" i="45"/>
  <c r="ET333" i="7"/>
  <c r="ET334" i="7"/>
  <c r="EZ263" i="7"/>
  <c r="FA283" i="7"/>
  <c r="FA329" i="7"/>
  <c r="FA336" i="7"/>
  <c r="FA143" i="8"/>
  <c r="FA332" i="7"/>
  <c r="EY73" i="7"/>
  <c r="EY84" i="45"/>
  <c r="FA82" i="45"/>
  <c r="EY83" i="45"/>
  <c r="EX63" i="7"/>
  <c r="EW63" i="7" s="1"/>
  <c r="EW65" i="7"/>
  <c r="EK160" i="7"/>
  <c r="EK552" i="7"/>
  <c r="EK153" i="7"/>
  <c r="EK171" i="7"/>
  <c r="EK62" i="7"/>
  <c r="EP153" i="7"/>
  <c r="EP160" i="7"/>
  <c r="EP62" i="7"/>
  <c r="EP552" i="7"/>
  <c r="EV74" i="7"/>
  <c r="EV162" i="7"/>
  <c r="EV155" i="7"/>
  <c r="EV179" i="7"/>
  <c r="EV4" i="8"/>
  <c r="EV10" i="8" s="1"/>
  <c r="EV69" i="7"/>
  <c r="EW184" i="7"/>
  <c r="EM181" i="7"/>
  <c r="EM155" i="8"/>
  <c r="EQ173" i="7"/>
  <c r="EQ177" i="7"/>
  <c r="EQ155" i="7"/>
  <c r="EQ74" i="7"/>
  <c r="EQ4" i="8"/>
  <c r="EQ10" i="8" s="1"/>
  <c r="EQ162" i="7"/>
  <c r="FA330" i="7"/>
  <c r="EZ273" i="7"/>
  <c r="EZ330" i="7" s="1"/>
  <c r="EW328" i="7"/>
  <c r="EW142" i="8"/>
  <c r="EW332" i="7"/>
  <c r="FA65" i="7"/>
  <c r="EZ66" i="7"/>
  <c r="AK91" i="57" l="1"/>
  <c r="AL92" i="57"/>
  <c r="FA185" i="7"/>
  <c r="EZ185" i="7" s="1"/>
  <c r="DY143" i="7"/>
  <c r="FA63" i="7"/>
  <c r="EZ63" i="7" s="1"/>
  <c r="EZ65" i="7"/>
  <c r="EY162" i="7"/>
  <c r="EY74" i="7"/>
  <c r="EY4" i="8"/>
  <c r="EY10" i="8" s="1"/>
  <c r="EY179" i="7"/>
  <c r="EY155" i="7"/>
  <c r="EY69" i="7"/>
  <c r="EX155" i="7"/>
  <c r="EX74" i="7"/>
  <c r="EX69" i="7"/>
  <c r="EW73" i="7"/>
  <c r="EY173" i="7" s="1"/>
  <c r="EX179" i="7"/>
  <c r="EX4" i="8"/>
  <c r="EX10" i="8" s="1"/>
  <c r="EX162" i="7"/>
  <c r="FA334" i="7"/>
  <c r="FA333" i="7"/>
  <c r="ET179" i="7"/>
  <c r="ES552" i="7"/>
  <c r="ES62" i="7"/>
  <c r="ES153" i="7"/>
  <c r="ES160" i="7"/>
  <c r="EU154" i="7"/>
  <c r="EU70" i="7"/>
  <c r="EU161" i="7"/>
  <c r="ET69" i="7"/>
  <c r="EV172" i="7" s="1"/>
  <c r="EU61" i="7"/>
  <c r="DY222" i="7"/>
  <c r="DX103" i="8"/>
  <c r="DX102" i="8" s="1"/>
  <c r="DY102" i="8" s="1"/>
  <c r="DZ102" i="8" s="1"/>
  <c r="EA102" i="8" s="1"/>
  <c r="EB102" i="8" s="1"/>
  <c r="EC102" i="8" s="1"/>
  <c r="ED102" i="8" s="1"/>
  <c r="EE102" i="8" s="1"/>
  <c r="EF102" i="8" s="1"/>
  <c r="EG102" i="8" s="1"/>
  <c r="EH102" i="8" s="1"/>
  <c r="EI102" i="8" s="1"/>
  <c r="EJ102" i="8" s="1"/>
  <c r="EK102" i="8" s="1"/>
  <c r="EL102" i="8" s="1"/>
  <c r="EM102" i="8" s="1"/>
  <c r="EN102" i="8" s="1"/>
  <c r="EO102" i="8" s="1"/>
  <c r="EP102" i="8" s="1"/>
  <c r="EQ102" i="8" s="1"/>
  <c r="ER102" i="8" s="1"/>
  <c r="ES102" i="8" s="1"/>
  <c r="ET102" i="8" s="1"/>
  <c r="EU102" i="8" s="1"/>
  <c r="EV102" i="8" s="1"/>
  <c r="EW102" i="8" s="1"/>
  <c r="EX102" i="8" s="1"/>
  <c r="EY102" i="8" s="1"/>
  <c r="EZ102" i="8" s="1"/>
  <c r="FA102" i="8" s="1"/>
  <c r="EZ329" i="7"/>
  <c r="EZ143" i="8"/>
  <c r="EZ336" i="7"/>
  <c r="EW334" i="7"/>
  <c r="EW333" i="7"/>
  <c r="EZ184" i="7"/>
  <c r="DX342" i="7"/>
  <c r="DX359" i="7"/>
  <c r="EO57" i="7"/>
  <c r="EN58" i="7"/>
  <c r="EQ154" i="7"/>
  <c r="EQ172" i="7"/>
  <c r="EQ161" i="7"/>
  <c r="EQ70" i="7"/>
  <c r="EV61" i="7"/>
  <c r="EV70" i="7"/>
  <c r="EV154" i="7"/>
  <c r="EV161" i="7"/>
  <c r="EK55" i="7"/>
  <c r="EL56" i="7"/>
  <c r="EL159" i="7"/>
  <c r="EL152" i="7"/>
  <c r="EZ328" i="7"/>
  <c r="EZ142" i="8"/>
  <c r="EZ332" i="7"/>
  <c r="EZ327" i="7"/>
  <c r="EZ335" i="7"/>
  <c r="EZ141" i="8"/>
  <c r="EZ294" i="8"/>
  <c r="EP26" i="8"/>
  <c r="ER91" i="45"/>
  <c r="EP95" i="45"/>
  <c r="EP96" i="45" s="1"/>
  <c r="FA73" i="7"/>
  <c r="FA83" i="45"/>
  <c r="FA84" i="45"/>
  <c r="FA565" i="7"/>
  <c r="EZ283" i="7"/>
  <c r="EZ565" i="7" s="1"/>
  <c r="EQ26" i="8"/>
  <c r="EQ28" i="8" s="1"/>
  <c r="EQ95" i="45"/>
  <c r="EQ96" i="45" s="1"/>
  <c r="EN153" i="7"/>
  <c r="EN171" i="7"/>
  <c r="EN552" i="7"/>
  <c r="EN62" i="7"/>
  <c r="EN160" i="7"/>
  <c r="ET155" i="7"/>
  <c r="ET162" i="7"/>
  <c r="ET74" i="7"/>
  <c r="ET4" i="8"/>
  <c r="ET10" i="8" s="1"/>
  <c r="ET173" i="7"/>
  <c r="ET177" i="7"/>
  <c r="ER552" i="7"/>
  <c r="ER62" i="7"/>
  <c r="ER153" i="7"/>
  <c r="EQ61" i="7"/>
  <c r="ER160" i="7"/>
  <c r="DX219" i="7" l="1"/>
  <c r="DX220" i="7" s="1"/>
  <c r="DY208" i="7"/>
  <c r="DX560" i="7"/>
  <c r="DX562" i="7" s="1"/>
  <c r="DX25" i="7"/>
  <c r="AL91" i="57"/>
  <c r="AM91" i="57" s="1"/>
  <c r="AM92" i="57" s="1"/>
  <c r="AN92" i="57"/>
  <c r="DX339" i="7"/>
  <c r="EX70" i="7"/>
  <c r="EX154" i="7"/>
  <c r="EX161" i="7"/>
  <c r="EX61" i="7"/>
  <c r="EW69" i="7"/>
  <c r="EY172" i="7" s="1"/>
  <c r="EY154" i="7"/>
  <c r="EY70" i="7"/>
  <c r="EY61" i="7"/>
  <c r="EY161" i="7"/>
  <c r="EQ62" i="7"/>
  <c r="EQ153" i="7"/>
  <c r="EQ552" i="7"/>
  <c r="EQ171" i="7"/>
  <c r="EQ160" i="7"/>
  <c r="EK56" i="7"/>
  <c r="EK159" i="7"/>
  <c r="EK152" i="7"/>
  <c r="EK170" i="7"/>
  <c r="EM170" i="7"/>
  <c r="EZ333" i="7"/>
  <c r="EZ334" i="7"/>
  <c r="DX348" i="7"/>
  <c r="FA179" i="7"/>
  <c r="EZ73" i="7"/>
  <c r="FA162" i="7"/>
  <c r="FA69" i="7"/>
  <c r="FA155" i="7"/>
  <c r="FA4" i="8"/>
  <c r="FA10" i="8" s="1"/>
  <c r="FA74" i="7"/>
  <c r="EV153" i="7"/>
  <c r="EV552" i="7"/>
  <c r="EV160" i="7"/>
  <c r="EV62" i="7"/>
  <c r="EN57" i="7"/>
  <c r="EN155" i="8" s="1"/>
  <c r="EO181" i="7"/>
  <c r="EN181" i="7" s="1"/>
  <c r="EO155" i="8"/>
  <c r="EO55" i="7"/>
  <c r="EU160" i="7"/>
  <c r="EU552" i="7"/>
  <c r="ET61" i="7"/>
  <c r="EV171" i="7" s="1"/>
  <c r="EU62" i="7"/>
  <c r="EU153" i="7"/>
  <c r="EP58" i="7"/>
  <c r="EP57" i="7" s="1"/>
  <c r="EP28" i="8"/>
  <c r="ER26" i="8"/>
  <c r="DX358" i="7"/>
  <c r="AJ14" i="9"/>
  <c r="DX322" i="7"/>
  <c r="DX338" i="7"/>
  <c r="ET172" i="7"/>
  <c r="ET161" i="7"/>
  <c r="ET154" i="7"/>
  <c r="ET70" i="7"/>
  <c r="ES171" i="7"/>
  <c r="EW179" i="7"/>
  <c r="ER92" i="45"/>
  <c r="ES92" i="45" s="1"/>
  <c r="ER95" i="45"/>
  <c r="ER96" i="45" s="1"/>
  <c r="DY104" i="8"/>
  <c r="DZ104" i="8" s="1"/>
  <c r="DZ76" i="7" s="1"/>
  <c r="DX575" i="7"/>
  <c r="DX324" i="7"/>
  <c r="DX323" i="7"/>
  <c r="EW4" i="8"/>
  <c r="EW10" i="8" s="1"/>
  <c r="EW155" i="7"/>
  <c r="EW74" i="7"/>
  <c r="EW177" i="7"/>
  <c r="EW173" i="7"/>
  <c r="EW162" i="7"/>
  <c r="EY177" i="7"/>
  <c r="AN91" i="57" l="1"/>
  <c r="AO92" i="57"/>
  <c r="EW172" i="7"/>
  <c r="EW154" i="7"/>
  <c r="EW161" i="7"/>
  <c r="EW70" i="7"/>
  <c r="EX160" i="7"/>
  <c r="EX62" i="7"/>
  <c r="EW61" i="7"/>
  <c r="EX153" i="7"/>
  <c r="EX552" i="7"/>
  <c r="DX564" i="7"/>
  <c r="DX566" i="7" s="1"/>
  <c r="EZ155" i="7"/>
  <c r="EZ173" i="7"/>
  <c r="EZ74" i="7"/>
  <c r="EZ4" i="8"/>
  <c r="EZ10" i="8" s="1"/>
  <c r="EZ162" i="7"/>
  <c r="EZ177" i="7"/>
  <c r="ET92" i="45"/>
  <c r="ET91" i="45" s="1"/>
  <c r="ES91" i="45"/>
  <c r="EZ179" i="7"/>
  <c r="DX352" i="7"/>
  <c r="DY354" i="7" s="1"/>
  <c r="DY355" i="7"/>
  <c r="DZ35" i="7"/>
  <c r="DY76" i="7"/>
  <c r="DY105" i="8" s="1"/>
  <c r="DZ75" i="7"/>
  <c r="EP181" i="7"/>
  <c r="EP155" i="8"/>
  <c r="EP55" i="7"/>
  <c r="FA154" i="7"/>
  <c r="FA61" i="7"/>
  <c r="EZ69" i="7"/>
  <c r="FA70" i="7"/>
  <c r="FA161" i="7"/>
  <c r="EO159" i="7"/>
  <c r="EO56" i="7"/>
  <c r="EN55" i="7"/>
  <c r="EO152" i="7"/>
  <c r="ER58" i="7"/>
  <c r="ER28" i="8"/>
  <c r="ET160" i="7"/>
  <c r="ET153" i="7"/>
  <c r="ET552" i="7"/>
  <c r="ET171" i="7"/>
  <c r="ET62" i="7"/>
  <c r="EY552" i="7"/>
  <c r="EY160" i="7"/>
  <c r="EY153" i="7"/>
  <c r="EY62" i="7"/>
  <c r="DZ355" i="7" l="1"/>
  <c r="DZ308" i="7"/>
  <c r="DZ354" i="7"/>
  <c r="DZ305" i="7"/>
  <c r="AQ92" i="57"/>
  <c r="AO91" i="57"/>
  <c r="AP91" i="57" s="1"/>
  <c r="AP92" i="57" s="1"/>
  <c r="EP56" i="7"/>
  <c r="EP159" i="7"/>
  <c r="EP152" i="7"/>
  <c r="EP170" i="7"/>
  <c r="Q28" i="9"/>
  <c r="DY75" i="7"/>
  <c r="DZ80" i="7"/>
  <c r="DZ325" i="7"/>
  <c r="ES26" i="8"/>
  <c r="EU91" i="45"/>
  <c r="ES95" i="45"/>
  <c r="ES96" i="45" s="1"/>
  <c r="DX569" i="7"/>
  <c r="DX571" i="7" s="1"/>
  <c r="DX574" i="7" s="1"/>
  <c r="DX337" i="7"/>
  <c r="DY308" i="7"/>
  <c r="DZ307" i="7"/>
  <c r="DY305" i="7"/>
  <c r="EQ58" i="7"/>
  <c r="ER57" i="7"/>
  <c r="EW160" i="7"/>
  <c r="EW552" i="7"/>
  <c r="EW153" i="7"/>
  <c r="EW171" i="7"/>
  <c r="EW62" i="7"/>
  <c r="EY171" i="7"/>
  <c r="DY17" i="8"/>
  <c r="DZ105" i="8"/>
  <c r="DZ17" i="8" s="1"/>
  <c r="FA153" i="7"/>
  <c r="FA62" i="7"/>
  <c r="FA552" i="7"/>
  <c r="EZ61" i="7"/>
  <c r="FA160" i="7"/>
  <c r="EN170" i="7"/>
  <c r="EN56" i="7"/>
  <c r="EN152" i="7"/>
  <c r="EN159" i="7"/>
  <c r="ET26" i="8"/>
  <c r="ET28" i="8" s="1"/>
  <c r="ET95" i="45"/>
  <c r="ET96" i="45" s="1"/>
  <c r="EZ172" i="7"/>
  <c r="EZ161" i="7"/>
  <c r="EZ70" i="7"/>
  <c r="EZ154" i="7"/>
  <c r="DY35" i="7"/>
  <c r="AR92" i="57" l="1"/>
  <c r="AQ91" i="57"/>
  <c r="DY180" i="7"/>
  <c r="ES58" i="7"/>
  <c r="ES57" i="7" s="1"/>
  <c r="ES28" i="8"/>
  <c r="EU26" i="8"/>
  <c r="DY325" i="7"/>
  <c r="Q29" i="9"/>
  <c r="Q44" i="9"/>
  <c r="DY80" i="7"/>
  <c r="DZ123" i="8"/>
  <c r="DZ122" i="8" s="1"/>
  <c r="DY128" i="8" s="1"/>
  <c r="DZ81" i="7"/>
  <c r="DX577" i="7"/>
  <c r="DX579" i="7"/>
  <c r="EQ57" i="7"/>
  <c r="EQ155" i="8" s="1"/>
  <c r="ER181" i="7"/>
  <c r="EQ181" i="7" s="1"/>
  <c r="ER155" i="8"/>
  <c r="ER55" i="7"/>
  <c r="EZ552" i="7"/>
  <c r="EZ160" i="7"/>
  <c r="EZ153" i="7"/>
  <c r="EZ171" i="7"/>
  <c r="EZ62" i="7"/>
  <c r="DY307" i="7"/>
  <c r="EU92" i="45"/>
  <c r="EV92" i="45" s="1"/>
  <c r="EU95" i="45"/>
  <c r="EU96" i="45" s="1"/>
  <c r="AT92" i="57" l="1"/>
  <c r="AR91" i="57"/>
  <c r="AS91" i="57" s="1"/>
  <c r="AS92" i="57" s="1"/>
  <c r="DZ180" i="7"/>
  <c r="AI21" i="9" s="1"/>
  <c r="EU28" i="8"/>
  <c r="EU58" i="7"/>
  <c r="EV91" i="45"/>
  <c r="EW92" i="45"/>
  <c r="EW91" i="45" s="1"/>
  <c r="DY132" i="8"/>
  <c r="DY123" i="8"/>
  <c r="DY122" i="8" s="1"/>
  <c r="ER159" i="7"/>
  <c r="ER152" i="7"/>
  <c r="ER56" i="7"/>
  <c r="EQ55" i="7"/>
  <c r="DZ82" i="7"/>
  <c r="DZ554" i="7" s="1"/>
  <c r="DY81" i="7"/>
  <c r="DZ553" i="7"/>
  <c r="Q30" i="9"/>
  <c r="ES181" i="7"/>
  <c r="ES155" i="8"/>
  <c r="ES55" i="7"/>
  <c r="AT91" i="57" l="1"/>
  <c r="AU92" i="57"/>
  <c r="DY182" i="7"/>
  <c r="EU57" i="7"/>
  <c r="ET58" i="7"/>
  <c r="DY553" i="7"/>
  <c r="DY82" i="7"/>
  <c r="EW26" i="8"/>
  <c r="EW28" i="8" s="1"/>
  <c r="EW95" i="45"/>
  <c r="EW96" i="45" s="1"/>
  <c r="ES152" i="7"/>
  <c r="ES159" i="7"/>
  <c r="ES170" i="7"/>
  <c r="ES56" i="7"/>
  <c r="EV26" i="8"/>
  <c r="EX91" i="45"/>
  <c r="EV95" i="45"/>
  <c r="EV96" i="45" s="1"/>
  <c r="EQ159" i="7"/>
  <c r="EQ170" i="7"/>
  <c r="EQ56" i="7"/>
  <c r="EQ152" i="7"/>
  <c r="DY133" i="8"/>
  <c r="DZ132" i="8"/>
  <c r="DZ133" i="8" s="1"/>
  <c r="AU91" i="57" l="1"/>
  <c r="AV91" i="57" s="1"/>
  <c r="AV92" i="57" s="1"/>
  <c r="AW92" i="57"/>
  <c r="DZ182" i="7"/>
  <c r="DY183" i="7"/>
  <c r="EX92" i="45"/>
  <c r="EY92" i="45" s="1"/>
  <c r="EX95" i="45"/>
  <c r="EX96" i="45" s="1"/>
  <c r="EU181" i="7"/>
  <c r="ET181" i="7" s="1"/>
  <c r="ET57" i="7"/>
  <c r="ET155" i="8" s="1"/>
  <c r="EU155" i="8"/>
  <c r="EU55" i="7"/>
  <c r="EV28" i="8"/>
  <c r="EX26" i="8"/>
  <c r="EV58" i="7"/>
  <c r="EV57" i="7" s="1"/>
  <c r="AC93" i="57"/>
  <c r="DY554" i="7"/>
  <c r="AW91" i="57" l="1"/>
  <c r="AX92" i="57"/>
  <c r="DZ183" i="7"/>
  <c r="AI22" i="9"/>
  <c r="EZ92" i="45"/>
  <c r="EZ91" i="45" s="1"/>
  <c r="EY91" i="45"/>
  <c r="AC94" i="57"/>
  <c r="AD93" i="57"/>
  <c r="AD94" i="57" s="1"/>
  <c r="DZ83" i="7" s="1"/>
  <c r="EX28" i="8"/>
  <c r="EX58" i="7"/>
  <c r="ET55" i="7"/>
  <c r="EU152" i="7"/>
  <c r="EU159" i="7"/>
  <c r="EU56" i="7"/>
  <c r="EV181" i="7"/>
  <c r="EV155" i="8"/>
  <c r="EV55" i="7"/>
  <c r="AX91" i="57" l="1"/>
  <c r="AY91" i="57" s="1"/>
  <c r="AY92" i="57" s="1"/>
  <c r="AZ92" i="57"/>
  <c r="EZ26" i="8"/>
  <c r="EZ28" i="8" s="1"/>
  <c r="EZ95" i="45"/>
  <c r="EZ96" i="45" s="1"/>
  <c r="EX57" i="7"/>
  <c r="EW58" i="7"/>
  <c r="ET170" i="7"/>
  <c r="ET152" i="7"/>
  <c r="ET159" i="7"/>
  <c r="ET56" i="7"/>
  <c r="DY83" i="7"/>
  <c r="Q31" i="9"/>
  <c r="Q32" i="9" s="1"/>
  <c r="DZ85" i="7"/>
  <c r="EY26" i="8"/>
  <c r="FA91" i="45"/>
  <c r="EY95" i="45"/>
  <c r="EY96" i="45" s="1"/>
  <c r="EV170" i="7"/>
  <c r="EV152" i="7"/>
  <c r="EV159" i="7"/>
  <c r="EV56" i="7"/>
  <c r="DZ316" i="7" l="1"/>
  <c r="DY316" i="7" s="1"/>
  <c r="BA92" i="57"/>
  <c r="AZ91" i="57"/>
  <c r="FA92" i="45"/>
  <c r="FA95" i="45"/>
  <c r="FA96" i="45" s="1"/>
  <c r="EY28" i="8"/>
  <c r="FA26" i="8"/>
  <c r="EY58" i="7"/>
  <c r="EY57" i="7" s="1"/>
  <c r="EX181" i="7"/>
  <c r="EW181" i="7" s="1"/>
  <c r="EW57" i="7"/>
  <c r="EW155" i="8" s="1"/>
  <c r="EX155" i="8"/>
  <c r="EX55" i="7"/>
  <c r="DZ10" i="7"/>
  <c r="DZ164" i="7"/>
  <c r="DY85" i="7"/>
  <c r="DZ91" i="7"/>
  <c r="DZ156" i="7"/>
  <c r="DZ116" i="7"/>
  <c r="AI57" i="9"/>
  <c r="BA91" i="57" l="1"/>
  <c r="BB91" i="57" s="1"/>
  <c r="BB92" i="57" s="1"/>
  <c r="BC92" i="57"/>
  <c r="FA58" i="7"/>
  <c r="FA28" i="8"/>
  <c r="DZ14" i="7"/>
  <c r="DZ140" i="7"/>
  <c r="DY116" i="7"/>
  <c r="AK10" i="9" s="1"/>
  <c r="Q34" i="9"/>
  <c r="Q33" i="9" s="1"/>
  <c r="DZ17" i="7"/>
  <c r="DZ5" i="8"/>
  <c r="DZ11" i="8" s="1"/>
  <c r="DY91" i="7"/>
  <c r="DZ11" i="7"/>
  <c r="DZ157" i="7"/>
  <c r="DZ177" i="8"/>
  <c r="DZ163" i="7"/>
  <c r="EX56" i="7"/>
  <c r="EX152" i="7"/>
  <c r="EX159" i="7"/>
  <c r="EW55" i="7"/>
  <c r="DY156" i="7"/>
  <c r="DY175" i="7"/>
  <c r="DY164" i="7"/>
  <c r="DY10" i="7"/>
  <c r="EY181" i="7"/>
  <c r="EY155" i="8"/>
  <c r="EY55" i="7"/>
  <c r="BC91" i="57" l="1"/>
  <c r="BD92" i="57"/>
  <c r="BD91" i="57" s="1"/>
  <c r="DZ208" i="7"/>
  <c r="DZ145" i="7" s="1"/>
  <c r="DY14" i="7"/>
  <c r="AK13" i="9" s="1"/>
  <c r="EY170" i="7"/>
  <c r="EY152" i="7"/>
  <c r="EY56" i="7"/>
  <c r="EY159" i="7"/>
  <c r="DY17" i="7"/>
  <c r="DY11" i="7"/>
  <c r="DY5" i="8"/>
  <c r="DY11" i="8" s="1"/>
  <c r="DY157" i="7"/>
  <c r="DY177" i="8"/>
  <c r="DY174" i="7"/>
  <c r="DY163" i="7"/>
  <c r="EZ58" i="7"/>
  <c r="FA57" i="7"/>
  <c r="EW170" i="7"/>
  <c r="EW159" i="7"/>
  <c r="EW56" i="7"/>
  <c r="EW152" i="7"/>
  <c r="DZ15" i="7"/>
  <c r="DZ12" i="7"/>
  <c r="DY140" i="7"/>
  <c r="DZ141" i="7"/>
  <c r="DZ144" i="7"/>
  <c r="DZ27" i="7"/>
  <c r="Q16" i="9"/>
  <c r="Q14" i="9"/>
  <c r="Q15" i="9" s="1"/>
  <c r="DY212" i="7"/>
  <c r="AI31" i="9" l="1"/>
  <c r="DY314" i="7"/>
  <c r="DZ314" i="7" s="1"/>
  <c r="BE91" i="57"/>
  <c r="BE92" i="57" s="1"/>
  <c r="DY27" i="7"/>
  <c r="DY197" i="8"/>
  <c r="DZ197" i="8" s="1"/>
  <c r="DZ198" i="8" s="1"/>
  <c r="DY141" i="7"/>
  <c r="DY144" i="7"/>
  <c r="Q7" i="9"/>
  <c r="DY15" i="7"/>
  <c r="DY12" i="7"/>
  <c r="DY145" i="7"/>
  <c r="DZ147" i="7"/>
  <c r="FA181" i="7"/>
  <c r="EZ181" i="7" s="1"/>
  <c r="EZ57" i="7"/>
  <c r="EZ155" i="8" s="1"/>
  <c r="FA155" i="8"/>
  <c r="FA55" i="7"/>
  <c r="DY341" i="7" l="1"/>
  <c r="DY147" i="7"/>
  <c r="EA143" i="7"/>
  <c r="EC143" i="7"/>
  <c r="EZ55" i="7"/>
  <c r="FA56" i="7"/>
  <c r="FA152" i="7"/>
  <c r="FA159" i="7"/>
  <c r="AI55" i="9"/>
  <c r="DZ315" i="7"/>
  <c r="DZ345" i="7" l="1"/>
  <c r="DZ202" i="8" s="1"/>
  <c r="DZ341" i="7"/>
  <c r="DY22" i="7"/>
  <c r="DY359" i="7" s="1"/>
  <c r="DZ342" i="7"/>
  <c r="DZ22" i="7"/>
  <c r="AK14" i="9"/>
  <c r="DZ317" i="7"/>
  <c r="DY315" i="7"/>
  <c r="DZ560" i="7"/>
  <c r="DZ562" i="7" s="1"/>
  <c r="AI56" i="9"/>
  <c r="AI54" i="9" s="1"/>
  <c r="EZ152" i="7"/>
  <c r="EZ170" i="7"/>
  <c r="EZ56" i="7"/>
  <c r="EZ159" i="7"/>
  <c r="DY358" i="7" l="1"/>
  <c r="DY205" i="8" s="1"/>
  <c r="DZ24" i="7"/>
  <c r="DZ358" i="7"/>
  <c r="Q12" i="9"/>
  <c r="DZ359" i="7"/>
  <c r="Q40" i="9" s="1"/>
  <c r="DY342" i="7"/>
  <c r="DY560" i="7"/>
  <c r="DY562" i="7" s="1"/>
  <c r="DY317" i="7"/>
  <c r="DY338" i="7" s="1"/>
  <c r="DZ338" i="7"/>
  <c r="Q39" i="9" s="1"/>
  <c r="DY348" i="7" l="1"/>
  <c r="EA355" i="7" s="1"/>
  <c r="DY219" i="7"/>
  <c r="DZ219" i="7" s="1"/>
  <c r="DZ348" i="7" l="1"/>
  <c r="DZ203" i="8" s="1"/>
  <c r="DY352" i="7"/>
  <c r="EA354" i="7" s="1"/>
  <c r="EA305" i="7" s="1"/>
  <c r="EA308" i="7"/>
  <c r="EA307" i="7" s="1"/>
  <c r="DZ187" i="7" l="1"/>
  <c r="DY187" i="7" s="1"/>
  <c r="DY217" i="7" s="1"/>
  <c r="DZ217" i="7" s="1"/>
  <c r="DY20" i="7" l="1"/>
  <c r="AI25" i="9"/>
  <c r="AI24" i="9" s="1"/>
  <c r="DZ20" i="7"/>
  <c r="Q11" i="9" l="1"/>
  <c r="Q10" i="9"/>
  <c r="DZ189" i="7"/>
  <c r="DZ188" i="7" s="1"/>
  <c r="DY188" i="7" l="1"/>
  <c r="DZ294" i="8"/>
  <c r="AI26" i="9"/>
  <c r="DZ155" i="8"/>
  <c r="DY218" i="7" l="1"/>
  <c r="DZ218" i="7" s="1"/>
  <c r="DZ220" i="7" s="1"/>
  <c r="DY220" i="7" s="1"/>
  <c r="DZ247" i="7"/>
  <c r="EC247" i="7" s="1"/>
  <c r="DY155" i="8"/>
  <c r="DY294" i="8"/>
  <c r="E18" i="70"/>
  <c r="E20" i="70" s="1"/>
  <c r="EA247" i="7" l="1"/>
  <c r="EA42" i="8" s="1"/>
  <c r="DZ44" i="8"/>
  <c r="DZ46" i="8" s="1"/>
  <c r="DZ49" i="8" s="1"/>
  <c r="DY49" i="8" s="1"/>
  <c r="DZ245" i="7"/>
  <c r="DZ42" i="8"/>
  <c r="DZ45" i="8" s="1"/>
  <c r="DY247" i="7"/>
  <c r="DY44" i="8" s="1"/>
  <c r="DY46" i="8" s="1"/>
  <c r="AI42" i="9"/>
  <c r="DY245" i="7"/>
  <c r="DY568" i="7" s="1"/>
  <c r="DZ568" i="7"/>
  <c r="EA245" i="7"/>
  <c r="EA44" i="8"/>
  <c r="EC42" i="8"/>
  <c r="EB247" i="7"/>
  <c r="EF247" i="7"/>
  <c r="ED247" i="7"/>
  <c r="EC245" i="7"/>
  <c r="EC44" i="8"/>
  <c r="DY42" i="8" l="1"/>
  <c r="DY45" i="8" s="1"/>
  <c r="EA45" i="8"/>
  <c r="EC45" i="8"/>
  <c r="ED44" i="8"/>
  <c r="ED46" i="8" s="1"/>
  <c r="ED49" i="8" s="1"/>
  <c r="ED42" i="8"/>
  <c r="ED245" i="7"/>
  <c r="EC568" i="7"/>
  <c r="EB245" i="7"/>
  <c r="EB568" i="7" s="1"/>
  <c r="AJ42" i="9"/>
  <c r="EF44" i="8"/>
  <c r="EF245" i="7"/>
  <c r="EE247" i="7"/>
  <c r="EI247" i="7"/>
  <c r="EG247" i="7"/>
  <c r="EF42" i="8"/>
  <c r="EB42" i="8"/>
  <c r="EB45" i="8" s="1"/>
  <c r="EB44" i="8"/>
  <c r="EB46" i="8" s="1"/>
  <c r="EA46" i="8"/>
  <c r="EA49" i="8" s="1"/>
  <c r="EA568" i="7"/>
  <c r="EC46" i="8"/>
  <c r="EC49" i="8" s="1"/>
  <c r="EB49" i="8" s="1"/>
  <c r="EG42" i="8" l="1"/>
  <c r="EG45" i="8" s="1"/>
  <c r="EG44" i="8"/>
  <c r="EG245" i="7"/>
  <c r="EI245" i="7"/>
  <c r="EI44" i="8"/>
  <c r="EI46" i="8" s="1"/>
  <c r="EI49" i="8" s="1"/>
  <c r="EH49" i="8" s="1"/>
  <c r="EJ247" i="7"/>
  <c r="EH247" i="7"/>
  <c r="EL247" i="7"/>
  <c r="EI42" i="8"/>
  <c r="EI45" i="8" s="1"/>
  <c r="ED568" i="7"/>
  <c r="EF45" i="8"/>
  <c r="EE42" i="8"/>
  <c r="EE45" i="8" s="1"/>
  <c r="EE44" i="8"/>
  <c r="EE46" i="8" s="1"/>
  <c r="EF46" i="8"/>
  <c r="EF49" i="8" s="1"/>
  <c r="EE49" i="8" s="1"/>
  <c r="ED45" i="8"/>
  <c r="AK42" i="9"/>
  <c r="EE245" i="7"/>
  <c r="EE568" i="7" s="1"/>
  <c r="EF568" i="7"/>
  <c r="EG568" i="7" l="1"/>
  <c r="EO247" i="7"/>
  <c r="EL42" i="8"/>
  <c r="EL45" i="8" s="1"/>
  <c r="EL245" i="7"/>
  <c r="EK247" i="7"/>
  <c r="EL44" i="8"/>
  <c r="EL46" i="8" s="1"/>
  <c r="EL49" i="8" s="1"/>
  <c r="EK49" i="8" s="1"/>
  <c r="EM247" i="7"/>
  <c r="EG46" i="8"/>
  <c r="EG49" i="8" s="1"/>
  <c r="EH42" i="8"/>
  <c r="EH45" i="8" s="1"/>
  <c r="EH44" i="8"/>
  <c r="EH46" i="8" s="1"/>
  <c r="EH245" i="7"/>
  <c r="EH568" i="7" s="1"/>
  <c r="EI568" i="7"/>
  <c r="EJ44" i="8"/>
  <c r="EJ245" i="7"/>
  <c r="EJ42" i="8"/>
  <c r="EJ45" i="8" s="1"/>
  <c r="EJ568" i="7" l="1"/>
  <c r="EM42" i="8"/>
  <c r="EM45" i="8" s="1"/>
  <c r="EM245" i="7"/>
  <c r="EM44" i="8"/>
  <c r="EM46" i="8" s="1"/>
  <c r="EM49" i="8" s="1"/>
  <c r="EK42" i="8"/>
  <c r="EK45" i="8" s="1"/>
  <c r="EK44" i="8"/>
  <c r="EK46" i="8" s="1"/>
  <c r="EJ46" i="8"/>
  <c r="EJ49" i="8" s="1"/>
  <c r="EK245" i="7"/>
  <c r="EK568" i="7" s="1"/>
  <c r="EL568" i="7"/>
  <c r="ER247" i="7"/>
  <c r="EO44" i="8"/>
  <c r="EO46" i="8" s="1"/>
  <c r="EO49" i="8" s="1"/>
  <c r="EN49" i="8" s="1"/>
  <c r="EN247" i="7"/>
  <c r="EO42" i="8"/>
  <c r="EO45" i="8" s="1"/>
  <c r="EO245" i="7"/>
  <c r="EP247" i="7"/>
  <c r="EM568" i="7" l="1"/>
  <c r="EP42" i="8"/>
  <c r="EP45" i="8" s="1"/>
  <c r="EP44" i="8"/>
  <c r="EP245" i="7"/>
  <c r="EN245" i="7"/>
  <c r="EN568" i="7" s="1"/>
  <c r="EO568" i="7"/>
  <c r="EN44" i="8"/>
  <c r="EN46" i="8" s="1"/>
  <c r="EN42" i="8"/>
  <c r="EN45" i="8" s="1"/>
  <c r="ES247" i="7"/>
  <c r="ER44" i="8"/>
  <c r="ER245" i="7"/>
  <c r="EQ247" i="7"/>
  <c r="EU247" i="7"/>
  <c r="ER42" i="8"/>
  <c r="ER45" i="8" s="1"/>
  <c r="ES44" i="8" l="1"/>
  <c r="ES42" i="8"/>
  <c r="ES245" i="7"/>
  <c r="EU44" i="8"/>
  <c r="EU42" i="8"/>
  <c r="EU45" i="8" s="1"/>
  <c r="EV247" i="7"/>
  <c r="ET247" i="7"/>
  <c r="EU245" i="7"/>
  <c r="EX247" i="7"/>
  <c r="EP46" i="8"/>
  <c r="EP49" i="8" s="1"/>
  <c r="EQ42" i="8"/>
  <c r="EQ45" i="8" s="1"/>
  <c r="EQ44" i="8"/>
  <c r="EQ46" i="8" s="1"/>
  <c r="EQ245" i="7"/>
  <c r="EQ568" i="7" s="1"/>
  <c r="ER568" i="7"/>
  <c r="ER46" i="8"/>
  <c r="ER49" i="8" s="1"/>
  <c r="EQ49" i="8" s="1"/>
  <c r="EP568" i="7"/>
  <c r="ES568" i="7" l="1"/>
  <c r="ES45" i="8"/>
  <c r="EX245" i="7"/>
  <c r="FA247" i="7"/>
  <c r="EX44" i="8"/>
  <c r="EW247" i="7"/>
  <c r="EX42" i="8"/>
  <c r="EY247" i="7"/>
  <c r="EV42" i="8"/>
  <c r="EV45" i="8" s="1"/>
  <c r="EV44" i="8"/>
  <c r="EV46" i="8" s="1"/>
  <c r="EV49" i="8" s="1"/>
  <c r="EV245" i="7"/>
  <c r="EU46" i="8"/>
  <c r="EU49" i="8" s="1"/>
  <c r="ET49" i="8" s="1"/>
  <c r="ES46" i="8"/>
  <c r="ES49" i="8" s="1"/>
  <c r="ET245" i="7"/>
  <c r="ET568" i="7" s="1"/>
  <c r="EU568" i="7"/>
  <c r="ET44" i="8"/>
  <c r="ET46" i="8" s="1"/>
  <c r="ET42" i="8"/>
  <c r="ET45" i="8" s="1"/>
  <c r="FA245" i="7" l="1"/>
  <c r="FA44" i="8"/>
  <c r="FA46" i="8" s="1"/>
  <c r="FA49" i="8" s="1"/>
  <c r="EZ49" i="8" s="1"/>
  <c r="EZ247" i="7"/>
  <c r="FA42" i="8"/>
  <c r="FA45" i="8" s="1"/>
  <c r="EX568" i="7"/>
  <c r="EW245" i="7"/>
  <c r="EW568" i="7" s="1"/>
  <c r="EX46" i="8"/>
  <c r="EX49" i="8" s="1"/>
  <c r="EW49" i="8" s="1"/>
  <c r="EW42" i="8"/>
  <c r="EW45" i="8" s="1"/>
  <c r="EW44" i="8"/>
  <c r="EW46" i="8" s="1"/>
  <c r="EV568" i="7"/>
  <c r="EY44" i="8"/>
  <c r="EY46" i="8" s="1"/>
  <c r="EY49" i="8" s="1"/>
  <c r="EY42" i="8"/>
  <c r="EY45" i="8" s="1"/>
  <c r="EY245" i="7"/>
  <c r="EX45" i="8"/>
  <c r="EZ245" i="7" l="1"/>
  <c r="EZ568" i="7" s="1"/>
  <c r="FA568" i="7"/>
  <c r="EY568" i="7"/>
  <c r="EZ44" i="8"/>
  <c r="EZ46" i="8" s="1"/>
  <c r="EZ42" i="8"/>
  <c r="EZ45" i="8" s="1"/>
  <c r="DY572" i="7" l="1"/>
  <c r="EA251" i="7"/>
  <c r="EC251" i="7"/>
  <c r="EC250" i="7" s="1"/>
  <c r="EB250" i="7" l="1"/>
  <c r="EA250" i="7"/>
  <c r="EA572" i="7"/>
  <c r="EF251" i="7"/>
  <c r="DZ572" i="7"/>
  <c r="EB251" i="7"/>
  <c r="EB572" i="7" s="1"/>
  <c r="AJ44" i="9"/>
  <c r="DZ250" i="7"/>
  <c r="EC572" i="7"/>
  <c r="ED251" i="7"/>
  <c r="AI44" i="9"/>
  <c r="ED250" i="7" l="1"/>
  <c r="ED572" i="7"/>
  <c r="DZ25" i="7"/>
  <c r="DY250" i="7"/>
  <c r="DY25" i="7" s="1"/>
  <c r="EE251" i="7"/>
  <c r="EE572" i="7" s="1"/>
  <c r="EI251" i="7"/>
  <c r="EF572" i="7"/>
  <c r="EG251" i="7"/>
  <c r="AK44" i="9"/>
  <c r="EF250" i="7"/>
  <c r="EE250" i="7" l="1"/>
  <c r="EG572" i="7"/>
  <c r="EG250" i="7"/>
  <c r="EH251" i="7"/>
  <c r="EH572" i="7" s="1"/>
  <c r="EL251" i="7"/>
  <c r="EI250" i="7"/>
  <c r="EI572" i="7"/>
  <c r="EJ251" i="7"/>
  <c r="EJ572" i="7" l="1"/>
  <c r="EJ250" i="7"/>
  <c r="EH250" i="7"/>
  <c r="EK251" i="7"/>
  <c r="EK572" i="7" s="1"/>
  <c r="EO251" i="7"/>
  <c r="EL572" i="7"/>
  <c r="EL250" i="7"/>
  <c r="EM251" i="7"/>
  <c r="EM572" i="7" l="1"/>
  <c r="EM250" i="7"/>
  <c r="EK250" i="7"/>
  <c r="EN251" i="7"/>
  <c r="EN572" i="7" s="1"/>
  <c r="ER251" i="7"/>
  <c r="EO250" i="7"/>
  <c r="EO572" i="7"/>
  <c r="EP251" i="7"/>
  <c r="EP250" i="7" l="1"/>
  <c r="EP572" i="7"/>
  <c r="EN250" i="7"/>
  <c r="ER250" i="7"/>
  <c r="EU251" i="7"/>
  <c r="EQ251" i="7"/>
  <c r="EQ572" i="7" s="1"/>
  <c r="ES251" i="7"/>
  <c r="ER572" i="7"/>
  <c r="EQ250" i="7" l="1"/>
  <c r="ES572" i="7"/>
  <c r="ES250" i="7"/>
  <c r="EU572" i="7"/>
  <c r="EV251" i="7"/>
  <c r="ET251" i="7"/>
  <c r="ET572" i="7" s="1"/>
  <c r="EX251" i="7"/>
  <c r="EU250" i="7"/>
  <c r="EV572" i="7" l="1"/>
  <c r="EV250" i="7"/>
  <c r="ET250" i="7"/>
  <c r="EW251" i="7"/>
  <c r="EW572" i="7" s="1"/>
  <c r="EX572" i="7"/>
  <c r="EX250" i="7"/>
  <c r="FA251" i="7"/>
  <c r="EY251" i="7"/>
  <c r="EY572" i="7" l="1"/>
  <c r="EY250" i="7"/>
  <c r="FA572" i="7"/>
  <c r="FA250" i="7"/>
  <c r="EZ251" i="7"/>
  <c r="EZ572" i="7" s="1"/>
  <c r="EW250" i="7"/>
  <c r="EZ250" i="7" l="1"/>
  <c r="DY158" i="8" l="1"/>
  <c r="DY159" i="8"/>
  <c r="DY161" i="8"/>
  <c r="DY162" i="8"/>
  <c r="DZ40" i="7"/>
  <c r="DZ34" i="7" s="1"/>
  <c r="DZ555" i="7" s="1"/>
  <c r="DZ556" i="7" s="1"/>
  <c r="DZ557" i="7" s="1"/>
  <c r="DZ204" i="7"/>
  <c r="AI28" i="9" s="1"/>
  <c r="AI27" i="9" s="1"/>
  <c r="DZ233" i="7"/>
  <c r="EA233" i="7" s="1"/>
  <c r="EC233" i="7"/>
  <c r="ED233" i="7" s="1"/>
  <c r="DZ248" i="7"/>
  <c r="EA248" i="7" s="1"/>
  <c r="EA260" i="7" s="1"/>
  <c r="DY233" i="7" l="1"/>
  <c r="DZ576" i="7"/>
  <c r="EA576" i="7"/>
  <c r="AI43" i="9"/>
  <c r="EC248" i="7"/>
  <c r="EB233" i="7"/>
  <c r="EF233" i="7"/>
  <c r="DY248" i="7"/>
  <c r="DZ260" i="7"/>
  <c r="DY204" i="7"/>
  <c r="DY214" i="7" s="1"/>
  <c r="DZ42" i="7"/>
  <c r="DY34" i="7"/>
  <c r="DY555" i="7" s="1"/>
  <c r="DY556" i="7" s="1"/>
  <c r="DY557" i="7" s="1"/>
  <c r="DY40" i="7"/>
  <c r="DZ214" i="7" l="1"/>
  <c r="DZ224" i="7" s="1"/>
  <c r="DZ228" i="7"/>
  <c r="AI34" i="9"/>
  <c r="DY42" i="7"/>
  <c r="DY53" i="7" s="1"/>
  <c r="DZ53" i="7"/>
  <c r="DZ43" i="7" s="1"/>
  <c r="DY43" i="7" s="1"/>
  <c r="AI47" i="9"/>
  <c r="DY260" i="7"/>
  <c r="DY576" i="7"/>
  <c r="EE233" i="7"/>
  <c r="EG233" i="7"/>
  <c r="EI233" i="7"/>
  <c r="AJ43" i="9"/>
  <c r="ED248" i="7"/>
  <c r="EC260" i="7"/>
  <c r="EB248" i="7"/>
  <c r="EB576" i="7" s="1"/>
  <c r="EF248" i="7"/>
  <c r="EF576" i="7" s="1"/>
  <c r="EC576" i="7"/>
  <c r="ED260" i="7" l="1"/>
  <c r="ED576" i="7"/>
  <c r="AI46" i="9"/>
  <c r="AJ47" i="9"/>
  <c r="EB260" i="7"/>
  <c r="AI37" i="9"/>
  <c r="DZ242" i="7"/>
  <c r="DY228" i="7"/>
  <c r="DZ176" i="8"/>
  <c r="DZ174" i="8" s="1"/>
  <c r="AI29" i="9"/>
  <c r="DZ212" i="7"/>
  <c r="AI33" i="9" s="1"/>
  <c r="EH233" i="7"/>
  <c r="EJ233" i="7"/>
  <c r="EL233" i="7"/>
  <c r="EC222" i="7"/>
  <c r="DY224" i="7"/>
  <c r="EA222" i="7"/>
  <c r="AK43" i="9"/>
  <c r="EG248" i="7"/>
  <c r="EG260" i="7" s="1"/>
  <c r="EF260" i="7"/>
  <c r="EE248" i="7"/>
  <c r="EE576" i="7" s="1"/>
  <c r="EI248" i="7"/>
  <c r="EI576" i="7" s="1"/>
  <c r="EG576" i="7" l="1"/>
  <c r="AI32" i="9"/>
  <c r="AI41" i="9"/>
  <c r="DZ261" i="7"/>
  <c r="DY242" i="7"/>
  <c r="DY564" i="7" s="1"/>
  <c r="DY566" i="7" s="1"/>
  <c r="DZ564" i="7"/>
  <c r="DZ566" i="7" s="1"/>
  <c r="AJ46" i="9"/>
  <c r="DZ179" i="8"/>
  <c r="DZ286" i="7"/>
  <c r="DY179" i="8"/>
  <c r="AK47" i="9"/>
  <c r="EE260" i="7"/>
  <c r="EJ248" i="7"/>
  <c r="EJ260" i="7" s="1"/>
  <c r="EL248" i="7"/>
  <c r="EL576" i="7" s="1"/>
  <c r="EI260" i="7"/>
  <c r="EH260" i="7" s="1"/>
  <c r="EH248" i="7"/>
  <c r="EH576" i="7" s="1"/>
  <c r="DY103" i="8"/>
  <c r="DZ103" i="8"/>
  <c r="EA104" i="8" s="1"/>
  <c r="EM233" i="7"/>
  <c r="EK233" i="7"/>
  <c r="EO233" i="7"/>
  <c r="EJ576" i="7" l="1"/>
  <c r="AI50" i="9"/>
  <c r="DZ167" i="7"/>
  <c r="DZ323" i="7"/>
  <c r="DZ299" i="7"/>
  <c r="DZ324" i="7"/>
  <c r="DY286" i="7"/>
  <c r="DZ322" i="7"/>
  <c r="Q42" i="9" s="1"/>
  <c r="DZ339" i="7"/>
  <c r="DZ575" i="7"/>
  <c r="AK46" i="9"/>
  <c r="EA76" i="7"/>
  <c r="DZ337" i="7"/>
  <c r="Q38" i="9" s="1"/>
  <c r="DY261" i="7"/>
  <c r="EN233" i="7"/>
  <c r="EP233" i="7"/>
  <c r="ER233" i="7"/>
  <c r="EO248" i="7"/>
  <c r="EO576" i="7" s="1"/>
  <c r="EM248" i="7"/>
  <c r="EM260" i="7" s="1"/>
  <c r="EL260" i="7"/>
  <c r="EK260" i="7" s="1"/>
  <c r="EK248" i="7"/>
  <c r="EK576" i="7" s="1"/>
  <c r="AI40" i="9"/>
  <c r="AI48" i="9"/>
  <c r="Q41" i="9" l="1"/>
  <c r="Q43" i="9" s="1"/>
  <c r="Q9" i="9"/>
  <c r="DY324" i="7"/>
  <c r="DZ300" i="7"/>
  <c r="DY299" i="7"/>
  <c r="EQ233" i="7"/>
  <c r="ES233" i="7"/>
  <c r="EU233" i="7"/>
  <c r="EA179" i="8"/>
  <c r="EA286" i="7"/>
  <c r="EM576" i="7"/>
  <c r="DY337" i="7"/>
  <c r="DY115" i="8"/>
  <c r="EA116" i="8" s="1"/>
  <c r="DY167" i="7"/>
  <c r="DY322" i="7"/>
  <c r="DY339" i="7"/>
  <c r="DY323" i="7"/>
  <c r="DY575" i="7"/>
  <c r="EP248" i="7"/>
  <c r="EP260" i="7" s="1"/>
  <c r="EN248" i="7"/>
  <c r="EN576" i="7" s="1"/>
  <c r="EO260" i="7"/>
  <c r="EN260" i="7" s="1"/>
  <c r="ER248" i="7"/>
  <c r="EA105" i="8"/>
  <c r="EA35" i="7"/>
  <c r="EA34" i="7" s="1"/>
  <c r="DZ115" i="8"/>
  <c r="EP576" i="7" l="1"/>
  <c r="EA17" i="8"/>
  <c r="AI53" i="9"/>
  <c r="AI52" i="9" s="1"/>
  <c r="AI58" i="9" s="1"/>
  <c r="DY300" i="7"/>
  <c r="DY569" i="7" s="1"/>
  <c r="DY571" i="7" s="1"/>
  <c r="DY574" i="7" s="1"/>
  <c r="DZ569" i="7"/>
  <c r="DZ571" i="7" s="1"/>
  <c r="DZ574" i="7" s="1"/>
  <c r="DZ302" i="7"/>
  <c r="EA117" i="8"/>
  <c r="ES248" i="7"/>
  <c r="ES260" i="7" s="1"/>
  <c r="EQ248" i="7"/>
  <c r="EQ576" i="7" s="1"/>
  <c r="EU248" i="7"/>
  <c r="EU576" i="7" s="1"/>
  <c r="ER260" i="7"/>
  <c r="EQ260" i="7" s="1"/>
  <c r="EA42" i="7"/>
  <c r="EA53" i="7" s="1"/>
  <c r="EA43" i="7" s="1"/>
  <c r="EA115" i="8"/>
  <c r="EB116" i="8" s="1"/>
  <c r="EB117" i="8" s="1"/>
  <c r="EB18" i="8" s="1"/>
  <c r="EA299" i="7"/>
  <c r="EA300" i="7" s="1"/>
  <c r="ER576" i="7"/>
  <c r="ET233" i="7"/>
  <c r="EV233" i="7"/>
  <c r="EX233" i="7"/>
  <c r="ES576" i="7" l="1"/>
  <c r="DY577" i="7"/>
  <c r="DY579" i="7"/>
  <c r="DZ577" i="7"/>
  <c r="DZ579" i="7"/>
  <c r="EV248" i="7"/>
  <c r="EV260" i="7" s="1"/>
  <c r="ET248" i="7"/>
  <c r="ET576" i="7" s="1"/>
  <c r="EU260" i="7"/>
  <c r="ET260" i="7" s="1"/>
  <c r="EX248" i="7"/>
  <c r="EA18" i="8"/>
  <c r="EA77" i="7"/>
  <c r="EC116" i="8"/>
  <c r="EC117" i="8" s="1"/>
  <c r="EY233" i="7"/>
  <c r="EW233" i="7"/>
  <c r="FA233" i="7"/>
  <c r="DY302" i="7"/>
  <c r="DY319" i="7" s="1"/>
  <c r="DZ319" i="7"/>
  <c r="EW248" i="7" l="1"/>
  <c r="EY248" i="7"/>
  <c r="EY260" i="7" s="1"/>
  <c r="EX260" i="7"/>
  <c r="EW260" i="7" s="1"/>
  <c r="FA248" i="7"/>
  <c r="EA167" i="7"/>
  <c r="EA75" i="7"/>
  <c r="EV576" i="7"/>
  <c r="EX576" i="7"/>
  <c r="EZ233" i="7"/>
  <c r="EW576" i="7"/>
  <c r="EC18" i="8"/>
  <c r="EC77" i="7"/>
  <c r="EY576" i="7" l="1"/>
  <c r="EB77" i="7"/>
  <c r="EA80" i="7"/>
  <c r="EA180" i="7"/>
  <c r="EA325" i="7"/>
  <c r="FA260" i="7"/>
  <c r="EZ260" i="7" s="1"/>
  <c r="EZ248" i="7"/>
  <c r="EZ576" i="7" s="1"/>
  <c r="FA576" i="7"/>
  <c r="EA123" i="8" l="1"/>
  <c r="EA122" i="8" s="1"/>
  <c r="EA132" i="8"/>
  <c r="EA81" i="7"/>
  <c r="EA82" i="7" l="1"/>
  <c r="EA182" i="7"/>
  <c r="EA183" i="7" s="1"/>
  <c r="EA187" i="7" s="1"/>
  <c r="EA553" i="7"/>
  <c r="EA133" i="8"/>
  <c r="EA20" i="7" l="1"/>
  <c r="EA217" i="7"/>
  <c r="EA186" i="7"/>
  <c r="AE93" i="57"/>
  <c r="EA554" i="7"/>
  <c r="AE94" i="57" l="1"/>
  <c r="EA83" i="7" s="1"/>
  <c r="EA316" i="7" l="1"/>
  <c r="EA555" i="7"/>
  <c r="EA556" i="7" s="1"/>
  <c r="EA557" i="7" s="1"/>
  <c r="EA85" i="7"/>
  <c r="EA10" i="7" l="1"/>
  <c r="EA14" i="7" s="1"/>
  <c r="EA164" i="7"/>
  <c r="EA116" i="7"/>
  <c r="EA140" i="7" s="1"/>
  <c r="EA175" i="7"/>
  <c r="EA91" i="7"/>
  <c r="EA156" i="7"/>
  <c r="EA5" i="8" l="1"/>
  <c r="EA11" i="8" s="1"/>
  <c r="EA11" i="7"/>
  <c r="EA177" i="8"/>
  <c r="EA17" i="7"/>
  <c r="EA174" i="7"/>
  <c r="EA163" i="7"/>
  <c r="EA157" i="7"/>
  <c r="EA208" i="7"/>
  <c r="EA141" i="7"/>
  <c r="EA144" i="7"/>
  <c r="EA197" i="8"/>
  <c r="EA27" i="7"/>
  <c r="EA341" i="7" l="1"/>
  <c r="EA145" i="7"/>
  <c r="EA314" i="7" s="1"/>
  <c r="EA315" i="7" s="1"/>
  <c r="EA212" i="7"/>
  <c r="EA214" i="7" s="1"/>
  <c r="EA15" i="7"/>
  <c r="EA12" i="7"/>
  <c r="EA228" i="7" l="1"/>
  <c r="EA339" i="7" s="1"/>
  <c r="EA224" i="7"/>
  <c r="EB222" i="7" s="1"/>
  <c r="EA25" i="7"/>
  <c r="EA317" i="7"/>
  <c r="EA560" i="7"/>
  <c r="EA562" i="7" s="1"/>
  <c r="EA147" i="7"/>
  <c r="EB143" i="7" s="1"/>
  <c r="EA22" i="7"/>
  <c r="EA342" i="7"/>
  <c r="EA322" i="7" l="1"/>
  <c r="EA338" i="7"/>
  <c r="EA358" i="7"/>
  <c r="EA242" i="7"/>
  <c r="EA575" i="7"/>
  <c r="EA103" i="8"/>
  <c r="EB104" i="8" s="1"/>
  <c r="EC104" i="8" s="1"/>
  <c r="EC76" i="7" s="1"/>
  <c r="EA323" i="7"/>
  <c r="EA324" i="7"/>
  <c r="EA348" i="7"/>
  <c r="EA219" i="7"/>
  <c r="EA220" i="7" s="1"/>
  <c r="EA359" i="7"/>
  <c r="EA352" i="7" l="1"/>
  <c r="EB354" i="7" s="1"/>
  <c r="EC354" i="7" s="1"/>
  <c r="EC305" i="7" s="1"/>
  <c r="EB355" i="7"/>
  <c r="EC355" i="7" s="1"/>
  <c r="EC308" i="7" s="1"/>
  <c r="EA261" i="7"/>
  <c r="EA564" i="7"/>
  <c r="EA566" i="7" s="1"/>
  <c r="EC75" i="7"/>
  <c r="EB76" i="7"/>
  <c r="EB105" i="8" s="1"/>
  <c r="EC35" i="7"/>
  <c r="EC34" i="7" l="1"/>
  <c r="EB35" i="7"/>
  <c r="EB17" i="8"/>
  <c r="EC105" i="8"/>
  <c r="EC17" i="8" s="1"/>
  <c r="R28" i="9"/>
  <c r="EC80" i="7"/>
  <c r="EC180" i="7"/>
  <c r="EB75" i="7"/>
  <c r="EC325" i="7"/>
  <c r="EA337" i="7"/>
  <c r="EA302" i="7"/>
  <c r="EA319" i="7" s="1"/>
  <c r="EA569" i="7"/>
  <c r="EA571" i="7" s="1"/>
  <c r="EA574" i="7" s="1"/>
  <c r="EC307" i="7"/>
  <c r="EB308" i="7"/>
  <c r="EB305" i="7"/>
  <c r="EA577" i="7" l="1"/>
  <c r="EA579" i="7"/>
  <c r="EB325" i="7"/>
  <c r="AJ21" i="9"/>
  <c r="EB180" i="7"/>
  <c r="EC123" i="8"/>
  <c r="EC122" i="8" s="1"/>
  <c r="EB128" i="8" s="1"/>
  <c r="EB80" i="7"/>
  <c r="EC81" i="7"/>
  <c r="EB307" i="7"/>
  <c r="R44" i="9"/>
  <c r="R29" i="9"/>
  <c r="EB34" i="7"/>
  <c r="EC42" i="7"/>
  <c r="EC53" i="7" l="1"/>
  <c r="EC43" i="7" s="1"/>
  <c r="EB43" i="7" s="1"/>
  <c r="EB42" i="7"/>
  <c r="EB53" i="7" s="1"/>
  <c r="EB123" i="8"/>
  <c r="EB122" i="8" s="1"/>
  <c r="EB132" i="8"/>
  <c r="R30" i="9"/>
  <c r="EB81" i="7"/>
  <c r="EC82" i="7"/>
  <c r="EC554" i="7" s="1"/>
  <c r="EC182" i="7"/>
  <c r="EC553" i="7"/>
  <c r="F18" i="70" l="1"/>
  <c r="F20" i="70" s="1"/>
  <c r="AJ22" i="9"/>
  <c r="EB182" i="7"/>
  <c r="EC183" i="7"/>
  <c r="EB82" i="7"/>
  <c r="EB553" i="7"/>
  <c r="EB133" i="8"/>
  <c r="EC132" i="8"/>
  <c r="EC133" i="8" s="1"/>
  <c r="EC187" i="7" l="1"/>
  <c r="EB183" i="7"/>
  <c r="AF93" i="57"/>
  <c r="EB554" i="7"/>
  <c r="AJ25" i="9" l="1"/>
  <c r="AJ24" i="9" s="1"/>
  <c r="EC20" i="7"/>
  <c r="EC186" i="7"/>
  <c r="EB186" i="7" s="1"/>
  <c r="EC217" i="7"/>
  <c r="EB187" i="7"/>
  <c r="AF94" i="57"/>
  <c r="AG93" i="57"/>
  <c r="AG94" i="57" s="1"/>
  <c r="EC83" i="7" s="1"/>
  <c r="R31" i="9" l="1"/>
  <c r="R32" i="9" s="1"/>
  <c r="EB83" i="7"/>
  <c r="EB555" i="7" s="1"/>
  <c r="EB556" i="7" s="1"/>
  <c r="EB557" i="7" s="1"/>
  <c r="EC316" i="7"/>
  <c r="EC555" i="7"/>
  <c r="EC556" i="7" s="1"/>
  <c r="EC557" i="7" s="1"/>
  <c r="EC85" i="7"/>
  <c r="R10" i="9"/>
  <c r="R11" i="9"/>
  <c r="EB20" i="7"/>
  <c r="EB217" i="7"/>
  <c r="EB85" i="7" l="1"/>
  <c r="EC10" i="7"/>
  <c r="EC116" i="7"/>
  <c r="EC164" i="7"/>
  <c r="EC91" i="7"/>
  <c r="EC156" i="7"/>
  <c r="AJ57" i="9"/>
  <c r="EB316" i="7"/>
  <c r="EC5" i="8" l="1"/>
  <c r="EC11" i="8" s="1"/>
  <c r="EC177" i="8"/>
  <c r="EC17" i="7"/>
  <c r="R34" i="9"/>
  <c r="R33" i="9" s="1"/>
  <c r="EC11" i="7"/>
  <c r="EC157" i="7"/>
  <c r="EC163" i="7"/>
  <c r="EC208" i="7"/>
  <c r="EB91" i="7"/>
  <c r="EB116" i="7"/>
  <c r="EC140" i="7"/>
  <c r="EC14" i="7"/>
  <c r="EB10" i="7"/>
  <c r="EB14" i="7" s="1"/>
  <c r="EB164" i="7"/>
  <c r="EB175" i="7"/>
  <c r="EB156" i="7"/>
  <c r="AJ31" i="9" l="1"/>
  <c r="EC145" i="7"/>
  <c r="EB208" i="7"/>
  <c r="EB212" i="7" s="1"/>
  <c r="EB214" i="7" s="1"/>
  <c r="EC214" i="7" s="1"/>
  <c r="EC15" i="7"/>
  <c r="EC12" i="7"/>
  <c r="R14" i="9"/>
  <c r="R15" i="9" s="1"/>
  <c r="EC27" i="7"/>
  <c r="R16" i="9"/>
  <c r="EB5" i="8"/>
  <c r="EB11" i="8" s="1"/>
  <c r="EB177" i="8"/>
  <c r="EB17" i="7"/>
  <c r="EB11" i="7"/>
  <c r="EB174" i="7"/>
  <c r="EB163" i="7"/>
  <c r="EB157" i="7"/>
  <c r="EB197" i="8"/>
  <c r="EB27" i="7"/>
  <c r="EC144" i="7"/>
  <c r="EC141" i="7"/>
  <c r="EB140" i="7"/>
  <c r="EC147" i="7" l="1"/>
  <c r="EB15" i="7"/>
  <c r="EB12" i="7"/>
  <c r="EB141" i="7"/>
  <c r="EB144" i="7"/>
  <c r="ED143" i="7"/>
  <c r="EF143" i="7"/>
  <c r="AJ34" i="9"/>
  <c r="EC210" i="7"/>
  <c r="EC228" i="7"/>
  <c r="EC224" i="7"/>
  <c r="EB145" i="7"/>
  <c r="EC314" i="7"/>
  <c r="R7" i="9"/>
  <c r="EB341" i="7"/>
  <c r="EC197" i="8"/>
  <c r="EC198" i="8" s="1"/>
  <c r="EB147" i="7" l="1"/>
  <c r="AJ55" i="9"/>
  <c r="EB314" i="7"/>
  <c r="EC315" i="7"/>
  <c r="EC176" i="8"/>
  <c r="EC174" i="8" s="1"/>
  <c r="AJ29" i="9"/>
  <c r="EC212" i="7"/>
  <c r="AJ33" i="9" s="1"/>
  <c r="EB22" i="7"/>
  <c r="EB359" i="7" s="1"/>
  <c r="EC345" i="7"/>
  <c r="EC341" i="7"/>
  <c r="ED222" i="7"/>
  <c r="EF222" i="7"/>
  <c r="EB224" i="7"/>
  <c r="AJ37" i="9"/>
  <c r="EC242" i="7"/>
  <c r="EB228" i="7"/>
  <c r="AJ56" i="9" l="1"/>
  <c r="AJ54" i="9" s="1"/>
  <c r="EC25" i="7"/>
  <c r="EC317" i="7"/>
  <c r="EB315" i="7"/>
  <c r="EC560" i="7"/>
  <c r="EC562" i="7" s="1"/>
  <c r="EC22" i="7"/>
  <c r="EC342" i="7"/>
  <c r="AJ32" i="9"/>
  <c r="EC202" i="8"/>
  <c r="EC24" i="7"/>
  <c r="EC103" i="8"/>
  <c r="ED104" i="8" s="1"/>
  <c r="EB103" i="8"/>
  <c r="EB358" i="7"/>
  <c r="EB205" i="8" s="1"/>
  <c r="AJ41" i="9"/>
  <c r="EC261" i="7"/>
  <c r="EB242" i="7"/>
  <c r="EB564" i="7" s="1"/>
  <c r="EB566" i="7" s="1"/>
  <c r="EC564" i="7"/>
  <c r="EC566" i="7" s="1"/>
  <c r="EC179" i="8"/>
  <c r="EB179" i="8"/>
  <c r="EC286" i="7"/>
  <c r="AJ50" i="9" l="1"/>
  <c r="EC323" i="7"/>
  <c r="EC299" i="7"/>
  <c r="EC324" i="7"/>
  <c r="EB286" i="7"/>
  <c r="EC115" i="8" s="1"/>
  <c r="EC322" i="7"/>
  <c r="R42" i="9" s="1"/>
  <c r="EC167" i="7"/>
  <c r="EC575" i="7"/>
  <c r="EC219" i="7"/>
  <c r="EB342" i="7"/>
  <c r="EB348" i="7" s="1"/>
  <c r="EB261" i="7"/>
  <c r="EC337" i="7"/>
  <c r="R38" i="9" s="1"/>
  <c r="ED76" i="7"/>
  <c r="R12" i="9"/>
  <c r="EC358" i="7"/>
  <c r="EC359" i="7"/>
  <c r="R40" i="9" s="1"/>
  <c r="AJ40" i="9"/>
  <c r="AJ48" i="9"/>
  <c r="EB25" i="7"/>
  <c r="EB560" i="7"/>
  <c r="EB562" i="7" s="1"/>
  <c r="EC339" i="7"/>
  <c r="EB317" i="7"/>
  <c r="EB338" i="7" s="1"/>
  <c r="EC338" i="7"/>
  <c r="R39" i="9" s="1"/>
  <c r="ED105" i="8" l="1"/>
  <c r="ED35" i="7"/>
  <c r="ED34" i="7" s="1"/>
  <c r="EB339" i="7"/>
  <c r="R41" i="9"/>
  <c r="R43" i="9" s="1"/>
  <c r="R9" i="9"/>
  <c r="EB324" i="7"/>
  <c r="ED179" i="8"/>
  <c r="ED286" i="7"/>
  <c r="EB352" i="7"/>
  <c r="ED354" i="7" s="1"/>
  <c r="ED355" i="7"/>
  <c r="EC348" i="7"/>
  <c r="EC203" i="8" s="1"/>
  <c r="EB115" i="8"/>
  <c r="ED116" i="8" s="1"/>
  <c r="EB323" i="7"/>
  <c r="EB322" i="7"/>
  <c r="EB167" i="7"/>
  <c r="EB575" i="7"/>
  <c r="EB337" i="7"/>
  <c r="EC300" i="7"/>
  <c r="EB299" i="7"/>
  <c r="EB219" i="7"/>
  <c r="EC220" i="7"/>
  <c r="EB220" i="7" s="1"/>
  <c r="ED117" i="8" l="1"/>
  <c r="ED308" i="7"/>
  <c r="ED307" i="7" s="1"/>
  <c r="ED305" i="7"/>
  <c r="ED115" i="8"/>
  <c r="EE116" i="8" s="1"/>
  <c r="EE117" i="8" s="1"/>
  <c r="EE18" i="8" s="1"/>
  <c r="ED299" i="7"/>
  <c r="ED300" i="7" s="1"/>
  <c r="AJ53" i="9"/>
  <c r="AJ52" i="9" s="1"/>
  <c r="AJ58" i="9" s="1"/>
  <c r="EB300" i="7"/>
  <c r="EB569" i="7" s="1"/>
  <c r="EB571" i="7" s="1"/>
  <c r="EB574" i="7" s="1"/>
  <c r="EC302" i="7"/>
  <c r="EC569" i="7"/>
  <c r="EC571" i="7" s="1"/>
  <c r="EC574" i="7" s="1"/>
  <c r="ED42" i="7"/>
  <c r="ED53" i="7" s="1"/>
  <c r="ED43" i="7" s="1"/>
  <c r="ED17" i="8"/>
  <c r="EF116" i="8" l="1"/>
  <c r="EF117" i="8" s="1"/>
  <c r="EF18" i="8" s="1"/>
  <c r="EC577" i="7"/>
  <c r="EC579" i="7"/>
  <c r="EB302" i="7"/>
  <c r="EB319" i="7" s="1"/>
  <c r="EC319" i="7"/>
  <c r="EB577" i="7"/>
  <c r="EB579" i="7"/>
  <c r="ED18" i="8"/>
  <c r="ED77" i="7"/>
  <c r="EF77" i="7" l="1"/>
  <c r="ED167" i="7"/>
  <c r="ED75" i="7"/>
  <c r="EE77" i="7"/>
  <c r="ED80" i="7" l="1"/>
  <c r="ED180" i="7"/>
  <c r="ED325" i="7"/>
  <c r="ED123" i="8" l="1"/>
  <c r="ED122" i="8" s="1"/>
  <c r="ED132" i="8"/>
  <c r="ED81" i="7"/>
  <c r="ED82" i="7" l="1"/>
  <c r="ED182" i="7"/>
  <c r="ED183" i="7" s="1"/>
  <c r="ED187" i="7" s="1"/>
  <c r="ED553" i="7"/>
  <c r="ED133" i="8"/>
  <c r="ED20" i="7" l="1"/>
  <c r="ED186" i="7"/>
  <c r="ED217" i="7"/>
  <c r="AH93" i="57"/>
  <c r="ED554" i="7"/>
  <c r="AH94" i="57" l="1"/>
  <c r="ED83" i="7" s="1"/>
  <c r="ED316" i="7" l="1"/>
  <c r="ED555" i="7"/>
  <c r="ED556" i="7" s="1"/>
  <c r="ED557" i="7" s="1"/>
  <c r="ED85" i="7"/>
  <c r="ED10" i="7" l="1"/>
  <c r="ED14" i="7" s="1"/>
  <c r="ED91" i="7"/>
  <c r="ED116" i="7"/>
  <c r="ED140" i="7" s="1"/>
  <c r="ED164" i="7"/>
  <c r="ED175" i="7"/>
  <c r="ED156" i="7"/>
  <c r="ED141" i="7" l="1"/>
  <c r="ED144" i="7"/>
  <c r="ED5" i="8"/>
  <c r="ED11" i="8" s="1"/>
  <c r="ED177" i="8"/>
  <c r="ED17" i="7"/>
  <c r="ED11" i="7"/>
  <c r="ED157" i="7"/>
  <c r="ED174" i="7"/>
  <c r="ED163" i="7"/>
  <c r="ED208" i="7"/>
  <c r="ED197" i="8"/>
  <c r="ED27" i="7"/>
  <c r="ED341" i="7" l="1"/>
  <c r="ED15" i="7"/>
  <c r="ED12" i="7"/>
  <c r="ED145" i="7"/>
  <c r="ED314" i="7" s="1"/>
  <c r="ED315" i="7" s="1"/>
  <c r="ED212" i="7"/>
  <c r="ED214" i="7" s="1"/>
  <c r="ED228" i="7" l="1"/>
  <c r="ED339" i="7" s="1"/>
  <c r="ED224" i="7"/>
  <c r="EE222" i="7" s="1"/>
  <c r="ED25" i="7"/>
  <c r="ED317" i="7"/>
  <c r="ED560" i="7"/>
  <c r="ED562" i="7" s="1"/>
  <c r="ED147" i="7"/>
  <c r="EE143" i="7" s="1"/>
  <c r="ED22" i="7"/>
  <c r="ED342" i="7"/>
  <c r="ED219" i="7" l="1"/>
  <c r="ED220" i="7" s="1"/>
  <c r="ED348" i="7"/>
  <c r="ED358" i="7"/>
  <c r="ED359" i="7"/>
  <c r="ED322" i="7"/>
  <c r="ED338" i="7"/>
  <c r="ED575" i="7"/>
  <c r="ED242" i="7"/>
  <c r="ED103" i="8"/>
  <c r="EE104" i="8" s="1"/>
  <c r="EF104" i="8" s="1"/>
  <c r="EF76" i="7" s="1"/>
  <c r="ED323" i="7"/>
  <c r="ED324" i="7"/>
  <c r="EF35" i="7" l="1"/>
  <c r="EF75" i="7"/>
  <c r="EE76" i="7"/>
  <c r="EE105" i="8" s="1"/>
  <c r="ED261" i="7"/>
  <c r="ED564" i="7"/>
  <c r="ED566" i="7" s="1"/>
  <c r="ED352" i="7"/>
  <c r="EE354" i="7" s="1"/>
  <c r="EF354" i="7" s="1"/>
  <c r="EF305" i="7" s="1"/>
  <c r="EE355" i="7"/>
  <c r="EF355" i="7" s="1"/>
  <c r="EF308" i="7" s="1"/>
  <c r="EE305" i="7" l="1"/>
  <c r="EF307" i="7"/>
  <c r="EE308" i="7"/>
  <c r="ED337" i="7"/>
  <c r="ED302" i="7"/>
  <c r="ED319" i="7" s="1"/>
  <c r="ED569" i="7"/>
  <c r="ED571" i="7" s="1"/>
  <c r="ED574" i="7" s="1"/>
  <c r="EE17" i="8"/>
  <c r="EF105" i="8"/>
  <c r="EF17" i="8" s="1"/>
  <c r="S28" i="9"/>
  <c r="EE75" i="7"/>
  <c r="EF80" i="7"/>
  <c r="EF325" i="7"/>
  <c r="EF180" i="7"/>
  <c r="EF34" i="7"/>
  <c r="EE35" i="7"/>
  <c r="ED577" i="7" l="1"/>
  <c r="ED579" i="7"/>
  <c r="EF42" i="7"/>
  <c r="EE34" i="7"/>
  <c r="AK21" i="9"/>
  <c r="EE180" i="7"/>
  <c r="EE307" i="7"/>
  <c r="EF123" i="8"/>
  <c r="EF122" i="8" s="1"/>
  <c r="EE128" i="8" s="1"/>
  <c r="EE80" i="7"/>
  <c r="EF81" i="7"/>
  <c r="EE325" i="7"/>
  <c r="S44" i="9"/>
  <c r="S29" i="9"/>
  <c r="S30" i="9" l="1"/>
  <c r="EE81" i="7"/>
  <c r="EF82" i="7"/>
  <c r="EF554" i="7" s="1"/>
  <c r="EF182" i="7"/>
  <c r="EF553" i="7"/>
  <c r="EE123" i="8"/>
  <c r="EE122" i="8" s="1"/>
  <c r="EE132" i="8"/>
  <c r="EF53" i="7"/>
  <c r="EF43" i="7" s="1"/>
  <c r="EE43" i="7" s="1"/>
  <c r="EE42" i="7"/>
  <c r="EE53" i="7" s="1"/>
  <c r="EE133" i="8" l="1"/>
  <c r="EF132" i="8"/>
  <c r="EF133" i="8" s="1"/>
  <c r="G18" i="70"/>
  <c r="G20" i="70" s="1"/>
  <c r="AK22" i="9"/>
  <c r="EE182" i="7"/>
  <c r="EF183" i="7"/>
  <c r="EE82" i="7"/>
  <c r="EE553" i="7"/>
  <c r="AI93" i="57" l="1"/>
  <c r="EE554" i="7"/>
  <c r="EE183" i="7"/>
  <c r="EF187" i="7"/>
  <c r="AK25" i="9" l="1"/>
  <c r="AK24" i="9" s="1"/>
  <c r="EF20" i="7"/>
  <c r="EF186" i="7"/>
  <c r="EE186" i="7" s="1"/>
  <c r="EE187" i="7"/>
  <c r="EF217" i="7"/>
  <c r="AI94" i="57"/>
  <c r="AJ93" i="57"/>
  <c r="AJ94" i="57" s="1"/>
  <c r="EF83" i="7" s="1"/>
  <c r="EE217" i="7" l="1"/>
  <c r="EE20" i="7"/>
  <c r="S10" i="9"/>
  <c r="S11" i="9"/>
  <c r="S31" i="9"/>
  <c r="S32" i="9" s="1"/>
  <c r="EE83" i="7"/>
  <c r="EE555" i="7" s="1"/>
  <c r="EE556" i="7" s="1"/>
  <c r="EE557" i="7" s="1"/>
  <c r="EF316" i="7"/>
  <c r="EF555" i="7"/>
  <c r="EF556" i="7" s="1"/>
  <c r="EF557" i="7" s="1"/>
  <c r="EF85" i="7"/>
  <c r="EF10" i="7" l="1"/>
  <c r="EF156" i="7"/>
  <c r="EE85" i="7"/>
  <c r="EF116" i="7"/>
  <c r="EF164" i="7"/>
  <c r="EF91" i="7"/>
  <c r="AK57" i="9"/>
  <c r="EE316" i="7"/>
  <c r="EF140" i="7" l="1"/>
  <c r="EE116" i="7"/>
  <c r="EE10" i="7"/>
  <c r="EE14" i="7" s="1"/>
  <c r="EE164" i="7"/>
  <c r="EE175" i="7"/>
  <c r="EE156" i="7"/>
  <c r="EF5" i="8"/>
  <c r="EF11" i="8" s="1"/>
  <c r="EF177" i="8"/>
  <c r="EF17" i="7"/>
  <c r="S34" i="9"/>
  <c r="S33" i="9" s="1"/>
  <c r="EE91" i="7"/>
  <c r="EF11" i="7"/>
  <c r="EF157" i="7"/>
  <c r="EF163" i="7"/>
  <c r="EF208" i="7"/>
  <c r="EF14" i="7"/>
  <c r="AK31" i="9" l="1"/>
  <c r="EF145" i="7"/>
  <c r="EE208" i="7"/>
  <c r="EE212" i="7" s="1"/>
  <c r="EE214" i="7" s="1"/>
  <c r="EF214" i="7" s="1"/>
  <c r="EE140" i="7"/>
  <c r="EF141" i="7"/>
  <c r="EF144" i="7"/>
  <c r="EF147" i="7" s="1"/>
  <c r="EE197" i="8"/>
  <c r="EE27" i="7"/>
  <c r="S14" i="9"/>
  <c r="S15" i="9" s="1"/>
  <c r="S16" i="9"/>
  <c r="EF28" i="7"/>
  <c r="EF27" i="7"/>
  <c r="EF15" i="7"/>
  <c r="EF12" i="7"/>
  <c r="EE5" i="8"/>
  <c r="EE11" i="8" s="1"/>
  <c r="EE177" i="8"/>
  <c r="EE17" i="7"/>
  <c r="EE11" i="7"/>
  <c r="EE157" i="7"/>
  <c r="EE174" i="7"/>
  <c r="EE163" i="7"/>
  <c r="EE341" i="7" l="1"/>
  <c r="EF197" i="8"/>
  <c r="EF198" i="8" s="1"/>
  <c r="EE145" i="7"/>
  <c r="EF314" i="7"/>
  <c r="S7" i="9"/>
  <c r="EG143" i="7"/>
  <c r="EI143" i="7"/>
  <c r="EE141" i="7"/>
  <c r="EE144" i="7"/>
  <c r="EE147" i="7" s="1"/>
  <c r="EE15" i="7"/>
  <c r="EE12" i="7"/>
  <c r="AK34" i="9"/>
  <c r="EF210" i="7"/>
  <c r="EF228" i="7"/>
  <c r="EF224" i="7"/>
  <c r="EI222" i="7" l="1"/>
  <c r="EG222" i="7"/>
  <c r="EE224" i="7"/>
  <c r="AK37" i="9"/>
  <c r="EE228" i="7"/>
  <c r="EF242" i="7"/>
  <c r="AK55" i="9"/>
  <c r="EE314" i="7"/>
  <c r="EF315" i="7"/>
  <c r="AK29" i="9"/>
  <c r="EF176" i="8"/>
  <c r="EF174" i="8" s="1"/>
  <c r="EF212" i="7"/>
  <c r="AK33" i="9" s="1"/>
  <c r="EE22" i="7"/>
  <c r="EF345" i="7"/>
  <c r="EF341" i="7"/>
  <c r="AK41" i="9" l="1"/>
  <c r="EE242" i="7"/>
  <c r="EE564" i="7" s="1"/>
  <c r="EE566" i="7" s="1"/>
  <c r="EF261" i="7"/>
  <c r="EF564" i="7"/>
  <c r="EF566" i="7" s="1"/>
  <c r="AK56" i="9"/>
  <c r="AK54" i="9" s="1"/>
  <c r="EF25" i="7"/>
  <c r="EF317" i="7"/>
  <c r="EE315" i="7"/>
  <c r="EF560" i="7"/>
  <c r="EF562" i="7" s="1"/>
  <c r="EF103" i="8"/>
  <c r="EG104" i="8" s="1"/>
  <c r="EE103" i="8"/>
  <c r="EF22" i="7"/>
  <c r="EF342" i="7"/>
  <c r="EF202" i="8"/>
  <c r="EF24" i="7"/>
  <c r="EE358" i="7"/>
  <c r="EE205" i="8" s="1"/>
  <c r="EE359" i="7"/>
  <c r="EF179" i="8"/>
  <c r="EF286" i="7"/>
  <c r="EE179" i="8"/>
  <c r="AK32" i="9"/>
  <c r="EE25" i="7" l="1"/>
  <c r="EE560" i="7"/>
  <c r="EE562" i="7" s="1"/>
  <c r="EF219" i="7"/>
  <c r="EE342" i="7"/>
  <c r="EE348" i="7" s="1"/>
  <c r="EE261" i="7"/>
  <c r="EF337" i="7"/>
  <c r="S38" i="9" s="1"/>
  <c r="S12" i="9"/>
  <c r="EF358" i="7"/>
  <c r="EF359" i="7"/>
  <c r="S40" i="9" s="1"/>
  <c r="EG76" i="7"/>
  <c r="AK50" i="9"/>
  <c r="EE286" i="7"/>
  <c r="EF322" i="7"/>
  <c r="S42" i="9" s="1"/>
  <c r="EF323" i="7"/>
  <c r="EF299" i="7"/>
  <c r="EF324" i="7"/>
  <c r="EF167" i="7"/>
  <c r="EF575" i="7"/>
  <c r="EF339" i="7"/>
  <c r="EE317" i="7"/>
  <c r="EE338" i="7" s="1"/>
  <c r="EF338" i="7"/>
  <c r="S39" i="9" s="1"/>
  <c r="AK40" i="9"/>
  <c r="AK48" i="9"/>
  <c r="EG105" i="8" l="1"/>
  <c r="EG35" i="7"/>
  <c r="EG34" i="7" s="1"/>
  <c r="EE337" i="7"/>
  <c r="EE115" i="8"/>
  <c r="EG116" i="8" s="1"/>
  <c r="EE322" i="7"/>
  <c r="EE323" i="7"/>
  <c r="EE167" i="7"/>
  <c r="EE575" i="7"/>
  <c r="EF115" i="8"/>
  <c r="S41" i="9"/>
  <c r="S43" i="9" s="1"/>
  <c r="S9" i="9"/>
  <c r="EE324" i="7"/>
  <c r="EE352" i="7"/>
  <c r="EG354" i="7" s="1"/>
  <c r="EG355" i="7"/>
  <c r="EF348" i="7"/>
  <c r="EF203" i="8" s="1"/>
  <c r="EG179" i="8"/>
  <c r="EG286" i="7"/>
  <c r="EE339" i="7"/>
  <c r="EE299" i="7"/>
  <c r="EF300" i="7"/>
  <c r="EE219" i="7"/>
  <c r="EF220" i="7"/>
  <c r="EE220" i="7" s="1"/>
  <c r="EG308" i="7" l="1"/>
  <c r="EG307" i="7" s="1"/>
  <c r="EG117" i="8"/>
  <c r="AK53" i="9"/>
  <c r="AK52" i="9" s="1"/>
  <c r="AK58" i="9" s="1"/>
  <c r="EE300" i="7"/>
  <c r="EE569" i="7" s="1"/>
  <c r="EE571" i="7" s="1"/>
  <c r="EE574" i="7" s="1"/>
  <c r="EF302" i="7"/>
  <c r="EF569" i="7"/>
  <c r="EF571" i="7" s="1"/>
  <c r="EF574" i="7" s="1"/>
  <c r="EG305" i="7"/>
  <c r="EG42" i="7"/>
  <c r="EG53" i="7" s="1"/>
  <c r="EG43" i="7" s="1"/>
  <c r="EG115" i="8"/>
  <c r="EH116" i="8" s="1"/>
  <c r="EH117" i="8" s="1"/>
  <c r="EH18" i="8" s="1"/>
  <c r="EG299" i="7"/>
  <c r="EG300" i="7" s="1"/>
  <c r="EG17" i="8"/>
  <c r="EE302" i="7" l="1"/>
  <c r="EE319" i="7" s="1"/>
  <c r="EF319" i="7"/>
  <c r="EF577" i="7"/>
  <c r="EF579" i="7"/>
  <c r="EE577" i="7"/>
  <c r="EE579" i="7"/>
  <c r="EG18" i="8"/>
  <c r="EG77" i="7"/>
  <c r="EI116" i="8"/>
  <c r="EI117" i="8" s="1"/>
  <c r="EI18" i="8" l="1"/>
  <c r="EI77" i="7"/>
  <c r="EG167" i="7"/>
  <c r="EG75" i="7"/>
  <c r="EG80" i="7" l="1"/>
  <c r="EG325" i="7"/>
  <c r="EG180" i="7"/>
  <c r="EH77" i="7"/>
  <c r="EG123" i="8" l="1"/>
  <c r="EG122" i="8" s="1"/>
  <c r="EG132" i="8"/>
  <c r="EG81" i="7"/>
  <c r="EG82" i="7" l="1"/>
  <c r="EG182" i="7"/>
  <c r="EG183" i="7" s="1"/>
  <c r="EG187" i="7" s="1"/>
  <c r="EG553" i="7"/>
  <c r="EG133" i="8"/>
  <c r="EG20" i="7" l="1"/>
  <c r="EG186" i="7"/>
  <c r="EG217" i="7"/>
  <c r="AK93" i="57"/>
  <c r="EG554" i="7"/>
  <c r="AK94" i="57" l="1"/>
  <c r="EG83" i="7" s="1"/>
  <c r="EG316" i="7" l="1"/>
  <c r="EG555" i="7"/>
  <c r="EG556" i="7" s="1"/>
  <c r="EG557" i="7" s="1"/>
  <c r="EG85" i="7"/>
  <c r="EG10" i="7" l="1"/>
  <c r="EG14" i="7" s="1"/>
  <c r="EG156" i="7"/>
  <c r="EG116" i="7"/>
  <c r="EG140" i="7" s="1"/>
  <c r="EG164" i="7"/>
  <c r="EG175" i="7"/>
  <c r="EG91" i="7"/>
  <c r="EG177" i="8" l="1"/>
  <c r="EG5" i="8"/>
  <c r="EG11" i="8" s="1"/>
  <c r="EG17" i="7"/>
  <c r="EG11" i="7"/>
  <c r="EG157" i="7"/>
  <c r="EG174" i="7"/>
  <c r="EG163" i="7"/>
  <c r="EG208" i="7"/>
  <c r="EG141" i="7"/>
  <c r="EG144" i="7"/>
  <c r="EG197" i="8"/>
  <c r="EG27" i="7"/>
  <c r="EG341" i="7" l="1"/>
  <c r="EG145" i="7"/>
  <c r="EG314" i="7" s="1"/>
  <c r="EG315" i="7" s="1"/>
  <c r="EG212" i="7"/>
  <c r="EG214" i="7" s="1"/>
  <c r="EG12" i="7"/>
  <c r="EG15" i="7"/>
  <c r="EG228" i="7" l="1"/>
  <c r="EG339" i="7" s="1"/>
  <c r="EG224" i="7"/>
  <c r="EH222" i="7" s="1"/>
  <c r="EG25" i="7"/>
  <c r="EG317" i="7"/>
  <c r="EG560" i="7"/>
  <c r="EG562" i="7" s="1"/>
  <c r="EG147" i="7"/>
  <c r="EH143" i="7" s="1"/>
  <c r="EG22" i="7"/>
  <c r="EG342" i="7"/>
  <c r="EG358" i="7" l="1"/>
  <c r="EG322" i="7"/>
  <c r="EG338" i="7"/>
  <c r="EG242" i="7"/>
  <c r="EG575" i="7"/>
  <c r="EG103" i="8"/>
  <c r="EH104" i="8" s="1"/>
  <c r="EI104" i="8" s="1"/>
  <c r="EI76" i="7" s="1"/>
  <c r="EG323" i="7"/>
  <c r="EG324" i="7"/>
  <c r="EG219" i="7"/>
  <c r="EG220" i="7" s="1"/>
  <c r="EG348" i="7"/>
  <c r="EG359" i="7"/>
  <c r="EH76" i="7" l="1"/>
  <c r="EH105" i="8" s="1"/>
  <c r="EI35" i="7"/>
  <c r="EI75" i="7"/>
  <c r="EG261" i="7"/>
  <c r="EG564" i="7"/>
  <c r="EG566" i="7" s="1"/>
  <c r="EG352" i="7"/>
  <c r="EH354" i="7" s="1"/>
  <c r="EI354" i="7" s="1"/>
  <c r="EI305" i="7" s="1"/>
  <c r="EH355" i="7"/>
  <c r="EI355" i="7" s="1"/>
  <c r="EI308" i="7" s="1"/>
  <c r="EH308" i="7" l="1"/>
  <c r="EI307" i="7"/>
  <c r="EH305" i="7"/>
  <c r="EG337" i="7"/>
  <c r="EG302" i="7"/>
  <c r="EG319" i="7" s="1"/>
  <c r="EG569" i="7"/>
  <c r="EG571" i="7" s="1"/>
  <c r="EG574" i="7" s="1"/>
  <c r="EH75" i="7"/>
  <c r="EI80" i="7"/>
  <c r="EI180" i="7"/>
  <c r="EI325" i="7"/>
  <c r="EI34" i="7"/>
  <c r="EH35" i="7"/>
  <c r="EH17" i="8"/>
  <c r="EI105" i="8"/>
  <c r="EI17" i="8" s="1"/>
  <c r="EG577" i="7" l="1"/>
  <c r="EG579" i="7"/>
  <c r="EH325" i="7"/>
  <c r="EH307" i="7"/>
  <c r="EI123" i="8"/>
  <c r="EI122" i="8" s="1"/>
  <c r="EH128" i="8" s="1"/>
  <c r="EH80" i="7"/>
  <c r="EI81" i="7"/>
  <c r="EI42" i="7"/>
  <c r="EH34" i="7"/>
  <c r="EH180" i="7"/>
  <c r="EH123" i="8" l="1"/>
  <c r="EH122" i="8" s="1"/>
  <c r="EH132" i="8"/>
  <c r="EI53" i="7"/>
  <c r="EI43" i="7" s="1"/>
  <c r="EH43" i="7" s="1"/>
  <c r="EH42" i="7"/>
  <c r="EH53" i="7" s="1"/>
  <c r="EI82" i="7"/>
  <c r="EI554" i="7" s="1"/>
  <c r="EH81" i="7"/>
  <c r="EI182" i="7"/>
  <c r="EI553" i="7"/>
  <c r="H18" i="70" l="1"/>
  <c r="H20" i="70" s="1"/>
  <c r="EH133" i="8"/>
  <c r="EI132" i="8"/>
  <c r="EI133" i="8" s="1"/>
  <c r="EH182" i="7"/>
  <c r="EI183" i="7"/>
  <c r="EH82" i="7"/>
  <c r="EH553" i="7"/>
  <c r="AL93" i="57" l="1"/>
  <c r="EH554" i="7"/>
  <c r="EI187" i="7"/>
  <c r="EH183" i="7"/>
  <c r="EI20" i="7" l="1"/>
  <c r="EH187" i="7"/>
  <c r="EI217" i="7"/>
  <c r="EI186" i="7"/>
  <c r="EH186" i="7" s="1"/>
  <c r="AL94" i="57"/>
  <c r="AM93" i="57"/>
  <c r="AM94" i="57" s="1"/>
  <c r="EI83" i="7" s="1"/>
  <c r="EH217" i="7" l="1"/>
  <c r="EH83" i="7"/>
  <c r="EH555" i="7" s="1"/>
  <c r="EH556" i="7" s="1"/>
  <c r="EH557" i="7" s="1"/>
  <c r="EI316" i="7"/>
  <c r="EI85" i="7"/>
  <c r="EI555" i="7"/>
  <c r="EI556" i="7" s="1"/>
  <c r="EI557" i="7" s="1"/>
  <c r="EH20" i="7"/>
  <c r="EH316" i="7" l="1"/>
  <c r="EI10" i="7"/>
  <c r="EI14" i="7" s="1"/>
  <c r="EH85" i="7"/>
  <c r="EI164" i="7"/>
  <c r="EI91" i="7"/>
  <c r="EI156" i="7"/>
  <c r="EI116" i="7"/>
  <c r="EH10" i="7" l="1"/>
  <c r="EH14" i="7" s="1"/>
  <c r="EH156" i="7"/>
  <c r="EH164" i="7"/>
  <c r="EH175" i="7"/>
  <c r="EH116" i="7"/>
  <c r="EI140" i="7"/>
  <c r="EI177" i="8"/>
  <c r="EI5" i="8"/>
  <c r="EI11" i="8" s="1"/>
  <c r="EI11" i="7"/>
  <c r="EI17" i="7"/>
  <c r="EH91" i="7"/>
  <c r="EI157" i="7"/>
  <c r="EI163" i="7"/>
  <c r="EI208" i="7"/>
  <c r="EI27" i="7"/>
  <c r="EH208" i="7" l="1"/>
  <c r="EH212" i="7" s="1"/>
  <c r="EH214" i="7" s="1"/>
  <c r="EI214" i="7" s="1"/>
  <c r="EI145" i="7"/>
  <c r="EH177" i="8"/>
  <c r="EH5" i="8"/>
  <c r="EH11" i="8" s="1"/>
  <c r="EH11" i="7"/>
  <c r="EH17" i="7"/>
  <c r="EH157" i="7"/>
  <c r="EH174" i="7"/>
  <c r="EH163" i="7"/>
  <c r="EI141" i="7"/>
  <c r="EH140" i="7"/>
  <c r="EI144" i="7"/>
  <c r="EI12" i="7"/>
  <c r="EI15" i="7"/>
  <c r="EH197" i="8"/>
  <c r="EH27" i="7"/>
  <c r="EI147" i="7" l="1"/>
  <c r="EJ143" i="7" s="1"/>
  <c r="EH145" i="7"/>
  <c r="EI314" i="7"/>
  <c r="EH141" i="7"/>
  <c r="EH144" i="7"/>
  <c r="EH147" i="7" s="1"/>
  <c r="EI210" i="7"/>
  <c r="EI228" i="7"/>
  <c r="EI224" i="7"/>
  <c r="EH341" i="7"/>
  <c r="EI197" i="8"/>
  <c r="EI198" i="8" s="1"/>
  <c r="EH12" i="7"/>
  <c r="EH15" i="7"/>
  <c r="EL143" i="7" l="1"/>
  <c r="EI242" i="7"/>
  <c r="EH228" i="7"/>
  <c r="EL222" i="7"/>
  <c r="EH224" i="7"/>
  <c r="EJ222" i="7"/>
  <c r="EI176" i="8"/>
  <c r="EI174" i="8" s="1"/>
  <c r="EI212" i="7"/>
  <c r="EH314" i="7"/>
  <c r="EI315" i="7"/>
  <c r="EH22" i="7"/>
  <c r="EI341" i="7"/>
  <c r="EI345" i="7"/>
  <c r="EI22" i="7" l="1"/>
  <c r="EI342" i="7"/>
  <c r="EH358" i="7"/>
  <c r="EH205" i="8" s="1"/>
  <c r="EI25" i="7"/>
  <c r="EI317" i="7"/>
  <c r="EI560" i="7"/>
  <c r="EI562" i="7" s="1"/>
  <c r="EH315" i="7"/>
  <c r="EI103" i="8"/>
  <c r="EJ104" i="8" s="1"/>
  <c r="EH103" i="8"/>
  <c r="EH242" i="7"/>
  <c r="EH564" i="7" s="1"/>
  <c r="EH566" i="7" s="1"/>
  <c r="EI261" i="7"/>
  <c r="EI564" i="7"/>
  <c r="EI566" i="7" s="1"/>
  <c r="EI202" i="8"/>
  <c r="EI24" i="7"/>
  <c r="EI179" i="8"/>
  <c r="EH179" i="8"/>
  <c r="EI286" i="7"/>
  <c r="EH359" i="7"/>
  <c r="EH317" i="7" l="1"/>
  <c r="EH338" i="7" s="1"/>
  <c r="EI338" i="7"/>
  <c r="EH261" i="7"/>
  <c r="EI337" i="7"/>
  <c r="EI358" i="7"/>
  <c r="EI359" i="7"/>
  <c r="EH25" i="7"/>
  <c r="EH560" i="7"/>
  <c r="EH562" i="7" s="1"/>
  <c r="EI299" i="7"/>
  <c r="EI324" i="7"/>
  <c r="EH286" i="7"/>
  <c r="EI115" i="8" s="1"/>
  <c r="EI323" i="7"/>
  <c r="EI322" i="7"/>
  <c r="EI167" i="7"/>
  <c r="EI575" i="7"/>
  <c r="EI339" i="7"/>
  <c r="EI219" i="7"/>
  <c r="EH342" i="7"/>
  <c r="EH348" i="7" s="1"/>
  <c r="EJ76" i="7"/>
  <c r="EH339" i="7" l="1"/>
  <c r="EJ105" i="8"/>
  <c r="EJ35" i="7"/>
  <c r="EJ34" i="7" s="1"/>
  <c r="EH337" i="7"/>
  <c r="EJ179" i="8"/>
  <c r="EJ286" i="7"/>
  <c r="EH115" i="8"/>
  <c r="EJ116" i="8" s="1"/>
  <c r="EH322" i="7"/>
  <c r="EH323" i="7"/>
  <c r="EH167" i="7"/>
  <c r="EH575" i="7"/>
  <c r="EH324" i="7"/>
  <c r="EH299" i="7"/>
  <c r="EI300" i="7"/>
  <c r="EJ355" i="7"/>
  <c r="EH352" i="7"/>
  <c r="EJ354" i="7" s="1"/>
  <c r="EI348" i="7"/>
  <c r="EI203" i="8" s="1"/>
  <c r="EH219" i="7"/>
  <c r="EI220" i="7"/>
  <c r="EH220" i="7" s="1"/>
  <c r="EJ42" i="7" l="1"/>
  <c r="EJ53" i="7" s="1"/>
  <c r="EJ43" i="7" s="1"/>
  <c r="EJ117" i="8"/>
  <c r="EJ308" i="7"/>
  <c r="EJ307" i="7" s="1"/>
  <c r="EH300" i="7"/>
  <c r="EH569" i="7" s="1"/>
  <c r="EH571" i="7" s="1"/>
  <c r="EH574" i="7" s="1"/>
  <c r="EI302" i="7"/>
  <c r="EI569" i="7"/>
  <c r="EI571" i="7" s="1"/>
  <c r="EI574" i="7" s="1"/>
  <c r="EJ305" i="7"/>
  <c r="EJ115" i="8"/>
  <c r="EK116" i="8" s="1"/>
  <c r="EK117" i="8" s="1"/>
  <c r="EK18" i="8" s="1"/>
  <c r="EJ299" i="7"/>
  <c r="EJ300" i="7" s="1"/>
  <c r="EJ17" i="8"/>
  <c r="EH302" i="7" l="1"/>
  <c r="EH319" i="7" s="1"/>
  <c r="EI319" i="7"/>
  <c r="EI577" i="7"/>
  <c r="EI579" i="7"/>
  <c r="EH577" i="7"/>
  <c r="EH579" i="7"/>
  <c r="EJ18" i="8"/>
  <c r="EJ77" i="7"/>
  <c r="EL116" i="8"/>
  <c r="EL117" i="8" s="1"/>
  <c r="EL18" i="8" l="1"/>
  <c r="EL77" i="7"/>
  <c r="EJ167" i="7"/>
  <c r="EJ75" i="7"/>
  <c r="EJ80" i="7" l="1"/>
  <c r="EJ180" i="7"/>
  <c r="EJ325" i="7"/>
  <c r="EK77" i="7"/>
  <c r="EJ123" i="8" l="1"/>
  <c r="EJ122" i="8" s="1"/>
  <c r="EJ132" i="8"/>
  <c r="EJ81" i="7"/>
  <c r="EJ82" i="7" l="1"/>
  <c r="EJ182" i="7"/>
  <c r="EJ183" i="7" s="1"/>
  <c r="EJ187" i="7" s="1"/>
  <c r="EJ553" i="7"/>
  <c r="EJ133" i="8"/>
  <c r="EJ217" i="7" l="1"/>
  <c r="EJ20" i="7"/>
  <c r="EJ186" i="7"/>
  <c r="AN93" i="57"/>
  <c r="EJ554" i="7"/>
  <c r="AN94" i="57" l="1"/>
  <c r="EJ83" i="7" s="1"/>
  <c r="EJ316" i="7" l="1"/>
  <c r="EJ555" i="7"/>
  <c r="EJ556" i="7" s="1"/>
  <c r="EJ557" i="7" s="1"/>
  <c r="EJ85" i="7"/>
  <c r="EJ10" i="7" l="1"/>
  <c r="EJ14" i="7" s="1"/>
  <c r="EJ116" i="7"/>
  <c r="EJ140" i="7" s="1"/>
  <c r="EJ175" i="7"/>
  <c r="EJ164" i="7"/>
  <c r="EJ91" i="7"/>
  <c r="EJ156" i="7"/>
  <c r="EJ177" i="8" l="1"/>
  <c r="EJ5" i="8"/>
  <c r="EJ11" i="8" s="1"/>
  <c r="EJ11" i="7"/>
  <c r="EJ17" i="7"/>
  <c r="EJ208" i="7"/>
  <c r="EJ174" i="7"/>
  <c r="EJ157" i="7"/>
  <c r="EJ163" i="7"/>
  <c r="EJ141" i="7"/>
  <c r="EJ144" i="7"/>
  <c r="EJ197" i="8"/>
  <c r="EJ27" i="7"/>
  <c r="EJ12" i="7" l="1"/>
  <c r="EJ15" i="7"/>
  <c r="EJ341" i="7"/>
  <c r="EJ212" i="7"/>
  <c r="EJ214" i="7" s="1"/>
  <c r="EJ145" i="7"/>
  <c r="EJ314" i="7" s="1"/>
  <c r="EJ315" i="7" s="1"/>
  <c r="EJ25" i="7" l="1"/>
  <c r="EJ317" i="7"/>
  <c r="EJ560" i="7"/>
  <c r="EJ562" i="7" s="1"/>
  <c r="EJ228" i="7"/>
  <c r="EJ224" i="7"/>
  <c r="EK222" i="7" s="1"/>
  <c r="EJ147" i="7"/>
  <c r="EK143" i="7" s="1"/>
  <c r="EJ22" i="7"/>
  <c r="EJ342" i="7"/>
  <c r="EJ358" i="7" l="1"/>
  <c r="EJ219" i="7"/>
  <c r="EJ220" i="7" s="1"/>
  <c r="EJ348" i="7"/>
  <c r="EJ242" i="7"/>
  <c r="EJ575" i="7"/>
  <c r="EJ103" i="8"/>
  <c r="EK104" i="8" s="1"/>
  <c r="EL104" i="8" s="1"/>
  <c r="EL76" i="7" s="1"/>
  <c r="EJ323" i="7"/>
  <c r="EJ324" i="7"/>
  <c r="EJ339" i="7"/>
  <c r="EJ359" i="7"/>
  <c r="EJ322" i="7"/>
  <c r="EJ338" i="7"/>
  <c r="EL75" i="7" l="1"/>
  <c r="EL35" i="7"/>
  <c r="EK76" i="7"/>
  <c r="EK105" i="8" s="1"/>
  <c r="EJ261" i="7"/>
  <c r="EJ564" i="7"/>
  <c r="EJ566" i="7" s="1"/>
  <c r="EK355" i="7"/>
  <c r="EL355" i="7" s="1"/>
  <c r="EL308" i="7" s="1"/>
  <c r="EJ352" i="7"/>
  <c r="EK354" i="7" s="1"/>
  <c r="EL354" i="7" s="1"/>
  <c r="EL305" i="7" s="1"/>
  <c r="EK305" i="7" l="1"/>
  <c r="EJ302" i="7"/>
  <c r="EJ319" i="7" s="1"/>
  <c r="EJ337" i="7"/>
  <c r="EJ569" i="7"/>
  <c r="EJ571" i="7" s="1"/>
  <c r="EJ574" i="7" s="1"/>
  <c r="EL307" i="7"/>
  <c r="EK308" i="7"/>
  <c r="EK17" i="8"/>
  <c r="EL105" i="8"/>
  <c r="EL17" i="8" s="1"/>
  <c r="EL34" i="7"/>
  <c r="EK35" i="7"/>
  <c r="EK75" i="7"/>
  <c r="EL80" i="7"/>
  <c r="EL180" i="7"/>
  <c r="EL325" i="7"/>
  <c r="EJ577" i="7" l="1"/>
  <c r="EJ579" i="7"/>
  <c r="EK307" i="7"/>
  <c r="EK180" i="7"/>
  <c r="EL123" i="8"/>
  <c r="EL122" i="8" s="1"/>
  <c r="EK128" i="8" s="1"/>
  <c r="EL81" i="7"/>
  <c r="EK80" i="7"/>
  <c r="EK325" i="7"/>
  <c r="EL42" i="7"/>
  <c r="EK34" i="7"/>
  <c r="EK81" i="7" l="1"/>
  <c r="EL182" i="7"/>
  <c r="EL82" i="7"/>
  <c r="EL554" i="7" s="1"/>
  <c r="EL553" i="7"/>
  <c r="EK42" i="7"/>
  <c r="EK53" i="7" s="1"/>
  <c r="EL53" i="7"/>
  <c r="EL43" i="7" s="1"/>
  <c r="EK43" i="7" s="1"/>
  <c r="EK123" i="8"/>
  <c r="EK122" i="8" s="1"/>
  <c r="EK132" i="8"/>
  <c r="EK182" i="7" l="1"/>
  <c r="EL183" i="7"/>
  <c r="EK82" i="7"/>
  <c r="EK553" i="7"/>
  <c r="EK133" i="8"/>
  <c r="EL132" i="8"/>
  <c r="EL133" i="8" s="1"/>
  <c r="I18" i="70"/>
  <c r="I20" i="70" s="1"/>
  <c r="EK183" i="7" l="1"/>
  <c r="EL187" i="7"/>
  <c r="AO93" i="57"/>
  <c r="EK554" i="7"/>
  <c r="AO94" i="57" l="1"/>
  <c r="AP93" i="57"/>
  <c r="AP94" i="57" s="1"/>
  <c r="EL83" i="7" s="1"/>
  <c r="EL20" i="7"/>
  <c r="EL217" i="7"/>
  <c r="EL186" i="7"/>
  <c r="EK186" i="7" s="1"/>
  <c r="EK187" i="7"/>
  <c r="EK20" i="7" l="1"/>
  <c r="EK217" i="7"/>
  <c r="EK83" i="7"/>
  <c r="EK555" i="7" s="1"/>
  <c r="EK556" i="7" s="1"/>
  <c r="EK557" i="7" s="1"/>
  <c r="EL316" i="7"/>
  <c r="EL555" i="7"/>
  <c r="EL556" i="7" s="1"/>
  <c r="EL557" i="7" s="1"/>
  <c r="EL85" i="7"/>
  <c r="EK316" i="7" l="1"/>
  <c r="EL10" i="7"/>
  <c r="EL14" i="7" s="1"/>
  <c r="EL116" i="7"/>
  <c r="EL91" i="7"/>
  <c r="EL164" i="7"/>
  <c r="EL156" i="7"/>
  <c r="EK85" i="7"/>
  <c r="EL5" i="8" l="1"/>
  <c r="EL11" i="8" s="1"/>
  <c r="EL177" i="8"/>
  <c r="EK91" i="7"/>
  <c r="EL11" i="7"/>
  <c r="EL17" i="7"/>
  <c r="EL163" i="7"/>
  <c r="EL208" i="7"/>
  <c r="EL157" i="7"/>
  <c r="EL140" i="7"/>
  <c r="EK116" i="7"/>
  <c r="EL27" i="7"/>
  <c r="EK10" i="7"/>
  <c r="EK14" i="7" s="1"/>
  <c r="EK175" i="7"/>
  <c r="EK164" i="7"/>
  <c r="EK156" i="7"/>
  <c r="EK140" i="7" l="1"/>
  <c r="EL141" i="7"/>
  <c r="EL144" i="7"/>
  <c r="EL145" i="7"/>
  <c r="EK208" i="7"/>
  <c r="EK212" i="7" s="1"/>
  <c r="EK214" i="7" s="1"/>
  <c r="EL214" i="7" s="1"/>
  <c r="EL15" i="7"/>
  <c r="EL12" i="7"/>
  <c r="EK197" i="8"/>
  <c r="EK27" i="7"/>
  <c r="EK177" i="8"/>
  <c r="EK5" i="8"/>
  <c r="EK11" i="8" s="1"/>
  <c r="EK11" i="7"/>
  <c r="EK17" i="7"/>
  <c r="EK174" i="7"/>
  <c r="EK157" i="7"/>
  <c r="EK163" i="7"/>
  <c r="EK341" i="7" l="1"/>
  <c r="EL197" i="8"/>
  <c r="EL198" i="8" s="1"/>
  <c r="EL210" i="7"/>
  <c r="EL228" i="7"/>
  <c r="EL224" i="7"/>
  <c r="EK145" i="7"/>
  <c r="EL314" i="7"/>
  <c r="EL147" i="7"/>
  <c r="EK15" i="7"/>
  <c r="EK12" i="7"/>
  <c r="EK141" i="7"/>
  <c r="EK144" i="7"/>
  <c r="EK314" i="7" l="1"/>
  <c r="EL315" i="7"/>
  <c r="EM143" i="7"/>
  <c r="EO143" i="7"/>
  <c r="EO222" i="7"/>
  <c r="EK224" i="7"/>
  <c r="EM222" i="7"/>
  <c r="EK147" i="7"/>
  <c r="EL242" i="7"/>
  <c r="EK228" i="7"/>
  <c r="EL176" i="8"/>
  <c r="EL174" i="8" s="1"/>
  <c r="EL212" i="7"/>
  <c r="EK22" i="7"/>
  <c r="EK359" i="7" s="1"/>
  <c r="EL341" i="7"/>
  <c r="EL345" i="7"/>
  <c r="EL261" i="7" l="1"/>
  <c r="EK242" i="7"/>
  <c r="EK564" i="7" s="1"/>
  <c r="EK566" i="7" s="1"/>
  <c r="EL564" i="7"/>
  <c r="EL566" i="7" s="1"/>
  <c r="EL202" i="8"/>
  <c r="EL24" i="7"/>
  <c r="EL22" i="7"/>
  <c r="EL342" i="7"/>
  <c r="EL179" i="8"/>
  <c r="EL286" i="7"/>
  <c r="EL339" i="7" s="1"/>
  <c r="EK179" i="8"/>
  <c r="EK358" i="7"/>
  <c r="EK205" i="8" s="1"/>
  <c r="EL25" i="7"/>
  <c r="EK315" i="7"/>
  <c r="EL317" i="7"/>
  <c r="EL560" i="7"/>
  <c r="EL562" i="7" s="1"/>
  <c r="EL103" i="8"/>
  <c r="EM104" i="8" s="1"/>
  <c r="EK103" i="8"/>
  <c r="EL358" i="7" l="1"/>
  <c r="EL359" i="7"/>
  <c r="EM76" i="7"/>
  <c r="EK317" i="7"/>
  <c r="EK338" i="7" s="1"/>
  <c r="EL338" i="7"/>
  <c r="EL323" i="7"/>
  <c r="EL299" i="7"/>
  <c r="EL324" i="7"/>
  <c r="EK286" i="7"/>
  <c r="EK339" i="7" s="1"/>
  <c r="EL322" i="7"/>
  <c r="EL167" i="7"/>
  <c r="EL575" i="7"/>
  <c r="EK25" i="7"/>
  <c r="EK560" i="7"/>
  <c r="EK562" i="7" s="1"/>
  <c r="EL219" i="7"/>
  <c r="EK342" i="7"/>
  <c r="EK348" i="7" s="1"/>
  <c r="EK261" i="7"/>
  <c r="EL337" i="7"/>
  <c r="EL115" i="8" l="1"/>
  <c r="EM179" i="8"/>
  <c r="EM286" i="7"/>
  <c r="EK352" i="7"/>
  <c r="EM354" i="7" s="1"/>
  <c r="EM355" i="7"/>
  <c r="EL348" i="7"/>
  <c r="EL203" i="8" s="1"/>
  <c r="EK219" i="7"/>
  <c r="EL220" i="7"/>
  <c r="EK220" i="7" s="1"/>
  <c r="EM105" i="8"/>
  <c r="EM35" i="7"/>
  <c r="EM34" i="7" s="1"/>
  <c r="EK115" i="8"/>
  <c r="EM116" i="8" s="1"/>
  <c r="EK322" i="7"/>
  <c r="EK323" i="7"/>
  <c r="EK167" i="7"/>
  <c r="EK575" i="7"/>
  <c r="EK324" i="7"/>
  <c r="EK337" i="7"/>
  <c r="EL300" i="7"/>
  <c r="EK299" i="7"/>
  <c r="EM117" i="8" l="1"/>
  <c r="EK300" i="7"/>
  <c r="EK569" i="7" s="1"/>
  <c r="EK571" i="7" s="1"/>
  <c r="EK574" i="7" s="1"/>
  <c r="EL302" i="7"/>
  <c r="EL569" i="7"/>
  <c r="EL571" i="7" s="1"/>
  <c r="EL574" i="7" s="1"/>
  <c r="EM42" i="7"/>
  <c r="EM53" i="7" s="1"/>
  <c r="EM43" i="7" s="1"/>
  <c r="EM17" i="8"/>
  <c r="EM308" i="7"/>
  <c r="EM307" i="7" s="1"/>
  <c r="EM305" i="7"/>
  <c r="EM115" i="8"/>
  <c r="EN116" i="8" s="1"/>
  <c r="EN117" i="8" s="1"/>
  <c r="EN18" i="8" s="1"/>
  <c r="EM299" i="7"/>
  <c r="EM300" i="7" s="1"/>
  <c r="EK302" i="7" l="1"/>
  <c r="EK319" i="7" s="1"/>
  <c r="EL319" i="7"/>
  <c r="EM18" i="8"/>
  <c r="EM77" i="7"/>
  <c r="EL577" i="7"/>
  <c r="EL579" i="7"/>
  <c r="EK577" i="7"/>
  <c r="EK579" i="7"/>
  <c r="EO116" i="8"/>
  <c r="EO117" i="8" s="1"/>
  <c r="EM167" i="7" l="1"/>
  <c r="EM75" i="7"/>
  <c r="EO18" i="8"/>
  <c r="EO77" i="7"/>
  <c r="EN77" i="7" l="1"/>
  <c r="EM80" i="7"/>
  <c r="EM180" i="7"/>
  <c r="EM325" i="7"/>
  <c r="EM123" i="8" l="1"/>
  <c r="EM122" i="8" s="1"/>
  <c r="EM132" i="8"/>
  <c r="EM81" i="7"/>
  <c r="EM133" i="8" l="1"/>
  <c r="EM82" i="7"/>
  <c r="EM182" i="7"/>
  <c r="EM183" i="7" s="1"/>
  <c r="EM187" i="7" s="1"/>
  <c r="EM553" i="7"/>
  <c r="EM20" i="7" l="1"/>
  <c r="EM217" i="7"/>
  <c r="EM186" i="7"/>
  <c r="AQ93" i="57"/>
  <c r="EM554" i="7"/>
  <c r="AQ94" i="57" l="1"/>
  <c r="EM83" i="7" s="1"/>
  <c r="EM316" i="7" l="1"/>
  <c r="EM555" i="7"/>
  <c r="EM556" i="7" s="1"/>
  <c r="EM557" i="7" s="1"/>
  <c r="EM85" i="7"/>
  <c r="EM10" i="7" l="1"/>
  <c r="EM14" i="7" s="1"/>
  <c r="EM175" i="7"/>
  <c r="EM116" i="7"/>
  <c r="EM140" i="7" s="1"/>
  <c r="EM91" i="7"/>
  <c r="EM164" i="7"/>
  <c r="EM156" i="7"/>
  <c r="EM5" i="8" l="1"/>
  <c r="EM11" i="8" s="1"/>
  <c r="EM11" i="7"/>
  <c r="EM177" i="8"/>
  <c r="EM17" i="7"/>
  <c r="EM163" i="7"/>
  <c r="EM174" i="7"/>
  <c r="EM157" i="7"/>
  <c r="EM208" i="7"/>
  <c r="EM141" i="7"/>
  <c r="EM144" i="7"/>
  <c r="EM197" i="8"/>
  <c r="EM27" i="7"/>
  <c r="EM145" i="7" l="1"/>
  <c r="EM314" i="7" s="1"/>
  <c r="EM315" i="7" s="1"/>
  <c r="EM212" i="7"/>
  <c r="EM214" i="7" s="1"/>
  <c r="EM15" i="7"/>
  <c r="EM12" i="7"/>
  <c r="EM341" i="7"/>
  <c r="EM147" i="7" l="1"/>
  <c r="EN143" i="7" s="1"/>
  <c r="EM22" i="7"/>
  <c r="EM359" i="7" s="1"/>
  <c r="EM342" i="7"/>
  <c r="EM228" i="7"/>
  <c r="EM224" i="7"/>
  <c r="EN222" i="7" s="1"/>
  <c r="EM25" i="7"/>
  <c r="EM317" i="7"/>
  <c r="EM560" i="7"/>
  <c r="EM562" i="7" s="1"/>
  <c r="EM322" i="7" l="1"/>
  <c r="EM338" i="7"/>
  <c r="EM242" i="7"/>
  <c r="EM575" i="7"/>
  <c r="EM103" i="8"/>
  <c r="EN104" i="8" s="1"/>
  <c r="EO104" i="8" s="1"/>
  <c r="EO76" i="7" s="1"/>
  <c r="EM323" i="7"/>
  <c r="EM324" i="7"/>
  <c r="EM219" i="7"/>
  <c r="EM220" i="7" s="1"/>
  <c r="EM348" i="7"/>
  <c r="EM339" i="7"/>
  <c r="EM358" i="7"/>
  <c r="EM352" i="7" l="1"/>
  <c r="EN354" i="7" s="1"/>
  <c r="EO354" i="7" s="1"/>
  <c r="EO305" i="7" s="1"/>
  <c r="EN355" i="7"/>
  <c r="EO355" i="7" s="1"/>
  <c r="EO308" i="7" s="1"/>
  <c r="EN76" i="7"/>
  <c r="EN105" i="8" s="1"/>
  <c r="EO35" i="7"/>
  <c r="EO75" i="7"/>
  <c r="EM261" i="7"/>
  <c r="EM564" i="7"/>
  <c r="EM566" i="7" s="1"/>
  <c r="EO80" i="7" l="1"/>
  <c r="EO180" i="7"/>
  <c r="EN75" i="7"/>
  <c r="EO325" i="7"/>
  <c r="EO34" i="7"/>
  <c r="EN35" i="7"/>
  <c r="EO307" i="7"/>
  <c r="EN308" i="7"/>
  <c r="EN305" i="7"/>
  <c r="EM337" i="7"/>
  <c r="EM302" i="7"/>
  <c r="EM319" i="7" s="1"/>
  <c r="EM569" i="7"/>
  <c r="EM571" i="7" s="1"/>
  <c r="EM574" i="7" s="1"/>
  <c r="EN17" i="8"/>
  <c r="EO105" i="8"/>
  <c r="EO17" i="8" s="1"/>
  <c r="EM577" i="7" l="1"/>
  <c r="EM579" i="7"/>
  <c r="EN307" i="7"/>
  <c r="EN34" i="7"/>
  <c r="EO42" i="7"/>
  <c r="EN325" i="7"/>
  <c r="EN180" i="7"/>
  <c r="EO123" i="8"/>
  <c r="EO122" i="8" s="1"/>
  <c r="EN128" i="8" s="1"/>
  <c r="EN80" i="7"/>
  <c r="EO81" i="7"/>
  <c r="EN81" i="7" l="1"/>
  <c r="EO82" i="7"/>
  <c r="EO554" i="7" s="1"/>
  <c r="EO182" i="7"/>
  <c r="EO553" i="7"/>
  <c r="EO53" i="7"/>
  <c r="EO43" i="7" s="1"/>
  <c r="EN43" i="7" s="1"/>
  <c r="EN42" i="7"/>
  <c r="EN53" i="7" s="1"/>
  <c r="EN123" i="8"/>
  <c r="EN122" i="8" s="1"/>
  <c r="EN132" i="8"/>
  <c r="EN182" i="7" l="1"/>
  <c r="EO183" i="7"/>
  <c r="EN133" i="8"/>
  <c r="EO132" i="8"/>
  <c r="EO133" i="8" s="1"/>
  <c r="EN82" i="7"/>
  <c r="EN553" i="7"/>
  <c r="J18" i="70"/>
  <c r="J20" i="70" s="1"/>
  <c r="AR93" i="57" l="1"/>
  <c r="EN554" i="7"/>
  <c r="EO187" i="7"/>
  <c r="EN183" i="7"/>
  <c r="EO20" i="7" l="1"/>
  <c r="EO186" i="7"/>
  <c r="EN186" i="7" s="1"/>
  <c r="EO217" i="7"/>
  <c r="EN187" i="7"/>
  <c r="AR94" i="57"/>
  <c r="AS93" i="57"/>
  <c r="AS94" i="57" s="1"/>
  <c r="EO83" i="7" s="1"/>
  <c r="EN83" i="7" l="1"/>
  <c r="EN555" i="7" s="1"/>
  <c r="EN556" i="7" s="1"/>
  <c r="EN557" i="7" s="1"/>
  <c r="EO316" i="7"/>
  <c r="EO555" i="7"/>
  <c r="EO556" i="7" s="1"/>
  <c r="EO557" i="7" s="1"/>
  <c r="EO85" i="7"/>
  <c r="EN217" i="7"/>
  <c r="EN20" i="7"/>
  <c r="EN85" i="7" l="1"/>
  <c r="EO10" i="7"/>
  <c r="EO14" i="7" s="1"/>
  <c r="EO116" i="7"/>
  <c r="EO91" i="7"/>
  <c r="EO164" i="7"/>
  <c r="EO156" i="7"/>
  <c r="EN316" i="7"/>
  <c r="EO5" i="8" l="1"/>
  <c r="EO11" i="8" s="1"/>
  <c r="EO177" i="8"/>
  <c r="EO17" i="7"/>
  <c r="EO11" i="7"/>
  <c r="EO157" i="7"/>
  <c r="EO163" i="7"/>
  <c r="EN91" i="7"/>
  <c r="EO208" i="7"/>
  <c r="EO27" i="7"/>
  <c r="EN116" i="7"/>
  <c r="EO140" i="7"/>
  <c r="EN10" i="7"/>
  <c r="EN14" i="7" s="1"/>
  <c r="EN175" i="7"/>
  <c r="EN164" i="7"/>
  <c r="EN156" i="7"/>
  <c r="EN197" i="8" l="1"/>
  <c r="EN27" i="7"/>
  <c r="EO15" i="7"/>
  <c r="EO12" i="7"/>
  <c r="EO145" i="7"/>
  <c r="EN208" i="7"/>
  <c r="EN212" i="7" s="1"/>
  <c r="EN214" i="7" s="1"/>
  <c r="EO214" i="7" s="1"/>
  <c r="EN5" i="8"/>
  <c r="EN11" i="8" s="1"/>
  <c r="EN177" i="8"/>
  <c r="EN17" i="7"/>
  <c r="EN11" i="7"/>
  <c r="EN163" i="7"/>
  <c r="EN174" i="7"/>
  <c r="EN157" i="7"/>
  <c r="EO141" i="7"/>
  <c r="EN140" i="7"/>
  <c r="EO144" i="7"/>
  <c r="EN145" i="7" l="1"/>
  <c r="EO314" i="7"/>
  <c r="EN15" i="7"/>
  <c r="EN12" i="7"/>
  <c r="EO147" i="7"/>
  <c r="EN141" i="7"/>
  <c r="EN144" i="7"/>
  <c r="EN341" i="7"/>
  <c r="EO197" i="8"/>
  <c r="EO198" i="8" s="1"/>
  <c r="EO210" i="7"/>
  <c r="EO228" i="7"/>
  <c r="EO224" i="7"/>
  <c r="EN147" i="7" l="1"/>
  <c r="EN22" i="7"/>
  <c r="EN359" i="7" s="1"/>
  <c r="EO345" i="7"/>
  <c r="EO341" i="7"/>
  <c r="ER143" i="7"/>
  <c r="EP143" i="7"/>
  <c r="EP222" i="7"/>
  <c r="ER222" i="7"/>
  <c r="EN224" i="7"/>
  <c r="EO242" i="7"/>
  <c r="EN228" i="7"/>
  <c r="EN314" i="7"/>
  <c r="EO315" i="7"/>
  <c r="EO176" i="8"/>
  <c r="EO174" i="8" s="1"/>
  <c r="EO212" i="7"/>
  <c r="EO179" i="8" l="1"/>
  <c r="EN179" i="8"/>
  <c r="EO286" i="7"/>
  <c r="EO25" i="7"/>
  <c r="EO317" i="7"/>
  <c r="EO339" i="7"/>
  <c r="EN315" i="7"/>
  <c r="EO560" i="7"/>
  <c r="EO562" i="7" s="1"/>
  <c r="EO22" i="7"/>
  <c r="EO342" i="7"/>
  <c r="EO202" i="8"/>
  <c r="EO24" i="7"/>
  <c r="EO103" i="8"/>
  <c r="EP104" i="8" s="1"/>
  <c r="EN103" i="8"/>
  <c r="EO261" i="7"/>
  <c r="EN242" i="7"/>
  <c r="EN564" i="7" s="1"/>
  <c r="EN566" i="7" s="1"/>
  <c r="EO564" i="7"/>
  <c r="EO566" i="7" s="1"/>
  <c r="EN358" i="7"/>
  <c r="EN205" i="8" s="1"/>
  <c r="EN25" i="7" l="1"/>
  <c r="EN560" i="7"/>
  <c r="EN562" i="7" s="1"/>
  <c r="EN261" i="7"/>
  <c r="EO337" i="7"/>
  <c r="EP76" i="7"/>
  <c r="EN317" i="7"/>
  <c r="EN338" i="7" s="1"/>
  <c r="EO338" i="7"/>
  <c r="EO323" i="7"/>
  <c r="EO299" i="7"/>
  <c r="EO324" i="7"/>
  <c r="EN286" i="7"/>
  <c r="EO322" i="7"/>
  <c r="EO167" i="7"/>
  <c r="EO575" i="7"/>
  <c r="EO219" i="7"/>
  <c r="EN342" i="7"/>
  <c r="EN348" i="7" s="1"/>
  <c r="EO358" i="7"/>
  <c r="EO359" i="7"/>
  <c r="EP105" i="8" l="1"/>
  <c r="EP35" i="7"/>
  <c r="EP34" i="7" s="1"/>
  <c r="EN219" i="7"/>
  <c r="EO220" i="7"/>
  <c r="EN220" i="7" s="1"/>
  <c r="EN337" i="7"/>
  <c r="EN115" i="8"/>
  <c r="EP116" i="8" s="1"/>
  <c r="EN323" i="7"/>
  <c r="EN322" i="7"/>
  <c r="EN167" i="7"/>
  <c r="EN575" i="7"/>
  <c r="EN324" i="7"/>
  <c r="EN339" i="7"/>
  <c r="EP179" i="8"/>
  <c r="EP286" i="7"/>
  <c r="EO300" i="7"/>
  <c r="EN299" i="7"/>
  <c r="EO115" i="8"/>
  <c r="EP355" i="7"/>
  <c r="EN352" i="7"/>
  <c r="EP354" i="7" s="1"/>
  <c r="EO348" i="7"/>
  <c r="EO203" i="8" s="1"/>
  <c r="EP305" i="7" l="1"/>
  <c r="EP308" i="7"/>
  <c r="EP307" i="7" s="1"/>
  <c r="EP117" i="8"/>
  <c r="EN300" i="7"/>
  <c r="EN569" i="7" s="1"/>
  <c r="EN571" i="7" s="1"/>
  <c r="EN574" i="7" s="1"/>
  <c r="EO569" i="7"/>
  <c r="EO571" i="7" s="1"/>
  <c r="EO574" i="7" s="1"/>
  <c r="EO302" i="7"/>
  <c r="EP115" i="8"/>
  <c r="EQ116" i="8" s="1"/>
  <c r="EQ117" i="8" s="1"/>
  <c r="EQ18" i="8" s="1"/>
  <c r="EP299" i="7"/>
  <c r="EP300" i="7" s="1"/>
  <c r="EP42" i="7"/>
  <c r="EP53" i="7" s="1"/>
  <c r="EP43" i="7" s="1"/>
  <c r="EP17" i="8"/>
  <c r="EN577" i="7" l="1"/>
  <c r="EN579" i="7"/>
  <c r="EN302" i="7"/>
  <c r="EN319" i="7" s="1"/>
  <c r="EO319" i="7"/>
  <c r="EO577" i="7"/>
  <c r="EO579" i="7"/>
  <c r="EP18" i="8"/>
  <c r="EP77" i="7"/>
  <c r="ER116" i="8"/>
  <c r="ER117" i="8" s="1"/>
  <c r="EP167" i="7" l="1"/>
  <c r="EP75" i="7"/>
  <c r="ER18" i="8"/>
  <c r="ER77" i="7"/>
  <c r="EQ77" i="7" l="1"/>
  <c r="EP80" i="7"/>
  <c r="EP180" i="7"/>
  <c r="EP325" i="7"/>
  <c r="EP123" i="8" l="1"/>
  <c r="EP122" i="8" s="1"/>
  <c r="EP132" i="8"/>
  <c r="EP81" i="7"/>
  <c r="EP82" i="7" l="1"/>
  <c r="EP182" i="7"/>
  <c r="EP183" i="7" s="1"/>
  <c r="EP187" i="7" s="1"/>
  <c r="EP553" i="7"/>
  <c r="EP133" i="8"/>
  <c r="EP20" i="7" l="1"/>
  <c r="EP186" i="7"/>
  <c r="EP217" i="7"/>
  <c r="AT93" i="57"/>
  <c r="EP554" i="7"/>
  <c r="AT94" i="57" l="1"/>
  <c r="EP83" i="7" s="1"/>
  <c r="EP316" i="7" l="1"/>
  <c r="EP555" i="7"/>
  <c r="EP556" i="7" s="1"/>
  <c r="EP557" i="7" s="1"/>
  <c r="EP85" i="7"/>
  <c r="EP10" i="7" l="1"/>
  <c r="EP14" i="7" s="1"/>
  <c r="EP175" i="7"/>
  <c r="EP116" i="7"/>
  <c r="EP140" i="7" s="1"/>
  <c r="EP91" i="7"/>
  <c r="EP164" i="7"/>
  <c r="EP156" i="7"/>
  <c r="EP5" i="8" l="1"/>
  <c r="EP11" i="8" s="1"/>
  <c r="EP177" i="8"/>
  <c r="EP17" i="7"/>
  <c r="EP11" i="7"/>
  <c r="EP157" i="7"/>
  <c r="EP163" i="7"/>
  <c r="EP208" i="7"/>
  <c r="EP174" i="7"/>
  <c r="EP141" i="7"/>
  <c r="EP144" i="7"/>
  <c r="EP197" i="8"/>
  <c r="EP27" i="7"/>
  <c r="EP145" i="7" l="1"/>
  <c r="EP314" i="7" s="1"/>
  <c r="EP315" i="7" s="1"/>
  <c r="EP212" i="7"/>
  <c r="EP214" i="7" s="1"/>
  <c r="EP15" i="7"/>
  <c r="EP12" i="7"/>
  <c r="EP341" i="7"/>
  <c r="EP22" i="7" l="1"/>
  <c r="EP359" i="7" s="1"/>
  <c r="EP342" i="7"/>
  <c r="EP228" i="7"/>
  <c r="EP339" i="7" s="1"/>
  <c r="EP224" i="7"/>
  <c r="EQ222" i="7" s="1"/>
  <c r="EP25" i="7"/>
  <c r="EP317" i="7"/>
  <c r="EP560" i="7"/>
  <c r="EP562" i="7" s="1"/>
  <c r="EP147" i="7"/>
  <c r="EQ143" i="7" s="1"/>
  <c r="EP322" i="7" l="1"/>
  <c r="EP338" i="7"/>
  <c r="EP242" i="7"/>
  <c r="EP575" i="7"/>
  <c r="EP103" i="8"/>
  <c r="EQ104" i="8" s="1"/>
  <c r="ER104" i="8" s="1"/>
  <c r="ER76" i="7" s="1"/>
  <c r="EP323" i="7"/>
  <c r="EP324" i="7"/>
  <c r="EP219" i="7"/>
  <c r="EP220" i="7" s="1"/>
  <c r="EP348" i="7"/>
  <c r="EP358" i="7"/>
  <c r="EQ355" i="7" l="1"/>
  <c r="ER355" i="7" s="1"/>
  <c r="ER308" i="7" s="1"/>
  <c r="EP352" i="7"/>
  <c r="EQ354" i="7" s="1"/>
  <c r="ER354" i="7" s="1"/>
  <c r="ER305" i="7" s="1"/>
  <c r="EP261" i="7"/>
  <c r="EP564" i="7"/>
  <c r="EP566" i="7" s="1"/>
  <c r="ER35" i="7"/>
  <c r="EQ76" i="7"/>
  <c r="EQ105" i="8" s="1"/>
  <c r="ER75" i="7"/>
  <c r="EQ75" i="7" l="1"/>
  <c r="ER80" i="7"/>
  <c r="ER325" i="7"/>
  <c r="ER180" i="7"/>
  <c r="EQ17" i="8"/>
  <c r="ER105" i="8"/>
  <c r="ER17" i="8" s="1"/>
  <c r="ER34" i="7"/>
  <c r="EQ35" i="7"/>
  <c r="EP337" i="7"/>
  <c r="EP302" i="7"/>
  <c r="EP319" i="7" s="1"/>
  <c r="EP569" i="7"/>
  <c r="EP571" i="7" s="1"/>
  <c r="EP574" i="7" s="1"/>
  <c r="EQ305" i="7"/>
  <c r="ER307" i="7"/>
  <c r="EQ308" i="7"/>
  <c r="ER42" i="7" l="1"/>
  <c r="EQ34" i="7"/>
  <c r="EQ307" i="7"/>
  <c r="EP577" i="7"/>
  <c r="EP579" i="7"/>
  <c r="EQ180" i="7"/>
  <c r="ER123" i="8"/>
  <c r="ER122" i="8" s="1"/>
  <c r="EQ128" i="8" s="1"/>
  <c r="EQ80" i="7"/>
  <c r="ER81" i="7"/>
  <c r="EQ325" i="7"/>
  <c r="EQ81" i="7" l="1"/>
  <c r="ER82" i="7"/>
  <c r="ER554" i="7" s="1"/>
  <c r="ER182" i="7"/>
  <c r="ER553" i="7"/>
  <c r="EQ123" i="8"/>
  <c r="EQ122" i="8" s="1"/>
  <c r="EQ132" i="8"/>
  <c r="ER53" i="7"/>
  <c r="ER43" i="7" s="1"/>
  <c r="EQ43" i="7" s="1"/>
  <c r="EQ42" i="7"/>
  <c r="EQ53" i="7" s="1"/>
  <c r="EQ133" i="8" l="1"/>
  <c r="ER132" i="8"/>
  <c r="ER133" i="8" s="1"/>
  <c r="EQ82" i="7"/>
  <c r="EQ553" i="7"/>
  <c r="EQ182" i="7"/>
  <c r="ER183" i="7"/>
  <c r="K18" i="70"/>
  <c r="K20" i="70" s="1"/>
  <c r="AU93" i="57" l="1"/>
  <c r="EQ554" i="7"/>
  <c r="EQ183" i="7"/>
  <c r="ER187" i="7"/>
  <c r="ER20" i="7" l="1"/>
  <c r="ER186" i="7"/>
  <c r="EQ186" i="7" s="1"/>
  <c r="EQ187" i="7"/>
  <c r="ER217" i="7"/>
  <c r="AU94" i="57"/>
  <c r="AV93" i="57"/>
  <c r="AV94" i="57" s="1"/>
  <c r="ER83" i="7" s="1"/>
  <c r="EQ83" i="7" l="1"/>
  <c r="EQ555" i="7" s="1"/>
  <c r="EQ556" i="7" s="1"/>
  <c r="EQ557" i="7" s="1"/>
  <c r="ER316" i="7"/>
  <c r="ER555" i="7"/>
  <c r="ER556" i="7" s="1"/>
  <c r="ER557" i="7" s="1"/>
  <c r="ER85" i="7"/>
  <c r="EQ20" i="7"/>
  <c r="EQ217" i="7"/>
  <c r="ER10" i="7" l="1"/>
  <c r="ER14" i="7" s="1"/>
  <c r="ER156" i="7"/>
  <c r="ER116" i="7"/>
  <c r="ER91" i="7"/>
  <c r="ER164" i="7"/>
  <c r="EQ85" i="7"/>
  <c r="EQ316" i="7"/>
  <c r="EQ10" i="7" l="1"/>
  <c r="EQ14" i="7" s="1"/>
  <c r="EQ164" i="7"/>
  <c r="EQ156" i="7"/>
  <c r="EQ175" i="7"/>
  <c r="ER5" i="8"/>
  <c r="ER11" i="8" s="1"/>
  <c r="ER177" i="8"/>
  <c r="ER17" i="7"/>
  <c r="EQ91" i="7"/>
  <c r="ER11" i="7"/>
  <c r="ER157" i="7"/>
  <c r="ER163" i="7"/>
  <c r="ER208" i="7"/>
  <c r="ER140" i="7"/>
  <c r="EQ116" i="7"/>
  <c r="ER27" i="7"/>
  <c r="ER15" i="7" l="1"/>
  <c r="ER12" i="7"/>
  <c r="EQ5" i="8"/>
  <c r="EQ11" i="8" s="1"/>
  <c r="EQ177" i="8"/>
  <c r="EQ17" i="7"/>
  <c r="EQ11" i="7"/>
  <c r="EQ157" i="7"/>
  <c r="EQ163" i="7"/>
  <c r="EQ174" i="7"/>
  <c r="ER145" i="7"/>
  <c r="EQ208" i="7"/>
  <c r="EQ212" i="7" s="1"/>
  <c r="EQ214" i="7" s="1"/>
  <c r="ER214" i="7" s="1"/>
  <c r="EQ140" i="7"/>
  <c r="ER141" i="7"/>
  <c r="ER144" i="7"/>
  <c r="EQ197" i="8"/>
  <c r="EQ27" i="7"/>
  <c r="ER147" i="7" l="1"/>
  <c r="EU143" i="7" s="1"/>
  <c r="EQ141" i="7"/>
  <c r="EQ144" i="7"/>
  <c r="ER210" i="7"/>
  <c r="ER228" i="7"/>
  <c r="ER224" i="7"/>
  <c r="EQ341" i="7"/>
  <c r="ER197" i="8"/>
  <c r="ER198" i="8" s="1"/>
  <c r="EQ145" i="7"/>
  <c r="ER314" i="7"/>
  <c r="EQ15" i="7"/>
  <c r="EQ12" i="7"/>
  <c r="ES143" i="7" l="1"/>
  <c r="EQ314" i="7"/>
  <c r="ER315" i="7"/>
  <c r="EQ22" i="7"/>
  <c r="ER345" i="7"/>
  <c r="ER341" i="7"/>
  <c r="EQ359" i="7"/>
  <c r="EQ228" i="7"/>
  <c r="ER242" i="7"/>
  <c r="EQ147" i="7"/>
  <c r="EU222" i="7"/>
  <c r="ES222" i="7"/>
  <c r="EQ224" i="7"/>
  <c r="ER176" i="8"/>
  <c r="ER174" i="8" s="1"/>
  <c r="ER212" i="7"/>
  <c r="ER103" i="8" l="1"/>
  <c r="ES104" i="8" s="1"/>
  <c r="EQ103" i="8"/>
  <c r="ER179" i="8"/>
  <c r="ER286" i="7"/>
  <c r="ER339" i="7" s="1"/>
  <c r="EQ179" i="8"/>
  <c r="ER22" i="7"/>
  <c r="ER342" i="7"/>
  <c r="ER202" i="8"/>
  <c r="ER24" i="7"/>
  <c r="EQ358" i="7"/>
  <c r="EQ205" i="8" s="1"/>
  <c r="ER25" i="7"/>
  <c r="ER317" i="7"/>
  <c r="EQ315" i="7"/>
  <c r="ER560" i="7"/>
  <c r="ER562" i="7" s="1"/>
  <c r="EQ242" i="7"/>
  <c r="EQ564" i="7" s="1"/>
  <c r="EQ566" i="7" s="1"/>
  <c r="ER261" i="7"/>
  <c r="ER564" i="7"/>
  <c r="ER566" i="7" s="1"/>
  <c r="EQ261" i="7" l="1"/>
  <c r="ER337" i="7"/>
  <c r="ER219" i="7"/>
  <c r="EQ342" i="7"/>
  <c r="EQ348" i="7" s="1"/>
  <c r="ER358" i="7"/>
  <c r="ER359" i="7"/>
  <c r="EQ25" i="7"/>
  <c r="EQ560" i="7"/>
  <c r="EQ562" i="7" s="1"/>
  <c r="EQ286" i="7"/>
  <c r="ER322" i="7"/>
  <c r="ER323" i="7"/>
  <c r="ER299" i="7"/>
  <c r="ER324" i="7"/>
  <c r="ER167" i="7"/>
  <c r="ER575" i="7"/>
  <c r="EQ317" i="7"/>
  <c r="EQ338" i="7" s="1"/>
  <c r="ER338" i="7"/>
  <c r="ES76" i="7"/>
  <c r="EQ352" i="7" l="1"/>
  <c r="ES354" i="7" s="1"/>
  <c r="ES355" i="7"/>
  <c r="ER348" i="7"/>
  <c r="ER203" i="8" s="1"/>
  <c r="EQ324" i="7"/>
  <c r="EQ299" i="7"/>
  <c r="ER300" i="7"/>
  <c r="ES179" i="8"/>
  <c r="ES286" i="7"/>
  <c r="EQ219" i="7"/>
  <c r="ER220" i="7"/>
  <c r="EQ220" i="7" s="1"/>
  <c r="ES105" i="8"/>
  <c r="ES35" i="7"/>
  <c r="ES34" i="7" s="1"/>
  <c r="EQ115" i="8"/>
  <c r="ES116" i="8" s="1"/>
  <c r="EQ322" i="7"/>
  <c r="EQ323" i="7"/>
  <c r="EQ167" i="7"/>
  <c r="EQ575" i="7"/>
  <c r="ER115" i="8"/>
  <c r="EQ337" i="7"/>
  <c r="EQ339" i="7"/>
  <c r="ES115" i="8" l="1"/>
  <c r="ET116" i="8" s="1"/>
  <c r="ET117" i="8" s="1"/>
  <c r="ET18" i="8" s="1"/>
  <c r="ES299" i="7"/>
  <c r="ES300" i="7" s="1"/>
  <c r="EQ300" i="7"/>
  <c r="EQ569" i="7" s="1"/>
  <c r="EQ571" i="7" s="1"/>
  <c r="EQ574" i="7" s="1"/>
  <c r="ER302" i="7"/>
  <c r="ER569" i="7"/>
  <c r="ER571" i="7" s="1"/>
  <c r="ER574" i="7" s="1"/>
  <c r="ES42" i="7"/>
  <c r="ES53" i="7" s="1"/>
  <c r="ES43" i="7" s="1"/>
  <c r="ES308" i="7"/>
  <c r="ES307" i="7" s="1"/>
  <c r="EU116" i="8"/>
  <c r="EU117" i="8" s="1"/>
  <c r="ES117" i="8"/>
  <c r="ES17" i="8"/>
  <c r="ES305" i="7"/>
  <c r="EQ302" i="7" l="1"/>
  <c r="EQ319" i="7" s="1"/>
  <c r="ER319" i="7"/>
  <c r="ER577" i="7"/>
  <c r="ER579" i="7"/>
  <c r="EQ577" i="7"/>
  <c r="EQ579" i="7"/>
  <c r="ES18" i="8"/>
  <c r="ES77" i="7"/>
  <c r="EU18" i="8"/>
  <c r="EU77" i="7"/>
  <c r="ET77" i="7" l="1"/>
  <c r="ES167" i="7"/>
  <c r="ES75" i="7"/>
  <c r="ES80" i="7" l="1"/>
  <c r="ES325" i="7"/>
  <c r="ES180" i="7"/>
  <c r="ES123" i="8" l="1"/>
  <c r="ES122" i="8" s="1"/>
  <c r="ES132" i="8"/>
  <c r="ES81" i="7"/>
  <c r="ES82" i="7" l="1"/>
  <c r="ES182" i="7"/>
  <c r="ES183" i="7" s="1"/>
  <c r="ES187" i="7" s="1"/>
  <c r="ES553" i="7"/>
  <c r="ES133" i="8"/>
  <c r="ES20" i="7" l="1"/>
  <c r="ES186" i="7"/>
  <c r="ES217" i="7"/>
  <c r="AW93" i="57"/>
  <c r="ES554" i="7"/>
  <c r="AW94" i="57" l="1"/>
  <c r="ES83" i="7" s="1"/>
  <c r="ES316" i="7" l="1"/>
  <c r="ES555" i="7"/>
  <c r="ES556" i="7" s="1"/>
  <c r="ES557" i="7" s="1"/>
  <c r="ES85" i="7"/>
  <c r="ES10" i="7" l="1"/>
  <c r="ES14" i="7" s="1"/>
  <c r="ES156" i="7"/>
  <c r="ES116" i="7"/>
  <c r="ES140" i="7" s="1"/>
  <c r="ES91" i="7"/>
  <c r="ES164" i="7"/>
  <c r="ES175" i="7"/>
  <c r="ES177" i="8" l="1"/>
  <c r="ES5" i="8"/>
  <c r="ES11" i="8" s="1"/>
  <c r="ES17" i="7"/>
  <c r="ES11" i="7"/>
  <c r="ES174" i="7"/>
  <c r="ES157" i="7"/>
  <c r="ES163" i="7"/>
  <c r="ES208" i="7"/>
  <c r="ES141" i="7"/>
  <c r="ES144" i="7"/>
  <c r="ES197" i="8"/>
  <c r="ES27" i="7"/>
  <c r="ES145" i="7" l="1"/>
  <c r="ES314" i="7" s="1"/>
  <c r="ES315" i="7" s="1"/>
  <c r="ES212" i="7"/>
  <c r="ES214" i="7" s="1"/>
  <c r="ES15" i="7"/>
  <c r="ES12" i="7"/>
  <c r="ES341" i="7"/>
  <c r="ES25" i="7" l="1"/>
  <c r="ES317" i="7"/>
  <c r="ES560" i="7"/>
  <c r="ES562" i="7" s="1"/>
  <c r="ES22" i="7"/>
  <c r="ES342" i="7"/>
  <c r="ES359" i="7"/>
  <c r="ES228" i="7"/>
  <c r="ES224" i="7"/>
  <c r="ET222" i="7" s="1"/>
  <c r="ES147" i="7"/>
  <c r="ET143" i="7" s="1"/>
  <c r="ES242" i="7" l="1"/>
  <c r="ES575" i="7"/>
  <c r="ES103" i="8"/>
  <c r="ET104" i="8" s="1"/>
  <c r="EU104" i="8" s="1"/>
  <c r="EU76" i="7" s="1"/>
  <c r="ES324" i="7"/>
  <c r="ES323" i="7"/>
  <c r="ES348" i="7"/>
  <c r="ES219" i="7"/>
  <c r="ES220" i="7" s="1"/>
  <c r="ES358" i="7"/>
  <c r="ES339" i="7"/>
  <c r="ES322" i="7"/>
  <c r="ES338" i="7"/>
  <c r="ET355" i="7" l="1"/>
  <c r="EU355" i="7" s="1"/>
  <c r="EU308" i="7" s="1"/>
  <c r="ES352" i="7"/>
  <c r="ET354" i="7" s="1"/>
  <c r="EU354" i="7" s="1"/>
  <c r="EU305" i="7" s="1"/>
  <c r="ET76" i="7"/>
  <c r="ET105" i="8" s="1"/>
  <c r="EU35" i="7"/>
  <c r="EU75" i="7"/>
  <c r="ES261" i="7"/>
  <c r="ES564" i="7"/>
  <c r="ES566" i="7" s="1"/>
  <c r="ES337" i="7" l="1"/>
  <c r="ES302" i="7"/>
  <c r="ES319" i="7" s="1"/>
  <c r="ES569" i="7"/>
  <c r="ES571" i="7" s="1"/>
  <c r="ES574" i="7" s="1"/>
  <c r="ET75" i="7"/>
  <c r="EU80" i="7"/>
  <c r="EU180" i="7"/>
  <c r="EU325" i="7"/>
  <c r="EU34" i="7"/>
  <c r="ET35" i="7"/>
  <c r="ET17" i="8"/>
  <c r="EU105" i="8"/>
  <c r="EU17" i="8" s="1"/>
  <c r="ET305" i="7"/>
  <c r="ET308" i="7"/>
  <c r="EU307" i="7"/>
  <c r="ES577" i="7" l="1"/>
  <c r="ES579" i="7"/>
  <c r="EU42" i="7"/>
  <c r="ET34" i="7"/>
  <c r="ET307" i="7"/>
  <c r="ET180" i="7"/>
  <c r="EU123" i="8"/>
  <c r="EU122" i="8" s="1"/>
  <c r="ET128" i="8" s="1"/>
  <c r="ET80" i="7"/>
  <c r="EU81" i="7"/>
  <c r="ET325" i="7"/>
  <c r="ET123" i="8" l="1"/>
  <c r="ET122" i="8" s="1"/>
  <c r="ET132" i="8"/>
  <c r="EU53" i="7"/>
  <c r="EU43" i="7" s="1"/>
  <c r="ET43" i="7" s="1"/>
  <c r="ET42" i="7"/>
  <c r="ET53" i="7" s="1"/>
  <c r="EU82" i="7"/>
  <c r="EU554" i="7" s="1"/>
  <c r="ET81" i="7"/>
  <c r="EU182" i="7"/>
  <c r="EU553" i="7"/>
  <c r="L18" i="70" l="1"/>
  <c r="L20" i="70" s="1"/>
  <c r="ET82" i="7"/>
  <c r="ET553" i="7"/>
  <c r="ET133" i="8"/>
  <c r="EU132" i="8"/>
  <c r="EU133" i="8" s="1"/>
  <c r="ET182" i="7"/>
  <c r="EU183" i="7"/>
  <c r="AX93" i="57" l="1"/>
  <c r="ET554" i="7"/>
  <c r="EU187" i="7"/>
  <c r="ET183" i="7"/>
  <c r="EU20" i="7" l="1"/>
  <c r="ET187" i="7"/>
  <c r="EU217" i="7"/>
  <c r="EU186" i="7"/>
  <c r="ET186" i="7" s="1"/>
  <c r="AX94" i="57"/>
  <c r="AY93" i="57"/>
  <c r="AY94" i="57" s="1"/>
  <c r="EU83" i="7" s="1"/>
  <c r="ET83" i="7" l="1"/>
  <c r="ET555" i="7" s="1"/>
  <c r="ET556" i="7" s="1"/>
  <c r="ET557" i="7" s="1"/>
  <c r="EU316" i="7"/>
  <c r="EU85" i="7"/>
  <c r="EU555" i="7"/>
  <c r="EU556" i="7" s="1"/>
  <c r="EU557" i="7" s="1"/>
  <c r="ET217" i="7"/>
  <c r="ET20" i="7"/>
  <c r="ET85" i="7" l="1"/>
  <c r="EU10" i="7"/>
  <c r="EU14" i="7" s="1"/>
  <c r="EU164" i="7"/>
  <c r="EU156" i="7"/>
  <c r="EU116" i="7"/>
  <c r="EU91" i="7"/>
  <c r="ET316" i="7"/>
  <c r="EU177" i="8" l="1"/>
  <c r="EU5" i="8"/>
  <c r="EU11" i="8" s="1"/>
  <c r="EU11" i="7"/>
  <c r="EU17" i="7"/>
  <c r="EU157" i="7"/>
  <c r="EU163" i="7"/>
  <c r="ET91" i="7"/>
  <c r="EU208" i="7"/>
  <c r="ET116" i="7"/>
  <c r="EU140" i="7"/>
  <c r="EU27" i="7"/>
  <c r="ET10" i="7"/>
  <c r="ET14" i="7" s="1"/>
  <c r="ET156" i="7"/>
  <c r="ET175" i="7"/>
  <c r="ET164" i="7"/>
  <c r="ET197" i="8" l="1"/>
  <c r="ET27" i="7"/>
  <c r="ET177" i="8"/>
  <c r="ET5" i="8"/>
  <c r="ET11" i="8" s="1"/>
  <c r="ET17" i="7"/>
  <c r="ET11" i="7"/>
  <c r="ET174" i="7"/>
  <c r="ET157" i="7"/>
  <c r="ET163" i="7"/>
  <c r="EU12" i="7"/>
  <c r="EU15" i="7"/>
  <c r="ET208" i="7"/>
  <c r="ET212" i="7" s="1"/>
  <c r="ET214" i="7" s="1"/>
  <c r="EU214" i="7" s="1"/>
  <c r="EU145" i="7"/>
  <c r="EU141" i="7"/>
  <c r="ET140" i="7"/>
  <c r="EU144" i="7"/>
  <c r="EU147" i="7" l="1"/>
  <c r="EX143" i="7" s="1"/>
  <c r="EU210" i="7"/>
  <c r="EU228" i="7"/>
  <c r="EU224" i="7"/>
  <c r="ET141" i="7"/>
  <c r="ET144" i="7"/>
  <c r="ET145" i="7"/>
  <c r="EU314" i="7"/>
  <c r="ET341" i="7"/>
  <c r="EU197" i="8"/>
  <c r="EU198" i="8" s="1"/>
  <c r="ET12" i="7"/>
  <c r="ET15" i="7"/>
  <c r="EV143" i="7" l="1"/>
  <c r="ET314" i="7"/>
  <c r="EU315" i="7"/>
  <c r="ET22" i="7"/>
  <c r="ET359" i="7" s="1"/>
  <c r="EU341" i="7"/>
  <c r="EU345" i="7"/>
  <c r="ET147" i="7"/>
  <c r="EV222" i="7"/>
  <c r="EX222" i="7"/>
  <c r="ET224" i="7"/>
  <c r="EU242" i="7"/>
  <c r="ET228" i="7"/>
  <c r="EU176" i="8"/>
  <c r="EU174" i="8" s="1"/>
  <c r="EU212" i="7"/>
  <c r="EU103" i="8" l="1"/>
  <c r="EV104" i="8" s="1"/>
  <c r="ET103" i="8"/>
  <c r="EU179" i="8"/>
  <c r="ET179" i="8"/>
  <c r="EU286" i="7"/>
  <c r="EU339" i="7" s="1"/>
  <c r="EU202" i="8"/>
  <c r="EU24" i="7"/>
  <c r="EU22" i="7"/>
  <c r="EU342" i="7"/>
  <c r="ET358" i="7"/>
  <c r="ET205" i="8" s="1"/>
  <c r="ET242" i="7"/>
  <c r="ET564" i="7" s="1"/>
  <c r="ET566" i="7" s="1"/>
  <c r="EU261" i="7"/>
  <c r="EU564" i="7"/>
  <c r="EU566" i="7" s="1"/>
  <c r="EU25" i="7"/>
  <c r="EU317" i="7"/>
  <c r="EU560" i="7"/>
  <c r="EU562" i="7" s="1"/>
  <c r="ET315" i="7"/>
  <c r="EU358" i="7" l="1"/>
  <c r="EU359" i="7"/>
  <c r="ET317" i="7"/>
  <c r="ET338" i="7" s="1"/>
  <c r="EU338" i="7"/>
  <c r="ET261" i="7"/>
  <c r="EU337" i="7"/>
  <c r="EU219" i="7"/>
  <c r="ET342" i="7"/>
  <c r="ET348" i="7" s="1"/>
  <c r="ET25" i="7"/>
  <c r="ET560" i="7"/>
  <c r="ET562" i="7" s="1"/>
  <c r="EU299" i="7"/>
  <c r="EU324" i="7"/>
  <c r="ET286" i="7"/>
  <c r="EU323" i="7"/>
  <c r="EU322" i="7"/>
  <c r="EU167" i="7"/>
  <c r="EU575" i="7"/>
  <c r="EV76" i="7"/>
  <c r="ET219" i="7" l="1"/>
  <c r="EU220" i="7"/>
  <c r="ET220" i="7" s="1"/>
  <c r="EV355" i="7"/>
  <c r="ET352" i="7"/>
  <c r="EV354" i="7" s="1"/>
  <c r="EU348" i="7"/>
  <c r="EU203" i="8" s="1"/>
  <c r="ET115" i="8"/>
  <c r="EV116" i="8" s="1"/>
  <c r="ET322" i="7"/>
  <c r="ET323" i="7"/>
  <c r="ET167" i="7"/>
  <c r="ET575" i="7"/>
  <c r="ET324" i="7"/>
  <c r="ET299" i="7"/>
  <c r="EU300" i="7"/>
  <c r="EU115" i="8"/>
  <c r="EV179" i="8"/>
  <c r="EV286" i="7"/>
  <c r="ET337" i="7"/>
  <c r="EV105" i="8"/>
  <c r="EV35" i="7"/>
  <c r="EV34" i="7" s="1"/>
  <c r="ET339" i="7"/>
  <c r="EV42" i="7" l="1"/>
  <c r="EV53" i="7" s="1"/>
  <c r="EV43" i="7" s="1"/>
  <c r="EV17" i="8"/>
  <c r="EV115" i="8"/>
  <c r="EW116" i="8" s="1"/>
  <c r="EW117" i="8" s="1"/>
  <c r="EW18" i="8" s="1"/>
  <c r="EV299" i="7"/>
  <c r="EV300" i="7" s="1"/>
  <c r="EV117" i="8"/>
  <c r="EV305" i="7"/>
  <c r="ET300" i="7"/>
  <c r="ET569" i="7" s="1"/>
  <c r="ET571" i="7" s="1"/>
  <c r="ET574" i="7" s="1"/>
  <c r="EU302" i="7"/>
  <c r="EU569" i="7"/>
  <c r="EU571" i="7" s="1"/>
  <c r="EU574" i="7" s="1"/>
  <c r="EV308" i="7"/>
  <c r="EV307" i="7" s="1"/>
  <c r="EX116" i="8" l="1"/>
  <c r="EX117" i="8" s="1"/>
  <c r="EX18" i="8"/>
  <c r="EX77" i="7"/>
  <c r="EV18" i="8"/>
  <c r="EV77" i="7"/>
  <c r="EU577" i="7"/>
  <c r="EU579" i="7"/>
  <c r="ET302" i="7"/>
  <c r="ET319" i="7" s="1"/>
  <c r="EU319" i="7"/>
  <c r="ET577" i="7"/>
  <c r="ET579" i="7"/>
  <c r="EV167" i="7" l="1"/>
  <c r="EV75" i="7"/>
  <c r="EW77" i="7"/>
  <c r="EV80" i="7" l="1"/>
  <c r="EV180" i="7"/>
  <c r="EV325" i="7"/>
  <c r="EV123" i="8" l="1"/>
  <c r="EV122" i="8" s="1"/>
  <c r="EV132" i="8"/>
  <c r="EV81" i="7"/>
  <c r="EV82" i="7" l="1"/>
  <c r="EV182" i="7"/>
  <c r="EV183" i="7" s="1"/>
  <c r="EV187" i="7" s="1"/>
  <c r="EV553" i="7"/>
  <c r="EV133" i="8"/>
  <c r="EV217" i="7" l="1"/>
  <c r="EV20" i="7"/>
  <c r="EV186" i="7"/>
  <c r="AZ93" i="57"/>
  <c r="EV554" i="7"/>
  <c r="AZ94" i="57" l="1"/>
  <c r="EV83" i="7" s="1"/>
  <c r="EV316" i="7" l="1"/>
  <c r="EV555" i="7"/>
  <c r="EV556" i="7" s="1"/>
  <c r="EV557" i="7" s="1"/>
  <c r="EV85" i="7"/>
  <c r="EV10" i="7" l="1"/>
  <c r="EV14" i="7" s="1"/>
  <c r="EV91" i="7"/>
  <c r="EV164" i="7"/>
  <c r="EV156" i="7"/>
  <c r="EV175" i="7"/>
  <c r="EV116" i="7"/>
  <c r="EV140" i="7" s="1"/>
  <c r="EV141" i="7" l="1"/>
  <c r="EV144" i="7"/>
  <c r="EV177" i="8"/>
  <c r="EV5" i="8"/>
  <c r="EV11" i="8" s="1"/>
  <c r="EV11" i="7"/>
  <c r="EV17" i="7"/>
  <c r="EV174" i="7"/>
  <c r="EV208" i="7"/>
  <c r="EV157" i="7"/>
  <c r="EV163" i="7"/>
  <c r="EV197" i="8"/>
  <c r="EV27" i="7"/>
  <c r="EV212" i="7" l="1"/>
  <c r="EV214" i="7" s="1"/>
  <c r="EV145" i="7"/>
  <c r="EV314" i="7" s="1"/>
  <c r="EV315" i="7" s="1"/>
  <c r="EV12" i="7"/>
  <c r="EV15" i="7"/>
  <c r="EV341" i="7"/>
  <c r="EV147" i="7" l="1"/>
  <c r="EW143" i="7" s="1"/>
  <c r="EV22" i="7"/>
  <c r="EV359" i="7" s="1"/>
  <c r="EV342" i="7"/>
  <c r="EV25" i="7"/>
  <c r="EV317" i="7"/>
  <c r="EV560" i="7"/>
  <c r="EV562" i="7" s="1"/>
  <c r="EV228" i="7"/>
  <c r="EV339" i="7" s="1"/>
  <c r="EV224" i="7"/>
  <c r="EW222" i="7" s="1"/>
  <c r="EV322" i="7" l="1"/>
  <c r="EV338" i="7"/>
  <c r="EV219" i="7"/>
  <c r="EV220" i="7" s="1"/>
  <c r="EV348" i="7"/>
  <c r="EV242" i="7"/>
  <c r="EV575" i="7"/>
  <c r="EV103" i="8"/>
  <c r="EW104" i="8" s="1"/>
  <c r="EX104" i="8" s="1"/>
  <c r="EX76" i="7" s="1"/>
  <c r="EV324" i="7"/>
  <c r="EV323" i="7"/>
  <c r="EV358" i="7"/>
  <c r="EX75" i="7" l="1"/>
  <c r="EX35" i="7"/>
  <c r="EW76" i="7"/>
  <c r="EW105" i="8" s="1"/>
  <c r="EV261" i="7"/>
  <c r="EV564" i="7"/>
  <c r="EV566" i="7" s="1"/>
  <c r="EV352" i="7"/>
  <c r="EW354" i="7" s="1"/>
  <c r="EX354" i="7" s="1"/>
  <c r="EX305" i="7" s="1"/>
  <c r="EW355" i="7"/>
  <c r="EX355" i="7" s="1"/>
  <c r="EX308" i="7" s="1"/>
  <c r="EV302" i="7" l="1"/>
  <c r="EV319" i="7" s="1"/>
  <c r="EV337" i="7"/>
  <c r="EV569" i="7"/>
  <c r="EX307" i="7"/>
  <c r="EW308" i="7"/>
  <c r="EW305" i="7"/>
  <c r="EV571" i="7"/>
  <c r="EV574" i="7" s="1"/>
  <c r="EW17" i="8"/>
  <c r="EX105" i="8"/>
  <c r="EX17" i="8" s="1"/>
  <c r="EX34" i="7"/>
  <c r="EW35" i="7"/>
  <c r="EW75" i="7"/>
  <c r="EX80" i="7"/>
  <c r="EX180" i="7"/>
  <c r="EX325" i="7"/>
  <c r="EV577" i="7" l="1"/>
  <c r="EV579" i="7"/>
  <c r="EW307" i="7"/>
  <c r="EW180" i="7"/>
  <c r="EX123" i="8"/>
  <c r="EX122" i="8" s="1"/>
  <c r="EW128" i="8" s="1"/>
  <c r="EX81" i="7"/>
  <c r="EW80" i="7"/>
  <c r="EW325" i="7"/>
  <c r="EX42" i="7"/>
  <c r="EW34" i="7"/>
  <c r="EW42" i="7" l="1"/>
  <c r="EW53" i="7" s="1"/>
  <c r="EX53" i="7"/>
  <c r="EX43" i="7" s="1"/>
  <c r="EW43" i="7" s="1"/>
  <c r="EW123" i="8"/>
  <c r="EW122" i="8" s="1"/>
  <c r="EW132" i="8"/>
  <c r="EW81" i="7"/>
  <c r="EX182" i="7"/>
  <c r="EX82" i="7"/>
  <c r="EX554" i="7" s="1"/>
  <c r="EX553" i="7"/>
  <c r="EW182" i="7" l="1"/>
  <c r="EX183" i="7"/>
  <c r="EW82" i="7"/>
  <c r="EW553" i="7"/>
  <c r="M18" i="70"/>
  <c r="M20" i="70" s="1"/>
  <c r="EW133" i="8"/>
  <c r="EX132" i="8"/>
  <c r="EX133" i="8" s="1"/>
  <c r="BA93" i="57" l="1"/>
  <c r="EW554" i="7"/>
  <c r="EW183" i="7"/>
  <c r="EX187" i="7"/>
  <c r="EX20" i="7" l="1"/>
  <c r="EX217" i="7"/>
  <c r="EX186" i="7"/>
  <c r="EW186" i="7" s="1"/>
  <c r="EW187" i="7"/>
  <c r="BA94" i="57"/>
  <c r="BB93" i="57"/>
  <c r="BB94" i="57" s="1"/>
  <c r="EX83" i="7" s="1"/>
  <c r="EW83" i="7" l="1"/>
  <c r="EW555" i="7" s="1"/>
  <c r="EW556" i="7" s="1"/>
  <c r="EW557" i="7" s="1"/>
  <c r="EX316" i="7"/>
  <c r="EX85" i="7"/>
  <c r="EX555" i="7"/>
  <c r="EX556" i="7" s="1"/>
  <c r="EX557" i="7" s="1"/>
  <c r="EW20" i="7"/>
  <c r="EW217" i="7"/>
  <c r="EX10" i="7" l="1"/>
  <c r="EX14" i="7" s="1"/>
  <c r="EX116" i="7"/>
  <c r="EX91" i="7"/>
  <c r="EW85" i="7"/>
  <c r="EX164" i="7"/>
  <c r="EX156" i="7"/>
  <c r="EW316" i="7"/>
  <c r="EX140" i="7" l="1"/>
  <c r="EW116" i="7"/>
  <c r="EX27" i="7"/>
  <c r="EW10" i="7"/>
  <c r="EW14" i="7" s="1"/>
  <c r="EW164" i="7"/>
  <c r="EW156" i="7"/>
  <c r="EW175" i="7"/>
  <c r="EX5" i="8"/>
  <c r="EX11" i="8" s="1"/>
  <c r="EX177" i="8"/>
  <c r="EW91" i="7"/>
  <c r="EX11" i="7"/>
  <c r="EX17" i="7"/>
  <c r="EX163" i="7"/>
  <c r="EX208" i="7"/>
  <c r="EX157" i="7"/>
  <c r="EX15" i="7" l="1"/>
  <c r="EX12" i="7"/>
  <c r="EW177" i="8"/>
  <c r="EW5" i="8"/>
  <c r="EW11" i="8" s="1"/>
  <c r="EW11" i="7"/>
  <c r="EW17" i="7"/>
  <c r="EW174" i="7"/>
  <c r="EW157" i="7"/>
  <c r="EW163" i="7"/>
  <c r="EW197" i="8"/>
  <c r="EW27" i="7"/>
  <c r="EX145" i="7"/>
  <c r="EW208" i="7"/>
  <c r="EW212" i="7" s="1"/>
  <c r="EW214" i="7" s="1"/>
  <c r="EX214" i="7" s="1"/>
  <c r="EW140" i="7"/>
  <c r="EX141" i="7"/>
  <c r="EX144" i="7"/>
  <c r="EW145" i="7" l="1"/>
  <c r="EX314" i="7"/>
  <c r="EW15" i="7"/>
  <c r="EW12" i="7"/>
  <c r="EX147" i="7"/>
  <c r="EW341" i="7"/>
  <c r="EX197" i="8"/>
  <c r="EX198" i="8" s="1"/>
  <c r="EW141" i="7"/>
  <c r="EW144" i="7"/>
  <c r="EX210" i="7"/>
  <c r="EX228" i="7"/>
  <c r="EX224" i="7"/>
  <c r="EW147" i="7" l="1"/>
  <c r="EY143" i="7"/>
  <c r="FA143" i="7"/>
  <c r="FA222" i="7"/>
  <c r="EW224" i="7"/>
  <c r="EY222" i="7"/>
  <c r="EX242" i="7"/>
  <c r="EW228" i="7"/>
  <c r="EW22" i="7"/>
  <c r="EX341" i="7"/>
  <c r="EX345" i="7"/>
  <c r="EW314" i="7"/>
  <c r="EX315" i="7"/>
  <c r="EX176" i="8"/>
  <c r="EX174" i="8" s="1"/>
  <c r="EX212" i="7"/>
  <c r="EX179" i="8" l="1"/>
  <c r="EX286" i="7"/>
  <c r="EX339" i="7" s="1"/>
  <c r="EW179" i="8"/>
  <c r="EW358" i="7"/>
  <c r="EW205" i="8" s="1"/>
  <c r="EX25" i="7"/>
  <c r="EW315" i="7"/>
  <c r="EX317" i="7"/>
  <c r="EX560" i="7"/>
  <c r="EX562" i="7" s="1"/>
  <c r="EX103" i="8"/>
  <c r="EY104" i="8" s="1"/>
  <c r="EW103" i="8"/>
  <c r="EW242" i="7"/>
  <c r="EW564" i="7" s="1"/>
  <c r="EW566" i="7" s="1"/>
  <c r="EX261" i="7"/>
  <c r="EX564" i="7"/>
  <c r="EX566" i="7" s="1"/>
  <c r="EW359" i="7"/>
  <c r="EX202" i="8"/>
  <c r="EX24" i="7"/>
  <c r="EX22" i="7"/>
  <c r="EX342" i="7"/>
  <c r="EW342" i="7" l="1"/>
  <c r="EW348" i="7" s="1"/>
  <c r="EX219" i="7"/>
  <c r="EX358" i="7"/>
  <c r="EX359" i="7"/>
  <c r="EW25" i="7"/>
  <c r="EW560" i="7"/>
  <c r="EW562" i="7" s="1"/>
  <c r="EW317" i="7"/>
  <c r="EW338" i="7" s="1"/>
  <c r="EX338" i="7"/>
  <c r="EY76" i="7"/>
  <c r="EW261" i="7"/>
  <c r="EX337" i="7"/>
  <c r="EX323" i="7"/>
  <c r="EX299" i="7"/>
  <c r="EX324" i="7"/>
  <c r="EW286" i="7"/>
  <c r="EX115" i="8" s="1"/>
  <c r="EX322" i="7"/>
  <c r="EX167" i="7"/>
  <c r="EX575" i="7"/>
  <c r="EW339" i="7" l="1"/>
  <c r="EY105" i="8"/>
  <c r="EY35" i="7"/>
  <c r="EY34" i="7" s="1"/>
  <c r="EY179" i="8"/>
  <c r="EY286" i="7"/>
  <c r="EW324" i="7"/>
  <c r="EX300" i="7"/>
  <c r="EW299" i="7"/>
  <c r="EW337" i="7"/>
  <c r="EW219" i="7"/>
  <c r="EX220" i="7"/>
  <c r="EW220" i="7" s="1"/>
  <c r="EW115" i="8"/>
  <c r="EY116" i="8" s="1"/>
  <c r="EW322" i="7"/>
  <c r="EW323" i="7"/>
  <c r="EW167" i="7"/>
  <c r="EW575" i="7"/>
  <c r="EW352" i="7"/>
  <c r="EY354" i="7" s="1"/>
  <c r="EY355" i="7"/>
  <c r="EX348" i="7"/>
  <c r="EX203" i="8" s="1"/>
  <c r="EY308" i="7" l="1"/>
  <c r="EY307" i="7" s="1"/>
  <c r="EW300" i="7"/>
  <c r="EW569" i="7" s="1"/>
  <c r="EW571" i="7" s="1"/>
  <c r="EW574" i="7" s="1"/>
  <c r="EX302" i="7"/>
  <c r="EX569" i="7"/>
  <c r="EX571" i="7" s="1"/>
  <c r="EX574" i="7" s="1"/>
  <c r="EY305" i="7"/>
  <c r="EY115" i="8"/>
  <c r="EZ116" i="8" s="1"/>
  <c r="EZ117" i="8" s="1"/>
  <c r="EZ18" i="8" s="1"/>
  <c r="EY299" i="7"/>
  <c r="EY300" i="7" s="1"/>
  <c r="EY117" i="8"/>
  <c r="EY42" i="7"/>
  <c r="EY53" i="7" s="1"/>
  <c r="EY43" i="7" s="1"/>
  <c r="EY17" i="8"/>
  <c r="EX577" i="7" l="1"/>
  <c r="EX579" i="7"/>
  <c r="EY18" i="8"/>
  <c r="EY77" i="7"/>
  <c r="FA116" i="8"/>
  <c r="FA117" i="8" s="1"/>
  <c r="EW302" i="7"/>
  <c r="EW319" i="7" s="1"/>
  <c r="EX319" i="7"/>
  <c r="EW577" i="7"/>
  <c r="EW579" i="7"/>
  <c r="FA18" i="8" l="1"/>
  <c r="FA77" i="7"/>
  <c r="EY167" i="7"/>
  <c r="EY75" i="7"/>
  <c r="EY80" i="7" l="1"/>
  <c r="EY180" i="7"/>
  <c r="EY325" i="7"/>
  <c r="EZ77" i="7"/>
  <c r="EY123" i="8" l="1"/>
  <c r="EY122" i="8" s="1"/>
  <c r="EY132" i="8"/>
  <c r="EY81" i="7"/>
  <c r="EY133" i="8" l="1"/>
  <c r="EY82" i="7"/>
  <c r="EY182" i="7"/>
  <c r="EY183" i="7" s="1"/>
  <c r="EY187" i="7" s="1"/>
  <c r="EY553" i="7"/>
  <c r="EY20" i="7" l="1"/>
  <c r="EY217" i="7"/>
  <c r="EY186" i="7"/>
  <c r="BC93" i="57"/>
  <c r="EY554" i="7"/>
  <c r="BC94" i="57" l="1"/>
  <c r="EY83" i="7" s="1"/>
  <c r="EY316" i="7" l="1"/>
  <c r="EY555" i="7"/>
  <c r="EY556" i="7" s="1"/>
  <c r="EY557" i="7" s="1"/>
  <c r="EY85" i="7"/>
  <c r="EY10" i="7" l="1"/>
  <c r="EY14" i="7" s="1"/>
  <c r="EY116" i="7"/>
  <c r="EY140" i="7" s="1"/>
  <c r="EY91" i="7"/>
  <c r="EY164" i="7"/>
  <c r="EY156" i="7"/>
  <c r="EY175" i="7"/>
  <c r="EY5" i="8" l="1"/>
  <c r="EY11" i="8" s="1"/>
  <c r="EY11" i="7"/>
  <c r="EY177" i="8"/>
  <c r="EY17" i="7"/>
  <c r="EY163" i="7"/>
  <c r="EY174" i="7"/>
  <c r="EY157" i="7"/>
  <c r="EY208" i="7"/>
  <c r="EY141" i="7"/>
  <c r="EY144" i="7"/>
  <c r="EY197" i="8"/>
  <c r="EY27" i="7"/>
  <c r="EY341" i="7" l="1"/>
  <c r="EY15" i="7"/>
  <c r="EY12" i="7"/>
  <c r="EY145" i="7"/>
  <c r="EY314" i="7" s="1"/>
  <c r="EY315" i="7" s="1"/>
  <c r="EY212" i="7"/>
  <c r="EY214" i="7" s="1"/>
  <c r="EY228" i="7" l="1"/>
  <c r="EY224" i="7"/>
  <c r="EZ222" i="7" s="1"/>
  <c r="EY147" i="7"/>
  <c r="EZ143" i="7" s="1"/>
  <c r="EY22" i="7"/>
  <c r="EY342" i="7"/>
  <c r="EY25" i="7"/>
  <c r="EY317" i="7"/>
  <c r="EY339" i="7"/>
  <c r="EY560" i="7"/>
  <c r="EY562" i="7" s="1"/>
  <c r="EY322" i="7" l="1"/>
  <c r="EY338" i="7"/>
  <c r="EY219" i="7"/>
  <c r="EY220" i="7" s="1"/>
  <c r="EY348" i="7"/>
  <c r="EY358" i="7"/>
  <c r="EY359" i="7"/>
  <c r="EY242" i="7"/>
  <c r="EY575" i="7"/>
  <c r="EY103" i="8"/>
  <c r="EZ104" i="8" s="1"/>
  <c r="FA104" i="8" s="1"/>
  <c r="FA76" i="7" s="1"/>
  <c r="EY324" i="7"/>
  <c r="EY323" i="7"/>
  <c r="EZ76" i="7" l="1"/>
  <c r="EZ105" i="8" s="1"/>
  <c r="FA35" i="7"/>
  <c r="FA75" i="7"/>
  <c r="EY261" i="7"/>
  <c r="EY564" i="7"/>
  <c r="EY566" i="7" s="1"/>
  <c r="EY352" i="7"/>
  <c r="EZ354" i="7" s="1"/>
  <c r="FA354" i="7" s="1"/>
  <c r="FA305" i="7" s="1"/>
  <c r="EZ355" i="7"/>
  <c r="FA355" i="7" s="1"/>
  <c r="FA308" i="7" s="1"/>
  <c r="EZ305" i="7" l="1"/>
  <c r="FA307" i="7"/>
  <c r="EZ307" i="7" s="1"/>
  <c r="EZ308" i="7"/>
  <c r="EY337" i="7"/>
  <c r="EY302" i="7"/>
  <c r="EY319" i="7" s="1"/>
  <c r="EY569" i="7"/>
  <c r="EY571" i="7" s="1"/>
  <c r="EY574" i="7" s="1"/>
  <c r="FA80" i="7"/>
  <c r="EZ75" i="7"/>
  <c r="FA180" i="7"/>
  <c r="FA325" i="7"/>
  <c r="FA34" i="7"/>
  <c r="EZ35" i="7"/>
  <c r="EZ17" i="8"/>
  <c r="FA105" i="8"/>
  <c r="FA17" i="8" s="1"/>
  <c r="EY577" i="7" l="1"/>
  <c r="EY579" i="7"/>
  <c r="EZ180" i="7"/>
  <c r="EZ325" i="7"/>
  <c r="FA123" i="8"/>
  <c r="FA122" i="8" s="1"/>
  <c r="EZ128" i="8" s="1"/>
  <c r="EZ80" i="7"/>
  <c r="FA81" i="7"/>
  <c r="EZ34" i="7"/>
  <c r="FA42" i="7"/>
  <c r="EZ81" i="7" l="1"/>
  <c r="FA82" i="7"/>
  <c r="FA554" i="7" s="1"/>
  <c r="FA182" i="7"/>
  <c r="FA553" i="7"/>
  <c r="EZ123" i="8"/>
  <c r="EZ122" i="8" s="1"/>
  <c r="EZ132" i="8"/>
  <c r="FA53" i="7"/>
  <c r="FA43" i="7" s="1"/>
  <c r="EZ43" i="7" s="1"/>
  <c r="EZ42" i="7"/>
  <c r="EZ53" i="7" s="1"/>
  <c r="N18" i="70" l="1"/>
  <c r="N20" i="70" s="1"/>
  <c r="EZ133" i="8"/>
  <c r="FA132" i="8"/>
  <c r="FA133" i="8" s="1"/>
  <c r="EZ182" i="7"/>
  <c r="FA183" i="7"/>
  <c r="EZ82" i="7"/>
  <c r="EZ553" i="7"/>
  <c r="BD93" i="57" l="1"/>
  <c r="EZ554" i="7"/>
  <c r="FA187" i="7"/>
  <c r="EZ183" i="7"/>
  <c r="E23" i="70"/>
  <c r="E22" i="70"/>
  <c r="E26" i="70" l="1"/>
  <c r="E28" i="70" s="1"/>
  <c r="E30" i="70" s="1"/>
  <c r="E32" i="70" s="1"/>
  <c r="FA20" i="7"/>
  <c r="FA186" i="7"/>
  <c r="EZ186" i="7" s="1"/>
  <c r="EZ187" i="7"/>
  <c r="FA217" i="7"/>
  <c r="BD94" i="57"/>
  <c r="BE93" i="57"/>
  <c r="BE94" i="57" s="1"/>
  <c r="FA83" i="7" s="1"/>
  <c r="EZ83" i="7" l="1"/>
  <c r="EZ555" i="7" s="1"/>
  <c r="EZ556" i="7" s="1"/>
  <c r="EZ557" i="7" s="1"/>
  <c r="FA316" i="7"/>
  <c r="EZ316" i="7" s="1"/>
  <c r="FA555" i="7"/>
  <c r="FA556" i="7" s="1"/>
  <c r="FA557" i="7" s="1"/>
  <c r="FA85" i="7"/>
  <c r="EZ217" i="7"/>
  <c r="EZ20" i="7"/>
  <c r="EZ85" i="7" l="1"/>
  <c r="FA10" i="7"/>
  <c r="FA14" i="7" s="1"/>
  <c r="FA116" i="7"/>
  <c r="FA91" i="7"/>
  <c r="FA164" i="7"/>
  <c r="FA156" i="7"/>
  <c r="EZ116" i="7" l="1"/>
  <c r="FA140" i="7"/>
  <c r="EZ10" i="7"/>
  <c r="EZ14" i="7" s="1"/>
  <c r="EZ164" i="7"/>
  <c r="EZ156" i="7"/>
  <c r="EZ175" i="7"/>
  <c r="FA5" i="8"/>
  <c r="FA11" i="8" s="1"/>
  <c r="FA177" i="8"/>
  <c r="FA17" i="7"/>
  <c r="FA11" i="7"/>
  <c r="FA157" i="7"/>
  <c r="EZ91" i="7"/>
  <c r="FA163" i="7"/>
  <c r="FA208" i="7"/>
  <c r="FA27" i="7"/>
  <c r="FA145" i="7" l="1"/>
  <c r="EZ208" i="7"/>
  <c r="EZ212" i="7" s="1"/>
  <c r="EZ214" i="7" s="1"/>
  <c r="FA214" i="7" s="1"/>
  <c r="FA15" i="7"/>
  <c r="FA12" i="7"/>
  <c r="EZ140" i="7"/>
  <c r="FA141" i="7"/>
  <c r="FA144" i="7"/>
  <c r="EZ5" i="8"/>
  <c r="EZ11" i="8" s="1"/>
  <c r="EZ177" i="8"/>
  <c r="EZ17" i="7"/>
  <c r="EZ11" i="7"/>
  <c r="EZ163" i="7"/>
  <c r="EZ174" i="7"/>
  <c r="EZ157" i="7"/>
  <c r="EZ197" i="8"/>
  <c r="EZ27" i="7"/>
  <c r="EZ145" i="7" l="1"/>
  <c r="FA314" i="7"/>
  <c r="FA147" i="7"/>
  <c r="EZ341" i="7"/>
  <c r="FA197" i="8"/>
  <c r="FA198" i="8" s="1"/>
  <c r="EZ141" i="7"/>
  <c r="EZ144" i="7"/>
  <c r="FA210" i="7"/>
  <c r="FA228" i="7"/>
  <c r="FA224" i="7"/>
  <c r="EZ224" i="7" s="1"/>
  <c r="EZ15" i="7"/>
  <c r="EZ12" i="7"/>
  <c r="EZ147" i="7" l="1"/>
  <c r="R7" i="70"/>
  <c r="FA176" i="8"/>
  <c r="FA174" i="8" s="1"/>
  <c r="FA212" i="7"/>
  <c r="EZ22" i="7"/>
  <c r="EZ359" i="7" s="1"/>
  <c r="FA341" i="7"/>
  <c r="FA345" i="7"/>
  <c r="EZ314" i="7"/>
  <c r="FA315" i="7"/>
  <c r="FA242" i="7"/>
  <c r="EZ228" i="7"/>
  <c r="FA25" i="7" l="1"/>
  <c r="FA317" i="7"/>
  <c r="EZ315" i="7"/>
  <c r="FA560" i="7"/>
  <c r="FA562" i="7" s="1"/>
  <c r="FA202" i="8"/>
  <c r="FA24" i="7"/>
  <c r="FA103" i="8"/>
  <c r="EZ103" i="8"/>
  <c r="EZ242" i="7"/>
  <c r="EZ564" i="7" s="1"/>
  <c r="EZ566" i="7" s="1"/>
  <c r="FA261" i="7"/>
  <c r="FA564" i="7"/>
  <c r="FA566" i="7" s="1"/>
  <c r="FA179" i="8"/>
  <c r="EZ179" i="8"/>
  <c r="FA286" i="7"/>
  <c r="FA22" i="7"/>
  <c r="FA342" i="7"/>
  <c r="EZ358" i="7"/>
  <c r="EZ205" i="8" s="1"/>
  <c r="R9" i="70"/>
  <c r="FA358" i="7" l="1"/>
  <c r="FA359" i="7"/>
  <c r="FA323" i="7"/>
  <c r="FA299" i="7"/>
  <c r="FA324" i="7"/>
  <c r="EZ286" i="7"/>
  <c r="EZ339" i="7" s="1"/>
  <c r="FA322" i="7"/>
  <c r="FA167" i="7"/>
  <c r="FA575" i="7"/>
  <c r="EZ261" i="7"/>
  <c r="FA337" i="7"/>
  <c r="FA219" i="7"/>
  <c r="EZ342" i="7"/>
  <c r="EZ348" i="7" s="1"/>
  <c r="EZ25" i="7"/>
  <c r="EZ560" i="7"/>
  <c r="EZ562" i="7" s="1"/>
  <c r="FA339" i="7"/>
  <c r="EZ317" i="7"/>
  <c r="EZ338" i="7" s="1"/>
  <c r="FA338" i="7"/>
  <c r="EZ115" i="8" l="1"/>
  <c r="EZ323" i="7"/>
  <c r="EZ322" i="7"/>
  <c r="EZ167" i="7"/>
  <c r="EZ575" i="7"/>
  <c r="FA300" i="7"/>
  <c r="EZ299" i="7"/>
  <c r="FA115" i="8"/>
  <c r="EZ352" i="7"/>
  <c r="FA348" i="7"/>
  <c r="FA203" i="8" s="1"/>
  <c r="EZ324" i="7"/>
  <c r="EZ219" i="7"/>
  <c r="FA220" i="7"/>
  <c r="EZ220" i="7" s="1"/>
  <c r="EZ337" i="7"/>
  <c r="EZ300" i="7" l="1"/>
  <c r="EZ569" i="7" s="1"/>
  <c r="EZ571" i="7" s="1"/>
  <c r="EZ574" i="7" s="1"/>
  <c r="FA569" i="7"/>
  <c r="FA571" i="7" s="1"/>
  <c r="FA574" i="7" s="1"/>
  <c r="FA302" i="7"/>
  <c r="EZ302" i="7" l="1"/>
  <c r="EZ319" i="7" s="1"/>
  <c r="FA319" i="7"/>
  <c r="FA577" i="7"/>
  <c r="FA579" i="7"/>
  <c r="EZ577" i="7"/>
  <c r="EZ579"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slaaman</author>
    <author>Vu, Tina (Research)</author>
    <author>Chen, Patrick (Research)</author>
  </authors>
  <commentList>
    <comment ref="AX41" authorId="0" shapeId="0" xr:uid="{00000000-0006-0000-0400-000002000000}">
      <text>
        <r>
          <rPr>
            <b/>
            <sz val="8"/>
            <color indexed="8"/>
            <rFont val="Tahoma"/>
            <family val="2"/>
          </rPr>
          <t>slaaman:</t>
        </r>
        <r>
          <rPr>
            <sz val="8"/>
            <color indexed="8"/>
            <rFont val="Tahoma"/>
            <family val="2"/>
          </rPr>
          <t xml:space="preserve">
unspecified from 4B</t>
        </r>
      </text>
    </comment>
    <comment ref="AQ68" authorId="0" shapeId="0" xr:uid="{00000000-0006-0000-0400-000003000000}">
      <text>
        <r>
          <rPr>
            <b/>
            <sz val="8"/>
            <color indexed="8"/>
            <rFont val="Tahoma"/>
            <family val="2"/>
          </rPr>
          <t>slaaman:</t>
        </r>
        <r>
          <rPr>
            <sz val="8"/>
            <color indexed="8"/>
            <rFont val="Tahoma"/>
            <family val="2"/>
          </rPr>
          <t xml:space="preserve">
intellectual property</t>
        </r>
      </text>
    </comment>
    <comment ref="DL87" authorId="1" shapeId="0" xr:uid="{A0D04CB7-54AC-4FCB-985C-CD32BAFC2A43}">
      <text>
        <r>
          <rPr>
            <b/>
            <sz val="9"/>
            <color indexed="81"/>
            <rFont val="Tahoma"/>
            <family val="2"/>
          </rPr>
          <t>Vu, Tina (Research):</t>
        </r>
        <r>
          <rPr>
            <sz val="9"/>
            <color indexed="81"/>
            <rFont val="Tahoma"/>
            <family val="2"/>
          </rPr>
          <t xml:space="preserve">
US$16.7mn in acquisition and integration costs</t>
        </r>
      </text>
    </comment>
    <comment ref="CT95" authorId="2" shapeId="0" xr:uid="{00000000-0006-0000-0400-000004000000}">
      <text>
        <r>
          <rPr>
            <b/>
            <sz val="9"/>
            <color indexed="81"/>
            <rFont val="Tahoma"/>
            <family val="2"/>
          </rPr>
          <t>Chen, Patrick (Research):</t>
        </r>
        <r>
          <rPr>
            <sz val="9"/>
            <color indexed="81"/>
            <rFont val="Tahoma"/>
            <family val="2"/>
          </rPr>
          <t xml:space="preserve">
Gain on acquisition of NOV-IV</t>
        </r>
      </text>
    </comment>
    <comment ref="CY188" authorId="2" shapeId="0" xr:uid="{00000000-0006-0000-0400-000005000000}">
      <text>
        <r>
          <rPr>
            <b/>
            <sz val="9"/>
            <color indexed="81"/>
            <rFont val="Tahoma"/>
            <family val="2"/>
          </rPr>
          <t>Chen, Patrick (Research):</t>
        </r>
        <r>
          <rPr>
            <sz val="9"/>
            <color indexed="81"/>
            <rFont val="Tahoma"/>
            <family val="2"/>
          </rPr>
          <t xml:space="preserve">
guidance ~US$822mn</t>
        </r>
      </text>
    </comment>
    <comment ref="AZ190" authorId="0" shapeId="0" xr:uid="{00000000-0006-0000-0400-000006000000}">
      <text>
        <r>
          <rPr>
            <b/>
            <sz val="8"/>
            <color indexed="8"/>
            <rFont val="Tahoma"/>
            <family val="2"/>
          </rPr>
          <t>slaaman:</t>
        </r>
        <r>
          <rPr>
            <sz val="8"/>
            <color indexed="8"/>
            <rFont val="Tahoma"/>
            <family val="2"/>
          </rPr>
          <t xml:space="preserve">
Payment for property, plant &amp; equipment.</t>
        </r>
      </text>
    </comment>
    <comment ref="AZ196" authorId="0" shapeId="0" xr:uid="{00000000-0006-0000-0400-000007000000}">
      <text>
        <r>
          <rPr>
            <b/>
            <sz val="8"/>
            <color indexed="8"/>
            <rFont val="Tahoma"/>
            <family val="2"/>
          </rPr>
          <t>slaaman:</t>
        </r>
        <r>
          <rPr>
            <sz val="8"/>
            <color indexed="8"/>
            <rFont val="Tahoma"/>
            <family val="2"/>
          </rPr>
          <t xml:space="preserve">
Proceeds from sale of managed fund investments</t>
        </r>
      </text>
    </comment>
    <comment ref="CQ241" authorId="2" shapeId="0" xr:uid="{00000000-0006-0000-0400-000008000000}">
      <text>
        <r>
          <rPr>
            <b/>
            <sz val="9"/>
            <color indexed="81"/>
            <rFont val="Tahoma"/>
            <family val="2"/>
          </rPr>
          <t>Chen, Patrick (Research):</t>
        </r>
        <r>
          <rPr>
            <sz val="9"/>
            <color indexed="81"/>
            <rFont val="Tahoma"/>
            <family val="2"/>
          </rPr>
          <t xml:space="preserve">
Big move in current tax asset</t>
        </r>
      </text>
    </comment>
    <comment ref="AT264" authorId="0" shapeId="0" xr:uid="{00000000-0006-0000-0400-000009000000}">
      <text>
        <r>
          <rPr>
            <b/>
            <sz val="8"/>
            <color indexed="8"/>
            <rFont val="Tahoma"/>
            <family val="2"/>
          </rPr>
          <t>slaaman:</t>
        </r>
        <r>
          <rPr>
            <sz val="8"/>
            <color indexed="8"/>
            <rFont val="Tahoma"/>
            <family val="2"/>
          </rPr>
          <t xml:space="preserve">
trade creditors + insurance claims</t>
        </r>
      </text>
    </comment>
    <comment ref="BA287" authorId="0" shapeId="0" xr:uid="{00000000-0006-0000-0400-00000A000000}">
      <text>
        <r>
          <rPr>
            <b/>
            <sz val="8"/>
            <color indexed="8"/>
            <rFont val="Tahoma"/>
            <family val="2"/>
          </rPr>
          <t>slaaman:</t>
        </r>
        <r>
          <rPr>
            <sz val="8"/>
            <color indexed="8"/>
            <rFont val="Tahoma"/>
            <family val="2"/>
          </rPr>
          <t xml:space="preserve">
Acquisition of 898M less 22.5% and Scrip amount of 353.25M</t>
        </r>
      </text>
    </comment>
    <comment ref="AZ310" authorId="0" shapeId="0" xr:uid="{00000000-0006-0000-0400-00000B000000}">
      <text>
        <r>
          <rPr>
            <b/>
            <sz val="8"/>
            <color indexed="8"/>
            <rFont val="Tahoma"/>
            <family val="2"/>
          </rPr>
          <t>slaaman:</t>
        </r>
        <r>
          <rPr>
            <sz val="8"/>
            <color indexed="8"/>
            <rFont val="Tahoma"/>
            <family val="2"/>
          </rPr>
          <t xml:space="preserve">
options 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Laaman, Sean (Research)</author>
    <author>Vu, Tina (Research)</author>
    <author>Bailey, David L (Research)</author>
    <author>Kirby-Lewis, Megan J (Research)</author>
    <author>Kirby-Lewis, Megan (Research)</author>
    <author>Chen, Patrick (Research)</author>
  </authors>
  <commentList>
    <comment ref="C8" authorId="0" shapeId="0" xr:uid="{5D7212A3-8DF1-40DF-8B1D-E31036D46D77}">
      <text>
        <r>
          <rPr>
            <b/>
            <sz val="9"/>
            <color indexed="81"/>
            <rFont val="Tahoma"/>
            <family val="2"/>
          </rPr>
          <t>Laaman, Sean (Research):</t>
        </r>
        <r>
          <rPr>
            <sz val="9"/>
            <color indexed="81"/>
            <rFont val="Tahoma"/>
            <family val="2"/>
          </rPr>
          <t xml:space="preserve">
Vifor included from 9/8/22. This line was previously CSL IP.</t>
        </r>
      </text>
    </comment>
    <comment ref="DL89" authorId="1" shapeId="0" xr:uid="{6D67D099-4F64-48C6-93B8-951DFCD55D5C}">
      <text>
        <r>
          <rPr>
            <b/>
            <sz val="9"/>
            <color indexed="81"/>
            <rFont val="Tahoma"/>
            <family val="2"/>
          </rPr>
          <t>Vu, Tina (Research):</t>
        </r>
        <r>
          <rPr>
            <sz val="9"/>
            <color indexed="81"/>
            <rFont val="Tahoma"/>
            <family val="2"/>
          </rPr>
          <t xml:space="preserve">
US$16.7mn in acquisition &amp; integration costs</t>
        </r>
      </text>
    </comment>
    <comment ref="ED146" authorId="2" shapeId="0" xr:uid="{0E30B879-07E9-4FF8-874A-F8FB76BAF760}">
      <text>
        <r>
          <rPr>
            <b/>
            <sz val="9"/>
            <color indexed="81"/>
            <rFont val="Tahoma"/>
            <family val="2"/>
          </rPr>
          <t>Bailey, David L (Research):</t>
        </r>
        <r>
          <rPr>
            <sz val="9"/>
            <color indexed="81"/>
            <rFont val="Tahoma"/>
            <family val="2"/>
          </rPr>
          <t xml:space="preserve">
Revised modelling. </t>
        </r>
      </text>
    </comment>
    <comment ref="C162" authorId="3" shapeId="0" xr:uid="{00000000-0006-0000-0500-000006000000}">
      <text>
        <r>
          <rPr>
            <b/>
            <sz val="9"/>
            <color indexed="81"/>
            <rFont val="Tahoma"/>
            <family val="2"/>
          </rPr>
          <t>Kirby-Lewis, Megan J (Research):</t>
        </r>
        <r>
          <rPr>
            <sz val="9"/>
            <color indexed="81"/>
            <rFont val="Tahoma"/>
            <family val="2"/>
          </rPr>
          <t xml:space="preserve">
Privigen
</t>
        </r>
      </text>
    </comment>
    <comment ref="C164" authorId="3" shapeId="0" xr:uid="{00000000-0006-0000-0500-000007000000}">
      <text>
        <r>
          <rPr>
            <b/>
            <sz val="9"/>
            <color indexed="81"/>
            <rFont val="Tahoma"/>
            <family val="2"/>
          </rPr>
          <t>Kirby-Lewis, Megan J (Research):</t>
        </r>
        <r>
          <rPr>
            <sz val="9"/>
            <color indexed="81"/>
            <rFont val="Tahoma"/>
            <family val="2"/>
          </rPr>
          <t xml:space="preserve">
Hizentra</t>
        </r>
      </text>
    </comment>
    <comment ref="D208" authorId="0" shapeId="0" xr:uid="{00000000-0006-0000-0500-000012000000}">
      <text>
        <r>
          <rPr>
            <b/>
            <sz val="9"/>
            <color indexed="81"/>
            <rFont val="Tahoma"/>
            <family val="2"/>
          </rPr>
          <t>Laaman, Sean (Research):</t>
        </r>
        <r>
          <rPr>
            <sz val="9"/>
            <color indexed="81"/>
            <rFont val="Tahoma"/>
            <family val="2"/>
          </rPr>
          <t xml:space="preserve">
Based on 70kg patient using Berinert website calculator</t>
        </r>
      </text>
    </comment>
    <comment ref="C211" authorId="0" shapeId="0" xr:uid="{00000000-0006-0000-0500-000013000000}">
      <text>
        <r>
          <rPr>
            <b/>
            <sz val="9"/>
            <color indexed="81"/>
            <rFont val="Tahoma"/>
            <family val="2"/>
          </rPr>
          <t>Laaman, Sean (Research):</t>
        </r>
        <r>
          <rPr>
            <sz val="9"/>
            <color indexed="81"/>
            <rFont val="Tahoma"/>
            <family val="2"/>
          </rPr>
          <t xml:space="preserve">
The frequency, duration and severity of attacks vary considerably. Approximately 22 per cent of 
patients report a frequency of greater than one attack per month; 40 per cent of patients experience 
on average 6 to 11 attacks per year; and the remaining 22 per cent are infrequently symptomatic.. WE ASSUME FOR SIMPLICITY ONE ATTACK PER MONTH OR 12 PA.</t>
        </r>
      </text>
    </comment>
    <comment ref="DI263" authorId="4" shapeId="0" xr:uid="{00000000-0006-0000-0500-000023000000}">
      <text>
        <r>
          <rPr>
            <b/>
            <sz val="9"/>
            <color indexed="81"/>
            <rFont val="Tahoma"/>
            <family val="2"/>
          </rPr>
          <t>Kirby-Lewis, Megan (Research):</t>
        </r>
        <r>
          <rPr>
            <sz val="9"/>
            <color indexed="81"/>
            <rFont val="Tahoma"/>
            <family val="2"/>
          </rPr>
          <t xml:space="preserve">
Peri op bleeding = US$431mn</t>
        </r>
      </text>
    </comment>
    <comment ref="C265" authorId="5" shapeId="0" xr:uid="{00000000-0006-0000-0500-00001E000000}">
      <text>
        <r>
          <rPr>
            <b/>
            <sz val="9"/>
            <color indexed="81"/>
            <rFont val="Tahoma"/>
            <family val="2"/>
          </rPr>
          <t>Chen, Patrick (Research):</t>
        </r>
        <r>
          <rPr>
            <sz val="9"/>
            <color indexed="81"/>
            <rFont val="Tahoma"/>
            <family val="2"/>
          </rPr>
          <t xml:space="preserve">
 from Vincent's model</t>
        </r>
      </text>
    </comment>
    <comment ref="DR382" authorId="4" shapeId="0" xr:uid="{00000000-0006-0000-0500-00003B000000}">
      <text>
        <r>
          <rPr>
            <b/>
            <sz val="9"/>
            <color indexed="81"/>
            <rFont val="Tahoma"/>
            <family val="2"/>
          </rPr>
          <t>Kirby-Lewis, Megan (Research):</t>
        </r>
        <r>
          <rPr>
            <sz val="9"/>
            <color indexed="81"/>
            <rFont val="Tahoma"/>
            <family val="2"/>
          </rPr>
          <t xml:space="preserve">
Est from separate covid model</t>
        </r>
      </text>
    </comment>
    <comment ref="DS382" authorId="4" shapeId="0" xr:uid="{00000000-0006-0000-0500-00003C000000}">
      <text>
        <r>
          <rPr>
            <b/>
            <sz val="9"/>
            <color indexed="81"/>
            <rFont val="Tahoma"/>
            <family val="2"/>
          </rPr>
          <t>Kirby-Lewis, Megan (Research):</t>
        </r>
        <r>
          <rPr>
            <sz val="9"/>
            <color indexed="81"/>
            <rFont val="Tahoma"/>
            <family val="2"/>
          </rPr>
          <t xml:space="preserve">
Est from separate covid model</t>
        </r>
      </text>
    </comment>
    <comment ref="DU382" authorId="4" shapeId="0" xr:uid="{00000000-0006-0000-0500-00003D000000}">
      <text>
        <r>
          <rPr>
            <b/>
            <sz val="9"/>
            <color indexed="81"/>
            <rFont val="Tahoma"/>
            <family val="2"/>
          </rPr>
          <t>Kirby-Lewis, Megan (Research):</t>
        </r>
        <r>
          <rPr>
            <sz val="9"/>
            <color indexed="81"/>
            <rFont val="Tahoma"/>
            <family val="2"/>
          </rPr>
          <t xml:space="preserve">
Est from separate covid model</t>
        </r>
      </text>
    </comment>
    <comment ref="DV382" authorId="4" shapeId="0" xr:uid="{E9960F10-ACBE-4C32-92D7-77BD304F5A0B}">
      <text>
        <r>
          <rPr>
            <b/>
            <sz val="9"/>
            <color indexed="81"/>
            <rFont val="Tahoma"/>
            <family val="2"/>
          </rPr>
          <t>Kirby-Lewis, Megan (Research):</t>
        </r>
        <r>
          <rPr>
            <sz val="9"/>
            <color indexed="81"/>
            <rFont val="Tahoma"/>
            <family val="2"/>
          </rPr>
          <t xml:space="preserve">
Est from separate covid model</t>
        </r>
      </text>
    </comment>
    <comment ref="DX382" authorId="4" shapeId="0" xr:uid="{C7470922-2DF6-48C7-A3DE-A94AC487AB4C}">
      <text>
        <r>
          <rPr>
            <b/>
            <sz val="9"/>
            <color indexed="81"/>
            <rFont val="Tahoma"/>
            <family val="2"/>
          </rPr>
          <t>Kirby-Lewis, Megan (Research):</t>
        </r>
        <r>
          <rPr>
            <sz val="9"/>
            <color indexed="81"/>
            <rFont val="Tahoma"/>
            <family val="2"/>
          </rPr>
          <t xml:space="preserve">
Est from separate covid model</t>
        </r>
      </text>
    </comment>
    <comment ref="DY382" authorId="4" shapeId="0" xr:uid="{9B3ECF2D-F512-4A1C-865C-1686C059F5DC}">
      <text>
        <r>
          <rPr>
            <b/>
            <sz val="9"/>
            <color indexed="81"/>
            <rFont val="Tahoma"/>
            <family val="2"/>
          </rPr>
          <t>Kirby-Lewis, Megan (Research):</t>
        </r>
        <r>
          <rPr>
            <sz val="9"/>
            <color indexed="81"/>
            <rFont val="Tahoma"/>
            <family val="2"/>
          </rPr>
          <t xml:space="preserve">
Est from separate covid model</t>
        </r>
      </text>
    </comment>
    <comment ref="CT453" authorId="5" shapeId="0" xr:uid="{00000000-0006-0000-0500-000058000000}">
      <text>
        <r>
          <rPr>
            <b/>
            <sz val="9"/>
            <color indexed="81"/>
            <rFont val="Tahoma"/>
            <family val="2"/>
          </rPr>
          <t>Chen, Patrick (Research):</t>
        </r>
        <r>
          <rPr>
            <sz val="9"/>
            <color indexed="81"/>
            <rFont val="Tahoma"/>
            <family val="2"/>
          </rPr>
          <t xml:space="preserve">
298 actual contribution in 6 mo, 357.6 grossed up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slaaman</author>
    <author>Kirby-Lewis, Megan (Research)</author>
    <author>seanla</author>
  </authors>
  <commentList>
    <comment ref="BD31" authorId="0" shapeId="0" xr:uid="{00000000-0006-0000-0600-000001000000}">
      <text>
        <r>
          <rPr>
            <b/>
            <sz val="8"/>
            <color indexed="8"/>
            <rFont val="Tahoma"/>
            <family val="2"/>
          </rPr>
          <t>slaaman:</t>
        </r>
        <r>
          <rPr>
            <sz val="8"/>
            <color indexed="8"/>
            <rFont val="Tahoma"/>
            <family val="2"/>
          </rPr>
          <t xml:space="preserve">
Nabi related depreciation</t>
        </r>
      </text>
    </comment>
    <comment ref="BC64" authorId="0" shapeId="0" xr:uid="{00000000-0006-0000-0600-000002000000}">
      <text>
        <r>
          <rPr>
            <b/>
            <sz val="8"/>
            <color indexed="8"/>
            <rFont val="Tahoma"/>
            <family val="2"/>
          </rPr>
          <t>slaaman:</t>
        </r>
        <r>
          <rPr>
            <sz val="8"/>
            <color indexed="8"/>
            <rFont val="Tahoma"/>
            <family val="2"/>
          </rPr>
          <t xml:space="preserve">
pro-rata
</t>
        </r>
      </text>
    </comment>
    <comment ref="DF114" authorId="1" shapeId="0" xr:uid="{00000000-0006-0000-0600-000003000000}">
      <text>
        <r>
          <rPr>
            <b/>
            <sz val="9"/>
            <color indexed="81"/>
            <rFont val="Tahoma"/>
            <family val="2"/>
          </rPr>
          <t>Kirby-Lewis, Megan (Research):</t>
        </r>
        <r>
          <rPr>
            <sz val="9"/>
            <color indexed="81"/>
            <rFont val="Tahoma"/>
            <family val="2"/>
          </rPr>
          <t xml:space="preserve">
2.7% = FY19 rate excluding the unrealized foreign currency losses on debt</t>
        </r>
      </text>
    </comment>
    <comment ref="DC116" authorId="1" shapeId="0" xr:uid="{00000000-0006-0000-0600-000004000000}">
      <text>
        <r>
          <rPr>
            <b/>
            <sz val="9"/>
            <color indexed="81"/>
            <rFont val="Tahoma"/>
            <family val="2"/>
          </rPr>
          <t>Kirby-Lewis, Megan (Research):</t>
        </r>
        <r>
          <rPr>
            <sz val="9"/>
            <color indexed="81"/>
            <rFont val="Tahoma"/>
            <family val="2"/>
          </rPr>
          <t xml:space="preserve">
US$35mn of this was "unrealized foreign currency losses on debt"</t>
        </r>
      </text>
    </comment>
    <comment ref="DI135" authorId="1" shapeId="0" xr:uid="{00000000-0006-0000-0600-000005000000}">
      <text>
        <r>
          <rPr>
            <b/>
            <sz val="9"/>
            <color indexed="81"/>
            <rFont val="Tahoma"/>
            <family val="2"/>
          </rPr>
          <t>Kirby-Lewis, Megan (Research):</t>
        </r>
        <r>
          <rPr>
            <sz val="9"/>
            <color indexed="81"/>
            <rFont val="Tahoma"/>
            <family val="2"/>
          </rPr>
          <t xml:space="preserve">
At FY20 CSl guided 20-22% ETR </t>
        </r>
      </text>
    </comment>
    <comment ref="CB172" authorId="2" shapeId="0" xr:uid="{00000000-0006-0000-0600-000006000000}">
      <text>
        <r>
          <rPr>
            <b/>
            <sz val="8"/>
            <color indexed="81"/>
            <rFont val="Tahoma"/>
            <family val="2"/>
          </rPr>
          <t>seanla:</t>
        </r>
        <r>
          <rPr>
            <sz val="8"/>
            <color indexed="81"/>
            <rFont val="Tahoma"/>
            <family val="2"/>
          </rPr>
          <t xml:space="preserve">
Adjsuted for FX translation as well as A$29 buy back price.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Vu, Tina (Research)</author>
  </authors>
  <commentList>
    <comment ref="T40" authorId="0" shapeId="0" xr:uid="{F7DD092D-6129-42AC-888F-DE513F2CDABA}">
      <text>
        <r>
          <rPr>
            <b/>
            <sz val="9"/>
            <color indexed="81"/>
            <rFont val="Tahoma"/>
            <family val="2"/>
          </rPr>
          <t>Vu, Tina (Research):</t>
        </r>
        <r>
          <rPr>
            <sz val="9"/>
            <color indexed="81"/>
            <rFont val="Tahoma"/>
            <family val="2"/>
          </rPr>
          <t xml:space="preserve">
1Q23: Korsurva net sales of US$5.7mn &amp; Kapruvia net sales of US$1.2mn
2Q23: Korsurva net sales of US$11.4mn &amp; Kapruvia net sales of US$1.2mn</t>
        </r>
      </text>
    </comment>
    <comment ref="V40" authorId="0" shapeId="0" xr:uid="{826426BB-C01E-462E-AC37-079774B8DBB4}">
      <text>
        <r>
          <rPr>
            <b/>
            <sz val="9"/>
            <color indexed="81"/>
            <rFont val="Tahoma"/>
            <family val="2"/>
          </rPr>
          <t>Vu, Tina (Research):</t>
        </r>
        <r>
          <rPr>
            <sz val="9"/>
            <color indexed="81"/>
            <rFont val="Tahoma"/>
            <family val="2"/>
          </rPr>
          <t xml:space="preserve">
Korsuva net sales of US$4.4m
Kapruvia net sales of US$1.6mn</t>
        </r>
      </text>
    </comment>
  </commentList>
</comments>
</file>

<file path=xl/sharedStrings.xml><?xml version="1.0" encoding="utf-8"?>
<sst xmlns="http://schemas.openxmlformats.org/spreadsheetml/2006/main" count="3013" uniqueCount="1497">
  <si>
    <t xml:space="preserve">  Morgan Stanley Modelware Specifics</t>
  </si>
  <si>
    <t>Other non-current liabilities</t>
  </si>
  <si>
    <t>Total non-current liabilities</t>
  </si>
  <si>
    <t>Total liabilities</t>
  </si>
  <si>
    <t>Net assets</t>
  </si>
  <si>
    <t>EPS (Reported)</t>
  </si>
  <si>
    <t xml:space="preserve">  PROFIT &amp; LOSS</t>
  </si>
  <si>
    <t>NPV of cashflows</t>
  </si>
  <si>
    <t>mn</t>
  </si>
  <si>
    <t xml:space="preserve">          Land &amp; bldg's - av'ge WDV</t>
  </si>
  <si>
    <t xml:space="preserve">          Dep'n rate - land &amp; bld'gs</t>
  </si>
  <si>
    <t xml:space="preserve">          Implied dep'n exp. - land &amp; bld'gs</t>
  </si>
  <si>
    <t xml:space="preserve">     Dep'n exp.- land &amp; bldg's.(model link)</t>
  </si>
  <si>
    <t xml:space="preserve">     Plant &amp; equipment</t>
  </si>
  <si>
    <t>Issued during year:</t>
  </si>
  <si>
    <t xml:space="preserve">     Placement</t>
  </si>
  <si>
    <t>Ex-dividend date (DD-Mon-YY)</t>
  </si>
  <si>
    <t>Payable date (DD-Mon-YY)</t>
  </si>
  <si>
    <t xml:space="preserve">  ISSUED CAPITAL</t>
  </si>
  <si>
    <t xml:space="preserve">     Plant and equipment</t>
  </si>
  <si>
    <t>Non-current investments</t>
  </si>
  <si>
    <t>Non-current inventories</t>
  </si>
  <si>
    <t>Intangibles (expand for detail)</t>
  </si>
  <si>
    <t xml:space="preserve">     Brandnames</t>
  </si>
  <si>
    <t xml:space="preserve">     Other intangibles</t>
  </si>
  <si>
    <t xml:space="preserve">          Capitalised R&amp;D</t>
  </si>
  <si>
    <t>Other non-current assets</t>
  </si>
  <si>
    <t xml:space="preserve">     Deferred expenditure</t>
  </si>
  <si>
    <t>Actual Spec products</t>
  </si>
  <si>
    <t>Actual other segment rev</t>
  </si>
  <si>
    <t xml:space="preserve">Total segment revenue </t>
  </si>
  <si>
    <t xml:space="preserve">     Dividend cover</t>
  </si>
  <si>
    <t xml:space="preserve">     Dividends provided</t>
  </si>
  <si>
    <t>Yield (%)</t>
  </si>
  <si>
    <t>Shareholders equity (expand for detail)</t>
  </si>
  <si>
    <t>Ordinary share capital</t>
  </si>
  <si>
    <t>Convertibles treated as equity</t>
  </si>
  <si>
    <t>Reserves</t>
  </si>
  <si>
    <t>Gross profit</t>
  </si>
  <si>
    <t xml:space="preserve">     DRP issued capital - model link</t>
  </si>
  <si>
    <t>Per litre value</t>
  </si>
  <si>
    <t xml:space="preserve">     DRP</t>
  </si>
  <si>
    <t>Potentials calculations:</t>
  </si>
  <si>
    <t>180 day bank bill rate (used for NIA calc)</t>
  </si>
  <si>
    <t>Aggregates:</t>
  </si>
  <si>
    <t xml:space="preserve">     Total potentials</t>
  </si>
  <si>
    <t xml:space="preserve">     Potential equity sub's</t>
  </si>
  <si>
    <t xml:space="preserve">     Notional interest adjustment</t>
  </si>
  <si>
    <t>Potential classes (expand to enter)</t>
  </si>
  <si>
    <t xml:space="preserve">     Class 1  -  potential ords  - Options</t>
  </si>
  <si>
    <t xml:space="preserve">                     -  potential eq. sub's</t>
  </si>
  <si>
    <t xml:space="preserve">          Morgan Stanley NPAT (pre abn's)</t>
  </si>
  <si>
    <t xml:space="preserve">          Reported NPAT (pre abn's)</t>
  </si>
  <si>
    <t xml:space="preserve">     Bills payable</t>
  </si>
  <si>
    <t xml:space="preserve">     Bank loans</t>
  </si>
  <si>
    <t xml:space="preserve">     Other loans</t>
  </si>
  <si>
    <t xml:space="preserve">     Lease liabilities</t>
  </si>
  <si>
    <t xml:space="preserve">     Other (inc. chg. in curr debt for forecasts)</t>
  </si>
  <si>
    <t>Current provisions</t>
  </si>
  <si>
    <t xml:space="preserve">     Dividends</t>
  </si>
  <si>
    <t xml:space="preserve">     Tax</t>
  </si>
  <si>
    <t xml:space="preserve">     Employee entitlements</t>
  </si>
  <si>
    <t xml:space="preserve">     Maintenance / warranties</t>
  </si>
  <si>
    <t xml:space="preserve">     Rationalisation / restructuring costs</t>
  </si>
  <si>
    <t xml:space="preserve">     Other current provisions</t>
  </si>
  <si>
    <t>Other current liabilities</t>
  </si>
  <si>
    <t xml:space="preserve">     Deferred income</t>
  </si>
  <si>
    <t>Total current liabilities</t>
  </si>
  <si>
    <t xml:space="preserve">          Future inc tax benefit</t>
  </si>
  <si>
    <t xml:space="preserve">     Other current liabilities</t>
  </si>
  <si>
    <t xml:space="preserve">          Deferred income</t>
  </si>
  <si>
    <t xml:space="preserve">          % of FY sales</t>
  </si>
  <si>
    <t xml:space="preserve">          % of FY EBIT</t>
  </si>
  <si>
    <t>Intangibles</t>
  </si>
  <si>
    <t xml:space="preserve">   Goodwill (on acquisition)</t>
  </si>
  <si>
    <t>Other NCA's  -  FITB</t>
  </si>
  <si>
    <t xml:space="preserve">     Total operating revenue</t>
  </si>
  <si>
    <t xml:space="preserve">     Other revenue</t>
  </si>
  <si>
    <t xml:space="preserve">          Interest revenue</t>
  </si>
  <si>
    <t xml:space="preserve">          Share of assoc. earnings</t>
  </si>
  <si>
    <t xml:space="preserve">          Dividends received  -  other</t>
  </si>
  <si>
    <t xml:space="preserve">          Forex gains</t>
  </si>
  <si>
    <t xml:space="preserve">          Asset sales  -  normal course of op's</t>
  </si>
  <si>
    <t xml:space="preserve">          Asset sales  -  sale of invest's / other</t>
  </si>
  <si>
    <t xml:space="preserve">     Implied interest expense</t>
  </si>
  <si>
    <t xml:space="preserve">     Interest expense - model link</t>
  </si>
  <si>
    <t>Tax assumptions</t>
  </si>
  <si>
    <t xml:space="preserve">     Effective tax rate</t>
  </si>
  <si>
    <t xml:space="preserve">     Tax loss adj. implied effective tax rate</t>
  </si>
  <si>
    <t xml:space="preserve">     Underlying corporate tax rate</t>
  </si>
  <si>
    <t>Net (debt)/cash</t>
  </si>
  <si>
    <t>Economic forecast links (expand)</t>
  </si>
  <si>
    <t>Industry assumptions</t>
  </si>
  <si>
    <t xml:space="preserve">     Employee Share Plan</t>
  </si>
  <si>
    <t xml:space="preserve">     Other debtors</t>
  </si>
  <si>
    <t xml:space="preserve">     Finance advances and loans</t>
  </si>
  <si>
    <t>Current investments</t>
  </si>
  <si>
    <t>Total product sales</t>
  </si>
  <si>
    <t xml:space="preserve">          Accum amort'n - goodwill</t>
  </si>
  <si>
    <t xml:space="preserve">          Goodwill - WDV</t>
  </si>
  <si>
    <t xml:space="preserve">          Goodwill - av'ge base value</t>
  </si>
  <si>
    <t xml:space="preserve">          Goodwill - av'ge WDV</t>
  </si>
  <si>
    <t xml:space="preserve">          Amort'n rate - goodwill</t>
  </si>
  <si>
    <t xml:space="preserve">          Implied amort'n exp. - goodwilll</t>
  </si>
  <si>
    <t xml:space="preserve">     Amort'n exp. - goodwill.(model link)</t>
  </si>
  <si>
    <t xml:space="preserve">          Brandnames. -  base value</t>
  </si>
  <si>
    <t xml:space="preserve">          Accum amort'n - brandnames</t>
  </si>
  <si>
    <t xml:space="preserve">          Brandnames - WDV</t>
  </si>
  <si>
    <t xml:space="preserve">          Brandnames - av'ge base value</t>
  </si>
  <si>
    <t xml:space="preserve">          Brandnames - av'ge WDV</t>
  </si>
  <si>
    <t xml:space="preserve">          Amort'n rate - brandnames</t>
  </si>
  <si>
    <t xml:space="preserve">          Implied amort'n exp. - brandnames</t>
  </si>
  <si>
    <t xml:space="preserve">     Amort'n exp. - brandnames.(model link)</t>
  </si>
  <si>
    <t xml:space="preserve">          Accum amort'n - cap'd R&amp;D</t>
  </si>
  <si>
    <t xml:space="preserve">          Cap'd R&amp;D - WDV</t>
  </si>
  <si>
    <t xml:space="preserve">          Cap'd R&amp;D - av'ge base value</t>
  </si>
  <si>
    <t xml:space="preserve">          Cap'd R&amp;D - av'ge WDV</t>
  </si>
  <si>
    <t xml:space="preserve">          Amort'n rate - cap'd R&amp;D</t>
  </si>
  <si>
    <t xml:space="preserve">          Implied amort'n exp. - cap'd R&amp;D</t>
  </si>
  <si>
    <t xml:space="preserve">     Amort'n exp. - cap'd R&amp;D.(model link)</t>
  </si>
  <si>
    <t>% of sales</t>
  </si>
  <si>
    <t>Exchange rate adjustment</t>
  </si>
  <si>
    <t>Gross cash from operations</t>
  </si>
  <si>
    <t>(Inc) / dec in working cap.</t>
  </si>
  <si>
    <t>Inc / (dec) in provisions</t>
  </si>
  <si>
    <t>Other non-cash items</t>
  </si>
  <si>
    <t>Operating cashflow (per standard)</t>
  </si>
  <si>
    <t>Capital expenditure</t>
  </si>
  <si>
    <t xml:space="preserve">     Maintenance capex</t>
  </si>
  <si>
    <t xml:space="preserve">     Expansion capex</t>
  </si>
  <si>
    <t xml:space="preserve">          Other intang. - WDV</t>
  </si>
  <si>
    <t xml:space="preserve">          Other intang. - av'ge base value</t>
  </si>
  <si>
    <t xml:space="preserve">          Other intang. - av'ge WDV</t>
  </si>
  <si>
    <t xml:space="preserve">     EBIT margin</t>
  </si>
  <si>
    <t xml:space="preserve">     Net int. exp.(exp to enter detail)</t>
  </si>
  <si>
    <t xml:space="preserve">          Int. revenue</t>
  </si>
  <si>
    <t xml:space="preserve">          Interest expense</t>
  </si>
  <si>
    <t xml:space="preserve">          Int. on convertible notes</t>
  </si>
  <si>
    <t xml:space="preserve">          Interest capitalised</t>
  </si>
  <si>
    <t>Pre tax profit</t>
  </si>
  <si>
    <t xml:space="preserve">     Income tax charge</t>
  </si>
  <si>
    <t xml:space="preserve">          Effective tax rate</t>
  </si>
  <si>
    <t xml:space="preserve">     Outside equity int's</t>
  </si>
  <si>
    <t xml:space="preserve">     (Loans to) / repaid by other entities</t>
  </si>
  <si>
    <t xml:space="preserve">     Other investing inflow / (outflow)</t>
  </si>
  <si>
    <t>Financing cashflows</t>
  </si>
  <si>
    <t xml:space="preserve">     Equity raised (expand to enter)</t>
  </si>
  <si>
    <t xml:space="preserve">     Capitalised R&amp;D</t>
  </si>
  <si>
    <t xml:space="preserve">          Cap'd R&amp;D  -  base value</t>
  </si>
  <si>
    <t>% sales</t>
  </si>
  <si>
    <t xml:space="preserve">     Tax on abn's (entered as -ve)</t>
  </si>
  <si>
    <t>pdCoag</t>
  </si>
  <si>
    <t>Immunoglobulins</t>
  </si>
  <si>
    <t>Specialty products</t>
  </si>
  <si>
    <t xml:space="preserve">     Amort'n expense</t>
  </si>
  <si>
    <t xml:space="preserve">     Share premium reserve</t>
  </si>
  <si>
    <t xml:space="preserve">     Capital reserve</t>
  </si>
  <si>
    <t xml:space="preserve">     Capital redemption reserve</t>
  </si>
  <si>
    <t xml:space="preserve">     Asset revaluation reserve</t>
  </si>
  <si>
    <t>P/E ratio (x)</t>
  </si>
  <si>
    <t xml:space="preserve">     Options exercised</t>
  </si>
  <si>
    <t xml:space="preserve">     Convertible notes exercised</t>
  </si>
  <si>
    <t xml:space="preserve">     Economic driver</t>
  </si>
  <si>
    <t>Non-current borrowings (incl. Conv treated as debt)</t>
  </si>
  <si>
    <t xml:space="preserve">     Bonds</t>
  </si>
  <si>
    <t xml:space="preserve">     Other (inc. chg. in non-curr debt for forecasts)</t>
  </si>
  <si>
    <t xml:space="preserve">     Conv. treated as debt</t>
  </si>
  <si>
    <t>Non-current provisions</t>
  </si>
  <si>
    <t>Total current assets</t>
  </si>
  <si>
    <t>Non-current receivables</t>
  </si>
  <si>
    <t>DPS</t>
  </si>
  <si>
    <t>Average</t>
  </si>
  <si>
    <t>Receivables</t>
  </si>
  <si>
    <t>Net PPE</t>
  </si>
  <si>
    <t xml:space="preserve">     Payable date (DD-Mon-YY)</t>
  </si>
  <si>
    <t xml:space="preserve">     Total dep'n and amort'n</t>
  </si>
  <si>
    <t>2H18</t>
  </si>
  <si>
    <t xml:space="preserve">     Morgan Stanley analytical adjustments</t>
  </si>
  <si>
    <t>Growth</t>
  </si>
  <si>
    <t>Margin</t>
  </si>
  <si>
    <t>Depreciation</t>
  </si>
  <si>
    <t>EBITA</t>
  </si>
  <si>
    <t>Amortization</t>
  </si>
  <si>
    <t>Other</t>
  </si>
  <si>
    <t xml:space="preserve">          Inc / (dec) in provisions</t>
  </si>
  <si>
    <t xml:space="preserve">          Exploration expenditure / write-offs</t>
  </si>
  <si>
    <t xml:space="preserve">          Deferred expenditure</t>
  </si>
  <si>
    <t/>
  </si>
  <si>
    <t xml:space="preserve">     Non-current prov's</t>
  </si>
  <si>
    <t xml:space="preserve">     Maint. capex / depreciation</t>
  </si>
  <si>
    <t xml:space="preserve">     Deferred tax liability</t>
  </si>
  <si>
    <t xml:space="preserve">     Other non-current provisions</t>
  </si>
  <si>
    <t xml:space="preserve">     Current pay's as % of sales</t>
  </si>
  <si>
    <t xml:space="preserve">     Current prov's as % of sales</t>
  </si>
  <si>
    <t xml:space="preserve">     Non-curr. prov's as % of sales</t>
  </si>
  <si>
    <t xml:space="preserve">     Average inventory</t>
  </si>
  <si>
    <t xml:space="preserve">     Inventory turnover</t>
  </si>
  <si>
    <t xml:space="preserve">     Days inventory</t>
  </si>
  <si>
    <t>days</t>
  </si>
  <si>
    <t xml:space="preserve">     Days debtors</t>
  </si>
  <si>
    <t>Depreciation length land &amp; Buildings(yrs)</t>
  </si>
  <si>
    <t>ERP</t>
  </si>
  <si>
    <t>RF</t>
  </si>
  <si>
    <t>BETA</t>
  </si>
  <si>
    <t xml:space="preserve">          Other intang. -  base value</t>
  </si>
  <si>
    <t xml:space="preserve">          Accum amort'n - other intang.</t>
  </si>
  <si>
    <t xml:space="preserve">          Prepayments</t>
  </si>
  <si>
    <t xml:space="preserve">          Dep'n  -  plant and equipment</t>
  </si>
  <si>
    <t xml:space="preserve">     Benchmark cash rate</t>
  </si>
  <si>
    <t>Current Price</t>
  </si>
  <si>
    <t>Litres</t>
  </si>
  <si>
    <t xml:space="preserve">     Revenue tax losses (assumed recov.)</t>
  </si>
  <si>
    <t>margin</t>
  </si>
  <si>
    <t xml:space="preserve">     EBITA margin</t>
  </si>
  <si>
    <t xml:space="preserve">     Amortisation  -  ex goodwill</t>
  </si>
  <si>
    <t xml:space="preserve">          Amort'n  -  brandnames, etc.</t>
  </si>
  <si>
    <t xml:space="preserve">          Amort'n  -  total other</t>
  </si>
  <si>
    <t xml:space="preserve">                                -  leased assets</t>
  </si>
  <si>
    <t xml:space="preserve">          (Profit) / loss on sale of NCA's</t>
  </si>
  <si>
    <t xml:space="preserve">          Forex losses</t>
  </si>
  <si>
    <t>Revenue/Litre</t>
  </si>
  <si>
    <t xml:space="preserve">     90 day bank bill rate</t>
  </si>
  <si>
    <t>CSL.AX</t>
  </si>
  <si>
    <t xml:space="preserve">                     -  notional int. adj.</t>
  </si>
  <si>
    <t xml:space="preserve">     Ex-dividend date (DD-Mon-YY)</t>
  </si>
  <si>
    <t xml:space="preserve">     Future income tax benefit</t>
  </si>
  <si>
    <t xml:space="preserve">                     -  diluting (Y/N)</t>
  </si>
  <si>
    <t>N</t>
  </si>
  <si>
    <t xml:space="preserve">     Class 2  -  Convertibles</t>
  </si>
  <si>
    <t xml:space="preserve">     Class 3  -  Preference shares</t>
  </si>
  <si>
    <t xml:space="preserve">     Class 4  -  Partly paids</t>
  </si>
  <si>
    <t xml:space="preserve">     Class 5  -  Other potentials 1</t>
  </si>
  <si>
    <t xml:space="preserve">     Class 6  -  Other potentials 2</t>
  </si>
  <si>
    <t xml:space="preserve">     Other</t>
  </si>
  <si>
    <t>Other current assets</t>
  </si>
  <si>
    <t xml:space="preserve">     Prepayments</t>
  </si>
  <si>
    <t>DCF</t>
  </si>
  <si>
    <t>Minorities</t>
  </si>
  <si>
    <t xml:space="preserve">          EBITDA</t>
  </si>
  <si>
    <t xml:space="preserve">          EBITA</t>
  </si>
  <si>
    <t xml:space="preserve">          EBITAg</t>
  </si>
  <si>
    <t xml:space="preserve">          EBIT</t>
  </si>
  <si>
    <t>Other P&amp;L items</t>
  </si>
  <si>
    <t>Working capital % of sales</t>
  </si>
  <si>
    <t>Provisions % of sales</t>
  </si>
  <si>
    <t xml:space="preserve">     Current prov's</t>
  </si>
  <si>
    <t xml:space="preserve">     Curr prov's (ex tax and divs)</t>
  </si>
  <si>
    <t xml:space="preserve">   (eg. working cap items, provisions, etc.)</t>
  </si>
  <si>
    <t xml:space="preserve">     Non-curr inventories</t>
  </si>
  <si>
    <t xml:space="preserve">     Other non-current assets</t>
  </si>
  <si>
    <t>COGS ex Plasma</t>
  </si>
  <si>
    <t>Pr / NTA</t>
  </si>
  <si>
    <t>EPS growth</t>
  </si>
  <si>
    <t>Assumptions</t>
  </si>
  <si>
    <t xml:space="preserve">     Non-curr accounts payable</t>
  </si>
  <si>
    <t xml:space="preserve">     Other non-curr liabilities</t>
  </si>
  <si>
    <t>Dividends</t>
  </si>
  <si>
    <t xml:space="preserve">     Dividend per share</t>
  </si>
  <si>
    <t xml:space="preserve">     Dividend payout</t>
  </si>
  <si>
    <t>Debt / equity (%)</t>
  </si>
  <si>
    <t>Net debt / equity (%)</t>
  </si>
  <si>
    <t xml:space="preserve">          Implied amort'n exp. - plant &amp; equip. (leased)</t>
  </si>
  <si>
    <t xml:space="preserve">     Amort'n exp. - P&amp;E leased.(model link)</t>
  </si>
  <si>
    <t xml:space="preserve">     DRP discount</t>
  </si>
  <si>
    <t xml:space="preserve">     Par value</t>
  </si>
  <si>
    <t>Retained profits  -  closing</t>
  </si>
  <si>
    <t xml:space="preserve">  P&amp;L - RATIOS</t>
  </si>
  <si>
    <t>Growth over pcp</t>
  </si>
  <si>
    <t xml:space="preserve">     Sales</t>
  </si>
  <si>
    <t xml:space="preserve">     EBITDA</t>
  </si>
  <si>
    <t xml:space="preserve">     EBITA</t>
  </si>
  <si>
    <t>Ordinary shares on issue  -  opening</t>
  </si>
  <si>
    <t>Economic drivers</t>
  </si>
  <si>
    <t xml:space="preserve">     Benchmark cash rate (received on deposits)</t>
  </si>
  <si>
    <t xml:space="preserve">     180 day bank bill rate</t>
  </si>
  <si>
    <t xml:space="preserve">  HOUSEKEEPING ITEMS</t>
  </si>
  <si>
    <t>1h85</t>
  </si>
  <si>
    <t>2h85</t>
  </si>
  <si>
    <t>1985</t>
  </si>
  <si>
    <t>1h86</t>
  </si>
  <si>
    <t>2h86</t>
  </si>
  <si>
    <t>1986</t>
  </si>
  <si>
    <t>1h87</t>
  </si>
  <si>
    <t>2h87</t>
  </si>
  <si>
    <t>1987</t>
  </si>
  <si>
    <t>1h88</t>
  </si>
  <si>
    <t xml:space="preserve">     Implied DRP issued capital</t>
  </si>
  <si>
    <t xml:space="preserve">          Share prem. res. component</t>
  </si>
  <si>
    <t>Beta</t>
  </si>
  <si>
    <t>Specialty</t>
  </si>
  <si>
    <t>Ig</t>
  </si>
  <si>
    <t>Alb</t>
  </si>
  <si>
    <t xml:space="preserve">     Foreign currency translation reserve</t>
  </si>
  <si>
    <t xml:space="preserve">     General / other reserves</t>
  </si>
  <si>
    <t>Retained profits</t>
  </si>
  <si>
    <t>Shareholders equity (attrib to Co.)</t>
  </si>
  <si>
    <t>Outside equity interests</t>
  </si>
  <si>
    <t>Total shareholders equity</t>
  </si>
  <si>
    <t>B/S check total</t>
  </si>
  <si>
    <t xml:space="preserve">  C/FLOW &amp; B/S RATIOS</t>
  </si>
  <si>
    <t xml:space="preserve">     Assumed recovery % of pre-tax profit</t>
  </si>
  <si>
    <t xml:space="preserve">     Implied recovery profile</t>
  </si>
  <si>
    <t xml:space="preserve">     PV of tax losses carried forward</t>
  </si>
  <si>
    <t xml:space="preserve">     PV of tax losses per share</t>
  </si>
  <si>
    <t xml:space="preserve">     Discount rate assumption</t>
  </si>
  <si>
    <t xml:space="preserve">     Cash tax payment split</t>
  </si>
  <si>
    <t>Total assets</t>
  </si>
  <si>
    <t xml:space="preserve">           -  abn 9</t>
  </si>
  <si>
    <t>Albumin</t>
  </si>
  <si>
    <t xml:space="preserve"> </t>
  </si>
  <si>
    <t xml:space="preserve">     Other financing inflow / (outflow)</t>
  </si>
  <si>
    <t xml:space="preserve">     Share of assoc. chg in retained earnings</t>
  </si>
  <si>
    <t xml:space="preserve">     Share of assoc. chg in reserves</t>
  </si>
  <si>
    <t>Interest rate assumptions</t>
  </si>
  <si>
    <t xml:space="preserve">     Interest revenue</t>
  </si>
  <si>
    <t>Current assets -short term investments</t>
  </si>
  <si>
    <t>Key product growth</t>
  </si>
  <si>
    <t>CSL Ltd</t>
  </si>
  <si>
    <t>Free cashflow</t>
  </si>
  <si>
    <t>Cash at beginning of financial year</t>
  </si>
  <si>
    <t>Unrecorded goodwill from poolings, write-offsand cumulative amortisation</t>
  </si>
  <si>
    <t xml:space="preserve">  ACQUIS./ DIVEST. B/S REALLOC'S</t>
  </si>
  <si>
    <t>INVEST./ (DIVEST.) FOR ALLOCATION:</t>
  </si>
  <si>
    <t>Scrip component of acquis. (must be adjusted in Issued capital)</t>
  </si>
  <si>
    <t xml:space="preserve">     Interest revenue (model link)</t>
  </si>
  <si>
    <t xml:space="preserve">     Interest expense</t>
  </si>
  <si>
    <t>Tax rate</t>
  </si>
  <si>
    <t xml:space="preserve">     Total</t>
  </si>
  <si>
    <t>Other costs</t>
  </si>
  <si>
    <t>Dividend cover</t>
  </si>
  <si>
    <t>Franking credits available</t>
  </si>
  <si>
    <t>EBIT</t>
  </si>
  <si>
    <t>Interest revenue</t>
  </si>
  <si>
    <t xml:space="preserve">     EBITAg</t>
  </si>
  <si>
    <t xml:space="preserve">     EBIT</t>
  </si>
  <si>
    <t>Revenue</t>
  </si>
  <si>
    <t>B/S share premium reserve component</t>
  </si>
  <si>
    <t>Adjusted DPS</t>
  </si>
  <si>
    <t>Payout ratio</t>
  </si>
  <si>
    <t>US$/g</t>
  </si>
  <si>
    <t>Taxable income</t>
  </si>
  <si>
    <t>Tax payable</t>
  </si>
  <si>
    <t>Effective tax rate</t>
  </si>
  <si>
    <t xml:space="preserve">          Amort'n rate - other intang.</t>
  </si>
  <si>
    <t xml:space="preserve">          Implied amort'n exp. - other intang.</t>
  </si>
  <si>
    <t xml:space="preserve">     Amort'n exp. - other intang. (model link)</t>
  </si>
  <si>
    <t>Equity contributions</t>
  </si>
  <si>
    <t xml:space="preserve">     Share of assoc. earnings</t>
  </si>
  <si>
    <t xml:space="preserve">     Chg in value of invest. in assoc.</t>
  </si>
  <si>
    <t xml:space="preserve">     Current invest.</t>
  </si>
  <si>
    <t>change</t>
  </si>
  <si>
    <t>Reported NPAT, Abn's and Extra's</t>
  </si>
  <si>
    <t>Reported EPS, Abn's and Extra's</t>
  </si>
  <si>
    <t>Retained profits  -  opening</t>
  </si>
  <si>
    <t>EV/EBITDA</t>
  </si>
  <si>
    <t>Privigen</t>
  </si>
  <si>
    <t>Carimune</t>
  </si>
  <si>
    <t>US$mn</t>
  </si>
  <si>
    <t xml:space="preserve"> CASHFLOW</t>
  </si>
  <si>
    <t>Plasma Volume Throughput</t>
  </si>
  <si>
    <t>g mn</t>
  </si>
  <si>
    <t>CSL BEHRING TOTAL REVENUE</t>
  </si>
  <si>
    <t>CSL BEHRING MODEL</t>
  </si>
  <si>
    <t>pd Coagulation</t>
  </si>
  <si>
    <t xml:space="preserve">     Class 7  -  potential ord's</t>
  </si>
  <si>
    <t>c</t>
  </si>
  <si>
    <t>P/E ratio</t>
  </si>
  <si>
    <t>x</t>
  </si>
  <si>
    <t>Change in net cash</t>
  </si>
  <si>
    <t xml:space="preserve">      adj NPAT</t>
  </si>
  <si>
    <t>% implied forecasts higher / (lower)</t>
  </si>
  <si>
    <t>Model link balances</t>
  </si>
  <si>
    <t>Ord. shares on issue (FPO)  -  closing</t>
  </si>
  <si>
    <t>Period on issue (days of half year):</t>
  </si>
  <si>
    <t>EFPOWA (pre potentials)</t>
  </si>
  <si>
    <t>Potentials</t>
  </si>
  <si>
    <t>Fully diluted EFPOWA</t>
  </si>
  <si>
    <t>Dilution factor (K Factor) (to be sourced from database)</t>
  </si>
  <si>
    <t xml:space="preserve">Adjusted fully diluted EFPOWA </t>
  </si>
  <si>
    <t>IU</t>
  </si>
  <si>
    <t>US$</t>
  </si>
  <si>
    <t>IVIG</t>
  </si>
  <si>
    <t>g/L</t>
  </si>
  <si>
    <t xml:space="preserve">     Non-curr accounts receivable</t>
  </si>
  <si>
    <t>Net debt / (cash) ($m)</t>
  </si>
  <si>
    <t>Non-current accounts payable</t>
  </si>
  <si>
    <t xml:space="preserve">     Morgan Stanley NPAT (pre abn's)</t>
  </si>
  <si>
    <t>Margins</t>
  </si>
  <si>
    <t xml:space="preserve">     EBITDA / sales</t>
  </si>
  <si>
    <t xml:space="preserve">     EBITA / sales</t>
  </si>
  <si>
    <t xml:space="preserve">     EBITAg / sales</t>
  </si>
  <si>
    <t xml:space="preserve">     EBIT / sales</t>
  </si>
  <si>
    <t>Other (expand to view)</t>
  </si>
  <si>
    <t xml:space="preserve">     Monthly turnover</t>
  </si>
  <si>
    <t>Debt / equity</t>
  </si>
  <si>
    <t>Net debt / equity</t>
  </si>
  <si>
    <t>Net interest cover</t>
  </si>
  <si>
    <t>Working capital ratios (expand to display)</t>
  </si>
  <si>
    <t xml:space="preserve">     Current rec's as % of sales</t>
  </si>
  <si>
    <t>Other balance sheet drivers</t>
  </si>
  <si>
    <t xml:space="preserve">     Other current assets</t>
  </si>
  <si>
    <t>Depreciation expense</t>
  </si>
  <si>
    <t>Current liabilities (inc. ent as neg.)</t>
  </si>
  <si>
    <t>Current accounts payable (impacts c/flow working cap. chg)</t>
  </si>
  <si>
    <t>Current provisions (impacts c/flow chg. in prov's)</t>
  </si>
  <si>
    <t>Non-current liabilities (inc. ent. as neg.)</t>
  </si>
  <si>
    <t>US$/L</t>
  </si>
  <si>
    <t>Current inventories (impacts c/flow working cap. chg.)</t>
  </si>
  <si>
    <t>Non-current assets</t>
  </si>
  <si>
    <t>Cash at end of financial year</t>
  </si>
  <si>
    <t>IFRS Effect on Cashflow</t>
  </si>
  <si>
    <t>Risk free rate</t>
  </si>
  <si>
    <t>NPAT</t>
  </si>
  <si>
    <t xml:space="preserve">                                -  other</t>
  </si>
  <si>
    <t>EBITAg</t>
  </si>
  <si>
    <t xml:space="preserve">     EBITAg margin</t>
  </si>
  <si>
    <t xml:space="preserve">     Goodwill amortisation</t>
  </si>
  <si>
    <t xml:space="preserve">                                                                  </t>
  </si>
  <si>
    <t>Current inventories</t>
  </si>
  <si>
    <t xml:space="preserve">     Raw materials</t>
  </si>
  <si>
    <t xml:space="preserve">     Work in progress</t>
  </si>
  <si>
    <t xml:space="preserve">     Abnormal Items Before Tax</t>
  </si>
  <si>
    <t>Sales revenue growth (%)</t>
  </si>
  <si>
    <t xml:space="preserve">          Plant &amp; equip.- base value</t>
  </si>
  <si>
    <t xml:space="preserve">          Accum dep'n - plant &amp; equip.</t>
  </si>
  <si>
    <t xml:space="preserve">          Plant &amp; equip.- WDV</t>
  </si>
  <si>
    <t xml:space="preserve">          Plant &amp; equip.- av'ge base value</t>
  </si>
  <si>
    <t xml:space="preserve">          Plant &amp; equip.- av'ge WDV</t>
  </si>
  <si>
    <t xml:space="preserve">          Dep'n rate - plant &amp; equip.</t>
  </si>
  <si>
    <t xml:space="preserve">          % of plant &amp; equip owned</t>
  </si>
  <si>
    <t xml:space="preserve">     Cash rate received</t>
  </si>
  <si>
    <t xml:space="preserve">     Average cash balance</t>
  </si>
  <si>
    <t xml:space="preserve">     Implied interest received</t>
  </si>
  <si>
    <t xml:space="preserve">          Equity profits from assoc (pre standard chg)</t>
  </si>
  <si>
    <t>Total product revenue</t>
  </si>
  <si>
    <t>Yield - Liquid</t>
  </si>
  <si>
    <t>Throughput allocation - Liq.</t>
  </si>
  <si>
    <t>Output - Lyo.</t>
  </si>
  <si>
    <t>Output - Liq.</t>
  </si>
  <si>
    <t>Price - Lyo.</t>
  </si>
  <si>
    <t>Price - Liq.</t>
  </si>
  <si>
    <t>Revenue - Liquid</t>
  </si>
  <si>
    <t>Spec Ig - rev/litre</t>
  </si>
  <si>
    <t>Spec Ig - revenue</t>
  </si>
  <si>
    <t xml:space="preserve">     Deferred income tax liability</t>
  </si>
  <si>
    <t>Provision for employee entitlements</t>
  </si>
  <si>
    <t>Macroeconomic assumptions</t>
  </si>
  <si>
    <t>Implied floating rate for co.</t>
  </si>
  <si>
    <t xml:space="preserve">     Fixed rate</t>
  </si>
  <si>
    <t>Total pd-products</t>
  </si>
  <si>
    <t>Total revenue/Litre</t>
  </si>
  <si>
    <t>GP growth (%)</t>
  </si>
  <si>
    <t>GP margin (%)</t>
  </si>
  <si>
    <t>Total sales revenue growth (%)</t>
  </si>
  <si>
    <t>Total segment revenue</t>
  </si>
  <si>
    <t>Segment revenue growth (%)</t>
  </si>
  <si>
    <t>Total segment revenue growth (%)</t>
  </si>
  <si>
    <t xml:space="preserve">     Bonus issue</t>
  </si>
  <si>
    <t xml:space="preserve">     Rights issue</t>
  </si>
  <si>
    <t>US$/IU</t>
  </si>
  <si>
    <t xml:space="preserve">     Franking</t>
  </si>
  <si>
    <t>CSL Behring</t>
  </si>
  <si>
    <t xml:space="preserve">          Proc / (repay) - non-curr debt</t>
  </si>
  <si>
    <t>Forecasts using current drivers</t>
  </si>
  <si>
    <t xml:space="preserve">     Reported NPAT (pre abn's)</t>
  </si>
  <si>
    <t>Balance date for period</t>
  </si>
  <si>
    <t xml:space="preserve">  MARKET RATIOS / VALUATION</t>
  </si>
  <si>
    <t xml:space="preserve">     Franking credits available</t>
  </si>
  <si>
    <t>NPAT (pre abn's)</t>
  </si>
  <si>
    <t xml:space="preserve">     Abnormals</t>
  </si>
  <si>
    <t xml:space="preserve">Growth </t>
  </si>
  <si>
    <t xml:space="preserve">          Share Based Payment Expense (IFRS)</t>
  </si>
  <si>
    <t xml:space="preserve">          Implied dep'n exp. - plant &amp; equip. (owned)</t>
  </si>
  <si>
    <t xml:space="preserve">          Other intangibles (inc. cap'd R&amp;D)</t>
  </si>
  <si>
    <t>Dividends received</t>
  </si>
  <si>
    <t>Forex gains</t>
  </si>
  <si>
    <t>Other revenue</t>
  </si>
  <si>
    <t>Depreciation and amortisation charges</t>
  </si>
  <si>
    <t xml:space="preserve">     Dep'n expense</t>
  </si>
  <si>
    <t xml:space="preserve">          Land &amp; bldg's - av'ge base value</t>
  </si>
  <si>
    <t>R&amp;D</t>
  </si>
  <si>
    <t>COGS</t>
  </si>
  <si>
    <t xml:space="preserve">     Co. margin over fixed rate - fixed debt</t>
  </si>
  <si>
    <t>Implied fixed rate for co.</t>
  </si>
  <si>
    <t xml:space="preserve">     Floating/fixed debt ratio</t>
  </si>
  <si>
    <t xml:space="preserve">     Average debt balance</t>
  </si>
  <si>
    <t>Interest cover (x)</t>
  </si>
  <si>
    <t>Total</t>
  </si>
  <si>
    <t>pdFVIII</t>
  </si>
  <si>
    <t>Total non-current assets</t>
  </si>
  <si>
    <t>Current accounts payable</t>
  </si>
  <si>
    <t xml:space="preserve">     Trade creditors</t>
  </si>
  <si>
    <t xml:space="preserve">     Other creditors</t>
  </si>
  <si>
    <t>Current borrowings</t>
  </si>
  <si>
    <t xml:space="preserve">     Bank overdrafts</t>
  </si>
  <si>
    <t>Issued capital</t>
  </si>
  <si>
    <t xml:space="preserve">     Effective interest rate</t>
  </si>
  <si>
    <t xml:space="preserve">     Growth over pp (expand to view)</t>
  </si>
  <si>
    <t xml:space="preserve">          Sales</t>
  </si>
  <si>
    <t xml:space="preserve">           -  abn 10</t>
  </si>
  <si>
    <t xml:space="preserve">     Minority interests in abn's (net of tax)</t>
  </si>
  <si>
    <t>Reported NPAT and Abn's</t>
  </si>
  <si>
    <t xml:space="preserve">     Extraordinaries</t>
  </si>
  <si>
    <t>Y</t>
  </si>
  <si>
    <t>$</t>
  </si>
  <si>
    <t>m</t>
  </si>
  <si>
    <t>$m</t>
  </si>
  <si>
    <t>%</t>
  </si>
  <si>
    <t>A</t>
  </si>
  <si>
    <t>E</t>
  </si>
  <si>
    <t xml:space="preserve">     Depreciation assumptions</t>
  </si>
  <si>
    <t>Total for allocation</t>
  </si>
  <si>
    <t xml:space="preserve">     Asset sales ($m)</t>
  </si>
  <si>
    <t xml:space="preserve">     Current investments</t>
  </si>
  <si>
    <t xml:space="preserve">     Non-current investments</t>
  </si>
  <si>
    <t>Other investing cashflows</t>
  </si>
  <si>
    <t xml:space="preserve">     (Purchase) / sale of intangibles and cap'd R&amp;D</t>
  </si>
  <si>
    <t xml:space="preserve">          Goodwill</t>
  </si>
  <si>
    <t xml:space="preserve">          Brandnames, etc</t>
  </si>
  <si>
    <t xml:space="preserve">           -  extra 9</t>
  </si>
  <si>
    <t xml:space="preserve">           -  extra 10</t>
  </si>
  <si>
    <t>Minority interests in extra's (net of tax)</t>
  </si>
  <si>
    <t>Price/unit</t>
  </si>
  <si>
    <t xml:space="preserve">  BALANCE SHEET</t>
  </si>
  <si>
    <t>Cash</t>
  </si>
  <si>
    <t>Current receivables</t>
  </si>
  <si>
    <t xml:space="preserve">     Trade debtors</t>
  </si>
  <si>
    <t xml:space="preserve">Total </t>
  </si>
  <si>
    <t>Sales revenue</t>
  </si>
  <si>
    <t xml:space="preserve">     Tax on extraordinaries (entered as a negative)</t>
  </si>
  <si>
    <t xml:space="preserve">           -  extra 1</t>
  </si>
  <si>
    <t xml:space="preserve">           -  extra 2</t>
  </si>
  <si>
    <t xml:space="preserve">           -  extra 3</t>
  </si>
  <si>
    <t xml:space="preserve">           -  extra 4</t>
  </si>
  <si>
    <t xml:space="preserve">           -  extra 5</t>
  </si>
  <si>
    <t xml:space="preserve">           -  extra 6</t>
  </si>
  <si>
    <t xml:space="preserve">     Outside equity interests</t>
  </si>
  <si>
    <t xml:space="preserve">     Preference dividends</t>
  </si>
  <si>
    <t>Balance sheet drivers</t>
  </si>
  <si>
    <t xml:space="preserve">     EBITDA margin</t>
  </si>
  <si>
    <t xml:space="preserve">     Depreciation</t>
  </si>
  <si>
    <t xml:space="preserve">          Dep'n  -  land and buildings</t>
  </si>
  <si>
    <t xml:space="preserve">     Other operating revenue</t>
  </si>
  <si>
    <t xml:space="preserve">           -  Tax Expense(Benefit) - Abnormal Items</t>
  </si>
  <si>
    <t xml:space="preserve">     Hedging (IFRS)</t>
  </si>
  <si>
    <t xml:space="preserve">                -  associated tax (charge) / benefit</t>
  </si>
  <si>
    <t xml:space="preserve">     Financial instrument and derivatives  (IFRS)</t>
  </si>
  <si>
    <t>CSL Behring - Cost model</t>
  </si>
  <si>
    <t xml:space="preserve">     Proxy interest rate for fixed rate debt (need to establish)</t>
  </si>
  <si>
    <t xml:space="preserve">    10 year bond rate</t>
  </si>
  <si>
    <t>Free cash flow</t>
  </si>
  <si>
    <t>Tax</t>
  </si>
  <si>
    <t>Capex</t>
  </si>
  <si>
    <t>Change in working capital</t>
  </si>
  <si>
    <t>Enterprise value</t>
  </si>
  <si>
    <t xml:space="preserve">     Dep'n exp. - P&amp;E owned.(model link)</t>
  </si>
  <si>
    <t xml:space="preserve">     Amortisation assumptions</t>
  </si>
  <si>
    <t xml:space="preserve">     Plant and equipment (leased)</t>
  </si>
  <si>
    <t xml:space="preserve">          % of plant &amp; equip leased</t>
  </si>
  <si>
    <t>Goodwill</t>
  </si>
  <si>
    <t>Operating cashflow</t>
  </si>
  <si>
    <t>Investments</t>
  </si>
  <si>
    <t>Equity raised</t>
  </si>
  <si>
    <t>Net interest expense</t>
  </si>
  <si>
    <t>Dividends paid</t>
  </si>
  <si>
    <t>Depreciation length Plant &amp;Equipment(yrs)</t>
  </si>
  <si>
    <t>EPS (c)</t>
  </si>
  <si>
    <t>Net interest paid</t>
  </si>
  <si>
    <t xml:space="preserve">     Land &amp; buildings</t>
  </si>
  <si>
    <t xml:space="preserve">          Land &amp; bldg's. -  base value</t>
  </si>
  <si>
    <t xml:space="preserve">          Accum dep'n - land &amp; bldg's</t>
  </si>
  <si>
    <t xml:space="preserve">          Land &amp; bldg's - WDV</t>
  </si>
  <si>
    <t>Model links reconcile with calc. bal's (Y/N)</t>
  </si>
  <si>
    <t>CFPS</t>
  </si>
  <si>
    <t>Price / CF</t>
  </si>
  <si>
    <t>Yield</t>
  </si>
  <si>
    <t>Franking</t>
  </si>
  <si>
    <t>NTA per share</t>
  </si>
  <si>
    <t>n</t>
  </si>
  <si>
    <t>Share premium reserve</t>
  </si>
  <si>
    <t>DPS (c)</t>
  </si>
  <si>
    <t>CFPS (c)</t>
  </si>
  <si>
    <t>% of FY sales</t>
  </si>
  <si>
    <t>Price / CF (x)</t>
  </si>
  <si>
    <t>% of FY EBIT</t>
  </si>
  <si>
    <t>Issued capital  -  see Model sheet</t>
  </si>
  <si>
    <t>Other items</t>
  </si>
  <si>
    <t xml:space="preserve">     Proc / (repay) - total debt</t>
  </si>
  <si>
    <t xml:space="preserve">          Proc / (repay) - curr debt</t>
  </si>
  <si>
    <t>Actual / Estimate Flag (MUST ENTER)</t>
  </si>
  <si>
    <t>Period Scaling Factor (FOR PERIODS TO UPLOAD)</t>
  </si>
  <si>
    <t xml:space="preserve">     Indefinite life Impairment</t>
  </si>
  <si>
    <t xml:space="preserve">     Other Asset Impairment</t>
  </si>
  <si>
    <t xml:space="preserve">           -  abn 8</t>
  </si>
  <si>
    <t>REALLOCATED TO:</t>
  </si>
  <si>
    <t>Current assets</t>
  </si>
  <si>
    <t>Current receivables (impacts c/flow working cap. chg.)</t>
  </si>
  <si>
    <t>* Balance sheet driven cashflow items must</t>
  </si>
  <si>
    <t xml:space="preserve">  be adjusted in balance sheet drivers so as to</t>
  </si>
  <si>
    <t xml:space="preserve">  not incorrectly impact operating cashflow</t>
  </si>
  <si>
    <t xml:space="preserve">     Current accounts payable</t>
  </si>
  <si>
    <t xml:space="preserve">     Non-current invest.</t>
  </si>
  <si>
    <t>Divestments</t>
  </si>
  <si>
    <t>(Purchase) / sale of intangibles and cap'd R&amp;D</t>
  </si>
  <si>
    <t xml:space="preserve">     Goodwill</t>
  </si>
  <si>
    <t xml:space="preserve">     Brandnames, etc</t>
  </si>
  <si>
    <t xml:space="preserve">     Other intangibles (inc. cap'd R&amp;D)</t>
  </si>
  <si>
    <t>(Loans to) / repaid by other entities</t>
  </si>
  <si>
    <t>Other investing inflow / (outflow)</t>
  </si>
  <si>
    <t>Investing cashflow</t>
  </si>
  <si>
    <t>Equity raised (expand to enter)</t>
  </si>
  <si>
    <t xml:space="preserve">     Issued capital component</t>
  </si>
  <si>
    <t xml:space="preserve">     Share prem. res. component</t>
  </si>
  <si>
    <t>Dividends paid (net of DRP)</t>
  </si>
  <si>
    <t>Proc / (repay) - curr. borrowings</t>
  </si>
  <si>
    <t>Proc / (repay) - non-curr borrowings (def. balancing item)</t>
  </si>
  <si>
    <t>Other financing inflow / (outflow)</t>
  </si>
  <si>
    <t>Financing cashflow</t>
  </si>
  <si>
    <t>Change in net cash (optional for f/casts)</t>
  </si>
  <si>
    <t>Free cashflow adjustments:</t>
  </si>
  <si>
    <t>Industry drivers</t>
  </si>
  <si>
    <t xml:space="preserve">     Industry driver</t>
  </si>
  <si>
    <t>R&amp;D Expenditure</t>
  </si>
  <si>
    <t>R&amp;D increase %</t>
  </si>
  <si>
    <t>Forescast R%D Spend (% of sales)</t>
  </si>
  <si>
    <t>Growth in other Revenue (% of sales)</t>
  </si>
  <si>
    <t>Dividends received % of sales</t>
  </si>
  <si>
    <t>Increase in Maintenance Capex (%of sales)</t>
  </si>
  <si>
    <t>Increase in Expansion Capex (% of sales)</t>
  </si>
  <si>
    <t>Total Capex/sales %</t>
  </si>
  <si>
    <t>Cash / debt component</t>
  </si>
  <si>
    <t xml:space="preserve">     Pref. divs declared</t>
  </si>
  <si>
    <t>Amortisation expense</t>
  </si>
  <si>
    <t>Co. specific assumptions</t>
  </si>
  <si>
    <t>Profit and loss drivers</t>
  </si>
  <si>
    <t>Behring_Rev</t>
  </si>
  <si>
    <t xml:space="preserve">     Class 8  -  potential ord's</t>
  </si>
  <si>
    <t>Statutory Tax Rate</t>
  </si>
  <si>
    <t>WACC</t>
  </si>
  <si>
    <t xml:space="preserve">     Other one time items</t>
  </si>
  <si>
    <t xml:space="preserve">     Goodwill Asset Impairment</t>
  </si>
  <si>
    <t>Plasma - COGS</t>
  </si>
  <si>
    <t>Unit price</t>
  </si>
  <si>
    <t>Plasma cost</t>
  </si>
  <si>
    <t xml:space="preserve">           -  extra 7</t>
  </si>
  <si>
    <t xml:space="preserve">           -  extra 8</t>
  </si>
  <si>
    <t>Change in working capital ($m)</t>
  </si>
  <si>
    <t xml:space="preserve">     Current accounts receivable</t>
  </si>
  <si>
    <t xml:space="preserve">     Current inventories</t>
  </si>
  <si>
    <t>DRP participation rate</t>
  </si>
  <si>
    <t>Scrip dividend</t>
  </si>
  <si>
    <t>Share price</t>
  </si>
  <si>
    <t>Discount</t>
  </si>
  <si>
    <t>DRP issue price</t>
  </si>
  <si>
    <t>No. sh's iss. (need to man plug in IssCap)</t>
  </si>
  <si>
    <t>Par value</t>
  </si>
  <si>
    <t>B/S issued capital component</t>
  </si>
  <si>
    <t>Other spec. products</t>
  </si>
  <si>
    <t xml:space="preserve">          Pension Fund Adjustment (IFRS)</t>
  </si>
  <si>
    <t xml:space="preserve">          Royalties paid</t>
  </si>
  <si>
    <t xml:space="preserve">     Sales revenue growth (over pcp)</t>
  </si>
  <si>
    <t>2h88</t>
  </si>
  <si>
    <t>1988</t>
  </si>
  <si>
    <t>1h89</t>
  </si>
  <si>
    <t>2h89</t>
  </si>
  <si>
    <t>1989</t>
  </si>
  <si>
    <t>1h90</t>
  </si>
  <si>
    <t>2h90</t>
  </si>
  <si>
    <t>1990</t>
  </si>
  <si>
    <t>1h91</t>
  </si>
  <si>
    <t xml:space="preserve">     Finished goods</t>
  </si>
  <si>
    <t>Dep'n and amort'n</t>
  </si>
  <si>
    <t>Tax paid</t>
  </si>
  <si>
    <t xml:space="preserve">     Property, plant and equipment</t>
  </si>
  <si>
    <t>Inventories</t>
  </si>
  <si>
    <t>Property, plant and equipment</t>
  </si>
  <si>
    <t xml:space="preserve">     Land and buildings</t>
  </si>
  <si>
    <t xml:space="preserve">          Other operating expenses</t>
  </si>
  <si>
    <t>Litres (mn)</t>
  </si>
  <si>
    <t xml:space="preserve">          Issued capital component</t>
  </si>
  <si>
    <t>Volume</t>
  </si>
  <si>
    <t>EBIT / sales (%)</t>
  </si>
  <si>
    <t>Return on assets (%)</t>
  </si>
  <si>
    <t>Return on equity (%)</t>
  </si>
  <si>
    <t>Dividend cover (x)</t>
  </si>
  <si>
    <t>Debt</t>
  </si>
  <si>
    <t>Provisions</t>
  </si>
  <si>
    <t xml:space="preserve">     Expansion capex ($m)</t>
  </si>
  <si>
    <t xml:space="preserve">     Total capex / depreciation</t>
  </si>
  <si>
    <t>Adjustments</t>
  </si>
  <si>
    <t>growth</t>
  </si>
  <si>
    <t>Net issuance (purchase) of common equity</t>
  </si>
  <si>
    <t>EBIT / sales</t>
  </si>
  <si>
    <t>EV / EBITDA (x)</t>
  </si>
  <si>
    <t>Other intangibles</t>
  </si>
  <si>
    <t>Total CSL External sales</t>
  </si>
  <si>
    <t xml:space="preserve">                                -  capitalised R&amp;D</t>
  </si>
  <si>
    <t xml:space="preserve">     DRP participation rate</t>
  </si>
  <si>
    <t>Equity / reserves</t>
  </si>
  <si>
    <t xml:space="preserve">          Goodwill. -  base value</t>
  </si>
  <si>
    <t xml:space="preserve">     Co. margin over bill rate - floating debt</t>
  </si>
  <si>
    <t xml:space="preserve">          Other</t>
  </si>
  <si>
    <t xml:space="preserve">     Operating expenses</t>
  </si>
  <si>
    <t xml:space="preserve">          Operating lease rentals</t>
  </si>
  <si>
    <t xml:space="preserve">          R&amp;D expensed</t>
  </si>
  <si>
    <t>Cost of equity</t>
  </si>
  <si>
    <t>2h91</t>
  </si>
  <si>
    <t>1991</t>
  </si>
  <si>
    <t>1h92</t>
  </si>
  <si>
    <t>2h92</t>
  </si>
  <si>
    <t>1992</t>
  </si>
  <si>
    <t>1h93</t>
  </si>
  <si>
    <t>2h93</t>
  </si>
  <si>
    <t>1993</t>
  </si>
  <si>
    <t>1h94</t>
  </si>
  <si>
    <t>2h94</t>
  </si>
  <si>
    <t>1994</t>
  </si>
  <si>
    <t>1h95</t>
  </si>
  <si>
    <t>2h95</t>
  </si>
  <si>
    <t>1995</t>
  </si>
  <si>
    <t>1h96</t>
  </si>
  <si>
    <t>Total available for appropriation</t>
  </si>
  <si>
    <t>Dividends paid or provided</t>
  </si>
  <si>
    <t xml:space="preserve">     Days creditors</t>
  </si>
  <si>
    <t>Return on assets</t>
  </si>
  <si>
    <t>Return on equity</t>
  </si>
  <si>
    <t>Return on funds employed</t>
  </si>
  <si>
    <t xml:space="preserve">  DIVIDENDS</t>
  </si>
  <si>
    <t>Dividends paid (or provided)</t>
  </si>
  <si>
    <t>Net yield</t>
  </si>
  <si>
    <t>Gross yield</t>
  </si>
  <si>
    <t>DRP (for period in which paid)</t>
  </si>
  <si>
    <t>Non-current borrowings</t>
  </si>
  <si>
    <t>Non-current provisions (impacts c/flow chg. in prov's)</t>
  </si>
  <si>
    <t>Net assets reallocated</t>
  </si>
  <si>
    <t>Balance check total</t>
  </si>
  <si>
    <t>Current implied earnings diff.</t>
  </si>
  <si>
    <t>Existing forecasts</t>
  </si>
  <si>
    <t xml:space="preserve">     NPAT</t>
  </si>
  <si>
    <t>Interest expense</t>
  </si>
  <si>
    <t>EBITDA</t>
  </si>
  <si>
    <t xml:space="preserve">     Current invent. as % of sales</t>
  </si>
  <si>
    <t>Total revenue</t>
  </si>
  <si>
    <t>Proceeds from sale of NCA's</t>
  </si>
  <si>
    <t>Acquisitions / equity investments</t>
  </si>
  <si>
    <t>ROIC</t>
  </si>
  <si>
    <t>Income Tax Provision</t>
  </si>
  <si>
    <t>Tax Shield Interest Expense Net</t>
  </si>
  <si>
    <t>Tax on non operating income</t>
  </si>
  <si>
    <t>Taxes on EBITA</t>
  </si>
  <si>
    <t>NOPLAT</t>
  </si>
  <si>
    <t>Invested Capital</t>
  </si>
  <si>
    <t>Shareholders Equity</t>
  </si>
  <si>
    <t>Adjusted Equity</t>
  </si>
  <si>
    <t>Operating Current Assets</t>
  </si>
  <si>
    <t>Non-Interest Bearing Current Liabilities</t>
  </si>
  <si>
    <t>+</t>
  </si>
  <si>
    <t>Operating working capital</t>
  </si>
  <si>
    <t>=</t>
  </si>
  <si>
    <t>Net P,P&amp;E</t>
  </si>
  <si>
    <t>Other operating Assets net of other liabilities</t>
  </si>
  <si>
    <t>Operating Invested Capital (ex-goodwill)</t>
  </si>
  <si>
    <t>Operating Capital (including goodwill)</t>
  </si>
  <si>
    <t>Excess cash &amp; securities</t>
  </si>
  <si>
    <t>Non-operating investments</t>
  </si>
  <si>
    <t>Total Investor Funds</t>
  </si>
  <si>
    <t>Economic Profit = Invested Capital X (ROIC - WACC)</t>
  </si>
  <si>
    <t>Seqirus</t>
  </si>
  <si>
    <t>Acquired bleeding (1h16 on)</t>
  </si>
  <si>
    <t>AATD</t>
  </si>
  <si>
    <t>HAE</t>
  </si>
  <si>
    <t>Average COGS/dose</t>
  </si>
  <si>
    <t>Seqirus - Cost model</t>
  </si>
  <si>
    <t>US</t>
  </si>
  <si>
    <t>FY</t>
  </si>
  <si>
    <t>Total sales revenue (as per P&amp;L)</t>
  </si>
  <si>
    <t>Total (as per P&amp;L)</t>
  </si>
  <si>
    <t>Unallocated D&amp;A</t>
  </si>
  <si>
    <t xml:space="preserve">          Dep'n  -  Unallocated</t>
  </si>
  <si>
    <t>Ratios</t>
  </si>
  <si>
    <t>Interims (US$mn)</t>
  </si>
  <si>
    <t>Cashflow (US$mn)</t>
  </si>
  <si>
    <t>Profit and loss (US$mn)</t>
  </si>
  <si>
    <t>Balance sheet (US$mn)</t>
  </si>
  <si>
    <t>Afstyla (rFVIII)</t>
  </si>
  <si>
    <t>Idelvion (rFIX)</t>
  </si>
  <si>
    <t>Total revenue "Sales of Goods"</t>
  </si>
  <si>
    <t>Sales of Goods</t>
  </si>
  <si>
    <t>Total Operating Revenue</t>
  </si>
  <si>
    <t>Sales of goods</t>
  </si>
  <si>
    <t>Total operating revenue</t>
  </si>
  <si>
    <t>Royalties, Licenses &amp; Other</t>
  </si>
  <si>
    <t>Other Income</t>
  </si>
  <si>
    <t>Recombinants</t>
  </si>
  <si>
    <t>Europe</t>
  </si>
  <si>
    <t>Kcentra</t>
  </si>
  <si>
    <t>Haegarda</t>
  </si>
  <si>
    <t>PBT</t>
  </si>
  <si>
    <t>Berinert</t>
  </si>
  <si>
    <t>Yield - SCIg</t>
  </si>
  <si>
    <t>Throughput allocation -SCIg.</t>
  </si>
  <si>
    <t>Output - SCIg</t>
  </si>
  <si>
    <t>Price - SCIg</t>
  </si>
  <si>
    <t>Revenue - SCIg</t>
  </si>
  <si>
    <t>Berinert - Acute HAE</t>
  </si>
  <si>
    <t>Berinert (Acute HAE)</t>
  </si>
  <si>
    <t>Berinert ASP</t>
  </si>
  <si>
    <t>US$/ 10 units</t>
  </si>
  <si>
    <t>US CMS Price</t>
  </si>
  <si>
    <t>Berinert dosage</t>
  </si>
  <si>
    <t>units/patient/attack</t>
  </si>
  <si>
    <t>Attacks pa</t>
  </si>
  <si>
    <t>Berinert usage</t>
  </si>
  <si>
    <t>units/patient pa</t>
  </si>
  <si>
    <t>Berinert cost</t>
  </si>
  <si>
    <t>US$/patient pa</t>
  </si>
  <si>
    <t>Implied patients</t>
  </si>
  <si>
    <t>Units used</t>
  </si>
  <si>
    <t>Haegarda - HAE Prophylaxis</t>
  </si>
  <si>
    <t>Haegarda ASP</t>
  </si>
  <si>
    <t>US$/10 units</t>
  </si>
  <si>
    <t>Haegarda dosage</t>
  </si>
  <si>
    <t>units/patient/infusion</t>
  </si>
  <si>
    <t>Haegarda units pa</t>
  </si>
  <si>
    <t>Cost/patient pa</t>
  </si>
  <si>
    <t>Haegarda patient numbers</t>
  </si>
  <si>
    <t>Exit share</t>
  </si>
  <si>
    <t>Recombinant total</t>
  </si>
  <si>
    <t>Gross Profit</t>
  </si>
  <si>
    <t>QIV</t>
  </si>
  <si>
    <t>TIV</t>
  </si>
  <si>
    <t>Adjuvanted (fluad)</t>
  </si>
  <si>
    <t>Returns est</t>
  </si>
  <si>
    <t>Doses net returns</t>
  </si>
  <si>
    <t>Adjuvanted</t>
  </si>
  <si>
    <t>Other / In-licence</t>
  </si>
  <si>
    <t>Total Product Sales</t>
  </si>
  <si>
    <t>Pandemic</t>
  </si>
  <si>
    <t>Royalties &amp; Licence Revenue</t>
  </si>
  <si>
    <t>$/dose</t>
  </si>
  <si>
    <t>CSL Price</t>
  </si>
  <si>
    <t>Revenue Split by region</t>
  </si>
  <si>
    <t>Nth America</t>
  </si>
  <si>
    <t>EU</t>
  </si>
  <si>
    <t>APAC</t>
  </si>
  <si>
    <t>EM</t>
  </si>
  <si>
    <t>Price growth</t>
  </si>
  <si>
    <t>Revenue growth</t>
  </si>
  <si>
    <t>Seqirus - REVENUE MODEL</t>
  </si>
  <si>
    <t>Sales growth</t>
  </si>
  <si>
    <t>Doses manufactured guess</t>
  </si>
  <si>
    <t>FY18A</t>
  </si>
  <si>
    <t>FY19A</t>
  </si>
  <si>
    <t>Ex FX</t>
  </si>
  <si>
    <t>Immunoglobulin revenue</t>
  </si>
  <si>
    <t>Immunoglobulin growth</t>
  </si>
  <si>
    <t>Specialty product revenue</t>
  </si>
  <si>
    <t>Specialty product growth</t>
  </si>
  <si>
    <t>CSL Behring gross margin</t>
  </si>
  <si>
    <t>Ig revenue (ex Spec Ig)</t>
  </si>
  <si>
    <t>Total Ig Revenue (Incl Spec Ig)</t>
  </si>
  <si>
    <t>2023FY</t>
  </si>
  <si>
    <t>Plasma in end Ig product</t>
  </si>
  <si>
    <t>% plasma used</t>
  </si>
  <si>
    <t>IU / Litre collected</t>
  </si>
  <si>
    <t>Refer separate plasma collection / volume model</t>
  </si>
  <si>
    <t>Rating</t>
  </si>
  <si>
    <t>Company</t>
  </si>
  <si>
    <t>CSL ROIC Calculation</t>
  </si>
  <si>
    <t>Reported EBIT</t>
  </si>
  <si>
    <t>Equity</t>
  </si>
  <si>
    <t>Average Equity</t>
  </si>
  <si>
    <t>Net Debt</t>
  </si>
  <si>
    <t>Average Net debt</t>
  </si>
  <si>
    <t xml:space="preserve">   Other  </t>
  </si>
  <si>
    <t xml:space="preserve">Total Sales </t>
  </si>
  <si>
    <t xml:space="preserve">   % change YoY reported</t>
  </si>
  <si>
    <t xml:space="preserve">  Ferinject / Injectafer </t>
  </si>
  <si>
    <t xml:space="preserve">  Venofer </t>
  </si>
  <si>
    <t xml:space="preserve">   Mircera</t>
  </si>
  <si>
    <t xml:space="preserve">   Veltessa </t>
  </si>
  <si>
    <t xml:space="preserve">  Velphoro</t>
  </si>
  <si>
    <t xml:space="preserve">Other Brands &amp; Third Party Production </t>
  </si>
  <si>
    <t xml:space="preserve">  Vadadustat</t>
  </si>
  <si>
    <t xml:space="preserve">  Korsuva / CR845 (difelikefalin)</t>
  </si>
  <si>
    <t xml:space="preserve">  Sparsentan </t>
  </si>
  <si>
    <t xml:space="preserve">  Rayaldee</t>
  </si>
  <si>
    <t xml:space="preserve">  VIT-2763</t>
  </si>
  <si>
    <t xml:space="preserve">  ANG-3777</t>
  </si>
  <si>
    <t xml:space="preserve">  SNF472</t>
  </si>
  <si>
    <t xml:space="preserve">  INS-3001 </t>
  </si>
  <si>
    <t xml:space="preserve">   % change YoY</t>
  </si>
  <si>
    <t xml:space="preserve">   % change YoY </t>
  </si>
  <si>
    <t>Pipeline (Risk Adjusted)</t>
  </si>
  <si>
    <t>1H18A</t>
  </si>
  <si>
    <t>1H19A</t>
  </si>
  <si>
    <t>2H19A</t>
  </si>
  <si>
    <t>1H20A</t>
  </si>
  <si>
    <t>2H20A</t>
  </si>
  <si>
    <t>Impairment</t>
  </si>
  <si>
    <t>Vifor</t>
  </si>
  <si>
    <t>Market risk premium</t>
  </si>
  <si>
    <t>NPATA</t>
  </si>
  <si>
    <t>gross margin</t>
  </si>
  <si>
    <t>*P/E (A) ratio (x)</t>
  </si>
  <si>
    <t>0</t>
  </si>
  <si>
    <t>General &amp; Administration expenses</t>
  </si>
  <si>
    <t>Segment operating result</t>
  </si>
  <si>
    <t>Operating profit  margin (%)</t>
  </si>
  <si>
    <t>Sales &amp; marketing</t>
  </si>
  <si>
    <t>Operating result</t>
  </si>
  <si>
    <t>Sales (US$mn)</t>
  </si>
  <si>
    <t>Dialysis</t>
  </si>
  <si>
    <t xml:space="preserve">   Dialysis</t>
  </si>
  <si>
    <t>Nephrology</t>
  </si>
  <si>
    <t xml:space="preserve">   Nephrology</t>
  </si>
  <si>
    <t xml:space="preserve">   Iron </t>
  </si>
  <si>
    <t xml:space="preserve">Total Iron </t>
  </si>
  <si>
    <t xml:space="preserve">Gross Profit </t>
  </si>
  <si>
    <t>Vifor operating result</t>
  </si>
  <si>
    <t>Sales &amp; marketing expense</t>
  </si>
  <si>
    <t>% of group sales</t>
  </si>
  <si>
    <t>Other operating expenses</t>
  </si>
  <si>
    <t>Research &amp; Development</t>
  </si>
  <si>
    <t>Operating profit (EBIT)</t>
  </si>
  <si>
    <t>amortisation and impairment of IP</t>
  </si>
  <si>
    <t>Tax on A &amp; Imp of IP</t>
  </si>
  <si>
    <t>Tax on Non-controlling interest</t>
  </si>
  <si>
    <t>Non-controlling interest post tax</t>
  </si>
  <si>
    <t>as a % of gross profit</t>
  </si>
  <si>
    <t>1h21</t>
  </si>
  <si>
    <t>2h21</t>
  </si>
  <si>
    <t>2021</t>
  </si>
  <si>
    <t>Non-controlling interest pre tax</t>
  </si>
  <si>
    <t>Acquisition &amp; integration costs</t>
  </si>
  <si>
    <t>YE Jun</t>
  </si>
  <si>
    <t>NPAT Reported</t>
  </si>
  <si>
    <t>NPATA (pre abn's)</t>
  </si>
  <si>
    <t>Reported NPAT</t>
  </si>
  <si>
    <t>*Pre amortization of IP</t>
  </si>
  <si>
    <t>Diluted Reported EPS</t>
  </si>
  <si>
    <t>Basic reported EPS</t>
  </si>
  <si>
    <t>Diluted EPS (pre-amortisation)</t>
  </si>
  <si>
    <t>ROW</t>
  </si>
  <si>
    <t>Year  (June)</t>
  </si>
  <si>
    <t>Injectafer/Ferinject Analysis</t>
  </si>
  <si>
    <t>Global sales</t>
  </si>
  <si>
    <t>Global sales growth</t>
  </si>
  <si>
    <t>Europe sales growth</t>
  </si>
  <si>
    <t>US sales growth</t>
  </si>
  <si>
    <t xml:space="preserve">ROW sales growth </t>
  </si>
  <si>
    <t>Total proportion</t>
  </si>
  <si>
    <t>EU patent expires</t>
  </si>
  <si>
    <t>US patent expires</t>
  </si>
  <si>
    <t>New Launches</t>
  </si>
  <si>
    <t>Summary Data</t>
  </si>
  <si>
    <t>TIV/QIV</t>
  </si>
  <si>
    <t xml:space="preserve">  Maltofer/other</t>
  </si>
  <si>
    <t xml:space="preserve">  Avacopan/other</t>
  </si>
  <si>
    <t xml:space="preserve">   Retacrit/other</t>
  </si>
  <si>
    <t>2024</t>
  </si>
  <si>
    <t>2026E</t>
  </si>
  <si>
    <t>2022</t>
  </si>
  <si>
    <t>2023</t>
  </si>
  <si>
    <t>2027E</t>
  </si>
  <si>
    <t>2028E</t>
  </si>
  <si>
    <t>2029E</t>
  </si>
  <si>
    <t>2030E</t>
  </si>
  <si>
    <t>2031E</t>
  </si>
  <si>
    <t>2032E</t>
  </si>
  <si>
    <t>2033E</t>
  </si>
  <si>
    <t>CSLB_Rev</t>
  </si>
  <si>
    <t>SEQ_Rev</t>
  </si>
  <si>
    <t>V4_Rev</t>
  </si>
  <si>
    <t>CSLB_GP</t>
  </si>
  <si>
    <t>SEQ_GP</t>
  </si>
  <si>
    <t>V4_GP</t>
  </si>
  <si>
    <t>CSLB_SM</t>
  </si>
  <si>
    <t>SEQ_SM</t>
  </si>
  <si>
    <t>V4_SM</t>
  </si>
  <si>
    <t>G&amp;A</t>
  </si>
  <si>
    <t>rFVIII/IX</t>
  </si>
  <si>
    <t>Haemophilia total</t>
  </si>
  <si>
    <t>FVIII/IX</t>
  </si>
  <si>
    <t>Discount factor</t>
  </si>
  <si>
    <t>Discounted free cash flow</t>
  </si>
  <si>
    <t>Segment data</t>
  </si>
  <si>
    <t>Garadacimab</t>
  </si>
  <si>
    <t>Hemgenix</t>
  </si>
  <si>
    <t>2034E</t>
  </si>
  <si>
    <t>CSLB_RevG</t>
  </si>
  <si>
    <t>SEQ_RevG</t>
  </si>
  <si>
    <t>V4_RevG</t>
  </si>
  <si>
    <t>IG_Rev</t>
  </si>
  <si>
    <t>SP_Rev</t>
  </si>
  <si>
    <t>Alb_Rev</t>
  </si>
  <si>
    <t>pd_Rev</t>
  </si>
  <si>
    <t>Recom_Rev</t>
  </si>
  <si>
    <t xml:space="preserve">     Goodwill_BS</t>
  </si>
  <si>
    <t>IG_RevG</t>
  </si>
  <si>
    <t>SP_RevG</t>
  </si>
  <si>
    <t>Alb_RevG</t>
  </si>
  <si>
    <t>pd_RevG</t>
  </si>
  <si>
    <t>Recom_RevG</t>
  </si>
  <si>
    <t>EPS USc (basic)</t>
  </si>
  <si>
    <t>*EPS (A) USc (diluted)</t>
  </si>
  <si>
    <t>...growth over pcp</t>
  </si>
  <si>
    <t>…gross margin</t>
  </si>
  <si>
    <t>Group_GP</t>
  </si>
  <si>
    <t>Group_OR</t>
  </si>
  <si>
    <t>Depreciation/amortisation</t>
  </si>
  <si>
    <t>Debt movements</t>
  </si>
  <si>
    <t>Net change in cash</t>
  </si>
  <si>
    <t>Amortisation of IP/one-offs</t>
  </si>
  <si>
    <t>…EBIT margin</t>
  </si>
  <si>
    <t>Total shareholder funds</t>
  </si>
  <si>
    <t>CSL Behring gross profit</t>
  </si>
  <si>
    <t>Seqirus gross profit</t>
  </si>
  <si>
    <t>Vifor gross profit</t>
  </si>
  <si>
    <t>Total funds employed</t>
  </si>
  <si>
    <t>Key product revenue (US$mn)</t>
  </si>
  <si>
    <t>Segment revenue (US$mn)</t>
  </si>
  <si>
    <t>(Inc)/dec in working capital</t>
  </si>
  <si>
    <t>EBIT_M</t>
  </si>
  <si>
    <t>CSLB_GM</t>
  </si>
  <si>
    <t>SALES_TOT</t>
  </si>
  <si>
    <t>For MW validation</t>
  </si>
  <si>
    <t>Cost of debt (post-tax)</t>
  </si>
  <si>
    <t>Net debt</t>
  </si>
  <si>
    <t>Terminal growth rate</t>
  </si>
  <si>
    <t>Cash flow</t>
  </si>
  <si>
    <t>D&amp;A</t>
  </si>
  <si>
    <t xml:space="preserve">Capex </t>
  </si>
  <si>
    <t>Equity value</t>
  </si>
  <si>
    <t>AUDUSD</t>
  </si>
  <si>
    <t>Shares on issue</t>
  </si>
  <si>
    <t>Equity value / share</t>
  </si>
  <si>
    <t>Currency</t>
  </si>
  <si>
    <t>A$</t>
  </si>
  <si>
    <t>Terminal value</t>
  </si>
  <si>
    <t>Equity value / share 1-year forward</t>
  </si>
  <si>
    <t>Base case</t>
  </si>
  <si>
    <t>Bull case</t>
  </si>
  <si>
    <t>Bear case</t>
  </si>
  <si>
    <t>Valuation scenario</t>
  </si>
  <si>
    <t>Weighting</t>
  </si>
  <si>
    <t>Implied PE multiple</t>
  </si>
  <si>
    <t>Current share price</t>
  </si>
  <si>
    <t>Upside</t>
  </si>
  <si>
    <t>Value /share</t>
  </si>
  <si>
    <t>Price target</t>
  </si>
  <si>
    <t>Valuation data</t>
  </si>
  <si>
    <t>Group_SM</t>
  </si>
  <si>
    <t>Std_dose</t>
  </si>
  <si>
    <t>in-license</t>
  </si>
  <si>
    <t>Iron</t>
  </si>
  <si>
    <t>CKD_D</t>
  </si>
  <si>
    <t>CKD_ND</t>
  </si>
  <si>
    <t>2035E</t>
  </si>
  <si>
    <t>s</t>
  </si>
  <si>
    <t>2025</t>
  </si>
  <si>
    <t>Operating profit growth (%)</t>
  </si>
  <si>
    <t>R&amp;D Savings</t>
  </si>
  <si>
    <t>G&amp;A savings/(increase)</t>
  </si>
  <si>
    <t>Kcentra_REV</t>
  </si>
  <si>
    <t>AUD</t>
  </si>
  <si>
    <t>FX benefit</t>
  </si>
  <si>
    <t>Behring GP</t>
  </si>
  <si>
    <t>Peri-operative bleeding</t>
  </si>
  <si>
    <t>Hemophilia</t>
  </si>
  <si>
    <t>rCoag</t>
  </si>
  <si>
    <t>Other specialty</t>
  </si>
  <si>
    <t>PdCoag</t>
  </si>
  <si>
    <t>CSL Ltd  (CSL:$171.39)</t>
  </si>
  <si>
    <t xml:space="preserve">Year ending Jun </t>
  </si>
  <si>
    <t xml:space="preserve">1 Austin Road West </t>
  </si>
  <si>
    <t xml:space="preserve">Kowloon </t>
  </si>
  <si>
    <t xml:space="preserve">Hong Kong </t>
  </si>
  <si>
    <t>Tel: +852 2848 5200</t>
  </si>
  <si>
    <t>Authors: David Bailey</t>
  </si>
  <si>
    <t>Date: 12 Feb 2026</t>
  </si>
  <si>
    <t>Ticker: CSL.AX</t>
  </si>
  <si>
    <t>Stock Rating: Overweight</t>
  </si>
  <si>
    <t>Industry: Australia Healthcare</t>
  </si>
  <si>
    <t>Industry View: In-Line</t>
  </si>
  <si>
    <t>Target Price: 215.00</t>
  </si>
  <si>
    <t>e = Morgan Stanley Research estimates unless otherwise noted</t>
  </si>
  <si>
    <t>Source: Morgan Stanley Research unless otherwise noted</t>
  </si>
  <si>
    <t>Stocks ratings are relative to the analyst's industry coverage universe.</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</si>
  <si>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</si>
  <si>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</si>
  <si>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</si>
  <si>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</si>
  <si>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The information and opinions in Morgan Stanley Research were prepared or are disseminated by Morgan</t>
  </si>
  <si>
    <t>Stanley Asia Limited (which accepts the responsibility for its contents) and/or Morgan Stanley Asia</t>
  </si>
  <si>
    <t>(Singapore) Pte. (Registration number 199206298Z) and/or Morgan Stanley Asia (Singapore) Securities Pte</t>
  </si>
  <si>
    <t>Ltd (Registration number 200008434H), regulated by the Monetary Authority of Singapore (which accepts</t>
  </si>
  <si>
    <t>legal responsibility for its contents and should be contacted with respect to any matters arising from,</t>
  </si>
  <si>
    <t>or in connection with, Morgan Stanley Research), and/or Morgan Stanley Taiwan Limited and/or Morgan</t>
  </si>
  <si>
    <t>Stanley &amp; Co International plc, Seoul Branch, and/or Morgan Stanley Australia Limited (A.B.N. 67 003 734</t>
  </si>
  <si>
    <t>576, holder of Australian financial services license No. 233742, which accepts responsibility for its</t>
  </si>
  <si>
    <t>contents), and/or Morgan Stanley Wealth Management Australia Pty Ltd (A.B.N. 19 009 145 555, holder of</t>
  </si>
  <si>
    <t>Australian financial services license No. 240813, which accepts responsibility for its contents), and/or</t>
  </si>
  <si>
    <t>Morgan Stanley India Company Private Limited having Corporate Identification No (CIN)</t>
  </si>
  <si>
    <t>U22990MH1998PTC115305, regulated by the Securities and Exchange Board of India (“SEBI”) and holder of</t>
  </si>
  <si>
    <t>licenses as a Research Analyst (SEBI Registration No. INH000001105); Stock Broker (SEBI Stock Broker</t>
  </si>
  <si>
    <t>Registration No. INZ000244438), Merchant Banker (SEBI Registration No. INM000011203), and depository</t>
  </si>
  <si>
    <t>participant with National Securities Depository Limited (SEBI Registration No. IN-DP-NSDL-567-2021)</t>
  </si>
  <si>
    <t>having registered office at Altimus, Level 39 &amp; 40, Pandurang Budhkar Marg, Worli, Mumbai 400018, India;</t>
  </si>
  <si>
    <t>Telephone no. +91-22-61181000; Compliance Officer Details: Mr. Tejarshi Hardas, Tel. No.:</t>
  </si>
  <si>
    <t>+91-22-61181000 or Email: tejarshi.hardas@morganstanley.com; Grievance officer details: Mr. Tejarshi</t>
  </si>
  <si>
    <t>Hardas, Tel. No.: +91-22-61181000 or Email: msic-compliance@morganstanley.com which accepts the</t>
  </si>
  <si>
    <t>responsibility for its contents and should be contacted with respect to any matters arising from, or in</t>
  </si>
  <si>
    <t>connection with, Morgan Stanley Research, and their affiliates (collectively, "Morgan Stanley"). Morgan</t>
  </si>
  <si>
    <t>Stanley India Company Private Limited (MSICPL) may use AI tools in providing research services. All</t>
  </si>
  <si>
    <t>recommendations contained herein are made by the duly qualified research analysts.</t>
  </si>
  <si>
    <t>For important disclosures, stock price charts and equity rating histories regarding companies that are</t>
  </si>
  <si>
    <t>the subject of this report, please see the Morgan Stanley Research Disclosure Website at</t>
  </si>
  <si>
    <t>www.morganstanley.com/eqr/disclosures/webapp/generalresearch, or contact your investment representative</t>
  </si>
  <si>
    <t>or Morgan Stanley Research at 1585 Broadway, (Attention: Research Management), New York, NY, 10036 USA.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</si>
  <si>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</si>
  <si>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</si>
  <si>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</si>
  <si>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</si>
  <si>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</si>
  <si>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</si>
  <si>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Analyst Certification</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</si>
  <si>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</si>
  <si>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</si>
  <si>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</si>
  <si>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David L Bailey.</t>
  </si>
  <si>
    <t>.</t>
  </si>
  <si>
    <t>Global Research Conflict Management Policy</t>
  </si>
  <si>
    <t>Morgan Stanley Research has been published in accordance with our conflict management policy, which is</t>
  </si>
  <si>
    <t>available at www.morganstanley.com/institutional/research/conflictpolicies. A Portuguese version of the</t>
  </si>
  <si>
    <t>policy can be found at www.morganstanley.com.br</t>
  </si>
  <si>
    <t>Important Regulatory Disclosures on Subject Companies</t>
  </si>
  <si>
    <t>In the next 3 months, Morgan Stanley expects to receive or intends to seek compensation for investment</t>
  </si>
  <si>
    <t>banking services from CSL Ltd.</t>
  </si>
  <si>
    <t>Within the last 12 months, Morgan Stanley has received compensation for products and services other than</t>
  </si>
  <si>
    <t>investment banking services from CSL Ltd.</t>
  </si>
  <si>
    <t>Within the last 12 months, Morgan Stanley has provided or is providing investment banking services to,</t>
  </si>
  <si>
    <t>or has an investment banking client relationship with, the following company: CSL Ltd.</t>
  </si>
  <si>
    <t>Within the last 12 months, Morgan Stanley has either provided or is providing non-investment banking,</t>
  </si>
  <si>
    <t>securities-related services to and/or in the past has entered into an agreement to provide services or</t>
  </si>
  <si>
    <t>has a client relationship with the following company: CSL Ltd.</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</si>
  <si>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</si>
  <si>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</si>
  <si>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</si>
  <si>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</si>
  <si>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</si>
  <si>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particular trading desks.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</si>
  <si>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</si>
  <si>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</si>
  <si>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</si>
  <si>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</si>
  <si>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</si>
  <si>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</si>
  <si>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</si>
  <si>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Certain disclosures listed above are also for compliance with applicable regulations in non-US</t>
  </si>
  <si>
    <t>jurisdictions.</t>
  </si>
  <si>
    <t>STOCK RATINGS</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</si>
  <si>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</si>
  <si>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</si>
  <si>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</si>
  <si>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</si>
  <si>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</si>
  <si>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</si>
  <si>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t>
  </si>
  <si>
    <t>upon as investment advice. An investor's decision to buy or sell a stock should depend on individual</t>
  </si>
  <si>
    <t>circumstances (such as the investor's existing holdings) and other considerations.</t>
  </si>
  <si>
    <t>Global Stock Ratings Distribution</t>
  </si>
  <si>
    <t>(as of January 31, 2026)</t>
  </si>
  <si>
    <t>The Stock Ratings described below apply to Morgan Stanley's Fundamental Equity Research and do not apply</t>
  </si>
  <si>
    <t>to Debt Research produced by the Firm.</t>
  </si>
  <si>
    <t>For disclosure purposes only (in accordance with FINRA requirements), we include the category headings</t>
  </si>
  <si>
    <t>of Buy, Hold, and Sell alongside our ratings of Overweight, Equal-weight, Not-Rated and Underweight.</t>
  </si>
  <si>
    <t>Morgan Stanley does not assign ratings of Buy, Hold or Sell to the stocks we cover. Overweight,</t>
  </si>
  <si>
    <t>Equal-weight, Not-Rated and Underweight are not the equivalent of buy, hold, and sell but represent</t>
  </si>
  <si>
    <t>recommended relative weightings (see definitions below). To satisfy regulatory requirements, we</t>
  </si>
  <si>
    <t>correspond Overweight, our most positive stock rating, with a buy recommendation; we correspond</t>
  </si>
  <si>
    <t>Equal-weight and Not-Rated to hold and Underweight to sell recommendations, respectively.</t>
  </si>
  <si>
    <t>Coverage Universe</t>
  </si>
  <si>
    <t>Investment Banking Clients (IBC)</t>
  </si>
  <si>
    <t>Other Material Investment Services Clients (MISC)</t>
  </si>
  <si>
    <t>Stock Rating Category</t>
  </si>
  <si>
    <t>Count</t>
  </si>
  <si>
    <t>% of Total</t>
  </si>
  <si>
    <t>% of Total IBC</t>
  </si>
  <si>
    <t>% of Rating Category</t>
  </si>
  <si>
    <t>% of Total Other MISC</t>
  </si>
  <si>
    <t>Overweight/Buy</t>
  </si>
  <si>
    <t>Equal-weight/Hold</t>
  </si>
  <si>
    <t>Not-Rated/Hold</t>
  </si>
  <si>
    <t>Underweight/Sell</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</si>
  <si>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</si>
  <si>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</si>
  <si>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</si>
  <si>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</si>
  <si>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Analyst Stock Ratings</t>
  </si>
  <si>
    <t>Overweight (O). The stock's total return is expected to exceed the average total return of the analyst's</t>
  </si>
  <si>
    <t>industry (or industry team's) coverage universe, 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</si>
  <si>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</si>
  <si>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</si>
  <si>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</si>
  <si>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</si>
  <si>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</si>
  <si>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</si>
  <si>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Underweight (U). The stock's total return is expected to be below the average total return of the</t>
  </si>
  <si>
    <t>analyst's industry (or industry team's) coverage universe, on a risk-adjusted basis, over the next 12-18</t>
  </si>
  <si>
    <t>months.</t>
  </si>
  <si>
    <t>Unless otherwise specified, the time frame for price targets included in Morgan Stanley Research is 12</t>
  </si>
  <si>
    <t>to 18 months.</t>
  </si>
  <si>
    <t>Analyst Industry Views</t>
  </si>
  <si>
    <t>Attractive (A): The analyst expects the performance of his or her industry coverage universe over the</t>
  </si>
  <si>
    <t>next 12-18 months to be attractive vs. the relevant broad market benchmark, as indicated below.</t>
  </si>
  <si>
    <t>In-Line (I): The analyst expects the performance of his or her industry coverage universe over the next</t>
  </si>
  <si>
    <t>12-18 months to be in line with the relevant broad market benchmark, as indicated below.</t>
  </si>
  <si>
    <t>Cautious (C): The analyst views the performance of his or her industry coverage universe over the next</t>
  </si>
  <si>
    <t>12-18 months with caution vs. the relevant broad market benchmark, as indicated below.</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</si>
  <si>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</si>
  <si>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</si>
  <si>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</si>
  <si>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Stock Price, Price Target and Rating History (See Rating Definitions)</t>
  </si>
  <si>
    <t>Important Disclosures for Morgan Stanley Smith Barney LLC Customers</t>
  </si>
  <si>
    <t>Important disclosures regarding any material conflict of interest that can reasonably be expected to</t>
  </si>
  <si>
    <t>have influenced Morgan Stanley Smith Barney LLC's choice of a third-party research provider or the</t>
  </si>
  <si>
    <t>subject company of a third-party research report, are available on the Morgan Stanley Wealth Management</t>
  </si>
  <si>
    <t>disclosure website at www.morganstanley.com/online/researchdisclosures. For Morgan Stanley specific</t>
  </si>
  <si>
    <t>disclosures, you may refer to https://www.morganstanley.com/eqr/disclosures/webapp/generalresearch.</t>
  </si>
  <si>
    <t>Each Morgan Stanley research report is reviewed and approved on behalf of Morgan Stanley Smith Barney</t>
  </si>
  <si>
    <t>LLC. This review and approval is conducted by the same person who reviews the research report on behalf</t>
  </si>
  <si>
    <t>of Morgan Stanley. This could create a conflict of interest.</t>
  </si>
  <si>
    <t>Other Important Disclosures</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</si>
  <si>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</si>
  <si>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</si>
  <si>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</si>
  <si>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</si>
  <si>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</si>
  <si>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</si>
  <si>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</si>
  <si>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</si>
  <si>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</si>
  <si>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</si>
  <si>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</si>
  <si>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</si>
  <si>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</si>
  <si>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</si>
  <si>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</si>
  <si>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</si>
  <si>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</si>
  <si>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</si>
  <si>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</si>
  <si>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</si>
  <si>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</si>
  <si>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</si>
  <si>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</si>
  <si>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</si>
  <si>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</si>
  <si>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</si>
  <si>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</si>
  <si>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</si>
  <si>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</si>
  <si>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</si>
  <si>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 Please use the provided link to review the Terms and</t>
  </si>
  <si>
    <t>Conditions and Most Important Terms and Conditions for Morgan Stanley India Company Private Limited</t>
  </si>
  <si>
    <t>(https://www.morganstanley.com/assets/pdfs/about-us-global-offices/india/Terms_and_conditions.pdf) and</t>
  </si>
  <si>
    <t>the following link to review the audit report</t>
  </si>
  <si>
    <t>(https://www.morganstanley.com/assets/pdfs/about-us-global-offices/india/Research_Audit_Report.pdf).</t>
  </si>
  <si>
    <t>If you do not agree to our Terms of Use and/or if you do not wish to provide your consent to Morgan</t>
  </si>
  <si>
    <t>Stanley processing your personal data or using cookies please do not access our research.</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</si>
  <si>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</si>
  <si>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</si>
  <si>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</si>
  <si>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</si>
  <si>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</si>
  <si>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</si>
  <si>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</si>
  <si>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</si>
  <si>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</si>
  <si>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</si>
  <si>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</si>
  <si>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</si>
  <si>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</si>
  <si>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</si>
  <si>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</si>
  <si>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</si>
  <si>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</si>
  <si>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</si>
  <si>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</si>
  <si>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</si>
  <si>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</si>
  <si>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</si>
  <si>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The "Important Regulatory Disclosures on Subject Companies" section in Morgan Stanley Research lists all</t>
  </si>
  <si>
    <t>companies mentioned where Morgan Stanley owns 1% or more of a class of common equity securities of the</t>
  </si>
  <si>
    <t>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</si>
  <si>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</si>
  <si>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</si>
  <si>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</si>
  <si>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</si>
  <si>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</si>
  <si>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</si>
  <si>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</si>
  <si>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</si>
  <si>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</si>
  <si>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</si>
  <si>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</si>
  <si>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</si>
  <si>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</si>
  <si>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Morgan Stanley Research personnel may participate in company events such as site visits and are</t>
  </si>
  <si>
    <t>generally prohibited from accepting payment by the company of associated expenses unless pre-approved by</t>
  </si>
  <si>
    <t>authorized members of Research management.</t>
  </si>
  <si>
    <t>Morgan Stanley may make investment decisions that are inconsistent with the recommendations or views in</t>
  </si>
  <si>
    <t>this report.</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</si>
  <si>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</si>
  <si>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</si>
  <si>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</si>
  <si>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</si>
  <si>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</si>
  <si>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</si>
  <si>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</si>
  <si>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</si>
  <si>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</si>
  <si>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</si>
  <si>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</si>
  <si>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</si>
  <si>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</si>
  <si>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Certain information in Morgan Stanley Research was sourced by employees of the Shanghai Representative</t>
  </si>
  <si>
    <t>Office of Morgan Stanley Asia Limited for the use of Morgan Stanley Asia Limited.</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</si>
  <si>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</si>
  <si>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</si>
  <si>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</si>
  <si>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</si>
  <si>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</si>
  <si>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</si>
  <si>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</si>
  <si>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</si>
  <si>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Morgan Stanley Research is disseminated in Brazil by Morgan Stanley C.T.V.M. S.A. located at Av.</t>
  </si>
  <si>
    <t>Brigadeiro Faria Lima, 3600, 6th floor, São Paulo - SP, Brazil; and is regulated by the Comissão de</t>
  </si>
  <si>
    <t>Valores Mobiliários; in Mexico by Morgan Stanley México, Casa de Bolsa, S.A. de C.V which is regulated</t>
  </si>
  <si>
    <t>by Comision Nacional Bancaria y de Valores. Paseo de los Tamarindos 90, Torre 1, Col. Bosques de las</t>
  </si>
  <si>
    <t>Lomas Floor 29, 05120 Mexico City; in Japan by Morgan Stanley MUFG Securities Co., Ltd. and, for</t>
  </si>
  <si>
    <t>Commodities related research reports only, Morgan Stanley Capital Group Japan Co., Ltd; in Hong Kong by</t>
  </si>
  <si>
    <t>Morgan Stanley Asia Limited (which accepts responsibility for its contents) and by Morgan Stanley Bank</t>
  </si>
  <si>
    <t>Asia Limited; in Singapore by Morgan Stanley Asia (Singapore) Pte. (Registration number 199206298Z)</t>
  </si>
  <si>
    <t>and/or Morgan Stanley Asia (Singapore) Securities Pte Ltd (Registration number 200008434H), regulated by</t>
  </si>
  <si>
    <t>the Monetary Authority of Singapore (which accepts legal responsibility for its contents and should be</t>
  </si>
  <si>
    <t>contacted with respect to any matters arising from, or in connection with, Morgan Stanley Research) and</t>
  </si>
  <si>
    <t>by Morgan Stanley Bank Asia Limited, Singapore Branch (Registration number T14FC0118J);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</si>
  <si>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</si>
  <si>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</si>
  <si>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</si>
  <si>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</si>
  <si>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</si>
  <si>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</si>
  <si>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having Corporate Identification No (CIN) U22990MH1998PTC115305,</t>
  </si>
  <si>
    <t>regulated by the Securities and Exchange Board of India (“SEBI”) and holder of licenses as a Research</t>
  </si>
  <si>
    <t>Analyst (SEBI Registration No. INH000001105); Stock Broker (SEBI Stock Broker Registration No.</t>
  </si>
  <si>
    <t>INZ000244438), Merchant Banker (SEBI Registration No. INM000011203), and depository participant with</t>
  </si>
  <si>
    <t>National Securities Depository Limited (SEBI Registration No. IN-DP-NSDL-567-2021) having registered</t>
  </si>
  <si>
    <t>office at Altimus, Level 39 &amp; 40, Pandurang Budhkar Marg, Worli, Mumbai 400018, India; Telephone no.</t>
  </si>
  <si>
    <t>+91-22-61181000; Compliance Officer Details: Mr. Tejarshi Hardas, Tel. No.: +91-22-61181000 or Email:</t>
  </si>
  <si>
    <t>tejarshi.hardas@morganstanley.com; Grievance officer details: Mr. Tejarshi Hardas, Tel. No.:</t>
  </si>
  <si>
    <t>+91-22-61181000 or Email: msic-compliance@morganstanley.com. Morgan Stanley India Company Private</t>
  </si>
  <si>
    <t>Limited (MSICPL) may use AI tools in providing research services. All recommendations contained herein</t>
  </si>
  <si>
    <t>are made by the duly qualified research analysts; in Canada by Morgan Stanley Canada Limited; in Germany</t>
  </si>
  <si>
    <t>and the European Economic Area where required by Morgan Stanley Europe S.E., authorised and regulated by</t>
  </si>
  <si>
    <t>Bundesanstalt fuer Finanzdienstleistungsaufsicht (BaFin) under the reference number 149169; in the US by</t>
  </si>
  <si>
    <t>Morgan Stanley &amp; Co. LLC, which accepts responsibility for its contents. Morgan Stanley &amp; Co.</t>
  </si>
  <si>
    <t>International plc, authorized by the Prudential Regulation Authority and regulated by the Financial</t>
  </si>
  <si>
    <t>Conduct Authority and the Prudential Regulation Authority, disseminates in the UK research that it has</t>
  </si>
  <si>
    <t>prepared, and research which has been prepared by any of its affiliates, only to persons who (i) are</t>
  </si>
  <si>
    <t>investment professionals falling within Article 19(5) of the Financial Services and Markets Act 2000</t>
  </si>
  <si>
    <t>(Financial Promotion) Order 2005 (as amended, the “Order”); (ii) are persons who are high net worth</t>
  </si>
  <si>
    <t>entities falling within Article 49(2)(a) to (d) of the Order; or (iii) are persons to whom an invitation</t>
  </si>
  <si>
    <t>or inducement to engage in investment activity (within the meaning of section 21 of the Financial</t>
  </si>
  <si>
    <t>Services and Markets Act 2000, as amended) may otherwise lawfully be communicated or caused to be</t>
  </si>
  <si>
    <t>communicated. RMB Morgan Stanley Proprietary Limited is a member of the JSE Limited and A2X (Pty) Ltd.</t>
  </si>
  <si>
    <t>RMB Morgan Stanley Proprietary Limited is a joint venture owned equally by Morgan Stanley International</t>
  </si>
  <si>
    <t>Holdings Inc. and RMB Investment Advisory (Proprietary) Limited, which is wholly owned by FirstRand</t>
  </si>
  <si>
    <t>Limited. The information in Morgan Stanley Research is being disseminated by Morgan Stanley Saudi</t>
  </si>
  <si>
    <t>Arabia, regulated by the Capital Market Authority in the Kingdom of Saudi Arabia, and is directed at</t>
  </si>
  <si>
    <t>Sophisticated investors only.</t>
  </si>
  <si>
    <t>The information in Morgan Stanley Research is being communicated by Morgan Stanley &amp; Co. International</t>
  </si>
  <si>
    <t>plc (DIFC Branch), regulated by the Dubai Financial Services Authority (the DFSA) or by Morgan Stanley &amp;</t>
  </si>
  <si>
    <t>Co. International plc (ADGM Branch), regulated by the Financial Services Regulatory Authority Abu Dhabi</t>
  </si>
  <si>
    <t>(the FSRA), and is directed at Professional Clients only, as defined by the DFSA or the FSRA,</t>
  </si>
  <si>
    <t>respectively. The financial products or financial services to which this research relates will only be</t>
  </si>
  <si>
    <t>made available to a customer who we are satisfied meets the regulatory criteria of a Professional</t>
  </si>
  <si>
    <t>Client. A distribution of the different MS Research ratings or recommendations, in percentage terms for</t>
  </si>
  <si>
    <t>Investments in each sector covered, is available upon request from your sales representative.</t>
  </si>
  <si>
    <t>plc (QFC Branch), regulated by the Qatar Financial Centre Regulatory Authority (the QFCRA), and is</t>
  </si>
  <si>
    <t>directed at business customers and market counterparties only and is not intended for Retail Customers</t>
  </si>
  <si>
    <t>as defined by the QFCRA.</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</si>
  <si>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</si>
  <si>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</si>
  <si>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</si>
  <si>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</si>
  <si>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</si>
  <si>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</si>
  <si>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</si>
  <si>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</si>
  <si>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</si>
  <si>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</si>
  <si>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</si>
  <si>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Morgan Stanley Research, or any portion thereof may not be reprinted, sold or redistributed without the</t>
  </si>
  <si>
    <t>written consent of Morgan Stanley.</t>
  </si>
  <si>
    <t>Indicators and trackers referenced in Morgan Stanley Research may not be used as, or treated as, a</t>
  </si>
  <si>
    <t>benchmark under Regulation EU 2016/1011, or any other similar framework.</t>
  </si>
  <si>
    <t>The issuers and/or fixed income products recommended or discussed in certain fixed income research</t>
  </si>
  <si>
    <t>reports may not be continuously followed. Accordingly, investors should regard those fixed income</t>
  </si>
  <si>
    <t>research reports as providing stand-alone analysis and should not expect continuing analysis or</t>
  </si>
  <si>
    <t>additional reports relating to such issuers and/or individual fixed income products.</t>
  </si>
  <si>
    <t>Morgan Stanley may hold, from time to time, material financial and commercial interests regarding the</t>
  </si>
  <si>
    <t>company subject to the Research report.</t>
  </si>
  <si>
    <t>Registration granted by SEBI and certification from the National Institute of Securities Markets (NISM)</t>
  </si>
  <si>
    <t>in no way guarantee performance of the intermediary or provide any assurance of returns to investors.</t>
  </si>
  <si>
    <t>Investment in securities market are subject to market risks. Read all the related documents carefully</t>
  </si>
  <si>
    <t>before investing.</t>
  </si>
  <si>
    <t>© Copyright 2026 Morgan Stanley</t>
  </si>
  <si>
    <t>MacroVersion</t>
  </si>
  <si>
    <t>6.10</t>
  </si>
  <si>
    <t>PublishDate</t>
  </si>
  <si>
    <t>02/12/26 01:46</t>
  </si>
  <si>
    <t>Discipline</t>
  </si>
  <si>
    <t>Research</t>
  </si>
  <si>
    <t>ResearchTopic</t>
  </si>
  <si>
    <t>DocType</t>
  </si>
  <si>
    <t>Model</t>
  </si>
  <si>
    <t>SubjectCode</t>
  </si>
  <si>
    <t>Description</t>
  </si>
  <si>
    <t>KeepVersions</t>
  </si>
  <si>
    <t>All</t>
  </si>
  <si>
    <t>Overweight / In-Line</t>
  </si>
  <si>
    <t>CurrYearTotalRevenue*</t>
  </si>
  <si>
    <t>CurrYearEPS*</t>
  </si>
  <si>
    <t>NextYearTotalRevenue*</t>
  </si>
  <si>
    <t>NextYearEPS*</t>
  </si>
  <si>
    <t>FollowingYearTotalRevenue*</t>
  </si>
  <si>
    <t>FollowingYearEPS*</t>
  </si>
  <si>
    <t>5YearGrowthRate</t>
  </si>
  <si>
    <t>UpdateReason</t>
  </si>
  <si>
    <t>Regular Update</t>
  </si>
  <si>
    <t>Authors</t>
  </si>
  <si>
    <t>MSA2N068</t>
  </si>
  <si>
    <t>Tickers</t>
  </si>
  <si>
    <t>CUSIP</t>
  </si>
  <si>
    <t>RIC</t>
  </si>
  <si>
    <t>SEDOL</t>
  </si>
  <si>
    <t>6185495</t>
  </si>
  <si>
    <t>Current Stock Price</t>
  </si>
  <si>
    <t>152.28</t>
  </si>
  <si>
    <t>PathName</t>
  </si>
  <si>
    <t>L:\USERS\HealthCare\1_Current_Models\Templates\CSL - WIP 1H26.xlsm</t>
  </si>
  <si>
    <t>Distribution</t>
  </si>
  <si>
    <t>Deleted</t>
  </si>
  <si>
    <t>NO</t>
  </si>
  <si>
    <t>EmailAlert</t>
  </si>
  <si>
    <t>YES</t>
  </si>
  <si>
    <t>CurrQtrEPS</t>
  </si>
  <si>
    <t>CYEnd</t>
  </si>
  <si>
    <t>CQEnd</t>
  </si>
  <si>
    <t>CurrYearTotalRevenueActual*</t>
  </si>
  <si>
    <t>NextYearTotalRevenueActual*</t>
  </si>
  <si>
    <t>FollowingYearTotalRevenueActual*</t>
  </si>
  <si>
    <t>Multiplier</t>
  </si>
  <si>
    <t>1000000</t>
  </si>
  <si>
    <t>TemplateRegion</t>
  </si>
  <si>
    <t>AsiaPacific</t>
  </si>
  <si>
    <t>ObjectType</t>
  </si>
  <si>
    <t>excel</t>
  </si>
  <si>
    <t>LanguageCode</t>
  </si>
  <si>
    <t>en-US</t>
  </si>
  <si>
    <t>SubmitterUserId</t>
  </si>
  <si>
    <t>bailedav</t>
  </si>
  <si>
    <t>IndustryId</t>
  </si>
  <si>
    <t>1900000446</t>
  </si>
  <si>
    <t>TickerRegion</t>
  </si>
  <si>
    <t>5</t>
  </si>
  <si>
    <t>AdditionalInstructions</t>
  </si>
  <si>
    <t>*Estimated</t>
  </si>
  <si>
    <t>OwnerTeam</t>
  </si>
  <si>
    <t>I888888918</t>
  </si>
  <si>
    <t>[BRO MSA]</t>
  </si>
  <si>
    <t>[DOCDAT 2026-02-12]</t>
  </si>
  <si>
    <t>[DOCTIME 13:46]</t>
  </si>
  <si>
    <t>[PSYM CSL.AX(Reuters) (None)]</t>
  </si>
  <si>
    <t>[COU Australia]</t>
  </si>
  <si>
    <t>[PRODUCT MODEL]</t>
  </si>
  <si>
    <t>[ANA ]</t>
  </si>
  <si>
    <t>[HL CSL.AX Model]</t>
  </si>
  <si>
    <t>[IND Healthcare]</t>
  </si>
  <si>
    <t>[EMAIL_ALERT YES]</t>
  </si>
  <si>
    <t>[PANA  MSA2N068]</t>
  </si>
  <si>
    <t>[DISCIPLINE Company]</t>
  </si>
  <si>
    <t>[SUPPRESSED NO]</t>
  </si>
  <si>
    <t>Price as of 12 Feb 2026: 163.44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</si>
</sst>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7">
    <numFmt numFmtId="164" formatCode="&quot;$&quot;#,##0.00_);\(&quot;$&quot;#,##0.00\)"/>
    <numFmt numFmtId="165" formatCode="_(&quot;$&quot;* #,##0.00_);_(&quot;$&quot;* \(#,##0.00\);_(&quot;$&quot;* &quot;-&quot;??_);_(@_)"/>
    <numFmt numFmtId="166" formatCode="_(* #,##0.00_);_(* \(#,##0.00\);_(* &quot;-&quot;??_);_(@_)"/>
    <numFmt numFmtId="167" formatCode="_ * #,##0.00_ ;_ * \-#,##0.00_ ;_ * &quot;-&quot;??_ ;_ @_ "/>
    <numFmt numFmtId="168" formatCode="General_)"/>
    <numFmt numFmtId="169" formatCode="#,##0.0"/>
    <numFmt numFmtId="170" formatCode="0.0%"/>
    <numFmt numFmtId="171" formatCode="0.0"/>
    <numFmt numFmtId="172" formatCode="#,##0.0;\ \(#,##0.0\)"/>
    <numFmt numFmtId="173" formatCode="&quot;$&quot;#,##0.00"/>
    <numFmt numFmtId="174" formatCode="0.000"/>
    <numFmt numFmtId="175" formatCode="#,##0.0_);\(#,##0.0\)"/>
    <numFmt numFmtId="176" formatCode="#0.0%_);\(#0.0%\)"/>
    <numFmt numFmtId="177" formatCode="#,##0.000;\ \(#,##0.000\)"/>
    <numFmt numFmtId="178" formatCode="#,##0.00;\ \(#,##0.00\)"/>
    <numFmt numFmtId="179" formatCode="0.0000"/>
    <numFmt numFmtId="180" formatCode="#,##0.0000"/>
    <numFmt numFmtId="181" formatCode="#,##0;\ \(#,##0\)"/>
    <numFmt numFmtId="182" formatCode="#,##0.00000;\ \(#,##0.00000\)"/>
    <numFmt numFmtId="183" formatCode="#,##0.000"/>
    <numFmt numFmtId="184" formatCode="#,##0.000000"/>
    <numFmt numFmtId="185" formatCode="#,##0.0;\-#,##0.0"/>
    <numFmt numFmtId="186" formatCode="#,##0.00&quot;&quot;;\(#,##0.00\)&quot;&quot;"/>
    <numFmt numFmtId="187" formatCode="#,##0.0&quot;&quot;;\(#,##0.0\)&quot;&quot;"/>
    <numFmt numFmtId="188" formatCode="#,##0.00000"/>
    <numFmt numFmtId="189" formatCode="_-* #,##0.0_-;\-* #,##0.0_-;_-* &quot;-&quot;??_-;_-@_-"/>
    <numFmt numFmtId="190" formatCode="#,##0.0%&quot;&quot;;\(#,##0.0%\)&quot;&quot;"/>
    <numFmt numFmtId="191" formatCode="#,##0.000_);\(#,##0.000\)"/>
    <numFmt numFmtId="192" formatCode="#,##0.0000000;\ \(#,##0.0000000\)"/>
    <numFmt numFmtId="193" formatCode="_(* #,##0_);_(* \(#,##0\);_(* &quot;-&quot;??_);_(@_)"/>
    <numFmt numFmtId="194" formatCode="#,##0&quot;&quot;;\(#,##0\)&quot;&quot;"/>
    <numFmt numFmtId="195" formatCode="0.0%_);\(0.0%\);0.0%_);@_)"/>
    <numFmt numFmtId="196" formatCode="0%_);\(0%\);0%_);@_)"/>
    <numFmt numFmtId="197" formatCode="#,##0%&quot;&quot;;\(#,##0%\)&quot;&quot;"/>
    <numFmt numFmtId="198" formatCode="0.0\x"/>
    <numFmt numFmtId="199" formatCode="&quot;$&quot;#,##0"/>
    <numFmt numFmtId="200" formatCode="0.000%"/>
  </numFmts>
  <fonts count="118">
    <font>
      <sz val="10"/>
      <name val="Arial"/>
    </font>
    <font>
      <sz val="10"/>
      <name val="Arial"/>
      <family val="2"/>
    </font>
    <font>
      <sz val="12"/>
      <name val="Arial MT"/>
    </font>
    <font>
      <sz val="8"/>
      <name val="Helv"/>
    </font>
    <font>
      <sz val="8"/>
      <name val="Arial"/>
      <family val="2"/>
    </font>
    <font>
      <sz val="10"/>
      <name val="Arial"/>
      <family val="2"/>
    </font>
    <font>
      <sz val="10"/>
      <color indexed="12"/>
      <name val="Arial"/>
      <family val="2"/>
    </font>
    <font>
      <b/>
      <sz val="10"/>
      <name val="Arial"/>
      <family val="2"/>
    </font>
    <font>
      <b/>
      <u/>
      <sz val="10"/>
      <name val="Arial"/>
      <family val="2"/>
    </font>
    <font>
      <b/>
      <i/>
      <sz val="10"/>
      <name val="Arial"/>
      <family val="2"/>
    </font>
    <font>
      <b/>
      <sz val="8"/>
      <color indexed="8"/>
      <name val="Tahoma"/>
      <family val="2"/>
    </font>
    <font>
      <sz val="8"/>
      <color indexed="8"/>
      <name val="Tahoma"/>
      <family val="2"/>
    </font>
    <font>
      <i/>
      <sz val="10"/>
      <name val="Arial"/>
      <family val="2"/>
    </font>
    <font>
      <b/>
      <sz val="10"/>
      <color indexed="8"/>
      <name val="Arial"/>
      <family val="2"/>
    </font>
    <font>
      <sz val="10"/>
      <color indexed="9"/>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8"/>
      <color indexed="81"/>
      <name val="Tahoma"/>
      <family val="2"/>
    </font>
    <font>
      <b/>
      <sz val="8"/>
      <color indexed="81"/>
      <name val="Tahoma"/>
      <family val="2"/>
    </font>
    <font>
      <sz val="10"/>
      <color indexed="10"/>
      <name val="Arial"/>
      <family val="2"/>
    </font>
    <font>
      <sz val="10"/>
      <color indexed="22"/>
      <name val="Arial"/>
      <family val="2"/>
    </font>
    <font>
      <i/>
      <sz val="10"/>
      <color indexed="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u/>
      <sz val="10"/>
      <name val="Arial"/>
      <family val="2"/>
    </font>
    <font>
      <sz val="9"/>
      <color indexed="81"/>
      <name val="Tahoma"/>
      <family val="2"/>
    </font>
    <font>
      <b/>
      <sz val="9"/>
      <color indexed="81"/>
      <name val="Tahoma"/>
      <family val="2"/>
    </font>
    <font>
      <sz val="10"/>
      <name val="Arial"/>
      <family val="2"/>
    </font>
    <font>
      <sz val="10"/>
      <name val="Helv"/>
      <charset val="204"/>
    </font>
    <font>
      <sz val="12"/>
      <name val="바탕체"/>
      <family val="3"/>
    </font>
    <font>
      <sz val="10"/>
      <color indexed="24"/>
      <name val="Arial"/>
      <family val="2"/>
    </font>
    <font>
      <b/>
      <sz val="10"/>
      <color indexed="24"/>
      <name val="Arial"/>
      <family val="2"/>
    </font>
    <font>
      <sz val="10"/>
      <name val="Arial"/>
      <family val="2"/>
    </font>
    <font>
      <b/>
      <i/>
      <u/>
      <sz val="10"/>
      <name val="Arial"/>
      <family val="2"/>
    </font>
    <font>
      <sz val="10"/>
      <name val="Arial"/>
      <family val="2"/>
    </font>
    <font>
      <sz val="10"/>
      <color indexed="55"/>
      <name val="Arial"/>
      <family val="2"/>
    </font>
    <font>
      <sz val="10"/>
      <color indexed="8"/>
      <name val="Arial"/>
      <family val="2"/>
    </font>
    <font>
      <b/>
      <sz val="10"/>
      <color indexed="10"/>
      <name val="Arial"/>
      <family val="2"/>
    </font>
    <font>
      <b/>
      <sz val="8"/>
      <color rgb="FF000000"/>
      <name val="Helv"/>
    </font>
    <font>
      <sz val="10"/>
      <color rgb="FF00B050"/>
      <name val="Arial"/>
      <family val="2"/>
    </font>
    <font>
      <sz val="10"/>
      <color theme="1"/>
      <name val="Arial"/>
      <family val="2"/>
    </font>
    <font>
      <sz val="10"/>
      <color rgb="FF0000FF"/>
      <name val="Arial"/>
      <family val="2"/>
    </font>
    <font>
      <sz val="10"/>
      <color theme="0"/>
      <name val="Arial"/>
      <family val="2"/>
    </font>
    <font>
      <b/>
      <sz val="10"/>
      <color theme="0"/>
      <name val="Arial"/>
      <family val="2"/>
    </font>
    <font>
      <sz val="8"/>
      <name val="Arial"/>
      <family val="2"/>
    </font>
    <font>
      <sz val="10"/>
      <color theme="0" tint="-0.499984740745262"/>
      <name val="Arial"/>
      <family val="2"/>
    </font>
    <font>
      <b/>
      <sz val="10"/>
      <color indexed="55"/>
      <name val="Arial"/>
      <family val="2"/>
    </font>
    <font>
      <sz val="10"/>
      <color rgb="FFFF0000"/>
      <name val="Arial"/>
      <family val="2"/>
    </font>
    <font>
      <b/>
      <sz val="10"/>
      <color indexed="12"/>
      <name val="Arial"/>
      <family val="2"/>
    </font>
    <font>
      <b/>
      <sz val="10"/>
      <color rgb="FF0000FF"/>
      <name val="Arial"/>
      <family val="2"/>
    </font>
    <font>
      <b/>
      <sz val="10"/>
      <color indexed="22"/>
      <name val="Arial"/>
      <family val="2"/>
    </font>
    <font>
      <b/>
      <sz val="10"/>
      <color theme="2"/>
      <name val="Arial"/>
      <family val="2"/>
    </font>
    <font>
      <sz val="10"/>
      <color theme="2"/>
      <name val="Arial"/>
      <family val="2"/>
    </font>
    <font>
      <i/>
      <sz val="10"/>
      <color indexed="12"/>
      <name val="Arial"/>
      <family val="2"/>
    </font>
    <font>
      <i/>
      <sz val="10"/>
      <color indexed="8"/>
      <name val="Arial"/>
      <family val="2"/>
    </font>
    <font>
      <i/>
      <sz val="10"/>
      <color indexed="22"/>
      <name val="Arial"/>
      <family val="2"/>
    </font>
    <font>
      <sz val="10"/>
      <color indexed="20"/>
      <name val="Arial"/>
      <family val="2"/>
    </font>
    <font>
      <b/>
      <sz val="10"/>
      <color indexed="18"/>
      <name val="Arial"/>
      <family val="2"/>
    </font>
    <font>
      <sz val="10"/>
      <color indexed="18"/>
      <name val="Arial"/>
      <family val="2"/>
    </font>
    <font>
      <b/>
      <sz val="10"/>
      <color rgb="FFFF0000"/>
      <name val="Arial"/>
      <family val="2"/>
    </font>
    <font>
      <b/>
      <sz val="10"/>
      <color theme="0" tint="-0.499984740745262"/>
      <name val="Arial"/>
      <family val="2"/>
    </font>
    <font>
      <b/>
      <i/>
      <sz val="10"/>
      <color indexed="8"/>
      <name val="Arial"/>
      <family val="2"/>
    </font>
    <font>
      <i/>
      <sz val="10"/>
      <color rgb="FF0000FF"/>
      <name val="Arial"/>
      <family val="2"/>
    </font>
    <font>
      <i/>
      <sz val="10"/>
      <color theme="1"/>
      <name val="Arial"/>
      <family val="2"/>
    </font>
    <font>
      <b/>
      <sz val="10"/>
      <color theme="1"/>
      <name val="Arial"/>
      <family val="2"/>
    </font>
    <font>
      <b/>
      <i/>
      <sz val="10"/>
      <color theme="1"/>
      <name val="Arial"/>
      <family val="2"/>
    </font>
    <font>
      <b/>
      <i/>
      <sz val="10"/>
      <color rgb="FF0000FF"/>
      <name val="Arial"/>
      <family val="2"/>
    </font>
    <font>
      <b/>
      <sz val="10"/>
      <color rgb="FF000000"/>
      <name val="Arial"/>
      <family val="2"/>
    </font>
    <font>
      <b/>
      <sz val="10"/>
      <color theme="0"/>
      <name val="Calibri"/>
      <family val="2"/>
      <scheme val="minor"/>
    </font>
    <font>
      <b/>
      <sz val="10"/>
      <color theme="1"/>
      <name val="Calibri"/>
      <family val="2"/>
      <scheme val="minor"/>
    </font>
    <font>
      <i/>
      <sz val="10"/>
      <color rgb="FFFF0000"/>
      <name val="Arial"/>
      <family val="2"/>
    </font>
    <font>
      <i/>
      <sz val="10"/>
      <color theme="0" tint="-0.499984740745262"/>
      <name val="Arial"/>
      <family val="2"/>
    </font>
    <font>
      <b/>
      <sz val="8"/>
      <color indexed="9"/>
      <name val="Roboto Condensed"/>
    </font>
    <font>
      <sz val="8"/>
      <name val="Roboto Condensed"/>
    </font>
    <font>
      <i/>
      <sz val="8"/>
      <name val="Roboto Condensed"/>
    </font>
    <font>
      <sz val="8"/>
      <color indexed="60"/>
      <name val="Roboto Condensed"/>
    </font>
    <font>
      <sz val="8"/>
      <color indexed="24"/>
      <name val="Roboto Condensed"/>
    </font>
    <font>
      <sz val="8"/>
      <color indexed="9"/>
      <name val="Roboto Condensed"/>
    </font>
    <font>
      <b/>
      <sz val="8"/>
      <name val="Roboto Condensed"/>
    </font>
    <font>
      <sz val="8"/>
      <color rgb="FF000000"/>
      <name val="Roboto Condensed"/>
    </font>
    <font>
      <sz val="10"/>
      <color indexed="21"/>
      <name val="Arial"/>
      <family val="2"/>
    </font>
    <font>
      <sz val="10"/>
      <color indexed="48"/>
      <name val="Arial"/>
      <family val="2"/>
    </font>
    <font>
      <i/>
      <u/>
      <sz val="10"/>
      <name val="Arial"/>
      <family val="2"/>
    </font>
    <font>
      <sz val="10"/>
      <color indexed="40"/>
      <name val="Arial"/>
      <family val="2"/>
    </font>
    <font>
      <b/>
      <i/>
      <sz val="10"/>
      <color theme="0"/>
      <name val="Arial"/>
      <family val="2"/>
    </font>
    <font>
      <sz val="8"/>
      <color theme="0" tint="-0.499984740745262"/>
      <name val="Roboto Condensed"/>
    </font>
    <font>
      <b/>
      <sz val="8"/>
      <color theme="0" tint="-0.499984740745262"/>
      <name val="Roboto Condensed"/>
    </font>
    <font>
      <b/>
      <i/>
      <sz val="8"/>
      <name val="Roboto Condensed"/>
    </font>
    <font>
      <i/>
      <sz val="8"/>
      <color rgb="FF000000"/>
      <name val="Roboto Condensed"/>
    </font>
    <font>
      <b/>
      <sz val="10"/>
      <color indexed="48"/>
      <name val="Arial"/>
      <family val="2"/>
    </font>
    <font>
      <b/>
      <sz val="10"/>
      <color theme="0"/>
      <name val="Roboto Condensed"/>
    </font>
    <font>
      <sz val="10"/>
      <color theme="0"/>
      <name val="Roboto Condensed"/>
    </font>
    <font>
      <sz val="10"/>
      <name val="Roboto Condensed"/>
    </font>
    <font>
      <b/>
      <sz val="10"/>
      <name val="Roboto Condensed"/>
    </font>
    <font>
      <b/>
      <sz val="9"/>
      <color theme="0"/>
      <name val="Roboto Condensed"/>
    </font>
    <font>
      <sz val="9"/>
      <name val="Roboto Condensed"/>
    </font>
    <font>
      <b/>
      <sz val="9"/>
      <name val="Roboto Condensed"/>
    </font>
    <font>
      <sz val="10"/>
      <color rgb="FF000000"/>
      <name val="Arial"/>
      <family val="2"/>
    </font>
    <font>
      <i/>
      <sz val="10"/>
      <color rgb="FF000000"/>
      <name val="Arial"/>
      <family val="2"/>
    </font>
    <font>
      <b/>
      <sz val="12"/>
      <color rgb="FF000080"/>
      <name val="Arial"/>
      <family val="2"/>
    </font>
  </fonts>
  <fills count="35">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1"/>
        <bgColor indexed="64"/>
      </patternFill>
    </fill>
    <fill>
      <patternFill patternType="gray0625"/>
    </fill>
    <fill>
      <patternFill patternType="solid">
        <fgColor indexed="10"/>
        <bgColor indexed="64"/>
      </patternFill>
    </fill>
    <fill>
      <patternFill patternType="solid">
        <fgColor indexed="35"/>
        <bgColor indexed="64"/>
      </patternFill>
    </fill>
    <fill>
      <patternFill patternType="solid">
        <fgColor indexed="8"/>
        <bgColor indexed="64"/>
      </patternFill>
    </fill>
    <fill>
      <patternFill patternType="solid">
        <fgColor theme="0"/>
        <bgColor indexed="64"/>
      </patternFill>
    </fill>
    <fill>
      <patternFill patternType="solid">
        <fgColor rgb="FFFFFF00"/>
        <bgColor indexed="64"/>
      </patternFill>
    </fill>
    <fill>
      <patternFill patternType="solid">
        <fgColor rgb="FF005AA4"/>
        <bgColor indexed="64"/>
      </patternFill>
    </fill>
    <fill>
      <patternFill patternType="solid">
        <fgColor rgb="FFFFFF99"/>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ECFF"/>
        <bgColor indexed="64"/>
      </patternFill>
    </fill>
    <fill>
      <patternFill patternType="solid">
        <fgColor rgb="FF2673B2"/>
        <bgColor indexed="64"/>
      </patternFill>
    </fill>
    <fill>
      <patternFill patternType="solid">
        <fgColor rgb="FFD9F1FB"/>
        <bgColor indexed="64"/>
      </patternFill>
    </fill>
    <fill>
      <patternFill patternType="solid">
        <fgColor rgb="FFF6F1E1"/>
        <bgColor indexed="64"/>
      </patternFill>
    </fill>
    <fill>
      <patternFill patternType="solid">
        <fgColor theme="6" tint="0.79998168889431442"/>
        <bgColor indexed="64"/>
      </patternFill>
    </fill>
    <fill>
      <patternFill patternType="solid">
        <fgColor rgb="FFE8E9F4"/>
        <bgColor indexed="64"/>
      </patternFill>
    </fill>
  </fills>
  <borders count="6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style="thin">
        <color indexed="64"/>
      </top>
      <bottom style="double">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style="hair">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right/>
      <top style="medium">
        <color indexed="64"/>
      </top>
      <bottom style="medium">
        <color indexed="64"/>
      </bottom>
      <diagonal/>
    </border>
    <border>
      <left/>
      <right/>
      <top style="thin">
        <color indexed="64"/>
      </top>
      <bottom style="medium">
        <color indexed="64"/>
      </bottom>
      <diagonal/>
    </border>
    <border>
      <left/>
      <right/>
      <top/>
      <bottom style="thin">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right/>
      <top style="medium">
        <color rgb="FF002060"/>
      </top>
      <bottom style="medium">
        <color rgb="FF002060"/>
      </bottom>
      <diagonal/>
    </border>
    <border>
      <left/>
      <right/>
      <top style="medium">
        <color rgb="FF002060"/>
      </top>
      <bottom/>
      <diagonal/>
    </border>
    <border>
      <left/>
      <right/>
      <top/>
      <bottom style="medium">
        <color auto="1"/>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style="thin">
        <color indexed="64"/>
      </top>
      <bottom style="medium">
        <color indexed="64"/>
      </bottom>
      <diagonal/>
    </border>
    <border>
      <left/>
      <right style="thin">
        <color indexed="64"/>
      </right>
      <top style="thin">
        <color indexed="64"/>
      </top>
      <bottom style="double">
        <color indexed="64"/>
      </bottom>
      <diagonal/>
    </border>
    <border>
      <left/>
      <right style="thin">
        <color indexed="64"/>
      </right>
      <top style="double">
        <color indexed="64"/>
      </top>
      <bottom/>
      <diagonal/>
    </border>
    <border>
      <left/>
      <right style="thin">
        <color indexed="64"/>
      </right>
      <top style="medium">
        <color rgb="FF002060"/>
      </top>
      <bottom style="medium">
        <color rgb="FF002060"/>
      </bottom>
      <diagonal/>
    </border>
    <border>
      <left/>
      <right/>
      <top/>
      <bottom style="hair">
        <color indexed="64"/>
      </bottom>
      <diagonal/>
    </border>
    <border>
      <left/>
      <right/>
      <top style="hair">
        <color indexed="64"/>
      </top>
      <bottom style="hair">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s>
  <cellStyleXfs count="81">
    <xf numFmtId="0" fontId="0" fillId="0" borderId="0"/>
    <xf numFmtId="0" fontId="50" fillId="0" borderId="0" applyNumberFormat="0" applyFont="0" applyFill="0" applyBorder="0" applyAlignment="0" applyProtection="0"/>
    <xf numFmtId="0" fontId="45" fillId="0" borderId="0" applyNumberFormat="0" applyFont="0" applyFill="0" applyBorder="0" applyAlignment="0" applyProtection="0"/>
    <xf numFmtId="0" fontId="46" fillId="0" borderId="0"/>
    <xf numFmtId="0" fontId="5" fillId="0" borderId="0"/>
    <xf numFmtId="0" fontId="5" fillId="0" borderId="0"/>
    <xf numFmtId="0" fontId="1" fillId="0" borderId="0"/>
    <xf numFmtId="0" fontId="5" fillId="0" borderId="0"/>
    <xf numFmtId="0" fontId="15" fillId="0" borderId="0"/>
    <xf numFmtId="0" fontId="15" fillId="0" borderId="0"/>
    <xf numFmtId="0" fontId="25" fillId="2" borderId="0" applyNumberFormat="0" applyBorder="0" applyAlignment="0" applyProtection="0"/>
    <xf numFmtId="0" fontId="25" fillId="3" borderId="0" applyNumberFormat="0" applyBorder="0" applyAlignment="0" applyProtection="0"/>
    <xf numFmtId="0" fontId="25" fillId="4" borderId="0" applyNumberFormat="0" applyBorder="0" applyAlignment="0" applyProtection="0"/>
    <xf numFmtId="0" fontId="25" fillId="2" borderId="0" applyNumberFormat="0" applyBorder="0" applyAlignment="0" applyProtection="0"/>
    <xf numFmtId="0" fontId="25" fillId="5" borderId="0" applyNumberFormat="0" applyBorder="0" applyAlignment="0" applyProtection="0"/>
    <xf numFmtId="0" fontId="25" fillId="4" borderId="0" applyNumberFormat="0" applyBorder="0" applyAlignment="0" applyProtection="0"/>
    <xf numFmtId="0" fontId="25" fillId="6" borderId="0" applyNumberFormat="0" applyBorder="0" applyAlignment="0" applyProtection="0"/>
    <xf numFmtId="0" fontId="25" fillId="3" borderId="0" applyNumberFormat="0" applyBorder="0" applyAlignment="0" applyProtection="0"/>
    <xf numFmtId="0" fontId="25" fillId="4" borderId="0" applyNumberFormat="0" applyBorder="0" applyAlignment="0" applyProtection="0"/>
    <xf numFmtId="0" fontId="25" fillId="6" borderId="0" applyNumberFormat="0" applyBorder="0" applyAlignment="0" applyProtection="0"/>
    <xf numFmtId="0" fontId="25" fillId="7" borderId="0" applyNumberFormat="0" applyBorder="0" applyAlignment="0" applyProtection="0"/>
    <xf numFmtId="0" fontId="25" fillId="4" borderId="0" applyNumberFormat="0" applyBorder="0" applyAlignment="0" applyProtection="0"/>
    <xf numFmtId="0" fontId="26" fillId="8" borderId="0" applyNumberFormat="0" applyBorder="0" applyAlignment="0" applyProtection="0"/>
    <xf numFmtId="0" fontId="26" fillId="3" borderId="0" applyNumberFormat="0" applyBorder="0" applyAlignment="0" applyProtection="0"/>
    <xf numFmtId="0" fontId="26" fillId="9" borderId="0" applyNumberFormat="0" applyBorder="0" applyAlignment="0" applyProtection="0"/>
    <xf numFmtId="0" fontId="26" fillId="6" borderId="0" applyNumberFormat="0" applyBorder="0" applyAlignment="0" applyProtection="0"/>
    <xf numFmtId="0" fontId="26" fillId="8" borderId="0" applyNumberFormat="0" applyBorder="0" applyAlignment="0" applyProtection="0"/>
    <xf numFmtId="0" fontId="26" fillId="4" borderId="0" applyNumberFormat="0" applyBorder="0" applyAlignment="0" applyProtection="0"/>
    <xf numFmtId="0" fontId="26" fillId="8" borderId="0" applyNumberFormat="0" applyBorder="0" applyAlignment="0" applyProtection="0"/>
    <xf numFmtId="0" fontId="26" fillId="3" borderId="0" applyNumberFormat="0" applyBorder="0" applyAlignment="0" applyProtection="0"/>
    <xf numFmtId="0" fontId="26" fillId="9" borderId="0" applyNumberFormat="0" applyBorder="0" applyAlignment="0" applyProtection="0"/>
    <xf numFmtId="0" fontId="26" fillId="10" borderId="0" applyNumberFormat="0" applyBorder="0" applyAlignment="0" applyProtection="0"/>
    <xf numFmtId="0" fontId="26" fillId="8" borderId="0" applyNumberFormat="0" applyBorder="0" applyAlignment="0" applyProtection="0"/>
    <xf numFmtId="0" fontId="26" fillId="3" borderId="0" applyNumberFormat="0" applyBorder="0" applyAlignment="0" applyProtection="0"/>
    <xf numFmtId="0" fontId="27" fillId="11" borderId="0" applyNumberFormat="0" applyBorder="0" applyAlignment="0" applyProtection="0"/>
    <xf numFmtId="0" fontId="16" fillId="0" borderId="0"/>
    <xf numFmtId="0" fontId="28" fillId="12" borderId="1" applyNumberFormat="0" applyAlignment="0" applyProtection="0"/>
    <xf numFmtId="0" fontId="29" fillId="13" borderId="2" applyNumberFormat="0" applyAlignment="0" applyProtection="0"/>
    <xf numFmtId="166" fontId="1" fillId="0" borderId="0" applyFont="0" applyFill="0" applyBorder="0" applyAlignment="0" applyProtection="0"/>
    <xf numFmtId="166" fontId="5" fillId="0" borderId="0" applyFont="0" applyFill="0" applyBorder="0" applyAlignment="0" applyProtection="0"/>
    <xf numFmtId="166" fontId="50" fillId="0" borderId="0" applyFont="0" applyFill="0" applyBorder="0" applyAlignment="0" applyProtection="0"/>
    <xf numFmtId="165" fontId="5" fillId="0" borderId="0" applyFont="0" applyFill="0" applyBorder="0" applyAlignment="0" applyProtection="0"/>
    <xf numFmtId="0" fontId="30" fillId="0" borderId="0" applyNumberFormat="0" applyFill="0" applyBorder="0" applyAlignment="0" applyProtection="0"/>
    <xf numFmtId="0" fontId="31" fillId="14" borderId="0" applyNumberFormat="0" applyBorder="0" applyAlignment="0" applyProtection="0"/>
    <xf numFmtId="0" fontId="32" fillId="0" borderId="3" applyNumberFormat="0" applyFill="0" applyAlignment="0" applyProtection="0"/>
    <xf numFmtId="0" fontId="33" fillId="0" borderId="4" applyNumberFormat="0" applyFill="0" applyAlignment="0" applyProtection="0"/>
    <xf numFmtId="0" fontId="34" fillId="0" borderId="5" applyNumberFormat="0" applyFill="0" applyAlignment="0" applyProtection="0"/>
    <xf numFmtId="0" fontId="34" fillId="0" borderId="0" applyNumberFormat="0" applyFill="0" applyBorder="0" applyAlignment="0" applyProtection="0"/>
    <xf numFmtId="0" fontId="35" fillId="4" borderId="1" applyNumberFormat="0" applyAlignment="0" applyProtection="0"/>
    <xf numFmtId="0" fontId="36" fillId="0" borderId="6" applyNumberFormat="0" applyFill="0" applyAlignment="0" applyProtection="0"/>
    <xf numFmtId="167" fontId="5" fillId="0" borderId="0" applyFont="0" applyFill="0" applyBorder="0" applyAlignment="0" applyProtection="0"/>
    <xf numFmtId="0" fontId="5" fillId="0" borderId="0" applyFont="0" applyFill="0" applyBorder="0" applyAlignment="0" applyProtection="0"/>
    <xf numFmtId="0" fontId="52" fillId="0" borderId="0"/>
    <xf numFmtId="0" fontId="52" fillId="0" borderId="0"/>
    <xf numFmtId="0" fontId="37" fillId="4" borderId="0" applyNumberFormat="0" applyBorder="0" applyAlignment="0" applyProtection="0"/>
    <xf numFmtId="0" fontId="5" fillId="0" borderId="0"/>
    <xf numFmtId="0" fontId="2" fillId="0" borderId="0"/>
    <xf numFmtId="168" fontId="2" fillId="0" borderId="0"/>
    <xf numFmtId="0" fontId="3" fillId="0" borderId="0" applyBorder="0"/>
    <xf numFmtId="0" fontId="1" fillId="0" borderId="0"/>
    <xf numFmtId="0" fontId="3" fillId="0" borderId="0" applyBorder="0"/>
    <xf numFmtId="0" fontId="3" fillId="0" borderId="0" applyBorder="0"/>
    <xf numFmtId="0" fontId="1" fillId="0" borderId="0"/>
    <xf numFmtId="0" fontId="3" fillId="0" borderId="0" applyBorder="0"/>
    <xf numFmtId="0" fontId="1" fillId="4" borderId="7" applyNumberFormat="0" applyFont="0" applyAlignment="0" applyProtection="0"/>
    <xf numFmtId="0" fontId="38" fillId="12" borderId="8" applyNumberFormat="0" applyAlignment="0" applyProtection="0"/>
    <xf numFmtId="0" fontId="17" fillId="0" borderId="0">
      <alignment vertical="center"/>
    </xf>
    <xf numFmtId="9" fontId="1" fillId="0" borderId="0" applyFont="0" applyFill="0" applyBorder="0" applyAlignment="0" applyProtection="0"/>
    <xf numFmtId="9" fontId="5" fillId="0" borderId="0" applyFont="0" applyFill="0" applyBorder="0" applyAlignment="0" applyProtection="0"/>
    <xf numFmtId="9" fontId="50" fillId="0" borderId="0" applyFont="0" applyFill="0" applyBorder="0" applyAlignment="0" applyProtection="0"/>
    <xf numFmtId="0" fontId="18" fillId="0" borderId="0"/>
    <xf numFmtId="0" fontId="18" fillId="0" borderId="9">
      <alignment horizontal="centerContinuous"/>
    </xf>
    <xf numFmtId="0" fontId="19" fillId="0" borderId="9"/>
    <xf numFmtId="0" fontId="39" fillId="0" borderId="0" applyNumberFormat="0" applyFill="0" applyBorder="0" applyAlignment="0" applyProtection="0"/>
    <xf numFmtId="0" fontId="40" fillId="0" borderId="10" applyNumberFormat="0" applyFill="0" applyAlignment="0" applyProtection="0"/>
    <xf numFmtId="0" fontId="41" fillId="0" borderId="0" applyNumberFormat="0" applyFill="0" applyBorder="0" applyAlignment="0" applyProtection="0"/>
    <xf numFmtId="0" fontId="47" fillId="0" borderId="0"/>
    <xf numFmtId="0" fontId="1" fillId="0" borderId="0"/>
    <xf numFmtId="0" fontId="1" fillId="0" borderId="0"/>
    <xf numFmtId="9" fontId="1" fillId="0" borderId="0" applyFont="0" applyFill="0" applyBorder="0" applyAlignment="0" applyProtection="0"/>
    <xf numFmtId="0" fontId="1" fillId="0" borderId="0"/>
  </cellStyleXfs>
  <cellXfs count="1925">
    <xf numFmtId="0" fontId="0" fillId="0" borderId="0" xfId="0"/>
    <xf numFmtId="0" fontId="7" fillId="0" borderId="0" xfId="0" applyFont="1"/>
    <xf numFmtId="0" fontId="1" fillId="0" borderId="0" xfId="56" applyFont="1" applyAlignment="1">
      <alignment horizontal="center"/>
    </xf>
    <xf numFmtId="0" fontId="1" fillId="0" borderId="0" xfId="61" applyFont="1"/>
    <xf numFmtId="0" fontId="1" fillId="0" borderId="0" xfId="61" applyFont="1" applyBorder="1"/>
    <xf numFmtId="0" fontId="7" fillId="0" borderId="0" xfId="61" applyFont="1" applyBorder="1"/>
    <xf numFmtId="3" fontId="7" fillId="0" borderId="0" xfId="61" applyNumberFormat="1" applyFont="1" applyAlignment="1">
      <alignment horizontal="right"/>
    </xf>
    <xf numFmtId="170" fontId="7" fillId="0" borderId="0" xfId="61" applyNumberFormat="1" applyFont="1"/>
    <xf numFmtId="172" fontId="7" fillId="0" borderId="0" xfId="61" applyNumberFormat="1" applyFont="1" applyBorder="1"/>
    <xf numFmtId="171" fontId="1" fillId="0" borderId="0" xfId="0" applyNumberFormat="1" applyFont="1" applyAlignment="1">
      <alignment horizontal="right"/>
    </xf>
    <xf numFmtId="0" fontId="1" fillId="0" borderId="0" xfId="0" applyFont="1" applyAlignment="1">
      <alignment horizontal="right"/>
    </xf>
    <xf numFmtId="0" fontId="1" fillId="0" borderId="0" xfId="0" applyFont="1"/>
    <xf numFmtId="170" fontId="1" fillId="0" borderId="0" xfId="67" applyNumberFormat="1" applyFont="1" applyFill="1" applyBorder="1"/>
    <xf numFmtId="0" fontId="12" fillId="0" borderId="0" xfId="0" applyFont="1"/>
    <xf numFmtId="0" fontId="7" fillId="0" borderId="0" xfId="0" applyFont="1" applyAlignment="1">
      <alignment horizontal="right"/>
    </xf>
    <xf numFmtId="9" fontId="1" fillId="0" borderId="0" xfId="0" applyNumberFormat="1" applyFont="1" applyAlignment="1">
      <alignment horizontal="right"/>
    </xf>
    <xf numFmtId="0" fontId="12" fillId="0" borderId="0" xfId="0" applyFont="1" applyAlignment="1">
      <alignment horizontal="center"/>
    </xf>
    <xf numFmtId="170" fontId="12" fillId="0" borderId="0" xfId="67" applyNumberFormat="1" applyFont="1" applyFill="1" applyBorder="1" applyAlignment="1">
      <alignment horizontal="right"/>
    </xf>
    <xf numFmtId="170" fontId="1" fillId="0" borderId="0" xfId="67" applyNumberFormat="1" applyFont="1" applyFill="1" applyBorder="1" applyAlignment="1">
      <alignment horizontal="right"/>
    </xf>
    <xf numFmtId="0" fontId="58" fillId="0" borderId="0" xfId="0" applyFont="1"/>
    <xf numFmtId="0" fontId="60" fillId="25" borderId="0" xfId="0" applyFont="1" applyFill="1"/>
    <xf numFmtId="0" fontId="61" fillId="25" borderId="0" xfId="0" applyFont="1" applyFill="1" applyAlignment="1">
      <alignment horizontal="right"/>
    </xf>
    <xf numFmtId="0" fontId="63" fillId="0" borderId="0" xfId="0" applyFont="1"/>
    <xf numFmtId="1" fontId="7" fillId="0" borderId="0" xfId="0" applyNumberFormat="1" applyFont="1" applyAlignment="1">
      <alignment horizontal="right"/>
    </xf>
    <xf numFmtId="3" fontId="7" fillId="0" borderId="0" xfId="0" applyNumberFormat="1" applyFont="1" applyAlignment="1">
      <alignment horizontal="right"/>
    </xf>
    <xf numFmtId="9" fontId="48" fillId="0" borderId="0" xfId="0" applyNumberFormat="1" applyFont="1" applyAlignment="1">
      <alignment horizontal="right"/>
    </xf>
    <xf numFmtId="3" fontId="53" fillId="0" borderId="0" xfId="0" applyNumberFormat="1" applyFont="1" applyAlignment="1">
      <alignment horizontal="right"/>
    </xf>
    <xf numFmtId="1" fontId="53" fillId="0" borderId="0" xfId="0" applyNumberFormat="1" applyFont="1" applyAlignment="1">
      <alignment horizontal="right"/>
    </xf>
    <xf numFmtId="9" fontId="49" fillId="0" borderId="0" xfId="0" applyNumberFormat="1" applyFont="1" applyAlignment="1">
      <alignment horizontal="right"/>
    </xf>
    <xf numFmtId="0" fontId="61" fillId="0" borderId="0" xfId="0" applyFont="1" applyAlignment="1">
      <alignment horizontal="right"/>
    </xf>
    <xf numFmtId="0" fontId="7" fillId="0" borderId="0" xfId="61" applyFont="1" applyBorder="1" applyProtection="1">
      <protection locked="0"/>
    </xf>
    <xf numFmtId="0" fontId="7" fillId="0" borderId="0" xfId="0" applyFont="1" applyAlignment="1">
      <alignment horizontal="left"/>
    </xf>
    <xf numFmtId="172" fontId="1" fillId="0" borderId="0" xfId="56" applyNumberFormat="1" applyFont="1" applyAlignment="1">
      <alignment horizontal="right"/>
    </xf>
    <xf numFmtId="0" fontId="1" fillId="0" borderId="0" xfId="56" applyFont="1"/>
    <xf numFmtId="0" fontId="6" fillId="0" borderId="0" xfId="56" applyFont="1"/>
    <xf numFmtId="0" fontId="54" fillId="0" borderId="0" xfId="56" applyFont="1"/>
    <xf numFmtId="39" fontId="6" fillId="0" borderId="0" xfId="56" applyNumberFormat="1" applyFont="1" applyAlignment="1">
      <alignment horizontal="right"/>
    </xf>
    <xf numFmtId="0" fontId="6" fillId="0" borderId="0" xfId="60" applyFont="1"/>
    <xf numFmtId="0" fontId="54" fillId="0" borderId="0" xfId="60" applyFont="1"/>
    <xf numFmtId="0" fontId="54" fillId="15" borderId="0" xfId="56" applyFont="1" applyFill="1"/>
    <xf numFmtId="18" fontId="66" fillId="15" borderId="0" xfId="56" applyNumberFormat="1" applyFont="1" applyFill="1" applyAlignment="1">
      <alignment horizontal="right"/>
    </xf>
    <xf numFmtId="0" fontId="66" fillId="15" borderId="0" xfId="56" applyFont="1" applyFill="1" applyAlignment="1">
      <alignment horizontal="right"/>
    </xf>
    <xf numFmtId="0" fontId="13" fillId="15" borderId="0" xfId="56" applyFont="1" applyFill="1" applyAlignment="1">
      <alignment horizontal="right"/>
    </xf>
    <xf numFmtId="164" fontId="66" fillId="15" borderId="0" xfId="56" applyNumberFormat="1" applyFont="1" applyFill="1" applyAlignment="1">
      <alignment horizontal="left"/>
    </xf>
    <xf numFmtId="0" fontId="6" fillId="15" borderId="0" xfId="56" applyFont="1" applyFill="1" applyAlignment="1">
      <alignment horizontal="right"/>
    </xf>
    <xf numFmtId="0" fontId="54" fillId="15" borderId="0" xfId="56" applyFont="1" applyFill="1" applyAlignment="1">
      <alignment horizontal="right"/>
    </xf>
    <xf numFmtId="0" fontId="6" fillId="15" borderId="0" xfId="56" applyFont="1" applyFill="1"/>
    <xf numFmtId="0" fontId="66" fillId="15" borderId="0" xfId="56" applyFont="1" applyFill="1"/>
    <xf numFmtId="0" fontId="7" fillId="16" borderId="0" xfId="56" applyFont="1" applyFill="1"/>
    <xf numFmtId="0" fontId="7" fillId="16" borderId="0" xfId="56" applyFont="1" applyFill="1" applyAlignment="1">
      <alignment horizontal="right"/>
    </xf>
    <xf numFmtId="39" fontId="7" fillId="16" borderId="0" xfId="56" applyNumberFormat="1" applyFont="1" applyFill="1" applyAlignment="1">
      <alignment horizontal="right"/>
    </xf>
    <xf numFmtId="170" fontId="1" fillId="0" borderId="0" xfId="56" applyNumberFormat="1" applyFont="1" applyAlignment="1">
      <alignment horizontal="right"/>
    </xf>
    <xf numFmtId="0" fontId="12" fillId="0" borderId="0" xfId="56" applyFont="1"/>
    <xf numFmtId="172" fontId="1" fillId="0" borderId="0" xfId="56" applyNumberFormat="1" applyFont="1" applyAlignment="1" applyProtection="1">
      <alignment horizontal="right"/>
      <protection locked="0"/>
    </xf>
    <xf numFmtId="0" fontId="1" fillId="0" borderId="0" xfId="56" applyFont="1" applyAlignment="1">
      <alignment horizontal="left"/>
    </xf>
    <xf numFmtId="170" fontId="1" fillId="0" borderId="0" xfId="56" applyNumberFormat="1" applyFont="1"/>
    <xf numFmtId="170" fontId="1" fillId="0" borderId="39" xfId="56" applyNumberFormat="1" applyFont="1" applyBorder="1" applyAlignment="1">
      <alignment horizontal="right"/>
    </xf>
    <xf numFmtId="170" fontId="1" fillId="0" borderId="0" xfId="67" applyNumberFormat="1" applyFont="1" applyBorder="1" applyAlignment="1">
      <alignment horizontal="right"/>
    </xf>
    <xf numFmtId="0" fontId="1" fillId="0" borderId="0" xfId="56" applyFont="1" applyProtection="1">
      <protection locked="0"/>
    </xf>
    <xf numFmtId="0" fontId="6" fillId="0" borderId="0" xfId="56" applyFont="1" applyProtection="1">
      <protection locked="0"/>
    </xf>
    <xf numFmtId="0" fontId="7" fillId="0" borderId="0" xfId="56" applyFont="1" applyAlignment="1">
      <alignment horizontal="left"/>
    </xf>
    <xf numFmtId="0" fontId="7" fillId="0" borderId="0" xfId="56" applyFont="1"/>
    <xf numFmtId="0" fontId="54" fillId="0" borderId="0" xfId="60" applyFont="1" applyBorder="1"/>
    <xf numFmtId="0" fontId="7" fillId="16" borderId="21" xfId="56" applyFont="1" applyFill="1" applyBorder="1" applyAlignment="1">
      <alignment horizontal="right"/>
    </xf>
    <xf numFmtId="39" fontId="7" fillId="16" borderId="21" xfId="56" applyNumberFormat="1" applyFont="1" applyFill="1" applyBorder="1" applyAlignment="1">
      <alignment horizontal="right"/>
    </xf>
    <xf numFmtId="9" fontId="1" fillId="0" borderId="21" xfId="67" applyFont="1" applyBorder="1" applyAlignment="1">
      <alignment horizontal="right"/>
    </xf>
    <xf numFmtId="170" fontId="1" fillId="0" borderId="0" xfId="68" applyNumberFormat="1" applyFont="1"/>
    <xf numFmtId="0" fontId="1" fillId="0" borderId="21" xfId="0" applyFont="1" applyBorder="1" applyAlignment="1">
      <alignment horizontal="right"/>
    </xf>
    <xf numFmtId="9" fontId="1" fillId="15" borderId="0" xfId="67" applyFont="1" applyFill="1" applyBorder="1"/>
    <xf numFmtId="171" fontId="6" fillId="0" borderId="0" xfId="56" applyNumberFormat="1" applyFont="1"/>
    <xf numFmtId="39" fontId="54" fillId="0" borderId="0" xfId="56" applyNumberFormat="1" applyFont="1" applyAlignment="1">
      <alignment horizontal="right"/>
    </xf>
    <xf numFmtId="9" fontId="1" fillId="0" borderId="0" xfId="67" applyFont="1" applyFill="1" applyBorder="1"/>
    <xf numFmtId="169" fontId="1" fillId="0" borderId="0" xfId="0" applyNumberFormat="1" applyFont="1"/>
    <xf numFmtId="0" fontId="1" fillId="15" borderId="0" xfId="56" applyFont="1" applyFill="1"/>
    <xf numFmtId="0" fontId="13" fillId="15" borderId="0" xfId="56" applyFont="1" applyFill="1"/>
    <xf numFmtId="39" fontId="6" fillId="15" borderId="0" xfId="56" applyNumberFormat="1" applyFont="1" applyFill="1" applyAlignment="1">
      <alignment horizontal="right"/>
    </xf>
    <xf numFmtId="0" fontId="6" fillId="15" borderId="0" xfId="56" applyFont="1" applyFill="1" applyAlignment="1">
      <alignment horizontal="left"/>
    </xf>
    <xf numFmtId="0" fontId="7" fillId="16" borderId="0" xfId="56" applyFont="1" applyFill="1" applyAlignment="1">
      <alignment horizontal="left"/>
    </xf>
    <xf numFmtId="171" fontId="1" fillId="0" borderId="0" xfId="61" applyNumberFormat="1" applyFont="1"/>
    <xf numFmtId="171" fontId="1" fillId="0" borderId="0" xfId="61" applyNumberFormat="1" applyFont="1" applyBorder="1"/>
    <xf numFmtId="170" fontId="1" fillId="0" borderId="12" xfId="61" applyNumberFormat="1" applyFont="1" applyBorder="1"/>
    <xf numFmtId="170" fontId="1" fillId="0" borderId="42" xfId="61" applyNumberFormat="1" applyFont="1" applyBorder="1"/>
    <xf numFmtId="170" fontId="1" fillId="0" borderId="0" xfId="61" applyNumberFormat="1" applyFont="1" applyBorder="1"/>
    <xf numFmtId="0" fontId="1" fillId="0" borderId="0" xfId="61" applyFont="1" applyAlignment="1">
      <alignment horizontal="right"/>
    </xf>
    <xf numFmtId="172" fontId="1" fillId="0" borderId="0" xfId="61" applyNumberFormat="1" applyFont="1" applyBorder="1"/>
    <xf numFmtId="0" fontId="8" fillId="0" borderId="0" xfId="61" applyFont="1" applyBorder="1"/>
    <xf numFmtId="0" fontId="7" fillId="0" borderId="0" xfId="61" applyFont="1"/>
    <xf numFmtId="172" fontId="1" fillId="0" borderId="0" xfId="61" applyNumberFormat="1" applyFont="1"/>
    <xf numFmtId="171" fontId="7" fillId="0" borderId="0" xfId="61" applyNumberFormat="1" applyFont="1"/>
    <xf numFmtId="171" fontId="7" fillId="0" borderId="0" xfId="61" applyNumberFormat="1" applyFont="1" applyBorder="1"/>
    <xf numFmtId="172" fontId="1" fillId="0" borderId="12" xfId="61" applyNumberFormat="1" applyFont="1" applyBorder="1"/>
    <xf numFmtId="170" fontId="1" fillId="0" borderId="0" xfId="58" applyNumberFormat="1" applyFont="1"/>
    <xf numFmtId="169" fontId="1" fillId="0" borderId="0" xfId="61" applyNumberFormat="1" applyFont="1"/>
    <xf numFmtId="169" fontId="1" fillId="0" borderId="0" xfId="61" applyNumberFormat="1" applyFont="1" applyBorder="1"/>
    <xf numFmtId="169" fontId="1" fillId="0" borderId="12" xfId="61" applyNumberFormat="1" applyFont="1" applyBorder="1"/>
    <xf numFmtId="170" fontId="1" fillId="0" borderId="0" xfId="61" applyNumberFormat="1" applyFont="1"/>
    <xf numFmtId="172" fontId="7" fillId="0" borderId="0" xfId="61" applyNumberFormat="1" applyFont="1"/>
    <xf numFmtId="9" fontId="1" fillId="0" borderId="0" xfId="61" applyNumberFormat="1" applyFont="1" applyBorder="1"/>
    <xf numFmtId="9" fontId="7" fillId="0" borderId="0" xfId="61" applyNumberFormat="1" applyFont="1" applyBorder="1"/>
    <xf numFmtId="9" fontId="1" fillId="0" borderId="0" xfId="61" applyNumberFormat="1" applyFont="1"/>
    <xf numFmtId="169" fontId="7" fillId="0" borderId="0" xfId="61" applyNumberFormat="1" applyFont="1"/>
    <xf numFmtId="169" fontId="7" fillId="0" borderId="0" xfId="61" applyNumberFormat="1" applyFont="1" applyBorder="1"/>
    <xf numFmtId="170" fontId="7" fillId="0" borderId="0" xfId="61" applyNumberFormat="1" applyFont="1" applyBorder="1"/>
    <xf numFmtId="2" fontId="1" fillId="0" borderId="0" xfId="61" applyNumberFormat="1" applyFont="1" applyAlignment="1">
      <alignment horizontal="left" indent="4"/>
    </xf>
    <xf numFmtId="170" fontId="7" fillId="17" borderId="0" xfId="61" applyNumberFormat="1" applyFont="1" applyFill="1"/>
    <xf numFmtId="177" fontId="1" fillId="0" borderId="12" xfId="61" applyNumberFormat="1" applyFont="1" applyBorder="1"/>
    <xf numFmtId="10" fontId="7" fillId="0" borderId="0" xfId="67" applyNumberFormat="1" applyFont="1" applyBorder="1"/>
    <xf numFmtId="9" fontId="7" fillId="0" borderId="0" xfId="61" applyNumberFormat="1" applyFont="1"/>
    <xf numFmtId="170" fontId="1" fillId="17" borderId="0" xfId="61" applyNumberFormat="1" applyFont="1" applyFill="1"/>
    <xf numFmtId="0" fontId="1" fillId="0" borderId="0" xfId="58" applyFont="1"/>
    <xf numFmtId="0" fontId="1" fillId="0" borderId="0" xfId="58" applyFont="1" applyBorder="1"/>
    <xf numFmtId="10" fontId="1" fillId="0" borderId="0" xfId="67" applyNumberFormat="1" applyFont="1" applyBorder="1"/>
    <xf numFmtId="173" fontId="1" fillId="0" borderId="0" xfId="61" applyNumberFormat="1" applyFont="1" applyBorder="1"/>
    <xf numFmtId="173" fontId="1" fillId="0" borderId="0" xfId="61" applyNumberFormat="1" applyFont="1"/>
    <xf numFmtId="4" fontId="1" fillId="0" borderId="0" xfId="61" applyNumberFormat="1" applyFont="1" applyBorder="1"/>
    <xf numFmtId="4" fontId="1" fillId="0" borderId="0" xfId="61" applyNumberFormat="1" applyFont="1"/>
    <xf numFmtId="3" fontId="1" fillId="0" borderId="0" xfId="61" applyNumberFormat="1" applyFont="1" applyBorder="1"/>
    <xf numFmtId="4" fontId="7" fillId="0" borderId="0" xfId="61" applyNumberFormat="1" applyFont="1"/>
    <xf numFmtId="181" fontId="1" fillId="0" borderId="0" xfId="61" applyNumberFormat="1" applyFont="1" applyBorder="1"/>
    <xf numFmtId="170" fontId="54" fillId="0" borderId="0" xfId="61" applyNumberFormat="1" applyFont="1"/>
    <xf numFmtId="170" fontId="7" fillId="0" borderId="0" xfId="67" applyNumberFormat="1" applyFont="1" applyBorder="1"/>
    <xf numFmtId="170" fontId="7" fillId="0" borderId="0" xfId="67" applyNumberFormat="1" applyFont="1"/>
    <xf numFmtId="15" fontId="1" fillId="0" borderId="0" xfId="56" applyNumberFormat="1" applyFont="1" applyAlignment="1">
      <alignment horizontal="left"/>
    </xf>
    <xf numFmtId="15" fontId="1" fillId="0" borderId="0" xfId="61" applyNumberFormat="1" applyFont="1"/>
    <xf numFmtId="15" fontId="7" fillId="0" borderId="0" xfId="61" applyNumberFormat="1" applyFont="1" applyBorder="1"/>
    <xf numFmtId="183" fontId="1" fillId="0" borderId="0" xfId="61" applyNumberFormat="1" applyFont="1"/>
    <xf numFmtId="0" fontId="1" fillId="0" borderId="0" xfId="61" applyFont="1" applyProtection="1">
      <protection locked="0"/>
    </xf>
    <xf numFmtId="0" fontId="1" fillId="0" borderId="0" xfId="61" quotePrefix="1" applyFont="1" applyBorder="1" applyAlignment="1">
      <alignment horizontal="left"/>
    </xf>
    <xf numFmtId="0" fontId="1" fillId="0" borderId="0" xfId="61" applyFont="1" applyBorder="1" applyAlignment="1">
      <alignment horizontal="left"/>
    </xf>
    <xf numFmtId="10" fontId="1" fillId="0" borderId="0" xfId="61" applyNumberFormat="1" applyFont="1" applyBorder="1"/>
    <xf numFmtId="10" fontId="1" fillId="0" borderId="0" xfId="61" applyNumberFormat="1" applyFont="1"/>
    <xf numFmtId="169" fontId="1" fillId="0" borderId="0" xfId="58" applyNumberFormat="1" applyFont="1" applyBorder="1"/>
    <xf numFmtId="2" fontId="1" fillId="0" borderId="0" xfId="61" applyNumberFormat="1" applyFont="1" applyBorder="1"/>
    <xf numFmtId="1" fontId="1" fillId="0" borderId="0" xfId="61" applyNumberFormat="1" applyFont="1" applyBorder="1"/>
    <xf numFmtId="0" fontId="1" fillId="0" borderId="21" xfId="61" applyFont="1" applyBorder="1"/>
    <xf numFmtId="171" fontId="1" fillId="0" borderId="21" xfId="61" applyNumberFormat="1" applyFont="1" applyBorder="1"/>
    <xf numFmtId="170" fontId="1" fillId="0" borderId="18" xfId="61" applyNumberFormat="1" applyFont="1" applyBorder="1"/>
    <xf numFmtId="170" fontId="1" fillId="0" borderId="24" xfId="61" applyNumberFormat="1" applyFont="1" applyBorder="1"/>
    <xf numFmtId="170" fontId="1" fillId="0" borderId="21" xfId="61" applyNumberFormat="1" applyFont="1" applyBorder="1"/>
    <xf numFmtId="0" fontId="1" fillId="0" borderId="21" xfId="61" applyFont="1" applyBorder="1" applyAlignment="1">
      <alignment horizontal="right"/>
    </xf>
    <xf numFmtId="172" fontId="1" fillId="0" borderId="21" xfId="61" applyNumberFormat="1" applyFont="1" applyBorder="1"/>
    <xf numFmtId="171" fontId="7" fillId="0" borderId="21" xfId="61" applyNumberFormat="1" applyFont="1" applyBorder="1"/>
    <xf numFmtId="172" fontId="1" fillId="0" borderId="18" xfId="61" applyNumberFormat="1" applyFont="1" applyBorder="1"/>
    <xf numFmtId="169" fontId="1" fillId="0" borderId="18" xfId="61" applyNumberFormat="1" applyFont="1" applyBorder="1"/>
    <xf numFmtId="169" fontId="1" fillId="0" borderId="21" xfId="61" applyNumberFormat="1" applyFont="1" applyBorder="1"/>
    <xf numFmtId="172" fontId="7" fillId="0" borderId="21" xfId="61" applyNumberFormat="1" applyFont="1" applyBorder="1"/>
    <xf numFmtId="170" fontId="7" fillId="0" borderId="21" xfId="61" applyNumberFormat="1" applyFont="1" applyBorder="1"/>
    <xf numFmtId="9" fontId="7" fillId="0" borderId="21" xfId="61" applyNumberFormat="1" applyFont="1" applyBorder="1"/>
    <xf numFmtId="169" fontId="7" fillId="0" borderId="21" xfId="61" applyNumberFormat="1" applyFont="1" applyBorder="1"/>
    <xf numFmtId="9" fontId="1" fillId="0" borderId="21" xfId="61" applyNumberFormat="1" applyFont="1" applyBorder="1"/>
    <xf numFmtId="10" fontId="1" fillId="0" borderId="21" xfId="67" applyNumberFormat="1" applyFont="1" applyBorder="1"/>
    <xf numFmtId="173" fontId="1" fillId="0" borderId="21" xfId="61" applyNumberFormat="1" applyFont="1" applyBorder="1"/>
    <xf numFmtId="3" fontId="1" fillId="0" borderId="21" xfId="61" applyNumberFormat="1" applyFont="1" applyBorder="1"/>
    <xf numFmtId="4" fontId="1" fillId="0" borderId="21" xfId="61" applyNumberFormat="1" applyFont="1" applyBorder="1"/>
    <xf numFmtId="181" fontId="1" fillId="0" borderId="21" xfId="61" applyNumberFormat="1" applyFont="1" applyBorder="1"/>
    <xf numFmtId="170" fontId="54" fillId="0" borderId="21" xfId="61" applyNumberFormat="1" applyFont="1" applyBorder="1"/>
    <xf numFmtId="183" fontId="1" fillId="0" borderId="21" xfId="61" applyNumberFormat="1" applyFont="1" applyBorder="1"/>
    <xf numFmtId="169" fontId="1" fillId="0" borderId="21" xfId="58" applyNumberFormat="1" applyFont="1" applyBorder="1"/>
    <xf numFmtId="3" fontId="1" fillId="0" borderId="0" xfId="61" applyNumberFormat="1" applyFont="1"/>
    <xf numFmtId="3" fontId="6" fillId="0" borderId="0" xfId="61" applyNumberFormat="1" applyFont="1"/>
    <xf numFmtId="3" fontId="1" fillId="0" borderId="12" xfId="61" applyNumberFormat="1" applyFont="1" applyBorder="1"/>
    <xf numFmtId="3" fontId="1" fillId="0" borderId="18" xfId="61" applyNumberFormat="1" applyFont="1" applyBorder="1"/>
    <xf numFmtId="3" fontId="7" fillId="0" borderId="0" xfId="61" applyNumberFormat="1" applyFont="1"/>
    <xf numFmtId="3" fontId="7" fillId="0" borderId="21" xfId="61" applyNumberFormat="1" applyFont="1" applyBorder="1"/>
    <xf numFmtId="170" fontId="1" fillId="24" borderId="0" xfId="61" applyNumberFormat="1" applyFont="1" applyFill="1" applyBorder="1"/>
    <xf numFmtId="170" fontId="1" fillId="24" borderId="21" xfId="61" applyNumberFormat="1" applyFont="1" applyFill="1" applyBorder="1"/>
    <xf numFmtId="170" fontId="7" fillId="24" borderId="0" xfId="61" applyNumberFormat="1" applyFont="1" applyFill="1"/>
    <xf numFmtId="170" fontId="7" fillId="24" borderId="21" xfId="61" applyNumberFormat="1" applyFont="1" applyFill="1" applyBorder="1"/>
    <xf numFmtId="170" fontId="59" fillId="0" borderId="0" xfId="61" applyNumberFormat="1" applyFont="1"/>
    <xf numFmtId="170" fontId="67" fillId="0" borderId="0" xfId="61" applyNumberFormat="1" applyFont="1"/>
    <xf numFmtId="170" fontId="59" fillId="0" borderId="21" xfId="61" applyNumberFormat="1" applyFont="1" applyBorder="1"/>
    <xf numFmtId="170" fontId="1" fillId="27" borderId="0" xfId="61" applyNumberFormat="1" applyFont="1" applyFill="1"/>
    <xf numFmtId="170" fontId="1" fillId="27" borderId="21" xfId="61" applyNumberFormat="1" applyFont="1" applyFill="1" applyBorder="1"/>
    <xf numFmtId="168" fontId="7" fillId="16" borderId="0" xfId="57" applyFont="1" applyFill="1" applyAlignment="1">
      <alignment horizontal="left"/>
    </xf>
    <xf numFmtId="168" fontId="9" fillId="16" borderId="0" xfId="57" applyFont="1" applyFill="1" applyAlignment="1">
      <alignment horizontal="center"/>
    </xf>
    <xf numFmtId="168" fontId="7" fillId="16" borderId="0" xfId="57" applyFont="1" applyFill="1" applyAlignment="1">
      <alignment horizontal="center"/>
    </xf>
    <xf numFmtId="0" fontId="1" fillId="15" borderId="0" xfId="55" applyFont="1" applyFill="1"/>
    <xf numFmtId="0" fontId="1" fillId="0" borderId="0" xfId="55" applyFont="1"/>
    <xf numFmtId="0" fontId="12" fillId="0" borderId="0" xfId="61" applyFont="1" applyAlignment="1">
      <alignment horizontal="center"/>
    </xf>
    <xf numFmtId="172" fontId="6" fillId="0" borderId="0" xfId="61" applyNumberFormat="1" applyFont="1" applyBorder="1"/>
    <xf numFmtId="172" fontId="68" fillId="0" borderId="0" xfId="61" applyNumberFormat="1" applyFont="1" applyBorder="1"/>
    <xf numFmtId="172" fontId="6" fillId="0" borderId="0" xfId="61" applyNumberFormat="1" applyFont="1"/>
    <xf numFmtId="172" fontId="7" fillId="0" borderId="0" xfId="61" applyNumberFormat="1" applyFont="1" applyAlignment="1">
      <alignment horizontal="center"/>
    </xf>
    <xf numFmtId="0" fontId="6" fillId="0" borderId="0" xfId="55" applyFont="1"/>
    <xf numFmtId="171" fontId="6" fillId="0" borderId="0" xfId="55" applyNumberFormat="1" applyFont="1"/>
    <xf numFmtId="171" fontId="1" fillId="0" borderId="0" xfId="55" applyNumberFormat="1" applyFont="1"/>
    <xf numFmtId="171" fontId="23" fillId="0" borderId="0" xfId="55" applyNumberFormat="1" applyFont="1"/>
    <xf numFmtId="171" fontId="69" fillId="0" borderId="0" xfId="55" applyNumberFormat="1" applyFont="1"/>
    <xf numFmtId="171" fontId="70" fillId="0" borderId="0" xfId="55" applyNumberFormat="1" applyFont="1"/>
    <xf numFmtId="171" fontId="6" fillId="0" borderId="0" xfId="55" applyNumberFormat="1" applyFont="1" applyAlignment="1">
      <alignment horizontal="center"/>
    </xf>
    <xf numFmtId="172" fontId="23" fillId="0" borderId="0" xfId="61" applyNumberFormat="1" applyFont="1" applyBorder="1"/>
    <xf numFmtId="172" fontId="6" fillId="0" borderId="11" xfId="61" applyNumberFormat="1" applyFont="1" applyBorder="1"/>
    <xf numFmtId="172" fontId="1" fillId="0" borderId="11" xfId="61" applyNumberFormat="1" applyFont="1" applyBorder="1"/>
    <xf numFmtId="1" fontId="1" fillId="15" borderId="0" xfId="55" applyNumberFormat="1" applyFont="1" applyFill="1"/>
    <xf numFmtId="176" fontId="7" fillId="0" borderId="0" xfId="61" applyNumberFormat="1" applyFont="1" applyBorder="1"/>
    <xf numFmtId="176" fontId="66" fillId="0" borderId="0" xfId="61" applyNumberFormat="1" applyFont="1" applyBorder="1"/>
    <xf numFmtId="176" fontId="6" fillId="0" borderId="0" xfId="61" applyNumberFormat="1" applyFont="1" applyBorder="1"/>
    <xf numFmtId="176" fontId="1" fillId="0" borderId="0" xfId="61" applyNumberFormat="1" applyFont="1" applyBorder="1"/>
    <xf numFmtId="171" fontId="6" fillId="0" borderId="0" xfId="61" applyNumberFormat="1" applyFont="1" applyBorder="1"/>
    <xf numFmtId="176" fontId="23" fillId="0" borderId="0" xfId="61" applyNumberFormat="1" applyFont="1" applyBorder="1"/>
    <xf numFmtId="176" fontId="1" fillId="0" borderId="0" xfId="61" applyNumberFormat="1" applyFont="1"/>
    <xf numFmtId="174" fontId="1" fillId="0" borderId="0" xfId="61" applyNumberFormat="1" applyFont="1"/>
    <xf numFmtId="174" fontId="6" fillId="0" borderId="0" xfId="61" applyNumberFormat="1" applyFont="1" applyBorder="1"/>
    <xf numFmtId="179" fontId="1" fillId="0" borderId="0" xfId="61" applyNumberFormat="1" applyFont="1"/>
    <xf numFmtId="176" fontId="6" fillId="0" borderId="0" xfId="61" applyNumberFormat="1" applyFont="1" applyBorder="1" applyAlignment="1">
      <alignment horizontal="center"/>
    </xf>
    <xf numFmtId="0" fontId="7" fillId="0" borderId="0" xfId="61" applyFont="1" applyProtection="1">
      <protection locked="0"/>
    </xf>
    <xf numFmtId="176" fontId="6" fillId="0" borderId="0" xfId="61" applyNumberFormat="1" applyFont="1"/>
    <xf numFmtId="176" fontId="7" fillId="0" borderId="0" xfId="61" applyNumberFormat="1" applyFont="1" applyAlignment="1">
      <alignment horizontal="center"/>
    </xf>
    <xf numFmtId="176" fontId="1" fillId="0" borderId="12" xfId="61" applyNumberFormat="1" applyFont="1" applyBorder="1"/>
    <xf numFmtId="176" fontId="6" fillId="0" borderId="11" xfId="61" applyNumberFormat="1" applyFont="1" applyBorder="1"/>
    <xf numFmtId="176" fontId="1" fillId="0" borderId="11" xfId="61" applyNumberFormat="1" applyFont="1" applyBorder="1"/>
    <xf numFmtId="0" fontId="7" fillId="16" borderId="0" xfId="61" applyFont="1" applyFill="1" applyBorder="1" applyProtection="1">
      <protection locked="0"/>
    </xf>
    <xf numFmtId="0" fontId="12" fillId="16" borderId="0" xfId="61" applyFont="1" applyFill="1" applyAlignment="1">
      <alignment horizontal="center"/>
    </xf>
    <xf numFmtId="176" fontId="7" fillId="16" borderId="0" xfId="61" applyNumberFormat="1" applyFont="1" applyFill="1" applyBorder="1"/>
    <xf numFmtId="176" fontId="66" fillId="16" borderId="0" xfId="61" applyNumberFormat="1" applyFont="1" applyFill="1" applyBorder="1"/>
    <xf numFmtId="176" fontId="7" fillId="16" borderId="0" xfId="61" applyNumberFormat="1" applyFont="1" applyFill="1" applyBorder="1" applyAlignment="1">
      <alignment horizontal="right"/>
    </xf>
    <xf numFmtId="176" fontId="68" fillId="16" borderId="0" xfId="61" applyNumberFormat="1" applyFont="1" applyFill="1" applyBorder="1" applyAlignment="1">
      <alignment horizontal="right"/>
    </xf>
    <xf numFmtId="0" fontId="7" fillId="15" borderId="0" xfId="55" applyFont="1" applyFill="1"/>
    <xf numFmtId="0" fontId="7" fillId="0" borderId="0" xfId="55" applyFont="1"/>
    <xf numFmtId="170" fontId="1" fillId="15" borderId="0" xfId="55" applyNumberFormat="1" applyFont="1" applyFill="1"/>
    <xf numFmtId="168" fontId="12" fillId="16" borderId="0" xfId="57" applyFont="1" applyFill="1" applyAlignment="1">
      <alignment horizontal="center"/>
    </xf>
    <xf numFmtId="168" fontId="7" fillId="0" borderId="0" xfId="57" applyFont="1" applyAlignment="1">
      <alignment horizontal="right"/>
    </xf>
    <xf numFmtId="168" fontId="7" fillId="16" borderId="0" xfId="57" applyFont="1" applyFill="1" applyAlignment="1">
      <alignment horizontal="right"/>
    </xf>
    <xf numFmtId="168" fontId="68" fillId="16" borderId="0" xfId="57" applyFont="1" applyFill="1" applyAlignment="1">
      <alignment horizontal="right"/>
    </xf>
    <xf numFmtId="176" fontId="7" fillId="0" borderId="0" xfId="61" applyNumberFormat="1" applyFont="1"/>
    <xf numFmtId="174" fontId="7" fillId="0" borderId="0" xfId="61" applyNumberFormat="1" applyFont="1" applyBorder="1"/>
    <xf numFmtId="171" fontId="66" fillId="0" borderId="0" xfId="61" applyNumberFormat="1" applyFont="1" applyBorder="1"/>
    <xf numFmtId="174" fontId="66" fillId="0" borderId="0" xfId="61" applyNumberFormat="1" applyFont="1" applyBorder="1"/>
    <xf numFmtId="179" fontId="7" fillId="0" borderId="0" xfId="61" applyNumberFormat="1" applyFont="1" applyBorder="1"/>
    <xf numFmtId="174" fontId="68" fillId="0" borderId="0" xfId="61" applyNumberFormat="1" applyFont="1" applyBorder="1"/>
    <xf numFmtId="174" fontId="66" fillId="0" borderId="0" xfId="61" applyNumberFormat="1" applyFont="1"/>
    <xf numFmtId="171" fontId="66" fillId="0" borderId="0" xfId="61" applyNumberFormat="1" applyFont="1"/>
    <xf numFmtId="2" fontId="66" fillId="0" borderId="0" xfId="61" applyNumberFormat="1" applyFont="1"/>
    <xf numFmtId="2" fontId="66" fillId="0" borderId="0" xfId="61" applyNumberFormat="1" applyFont="1" applyBorder="1"/>
    <xf numFmtId="179" fontId="7" fillId="0" borderId="0" xfId="61" applyNumberFormat="1" applyFont="1"/>
    <xf numFmtId="176" fontId="68" fillId="0" borderId="0" xfId="61" applyNumberFormat="1" applyFont="1" applyBorder="1"/>
    <xf numFmtId="9" fontId="1" fillId="15" borderId="0" xfId="55" applyNumberFormat="1" applyFont="1" applyFill="1"/>
    <xf numFmtId="172" fontId="66" fillId="0" borderId="0" xfId="61" applyNumberFormat="1" applyFont="1" applyBorder="1"/>
    <xf numFmtId="172" fontId="66" fillId="0" borderId="11" xfId="61" applyNumberFormat="1" applyFont="1" applyBorder="1"/>
    <xf numFmtId="172" fontId="7" fillId="0" borderId="11" xfId="61" applyNumberFormat="1" applyFont="1" applyBorder="1"/>
    <xf numFmtId="176" fontId="7" fillId="0" borderId="0" xfId="61" applyNumberFormat="1" applyFont="1" applyBorder="1" applyAlignment="1">
      <alignment horizontal="center"/>
    </xf>
    <xf numFmtId="176" fontId="7" fillId="0" borderId="12" xfId="61" applyNumberFormat="1" applyFont="1" applyBorder="1"/>
    <xf numFmtId="176" fontId="66" fillId="0" borderId="11" xfId="61" applyNumberFormat="1" applyFont="1" applyBorder="1"/>
    <xf numFmtId="176" fontId="7" fillId="0" borderId="11" xfId="61" applyNumberFormat="1" applyFont="1" applyBorder="1"/>
    <xf numFmtId="171" fontId="1" fillId="15" borderId="0" xfId="55" applyNumberFormat="1" applyFont="1" applyFill="1"/>
    <xf numFmtId="0" fontId="7" fillId="16" borderId="0" xfId="61" applyFont="1" applyFill="1" applyBorder="1"/>
    <xf numFmtId="0" fontId="9" fillId="16" borderId="0" xfId="61" applyFont="1" applyFill="1" applyBorder="1" applyAlignment="1">
      <alignment horizontal="center"/>
    </xf>
    <xf numFmtId="0" fontId="66" fillId="16" borderId="0" xfId="61" applyFont="1" applyFill="1" applyBorder="1"/>
    <xf numFmtId="0" fontId="13" fillId="16" borderId="0" xfId="61" applyFont="1" applyFill="1" applyBorder="1"/>
    <xf numFmtId="39" fontId="1" fillId="16" borderId="0" xfId="61" applyNumberFormat="1" applyFont="1" applyFill="1" applyBorder="1" applyAlignment="1">
      <alignment horizontal="right"/>
    </xf>
    <xf numFmtId="0" fontId="12" fillId="0" borderId="0" xfId="61" applyFont="1" applyBorder="1" applyAlignment="1">
      <alignment horizontal="center"/>
    </xf>
    <xf numFmtId="0" fontId="6" fillId="0" borderId="0" xfId="61" applyFont="1" applyBorder="1"/>
    <xf numFmtId="0" fontId="54" fillId="0" borderId="0" xfId="61" applyFont="1" applyBorder="1"/>
    <xf numFmtId="171" fontId="54" fillId="0" borderId="0" xfId="61" applyNumberFormat="1" applyFont="1" applyBorder="1"/>
    <xf numFmtId="171" fontId="23" fillId="0" borderId="0" xfId="61" applyNumberFormat="1" applyFont="1" applyBorder="1"/>
    <xf numFmtId="0" fontId="12" fillId="0" borderId="0" xfId="61" applyFont="1" applyBorder="1"/>
    <xf numFmtId="0" fontId="12" fillId="0" borderId="0" xfId="55" applyFont="1"/>
    <xf numFmtId="0" fontId="71" fillId="0" borderId="0" xfId="61" applyFont="1" applyBorder="1"/>
    <xf numFmtId="0" fontId="72" fillId="0" borderId="0" xfId="61" applyFont="1" applyBorder="1"/>
    <xf numFmtId="170" fontId="6" fillId="0" borderId="0" xfId="68" applyNumberFormat="1" applyFont="1" applyFill="1" applyBorder="1"/>
    <xf numFmtId="170" fontId="1" fillId="0" borderId="0" xfId="68" applyNumberFormat="1" applyFont="1" applyFill="1" applyBorder="1"/>
    <xf numFmtId="170" fontId="23" fillId="0" borderId="0" xfId="68" applyNumberFormat="1" applyFont="1" applyFill="1" applyBorder="1"/>
    <xf numFmtId="170" fontId="1" fillId="15" borderId="0" xfId="68" applyNumberFormat="1" applyFont="1" applyFill="1" applyBorder="1"/>
    <xf numFmtId="0" fontId="12" fillId="15" borderId="0" xfId="55" applyFont="1" applyFill="1"/>
    <xf numFmtId="170" fontId="6" fillId="0" borderId="0" xfId="61" applyNumberFormat="1" applyFont="1" applyBorder="1"/>
    <xf numFmtId="170" fontId="54" fillId="0" borderId="0" xfId="61" applyNumberFormat="1" applyFont="1" applyBorder="1"/>
    <xf numFmtId="170" fontId="23" fillId="0" borderId="0" xfId="61" applyNumberFormat="1" applyFont="1" applyBorder="1"/>
    <xf numFmtId="4" fontId="6" fillId="0" borderId="0" xfId="61" applyNumberFormat="1" applyFont="1" applyBorder="1"/>
    <xf numFmtId="9" fontId="6" fillId="0" borderId="0" xfId="67" applyFont="1" applyFill="1" applyBorder="1"/>
    <xf numFmtId="9" fontId="6" fillId="0" borderId="0" xfId="61" applyNumberFormat="1" applyFont="1" applyBorder="1"/>
    <xf numFmtId="170" fontId="72" fillId="0" borderId="0" xfId="61" applyNumberFormat="1" applyFont="1" applyBorder="1"/>
    <xf numFmtId="170" fontId="71" fillId="0" borderId="0" xfId="68" applyNumberFormat="1" applyFont="1"/>
    <xf numFmtId="170" fontId="12" fillId="0" borderId="0" xfId="68" applyNumberFormat="1" applyFont="1"/>
    <xf numFmtId="170" fontId="73" fillId="0" borderId="0" xfId="68" applyNumberFormat="1" applyFont="1"/>
    <xf numFmtId="9" fontId="6" fillId="0" borderId="0" xfId="68" applyFont="1" applyFill="1" applyBorder="1"/>
    <xf numFmtId="171" fontId="71" fillId="0" borderId="0" xfId="61" applyNumberFormat="1" applyFont="1" applyBorder="1"/>
    <xf numFmtId="171" fontId="12" fillId="0" borderId="0" xfId="61" applyNumberFormat="1" applyFont="1" applyBorder="1"/>
    <xf numFmtId="0" fontId="7" fillId="16" borderId="0" xfId="55" applyFont="1" applyFill="1"/>
    <xf numFmtId="0" fontId="66" fillId="0" borderId="0" xfId="61" applyFont="1" applyBorder="1"/>
    <xf numFmtId="0" fontId="13" fillId="0" borderId="0" xfId="61" applyFont="1" applyBorder="1"/>
    <xf numFmtId="171" fontId="54" fillId="16" borderId="0" xfId="61" applyNumberFormat="1" applyFont="1" applyFill="1" applyBorder="1" applyAlignment="1">
      <alignment horizontal="right"/>
    </xf>
    <xf numFmtId="171" fontId="23" fillId="16" borderId="0" xfId="61" applyNumberFormat="1" applyFont="1" applyFill="1" applyBorder="1" applyAlignment="1">
      <alignment horizontal="right"/>
    </xf>
    <xf numFmtId="2" fontId="6" fillId="0" borderId="0" xfId="61" applyNumberFormat="1" applyFont="1" applyBorder="1"/>
    <xf numFmtId="2" fontId="23" fillId="0" borderId="0" xfId="61" applyNumberFormat="1" applyFont="1" applyBorder="1"/>
    <xf numFmtId="170" fontId="6" fillId="0" borderId="0" xfId="68" applyNumberFormat="1" applyFont="1"/>
    <xf numFmtId="170" fontId="23" fillId="0" borderId="0" xfId="68" applyNumberFormat="1" applyFont="1"/>
    <xf numFmtId="170" fontId="6" fillId="0" borderId="0" xfId="68" applyNumberFormat="1" applyFont="1" applyFill="1"/>
    <xf numFmtId="170" fontId="1" fillId="0" borderId="0" xfId="68" applyNumberFormat="1" applyFont="1" applyFill="1"/>
    <xf numFmtId="0" fontId="9" fillId="16" borderId="0" xfId="61" applyFont="1" applyFill="1" applyBorder="1"/>
    <xf numFmtId="0" fontId="1" fillId="16" borderId="0" xfId="61" applyFont="1" applyFill="1" applyBorder="1"/>
    <xf numFmtId="0" fontId="12" fillId="16" borderId="0" xfId="61" applyFont="1" applyFill="1" applyBorder="1" applyAlignment="1">
      <alignment horizontal="center"/>
    </xf>
    <xf numFmtId="0" fontId="6" fillId="16" borderId="0" xfId="61" applyFont="1" applyFill="1" applyBorder="1"/>
    <xf numFmtId="0" fontId="1" fillId="0" borderId="0" xfId="55" applyFont="1" applyAlignment="1">
      <alignment horizontal="left"/>
    </xf>
    <xf numFmtId="0" fontId="23" fillId="0" borderId="0" xfId="61" applyFont="1" applyBorder="1"/>
    <xf numFmtId="0" fontId="12" fillId="0" borderId="0" xfId="55" applyFont="1" applyAlignment="1">
      <alignment horizontal="center"/>
    </xf>
    <xf numFmtId="9" fontId="6" fillId="0" borderId="0" xfId="68" applyFont="1"/>
    <xf numFmtId="0" fontId="1" fillId="20" borderId="0" xfId="55" applyFont="1" applyFill="1"/>
    <xf numFmtId="185" fontId="6" fillId="0" borderId="0" xfId="61" applyNumberFormat="1" applyFont="1" applyBorder="1"/>
    <xf numFmtId="185" fontId="1" fillId="0" borderId="0" xfId="61" applyNumberFormat="1" applyFont="1" applyBorder="1"/>
    <xf numFmtId="185" fontId="23" fillId="0" borderId="0" xfId="61" applyNumberFormat="1" applyFont="1" applyBorder="1"/>
    <xf numFmtId="171" fontId="6" fillId="0" borderId="0" xfId="55" applyNumberFormat="1" applyFont="1" applyAlignment="1">
      <alignment horizontal="right"/>
    </xf>
    <xf numFmtId="171" fontId="1" fillId="0" borderId="0" xfId="55" applyNumberFormat="1" applyFont="1" applyAlignment="1">
      <alignment horizontal="right"/>
    </xf>
    <xf numFmtId="170" fontId="6" fillId="0" borderId="0" xfId="68" applyNumberFormat="1" applyFont="1" applyFill="1" applyAlignment="1">
      <alignment horizontal="right"/>
    </xf>
    <xf numFmtId="170" fontId="1" fillId="0" borderId="0" xfId="68" applyNumberFormat="1" applyFont="1" applyFill="1" applyAlignment="1">
      <alignment horizontal="right"/>
    </xf>
    <xf numFmtId="170" fontId="6" fillId="15" borderId="0" xfId="68" applyNumberFormat="1" applyFont="1" applyFill="1" applyAlignment="1">
      <alignment horizontal="right"/>
    </xf>
    <xf numFmtId="170" fontId="6" fillId="0" borderId="0" xfId="68" applyNumberFormat="1" applyFont="1" applyAlignment="1">
      <alignment horizontal="right"/>
    </xf>
    <xf numFmtId="170" fontId="1" fillId="0" borderId="0" xfId="68" applyNumberFormat="1" applyFont="1" applyAlignment="1">
      <alignment horizontal="right"/>
    </xf>
    <xf numFmtId="170" fontId="1" fillId="15" borderId="0" xfId="68" applyNumberFormat="1" applyFont="1" applyFill="1" applyAlignment="1">
      <alignment horizontal="right"/>
    </xf>
    <xf numFmtId="170" fontId="6" fillId="15" borderId="0" xfId="68" applyNumberFormat="1" applyFont="1" applyFill="1" applyBorder="1"/>
    <xf numFmtId="171" fontId="6" fillId="15" borderId="0" xfId="61" applyNumberFormat="1" applyFont="1" applyFill="1" applyBorder="1"/>
    <xf numFmtId="171" fontId="6" fillId="15" borderId="0" xfId="55" applyNumberFormat="1" applyFont="1" applyFill="1"/>
    <xf numFmtId="39" fontId="1" fillId="0" borderId="0" xfId="61" applyNumberFormat="1" applyFont="1" applyBorder="1"/>
    <xf numFmtId="39" fontId="23" fillId="0" borderId="0" xfId="61" applyNumberFormat="1" applyFont="1" applyBorder="1"/>
    <xf numFmtId="170" fontId="6" fillId="15" borderId="0" xfId="68" applyNumberFormat="1" applyFont="1" applyFill="1"/>
    <xf numFmtId="170" fontId="74" fillId="0" borderId="0" xfId="68" applyNumberFormat="1" applyFont="1" applyFill="1"/>
    <xf numFmtId="179" fontId="23" fillId="0" borderId="0" xfId="61" applyNumberFormat="1" applyFont="1" applyBorder="1"/>
    <xf numFmtId="9" fontId="1" fillId="0" borderId="0" xfId="68" applyFont="1"/>
    <xf numFmtId="0" fontId="9" fillId="0" borderId="0" xfId="61" applyFont="1" applyBorder="1" applyAlignment="1">
      <alignment horizontal="center"/>
    </xf>
    <xf numFmtId="179" fontId="68" fillId="0" borderId="0" xfId="61" applyNumberFormat="1" applyFont="1" applyBorder="1"/>
    <xf numFmtId="171" fontId="66" fillId="0" borderId="0" xfId="55" applyNumberFormat="1" applyFont="1"/>
    <xf numFmtId="171" fontId="7" fillId="0" borderId="0" xfId="55" applyNumberFormat="1" applyFont="1"/>
    <xf numFmtId="171" fontId="6" fillId="0" borderId="0" xfId="68" applyNumberFormat="1" applyFont="1" applyFill="1" applyBorder="1" applyAlignment="1">
      <alignment horizontal="right"/>
    </xf>
    <xf numFmtId="171" fontId="1" fillId="0" borderId="0" xfId="68" applyNumberFormat="1" applyFont="1" applyFill="1" applyBorder="1" applyAlignment="1">
      <alignment horizontal="right"/>
    </xf>
    <xf numFmtId="171" fontId="6" fillId="0" borderId="0" xfId="68" applyNumberFormat="1" applyFont="1" applyAlignment="1">
      <alignment horizontal="right"/>
    </xf>
    <xf numFmtId="171" fontId="1" fillId="0" borderId="0" xfId="68" applyNumberFormat="1" applyFont="1" applyAlignment="1">
      <alignment horizontal="right"/>
    </xf>
    <xf numFmtId="171" fontId="22" fillId="0" borderId="0" xfId="68" applyNumberFormat="1" applyFont="1" applyAlignment="1">
      <alignment horizontal="right"/>
    </xf>
    <xf numFmtId="171" fontId="23" fillId="0" borderId="0" xfId="68" applyNumberFormat="1" applyFont="1" applyFill="1" applyAlignment="1">
      <alignment horizontal="right"/>
    </xf>
    <xf numFmtId="171" fontId="22" fillId="0" borderId="0" xfId="68" applyNumberFormat="1" applyFont="1" applyFill="1" applyAlignment="1">
      <alignment horizontal="right"/>
    </xf>
    <xf numFmtId="171" fontId="6" fillId="0" borderId="0" xfId="68" applyNumberFormat="1" applyFont="1" applyFill="1" applyAlignment="1">
      <alignment horizontal="right"/>
    </xf>
    <xf numFmtId="171" fontId="1" fillId="0" borderId="0" xfId="68" applyNumberFormat="1" applyFont="1" applyFill="1" applyAlignment="1">
      <alignment horizontal="right"/>
    </xf>
    <xf numFmtId="0" fontId="6" fillId="0" borderId="0" xfId="68" applyNumberFormat="1" applyFont="1" applyAlignment="1">
      <alignment horizontal="right"/>
    </xf>
    <xf numFmtId="170" fontId="6" fillId="0" borderId="0" xfId="67" applyNumberFormat="1" applyFont="1" applyAlignment="1">
      <alignment horizontal="right"/>
    </xf>
    <xf numFmtId="9" fontId="6" fillId="0" borderId="0" xfId="67" applyFont="1" applyAlignment="1">
      <alignment horizontal="right"/>
    </xf>
    <xf numFmtId="170" fontId="6" fillId="0" borderId="0" xfId="68" applyNumberFormat="1" applyFont="1" applyFill="1" applyBorder="1" applyAlignment="1">
      <alignment horizontal="right"/>
    </xf>
    <xf numFmtId="170" fontId="1" fillId="0" borderId="0" xfId="68" applyNumberFormat="1" applyFont="1" applyFill="1" applyBorder="1" applyAlignment="1">
      <alignment horizontal="right"/>
    </xf>
    <xf numFmtId="171" fontId="23" fillId="0" borderId="0" xfId="55" applyNumberFormat="1" applyFont="1" applyAlignment="1">
      <alignment horizontal="right"/>
    </xf>
    <xf numFmtId="0" fontId="1" fillId="15" borderId="0" xfId="55" applyFont="1" applyFill="1" applyAlignment="1">
      <alignment horizontal="center"/>
    </xf>
    <xf numFmtId="175" fontId="6" fillId="0" borderId="0" xfId="61" applyNumberFormat="1" applyFont="1" applyBorder="1"/>
    <xf numFmtId="175" fontId="23" fillId="0" borderId="0" xfId="61" applyNumberFormat="1" applyFont="1" applyBorder="1"/>
    <xf numFmtId="175" fontId="1" fillId="0" borderId="0" xfId="61" applyNumberFormat="1" applyFont="1" applyBorder="1"/>
    <xf numFmtId="189" fontId="6" fillId="0" borderId="0" xfId="39" applyNumberFormat="1" applyFont="1" applyFill="1" applyBorder="1"/>
    <xf numFmtId="175" fontId="54" fillId="0" borderId="0" xfId="61" applyNumberFormat="1" applyFont="1" applyBorder="1"/>
    <xf numFmtId="0" fontId="22" fillId="0" borderId="0" xfId="61" applyFont="1" applyBorder="1"/>
    <xf numFmtId="0" fontId="24" fillId="0" borderId="0" xfId="61" applyFont="1" applyBorder="1" applyAlignment="1">
      <alignment horizontal="center"/>
    </xf>
    <xf numFmtId="2" fontId="22" fillId="0" borderId="0" xfId="61" applyNumberFormat="1" applyFont="1" applyBorder="1"/>
    <xf numFmtId="39" fontId="22" fillId="0" borderId="0" xfId="61" applyNumberFormat="1" applyFont="1" applyBorder="1"/>
    <xf numFmtId="175" fontId="22" fillId="0" borderId="0" xfId="61" applyNumberFormat="1" applyFont="1" applyBorder="1"/>
    <xf numFmtId="189" fontId="22" fillId="0" borderId="0" xfId="39" applyNumberFormat="1" applyFont="1" applyFill="1" applyBorder="1"/>
    <xf numFmtId="191" fontId="22" fillId="0" borderId="0" xfId="61" applyNumberFormat="1" applyFont="1" applyBorder="1"/>
    <xf numFmtId="0" fontId="22" fillId="15" borderId="0" xfId="55" applyFont="1" applyFill="1"/>
    <xf numFmtId="0" fontId="22" fillId="0" borderId="0" xfId="55" applyFont="1"/>
    <xf numFmtId="0" fontId="9" fillId="16" borderId="0" xfId="55" applyFont="1" applyFill="1"/>
    <xf numFmtId="0" fontId="23" fillId="0" borderId="0" xfId="55" applyFont="1"/>
    <xf numFmtId="170" fontId="23" fillId="0" borderId="0" xfId="68" applyNumberFormat="1" applyFont="1" applyFill="1"/>
    <xf numFmtId="170" fontId="6" fillId="17" borderId="0" xfId="61" applyNumberFormat="1" applyFont="1" applyFill="1" applyBorder="1"/>
    <xf numFmtId="170" fontId="6" fillId="17" borderId="0" xfId="68" applyNumberFormat="1" applyFont="1" applyFill="1"/>
    <xf numFmtId="0" fontId="73" fillId="0" borderId="0" xfId="55" applyFont="1"/>
    <xf numFmtId="170" fontId="12" fillId="0" borderId="0" xfId="68" applyNumberFormat="1" applyFont="1" applyFill="1" applyBorder="1"/>
    <xf numFmtId="4" fontId="22" fillId="0" borderId="0" xfId="61" applyNumberFormat="1" applyFont="1" applyBorder="1"/>
    <xf numFmtId="39" fontId="22" fillId="15" borderId="0" xfId="55" applyNumberFormat="1" applyFont="1" applyFill="1"/>
    <xf numFmtId="171" fontId="22" fillId="15" borderId="0" xfId="55" applyNumberFormat="1" applyFont="1" applyFill="1"/>
    <xf numFmtId="171" fontId="1" fillId="15" borderId="0" xfId="55" applyNumberFormat="1" applyFont="1" applyFill="1" applyAlignment="1">
      <alignment horizontal="center"/>
    </xf>
    <xf numFmtId="171" fontId="22" fillId="15" borderId="0" xfId="55" applyNumberFormat="1" applyFont="1" applyFill="1" applyAlignment="1">
      <alignment horizontal="center"/>
    </xf>
    <xf numFmtId="0" fontId="24" fillId="0" borderId="0" xfId="55" applyFont="1" applyAlignment="1">
      <alignment horizontal="center"/>
    </xf>
    <xf numFmtId="170" fontId="22" fillId="0" borderId="0" xfId="68" applyNumberFormat="1" applyFont="1"/>
    <xf numFmtId="171" fontId="22" fillId="0" borderId="0" xfId="61" applyNumberFormat="1" applyFont="1" applyBorder="1"/>
    <xf numFmtId="171" fontId="55" fillId="0" borderId="0" xfId="61" applyNumberFormat="1" applyFont="1" applyBorder="1"/>
    <xf numFmtId="170" fontId="22" fillId="15" borderId="0" xfId="55" applyNumberFormat="1" applyFont="1" applyFill="1" applyAlignment="1">
      <alignment horizontal="center"/>
    </xf>
    <xf numFmtId="170" fontId="7" fillId="0" borderId="0" xfId="68" applyNumberFormat="1" applyFont="1"/>
    <xf numFmtId="9" fontId="22" fillId="0" borderId="0" xfId="68" applyFont="1"/>
    <xf numFmtId="9" fontId="55" fillId="0" borderId="0" xfId="68" applyFont="1"/>
    <xf numFmtId="170" fontId="1" fillId="15" borderId="0" xfId="55" applyNumberFormat="1" applyFont="1" applyFill="1" applyAlignment="1">
      <alignment horizontal="center"/>
    </xf>
    <xf numFmtId="1" fontId="22" fillId="0" borderId="0" xfId="55" applyNumberFormat="1" applyFont="1"/>
    <xf numFmtId="171" fontId="55" fillId="0" borderId="0" xfId="55" applyNumberFormat="1" applyFont="1"/>
    <xf numFmtId="1" fontId="22" fillId="0" borderId="0" xfId="61" applyNumberFormat="1" applyFont="1" applyBorder="1"/>
    <xf numFmtId="170" fontId="55" fillId="0" borderId="0" xfId="68" applyNumberFormat="1" applyFont="1"/>
    <xf numFmtId="1" fontId="23" fillId="0" borderId="0" xfId="55" applyNumberFormat="1" applyFont="1"/>
    <xf numFmtId="1" fontId="68" fillId="0" borderId="0" xfId="55" applyNumberFormat="1" applyFont="1"/>
    <xf numFmtId="0" fontId="23" fillId="15" borderId="0" xfId="55" applyFont="1" applyFill="1"/>
    <xf numFmtId="171" fontId="23" fillId="15" borderId="0" xfId="55" applyNumberFormat="1" applyFont="1" applyFill="1"/>
    <xf numFmtId="9" fontId="22" fillId="15" borderId="0" xfId="67" applyFont="1" applyFill="1" applyBorder="1" applyAlignment="1">
      <alignment horizontal="center"/>
    </xf>
    <xf numFmtId="1" fontId="55" fillId="0" borderId="0" xfId="61" applyNumberFormat="1" applyFont="1" applyBorder="1"/>
    <xf numFmtId="9" fontId="22" fillId="15" borderId="0" xfId="67" applyFont="1" applyFill="1" applyBorder="1"/>
    <xf numFmtId="0" fontId="22" fillId="0" borderId="0" xfId="55" quotePrefix="1" applyFont="1" applyProtection="1">
      <protection locked="0"/>
    </xf>
    <xf numFmtId="0" fontId="55" fillId="0" borderId="0" xfId="55" applyFont="1"/>
    <xf numFmtId="9" fontId="22" fillId="0" borderId="0" xfId="68" quotePrefix="1" applyFont="1" applyAlignment="1" applyProtection="1">
      <protection locked="0"/>
    </xf>
    <xf numFmtId="9" fontId="22" fillId="0" borderId="0" xfId="67" applyFont="1"/>
    <xf numFmtId="4" fontId="1" fillId="0" borderId="0" xfId="67" applyNumberFormat="1" applyFont="1"/>
    <xf numFmtId="4" fontId="22" fillId="0" borderId="0" xfId="68" applyNumberFormat="1" applyFont="1"/>
    <xf numFmtId="9" fontId="22" fillId="0" borderId="0" xfId="68" applyFont="1" applyAlignment="1">
      <alignment horizontal="right"/>
    </xf>
    <xf numFmtId="3" fontId="22" fillId="0" borderId="0" xfId="61" applyNumberFormat="1" applyFont="1" applyBorder="1"/>
    <xf numFmtId="9" fontId="22" fillId="0" borderId="0" xfId="68" applyFont="1" applyFill="1" applyAlignment="1">
      <alignment horizontal="right"/>
    </xf>
    <xf numFmtId="9" fontId="22" fillId="15" borderId="0" xfId="68" applyFont="1" applyFill="1" applyAlignment="1">
      <alignment horizontal="right"/>
    </xf>
    <xf numFmtId="175" fontId="22" fillId="0" borderId="0" xfId="55" applyNumberFormat="1" applyFont="1"/>
    <xf numFmtId="9" fontId="22" fillId="15" borderId="0" xfId="68" applyFont="1" applyFill="1" applyBorder="1"/>
    <xf numFmtId="9" fontId="1" fillId="15" borderId="0" xfId="68" applyFont="1" applyFill="1" applyBorder="1"/>
    <xf numFmtId="175" fontId="22" fillId="0" borderId="0" xfId="55" applyNumberFormat="1" applyFont="1" applyProtection="1">
      <protection locked="0"/>
    </xf>
    <xf numFmtId="0" fontId="7" fillId="15" borderId="0" xfId="55" applyFont="1" applyFill="1" applyAlignment="1">
      <alignment horizontal="right"/>
    </xf>
    <xf numFmtId="9" fontId="49" fillId="15" borderId="0" xfId="55" applyNumberFormat="1" applyFont="1" applyFill="1" applyAlignment="1">
      <alignment horizontal="right"/>
    </xf>
    <xf numFmtId="1" fontId="12" fillId="15" borderId="0" xfId="55" applyNumberFormat="1" applyFont="1" applyFill="1"/>
    <xf numFmtId="0" fontId="55" fillId="15" borderId="0" xfId="55" applyFont="1" applyFill="1" applyAlignment="1">
      <alignment horizontal="right"/>
    </xf>
    <xf numFmtId="1" fontId="55" fillId="15" borderId="0" xfId="55" applyNumberFormat="1" applyFont="1" applyFill="1" applyAlignment="1">
      <alignment horizontal="right"/>
    </xf>
    <xf numFmtId="0" fontId="22" fillId="15" borderId="0" xfId="55" applyFont="1" applyFill="1" applyAlignment="1">
      <alignment horizontal="right"/>
    </xf>
    <xf numFmtId="171" fontId="7" fillId="15" borderId="0" xfId="55" applyNumberFormat="1" applyFont="1" applyFill="1" applyAlignment="1">
      <alignment horizontal="right"/>
    </xf>
    <xf numFmtId="0" fontId="1" fillId="15" borderId="0" xfId="55" applyFont="1" applyFill="1" applyAlignment="1">
      <alignment horizontal="right"/>
    </xf>
    <xf numFmtId="0" fontId="7" fillId="20" borderId="0" xfId="55" applyFont="1" applyFill="1"/>
    <xf numFmtId="9" fontId="1" fillId="0" borderId="0" xfId="67" applyFont="1"/>
    <xf numFmtId="9" fontId="12" fillId="0" borderId="0" xfId="67" applyFont="1" applyFill="1" applyBorder="1" applyAlignment="1">
      <alignment horizontal="center"/>
    </xf>
    <xf numFmtId="9" fontId="54" fillId="0" borderId="0" xfId="67" applyFont="1" applyFill="1" applyBorder="1"/>
    <xf numFmtId="9" fontId="23" fillId="0" borderId="0" xfId="67" applyFont="1" applyFill="1" applyBorder="1"/>
    <xf numFmtId="9" fontId="1" fillId="15" borderId="0" xfId="67" applyFont="1" applyFill="1" applyBorder="1" applyAlignment="1">
      <alignment horizontal="right"/>
    </xf>
    <xf numFmtId="9" fontId="7" fillId="15" borderId="0" xfId="67" applyFont="1" applyFill="1" applyBorder="1" applyAlignment="1">
      <alignment horizontal="right"/>
    </xf>
    <xf numFmtId="1" fontId="1" fillId="15" borderId="0" xfId="55" applyNumberFormat="1" applyFont="1" applyFill="1" applyAlignment="1">
      <alignment horizontal="right"/>
    </xf>
    <xf numFmtId="4" fontId="1" fillId="15" borderId="0" xfId="67" applyNumberFormat="1" applyFont="1" applyFill="1" applyBorder="1" applyAlignment="1">
      <alignment horizontal="right"/>
    </xf>
    <xf numFmtId="1" fontId="7" fillId="15" borderId="0" xfId="55" applyNumberFormat="1" applyFont="1" applyFill="1" applyAlignment="1">
      <alignment horizontal="right"/>
    </xf>
    <xf numFmtId="2" fontId="54" fillId="0" borderId="0" xfId="61" applyNumberFormat="1" applyFont="1" applyBorder="1"/>
    <xf numFmtId="1" fontId="22" fillId="15" borderId="0" xfId="55" applyNumberFormat="1" applyFont="1" applyFill="1" applyAlignment="1">
      <alignment horizontal="right"/>
    </xf>
    <xf numFmtId="9" fontId="48" fillId="15" borderId="0" xfId="55" applyNumberFormat="1" applyFont="1" applyFill="1" applyAlignment="1">
      <alignment horizontal="right"/>
    </xf>
    <xf numFmtId="170" fontId="54" fillId="0" borderId="0" xfId="68" applyNumberFormat="1" applyFont="1" applyFill="1" applyBorder="1"/>
    <xf numFmtId="4" fontId="54" fillId="0" borderId="0" xfId="61" applyNumberFormat="1" applyFont="1" applyBorder="1"/>
    <xf numFmtId="3" fontId="48" fillId="15" borderId="0" xfId="55" applyNumberFormat="1" applyFont="1" applyFill="1" applyAlignment="1">
      <alignment horizontal="right"/>
    </xf>
    <xf numFmtId="3" fontId="7" fillId="15" borderId="0" xfId="55" applyNumberFormat="1" applyFont="1" applyFill="1" applyAlignment="1">
      <alignment horizontal="right"/>
    </xf>
    <xf numFmtId="3" fontId="1" fillId="15" borderId="0" xfId="55" applyNumberFormat="1" applyFont="1" applyFill="1" applyAlignment="1">
      <alignment horizontal="right"/>
    </xf>
    <xf numFmtId="4" fontId="1" fillId="15" borderId="0" xfId="55" applyNumberFormat="1" applyFont="1" applyFill="1"/>
    <xf numFmtId="3" fontId="1" fillId="15" borderId="0" xfId="55" applyNumberFormat="1" applyFont="1" applyFill="1"/>
    <xf numFmtId="9" fontId="7" fillId="15" borderId="0" xfId="55" applyNumberFormat="1" applyFont="1" applyFill="1" applyAlignment="1">
      <alignment horizontal="right"/>
    </xf>
    <xf numFmtId="171" fontId="22" fillId="15" borderId="0" xfId="55" applyNumberFormat="1" applyFont="1" applyFill="1" applyAlignment="1">
      <alignment horizontal="right"/>
    </xf>
    <xf numFmtId="171" fontId="48" fillId="15" borderId="0" xfId="55" applyNumberFormat="1" applyFont="1" applyFill="1" applyAlignment="1">
      <alignment horizontal="right"/>
    </xf>
    <xf numFmtId="39" fontId="22" fillId="15" borderId="0" xfId="55" applyNumberFormat="1" applyFont="1" applyFill="1" applyAlignment="1">
      <alignment horizontal="right"/>
    </xf>
    <xf numFmtId="39" fontId="55" fillId="15" borderId="0" xfId="55" applyNumberFormat="1" applyFont="1" applyFill="1" applyAlignment="1">
      <alignment horizontal="right"/>
    </xf>
    <xf numFmtId="0" fontId="8" fillId="15" borderId="0" xfId="55" applyFont="1" applyFill="1" applyAlignment="1">
      <alignment horizontal="right"/>
    </xf>
    <xf numFmtId="171" fontId="55" fillId="15" borderId="0" xfId="55" applyNumberFormat="1" applyFont="1" applyFill="1" applyAlignment="1">
      <alignment horizontal="right"/>
    </xf>
    <xf numFmtId="3" fontId="22" fillId="15" borderId="0" xfId="55" applyNumberFormat="1" applyFont="1" applyFill="1"/>
    <xf numFmtId="171" fontId="1" fillId="15" borderId="0" xfId="55" applyNumberFormat="1" applyFont="1" applyFill="1" applyAlignment="1">
      <alignment horizontal="right"/>
    </xf>
    <xf numFmtId="4" fontId="22" fillId="15" borderId="0" xfId="68" applyNumberFormat="1" applyFont="1" applyFill="1" applyBorder="1" applyAlignment="1">
      <alignment horizontal="right"/>
    </xf>
    <xf numFmtId="1" fontId="6" fillId="0" borderId="0" xfId="61" applyNumberFormat="1" applyFont="1" applyBorder="1"/>
    <xf numFmtId="0" fontId="1" fillId="16" borderId="0" xfId="55" applyFont="1" applyFill="1"/>
    <xf numFmtId="0" fontId="12" fillId="16" borderId="0" xfId="55" applyFont="1" applyFill="1" applyAlignment="1">
      <alignment horizontal="center"/>
    </xf>
    <xf numFmtId="3" fontId="1" fillId="15" borderId="0" xfId="68" applyNumberFormat="1" applyFont="1" applyFill="1" applyBorder="1"/>
    <xf numFmtId="3" fontId="7" fillId="15" borderId="0" xfId="68" applyNumberFormat="1" applyFont="1" applyFill="1" applyBorder="1"/>
    <xf numFmtId="4" fontId="1" fillId="15" borderId="0" xfId="68" applyNumberFormat="1" applyFont="1" applyFill="1" applyBorder="1"/>
    <xf numFmtId="3" fontId="7" fillId="15" borderId="0" xfId="55" applyNumberFormat="1" applyFont="1" applyFill="1"/>
    <xf numFmtId="0" fontId="1" fillId="20" borderId="0" xfId="61" applyFont="1" applyFill="1" applyBorder="1"/>
    <xf numFmtId="170" fontId="7" fillId="15" borderId="0" xfId="68" applyNumberFormat="1" applyFont="1" applyFill="1" applyBorder="1"/>
    <xf numFmtId="171" fontId="6" fillId="0" borderId="28" xfId="61" applyNumberFormat="1" applyFont="1" applyBorder="1"/>
    <xf numFmtId="0" fontId="1" fillId="17" borderId="0" xfId="61" applyFont="1" applyFill="1" applyBorder="1"/>
    <xf numFmtId="171" fontId="6" fillId="0" borderId="0" xfId="68" applyNumberFormat="1" applyFont="1" applyFill="1" applyBorder="1"/>
    <xf numFmtId="171" fontId="1" fillId="0" borderId="0" xfId="68" applyNumberFormat="1" applyFont="1" applyFill="1" applyBorder="1"/>
    <xf numFmtId="39" fontId="23" fillId="16" borderId="0" xfId="61" applyNumberFormat="1" applyFont="1" applyFill="1" applyBorder="1" applyAlignment="1">
      <alignment horizontal="right"/>
    </xf>
    <xf numFmtId="0" fontId="42" fillId="0" borderId="0" xfId="61" applyFont="1" applyBorder="1"/>
    <xf numFmtId="39" fontId="1" fillId="0" borderId="0" xfId="61" applyNumberFormat="1" applyFont="1" applyBorder="1" applyAlignment="1">
      <alignment horizontal="right"/>
    </xf>
    <xf numFmtId="9" fontId="76" fillId="0" borderId="0" xfId="67" applyFont="1" applyFill="1" applyBorder="1" applyAlignment="1">
      <alignment horizontal="right"/>
    </xf>
    <xf numFmtId="4" fontId="1" fillId="0" borderId="0" xfId="55" applyNumberFormat="1" applyFont="1"/>
    <xf numFmtId="4" fontId="23" fillId="0" borderId="0" xfId="61" applyNumberFormat="1" applyFont="1" applyBorder="1"/>
    <xf numFmtId="9" fontId="76" fillId="0" borderId="0" xfId="67" applyFont="1" applyFill="1" applyBorder="1"/>
    <xf numFmtId="169" fontId="6" fillId="0" borderId="0" xfId="61" applyNumberFormat="1" applyFont="1" applyBorder="1"/>
    <xf numFmtId="174" fontId="1" fillId="0" borderId="0" xfId="61" applyNumberFormat="1" applyFont="1" applyBorder="1"/>
    <xf numFmtId="183" fontId="22" fillId="0" borderId="0" xfId="61" applyNumberFormat="1" applyFont="1" applyBorder="1"/>
    <xf numFmtId="0" fontId="8" fillId="0" borderId="0" xfId="55" applyFont="1"/>
    <xf numFmtId="0" fontId="8" fillId="17" borderId="0" xfId="61" applyFont="1" applyFill="1" applyBorder="1"/>
    <xf numFmtId="170" fontId="22" fillId="0" borderId="0" xfId="67" applyNumberFormat="1" applyFont="1" applyFill="1" applyBorder="1"/>
    <xf numFmtId="0" fontId="9" fillId="16" borderId="0" xfId="61" applyFont="1" applyFill="1" applyAlignment="1">
      <alignment horizontal="center"/>
    </xf>
    <xf numFmtId="0" fontId="13" fillId="0" borderId="0" xfId="61" applyFont="1" applyBorder="1" applyAlignment="1">
      <alignment horizontal="right"/>
    </xf>
    <xf numFmtId="171" fontId="66" fillId="16" borderId="0" xfId="61" applyNumberFormat="1" applyFont="1" applyFill="1" applyBorder="1" applyAlignment="1">
      <alignment horizontal="right"/>
    </xf>
    <xf numFmtId="171" fontId="7" fillId="16" borderId="0" xfId="61" applyNumberFormat="1" applyFont="1" applyFill="1" applyBorder="1" applyAlignment="1">
      <alignment horizontal="right"/>
    </xf>
    <xf numFmtId="171" fontId="68" fillId="16" borderId="0" xfId="61" applyNumberFormat="1" applyFont="1" applyFill="1" applyBorder="1" applyAlignment="1">
      <alignment horizontal="right"/>
    </xf>
    <xf numFmtId="0" fontId="22" fillId="0" borderId="0" xfId="0" applyFont="1" applyAlignment="1">
      <alignment horizontal="right"/>
    </xf>
    <xf numFmtId="3" fontId="22" fillId="0" borderId="0" xfId="0" applyNumberFormat="1" applyFont="1" applyAlignment="1">
      <alignment horizontal="right"/>
    </xf>
    <xf numFmtId="4" fontId="1" fillId="0" borderId="0" xfId="0" applyNumberFormat="1" applyFont="1" applyAlignment="1">
      <alignment horizontal="right"/>
    </xf>
    <xf numFmtId="3" fontId="1" fillId="0" borderId="0" xfId="0" applyNumberFormat="1" applyFont="1" applyAlignment="1">
      <alignment horizontal="right"/>
    </xf>
    <xf numFmtId="0" fontId="1" fillId="0" borderId="11" xfId="0" applyFont="1" applyBorder="1"/>
    <xf numFmtId="0" fontId="12" fillId="0" borderId="11" xfId="0" applyFont="1" applyBorder="1" applyAlignment="1">
      <alignment horizontal="center"/>
    </xf>
    <xf numFmtId="0" fontId="1" fillId="0" borderId="11" xfId="0" applyFont="1" applyBorder="1" applyAlignment="1">
      <alignment horizontal="right"/>
    </xf>
    <xf numFmtId="3" fontId="1" fillId="0" borderId="11" xfId="0" applyNumberFormat="1" applyFont="1" applyBorder="1" applyAlignment="1">
      <alignment horizontal="right"/>
    </xf>
    <xf numFmtId="4" fontId="1" fillId="0" borderId="11" xfId="0" applyNumberFormat="1" applyFont="1" applyBorder="1" applyAlignment="1">
      <alignment horizontal="right"/>
    </xf>
    <xf numFmtId="1" fontId="1" fillId="0" borderId="11" xfId="0" applyNumberFormat="1" applyFont="1" applyBorder="1" applyAlignment="1">
      <alignment horizontal="right"/>
    </xf>
    <xf numFmtId="2" fontId="1" fillId="0" borderId="11" xfId="0" applyNumberFormat="1" applyFont="1" applyBorder="1" applyAlignment="1">
      <alignment horizontal="right"/>
    </xf>
    <xf numFmtId="1" fontId="1" fillId="0" borderId="0" xfId="0" applyNumberFormat="1" applyFont="1" applyAlignment="1">
      <alignment horizontal="right"/>
    </xf>
    <xf numFmtId="0" fontId="9" fillId="0" borderId="0" xfId="0" applyFont="1" applyAlignment="1">
      <alignment horizontal="center"/>
    </xf>
    <xf numFmtId="169" fontId="1" fillId="0" borderId="0" xfId="0" applyNumberFormat="1" applyFont="1" applyAlignment="1">
      <alignment horizontal="right"/>
    </xf>
    <xf numFmtId="9" fontId="1" fillId="0" borderId="0" xfId="67" applyFont="1" applyFill="1" applyBorder="1" applyAlignment="1">
      <alignment horizontal="right"/>
    </xf>
    <xf numFmtId="9" fontId="22" fillId="0" borderId="0" xfId="0" applyNumberFormat="1" applyFont="1" applyAlignment="1">
      <alignment horizontal="right"/>
    </xf>
    <xf numFmtId="0" fontId="8" fillId="0" borderId="42" xfId="61" applyFont="1" applyBorder="1"/>
    <xf numFmtId="171" fontId="66" fillId="0" borderId="0" xfId="61" applyNumberFormat="1" applyFont="1" applyAlignment="1">
      <alignment horizontal="right"/>
    </xf>
    <xf numFmtId="171" fontId="7" fillId="0" borderId="0" xfId="61" applyNumberFormat="1" applyFont="1" applyAlignment="1">
      <alignment horizontal="right"/>
    </xf>
    <xf numFmtId="171" fontId="68" fillId="0" borderId="0" xfId="61" applyNumberFormat="1" applyFont="1" applyAlignment="1">
      <alignment horizontal="right"/>
    </xf>
    <xf numFmtId="171" fontId="6" fillId="0" borderId="0" xfId="61" applyNumberFormat="1" applyFont="1" applyAlignment="1">
      <alignment horizontal="right"/>
    </xf>
    <xf numFmtId="171" fontId="1" fillId="0" borderId="0" xfId="61" applyNumberFormat="1" applyFont="1" applyAlignment="1">
      <alignment horizontal="right"/>
    </xf>
    <xf numFmtId="171" fontId="1" fillId="0" borderId="0" xfId="61" applyNumberFormat="1" applyFont="1" applyBorder="1" applyAlignment="1">
      <alignment horizontal="right"/>
    </xf>
    <xf numFmtId="171" fontId="6" fillId="0" borderId="0" xfId="61" applyNumberFormat="1" applyFont="1" applyBorder="1" applyAlignment="1">
      <alignment horizontal="right"/>
    </xf>
    <xf numFmtId="3" fontId="6" fillId="0" borderId="0" xfId="61" applyNumberFormat="1" applyFont="1" applyAlignment="1">
      <alignment horizontal="right"/>
    </xf>
    <xf numFmtId="0" fontId="55" fillId="0" borderId="0" xfId="61" applyFont="1" applyBorder="1"/>
    <xf numFmtId="0" fontId="55" fillId="0" borderId="0" xfId="61" applyFont="1" applyBorder="1" applyAlignment="1">
      <alignment horizontal="right"/>
    </xf>
    <xf numFmtId="171" fontId="55" fillId="0" borderId="0" xfId="61" applyNumberFormat="1" applyFont="1" applyAlignment="1">
      <alignment horizontal="right"/>
    </xf>
    <xf numFmtId="170" fontId="66" fillId="0" borderId="0" xfId="68" applyNumberFormat="1" applyFont="1" applyFill="1" applyBorder="1" applyAlignment="1">
      <alignment horizontal="right"/>
    </xf>
    <xf numFmtId="170" fontId="66" fillId="0" borderId="0" xfId="68" applyNumberFormat="1" applyFont="1" applyFill="1" applyAlignment="1">
      <alignment horizontal="right"/>
    </xf>
    <xf numFmtId="4" fontId="22" fillId="0" borderId="0" xfId="68" applyNumberFormat="1" applyFont="1" applyFill="1" applyAlignment="1">
      <alignment horizontal="right"/>
    </xf>
    <xf numFmtId="4" fontId="22" fillId="0" borderId="0" xfId="68" applyNumberFormat="1" applyFont="1" applyFill="1" applyBorder="1" applyAlignment="1">
      <alignment horizontal="right"/>
    </xf>
    <xf numFmtId="4" fontId="1" fillId="0" borderId="0" xfId="68" applyNumberFormat="1" applyFont="1" applyFill="1" applyBorder="1" applyAlignment="1">
      <alignment horizontal="right"/>
    </xf>
    <xf numFmtId="172" fontId="7" fillId="0" borderId="0" xfId="61" applyNumberFormat="1" applyFont="1" applyAlignment="1">
      <alignment horizontal="right"/>
    </xf>
    <xf numFmtId="172" fontId="6" fillId="0" borderId="0" xfId="61" applyNumberFormat="1" applyFont="1" applyAlignment="1">
      <alignment horizontal="right"/>
    </xf>
    <xf numFmtId="171" fontId="69" fillId="0" borderId="0" xfId="55" applyNumberFormat="1" applyFont="1" applyAlignment="1">
      <alignment horizontal="right"/>
    </xf>
    <xf numFmtId="171" fontId="7" fillId="0" borderId="0" xfId="55" applyNumberFormat="1" applyFont="1" applyAlignment="1">
      <alignment horizontal="right"/>
    </xf>
    <xf numFmtId="172" fontId="1" fillId="0" borderId="11" xfId="61" applyNumberFormat="1" applyFont="1" applyBorder="1" applyAlignment="1">
      <alignment horizontal="right"/>
    </xf>
    <xf numFmtId="172" fontId="6" fillId="0" borderId="11" xfId="61" applyNumberFormat="1" applyFont="1" applyBorder="1" applyAlignment="1">
      <alignment horizontal="right"/>
    </xf>
    <xf numFmtId="176" fontId="6" fillId="0" borderId="0" xfId="61" applyNumberFormat="1" applyFont="1" applyBorder="1" applyAlignment="1">
      <alignment horizontal="right"/>
    </xf>
    <xf numFmtId="176" fontId="1" fillId="0" borderId="0" xfId="61" applyNumberFormat="1" applyFont="1" applyAlignment="1">
      <alignment horizontal="right"/>
    </xf>
    <xf numFmtId="176" fontId="6" fillId="0" borderId="0" xfId="61" applyNumberFormat="1" applyFont="1" applyAlignment="1">
      <alignment horizontal="right"/>
    </xf>
    <xf numFmtId="176" fontId="7" fillId="0" borderId="0" xfId="61" applyNumberFormat="1" applyFont="1" applyAlignment="1">
      <alignment horizontal="right"/>
    </xf>
    <xf numFmtId="176" fontId="1" fillId="0" borderId="11" xfId="61" applyNumberFormat="1" applyFont="1" applyBorder="1" applyAlignment="1">
      <alignment horizontal="right"/>
    </xf>
    <xf numFmtId="176" fontId="6" fillId="0" borderId="11" xfId="61" applyNumberFormat="1" applyFont="1" applyBorder="1" applyAlignment="1">
      <alignment horizontal="right"/>
    </xf>
    <xf numFmtId="172" fontId="6" fillId="0" borderId="0" xfId="61" applyNumberFormat="1" applyFont="1" applyBorder="1" applyAlignment="1">
      <alignment horizontal="right"/>
    </xf>
    <xf numFmtId="172" fontId="1" fillId="0" borderId="0" xfId="61" applyNumberFormat="1" applyFont="1" applyAlignment="1">
      <alignment horizontal="right"/>
    </xf>
    <xf numFmtId="172" fontId="7" fillId="0" borderId="11" xfId="61" applyNumberFormat="1" applyFont="1" applyBorder="1" applyAlignment="1">
      <alignment horizontal="right"/>
    </xf>
    <xf numFmtId="171" fontId="66" fillId="0" borderId="0" xfId="61" applyNumberFormat="1" applyFont="1" applyBorder="1" applyAlignment="1">
      <alignment horizontal="right"/>
    </xf>
    <xf numFmtId="176" fontId="7" fillId="0" borderId="11" xfId="61" applyNumberFormat="1" applyFont="1" applyBorder="1" applyAlignment="1">
      <alignment horizontal="right"/>
    </xf>
    <xf numFmtId="176" fontId="1" fillId="0" borderId="0" xfId="61" applyNumberFormat="1" applyFont="1" applyBorder="1" applyAlignment="1">
      <alignment horizontal="right"/>
    </xf>
    <xf numFmtId="172" fontId="66" fillId="0" borderId="11" xfId="61" applyNumberFormat="1" applyFont="1" applyBorder="1" applyAlignment="1">
      <alignment horizontal="right"/>
    </xf>
    <xf numFmtId="176" fontId="7" fillId="0" borderId="0" xfId="61" applyNumberFormat="1" applyFont="1" applyBorder="1" applyAlignment="1">
      <alignment horizontal="right"/>
    </xf>
    <xf numFmtId="176" fontId="66" fillId="0" borderId="11" xfId="61" applyNumberFormat="1" applyFont="1" applyBorder="1" applyAlignment="1">
      <alignment horizontal="right"/>
    </xf>
    <xf numFmtId="39" fontId="7" fillId="16" borderId="0" xfId="61" applyNumberFormat="1" applyFont="1" applyFill="1" applyBorder="1" applyAlignment="1">
      <alignment horizontal="right"/>
    </xf>
    <xf numFmtId="171" fontId="54" fillId="0" borderId="0" xfId="61" applyNumberFormat="1" applyFont="1" applyBorder="1" applyAlignment="1">
      <alignment horizontal="right"/>
    </xf>
    <xf numFmtId="171" fontId="13" fillId="0" borderId="0" xfId="61" applyNumberFormat="1" applyFont="1" applyBorder="1" applyAlignment="1">
      <alignment horizontal="right"/>
    </xf>
    <xf numFmtId="170" fontId="7" fillId="0" borderId="0" xfId="68" applyNumberFormat="1" applyFont="1" applyFill="1" applyBorder="1" applyAlignment="1">
      <alignment horizontal="right"/>
    </xf>
    <xf numFmtId="4" fontId="6" fillId="0" borderId="0" xfId="61" applyNumberFormat="1" applyFont="1" applyBorder="1" applyAlignment="1">
      <alignment horizontal="right"/>
    </xf>
    <xf numFmtId="9" fontId="6" fillId="0" borderId="0" xfId="67" applyFont="1" applyFill="1" applyBorder="1" applyAlignment="1">
      <alignment horizontal="right"/>
    </xf>
    <xf numFmtId="170" fontId="6" fillId="0" borderId="0" xfId="61" applyNumberFormat="1" applyFont="1" applyBorder="1" applyAlignment="1">
      <alignment horizontal="right"/>
    </xf>
    <xf numFmtId="170" fontId="13" fillId="0" borderId="0" xfId="61" applyNumberFormat="1" applyFont="1" applyBorder="1" applyAlignment="1">
      <alignment horizontal="right"/>
    </xf>
    <xf numFmtId="170" fontId="54" fillId="0" borderId="0" xfId="61" applyNumberFormat="1" applyFont="1" applyBorder="1" applyAlignment="1">
      <alignment horizontal="right"/>
    </xf>
    <xf numFmtId="9" fontId="6" fillId="0" borderId="0" xfId="61" applyNumberFormat="1" applyFont="1" applyBorder="1" applyAlignment="1">
      <alignment horizontal="right"/>
    </xf>
    <xf numFmtId="4" fontId="1" fillId="0" borderId="0" xfId="61" applyNumberFormat="1" applyFont="1" applyBorder="1" applyAlignment="1">
      <alignment horizontal="right"/>
    </xf>
    <xf numFmtId="170" fontId="6" fillId="0" borderId="0" xfId="67" applyNumberFormat="1" applyFont="1" applyFill="1" applyBorder="1" applyAlignment="1">
      <alignment horizontal="right"/>
    </xf>
    <xf numFmtId="170" fontId="7" fillId="0" borderId="0" xfId="67" applyNumberFormat="1" applyFont="1" applyFill="1" applyBorder="1" applyAlignment="1">
      <alignment horizontal="right"/>
    </xf>
    <xf numFmtId="4" fontId="54" fillId="0" borderId="0" xfId="61" applyNumberFormat="1" applyFont="1" applyBorder="1" applyAlignment="1">
      <alignment horizontal="right"/>
    </xf>
    <xf numFmtId="4" fontId="13" fillId="0" borderId="0" xfId="61" applyNumberFormat="1" applyFont="1" applyBorder="1" applyAlignment="1">
      <alignment horizontal="right"/>
    </xf>
    <xf numFmtId="0" fontId="6" fillId="0" borderId="0" xfId="61" applyFont="1" applyBorder="1" applyAlignment="1">
      <alignment horizontal="right"/>
    </xf>
    <xf numFmtId="171" fontId="7" fillId="0" borderId="0" xfId="61" applyNumberFormat="1" applyFont="1" applyBorder="1" applyAlignment="1">
      <alignment horizontal="right"/>
    </xf>
    <xf numFmtId="170" fontId="12" fillId="0" borderId="0" xfId="68" applyNumberFormat="1" applyFont="1" applyAlignment="1">
      <alignment horizontal="right"/>
    </xf>
    <xf numFmtId="170" fontId="71" fillId="0" borderId="0" xfId="68" applyNumberFormat="1" applyFont="1" applyAlignment="1">
      <alignment horizontal="right"/>
    </xf>
    <xf numFmtId="170" fontId="9" fillId="0" borderId="0" xfId="68" applyNumberFormat="1" applyFont="1" applyAlignment="1">
      <alignment horizontal="right"/>
    </xf>
    <xf numFmtId="171" fontId="13" fillId="16" borderId="0" xfId="61" applyNumberFormat="1" applyFont="1" applyFill="1" applyBorder="1" applyAlignment="1">
      <alignment horizontal="right"/>
    </xf>
    <xf numFmtId="170" fontId="1" fillId="23" borderId="0" xfId="68" applyNumberFormat="1" applyFont="1" applyFill="1" applyAlignment="1">
      <alignment horizontal="right"/>
    </xf>
    <xf numFmtId="170" fontId="7" fillId="23" borderId="0" xfId="68" applyNumberFormat="1" applyFont="1" applyFill="1" applyAlignment="1">
      <alignment horizontal="right"/>
    </xf>
    <xf numFmtId="170" fontId="66" fillId="23" borderId="0" xfId="68" applyNumberFormat="1" applyFont="1" applyFill="1" applyAlignment="1">
      <alignment horizontal="right"/>
    </xf>
    <xf numFmtId="170" fontId="6" fillId="23" borderId="0" xfId="68" applyNumberFormat="1" applyFont="1" applyFill="1" applyAlignment="1">
      <alignment horizontal="right"/>
    </xf>
    <xf numFmtId="170" fontId="7" fillId="0" borderId="0" xfId="68" applyNumberFormat="1" applyFont="1" applyAlignment="1">
      <alignment horizontal="right"/>
    </xf>
    <xf numFmtId="9" fontId="6" fillId="0" borderId="0" xfId="68" applyFont="1" applyAlignment="1">
      <alignment horizontal="right"/>
    </xf>
    <xf numFmtId="170" fontId="7" fillId="15" borderId="0" xfId="68" applyNumberFormat="1" applyFont="1" applyFill="1" applyAlignment="1">
      <alignment horizontal="right"/>
    </xf>
    <xf numFmtId="169" fontId="7" fillId="0" borderId="0" xfId="0" applyNumberFormat="1" applyFont="1" applyAlignment="1">
      <alignment horizontal="right"/>
    </xf>
    <xf numFmtId="9" fontId="1" fillId="0" borderId="0" xfId="68" applyFont="1" applyAlignment="1">
      <alignment horizontal="right"/>
    </xf>
    <xf numFmtId="171" fontId="66" fillId="0" borderId="0" xfId="55" applyNumberFormat="1" applyFont="1" applyAlignment="1">
      <alignment horizontal="right"/>
    </xf>
    <xf numFmtId="171" fontId="7" fillId="0" borderId="0" xfId="68" applyNumberFormat="1" applyFont="1" applyAlignment="1">
      <alignment horizontal="right"/>
    </xf>
    <xf numFmtId="170" fontId="7" fillId="0" borderId="0" xfId="68" applyNumberFormat="1" applyFont="1" applyFill="1" applyAlignment="1">
      <alignment horizontal="right"/>
    </xf>
    <xf numFmtId="39" fontId="6" fillId="0" borderId="0" xfId="61" applyNumberFormat="1" applyFont="1" applyBorder="1" applyAlignment="1">
      <alignment horizontal="right"/>
    </xf>
    <xf numFmtId="4" fontId="6" fillId="0" borderId="0" xfId="68" applyNumberFormat="1" applyFont="1" applyAlignment="1">
      <alignment horizontal="right"/>
    </xf>
    <xf numFmtId="175" fontId="54" fillId="0" borderId="0" xfId="61" applyNumberFormat="1" applyFont="1" applyBorder="1" applyAlignment="1">
      <alignment horizontal="right"/>
    </xf>
    <xf numFmtId="175" fontId="22" fillId="0" borderId="0" xfId="61" applyNumberFormat="1" applyFont="1" applyBorder="1" applyAlignment="1">
      <alignment horizontal="right"/>
    </xf>
    <xf numFmtId="175" fontId="55" fillId="0" borderId="0" xfId="61" applyNumberFormat="1" applyFont="1" applyBorder="1" applyAlignment="1">
      <alignment horizontal="right"/>
    </xf>
    <xf numFmtId="175" fontId="1" fillId="0" borderId="0" xfId="61" applyNumberFormat="1" applyFont="1" applyBorder="1" applyAlignment="1">
      <alignment horizontal="right"/>
    </xf>
    <xf numFmtId="175" fontId="6" fillId="0" borderId="0" xfId="61" applyNumberFormat="1" applyFont="1" applyBorder="1" applyAlignment="1">
      <alignment horizontal="right"/>
    </xf>
    <xf numFmtId="0" fontId="1" fillId="0" borderId="0" xfId="55" applyFont="1" applyAlignment="1">
      <alignment horizontal="right"/>
    </xf>
    <xf numFmtId="0" fontId="7" fillId="0" borderId="0" xfId="55" applyFont="1" applyAlignment="1">
      <alignment horizontal="right"/>
    </xf>
    <xf numFmtId="170" fontId="1" fillId="0" borderId="0" xfId="61" applyNumberFormat="1" applyFont="1" applyBorder="1" applyAlignment="1">
      <alignment horizontal="right"/>
    </xf>
    <xf numFmtId="170" fontId="7" fillId="0" borderId="0" xfId="61" applyNumberFormat="1" applyFont="1" applyBorder="1" applyAlignment="1">
      <alignment horizontal="right"/>
    </xf>
    <xf numFmtId="0" fontId="22" fillId="0" borderId="0" xfId="55" applyFont="1" applyAlignment="1">
      <alignment horizontal="right"/>
    </xf>
    <xf numFmtId="4" fontId="22" fillId="0" borderId="0" xfId="61" applyNumberFormat="1" applyFont="1" applyBorder="1" applyAlignment="1">
      <alignment horizontal="right"/>
    </xf>
    <xf numFmtId="171" fontId="55" fillId="0" borderId="0" xfId="61" applyNumberFormat="1" applyFont="1" applyBorder="1" applyAlignment="1">
      <alignment horizontal="right"/>
    </xf>
    <xf numFmtId="171" fontId="22" fillId="0" borderId="0" xfId="61" applyNumberFormat="1" applyFont="1" applyBorder="1" applyAlignment="1">
      <alignment horizontal="right"/>
    </xf>
    <xf numFmtId="9" fontId="55" fillId="0" borderId="0" xfId="68" applyFont="1" applyAlignment="1">
      <alignment horizontal="right"/>
    </xf>
    <xf numFmtId="9" fontId="55" fillId="0" borderId="0" xfId="68" applyFont="1" applyFill="1" applyAlignment="1">
      <alignment horizontal="right"/>
    </xf>
    <xf numFmtId="171" fontId="55" fillId="0" borderId="0" xfId="55" applyNumberFormat="1" applyFont="1" applyAlignment="1">
      <alignment horizontal="right"/>
    </xf>
    <xf numFmtId="1" fontId="22" fillId="0" borderId="0" xfId="55" applyNumberFormat="1" applyFont="1" applyAlignment="1">
      <alignment horizontal="right"/>
    </xf>
    <xf numFmtId="1" fontId="22" fillId="0" borderId="0" xfId="61" applyNumberFormat="1" applyFont="1" applyBorder="1" applyAlignment="1">
      <alignment horizontal="right"/>
    </xf>
    <xf numFmtId="170" fontId="55" fillId="0" borderId="0" xfId="68" applyNumberFormat="1" applyFont="1" applyAlignment="1">
      <alignment horizontal="right"/>
    </xf>
    <xf numFmtId="170" fontId="55" fillId="0" borderId="0" xfId="68" applyNumberFormat="1" applyFont="1" applyFill="1" applyAlignment="1">
      <alignment horizontal="right"/>
    </xf>
    <xf numFmtId="1" fontId="68" fillId="0" borderId="0" xfId="55" applyNumberFormat="1" applyFont="1" applyAlignment="1">
      <alignment horizontal="right"/>
    </xf>
    <xf numFmtId="1" fontId="23" fillId="0" borderId="0" xfId="55" applyNumberFormat="1" applyFont="1" applyAlignment="1">
      <alignment horizontal="right"/>
    </xf>
    <xf numFmtId="170" fontId="68" fillId="0" borderId="0" xfId="68" applyNumberFormat="1" applyFont="1" applyFill="1" applyAlignment="1">
      <alignment horizontal="right"/>
    </xf>
    <xf numFmtId="170" fontId="23" fillId="0" borderId="0" xfId="68" applyNumberFormat="1" applyFont="1" applyFill="1" applyAlignment="1">
      <alignment horizontal="right"/>
    </xf>
    <xf numFmtId="170" fontId="23" fillId="0" borderId="0" xfId="68" applyNumberFormat="1" applyFont="1" applyAlignment="1">
      <alignment horizontal="right"/>
    </xf>
    <xf numFmtId="170" fontId="68" fillId="0" borderId="0" xfId="68" applyNumberFormat="1" applyFont="1" applyAlignment="1">
      <alignment horizontal="right"/>
    </xf>
    <xf numFmtId="1" fontId="55" fillId="0" borderId="0" xfId="61" applyNumberFormat="1" applyFont="1" applyBorder="1" applyAlignment="1">
      <alignment horizontal="right"/>
    </xf>
    <xf numFmtId="170" fontId="22" fillId="0" borderId="0" xfId="68" applyNumberFormat="1" applyFont="1" applyAlignment="1">
      <alignment horizontal="right"/>
    </xf>
    <xf numFmtId="170" fontId="22" fillId="0" borderId="0" xfId="68" applyNumberFormat="1" applyFont="1" applyFill="1" applyAlignment="1">
      <alignment horizontal="right"/>
    </xf>
    <xf numFmtId="0" fontId="55" fillId="0" borderId="0" xfId="55" applyFont="1" applyAlignment="1">
      <alignment horizontal="right"/>
    </xf>
    <xf numFmtId="171" fontId="22" fillId="0" borderId="0" xfId="55" applyNumberFormat="1" applyFont="1" applyAlignment="1">
      <alignment horizontal="right"/>
    </xf>
    <xf numFmtId="4" fontId="22" fillId="0" borderId="0" xfId="68" applyNumberFormat="1" applyFont="1" applyAlignment="1">
      <alignment horizontal="right"/>
    </xf>
    <xf numFmtId="9" fontId="49" fillId="0" borderId="0" xfId="68" applyFont="1" applyAlignment="1">
      <alignment horizontal="right"/>
    </xf>
    <xf numFmtId="9" fontId="48" fillId="0" borderId="0" xfId="68" applyFont="1" applyAlignment="1">
      <alignment horizontal="right"/>
    </xf>
    <xf numFmtId="9" fontId="48" fillId="0" borderId="0" xfId="68" applyFont="1" applyFill="1" applyAlignment="1">
      <alignment horizontal="right"/>
    </xf>
    <xf numFmtId="3" fontId="22" fillId="0" borderId="0" xfId="61" applyNumberFormat="1" applyFont="1" applyBorder="1" applyAlignment="1">
      <alignment horizontal="right"/>
    </xf>
    <xf numFmtId="3" fontId="55" fillId="0" borderId="0" xfId="61" applyNumberFormat="1" applyFont="1" applyBorder="1" applyAlignment="1">
      <alignment horizontal="right"/>
    </xf>
    <xf numFmtId="9" fontId="55" fillId="15" borderId="0" xfId="68" applyFont="1" applyFill="1" applyAlignment="1">
      <alignment horizontal="right"/>
    </xf>
    <xf numFmtId="170" fontId="22" fillId="0" borderId="0" xfId="67" applyNumberFormat="1" applyFont="1" applyFill="1" applyBorder="1" applyAlignment="1">
      <alignment horizontal="right"/>
    </xf>
    <xf numFmtId="2" fontId="1" fillId="0" borderId="0" xfId="55" applyNumberFormat="1" applyFont="1" applyAlignment="1">
      <alignment horizontal="right"/>
    </xf>
    <xf numFmtId="9" fontId="22" fillId="0" borderId="0" xfId="67" applyFont="1" applyFill="1" applyBorder="1" applyAlignment="1">
      <alignment horizontal="right"/>
    </xf>
    <xf numFmtId="9" fontId="54" fillId="0" borderId="0" xfId="67" applyFont="1" applyFill="1" applyBorder="1" applyAlignment="1">
      <alignment horizontal="right"/>
    </xf>
    <xf numFmtId="9" fontId="7" fillId="0" borderId="0" xfId="67" applyFont="1" applyFill="1" applyBorder="1" applyAlignment="1">
      <alignment horizontal="right"/>
    </xf>
    <xf numFmtId="2" fontId="54" fillId="0" borderId="0" xfId="61" applyNumberFormat="1" applyFont="1" applyBorder="1" applyAlignment="1">
      <alignment horizontal="right"/>
    </xf>
    <xf numFmtId="2" fontId="6" fillId="0" borderId="0" xfId="61" applyNumberFormat="1" applyFont="1" applyBorder="1" applyAlignment="1">
      <alignment horizontal="right"/>
    </xf>
    <xf numFmtId="2" fontId="13" fillId="0" borderId="0" xfId="61" applyNumberFormat="1" applyFont="1" applyBorder="1" applyAlignment="1">
      <alignment horizontal="right"/>
    </xf>
    <xf numFmtId="170" fontId="54" fillId="0" borderId="0" xfId="68" applyNumberFormat="1" applyFont="1" applyFill="1" applyBorder="1" applyAlignment="1">
      <alignment horizontal="right"/>
    </xf>
    <xf numFmtId="4" fontId="6" fillId="0" borderId="0" xfId="67" applyNumberFormat="1" applyFont="1" applyFill="1" applyBorder="1" applyAlignment="1">
      <alignment horizontal="right"/>
    </xf>
    <xf numFmtId="2" fontId="1" fillId="0" borderId="0" xfId="61" applyNumberFormat="1" applyFont="1" applyBorder="1" applyAlignment="1">
      <alignment horizontal="right"/>
    </xf>
    <xf numFmtId="2" fontId="7" fillId="0" borderId="0" xfId="61" applyNumberFormat="1" applyFont="1" applyBorder="1" applyAlignment="1">
      <alignment horizontal="right"/>
    </xf>
    <xf numFmtId="1" fontId="6" fillId="0" borderId="0" xfId="61" applyNumberFormat="1" applyFont="1" applyBorder="1" applyAlignment="1">
      <alignment horizontal="right"/>
    </xf>
    <xf numFmtId="171" fontId="60" fillId="0" borderId="0" xfId="61" applyNumberFormat="1" applyFont="1" applyBorder="1" applyAlignment="1">
      <alignment horizontal="right"/>
    </xf>
    <xf numFmtId="3" fontId="6" fillId="0" borderId="0" xfId="68" applyNumberFormat="1" applyFont="1" applyFill="1" applyBorder="1" applyAlignment="1">
      <alignment horizontal="right"/>
    </xf>
    <xf numFmtId="169" fontId="6" fillId="0" borderId="0" xfId="68" applyNumberFormat="1" applyFont="1" applyFill="1" applyBorder="1" applyAlignment="1">
      <alignment horizontal="right"/>
    </xf>
    <xf numFmtId="39" fontId="7" fillId="0" borderId="0" xfId="61" applyNumberFormat="1" applyFont="1" applyBorder="1" applyAlignment="1">
      <alignment horizontal="right"/>
    </xf>
    <xf numFmtId="3" fontId="57" fillId="0" borderId="0" xfId="0" applyNumberFormat="1" applyFont="1" applyAlignment="1">
      <alignment horizontal="right"/>
    </xf>
    <xf numFmtId="169" fontId="7" fillId="0" borderId="0" xfId="61" applyNumberFormat="1" applyFont="1" applyBorder="1" applyAlignment="1">
      <alignment horizontal="right"/>
    </xf>
    <xf numFmtId="4" fontId="7" fillId="0" borderId="0" xfId="61" applyNumberFormat="1" applyFont="1" applyBorder="1" applyAlignment="1">
      <alignment horizontal="right"/>
    </xf>
    <xf numFmtId="169" fontId="1" fillId="0" borderId="0" xfId="61" applyNumberFormat="1" applyFont="1" applyBorder="1" applyAlignment="1">
      <alignment horizontal="right"/>
    </xf>
    <xf numFmtId="169" fontId="6" fillId="0" borderId="0" xfId="61" applyNumberFormat="1" applyFont="1" applyBorder="1" applyAlignment="1">
      <alignment horizontal="right"/>
    </xf>
    <xf numFmtId="1" fontId="57" fillId="0" borderId="0" xfId="0" applyNumberFormat="1" applyFont="1" applyAlignment="1">
      <alignment horizontal="right"/>
    </xf>
    <xf numFmtId="183" fontId="22" fillId="0" borderId="0" xfId="61" applyNumberFormat="1" applyFont="1" applyBorder="1" applyAlignment="1">
      <alignment horizontal="right"/>
    </xf>
    <xf numFmtId="170" fontId="76" fillId="0" borderId="0" xfId="68" applyNumberFormat="1" applyFont="1" applyFill="1" applyBorder="1" applyAlignment="1">
      <alignment horizontal="right"/>
    </xf>
    <xf numFmtId="9" fontId="22" fillId="0" borderId="0" xfId="67" applyFont="1" applyFill="1" applyAlignment="1">
      <alignment horizontal="right"/>
    </xf>
    <xf numFmtId="3" fontId="76" fillId="0" borderId="0" xfId="61" applyNumberFormat="1" applyFont="1" applyBorder="1" applyAlignment="1">
      <alignment horizontal="right"/>
    </xf>
    <xf numFmtId="169" fontId="1" fillId="0" borderId="0" xfId="55" applyNumberFormat="1" applyFont="1" applyAlignment="1">
      <alignment horizontal="right"/>
    </xf>
    <xf numFmtId="171" fontId="77" fillId="0" borderId="0" xfId="61" applyNumberFormat="1" applyFont="1" applyBorder="1" applyAlignment="1">
      <alignment horizontal="right"/>
    </xf>
    <xf numFmtId="170" fontId="76" fillId="0" borderId="0" xfId="61" applyNumberFormat="1" applyFont="1" applyBorder="1" applyAlignment="1">
      <alignment horizontal="right"/>
    </xf>
    <xf numFmtId="170" fontId="75" fillId="0" borderId="0" xfId="61" applyNumberFormat="1" applyFont="1" applyBorder="1" applyAlignment="1">
      <alignment horizontal="right"/>
    </xf>
    <xf numFmtId="4" fontId="66" fillId="0" borderId="0" xfId="68" applyNumberFormat="1" applyFont="1" applyFill="1" applyBorder="1" applyAlignment="1">
      <alignment horizontal="right"/>
    </xf>
    <xf numFmtId="10" fontId="1" fillId="0" borderId="0" xfId="0" applyNumberFormat="1" applyFont="1" applyAlignment="1">
      <alignment horizontal="right"/>
    </xf>
    <xf numFmtId="171" fontId="7" fillId="16" borderId="0" xfId="61" applyNumberFormat="1" applyFont="1" applyFill="1" applyAlignment="1">
      <alignment horizontal="right"/>
    </xf>
    <xf numFmtId="3" fontId="7" fillId="0" borderId="11" xfId="0" applyNumberFormat="1" applyFont="1" applyBorder="1" applyAlignment="1">
      <alignment horizontal="right"/>
    </xf>
    <xf numFmtId="195" fontId="1" fillId="0" borderId="0" xfId="0" applyNumberFormat="1" applyFont="1" applyAlignment="1">
      <alignment horizontal="right"/>
    </xf>
    <xf numFmtId="195" fontId="6" fillId="0" borderId="0" xfId="61" applyNumberFormat="1" applyFont="1" applyAlignment="1">
      <alignment horizontal="right"/>
    </xf>
    <xf numFmtId="9" fontId="7" fillId="0" borderId="0" xfId="61" applyNumberFormat="1" applyFont="1" applyAlignment="1">
      <alignment horizontal="right"/>
    </xf>
    <xf numFmtId="3" fontId="1" fillId="0" borderId="0" xfId="55" applyNumberFormat="1" applyFont="1" applyAlignment="1">
      <alignment horizontal="right"/>
    </xf>
    <xf numFmtId="3" fontId="7" fillId="0" borderId="0" xfId="55" applyNumberFormat="1" applyFont="1" applyAlignment="1">
      <alignment horizontal="right"/>
    </xf>
    <xf numFmtId="3" fontId="6" fillId="0" borderId="0" xfId="61" applyNumberFormat="1" applyFont="1" applyBorder="1"/>
    <xf numFmtId="3" fontId="6" fillId="0" borderId="0" xfId="61" applyNumberFormat="1" applyFont="1" applyBorder="1" applyAlignment="1">
      <alignment horizontal="right"/>
    </xf>
    <xf numFmtId="3" fontId="70" fillId="0" borderId="0" xfId="55" applyNumberFormat="1" applyFont="1"/>
    <xf numFmtId="3" fontId="69" fillId="0" borderId="0" xfId="55" applyNumberFormat="1" applyFont="1"/>
    <xf numFmtId="3" fontId="69" fillId="0" borderId="0" xfId="55" applyNumberFormat="1" applyFont="1" applyAlignment="1">
      <alignment horizontal="right"/>
    </xf>
    <xf numFmtId="3" fontId="70" fillId="0" borderId="0" xfId="55" applyNumberFormat="1" applyFont="1" applyAlignment="1">
      <alignment horizontal="right"/>
    </xf>
    <xf numFmtId="3" fontId="6" fillId="0" borderId="0" xfId="55" applyNumberFormat="1" applyFont="1" applyAlignment="1">
      <alignment horizontal="right"/>
    </xf>
    <xf numFmtId="3" fontId="6" fillId="0" borderId="11" xfId="61" applyNumberFormat="1" applyFont="1" applyBorder="1"/>
    <xf numFmtId="3" fontId="1" fillId="0" borderId="11" xfId="61" applyNumberFormat="1" applyFont="1" applyBorder="1"/>
    <xf numFmtId="3" fontId="1" fillId="0" borderId="11" xfId="61" applyNumberFormat="1" applyFont="1" applyBorder="1" applyAlignment="1">
      <alignment horizontal="right"/>
    </xf>
    <xf numFmtId="3" fontId="6" fillId="0" borderId="11" xfId="61" applyNumberFormat="1" applyFont="1" applyBorder="1" applyAlignment="1">
      <alignment horizontal="right"/>
    </xf>
    <xf numFmtId="3" fontId="7" fillId="0" borderId="11" xfId="61" applyNumberFormat="1" applyFont="1" applyBorder="1" applyAlignment="1">
      <alignment horizontal="right"/>
    </xf>
    <xf numFmtId="3" fontId="1" fillId="0" borderId="0" xfId="61" applyNumberFormat="1" applyFont="1" applyAlignment="1">
      <alignment horizontal="right"/>
    </xf>
    <xf numFmtId="3" fontId="1" fillId="0" borderId="0" xfId="61" applyNumberFormat="1" applyFont="1" applyBorder="1" applyAlignment="1">
      <alignment horizontal="right"/>
    </xf>
    <xf numFmtId="170" fontId="7" fillId="0" borderId="0" xfId="61" applyNumberFormat="1" applyFont="1" applyAlignment="1">
      <alignment horizontal="right"/>
    </xf>
    <xf numFmtId="170" fontId="1" fillId="0" borderId="0" xfId="61" applyNumberFormat="1" applyFont="1" applyAlignment="1">
      <alignment horizontal="right"/>
    </xf>
    <xf numFmtId="170" fontId="7" fillId="0" borderId="11" xfId="61" applyNumberFormat="1" applyFont="1" applyBorder="1" applyAlignment="1">
      <alignment horizontal="right"/>
    </xf>
    <xf numFmtId="170" fontId="1" fillId="0" borderId="11" xfId="61" applyNumberFormat="1" applyFont="1" applyBorder="1" applyAlignment="1">
      <alignment horizontal="right"/>
    </xf>
    <xf numFmtId="170" fontId="6" fillId="0" borderId="0" xfId="61" applyNumberFormat="1" applyFont="1"/>
    <xf numFmtId="170" fontId="6" fillId="0" borderId="0" xfId="61" applyNumberFormat="1" applyFont="1" applyAlignment="1">
      <alignment horizontal="right"/>
    </xf>
    <xf numFmtId="170" fontId="6" fillId="0" borderId="11" xfId="61" applyNumberFormat="1" applyFont="1" applyBorder="1"/>
    <xf numFmtId="170" fontId="1" fillId="0" borderId="11" xfId="61" applyNumberFormat="1" applyFont="1" applyBorder="1"/>
    <xf numFmtId="170" fontId="6" fillId="0" borderId="11" xfId="61" applyNumberFormat="1" applyFont="1" applyBorder="1" applyAlignment="1">
      <alignment horizontal="right"/>
    </xf>
    <xf numFmtId="170" fontId="6" fillId="0" borderId="0" xfId="55" applyNumberFormat="1" applyFont="1" applyAlignment="1">
      <alignment horizontal="right"/>
    </xf>
    <xf numFmtId="0" fontId="7" fillId="28" borderId="42" xfId="61" applyFont="1" applyFill="1" applyBorder="1"/>
    <xf numFmtId="0" fontId="9" fillId="28" borderId="42" xfId="61" applyFont="1" applyFill="1" applyBorder="1" applyAlignment="1">
      <alignment horizontal="center"/>
    </xf>
    <xf numFmtId="0" fontId="66" fillId="28" borderId="42" xfId="61" applyFont="1" applyFill="1" applyBorder="1"/>
    <xf numFmtId="0" fontId="13" fillId="28" borderId="42" xfId="61" applyFont="1" applyFill="1" applyBorder="1"/>
    <xf numFmtId="39" fontId="7" fillId="28" borderId="42" xfId="61" applyNumberFormat="1" applyFont="1" applyFill="1" applyBorder="1" applyAlignment="1">
      <alignment horizontal="right"/>
    </xf>
    <xf numFmtId="0" fontId="7" fillId="28" borderId="42" xfId="55" applyFont="1" applyFill="1" applyBorder="1"/>
    <xf numFmtId="0" fontId="9" fillId="28" borderId="42" xfId="55" applyFont="1" applyFill="1" applyBorder="1" applyAlignment="1">
      <alignment horizontal="center"/>
    </xf>
    <xf numFmtId="171" fontId="1" fillId="0" borderId="0" xfId="55" applyNumberFormat="1" applyFont="1" applyAlignment="1">
      <alignment horizontal="center"/>
    </xf>
    <xf numFmtId="176" fontId="1" fillId="0" borderId="0" xfId="61" applyNumberFormat="1" applyFont="1" applyBorder="1" applyAlignment="1">
      <alignment horizontal="center"/>
    </xf>
    <xf numFmtId="3" fontId="59" fillId="0" borderId="0" xfId="55" applyNumberFormat="1" applyFont="1" applyAlignment="1">
      <alignment horizontal="right"/>
    </xf>
    <xf numFmtId="170" fontId="71" fillId="0" borderId="0" xfId="68" applyNumberFormat="1" applyFont="1" applyFill="1" applyBorder="1"/>
    <xf numFmtId="170" fontId="73" fillId="0" borderId="0" xfId="68" applyNumberFormat="1" applyFont="1" applyFill="1" applyBorder="1"/>
    <xf numFmtId="170" fontId="12" fillId="0" borderId="0" xfId="68" applyNumberFormat="1" applyFont="1" applyFill="1" applyBorder="1" applyAlignment="1">
      <alignment horizontal="right"/>
    </xf>
    <xf numFmtId="170" fontId="71" fillId="0" borderId="0" xfId="68" applyNumberFormat="1" applyFont="1" applyFill="1" applyBorder="1" applyAlignment="1">
      <alignment horizontal="right"/>
    </xf>
    <xf numFmtId="170" fontId="9" fillId="0" borderId="0" xfId="68" applyNumberFormat="1" applyFont="1" applyFill="1" applyBorder="1" applyAlignment="1">
      <alignment horizontal="right"/>
    </xf>
    <xf numFmtId="170" fontId="12" fillId="15" borderId="0" xfId="68" applyNumberFormat="1" applyFont="1" applyFill="1" applyBorder="1"/>
    <xf numFmtId="168" fontId="7" fillId="16" borderId="18" xfId="57" applyFont="1" applyFill="1" applyBorder="1" applyAlignment="1">
      <alignment horizontal="right"/>
    </xf>
    <xf numFmtId="3" fontId="7" fillId="0" borderId="21" xfId="61" applyNumberFormat="1" applyFont="1" applyBorder="1" applyAlignment="1">
      <alignment horizontal="right"/>
    </xf>
    <xf numFmtId="3" fontId="7" fillId="0" borderId="21" xfId="55" applyNumberFormat="1" applyFont="1" applyBorder="1" applyAlignment="1">
      <alignment horizontal="right"/>
    </xf>
    <xf numFmtId="3" fontId="7" fillId="0" borderId="53" xfId="61" applyNumberFormat="1" applyFont="1" applyBorder="1" applyAlignment="1">
      <alignment horizontal="right"/>
    </xf>
    <xf numFmtId="172" fontId="7" fillId="0" borderId="21" xfId="61" applyNumberFormat="1" applyFont="1" applyBorder="1" applyAlignment="1">
      <alignment horizontal="right"/>
    </xf>
    <xf numFmtId="170" fontId="7" fillId="0" borderId="21" xfId="61" applyNumberFormat="1" applyFont="1" applyBorder="1" applyAlignment="1">
      <alignment horizontal="right"/>
    </xf>
    <xf numFmtId="170" fontId="7" fillId="0" borderId="53" xfId="61" applyNumberFormat="1" applyFont="1" applyBorder="1" applyAlignment="1">
      <alignment horizontal="right"/>
    </xf>
    <xf numFmtId="176" fontId="7" fillId="16" borderId="21" xfId="61" applyNumberFormat="1" applyFont="1" applyFill="1" applyBorder="1" applyAlignment="1">
      <alignment horizontal="right"/>
    </xf>
    <xf numFmtId="176" fontId="7" fillId="0" borderId="21" xfId="61" applyNumberFormat="1" applyFont="1" applyBorder="1" applyAlignment="1">
      <alignment horizontal="right"/>
    </xf>
    <xf numFmtId="168" fontId="7" fillId="16" borderId="21" xfId="57" applyFont="1" applyFill="1" applyBorder="1" applyAlignment="1">
      <alignment horizontal="right"/>
    </xf>
    <xf numFmtId="172" fontId="7" fillId="0" borderId="53" xfId="61" applyNumberFormat="1" applyFont="1" applyBorder="1" applyAlignment="1">
      <alignment horizontal="right"/>
    </xf>
    <xf numFmtId="176" fontId="7" fillId="0" borderId="53" xfId="61" applyNumberFormat="1" applyFont="1" applyBorder="1" applyAlignment="1">
      <alignment horizontal="right"/>
    </xf>
    <xf numFmtId="3" fontId="67" fillId="0" borderId="21" xfId="61" applyNumberFormat="1" applyFont="1" applyBorder="1" applyAlignment="1">
      <alignment horizontal="right"/>
    </xf>
    <xf numFmtId="0" fontId="1" fillId="0" borderId="21" xfId="55" applyFont="1" applyBorder="1"/>
    <xf numFmtId="39" fontId="7" fillId="28" borderId="24" xfId="61" applyNumberFormat="1" applyFont="1" applyFill="1" applyBorder="1" applyAlignment="1">
      <alignment horizontal="right"/>
    </xf>
    <xf numFmtId="170" fontId="9" fillId="0" borderId="21" xfId="68" applyNumberFormat="1" applyFont="1" applyFill="1" applyBorder="1" applyAlignment="1">
      <alignment horizontal="right"/>
    </xf>
    <xf numFmtId="4" fontId="66" fillId="0" borderId="21" xfId="61" applyNumberFormat="1" applyFont="1" applyBorder="1" applyAlignment="1">
      <alignment horizontal="right"/>
    </xf>
    <xf numFmtId="171" fontId="13" fillId="0" borderId="21" xfId="61" applyNumberFormat="1" applyFont="1" applyBorder="1" applyAlignment="1">
      <alignment horizontal="right"/>
    </xf>
    <xf numFmtId="0" fontId="7" fillId="0" borderId="21" xfId="0" applyFont="1" applyBorder="1" applyAlignment="1">
      <alignment horizontal="right"/>
    </xf>
    <xf numFmtId="170" fontId="13" fillId="0" borderId="21" xfId="61" applyNumberFormat="1" applyFont="1" applyBorder="1" applyAlignment="1">
      <alignment horizontal="right"/>
    </xf>
    <xf numFmtId="170" fontId="9" fillId="0" borderId="21" xfId="68" applyNumberFormat="1" applyFont="1" applyBorder="1" applyAlignment="1">
      <alignment horizontal="right"/>
    </xf>
    <xf numFmtId="4" fontId="13" fillId="0" borderId="21" xfId="61" applyNumberFormat="1" applyFont="1" applyBorder="1" applyAlignment="1">
      <alignment horizontal="right"/>
    </xf>
    <xf numFmtId="171" fontId="13" fillId="16" borderId="21" xfId="61" applyNumberFormat="1" applyFont="1" applyFill="1" applyBorder="1" applyAlignment="1">
      <alignment horizontal="right"/>
    </xf>
    <xf numFmtId="171" fontId="7" fillId="0" borderId="21" xfId="61" applyNumberFormat="1" applyFont="1" applyBorder="1" applyAlignment="1">
      <alignment horizontal="right"/>
    </xf>
    <xf numFmtId="170" fontId="7" fillId="23" borderId="21" xfId="68" applyNumberFormat="1" applyFont="1" applyFill="1" applyBorder="1" applyAlignment="1">
      <alignment horizontal="right"/>
    </xf>
    <xf numFmtId="171" fontId="7" fillId="0" borderId="21" xfId="55" applyNumberFormat="1" applyFont="1" applyBorder="1" applyAlignment="1">
      <alignment horizontal="right"/>
    </xf>
    <xf numFmtId="170" fontId="7" fillId="0" borderId="21" xfId="68" applyNumberFormat="1" applyFont="1" applyBorder="1" applyAlignment="1">
      <alignment horizontal="right"/>
    </xf>
    <xf numFmtId="170" fontId="7" fillId="0" borderId="21" xfId="68" applyNumberFormat="1" applyFont="1" applyFill="1" applyBorder="1" applyAlignment="1">
      <alignment horizontal="right"/>
    </xf>
    <xf numFmtId="169" fontId="7" fillId="0" borderId="21" xfId="0" applyNumberFormat="1" applyFont="1" applyBorder="1" applyAlignment="1">
      <alignment horizontal="right"/>
    </xf>
    <xf numFmtId="171" fontId="7" fillId="0" borderId="21" xfId="68" applyNumberFormat="1" applyFont="1" applyBorder="1" applyAlignment="1">
      <alignment horizontal="right"/>
    </xf>
    <xf numFmtId="0" fontId="7" fillId="0" borderId="21" xfId="55" applyFont="1" applyBorder="1" applyAlignment="1">
      <alignment horizontal="right"/>
    </xf>
    <xf numFmtId="175" fontId="55" fillId="0" borderId="21" xfId="61" applyNumberFormat="1" applyFont="1" applyBorder="1" applyAlignment="1">
      <alignment horizontal="right"/>
    </xf>
    <xf numFmtId="171" fontId="55" fillId="0" borderId="21" xfId="61" applyNumberFormat="1" applyFont="1" applyBorder="1" applyAlignment="1">
      <alignment horizontal="right"/>
    </xf>
    <xf numFmtId="9" fontId="55" fillId="0" borderId="21" xfId="68" applyFont="1" applyBorder="1" applyAlignment="1">
      <alignment horizontal="right"/>
    </xf>
    <xf numFmtId="171" fontId="55" fillId="0" borderId="21" xfId="55" applyNumberFormat="1" applyFont="1" applyBorder="1" applyAlignment="1">
      <alignment horizontal="right"/>
    </xf>
    <xf numFmtId="170" fontId="68" fillId="0" borderId="21" xfId="68" applyNumberFormat="1" applyFont="1" applyBorder="1" applyAlignment="1">
      <alignment horizontal="right"/>
    </xf>
    <xf numFmtId="1" fontId="55" fillId="0" borderId="21" xfId="61" applyNumberFormat="1" applyFont="1" applyBorder="1" applyAlignment="1">
      <alignment horizontal="right"/>
    </xf>
    <xf numFmtId="9" fontId="49" fillId="0" borderId="21" xfId="68" applyFont="1" applyBorder="1" applyAlignment="1">
      <alignment horizontal="right"/>
    </xf>
    <xf numFmtId="3" fontId="55" fillId="0" borderId="21" xfId="61" applyNumberFormat="1" applyFont="1" applyBorder="1" applyAlignment="1">
      <alignment horizontal="right"/>
    </xf>
    <xf numFmtId="9" fontId="7" fillId="0" borderId="21" xfId="67" applyFont="1" applyFill="1" applyBorder="1" applyAlignment="1">
      <alignment horizontal="right"/>
    </xf>
    <xf numFmtId="2" fontId="13" fillId="0" borderId="21" xfId="61" applyNumberFormat="1" applyFont="1" applyBorder="1" applyAlignment="1">
      <alignment horizontal="right"/>
    </xf>
    <xf numFmtId="4" fontId="66" fillId="0" borderId="21" xfId="67" applyNumberFormat="1" applyFont="1" applyFill="1" applyBorder="1" applyAlignment="1">
      <alignment horizontal="right"/>
    </xf>
    <xf numFmtId="2" fontId="7" fillId="0" borderId="21" xfId="61" applyNumberFormat="1" applyFont="1" applyBorder="1" applyAlignment="1">
      <alignment horizontal="right"/>
    </xf>
    <xf numFmtId="170" fontId="66" fillId="0" borderId="21" xfId="68" applyNumberFormat="1" applyFont="1" applyFill="1" applyBorder="1" applyAlignment="1">
      <alignment horizontal="right"/>
    </xf>
    <xf numFmtId="170" fontId="6" fillId="0" borderId="21" xfId="68" applyNumberFormat="1" applyFont="1" applyFill="1" applyBorder="1" applyAlignment="1">
      <alignment horizontal="right"/>
    </xf>
    <xf numFmtId="39" fontId="7" fillId="16" borderId="21" xfId="61" applyNumberFormat="1" applyFont="1" applyFill="1" applyBorder="1" applyAlignment="1">
      <alignment horizontal="right"/>
    </xf>
    <xf numFmtId="9" fontId="75" fillId="0" borderId="21" xfId="67" applyFont="1" applyFill="1" applyBorder="1" applyAlignment="1">
      <alignment horizontal="right"/>
    </xf>
    <xf numFmtId="169" fontId="7" fillId="0" borderId="21" xfId="61" applyNumberFormat="1" applyFont="1" applyBorder="1" applyAlignment="1">
      <alignment horizontal="right"/>
    </xf>
    <xf numFmtId="9" fontId="55" fillId="0" borderId="21" xfId="67" applyFont="1" applyFill="1" applyBorder="1" applyAlignment="1">
      <alignment horizontal="right"/>
    </xf>
    <xf numFmtId="170" fontId="7" fillId="0" borderId="21" xfId="67" applyNumberFormat="1" applyFont="1" applyFill="1" applyBorder="1" applyAlignment="1">
      <alignment horizontal="right"/>
    </xf>
    <xf numFmtId="170" fontId="55" fillId="0" borderId="21" xfId="67" applyNumberFormat="1" applyFont="1" applyFill="1" applyBorder="1" applyAlignment="1">
      <alignment horizontal="right"/>
    </xf>
    <xf numFmtId="171" fontId="7" fillId="16" borderId="21" xfId="61" applyNumberFormat="1" applyFont="1" applyFill="1" applyBorder="1" applyAlignment="1">
      <alignment horizontal="right"/>
    </xf>
    <xf numFmtId="3" fontId="7" fillId="0" borderId="21" xfId="0" applyNumberFormat="1" applyFont="1" applyBorder="1" applyAlignment="1">
      <alignment horizontal="right"/>
    </xf>
    <xf numFmtId="3" fontId="7" fillId="0" borderId="53" xfId="0" applyNumberFormat="1" applyFont="1" applyBorder="1" applyAlignment="1">
      <alignment horizontal="right"/>
    </xf>
    <xf numFmtId="1" fontId="64" fillId="0" borderId="21" xfId="0" applyNumberFormat="1" applyFont="1" applyBorder="1" applyAlignment="1">
      <alignment horizontal="right"/>
    </xf>
    <xf numFmtId="9" fontId="7" fillId="0" borderId="21" xfId="0" applyNumberFormat="1" applyFont="1" applyBorder="1" applyAlignment="1">
      <alignment horizontal="right"/>
    </xf>
    <xf numFmtId="1" fontId="7" fillId="0" borderId="21" xfId="0" applyNumberFormat="1" applyFont="1" applyBorder="1" applyAlignment="1">
      <alignment horizontal="right"/>
    </xf>
    <xf numFmtId="4" fontId="7" fillId="0" borderId="21" xfId="68" applyNumberFormat="1" applyFont="1" applyFill="1" applyBorder="1" applyAlignment="1">
      <alignment horizontal="right"/>
    </xf>
    <xf numFmtId="170" fontId="6" fillId="0" borderId="21" xfId="55" applyNumberFormat="1" applyFont="1" applyBorder="1" applyAlignment="1">
      <alignment horizontal="right"/>
    </xf>
    <xf numFmtId="171" fontId="7" fillId="0" borderId="21" xfId="68" applyNumberFormat="1" applyFont="1" applyFill="1" applyBorder="1" applyAlignment="1">
      <alignment horizontal="right"/>
    </xf>
    <xf numFmtId="9" fontId="55" fillId="0" borderId="21" xfId="68" applyFont="1" applyFill="1" applyBorder="1" applyAlignment="1">
      <alignment horizontal="right"/>
    </xf>
    <xf numFmtId="170" fontId="68" fillId="0" borderId="21" xfId="68" applyNumberFormat="1" applyFont="1" applyFill="1" applyBorder="1" applyAlignment="1">
      <alignment horizontal="right"/>
    </xf>
    <xf numFmtId="9" fontId="49" fillId="0" borderId="21" xfId="68" applyFont="1" applyFill="1" applyBorder="1" applyAlignment="1">
      <alignment horizontal="right"/>
    </xf>
    <xf numFmtId="39" fontId="7" fillId="0" borderId="21" xfId="61" applyNumberFormat="1" applyFont="1" applyBorder="1" applyAlignment="1">
      <alignment horizontal="right"/>
    </xf>
    <xf numFmtId="4" fontId="7" fillId="0" borderId="21" xfId="61" applyNumberFormat="1" applyFont="1" applyBorder="1" applyAlignment="1">
      <alignment horizontal="right"/>
    </xf>
    <xf numFmtId="169" fontId="75" fillId="0" borderId="21" xfId="61" applyNumberFormat="1" applyFont="1" applyBorder="1" applyAlignment="1">
      <alignment horizontal="right"/>
    </xf>
    <xf numFmtId="4" fontId="7" fillId="0" borderId="21" xfId="55" applyNumberFormat="1" applyFont="1" applyBorder="1" applyAlignment="1">
      <alignment horizontal="right"/>
    </xf>
    <xf numFmtId="171" fontId="77" fillId="0" borderId="21" xfId="61" applyNumberFormat="1" applyFont="1" applyBorder="1" applyAlignment="1">
      <alignment horizontal="right"/>
    </xf>
    <xf numFmtId="195" fontId="7" fillId="0" borderId="21" xfId="61" applyNumberFormat="1" applyFont="1" applyBorder="1" applyAlignment="1">
      <alignment horizontal="right"/>
    </xf>
    <xf numFmtId="170" fontId="7" fillId="15" borderId="21" xfId="68" applyNumberFormat="1" applyFont="1" applyFill="1" applyBorder="1" applyAlignment="1">
      <alignment horizontal="right"/>
    </xf>
    <xf numFmtId="9" fontId="7" fillId="0" borderId="21" xfId="67" applyFont="1" applyBorder="1" applyAlignment="1">
      <alignment horizontal="right"/>
    </xf>
    <xf numFmtId="183" fontId="7" fillId="0" borderId="21" xfId="55" applyNumberFormat="1" applyFont="1" applyBorder="1" applyAlignment="1">
      <alignment horizontal="right"/>
    </xf>
    <xf numFmtId="9" fontId="6" fillId="0" borderId="0" xfId="68" applyFont="1" applyAlignment="1">
      <alignment horizontal="left"/>
    </xf>
    <xf numFmtId="170" fontId="65" fillId="23" borderId="0" xfId="68" applyNumberFormat="1" applyFont="1" applyFill="1" applyAlignment="1">
      <alignment horizontal="right"/>
    </xf>
    <xf numFmtId="171" fontId="59" fillId="0" borderId="0" xfId="61" applyNumberFormat="1" applyFont="1" applyBorder="1" applyAlignment="1">
      <alignment horizontal="right"/>
    </xf>
    <xf numFmtId="171" fontId="65" fillId="0" borderId="0" xfId="55" applyNumberFormat="1" applyFont="1" applyAlignment="1">
      <alignment horizontal="right"/>
    </xf>
    <xf numFmtId="170" fontId="65" fillId="0" borderId="0" xfId="68" applyNumberFormat="1" applyFont="1" applyFill="1" applyBorder="1" applyAlignment="1">
      <alignment horizontal="right"/>
    </xf>
    <xf numFmtId="171" fontId="1" fillId="28" borderId="0" xfId="55" applyNumberFormat="1" applyFont="1" applyFill="1" applyAlignment="1">
      <alignment horizontal="right"/>
    </xf>
    <xf numFmtId="171" fontId="7" fillId="28" borderId="21" xfId="55" applyNumberFormat="1" applyFont="1" applyFill="1" applyBorder="1" applyAlignment="1">
      <alignment horizontal="right"/>
    </xf>
    <xf numFmtId="171" fontId="7" fillId="28" borderId="0" xfId="55" applyNumberFormat="1" applyFont="1" applyFill="1" applyAlignment="1">
      <alignment horizontal="right"/>
    </xf>
    <xf numFmtId="171" fontId="63" fillId="0" borderId="0" xfId="61" applyNumberFormat="1" applyFont="1" applyBorder="1" applyAlignment="1">
      <alignment horizontal="right"/>
    </xf>
    <xf numFmtId="171" fontId="78" fillId="0" borderId="21" xfId="55" applyNumberFormat="1" applyFont="1" applyBorder="1" applyAlignment="1">
      <alignment horizontal="right"/>
    </xf>
    <xf numFmtId="170" fontId="63" fillId="0" borderId="0" xfId="68" applyNumberFormat="1" applyFont="1" applyFill="1" applyBorder="1" applyAlignment="1">
      <alignment horizontal="right"/>
    </xf>
    <xf numFmtId="170" fontId="78" fillId="0" borderId="21" xfId="68" applyNumberFormat="1" applyFont="1" applyFill="1" applyBorder="1" applyAlignment="1">
      <alignment horizontal="right"/>
    </xf>
    <xf numFmtId="170" fontId="78" fillId="0" borderId="0" xfId="68" applyNumberFormat="1" applyFont="1" applyFill="1" applyBorder="1" applyAlignment="1">
      <alignment horizontal="right"/>
    </xf>
    <xf numFmtId="171" fontId="63" fillId="0" borderId="0" xfId="55" applyNumberFormat="1" applyFont="1" applyAlignment="1">
      <alignment horizontal="right"/>
    </xf>
    <xf numFmtId="171" fontId="78" fillId="0" borderId="0" xfId="55" applyNumberFormat="1" applyFont="1" applyAlignment="1">
      <alignment horizontal="right"/>
    </xf>
    <xf numFmtId="0" fontId="63" fillId="0" borderId="0" xfId="61" applyFont="1" applyBorder="1"/>
    <xf numFmtId="1" fontId="22" fillId="0" borderId="0" xfId="0" applyNumberFormat="1" applyFont="1" applyAlignment="1">
      <alignment horizontal="right"/>
    </xf>
    <xf numFmtId="0" fontId="48" fillId="0" borderId="0" xfId="0" applyFont="1" applyAlignment="1">
      <alignment horizontal="right"/>
    </xf>
    <xf numFmtId="1" fontId="48" fillId="0" borderId="0" xfId="0" applyNumberFormat="1" applyFont="1" applyAlignment="1">
      <alignment horizontal="right"/>
    </xf>
    <xf numFmtId="3" fontId="48" fillId="0" borderId="0" xfId="0" applyNumberFormat="1" applyFont="1" applyAlignment="1">
      <alignment horizontal="right"/>
    </xf>
    <xf numFmtId="9" fontId="13" fillId="0" borderId="21" xfId="67" applyFont="1" applyFill="1" applyBorder="1" applyAlignment="1">
      <alignment horizontal="right"/>
    </xf>
    <xf numFmtId="9" fontId="13" fillId="0" borderId="0" xfId="67" applyFont="1" applyFill="1" applyBorder="1" applyAlignment="1">
      <alignment horizontal="right"/>
    </xf>
    <xf numFmtId="0" fontId="13" fillId="0" borderId="0" xfId="0" applyFont="1"/>
    <xf numFmtId="9" fontId="54" fillId="0" borderId="0" xfId="67" applyFont="1" applyFill="1" applyAlignment="1">
      <alignment horizontal="right"/>
    </xf>
    <xf numFmtId="9" fontId="13" fillId="0" borderId="0" xfId="67" applyFont="1" applyFill="1" applyAlignment="1">
      <alignment horizontal="right"/>
    </xf>
    <xf numFmtId="9" fontId="49" fillId="0" borderId="21" xfId="0" applyNumberFormat="1" applyFont="1" applyBorder="1" applyAlignment="1">
      <alignment horizontal="right"/>
    </xf>
    <xf numFmtId="0" fontId="79" fillId="0" borderId="0" xfId="0" applyFont="1" applyAlignment="1">
      <alignment horizontal="center"/>
    </xf>
    <xf numFmtId="170" fontId="59" fillId="0" borderId="0" xfId="68" applyNumberFormat="1" applyFont="1" applyFill="1" applyAlignment="1">
      <alignment horizontal="right"/>
    </xf>
    <xf numFmtId="170" fontId="67" fillId="0" borderId="21" xfId="68" applyNumberFormat="1" applyFont="1" applyFill="1" applyBorder="1" applyAlignment="1">
      <alignment horizontal="right"/>
    </xf>
    <xf numFmtId="170" fontId="65" fillId="0" borderId="0" xfId="68" applyNumberFormat="1" applyFont="1" applyFill="1" applyAlignment="1">
      <alignment horizontal="right"/>
    </xf>
    <xf numFmtId="3" fontId="13" fillId="0" borderId="21" xfId="61" applyNumberFormat="1" applyFont="1" applyBorder="1" applyAlignment="1">
      <alignment horizontal="right"/>
    </xf>
    <xf numFmtId="3" fontId="7" fillId="0" borderId="0" xfId="61" applyNumberFormat="1" applyFont="1" applyBorder="1" applyAlignment="1">
      <alignment horizontal="right"/>
    </xf>
    <xf numFmtId="168" fontId="7" fillId="16" borderId="54" xfId="57" applyFont="1" applyFill="1" applyBorder="1" applyAlignment="1">
      <alignment horizontal="right"/>
    </xf>
    <xf numFmtId="176" fontId="1" fillId="0" borderId="21" xfId="61" applyNumberFormat="1" applyFont="1" applyBorder="1" applyAlignment="1">
      <alignment horizontal="right"/>
    </xf>
    <xf numFmtId="171" fontId="54" fillId="0" borderId="21" xfId="61" applyNumberFormat="1" applyFont="1" applyBorder="1" applyAlignment="1">
      <alignment horizontal="right"/>
    </xf>
    <xf numFmtId="170" fontId="12" fillId="0" borderId="21" xfId="68" applyNumberFormat="1" applyFont="1" applyFill="1" applyBorder="1" applyAlignment="1">
      <alignment horizontal="right"/>
    </xf>
    <xf numFmtId="4" fontId="6" fillId="0" borderId="21" xfId="61" applyNumberFormat="1" applyFont="1" applyBorder="1" applyAlignment="1">
      <alignment horizontal="right"/>
    </xf>
    <xf numFmtId="170" fontId="54" fillId="0" borderId="21" xfId="61" applyNumberFormat="1" applyFont="1" applyBorder="1" applyAlignment="1">
      <alignment horizontal="right"/>
    </xf>
    <xf numFmtId="171" fontId="1" fillId="0" borderId="21" xfId="61" applyNumberFormat="1" applyFont="1" applyBorder="1" applyAlignment="1">
      <alignment horizontal="right"/>
    </xf>
    <xf numFmtId="170" fontId="12" fillId="0" borderId="21" xfId="68" applyNumberFormat="1" applyFont="1" applyBorder="1" applyAlignment="1">
      <alignment horizontal="right"/>
    </xf>
    <xf numFmtId="171" fontId="54" fillId="16" borderId="21" xfId="61" applyNumberFormat="1" applyFont="1" applyFill="1" applyBorder="1" applyAlignment="1">
      <alignment horizontal="right"/>
    </xf>
    <xf numFmtId="170" fontId="1" fillId="0" borderId="21" xfId="68" applyNumberFormat="1" applyFont="1" applyBorder="1" applyAlignment="1">
      <alignment horizontal="right"/>
    </xf>
    <xf numFmtId="171" fontId="1" fillId="0" borderId="21" xfId="55" applyNumberFormat="1" applyFont="1" applyBorder="1" applyAlignment="1">
      <alignment horizontal="right"/>
    </xf>
    <xf numFmtId="170" fontId="1" fillId="0" borderId="21" xfId="68" applyNumberFormat="1" applyFont="1" applyFill="1" applyBorder="1" applyAlignment="1">
      <alignment horizontal="right"/>
    </xf>
    <xf numFmtId="169" fontId="1" fillId="0" borderId="21" xfId="0" applyNumberFormat="1" applyFont="1" applyBorder="1" applyAlignment="1">
      <alignment horizontal="right"/>
    </xf>
    <xf numFmtId="170" fontId="1" fillId="15" borderId="21" xfId="68" applyNumberFormat="1" applyFont="1" applyFill="1" applyBorder="1" applyAlignment="1">
      <alignment horizontal="right"/>
    </xf>
    <xf numFmtId="4" fontId="1" fillId="0" borderId="21" xfId="67" applyNumberFormat="1" applyFont="1" applyBorder="1" applyAlignment="1">
      <alignment horizontal="right"/>
    </xf>
    <xf numFmtId="175" fontId="54" fillId="0" borderId="21" xfId="61" applyNumberFormat="1" applyFont="1" applyBorder="1" applyAlignment="1">
      <alignment horizontal="right"/>
    </xf>
    <xf numFmtId="175" fontId="22" fillId="0" borderId="21" xfId="61" applyNumberFormat="1" applyFont="1" applyBorder="1" applyAlignment="1">
      <alignment horizontal="right"/>
    </xf>
    <xf numFmtId="175" fontId="1" fillId="0" borderId="21" xfId="61" applyNumberFormat="1" applyFont="1" applyBorder="1" applyAlignment="1">
      <alignment horizontal="right"/>
    </xf>
    <xf numFmtId="0" fontId="1" fillId="0" borderId="21" xfId="55" applyFont="1" applyBorder="1" applyAlignment="1">
      <alignment horizontal="right"/>
    </xf>
    <xf numFmtId="170" fontId="1" fillId="0" borderId="21" xfId="61" applyNumberFormat="1" applyFont="1" applyBorder="1" applyAlignment="1">
      <alignment horizontal="right"/>
    </xf>
    <xf numFmtId="4" fontId="22" fillId="0" borderId="21" xfId="61" applyNumberFormat="1" applyFont="1" applyBorder="1" applyAlignment="1">
      <alignment horizontal="right"/>
    </xf>
    <xf numFmtId="4" fontId="1" fillId="0" borderId="21" xfId="68" applyNumberFormat="1" applyFont="1" applyFill="1" applyBorder="1" applyAlignment="1">
      <alignment horizontal="right"/>
    </xf>
    <xf numFmtId="170" fontId="23" fillId="0" borderId="21" xfId="68" applyNumberFormat="1" applyFont="1" applyFill="1" applyBorder="1" applyAlignment="1">
      <alignment horizontal="right"/>
    </xf>
    <xf numFmtId="4" fontId="1" fillId="0" borderId="21" xfId="68" applyNumberFormat="1" applyFont="1" applyBorder="1" applyAlignment="1">
      <alignment horizontal="right"/>
    </xf>
    <xf numFmtId="9" fontId="1" fillId="0" borderId="21" xfId="67" applyFont="1" applyFill="1" applyBorder="1" applyAlignment="1">
      <alignment horizontal="right"/>
    </xf>
    <xf numFmtId="2" fontId="54" fillId="0" borderId="21" xfId="61" applyNumberFormat="1" applyFont="1" applyBorder="1" applyAlignment="1">
      <alignment horizontal="right"/>
    </xf>
    <xf numFmtId="2" fontId="1" fillId="0" borderId="21" xfId="61" applyNumberFormat="1" applyFont="1" applyBorder="1" applyAlignment="1">
      <alignment horizontal="right"/>
    </xf>
    <xf numFmtId="9" fontId="54" fillId="0" borderId="21" xfId="68" applyFont="1" applyFill="1" applyBorder="1" applyAlignment="1">
      <alignment horizontal="right"/>
    </xf>
    <xf numFmtId="1" fontId="22" fillId="0" borderId="21" xfId="61" applyNumberFormat="1" applyFont="1" applyBorder="1" applyAlignment="1">
      <alignment horizontal="right"/>
    </xf>
    <xf numFmtId="4" fontId="75" fillId="0" borderId="21" xfId="68" applyNumberFormat="1" applyFont="1" applyFill="1" applyBorder="1" applyAlignment="1">
      <alignment horizontal="right"/>
    </xf>
    <xf numFmtId="39" fontId="1" fillId="16" borderId="21" xfId="61" applyNumberFormat="1" applyFont="1" applyFill="1" applyBorder="1" applyAlignment="1">
      <alignment horizontal="right"/>
    </xf>
    <xf numFmtId="9" fontId="76" fillId="0" borderId="21" xfId="67" applyFont="1" applyFill="1" applyBorder="1" applyAlignment="1">
      <alignment horizontal="right"/>
    </xf>
    <xf numFmtId="4" fontId="1" fillId="0" borderId="21" xfId="61" applyNumberFormat="1" applyFont="1" applyBorder="1" applyAlignment="1">
      <alignment horizontal="right"/>
    </xf>
    <xf numFmtId="169" fontId="1" fillId="0" borderId="21" xfId="61" applyNumberFormat="1" applyFont="1" applyBorder="1" applyAlignment="1">
      <alignment horizontal="right"/>
    </xf>
    <xf numFmtId="183" fontId="22" fillId="0" borderId="21" xfId="61" applyNumberFormat="1" applyFont="1" applyBorder="1" applyAlignment="1">
      <alignment horizontal="right"/>
    </xf>
    <xf numFmtId="170" fontId="1" fillId="0" borderId="21" xfId="67" applyNumberFormat="1" applyFont="1" applyFill="1" applyBorder="1" applyAlignment="1">
      <alignment horizontal="right"/>
    </xf>
    <xf numFmtId="3" fontId="22" fillId="0" borderId="21" xfId="61" applyNumberFormat="1" applyFont="1" applyBorder="1" applyAlignment="1">
      <alignment horizontal="right"/>
    </xf>
    <xf numFmtId="3" fontId="22" fillId="0" borderId="21" xfId="0" applyNumberFormat="1" applyFont="1" applyBorder="1" applyAlignment="1">
      <alignment horizontal="right"/>
    </xf>
    <xf numFmtId="3" fontId="1" fillId="0" borderId="53" xfId="0" applyNumberFormat="1" applyFont="1" applyBorder="1" applyAlignment="1">
      <alignment horizontal="right"/>
    </xf>
    <xf numFmtId="1" fontId="1" fillId="0" borderId="53" xfId="0" applyNumberFormat="1" applyFont="1" applyBorder="1" applyAlignment="1">
      <alignment horizontal="right"/>
    </xf>
    <xf numFmtId="9" fontId="54" fillId="0" borderId="21" xfId="67" applyFont="1" applyFill="1" applyBorder="1" applyAlignment="1">
      <alignment horizontal="right"/>
    </xf>
    <xf numFmtId="3" fontId="1" fillId="0" borderId="21" xfId="0" applyNumberFormat="1" applyFont="1" applyBorder="1" applyAlignment="1">
      <alignment horizontal="right"/>
    </xf>
    <xf numFmtId="1" fontId="53" fillId="0" borderId="21" xfId="0" applyNumberFormat="1" applyFont="1" applyBorder="1" applyAlignment="1">
      <alignment horizontal="right"/>
    </xf>
    <xf numFmtId="9" fontId="22" fillId="0" borderId="21" xfId="67" applyFont="1" applyFill="1" applyBorder="1" applyAlignment="1">
      <alignment horizontal="right"/>
    </xf>
    <xf numFmtId="4" fontId="1" fillId="0" borderId="21" xfId="0" applyNumberFormat="1" applyFont="1" applyBorder="1" applyAlignment="1">
      <alignment horizontal="right"/>
    </xf>
    <xf numFmtId="1" fontId="1" fillId="0" borderId="21" xfId="0" applyNumberFormat="1" applyFont="1" applyBorder="1" applyAlignment="1">
      <alignment horizontal="right"/>
    </xf>
    <xf numFmtId="9" fontId="6" fillId="0" borderId="21" xfId="67" applyFont="1" applyFill="1" applyBorder="1" applyAlignment="1">
      <alignment horizontal="right"/>
    </xf>
    <xf numFmtId="170" fontId="23" fillId="0" borderId="21" xfId="68" applyNumberFormat="1" applyFont="1" applyBorder="1" applyAlignment="1">
      <alignment horizontal="right"/>
    </xf>
    <xf numFmtId="4" fontId="54" fillId="0" borderId="21" xfId="61" applyNumberFormat="1" applyFont="1" applyBorder="1" applyAlignment="1">
      <alignment horizontal="right"/>
    </xf>
    <xf numFmtId="171" fontId="59" fillId="0" borderId="0" xfId="55" applyNumberFormat="1" applyFont="1" applyAlignment="1">
      <alignment horizontal="right"/>
    </xf>
    <xf numFmtId="1" fontId="59" fillId="0" borderId="0" xfId="55" applyNumberFormat="1" applyFont="1" applyAlignment="1">
      <alignment horizontal="right"/>
    </xf>
    <xf numFmtId="1" fontId="7" fillId="0" borderId="21" xfId="61" applyNumberFormat="1" applyFont="1" applyBorder="1" applyAlignment="1">
      <alignment horizontal="right"/>
    </xf>
    <xf numFmtId="1" fontId="1" fillId="0" borderId="0" xfId="55" applyNumberFormat="1" applyFont="1" applyAlignment="1">
      <alignment horizontal="right"/>
    </xf>
    <xf numFmtId="176" fontId="59" fillId="0" borderId="0" xfId="61" applyNumberFormat="1" applyFont="1" applyBorder="1" applyAlignment="1">
      <alignment horizontal="right"/>
    </xf>
    <xf numFmtId="3" fontId="59" fillId="0" borderId="0" xfId="61" applyNumberFormat="1" applyFont="1" applyBorder="1" applyAlignment="1">
      <alignment horizontal="right"/>
    </xf>
    <xf numFmtId="170" fontId="80" fillId="0" borderId="0" xfId="68" applyNumberFormat="1" applyFont="1" applyFill="1" applyBorder="1" applyAlignment="1">
      <alignment horizontal="right"/>
    </xf>
    <xf numFmtId="170" fontId="59" fillId="0" borderId="0" xfId="68" applyNumberFormat="1" applyFont="1" applyAlignment="1">
      <alignment horizontal="right"/>
    </xf>
    <xf numFmtId="3" fontId="67" fillId="0" borderId="21" xfId="55" applyNumberFormat="1" applyFont="1" applyBorder="1" applyAlignment="1">
      <alignment horizontal="right"/>
    </xf>
    <xf numFmtId="169" fontId="7" fillId="0" borderId="21" xfId="55" applyNumberFormat="1" applyFont="1" applyBorder="1" applyAlignment="1">
      <alignment horizontal="right"/>
    </xf>
    <xf numFmtId="1" fontId="59" fillId="0" borderId="0" xfId="61" applyNumberFormat="1" applyFont="1" applyBorder="1" applyAlignment="1">
      <alignment horizontal="right"/>
    </xf>
    <xf numFmtId="1" fontId="1" fillId="0" borderId="0" xfId="61" applyNumberFormat="1" applyFont="1" applyBorder="1" applyAlignment="1">
      <alignment horizontal="right"/>
    </xf>
    <xf numFmtId="1" fontId="67" fillId="0" borderId="21" xfId="61" applyNumberFormat="1" applyFont="1" applyBorder="1" applyAlignment="1">
      <alignment horizontal="right"/>
    </xf>
    <xf numFmtId="1" fontId="6" fillId="24" borderId="0" xfId="61" applyNumberFormat="1" applyFont="1" applyFill="1" applyBorder="1" applyAlignment="1">
      <alignment horizontal="right"/>
    </xf>
    <xf numFmtId="1" fontId="7" fillId="0" borderId="0" xfId="61" applyNumberFormat="1" applyFont="1" applyBorder="1" applyAlignment="1">
      <alignment horizontal="right"/>
    </xf>
    <xf numFmtId="9" fontId="7" fillId="0" borderId="21" xfId="68" applyFont="1" applyBorder="1" applyAlignment="1">
      <alignment horizontal="right"/>
    </xf>
    <xf numFmtId="9" fontId="7" fillId="0" borderId="21" xfId="68" applyFont="1" applyFill="1" applyBorder="1" applyAlignment="1">
      <alignment horizontal="right"/>
    </xf>
    <xf numFmtId="9" fontId="7" fillId="0" borderId="0" xfId="68" applyFont="1" applyBorder="1" applyAlignment="1">
      <alignment horizontal="right"/>
    </xf>
    <xf numFmtId="176" fontId="66" fillId="0" borderId="0" xfId="61" applyNumberFormat="1" applyFont="1" applyBorder="1" applyAlignment="1">
      <alignment horizontal="right"/>
    </xf>
    <xf numFmtId="9" fontId="1" fillId="0" borderId="0" xfId="68" applyFont="1" applyFill="1" applyAlignment="1">
      <alignment horizontal="right"/>
    </xf>
    <xf numFmtId="9" fontId="7" fillId="0" borderId="0" xfId="68" applyFont="1" applyAlignment="1">
      <alignment horizontal="right"/>
    </xf>
    <xf numFmtId="1" fontId="13" fillId="0" borderId="21" xfId="61" applyNumberFormat="1" applyFont="1" applyBorder="1" applyAlignment="1">
      <alignment horizontal="right"/>
    </xf>
    <xf numFmtId="9" fontId="1" fillId="0" borderId="0" xfId="68" applyFont="1" applyFill="1" applyBorder="1" applyAlignment="1">
      <alignment horizontal="right"/>
    </xf>
    <xf numFmtId="9" fontId="7" fillId="0" borderId="0" xfId="68" applyFont="1" applyFill="1" applyBorder="1" applyAlignment="1">
      <alignment horizontal="right"/>
    </xf>
    <xf numFmtId="171" fontId="65" fillId="0" borderId="0" xfId="61" applyNumberFormat="1" applyFont="1" applyBorder="1" applyAlignment="1">
      <alignment horizontal="right"/>
    </xf>
    <xf numFmtId="1" fontId="65" fillId="0" borderId="0" xfId="61" applyNumberFormat="1" applyFont="1" applyBorder="1" applyAlignment="1">
      <alignment horizontal="right"/>
    </xf>
    <xf numFmtId="1" fontId="13" fillId="0" borderId="0" xfId="61" applyNumberFormat="1" applyFont="1" applyBorder="1" applyAlignment="1">
      <alignment horizontal="right"/>
    </xf>
    <xf numFmtId="9" fontId="65" fillId="0" borderId="0" xfId="68" applyFont="1" applyFill="1" applyBorder="1" applyAlignment="1">
      <alignment horizontal="right"/>
    </xf>
    <xf numFmtId="9" fontId="1" fillId="0" borderId="21" xfId="68" applyFont="1" applyFill="1" applyBorder="1" applyAlignment="1">
      <alignment horizontal="right"/>
    </xf>
    <xf numFmtId="171" fontId="78" fillId="0" borderId="21" xfId="61" applyNumberFormat="1" applyFont="1" applyBorder="1" applyAlignment="1">
      <alignment horizontal="right"/>
    </xf>
    <xf numFmtId="171" fontId="78" fillId="0" borderId="0" xfId="61" applyNumberFormat="1" applyFont="1" applyBorder="1" applyAlignment="1">
      <alignment horizontal="right"/>
    </xf>
    <xf numFmtId="0" fontId="61" fillId="25" borderId="0" xfId="0" applyFont="1" applyFill="1"/>
    <xf numFmtId="0" fontId="81" fillId="0" borderId="0" xfId="0" applyFont="1"/>
    <xf numFmtId="0" fontId="82" fillId="0" borderId="45" xfId="0" applyFont="1" applyBorder="1"/>
    <xf numFmtId="0" fontId="83" fillId="0" borderId="45" xfId="0" applyFont="1" applyBorder="1" applyAlignment="1">
      <alignment horizontal="center"/>
    </xf>
    <xf numFmtId="0" fontId="82" fillId="0" borderId="0" xfId="0" applyFont="1"/>
    <xf numFmtId="0" fontId="83" fillId="0" borderId="0" xfId="0" applyFont="1" applyAlignment="1">
      <alignment horizontal="center"/>
    </xf>
    <xf numFmtId="9" fontId="83" fillId="0" borderId="45" xfId="67" applyFont="1" applyBorder="1"/>
    <xf numFmtId="9" fontId="83" fillId="0" borderId="45" xfId="67" applyFont="1" applyBorder="1" applyAlignment="1">
      <alignment horizontal="center"/>
    </xf>
    <xf numFmtId="170" fontId="81" fillId="0" borderId="0" xfId="67" applyNumberFormat="1" applyFont="1" applyFill="1" applyBorder="1" applyAlignment="1">
      <alignment horizontal="right"/>
    </xf>
    <xf numFmtId="0" fontId="81" fillId="0" borderId="0" xfId="0" applyFont="1" applyAlignment="1">
      <alignment horizontal="left"/>
    </xf>
    <xf numFmtId="0" fontId="58" fillId="0" borderId="0" xfId="0" applyFont="1" applyAlignment="1">
      <alignment horizontal="left"/>
    </xf>
    <xf numFmtId="0" fontId="7" fillId="23" borderId="0" xfId="0" applyFont="1" applyFill="1"/>
    <xf numFmtId="2" fontId="58" fillId="23" borderId="0" xfId="0" applyNumberFormat="1" applyFont="1" applyFill="1" applyAlignment="1">
      <alignment horizontal="left"/>
    </xf>
    <xf numFmtId="1" fontId="1" fillId="23" borderId="0" xfId="0" applyNumberFormat="1" applyFont="1" applyFill="1" applyAlignment="1">
      <alignment horizontal="right"/>
    </xf>
    <xf numFmtId="0" fontId="61" fillId="0" borderId="0" xfId="0" applyFont="1" applyAlignment="1">
      <alignment horizontal="center"/>
    </xf>
    <xf numFmtId="0" fontId="61" fillId="0" borderId="0" xfId="0" applyFont="1" applyAlignment="1">
      <alignment horizontal="left"/>
    </xf>
    <xf numFmtId="171" fontId="59" fillId="0" borderId="0" xfId="0" applyNumberFormat="1" applyFont="1" applyAlignment="1">
      <alignment horizontal="right"/>
    </xf>
    <xf numFmtId="171" fontId="67" fillId="0" borderId="0" xfId="0" applyNumberFormat="1" applyFont="1" applyAlignment="1">
      <alignment horizontal="right"/>
    </xf>
    <xf numFmtId="171" fontId="7" fillId="0" borderId="0" xfId="0" applyNumberFormat="1" applyFont="1" applyAlignment="1">
      <alignment horizontal="right"/>
    </xf>
    <xf numFmtId="171" fontId="59" fillId="0" borderId="40" xfId="0" applyNumberFormat="1" applyFont="1" applyBorder="1" applyAlignment="1">
      <alignment horizontal="right"/>
    </xf>
    <xf numFmtId="171" fontId="67" fillId="0" borderId="40" xfId="0" applyNumberFormat="1" applyFont="1" applyBorder="1" applyAlignment="1">
      <alignment horizontal="right"/>
    </xf>
    <xf numFmtId="171" fontId="59" fillId="0" borderId="45" xfId="0" applyNumberFormat="1" applyFont="1" applyBorder="1" applyAlignment="1">
      <alignment horizontal="right"/>
    </xf>
    <xf numFmtId="171" fontId="82" fillId="0" borderId="45" xfId="0" applyNumberFormat="1" applyFont="1" applyBorder="1" applyAlignment="1">
      <alignment horizontal="right"/>
    </xf>
    <xf numFmtId="0" fontId="67" fillId="0" borderId="0" xfId="0" applyFont="1" applyAlignment="1">
      <alignment horizontal="right"/>
    </xf>
    <xf numFmtId="0" fontId="59" fillId="0" borderId="0" xfId="0" applyFont="1" applyAlignment="1">
      <alignment horizontal="right"/>
    </xf>
    <xf numFmtId="0" fontId="65" fillId="0" borderId="0" xfId="0" applyFont="1" applyAlignment="1">
      <alignment horizontal="right"/>
    </xf>
    <xf numFmtId="170" fontId="12" fillId="0" borderId="0" xfId="0" applyNumberFormat="1" applyFont="1" applyAlignment="1">
      <alignment horizontal="right"/>
    </xf>
    <xf numFmtId="170" fontId="9" fillId="0" borderId="0" xfId="0" applyNumberFormat="1" applyFont="1" applyAlignment="1">
      <alignment horizontal="right"/>
    </xf>
    <xf numFmtId="170" fontId="80" fillId="0" borderId="0" xfId="0" applyNumberFormat="1" applyFont="1" applyAlignment="1">
      <alignment horizontal="right"/>
    </xf>
    <xf numFmtId="9" fontId="80" fillId="0" borderId="40" xfId="67" applyFont="1" applyBorder="1" applyAlignment="1">
      <alignment horizontal="right"/>
    </xf>
    <xf numFmtId="9" fontId="84" fillId="0" borderId="40" xfId="67" applyFont="1" applyBorder="1" applyAlignment="1">
      <alignment horizontal="right"/>
    </xf>
    <xf numFmtId="9" fontId="80" fillId="0" borderId="0" xfId="67" applyFont="1" applyBorder="1" applyAlignment="1">
      <alignment horizontal="right"/>
    </xf>
    <xf numFmtId="9" fontId="81" fillId="0" borderId="45" xfId="67" applyFont="1" applyFill="1" applyBorder="1" applyAlignment="1">
      <alignment horizontal="right"/>
    </xf>
    <xf numFmtId="9" fontId="81" fillId="0" borderId="45" xfId="67" applyFont="1" applyBorder="1" applyAlignment="1">
      <alignment horizontal="right"/>
    </xf>
    <xf numFmtId="170" fontId="12" fillId="0" borderId="0" xfId="67" quotePrefix="1" applyNumberFormat="1" applyFont="1" applyFill="1" applyBorder="1" applyAlignment="1">
      <alignment horizontal="right"/>
    </xf>
    <xf numFmtId="9" fontId="12" fillId="0" borderId="0" xfId="67" applyFont="1" applyAlignment="1">
      <alignment horizontal="right"/>
    </xf>
    <xf numFmtId="9" fontId="80" fillId="0" borderId="0" xfId="67" applyFont="1" applyAlignment="1">
      <alignment horizontal="right"/>
    </xf>
    <xf numFmtId="9" fontId="9" fillId="0" borderId="0" xfId="67" applyFont="1" applyAlignment="1">
      <alignment horizontal="right"/>
    </xf>
    <xf numFmtId="0" fontId="58" fillId="0" borderId="0" xfId="0" applyFont="1" applyAlignment="1">
      <alignment horizontal="right"/>
    </xf>
    <xf numFmtId="171" fontId="58" fillId="0" borderId="0" xfId="0" applyNumberFormat="1" applyFont="1" applyAlignment="1">
      <alignment horizontal="right"/>
    </xf>
    <xf numFmtId="171" fontId="84" fillId="0" borderId="0" xfId="0" applyNumberFormat="1" applyFont="1" applyAlignment="1">
      <alignment horizontal="right"/>
    </xf>
    <xf numFmtId="9" fontId="7" fillId="0" borderId="0" xfId="0" applyNumberFormat="1" applyFont="1" applyAlignment="1">
      <alignment horizontal="right"/>
    </xf>
    <xf numFmtId="9" fontId="65" fillId="0" borderId="0" xfId="0" applyNumberFormat="1" applyFont="1" applyAlignment="1">
      <alignment horizontal="right"/>
    </xf>
    <xf numFmtId="4" fontId="81" fillId="0" borderId="0" xfId="67" applyNumberFormat="1" applyFont="1" applyFill="1" applyBorder="1" applyAlignment="1">
      <alignment horizontal="right"/>
    </xf>
    <xf numFmtId="170" fontId="81" fillId="0" borderId="46" xfId="67" applyNumberFormat="1" applyFont="1" applyFill="1" applyBorder="1" applyAlignment="1">
      <alignment horizontal="right"/>
    </xf>
    <xf numFmtId="170" fontId="80" fillId="0" borderId="0" xfId="67" applyNumberFormat="1" applyFont="1" applyAlignment="1">
      <alignment horizontal="right"/>
    </xf>
    <xf numFmtId="0" fontId="60" fillId="23" borderId="0" xfId="0" applyFont="1" applyFill="1" applyAlignment="1">
      <alignment horizontal="right"/>
    </xf>
    <xf numFmtId="1" fontId="58" fillId="23" borderId="0" xfId="0" applyNumberFormat="1" applyFont="1" applyFill="1" applyAlignment="1">
      <alignment horizontal="right"/>
    </xf>
    <xf numFmtId="171" fontId="58" fillId="23" borderId="0" xfId="0" applyNumberFormat="1" applyFont="1" applyFill="1" applyAlignment="1">
      <alignment horizontal="right"/>
    </xf>
    <xf numFmtId="1" fontId="86" fillId="25" borderId="0" xfId="0" applyNumberFormat="1" applyFont="1" applyFill="1" applyAlignment="1">
      <alignment horizontal="right"/>
    </xf>
    <xf numFmtId="0" fontId="1" fillId="23" borderId="0" xfId="0" applyFont="1" applyFill="1" applyAlignment="1">
      <alignment horizontal="right"/>
    </xf>
    <xf numFmtId="1" fontId="87" fillId="23" borderId="0" xfId="0" applyNumberFormat="1" applyFont="1" applyFill="1" applyAlignment="1">
      <alignment horizontal="right"/>
    </xf>
    <xf numFmtId="171" fontId="1" fillId="23" borderId="0" xfId="0" applyNumberFormat="1" applyFont="1" applyFill="1" applyAlignment="1">
      <alignment horizontal="right"/>
    </xf>
    <xf numFmtId="9" fontId="1" fillId="24" borderId="0" xfId="0" applyNumberFormat="1" applyFont="1" applyFill="1" applyAlignment="1">
      <alignment horizontal="right"/>
    </xf>
    <xf numFmtId="9" fontId="1" fillId="23" borderId="0" xfId="0" applyNumberFormat="1" applyFont="1" applyFill="1" applyAlignment="1">
      <alignment horizontal="right"/>
    </xf>
    <xf numFmtId="196" fontId="1" fillId="0" borderId="0" xfId="0" applyNumberFormat="1" applyFont="1" applyAlignment="1">
      <alignment horizontal="right"/>
    </xf>
    <xf numFmtId="170" fontId="1" fillId="23" borderId="0" xfId="67" applyNumberFormat="1" applyFont="1" applyFill="1" applyAlignment="1">
      <alignment horizontal="right"/>
    </xf>
    <xf numFmtId="0" fontId="87" fillId="23" borderId="0" xfId="0" applyFont="1" applyFill="1" applyAlignment="1">
      <alignment horizontal="right"/>
    </xf>
    <xf numFmtId="1" fontId="87" fillId="23" borderId="41" xfId="0" applyNumberFormat="1" applyFont="1" applyFill="1" applyBorder="1" applyAlignment="1">
      <alignment horizontal="right"/>
    </xf>
    <xf numFmtId="171" fontId="1" fillId="26" borderId="0" xfId="0" applyNumberFormat="1" applyFont="1" applyFill="1" applyAlignment="1">
      <alignment horizontal="right"/>
    </xf>
    <xf numFmtId="2" fontId="7" fillId="26" borderId="0" xfId="0" applyNumberFormat="1" applyFont="1" applyFill="1" applyAlignment="1">
      <alignment horizontal="right"/>
    </xf>
    <xf numFmtId="1" fontId="1" fillId="26" borderId="0" xfId="0" applyNumberFormat="1" applyFont="1" applyFill="1" applyAlignment="1">
      <alignment horizontal="right"/>
    </xf>
    <xf numFmtId="1" fontId="87" fillId="26" borderId="41" xfId="0" applyNumberFormat="1" applyFont="1" applyFill="1" applyBorder="1" applyAlignment="1">
      <alignment horizontal="right"/>
    </xf>
    <xf numFmtId="0" fontId="87" fillId="23" borderId="41" xfId="0" applyFont="1" applyFill="1" applyBorder="1" applyAlignment="1">
      <alignment horizontal="right"/>
    </xf>
    <xf numFmtId="170" fontId="1" fillId="0" borderId="0" xfId="0" applyNumberFormat="1" applyFont="1" applyAlignment="1">
      <alignment horizontal="right"/>
    </xf>
    <xf numFmtId="2" fontId="1" fillId="0" borderId="0" xfId="0" applyNumberFormat="1" applyFont="1" applyAlignment="1">
      <alignment horizontal="right"/>
    </xf>
    <xf numFmtId="193" fontId="13" fillId="0" borderId="21" xfId="38" applyNumberFormat="1" applyFont="1" applyFill="1" applyBorder="1" applyAlignment="1">
      <alignment horizontal="right"/>
    </xf>
    <xf numFmtId="3" fontId="59" fillId="0" borderId="0" xfId="68" applyNumberFormat="1" applyFont="1" applyFill="1" applyBorder="1" applyAlignment="1">
      <alignment horizontal="right"/>
    </xf>
    <xf numFmtId="3" fontId="1" fillId="0" borderId="0" xfId="68" applyNumberFormat="1" applyFont="1" applyFill="1" applyBorder="1" applyAlignment="1">
      <alignment horizontal="right"/>
    </xf>
    <xf numFmtId="170" fontId="65" fillId="0" borderId="0" xfId="61" applyNumberFormat="1" applyFont="1" applyBorder="1" applyAlignment="1">
      <alignment horizontal="right"/>
    </xf>
    <xf numFmtId="9" fontId="65" fillId="24" borderId="0" xfId="68" applyFont="1" applyFill="1" applyBorder="1" applyAlignment="1">
      <alignment horizontal="right"/>
    </xf>
    <xf numFmtId="9" fontId="7" fillId="24" borderId="21" xfId="68" applyFont="1" applyFill="1" applyBorder="1" applyAlignment="1">
      <alignment horizontal="right"/>
    </xf>
    <xf numFmtId="3" fontId="67" fillId="0" borderId="21" xfId="0" applyNumberFormat="1" applyFont="1" applyBorder="1" applyAlignment="1">
      <alignment horizontal="right"/>
    </xf>
    <xf numFmtId="3" fontId="59" fillId="0" borderId="0" xfId="0" applyNumberFormat="1" applyFont="1" applyAlignment="1">
      <alignment horizontal="right"/>
    </xf>
    <xf numFmtId="3" fontId="67" fillId="0" borderId="53" xfId="0" applyNumberFormat="1" applyFont="1" applyBorder="1" applyAlignment="1">
      <alignment horizontal="right"/>
    </xf>
    <xf numFmtId="3" fontId="59" fillId="0" borderId="11" xfId="0" applyNumberFormat="1" applyFont="1" applyBorder="1" applyAlignment="1">
      <alignment horizontal="right"/>
    </xf>
    <xf numFmtId="1" fontId="59" fillId="0" borderId="0" xfId="0" applyNumberFormat="1" applyFont="1" applyAlignment="1">
      <alignment horizontal="right"/>
    </xf>
    <xf numFmtId="9" fontId="59" fillId="0" borderId="0" xfId="0" applyNumberFormat="1" applyFont="1" applyAlignment="1">
      <alignment horizontal="right"/>
    </xf>
    <xf numFmtId="9" fontId="67" fillId="0" borderId="21" xfId="67" applyFont="1" applyFill="1" applyBorder="1" applyAlignment="1">
      <alignment horizontal="right"/>
    </xf>
    <xf numFmtId="1" fontId="65" fillId="0" borderId="0" xfId="0" applyNumberFormat="1" applyFont="1" applyAlignment="1">
      <alignment horizontal="right"/>
    </xf>
    <xf numFmtId="9" fontId="65" fillId="0" borderId="0" xfId="67" applyFont="1" applyFill="1" applyAlignment="1">
      <alignment horizontal="right"/>
    </xf>
    <xf numFmtId="9" fontId="77" fillId="0" borderId="0" xfId="0" applyNumberFormat="1" applyFont="1" applyAlignment="1">
      <alignment horizontal="right"/>
    </xf>
    <xf numFmtId="3" fontId="59" fillId="0" borderId="0" xfId="61" applyNumberFormat="1" applyFont="1" applyAlignment="1">
      <alignment horizontal="right"/>
    </xf>
    <xf numFmtId="1" fontId="1" fillId="0" borderId="0" xfId="61" applyNumberFormat="1" applyFont="1" applyAlignment="1">
      <alignment horizontal="right"/>
    </xf>
    <xf numFmtId="1" fontId="1" fillId="0" borderId="0" xfId="68" applyNumberFormat="1" applyFont="1" applyFill="1" applyAlignment="1">
      <alignment horizontal="right"/>
    </xf>
    <xf numFmtId="3" fontId="59" fillId="0" borderId="40" xfId="0" applyNumberFormat="1" applyFont="1" applyBorder="1" applyAlignment="1">
      <alignment horizontal="right"/>
    </xf>
    <xf numFmtId="3" fontId="1" fillId="0" borderId="40" xfId="0" applyNumberFormat="1" applyFont="1" applyBorder="1" applyAlignment="1">
      <alignment horizontal="right"/>
    </xf>
    <xf numFmtId="3" fontId="1" fillId="0" borderId="45" xfId="0" applyNumberFormat="1" applyFont="1" applyBorder="1" applyAlignment="1">
      <alignment horizontal="right"/>
    </xf>
    <xf numFmtId="9" fontId="12" fillId="0" borderId="0" xfId="0" applyNumberFormat="1" applyFont="1" applyAlignment="1">
      <alignment horizontal="right"/>
    </xf>
    <xf numFmtId="9" fontId="12" fillId="0" borderId="40" xfId="67" applyFont="1" applyBorder="1" applyAlignment="1">
      <alignment horizontal="right"/>
    </xf>
    <xf numFmtId="171" fontId="1" fillId="0" borderId="40" xfId="0" applyNumberFormat="1" applyFont="1" applyBorder="1" applyAlignment="1">
      <alignment horizontal="right"/>
    </xf>
    <xf numFmtId="171" fontId="1" fillId="0" borderId="45" xfId="0" applyNumberFormat="1" applyFont="1" applyBorder="1" applyAlignment="1">
      <alignment horizontal="right"/>
    </xf>
    <xf numFmtId="9" fontId="12" fillId="0" borderId="0" xfId="67" applyFont="1" applyFill="1" applyAlignment="1">
      <alignment horizontal="right"/>
    </xf>
    <xf numFmtId="3" fontId="7" fillId="0" borderId="43" xfId="0" applyNumberFormat="1" applyFont="1" applyBorder="1" applyAlignment="1">
      <alignment horizontal="right"/>
    </xf>
    <xf numFmtId="170" fontId="9" fillId="0" borderId="21" xfId="0" applyNumberFormat="1" applyFont="1" applyBorder="1" applyAlignment="1">
      <alignment horizontal="right"/>
    </xf>
    <xf numFmtId="9" fontId="9" fillId="0" borderId="43" xfId="67" applyFont="1" applyBorder="1" applyAlignment="1">
      <alignment horizontal="right"/>
    </xf>
    <xf numFmtId="9" fontId="9" fillId="0" borderId="21" xfId="67" applyFont="1" applyBorder="1" applyAlignment="1">
      <alignment horizontal="right"/>
    </xf>
    <xf numFmtId="171" fontId="7" fillId="0" borderId="21" xfId="0" applyNumberFormat="1" applyFont="1" applyBorder="1" applyAlignment="1">
      <alignment horizontal="right"/>
    </xf>
    <xf numFmtId="171" fontId="7" fillId="0" borderId="43" xfId="0" applyNumberFormat="1" applyFont="1" applyBorder="1" applyAlignment="1">
      <alignment horizontal="right"/>
    </xf>
    <xf numFmtId="171" fontId="7" fillId="0" borderId="55" xfId="0" applyNumberFormat="1" applyFont="1" applyBorder="1" applyAlignment="1">
      <alignment horizontal="right"/>
    </xf>
    <xf numFmtId="0" fontId="61" fillId="25" borderId="21" xfId="0" applyFont="1" applyFill="1" applyBorder="1" applyAlignment="1">
      <alignment horizontal="right"/>
    </xf>
    <xf numFmtId="3" fontId="7" fillId="0" borderId="55" xfId="0" applyNumberFormat="1" applyFont="1" applyBorder="1" applyAlignment="1">
      <alignment horizontal="right"/>
    </xf>
    <xf numFmtId="0" fontId="59" fillId="0" borderId="21" xfId="0" applyFont="1" applyBorder="1" applyAlignment="1">
      <alignment horizontal="right"/>
    </xf>
    <xf numFmtId="9" fontId="9" fillId="0" borderId="21" xfId="0" applyNumberFormat="1" applyFont="1" applyBorder="1" applyAlignment="1">
      <alignment horizontal="right"/>
    </xf>
    <xf numFmtId="171" fontId="58" fillId="0" borderId="21" xfId="0" applyNumberFormat="1" applyFont="1" applyBorder="1" applyAlignment="1">
      <alignment horizontal="right"/>
    </xf>
    <xf numFmtId="171" fontId="59" fillId="0" borderId="21" xfId="0" applyNumberFormat="1" applyFont="1" applyBorder="1" applyAlignment="1">
      <alignment horizontal="right"/>
    </xf>
    <xf numFmtId="170" fontId="81" fillId="0" borderId="21" xfId="67" applyNumberFormat="1" applyFont="1" applyFill="1" applyBorder="1" applyAlignment="1">
      <alignment horizontal="right"/>
    </xf>
    <xf numFmtId="171" fontId="82" fillId="0" borderId="55" xfId="0" applyNumberFormat="1" applyFont="1" applyBorder="1" applyAlignment="1">
      <alignment horizontal="right"/>
    </xf>
    <xf numFmtId="171" fontId="85" fillId="0" borderId="21" xfId="0" applyNumberFormat="1" applyFont="1" applyBorder="1" applyAlignment="1">
      <alignment horizontal="right"/>
    </xf>
    <xf numFmtId="9" fontId="83" fillId="0" borderId="55" xfId="67" applyFont="1" applyBorder="1" applyAlignment="1">
      <alignment horizontal="right"/>
    </xf>
    <xf numFmtId="170" fontId="9" fillId="0" borderId="21" xfId="67" applyNumberFormat="1" applyFont="1" applyBorder="1" applyAlignment="1">
      <alignment horizontal="right"/>
    </xf>
    <xf numFmtId="195" fontId="83" fillId="0" borderId="55" xfId="67" applyNumberFormat="1" applyFont="1" applyBorder="1" applyAlignment="1">
      <alignment horizontal="right"/>
    </xf>
    <xf numFmtId="9" fontId="12" fillId="0" borderId="0" xfId="67" applyFont="1" applyFill="1"/>
    <xf numFmtId="3" fontId="67" fillId="0" borderId="55" xfId="0" applyNumberFormat="1" applyFont="1" applyBorder="1" applyAlignment="1">
      <alignment horizontal="right"/>
    </xf>
    <xf numFmtId="1" fontId="67" fillId="0" borderId="21" xfId="0" applyNumberFormat="1" applyFont="1" applyBorder="1" applyAlignment="1">
      <alignment horizontal="right"/>
    </xf>
    <xf numFmtId="9" fontId="88" fillId="0" borderId="0" xfId="67" applyFont="1" applyAlignment="1">
      <alignment horizontal="right"/>
    </xf>
    <xf numFmtId="9" fontId="88" fillId="0" borderId="0" xfId="67" applyFont="1" applyFill="1" applyAlignment="1">
      <alignment horizontal="right"/>
    </xf>
    <xf numFmtId="170" fontId="12" fillId="0" borderId="21" xfId="67" applyNumberFormat="1" applyFont="1" applyFill="1" applyBorder="1" applyAlignment="1">
      <alignment horizontal="right"/>
    </xf>
    <xf numFmtId="4" fontId="12" fillId="0" borderId="0" xfId="67" applyNumberFormat="1" applyFont="1" applyFill="1" applyBorder="1" applyAlignment="1">
      <alignment horizontal="right"/>
    </xf>
    <xf numFmtId="1" fontId="67" fillId="0" borderId="55" xfId="0" applyNumberFormat="1" applyFont="1" applyBorder="1" applyAlignment="1">
      <alignment horizontal="right"/>
    </xf>
    <xf numFmtId="1" fontId="59" fillId="0" borderId="40" xfId="0" applyNumberFormat="1" applyFont="1" applyBorder="1" applyAlignment="1">
      <alignment horizontal="right"/>
    </xf>
    <xf numFmtId="1" fontId="1" fillId="0" borderId="45" xfId="0" applyNumberFormat="1" applyFont="1" applyBorder="1" applyAlignment="1">
      <alignment horizontal="right"/>
    </xf>
    <xf numFmtId="1" fontId="80" fillId="0" borderId="0" xfId="67" applyNumberFormat="1" applyFont="1" applyAlignment="1">
      <alignment horizontal="right"/>
    </xf>
    <xf numFmtId="1" fontId="9" fillId="0" borderId="21" xfId="67" applyNumberFormat="1" applyFont="1" applyBorder="1" applyAlignment="1">
      <alignment horizontal="right"/>
    </xf>
    <xf numFmtId="170" fontId="12" fillId="0" borderId="0" xfId="67" applyNumberFormat="1" applyFont="1" applyAlignment="1">
      <alignment horizontal="right"/>
    </xf>
    <xf numFmtId="171" fontId="1" fillId="0" borderId="0" xfId="56" applyNumberFormat="1" applyFont="1" applyAlignment="1">
      <alignment horizontal="right"/>
    </xf>
    <xf numFmtId="9" fontId="1" fillId="0" borderId="0" xfId="67" applyFont="1" applyBorder="1"/>
    <xf numFmtId="170" fontId="1" fillId="0" borderId="0" xfId="67" applyNumberFormat="1" applyFont="1" applyBorder="1"/>
    <xf numFmtId="3" fontId="54" fillId="0" borderId="12" xfId="61" applyNumberFormat="1" applyFont="1" applyBorder="1"/>
    <xf numFmtId="170" fontId="65" fillId="0" borderId="0" xfId="61" applyNumberFormat="1" applyFont="1"/>
    <xf numFmtId="1" fontId="7" fillId="0" borderId="0" xfId="61" applyNumberFormat="1" applyFont="1" applyAlignment="1">
      <alignment horizontal="right"/>
    </xf>
    <xf numFmtId="0" fontId="63" fillId="0" borderId="0" xfId="55" applyFont="1"/>
    <xf numFmtId="0" fontId="78" fillId="0" borderId="0" xfId="61" applyFont="1" applyBorder="1"/>
    <xf numFmtId="0" fontId="89" fillId="0" borderId="0" xfId="61" applyFont="1" applyBorder="1"/>
    <xf numFmtId="9" fontId="63" fillId="0" borderId="0" xfId="67" applyFont="1" applyFill="1" applyBorder="1"/>
    <xf numFmtId="4" fontId="63" fillId="0" borderId="0" xfId="61" applyNumberFormat="1" applyFont="1" applyBorder="1"/>
    <xf numFmtId="0" fontId="91" fillId="0" borderId="0" xfId="63" applyFont="1"/>
    <xf numFmtId="0" fontId="91" fillId="0" borderId="0" xfId="63" applyFont="1" applyAlignment="1">
      <alignment horizontal="right"/>
    </xf>
    <xf numFmtId="0" fontId="91" fillId="0" borderId="0" xfId="0" applyFont="1"/>
    <xf numFmtId="0" fontId="91" fillId="0" borderId="0" xfId="63" applyFont="1" applyBorder="1"/>
    <xf numFmtId="0" fontId="91" fillId="0" borderId="0" xfId="63" applyFont="1" applyBorder="1" applyAlignment="1">
      <alignment horizontal="right"/>
    </xf>
    <xf numFmtId="0" fontId="92" fillId="0" borderId="0" xfId="63" applyFont="1" applyBorder="1" applyAlignment="1">
      <alignment horizontal="right"/>
    </xf>
    <xf numFmtId="0" fontId="93" fillId="0" borderId="0" xfId="63" applyFont="1" applyBorder="1" applyAlignment="1">
      <alignment horizontal="right"/>
    </xf>
    <xf numFmtId="0" fontId="94" fillId="0" borderId="0" xfId="63" applyFont="1" applyBorder="1" applyAlignment="1">
      <alignment horizontal="right"/>
    </xf>
    <xf numFmtId="0" fontId="95" fillId="0" borderId="0" xfId="63" applyFont="1" applyBorder="1"/>
    <xf numFmtId="172" fontId="93" fillId="0" borderId="0" xfId="63" applyNumberFormat="1" applyFont="1" applyBorder="1" applyAlignment="1">
      <alignment horizontal="right"/>
    </xf>
    <xf numFmtId="0" fontId="94" fillId="0" borderId="0" xfId="63" applyFont="1" applyBorder="1"/>
    <xf numFmtId="15" fontId="94" fillId="0" borderId="0" xfId="63" applyNumberFormat="1" applyFont="1" applyBorder="1"/>
    <xf numFmtId="0" fontId="94" fillId="0" borderId="0" xfId="0" applyFont="1"/>
    <xf numFmtId="0" fontId="93" fillId="0" borderId="0" xfId="0" applyFont="1" applyAlignment="1">
      <alignment horizontal="right"/>
    </xf>
    <xf numFmtId="0" fontId="93" fillId="0" borderId="0" xfId="63" applyFont="1" applyAlignment="1">
      <alignment horizontal="right"/>
    </xf>
    <xf numFmtId="0" fontId="94" fillId="0" borderId="0" xfId="63" applyFont="1" applyAlignment="1">
      <alignment horizontal="right"/>
    </xf>
    <xf numFmtId="0" fontId="94" fillId="0" borderId="0" xfId="63" applyFont="1"/>
    <xf numFmtId="172" fontId="94" fillId="0" borderId="0" xfId="63" applyNumberFormat="1" applyFont="1" applyAlignment="1">
      <alignment horizontal="right"/>
    </xf>
    <xf numFmtId="181" fontId="91" fillId="0" borderId="0" xfId="63" applyNumberFormat="1" applyFont="1" applyBorder="1" applyAlignment="1">
      <alignment horizontal="right"/>
    </xf>
    <xf numFmtId="9" fontId="91" fillId="0" borderId="0" xfId="67" applyFont="1" applyFill="1"/>
    <xf numFmtId="0" fontId="91" fillId="0" borderId="0" xfId="0" applyFont="1" applyAlignment="1">
      <alignment horizontal="right"/>
    </xf>
    <xf numFmtId="170" fontId="91" fillId="0" borderId="0" xfId="67" applyNumberFormat="1" applyFont="1" applyFill="1"/>
    <xf numFmtId="171" fontId="1" fillId="0" borderId="0" xfId="56" applyNumberFormat="1" applyFont="1" applyAlignment="1">
      <alignment horizontal="center"/>
    </xf>
    <xf numFmtId="168" fontId="78" fillId="0" borderId="0" xfId="57" applyFont="1" applyAlignment="1">
      <alignment horizontal="left"/>
    </xf>
    <xf numFmtId="169" fontId="63" fillId="0" borderId="0" xfId="0" applyNumberFormat="1" applyFont="1"/>
    <xf numFmtId="0" fontId="78" fillId="0" borderId="0" xfId="0" applyFont="1"/>
    <xf numFmtId="9" fontId="78" fillId="0" borderId="0" xfId="61" applyNumberFormat="1" applyFont="1" applyBorder="1" applyAlignment="1">
      <alignment horizontal="center"/>
    </xf>
    <xf numFmtId="14" fontId="1" fillId="0" borderId="0" xfId="56" applyNumberFormat="1" applyFont="1"/>
    <xf numFmtId="0" fontId="6" fillId="0" borderId="0" xfId="56" applyFont="1" applyAlignment="1">
      <alignment horizontal="right"/>
    </xf>
    <xf numFmtId="0" fontId="54" fillId="0" borderId="0" xfId="56" applyFont="1" applyAlignment="1">
      <alignment horizontal="right"/>
    </xf>
    <xf numFmtId="15" fontId="54" fillId="0" borderId="0" xfId="56" applyNumberFormat="1" applyFont="1" applyAlignment="1">
      <alignment horizontal="right"/>
    </xf>
    <xf numFmtId="0" fontId="1" fillId="0" borderId="13" xfId="56" applyFont="1" applyBorder="1"/>
    <xf numFmtId="0" fontId="13" fillId="0" borderId="14" xfId="56" applyFont="1" applyBorder="1"/>
    <xf numFmtId="0" fontId="1" fillId="0" borderId="14" xfId="56" applyFont="1" applyBorder="1"/>
    <xf numFmtId="0" fontId="6" fillId="0" borderId="14" xfId="56" applyFont="1" applyBorder="1"/>
    <xf numFmtId="0" fontId="54" fillId="0" borderId="14" xfId="56" applyFont="1" applyBorder="1"/>
    <xf numFmtId="39" fontId="6" fillId="0" borderId="14" xfId="56" applyNumberFormat="1" applyFont="1" applyBorder="1" applyAlignment="1">
      <alignment horizontal="right"/>
    </xf>
    <xf numFmtId="0" fontId="6" fillId="0" borderId="14" xfId="56" applyFont="1" applyBorder="1" applyAlignment="1">
      <alignment horizontal="left"/>
    </xf>
    <xf numFmtId="18" fontId="66" fillId="0" borderId="0" xfId="56" applyNumberFormat="1" applyFont="1" applyAlignment="1">
      <alignment horizontal="right"/>
    </xf>
    <xf numFmtId="0" fontId="66" fillId="0" borderId="0" xfId="56" applyFont="1" applyAlignment="1">
      <alignment horizontal="right"/>
    </xf>
    <xf numFmtId="0" fontId="13" fillId="0" borderId="0" xfId="56" applyFont="1" applyAlignment="1">
      <alignment horizontal="right"/>
    </xf>
    <xf numFmtId="164" fontId="66" fillId="0" borderId="0" xfId="56" applyNumberFormat="1" applyFont="1" applyAlignment="1">
      <alignment horizontal="left"/>
    </xf>
    <xf numFmtId="0" fontId="66" fillId="0" borderId="0" xfId="56" applyFont="1"/>
    <xf numFmtId="0" fontId="1" fillId="16" borderId="0" xfId="56" applyFont="1" applyFill="1"/>
    <xf numFmtId="39" fontId="7" fillId="16" borderId="0" xfId="56" quotePrefix="1" applyNumberFormat="1" applyFont="1" applyFill="1" applyAlignment="1">
      <alignment horizontal="right"/>
    </xf>
    <xf numFmtId="0" fontId="13" fillId="0" borderId="0" xfId="56" applyFont="1"/>
    <xf numFmtId="0" fontId="1" fillId="0" borderId="0" xfId="56" applyFont="1" applyAlignment="1">
      <alignment horizontal="right"/>
    </xf>
    <xf numFmtId="15" fontId="6" fillId="0" borderId="0" xfId="56" applyNumberFormat="1" applyFont="1" applyAlignment="1">
      <alignment horizontal="right"/>
    </xf>
    <xf numFmtId="15" fontId="6" fillId="0" borderId="21" xfId="56" applyNumberFormat="1" applyFont="1" applyBorder="1" applyAlignment="1">
      <alignment horizontal="right"/>
    </xf>
    <xf numFmtId="3" fontId="48" fillId="0" borderId="0" xfId="60" applyNumberFormat="1" applyFont="1" applyBorder="1"/>
    <xf numFmtId="3" fontId="54" fillId="0" borderId="0" xfId="60" applyNumberFormat="1" applyFont="1" applyBorder="1"/>
    <xf numFmtId="3" fontId="6" fillId="0" borderId="0" xfId="60" applyNumberFormat="1" applyFont="1" applyBorder="1"/>
    <xf numFmtId="3" fontId="54" fillId="0" borderId="21" xfId="60" applyNumberFormat="1" applyFont="1" applyBorder="1"/>
    <xf numFmtId="170" fontId="6" fillId="0" borderId="0" xfId="60" applyNumberFormat="1" applyFont="1" applyBorder="1"/>
    <xf numFmtId="170" fontId="6" fillId="0" borderId="21" xfId="60" applyNumberFormat="1" applyFont="1" applyBorder="1"/>
    <xf numFmtId="14" fontId="54" fillId="0" borderId="0" xfId="56" applyNumberFormat="1" applyFont="1"/>
    <xf numFmtId="14" fontId="1" fillId="0" borderId="0" xfId="56" applyNumberFormat="1" applyFont="1" applyAlignment="1">
      <alignment horizontal="right"/>
    </xf>
    <xf numFmtId="14" fontId="6" fillId="0" borderId="0" xfId="59" applyNumberFormat="1" applyFont="1" applyAlignment="1">
      <alignment horizontal="right"/>
    </xf>
    <xf numFmtId="14" fontId="54" fillId="0" borderId="0" xfId="56" applyNumberFormat="1" applyFont="1" applyAlignment="1">
      <alignment horizontal="right"/>
    </xf>
    <xf numFmtId="14" fontId="54" fillId="0" borderId="0" xfId="59" applyNumberFormat="1" applyFont="1" applyAlignment="1">
      <alignment horizontal="right"/>
    </xf>
    <xf numFmtId="14" fontId="1" fillId="0" borderId="0" xfId="59" applyNumberFormat="1" applyAlignment="1">
      <alignment horizontal="right"/>
    </xf>
    <xf numFmtId="14" fontId="1" fillId="0" borderId="21" xfId="59" applyNumberFormat="1" applyBorder="1" applyAlignment="1">
      <alignment horizontal="right"/>
    </xf>
    <xf numFmtId="3" fontId="54" fillId="0" borderId="0" xfId="60" applyNumberFormat="1" applyFont="1"/>
    <xf numFmtId="195" fontId="54" fillId="0" borderId="21" xfId="60" applyNumberFormat="1" applyFont="1" applyBorder="1"/>
    <xf numFmtId="0" fontId="7" fillId="16" borderId="0" xfId="60" applyFont="1" applyFill="1" applyBorder="1"/>
    <xf numFmtId="0" fontId="1" fillId="16" borderId="0" xfId="60" applyFont="1" applyFill="1" applyBorder="1"/>
    <xf numFmtId="0" fontId="7" fillId="16" borderId="0" xfId="60" applyFont="1" applyFill="1"/>
    <xf numFmtId="178" fontId="1" fillId="0" borderId="0" xfId="56" applyNumberFormat="1" applyFont="1" applyAlignment="1">
      <alignment horizontal="right"/>
    </xf>
    <xf numFmtId="172" fontId="1" fillId="0" borderId="21" xfId="56" applyNumberFormat="1" applyFont="1" applyBorder="1" applyAlignment="1">
      <alignment horizontal="right"/>
    </xf>
    <xf numFmtId="181" fontId="1" fillId="0" borderId="0" xfId="56" applyNumberFormat="1" applyFont="1" applyAlignment="1">
      <alignment horizontal="right"/>
    </xf>
    <xf numFmtId="181" fontId="1" fillId="0" borderId="21" xfId="56" applyNumberFormat="1" applyFont="1" applyBorder="1" applyAlignment="1">
      <alignment horizontal="right"/>
    </xf>
    <xf numFmtId="172" fontId="48" fillId="0" borderId="0" xfId="56" applyNumberFormat="1" applyFont="1" applyAlignment="1">
      <alignment horizontal="right"/>
    </xf>
    <xf numFmtId="1" fontId="1" fillId="0" borderId="0" xfId="56" applyNumberFormat="1" applyFont="1" applyAlignment="1">
      <alignment horizontal="right"/>
    </xf>
    <xf numFmtId="0" fontId="98" fillId="0" borderId="0" xfId="56" applyFont="1"/>
    <xf numFmtId="171" fontId="1" fillId="0" borderId="21" xfId="56" applyNumberFormat="1" applyFont="1" applyBorder="1" applyAlignment="1">
      <alignment horizontal="right"/>
    </xf>
    <xf numFmtId="0" fontId="1" fillId="0" borderId="0" xfId="60" applyFont="1" applyBorder="1"/>
    <xf numFmtId="4" fontId="1" fillId="0" borderId="0" xfId="67" applyNumberFormat="1" applyFont="1" applyBorder="1"/>
    <xf numFmtId="4" fontId="1" fillId="0" borderId="21" xfId="67" applyNumberFormat="1" applyFont="1" applyBorder="1"/>
    <xf numFmtId="170" fontId="1" fillId="0" borderId="0" xfId="60" applyNumberFormat="1" applyFont="1" applyBorder="1"/>
    <xf numFmtId="170" fontId="1" fillId="0" borderId="21" xfId="67" applyNumberFormat="1" applyFont="1" applyBorder="1"/>
    <xf numFmtId="0" fontId="1" fillId="0" borderId="21" xfId="60" applyFont="1" applyBorder="1"/>
    <xf numFmtId="181" fontId="1" fillId="0" borderId="0" xfId="60" applyNumberFormat="1" applyFont="1" applyBorder="1"/>
    <xf numFmtId="181" fontId="1" fillId="0" borderId="21" xfId="60" applyNumberFormat="1" applyFont="1" applyBorder="1"/>
    <xf numFmtId="195" fontId="1" fillId="0" borderId="0" xfId="60" applyNumberFormat="1" applyFont="1" applyBorder="1"/>
    <xf numFmtId="195" fontId="1" fillId="0" borderId="21" xfId="60" applyNumberFormat="1" applyFont="1" applyBorder="1"/>
    <xf numFmtId="0" fontId="1" fillId="0" borderId="0" xfId="60" applyFont="1"/>
    <xf numFmtId="0" fontId="48" fillId="0" borderId="0" xfId="56" applyFont="1"/>
    <xf numFmtId="170" fontId="1" fillId="0" borderId="21" xfId="56" applyNumberFormat="1" applyFont="1" applyBorder="1" applyAlignment="1">
      <alignment horizontal="right"/>
    </xf>
    <xf numFmtId="9" fontId="1" fillId="0" borderId="0" xfId="56" applyNumberFormat="1" applyFont="1" applyAlignment="1">
      <alignment horizontal="right"/>
    </xf>
    <xf numFmtId="9" fontId="1" fillId="0" borderId="21" xfId="56" applyNumberFormat="1" applyFont="1" applyBorder="1" applyAlignment="1">
      <alignment horizontal="right"/>
    </xf>
    <xf numFmtId="164" fontId="1" fillId="0" borderId="0" xfId="56" applyNumberFormat="1" applyFont="1" applyAlignment="1">
      <alignment horizontal="right"/>
    </xf>
    <xf numFmtId="164" fontId="1" fillId="0" borderId="21" xfId="56" applyNumberFormat="1" applyFont="1" applyBorder="1" applyAlignment="1">
      <alignment horizontal="right"/>
    </xf>
    <xf numFmtId="3" fontId="1" fillId="0" borderId="0" xfId="60" applyNumberFormat="1" applyFont="1" applyBorder="1"/>
    <xf numFmtId="180" fontId="1" fillId="0" borderId="0" xfId="60" applyNumberFormat="1" applyFont="1"/>
    <xf numFmtId="3" fontId="1" fillId="0" borderId="21" xfId="60" applyNumberFormat="1" applyFont="1" applyBorder="1"/>
    <xf numFmtId="172" fontId="1" fillId="0" borderId="21" xfId="56" applyNumberFormat="1" applyFont="1" applyBorder="1" applyAlignment="1" applyProtection="1">
      <alignment horizontal="right"/>
      <protection locked="0"/>
    </xf>
    <xf numFmtId="177" fontId="1" fillId="0" borderId="0" xfId="56" applyNumberFormat="1" applyFont="1" applyAlignment="1">
      <alignment horizontal="right"/>
    </xf>
    <xf numFmtId="172" fontId="1" fillId="0" borderId="17" xfId="56" applyNumberFormat="1" applyFont="1" applyBorder="1" applyAlignment="1">
      <alignment horizontal="right"/>
    </xf>
    <xf numFmtId="172" fontId="1" fillId="0" borderId="18" xfId="56" applyNumberFormat="1" applyFont="1" applyBorder="1" applyAlignment="1">
      <alignment horizontal="right"/>
    </xf>
    <xf numFmtId="172" fontId="48" fillId="0" borderId="17" xfId="56" applyNumberFormat="1" applyFont="1" applyBorder="1" applyAlignment="1">
      <alignment horizontal="right"/>
    </xf>
    <xf numFmtId="172" fontId="1" fillId="0" borderId="19" xfId="56" applyNumberFormat="1" applyFont="1" applyBorder="1" applyAlignment="1">
      <alignment horizontal="right"/>
    </xf>
    <xf numFmtId="172" fontId="1" fillId="0" borderId="20" xfId="56" applyNumberFormat="1" applyFont="1" applyBorder="1" applyAlignment="1">
      <alignment horizontal="right"/>
    </xf>
    <xf numFmtId="172" fontId="48" fillId="0" borderId="21" xfId="56" applyNumberFormat="1" applyFont="1" applyBorder="1" applyAlignment="1">
      <alignment horizontal="right"/>
    </xf>
    <xf numFmtId="172" fontId="1" fillId="0" borderId="22" xfId="56" applyNumberFormat="1" applyFont="1" applyBorder="1" applyAlignment="1">
      <alignment horizontal="right"/>
    </xf>
    <xf numFmtId="172" fontId="48" fillId="0" borderId="0" xfId="56" applyNumberFormat="1" applyFont="1" applyAlignment="1" applyProtection="1">
      <alignment horizontal="right"/>
      <protection locked="0"/>
    </xf>
    <xf numFmtId="172" fontId="1" fillId="0" borderId="20" xfId="56" applyNumberFormat="1" applyFont="1" applyBorder="1" applyAlignment="1" applyProtection="1">
      <alignment horizontal="right"/>
      <protection locked="0"/>
    </xf>
    <xf numFmtId="172" fontId="48" fillId="0" borderId="21" xfId="56" applyNumberFormat="1" applyFont="1" applyBorder="1" applyAlignment="1" applyProtection="1">
      <alignment horizontal="right"/>
      <protection locked="0"/>
    </xf>
    <xf numFmtId="172" fontId="48" fillId="0" borderId="20" xfId="56" applyNumberFormat="1" applyFont="1" applyBorder="1" applyAlignment="1" applyProtection="1">
      <alignment horizontal="right"/>
      <protection locked="0"/>
    </xf>
    <xf numFmtId="172" fontId="1" fillId="0" borderId="22" xfId="56" applyNumberFormat="1" applyFont="1" applyBorder="1" applyAlignment="1" applyProtection="1">
      <alignment horizontal="right"/>
      <protection locked="0"/>
    </xf>
    <xf numFmtId="181" fontId="1" fillId="0" borderId="21" xfId="56" applyNumberFormat="1" applyFont="1" applyBorder="1" applyAlignment="1" applyProtection="1">
      <alignment horizontal="right"/>
      <protection locked="0"/>
    </xf>
    <xf numFmtId="172" fontId="1" fillId="0" borderId="23" xfId="56" applyNumberFormat="1" applyFont="1" applyBorder="1" applyAlignment="1">
      <alignment horizontal="right"/>
    </xf>
    <xf numFmtId="172" fontId="1" fillId="0" borderId="24" xfId="56" applyNumberFormat="1" applyFont="1" applyBorder="1" applyAlignment="1">
      <alignment horizontal="right"/>
    </xf>
    <xf numFmtId="172" fontId="48" fillId="0" borderId="23" xfId="56" applyNumberFormat="1" applyFont="1" applyBorder="1" applyAlignment="1">
      <alignment horizontal="right"/>
    </xf>
    <xf numFmtId="172" fontId="48" fillId="0" borderId="24" xfId="56" applyNumberFormat="1" applyFont="1" applyBorder="1" applyAlignment="1">
      <alignment horizontal="right"/>
    </xf>
    <xf numFmtId="172" fontId="1" fillId="0" borderId="25" xfId="56" applyNumberFormat="1" applyFont="1" applyBorder="1" applyAlignment="1">
      <alignment horizontal="right"/>
    </xf>
    <xf numFmtId="172" fontId="1" fillId="0" borderId="17" xfId="56" applyNumberFormat="1" applyFont="1" applyBorder="1" applyAlignment="1" applyProtection="1">
      <alignment horizontal="right"/>
      <protection locked="0"/>
    </xf>
    <xf numFmtId="172" fontId="1" fillId="0" borderId="18" xfId="56" applyNumberFormat="1" applyFont="1" applyBorder="1" applyAlignment="1" applyProtection="1">
      <alignment horizontal="right"/>
      <protection locked="0"/>
    </xf>
    <xf numFmtId="172" fontId="48" fillId="0" borderId="17" xfId="56" applyNumberFormat="1" applyFont="1" applyBorder="1" applyAlignment="1" applyProtection="1">
      <alignment horizontal="right"/>
      <protection locked="0"/>
    </xf>
    <xf numFmtId="172" fontId="48" fillId="0" borderId="18" xfId="56" applyNumberFormat="1" applyFont="1" applyBorder="1" applyAlignment="1" applyProtection="1">
      <alignment horizontal="right"/>
      <protection locked="0"/>
    </xf>
    <xf numFmtId="172" fontId="48" fillId="0" borderId="19" xfId="56" applyNumberFormat="1" applyFont="1" applyBorder="1" applyAlignment="1" applyProtection="1">
      <alignment horizontal="right"/>
      <protection locked="0"/>
    </xf>
    <xf numFmtId="172" fontId="48" fillId="0" borderId="20" xfId="56" applyNumberFormat="1" applyFont="1" applyBorder="1" applyAlignment="1">
      <alignment horizontal="right"/>
    </xf>
    <xf numFmtId="172" fontId="48" fillId="0" borderId="22" xfId="56" applyNumberFormat="1" applyFont="1" applyBorder="1" applyAlignment="1" applyProtection="1">
      <alignment horizontal="right"/>
      <protection locked="0"/>
    </xf>
    <xf numFmtId="181" fontId="48" fillId="0" borderId="21" xfId="56" applyNumberFormat="1" applyFont="1" applyBorder="1" applyAlignment="1" applyProtection="1">
      <alignment horizontal="right"/>
      <protection locked="0"/>
    </xf>
    <xf numFmtId="172" fontId="48" fillId="0" borderId="23" xfId="56" applyNumberFormat="1" applyFont="1" applyBorder="1" applyAlignment="1" applyProtection="1">
      <alignment horizontal="right"/>
      <protection locked="0"/>
    </xf>
    <xf numFmtId="172" fontId="1" fillId="0" borderId="24" xfId="56" applyNumberFormat="1" applyFont="1" applyBorder="1" applyAlignment="1" applyProtection="1">
      <alignment horizontal="right"/>
      <protection locked="0"/>
    </xf>
    <xf numFmtId="172" fontId="48" fillId="0" borderId="25" xfId="56" applyNumberFormat="1" applyFont="1" applyBorder="1" applyAlignment="1" applyProtection="1">
      <alignment horizontal="right"/>
      <protection locked="0"/>
    </xf>
    <xf numFmtId="0" fontId="22" fillId="0" borderId="0" xfId="56" applyFont="1"/>
    <xf numFmtId="187" fontId="1" fillId="0" borderId="0" xfId="63" applyNumberFormat="1" applyFont="1" applyBorder="1" applyAlignment="1">
      <alignment horizontal="right"/>
    </xf>
    <xf numFmtId="0" fontId="12" fillId="0" borderId="0" xfId="56" applyFont="1" applyAlignment="1">
      <alignment horizontal="center"/>
    </xf>
    <xf numFmtId="170" fontId="12" fillId="0" borderId="0" xfId="56" applyNumberFormat="1" applyFont="1" applyAlignment="1" applyProtection="1">
      <alignment horizontal="right"/>
      <protection locked="0"/>
    </xf>
    <xf numFmtId="170" fontId="12" fillId="0" borderId="21" xfId="56" applyNumberFormat="1" applyFont="1" applyBorder="1" applyAlignment="1" applyProtection="1">
      <alignment horizontal="right"/>
      <protection locked="0"/>
    </xf>
    <xf numFmtId="172" fontId="48" fillId="0" borderId="18" xfId="56" applyNumberFormat="1" applyFont="1" applyBorder="1" applyAlignment="1">
      <alignment horizontal="right"/>
    </xf>
    <xf numFmtId="172" fontId="99" fillId="0" borderId="0" xfId="56" applyNumberFormat="1" applyFont="1" applyAlignment="1">
      <alignment horizontal="right"/>
    </xf>
    <xf numFmtId="172" fontId="99" fillId="0" borderId="21" xfId="56" applyNumberFormat="1" applyFont="1" applyBorder="1" applyAlignment="1">
      <alignment horizontal="right"/>
    </xf>
    <xf numFmtId="172" fontId="99" fillId="0" borderId="20" xfId="56" applyNumberFormat="1" applyFont="1" applyBorder="1" applyAlignment="1">
      <alignment horizontal="right"/>
    </xf>
    <xf numFmtId="172" fontId="48" fillId="0" borderId="26" xfId="56" applyNumberFormat="1" applyFont="1" applyBorder="1" applyAlignment="1">
      <alignment horizontal="right"/>
    </xf>
    <xf numFmtId="172" fontId="48" fillId="0" borderId="27" xfId="56" applyNumberFormat="1" applyFont="1" applyBorder="1" applyAlignment="1">
      <alignment horizontal="right"/>
    </xf>
    <xf numFmtId="172" fontId="1" fillId="0" borderId="26" xfId="56" applyNumberFormat="1" applyFont="1" applyBorder="1" applyAlignment="1">
      <alignment horizontal="right"/>
    </xf>
    <xf numFmtId="172" fontId="1" fillId="0" borderId="27" xfId="56" applyNumberFormat="1" applyFont="1" applyBorder="1" applyAlignment="1">
      <alignment horizontal="right"/>
    </xf>
    <xf numFmtId="172" fontId="1" fillId="0" borderId="28" xfId="56" applyNumberFormat="1" applyFont="1" applyBorder="1" applyAlignment="1">
      <alignment horizontal="right"/>
    </xf>
    <xf numFmtId="170" fontId="1" fillId="0" borderId="0" xfId="67" applyNumberFormat="1" applyFont="1" applyBorder="1" applyAlignment="1" applyProtection="1">
      <alignment horizontal="right"/>
      <protection locked="0"/>
    </xf>
    <xf numFmtId="49" fontId="1" fillId="0" borderId="0" xfId="56" applyNumberFormat="1" applyFont="1" applyAlignment="1">
      <alignment horizontal="left"/>
    </xf>
    <xf numFmtId="172" fontId="1" fillId="0" borderId="19" xfId="56" applyNumberFormat="1" applyFont="1" applyBorder="1" applyAlignment="1" applyProtection="1">
      <alignment horizontal="right"/>
      <protection locked="0"/>
    </xf>
    <xf numFmtId="172" fontId="48" fillId="0" borderId="22" xfId="56" applyNumberFormat="1" applyFont="1" applyBorder="1" applyAlignment="1">
      <alignment horizontal="right"/>
    </xf>
    <xf numFmtId="172" fontId="1" fillId="0" borderId="23" xfId="56" applyNumberFormat="1" applyFont="1" applyBorder="1" applyAlignment="1" applyProtection="1">
      <alignment horizontal="right"/>
      <protection locked="0"/>
    </xf>
    <xf numFmtId="178" fontId="48" fillId="0" borderId="0" xfId="56" applyNumberFormat="1" applyFont="1" applyAlignment="1">
      <alignment horizontal="right"/>
    </xf>
    <xf numFmtId="172" fontId="1" fillId="0" borderId="25" xfId="56" applyNumberFormat="1" applyFont="1" applyBorder="1" applyAlignment="1" applyProtection="1">
      <alignment horizontal="right"/>
      <protection locked="0"/>
    </xf>
    <xf numFmtId="0" fontId="1" fillId="0" borderId="0" xfId="56" quotePrefix="1" applyFont="1" applyAlignment="1">
      <alignment horizontal="left"/>
    </xf>
    <xf numFmtId="171" fontId="1" fillId="0" borderId="17" xfId="56" applyNumberFormat="1" applyFont="1" applyBorder="1" applyAlignment="1">
      <alignment horizontal="right"/>
    </xf>
    <xf numFmtId="171" fontId="48" fillId="0" borderId="18" xfId="56" applyNumberFormat="1" applyFont="1" applyBorder="1" applyAlignment="1">
      <alignment horizontal="right"/>
    </xf>
    <xf numFmtId="171" fontId="48" fillId="0" borderId="0" xfId="56" applyNumberFormat="1" applyFont="1" applyAlignment="1">
      <alignment horizontal="right"/>
    </xf>
    <xf numFmtId="171" fontId="48" fillId="0" borderId="17" xfId="56" applyNumberFormat="1" applyFont="1" applyBorder="1" applyAlignment="1">
      <alignment horizontal="right"/>
    </xf>
    <xf numFmtId="171" fontId="1" fillId="0" borderId="18" xfId="56" applyNumberFormat="1" applyFont="1" applyBorder="1" applyAlignment="1">
      <alignment horizontal="right"/>
    </xf>
    <xf numFmtId="9" fontId="1" fillId="0" borderId="17" xfId="67" applyFont="1" applyBorder="1" applyAlignment="1">
      <alignment horizontal="right"/>
    </xf>
    <xf numFmtId="171" fontId="1" fillId="0" borderId="19" xfId="56" applyNumberFormat="1" applyFont="1" applyBorder="1" applyAlignment="1">
      <alignment horizontal="right"/>
    </xf>
    <xf numFmtId="170" fontId="1" fillId="0" borderId="20" xfId="67" applyNumberFormat="1" applyFont="1" applyBorder="1" applyAlignment="1" applyProtection="1">
      <alignment horizontal="right"/>
      <protection locked="0"/>
    </xf>
    <xf numFmtId="9" fontId="1" fillId="0" borderId="20" xfId="67" applyFont="1" applyBorder="1" applyAlignment="1" applyProtection="1">
      <alignment horizontal="right"/>
      <protection locked="0"/>
    </xf>
    <xf numFmtId="172" fontId="48" fillId="0" borderId="24" xfId="56" applyNumberFormat="1" applyFont="1" applyBorder="1" applyAlignment="1" applyProtection="1">
      <alignment horizontal="right"/>
      <protection locked="0"/>
    </xf>
    <xf numFmtId="171" fontId="1" fillId="0" borderId="0" xfId="67" applyNumberFormat="1" applyFont="1" applyBorder="1" applyAlignment="1" applyProtection="1">
      <alignment horizontal="right"/>
      <protection locked="0"/>
    </xf>
    <xf numFmtId="9" fontId="1" fillId="0" borderId="0" xfId="56" applyNumberFormat="1" applyFont="1" applyAlignment="1" applyProtection="1">
      <alignment horizontal="right"/>
      <protection locked="0"/>
    </xf>
    <xf numFmtId="10" fontId="1" fillId="0" borderId="0" xfId="67" applyNumberFormat="1" applyFont="1" applyBorder="1" applyAlignment="1" applyProtection="1">
      <alignment horizontal="right"/>
      <protection locked="0"/>
    </xf>
    <xf numFmtId="4" fontId="1" fillId="0" borderId="0" xfId="67" applyNumberFormat="1" applyFont="1" applyBorder="1" applyAlignment="1" applyProtection="1">
      <alignment horizontal="right"/>
      <protection locked="0"/>
    </xf>
    <xf numFmtId="170" fontId="1" fillId="0" borderId="21" xfId="67" applyNumberFormat="1" applyFont="1" applyBorder="1" applyAlignment="1" applyProtection="1">
      <alignment horizontal="right"/>
      <protection locked="0"/>
    </xf>
    <xf numFmtId="9" fontId="1" fillId="0" borderId="21" xfId="56" applyNumberFormat="1" applyFont="1" applyBorder="1" applyAlignment="1" applyProtection="1">
      <alignment horizontal="right"/>
      <protection locked="0"/>
    </xf>
    <xf numFmtId="172" fontId="1" fillId="0" borderId="42" xfId="56" applyNumberFormat="1" applyFont="1" applyBorder="1" applyAlignment="1" applyProtection="1">
      <alignment horizontal="right"/>
      <protection locked="0"/>
    </xf>
    <xf numFmtId="172" fontId="98" fillId="0" borderId="20" xfId="56" applyNumberFormat="1" applyFont="1" applyBorder="1" applyAlignment="1" applyProtection="1">
      <alignment horizontal="right"/>
      <protection locked="0"/>
    </xf>
    <xf numFmtId="170" fontId="1" fillId="0" borderId="20" xfId="67" applyNumberFormat="1" applyFont="1" applyFill="1" applyBorder="1" applyAlignment="1" applyProtection="1">
      <alignment horizontal="right"/>
      <protection locked="0"/>
    </xf>
    <xf numFmtId="0" fontId="1" fillId="17" borderId="0" xfId="56" applyFont="1" applyFill="1" applyAlignment="1">
      <alignment horizontal="left"/>
    </xf>
    <xf numFmtId="0" fontId="1" fillId="17" borderId="0" xfId="56" applyFont="1" applyFill="1"/>
    <xf numFmtId="172" fontId="1" fillId="0" borderId="0" xfId="56" applyNumberFormat="1" applyFont="1" applyProtection="1">
      <protection locked="0"/>
    </xf>
    <xf numFmtId="172" fontId="1" fillId="0" borderId="21" xfId="56" applyNumberFormat="1" applyFont="1" applyBorder="1" applyProtection="1">
      <protection locked="0"/>
    </xf>
    <xf numFmtId="172" fontId="1" fillId="0" borderId="0" xfId="56" applyNumberFormat="1" applyFont="1"/>
    <xf numFmtId="172" fontId="1" fillId="0" borderId="21" xfId="56" applyNumberFormat="1" applyFont="1" applyBorder="1"/>
    <xf numFmtId="0" fontId="1" fillId="0" borderId="21" xfId="56" applyFont="1" applyBorder="1" applyAlignment="1">
      <alignment horizontal="right"/>
    </xf>
    <xf numFmtId="3" fontId="1" fillId="0" borderId="0" xfId="56" applyNumberFormat="1" applyFont="1" applyAlignment="1">
      <alignment horizontal="right"/>
    </xf>
    <xf numFmtId="3" fontId="1" fillId="0" borderId="21" xfId="56" applyNumberFormat="1" applyFont="1" applyBorder="1" applyAlignment="1">
      <alignment horizontal="right"/>
    </xf>
    <xf numFmtId="3" fontId="1" fillId="0" borderId="21" xfId="56" applyNumberFormat="1" applyFont="1" applyBorder="1"/>
    <xf numFmtId="4" fontId="1" fillId="0" borderId="21" xfId="56" applyNumberFormat="1" applyFont="1" applyBorder="1" applyAlignment="1">
      <alignment horizontal="right"/>
    </xf>
    <xf numFmtId="0" fontId="1" fillId="16" borderId="0" xfId="60" applyFont="1" applyFill="1"/>
    <xf numFmtId="172" fontId="1" fillId="0" borderId="29" xfId="56" applyNumberFormat="1" applyFont="1" applyBorder="1" applyAlignment="1">
      <alignment horizontal="right"/>
    </xf>
    <xf numFmtId="172" fontId="1" fillId="0" borderId="30" xfId="60" applyNumberFormat="1" applyFont="1" applyBorder="1" applyAlignment="1">
      <alignment horizontal="right"/>
    </xf>
    <xf numFmtId="172" fontId="1" fillId="0" borderId="31" xfId="56" applyNumberFormat="1" applyFont="1" applyBorder="1" applyAlignment="1">
      <alignment horizontal="right"/>
    </xf>
    <xf numFmtId="172" fontId="1" fillId="0" borderId="31" xfId="60" applyNumberFormat="1" applyFont="1" applyBorder="1" applyAlignment="1">
      <alignment horizontal="right"/>
    </xf>
    <xf numFmtId="172" fontId="48" fillId="0" borderId="30" xfId="60" applyNumberFormat="1" applyFont="1" applyBorder="1" applyAlignment="1">
      <alignment horizontal="right"/>
    </xf>
    <xf numFmtId="172" fontId="48" fillId="0" borderId="31" xfId="60" applyNumberFormat="1" applyFont="1" applyBorder="1" applyAlignment="1">
      <alignment horizontal="right"/>
    </xf>
    <xf numFmtId="172" fontId="1" fillId="0" borderId="29" xfId="60" applyNumberFormat="1" applyFont="1" applyBorder="1" applyAlignment="1">
      <alignment horizontal="right"/>
    </xf>
    <xf numFmtId="172" fontId="1" fillId="0" borderId="48" xfId="60" applyNumberFormat="1" applyFont="1" applyBorder="1" applyAlignment="1">
      <alignment horizontal="right"/>
    </xf>
    <xf numFmtId="172" fontId="48" fillId="0" borderId="31" xfId="56" applyNumberFormat="1" applyFont="1" applyBorder="1" applyAlignment="1">
      <alignment horizontal="right"/>
    </xf>
    <xf numFmtId="172" fontId="48" fillId="0" borderId="29" xfId="60" applyNumberFormat="1" applyFont="1" applyBorder="1" applyAlignment="1">
      <alignment horizontal="right"/>
    </xf>
    <xf numFmtId="172" fontId="1" fillId="0" borderId="12" xfId="56" applyNumberFormat="1" applyFont="1" applyBorder="1" applyAlignment="1">
      <alignment horizontal="right"/>
    </xf>
    <xf numFmtId="172" fontId="1" fillId="0" borderId="32" xfId="56" applyNumberFormat="1" applyFont="1" applyBorder="1" applyAlignment="1">
      <alignment horizontal="right"/>
    </xf>
    <xf numFmtId="172" fontId="1" fillId="0" borderId="13" xfId="60" applyNumberFormat="1" applyFont="1" applyBorder="1" applyAlignment="1">
      <alignment horizontal="right"/>
    </xf>
    <xf numFmtId="172" fontId="1" fillId="0" borderId="33" xfId="56" applyNumberFormat="1" applyFont="1" applyBorder="1" applyAlignment="1">
      <alignment horizontal="right"/>
    </xf>
    <xf numFmtId="172" fontId="1" fillId="0" borderId="33" xfId="60" applyNumberFormat="1" applyFont="1" applyBorder="1" applyAlignment="1">
      <alignment horizontal="right"/>
    </xf>
    <xf numFmtId="172" fontId="1" fillId="0" borderId="49" xfId="60" applyNumberFormat="1" applyFont="1" applyBorder="1" applyAlignment="1">
      <alignment horizontal="right"/>
    </xf>
    <xf numFmtId="172" fontId="1" fillId="0" borderId="34" xfId="56" applyNumberFormat="1" applyFont="1" applyBorder="1" applyAlignment="1">
      <alignment horizontal="right"/>
    </xf>
    <xf numFmtId="172" fontId="1" fillId="0" borderId="35" xfId="60" applyNumberFormat="1" applyFont="1" applyBorder="1" applyAlignment="1">
      <alignment horizontal="right"/>
    </xf>
    <xf numFmtId="172" fontId="1" fillId="0" borderId="16" xfId="56" applyNumberFormat="1" applyFont="1" applyBorder="1" applyAlignment="1">
      <alignment horizontal="right"/>
    </xf>
    <xf numFmtId="172" fontId="1" fillId="0" borderId="50" xfId="60" applyNumberFormat="1" applyFont="1" applyBorder="1" applyAlignment="1">
      <alignment horizontal="right"/>
    </xf>
    <xf numFmtId="172" fontId="1" fillId="0" borderId="36" xfId="56" applyNumberFormat="1" applyFont="1" applyBorder="1" applyAlignment="1">
      <alignment horizontal="right"/>
    </xf>
    <xf numFmtId="172" fontId="48" fillId="0" borderId="13" xfId="60" applyNumberFormat="1" applyFont="1" applyBorder="1" applyAlignment="1">
      <alignment horizontal="right"/>
    </xf>
    <xf numFmtId="172" fontId="48" fillId="0" borderId="33" xfId="60" applyNumberFormat="1" applyFont="1" applyBorder="1" applyAlignment="1">
      <alignment horizontal="right"/>
    </xf>
    <xf numFmtId="172" fontId="48" fillId="0" borderId="35" xfId="60" applyNumberFormat="1" applyFont="1" applyBorder="1" applyAlignment="1">
      <alignment horizontal="right"/>
    </xf>
    <xf numFmtId="172" fontId="48" fillId="0" borderId="16" xfId="56" applyNumberFormat="1" applyFont="1" applyBorder="1" applyAlignment="1">
      <alignment horizontal="right"/>
    </xf>
    <xf numFmtId="172" fontId="48" fillId="0" borderId="50" xfId="60" applyNumberFormat="1" applyFont="1" applyBorder="1" applyAlignment="1">
      <alignment horizontal="right"/>
    </xf>
    <xf numFmtId="172" fontId="48" fillId="0" borderId="33" xfId="56" applyNumberFormat="1" applyFont="1" applyBorder="1" applyAlignment="1">
      <alignment horizontal="right"/>
    </xf>
    <xf numFmtId="172" fontId="48" fillId="0" borderId="32" xfId="60" applyNumberFormat="1" applyFont="1" applyBorder="1" applyAlignment="1">
      <alignment horizontal="right"/>
    </xf>
    <xf numFmtId="172" fontId="1" fillId="0" borderId="32" xfId="60" applyNumberFormat="1" applyFont="1" applyBorder="1" applyAlignment="1">
      <alignment horizontal="right"/>
    </xf>
    <xf numFmtId="172" fontId="1" fillId="0" borderId="34" xfId="60" applyNumberFormat="1" applyFont="1" applyBorder="1" applyAlignment="1">
      <alignment horizontal="right"/>
    </xf>
    <xf numFmtId="172" fontId="48" fillId="0" borderId="34" xfId="60" applyNumberFormat="1" applyFont="1" applyBorder="1" applyAlignment="1">
      <alignment horizontal="right"/>
    </xf>
    <xf numFmtId="172" fontId="99" fillId="0" borderId="16" xfId="56" applyNumberFormat="1" applyFont="1" applyBorder="1" applyAlignment="1">
      <alignment horizontal="right"/>
    </xf>
    <xf numFmtId="172" fontId="99" fillId="0" borderId="34" xfId="60" applyNumberFormat="1" applyFont="1" applyBorder="1" applyAlignment="1">
      <alignment horizontal="right"/>
    </xf>
    <xf numFmtId="172" fontId="1" fillId="0" borderId="37" xfId="56" applyNumberFormat="1" applyFont="1" applyBorder="1" applyAlignment="1">
      <alignment horizontal="right"/>
    </xf>
    <xf numFmtId="172" fontId="1" fillId="0" borderId="38" xfId="60" applyNumberFormat="1" applyFont="1" applyBorder="1" applyAlignment="1">
      <alignment horizontal="right"/>
    </xf>
    <xf numFmtId="172" fontId="1" fillId="0" borderId="39" xfId="56" applyNumberFormat="1" applyFont="1" applyBorder="1" applyAlignment="1">
      <alignment horizontal="right"/>
    </xf>
    <xf numFmtId="172" fontId="48" fillId="0" borderId="38" xfId="60" applyNumberFormat="1" applyFont="1" applyBorder="1" applyAlignment="1">
      <alignment horizontal="right"/>
    </xf>
    <xf numFmtId="177" fontId="1" fillId="0" borderId="36" xfId="56" applyNumberFormat="1" applyFont="1" applyBorder="1" applyAlignment="1">
      <alignment horizontal="right"/>
    </xf>
    <xf numFmtId="172" fontId="1" fillId="0" borderId="37" xfId="60" applyNumberFormat="1" applyFont="1" applyBorder="1" applyAlignment="1">
      <alignment horizontal="right"/>
    </xf>
    <xf numFmtId="172" fontId="1" fillId="0" borderId="51" xfId="60" applyNumberFormat="1" applyFont="1" applyBorder="1" applyAlignment="1">
      <alignment horizontal="right"/>
    </xf>
    <xf numFmtId="172" fontId="48" fillId="0" borderId="39" xfId="56" applyNumberFormat="1" applyFont="1" applyBorder="1" applyAlignment="1">
      <alignment horizontal="right"/>
    </xf>
    <xf numFmtId="172" fontId="48" fillId="0" borderId="37" xfId="60" applyNumberFormat="1" applyFont="1" applyBorder="1" applyAlignment="1">
      <alignment horizontal="right"/>
    </xf>
    <xf numFmtId="172" fontId="1" fillId="0" borderId="38" xfId="56" applyNumberFormat="1" applyFont="1" applyBorder="1" applyAlignment="1">
      <alignment horizontal="right"/>
    </xf>
    <xf numFmtId="172" fontId="1" fillId="0" borderId="13" xfId="56" applyNumberFormat="1" applyFont="1" applyBorder="1" applyAlignment="1">
      <alignment horizontal="right"/>
    </xf>
    <xf numFmtId="172" fontId="1" fillId="0" borderId="14" xfId="56" applyNumberFormat="1" applyFont="1" applyBorder="1" applyAlignment="1">
      <alignment horizontal="right"/>
    </xf>
    <xf numFmtId="172" fontId="48" fillId="0" borderId="38" xfId="56" applyNumberFormat="1" applyFont="1" applyBorder="1" applyAlignment="1">
      <alignment horizontal="right"/>
    </xf>
    <xf numFmtId="172" fontId="48" fillId="0" borderId="37" xfId="56" applyNumberFormat="1" applyFont="1" applyBorder="1" applyAlignment="1">
      <alignment horizontal="right"/>
    </xf>
    <xf numFmtId="172" fontId="1" fillId="0" borderId="51" xfId="56" applyNumberFormat="1" applyFont="1" applyBorder="1" applyAlignment="1">
      <alignment horizontal="right"/>
    </xf>
    <xf numFmtId="172" fontId="1" fillId="0" borderId="39" xfId="60" applyNumberFormat="1" applyFont="1" applyBorder="1" applyAlignment="1">
      <alignment horizontal="right"/>
    </xf>
    <xf numFmtId="172" fontId="1" fillId="0" borderId="0" xfId="60" applyNumberFormat="1" applyFont="1" applyAlignment="1">
      <alignment horizontal="right"/>
    </xf>
    <xf numFmtId="172" fontId="1" fillId="0" borderId="0" xfId="60" applyNumberFormat="1" applyFont="1" applyBorder="1" applyAlignment="1">
      <alignment horizontal="right"/>
    </xf>
    <xf numFmtId="172" fontId="1" fillId="0" borderId="21" xfId="60" applyNumberFormat="1" applyFont="1" applyBorder="1" applyAlignment="1">
      <alignment horizontal="right"/>
    </xf>
    <xf numFmtId="172" fontId="1" fillId="0" borderId="30" xfId="56" applyNumberFormat="1" applyFont="1" applyBorder="1" applyAlignment="1" applyProtection="1">
      <alignment horizontal="right"/>
      <protection locked="0"/>
    </xf>
    <xf numFmtId="172" fontId="48" fillId="0" borderId="30" xfId="56" applyNumberFormat="1" applyFont="1" applyBorder="1" applyAlignment="1" applyProtection="1">
      <alignment horizontal="right"/>
      <protection locked="0"/>
    </xf>
    <xf numFmtId="172" fontId="48" fillId="0" borderId="29" xfId="56" applyNumberFormat="1" applyFont="1" applyBorder="1" applyAlignment="1" applyProtection="1">
      <alignment horizontal="right"/>
      <protection locked="0"/>
    </xf>
    <xf numFmtId="172" fontId="1" fillId="0" borderId="29" xfId="56" applyNumberFormat="1" applyFont="1" applyBorder="1" applyAlignment="1" applyProtection="1">
      <alignment horizontal="right"/>
      <protection locked="0"/>
    </xf>
    <xf numFmtId="0" fontId="100" fillId="0" borderId="0" xfId="56" applyFont="1" applyAlignment="1">
      <alignment horizontal="left"/>
    </xf>
    <xf numFmtId="172" fontId="1" fillId="18" borderId="0" xfId="56" applyNumberFormat="1" applyFont="1" applyFill="1" applyAlignment="1">
      <alignment horizontal="right"/>
    </xf>
    <xf numFmtId="172" fontId="1" fillId="17" borderId="0" xfId="56" applyNumberFormat="1" applyFont="1" applyFill="1" applyAlignment="1">
      <alignment horizontal="right"/>
    </xf>
    <xf numFmtId="172" fontId="1" fillId="0" borderId="30" xfId="56" applyNumberFormat="1" applyFont="1" applyBorder="1" applyAlignment="1">
      <alignment horizontal="right"/>
    </xf>
    <xf numFmtId="172" fontId="48" fillId="0" borderId="30" xfId="56" applyNumberFormat="1" applyFont="1" applyBorder="1" applyAlignment="1">
      <alignment horizontal="right"/>
    </xf>
    <xf numFmtId="172" fontId="48" fillId="0" borderId="29" xfId="56" applyNumberFormat="1" applyFont="1" applyBorder="1" applyAlignment="1">
      <alignment horizontal="right"/>
    </xf>
    <xf numFmtId="181" fontId="48" fillId="0" borderId="31" xfId="56" applyNumberFormat="1" applyFont="1" applyBorder="1" applyAlignment="1">
      <alignment horizontal="right"/>
    </xf>
    <xf numFmtId="172" fontId="99" fillId="0" borderId="31" xfId="56" applyNumberFormat="1" applyFont="1" applyBorder="1" applyAlignment="1">
      <alignment horizontal="right"/>
    </xf>
    <xf numFmtId="172" fontId="48" fillId="0" borderId="48" xfId="56" applyNumberFormat="1" applyFont="1" applyBorder="1" applyAlignment="1">
      <alignment horizontal="right"/>
    </xf>
    <xf numFmtId="172" fontId="48" fillId="0" borderId="12" xfId="56" applyNumberFormat="1" applyFont="1" applyBorder="1" applyAlignment="1">
      <alignment horizontal="right"/>
    </xf>
    <xf numFmtId="172" fontId="101" fillId="0" borderId="0" xfId="56" applyNumberFormat="1" applyFont="1" applyAlignment="1">
      <alignment horizontal="right"/>
    </xf>
    <xf numFmtId="182" fontId="1" fillId="0" borderId="0" xfId="56" applyNumberFormat="1" applyFont="1"/>
    <xf numFmtId="172" fontId="48" fillId="0" borderId="0" xfId="56" applyNumberFormat="1" applyFont="1"/>
    <xf numFmtId="170" fontId="1" fillId="0" borderId="21" xfId="56" applyNumberFormat="1" applyFont="1" applyBorder="1"/>
    <xf numFmtId="172" fontId="1" fillId="0" borderId="48" xfId="56" applyNumberFormat="1" applyFont="1" applyBorder="1" applyAlignment="1">
      <alignment horizontal="right"/>
    </xf>
    <xf numFmtId="169" fontId="1" fillId="0" borderId="0" xfId="56" applyNumberFormat="1" applyFont="1"/>
    <xf numFmtId="172" fontId="48" fillId="0" borderId="32" xfId="56" applyNumberFormat="1" applyFont="1" applyBorder="1" applyAlignment="1">
      <alignment horizontal="right"/>
    </xf>
    <xf numFmtId="172" fontId="48" fillId="0" borderId="13" xfId="56" applyNumberFormat="1" applyFont="1" applyBorder="1" applyAlignment="1">
      <alignment horizontal="right"/>
    </xf>
    <xf numFmtId="172" fontId="1" fillId="0" borderId="49" xfId="56" applyNumberFormat="1" applyFont="1" applyBorder="1" applyAlignment="1">
      <alignment horizontal="right"/>
    </xf>
    <xf numFmtId="172" fontId="1" fillId="0" borderId="35" xfId="56" applyNumberFormat="1" applyFont="1" applyBorder="1" applyAlignment="1">
      <alignment horizontal="right"/>
    </xf>
    <xf numFmtId="172" fontId="1" fillId="0" borderId="50" xfId="56" applyNumberFormat="1" applyFont="1" applyBorder="1" applyAlignment="1">
      <alignment horizontal="right"/>
    </xf>
    <xf numFmtId="172" fontId="48" fillId="0" borderId="35" xfId="56" applyNumberFormat="1" applyFont="1" applyBorder="1" applyAlignment="1">
      <alignment horizontal="right"/>
    </xf>
    <xf numFmtId="172" fontId="48" fillId="0" borderId="50" xfId="56" applyNumberFormat="1" applyFont="1" applyBorder="1" applyAlignment="1">
      <alignment horizontal="right"/>
    </xf>
    <xf numFmtId="178" fontId="1" fillId="0" borderId="13" xfId="56" applyNumberFormat="1" applyFont="1" applyBorder="1" applyAlignment="1">
      <alignment horizontal="right"/>
    </xf>
    <xf numFmtId="172" fontId="48" fillId="0" borderId="34" xfId="56" applyNumberFormat="1" applyFont="1" applyBorder="1" applyAlignment="1">
      <alignment horizontal="right"/>
    </xf>
    <xf numFmtId="172" fontId="99" fillId="0" borderId="29" xfId="56" applyNumberFormat="1" applyFont="1" applyBorder="1" applyAlignment="1">
      <alignment horizontal="right"/>
    </xf>
    <xf numFmtId="169" fontId="1" fillId="0" borderId="0" xfId="56" applyNumberFormat="1" applyFont="1" applyAlignment="1">
      <alignment horizontal="right"/>
    </xf>
    <xf numFmtId="169" fontId="1" fillId="0" borderId="13" xfId="56" applyNumberFormat="1" applyFont="1" applyBorder="1" applyAlignment="1">
      <alignment horizontal="right"/>
    </xf>
    <xf numFmtId="172" fontId="48" fillId="0" borderId="49" xfId="56" applyNumberFormat="1" applyFont="1" applyBorder="1" applyAlignment="1">
      <alignment horizontal="right"/>
    </xf>
    <xf numFmtId="169" fontId="1" fillId="0" borderId="35" xfId="56" applyNumberFormat="1" applyFont="1" applyBorder="1" applyAlignment="1">
      <alignment horizontal="right"/>
    </xf>
    <xf numFmtId="172" fontId="1" fillId="18" borderId="33" xfId="56" applyNumberFormat="1" applyFont="1" applyFill="1" applyBorder="1" applyAlignment="1">
      <alignment horizontal="right"/>
    </xf>
    <xf numFmtId="172" fontId="1" fillId="18" borderId="36" xfId="56" applyNumberFormat="1" applyFont="1" applyFill="1" applyBorder="1" applyAlignment="1">
      <alignment horizontal="right"/>
    </xf>
    <xf numFmtId="169" fontId="1" fillId="0" borderId="38" xfId="56" applyNumberFormat="1" applyFont="1" applyBorder="1" applyAlignment="1">
      <alignment horizontal="right"/>
    </xf>
    <xf numFmtId="169" fontId="1" fillId="0" borderId="12" xfId="56" applyNumberFormat="1" applyFont="1" applyBorder="1" applyAlignment="1">
      <alignment horizontal="right"/>
    </xf>
    <xf numFmtId="169" fontId="1" fillId="0" borderId="30" xfId="56" applyNumberFormat="1" applyFont="1" applyBorder="1" applyAlignment="1">
      <alignment horizontal="right"/>
    </xf>
    <xf numFmtId="172" fontId="99" fillId="0" borderId="38" xfId="56" applyNumberFormat="1" applyFont="1" applyBorder="1" applyAlignment="1">
      <alignment horizontal="right"/>
    </xf>
    <xf numFmtId="0" fontId="1" fillId="0" borderId="21" xfId="0" applyFont="1" applyBorder="1"/>
    <xf numFmtId="4" fontId="1" fillId="0" borderId="12" xfId="56" applyNumberFormat="1" applyFont="1" applyBorder="1" applyAlignment="1">
      <alignment horizontal="right"/>
    </xf>
    <xf numFmtId="183" fontId="1" fillId="0" borderId="12" xfId="56" applyNumberFormat="1" applyFont="1" applyBorder="1" applyAlignment="1">
      <alignment horizontal="right"/>
    </xf>
    <xf numFmtId="4" fontId="1" fillId="0" borderId="18" xfId="56" applyNumberFormat="1" applyFont="1" applyBorder="1" applyAlignment="1">
      <alignment horizontal="right"/>
    </xf>
    <xf numFmtId="0" fontId="7" fillId="0" borderId="0" xfId="60" applyFont="1" applyBorder="1"/>
    <xf numFmtId="0" fontId="7" fillId="0" borderId="0" xfId="60" applyFont="1"/>
    <xf numFmtId="172" fontId="7" fillId="0" borderId="13" xfId="56" applyNumberFormat="1" applyFont="1" applyBorder="1" applyAlignment="1" applyProtection="1">
      <alignment horizontal="right"/>
      <protection locked="0"/>
    </xf>
    <xf numFmtId="172" fontId="7" fillId="0" borderId="31" xfId="56" applyNumberFormat="1" applyFont="1" applyBorder="1" applyAlignment="1" applyProtection="1">
      <alignment horizontal="right"/>
      <protection locked="0"/>
    </xf>
    <xf numFmtId="172" fontId="7" fillId="0" borderId="0" xfId="56" applyNumberFormat="1" applyFont="1" applyAlignment="1">
      <alignment horizontal="right"/>
    </xf>
    <xf numFmtId="172" fontId="49" fillId="0" borderId="13" xfId="56" applyNumberFormat="1" applyFont="1" applyBorder="1" applyAlignment="1" applyProtection="1">
      <alignment horizontal="right"/>
      <protection locked="0"/>
    </xf>
    <xf numFmtId="172" fontId="49" fillId="0" borderId="31" xfId="56" applyNumberFormat="1" applyFont="1" applyBorder="1" applyAlignment="1" applyProtection="1">
      <alignment horizontal="right"/>
      <protection locked="0"/>
    </xf>
    <xf numFmtId="172" fontId="49" fillId="0" borderId="0" xfId="56" applyNumberFormat="1" applyFont="1" applyAlignment="1">
      <alignment horizontal="right"/>
    </xf>
    <xf numFmtId="172" fontId="7" fillId="0" borderId="21" xfId="56" applyNumberFormat="1" applyFont="1" applyBorder="1" applyAlignment="1">
      <alignment horizontal="right"/>
    </xf>
    <xf numFmtId="172" fontId="7" fillId="0" borderId="14" xfId="56" applyNumberFormat="1" applyFont="1" applyBorder="1" applyAlignment="1" applyProtection="1">
      <alignment horizontal="right"/>
      <protection locked="0"/>
    </xf>
    <xf numFmtId="172" fontId="1" fillId="0" borderId="34" xfId="56" applyNumberFormat="1" applyFont="1" applyBorder="1" applyAlignment="1" applyProtection="1">
      <alignment horizontal="right"/>
      <protection locked="0"/>
    </xf>
    <xf numFmtId="172" fontId="1" fillId="0" borderId="16" xfId="56" applyNumberFormat="1" applyFont="1" applyBorder="1" applyAlignment="1" applyProtection="1">
      <alignment horizontal="right"/>
      <protection locked="0"/>
    </xf>
    <xf numFmtId="172" fontId="48" fillId="0" borderId="16" xfId="56" applyNumberFormat="1" applyFont="1" applyBorder="1" applyAlignment="1" applyProtection="1">
      <alignment horizontal="right"/>
      <protection locked="0"/>
    </xf>
    <xf numFmtId="170" fontId="1" fillId="0" borderId="0" xfId="60" applyNumberFormat="1" applyFont="1" applyAlignment="1">
      <alignment horizontal="right"/>
    </xf>
    <xf numFmtId="170" fontId="7" fillId="0" borderId="0" xfId="60" applyNumberFormat="1" applyFont="1" applyAlignment="1">
      <alignment horizontal="right"/>
    </xf>
    <xf numFmtId="170" fontId="7" fillId="0" borderId="21" xfId="60" applyNumberFormat="1" applyFont="1" applyBorder="1" applyAlignment="1">
      <alignment horizontal="right"/>
    </xf>
    <xf numFmtId="170" fontId="1" fillId="0" borderId="0" xfId="60" applyNumberFormat="1" applyFont="1" applyBorder="1" applyAlignment="1">
      <alignment horizontal="right"/>
    </xf>
    <xf numFmtId="170" fontId="1" fillId="0" borderId="21" xfId="60" applyNumberFormat="1" applyFont="1" applyBorder="1" applyAlignment="1">
      <alignment horizontal="right"/>
    </xf>
    <xf numFmtId="9" fontId="48" fillId="0" borderId="30" xfId="56" applyNumberFormat="1" applyFont="1" applyBorder="1" applyAlignment="1" applyProtection="1">
      <alignment horizontal="right"/>
      <protection locked="0"/>
    </xf>
    <xf numFmtId="9" fontId="48" fillId="0" borderId="31" xfId="56" applyNumberFormat="1" applyFont="1" applyBorder="1" applyAlignment="1" applyProtection="1">
      <alignment horizontal="right"/>
      <protection locked="0"/>
    </xf>
    <xf numFmtId="9" fontId="1" fillId="0" borderId="30" xfId="56" applyNumberFormat="1" applyFont="1" applyBorder="1" applyAlignment="1" applyProtection="1">
      <alignment horizontal="right"/>
      <protection locked="0"/>
    </xf>
    <xf numFmtId="9" fontId="1" fillId="0" borderId="31" xfId="56" applyNumberFormat="1" applyFont="1" applyBorder="1" applyAlignment="1" applyProtection="1">
      <alignment horizontal="right"/>
      <protection locked="0"/>
    </xf>
    <xf numFmtId="9" fontId="1" fillId="0" borderId="35" xfId="56" applyNumberFormat="1" applyFont="1" applyBorder="1" applyAlignment="1" applyProtection="1">
      <alignment horizontal="right"/>
      <protection locked="0"/>
    </xf>
    <xf numFmtId="9" fontId="1" fillId="0" borderId="40" xfId="56" applyNumberFormat="1" applyFont="1" applyBorder="1" applyAlignment="1" applyProtection="1">
      <alignment horizontal="right"/>
      <protection locked="0"/>
    </xf>
    <xf numFmtId="0" fontId="1" fillId="0" borderId="0" xfId="60" applyFont="1" applyBorder="1" applyAlignment="1">
      <alignment horizontal="right"/>
    </xf>
    <xf numFmtId="0" fontId="1" fillId="0" borderId="21" xfId="60" applyFont="1" applyBorder="1" applyAlignment="1">
      <alignment horizontal="right"/>
    </xf>
    <xf numFmtId="170" fontId="1" fillId="0" borderId="30" xfId="56" applyNumberFormat="1" applyFont="1" applyBorder="1" applyAlignment="1">
      <alignment horizontal="right"/>
    </xf>
    <xf numFmtId="170" fontId="1" fillId="0" borderId="31" xfId="56" applyNumberFormat="1" applyFont="1" applyBorder="1" applyAlignment="1">
      <alignment horizontal="right"/>
    </xf>
    <xf numFmtId="170" fontId="1" fillId="0" borderId="0" xfId="56" applyNumberFormat="1" applyFont="1" applyAlignment="1" applyProtection="1">
      <alignment horizontal="right"/>
      <protection locked="0"/>
    </xf>
    <xf numFmtId="170" fontId="1" fillId="0" borderId="21" xfId="56" applyNumberFormat="1" applyFont="1" applyBorder="1" applyAlignment="1" applyProtection="1">
      <alignment horizontal="right"/>
      <protection locked="0"/>
    </xf>
    <xf numFmtId="170" fontId="1" fillId="0" borderId="40" xfId="56" applyNumberFormat="1" applyFont="1" applyBorder="1" applyAlignment="1">
      <alignment horizontal="right"/>
    </xf>
    <xf numFmtId="171" fontId="1" fillId="0" borderId="12" xfId="56" applyNumberFormat="1" applyFont="1" applyBorder="1" applyAlignment="1">
      <alignment horizontal="right"/>
    </xf>
    <xf numFmtId="171" fontId="1" fillId="0" borderId="12" xfId="56" applyNumberFormat="1" applyFont="1" applyBorder="1" applyAlignment="1" applyProtection="1">
      <alignment horizontal="right"/>
      <protection locked="0"/>
    </xf>
    <xf numFmtId="171" fontId="48" fillId="0" borderId="12" xfId="56" applyNumberFormat="1" applyFont="1" applyBorder="1" applyAlignment="1">
      <alignment horizontal="right"/>
    </xf>
    <xf numFmtId="171" fontId="1" fillId="0" borderId="18" xfId="56" applyNumberFormat="1" applyFont="1" applyBorder="1" applyAlignment="1" applyProtection="1">
      <alignment horizontal="right"/>
      <protection locked="0"/>
    </xf>
    <xf numFmtId="164" fontId="1" fillId="0" borderId="13" xfId="56" applyNumberFormat="1" applyFont="1" applyBorder="1" applyAlignment="1">
      <alignment horizontal="right"/>
    </xf>
    <xf numFmtId="164" fontId="1" fillId="0" borderId="33" xfId="56" applyNumberFormat="1" applyFont="1" applyBorder="1" applyAlignment="1">
      <alignment horizontal="right"/>
    </xf>
    <xf numFmtId="164" fontId="1" fillId="0" borderId="0" xfId="56" applyNumberFormat="1" applyFont="1" applyAlignment="1" applyProtection="1">
      <alignment horizontal="right"/>
      <protection locked="0"/>
    </xf>
    <xf numFmtId="164" fontId="1" fillId="0" borderId="21" xfId="56" applyNumberFormat="1" applyFont="1" applyBorder="1" applyAlignment="1" applyProtection="1">
      <alignment horizontal="right"/>
      <protection locked="0"/>
    </xf>
    <xf numFmtId="164" fontId="1" fillId="0" borderId="14" xfId="56" applyNumberFormat="1" applyFont="1" applyBorder="1" applyAlignment="1">
      <alignment horizontal="right"/>
    </xf>
    <xf numFmtId="170" fontId="1" fillId="0" borderId="38" xfId="56" applyNumberFormat="1" applyFont="1" applyBorder="1" applyAlignment="1">
      <alignment horizontal="right"/>
    </xf>
    <xf numFmtId="164" fontId="1" fillId="0" borderId="38" xfId="56" applyNumberFormat="1" applyFont="1" applyBorder="1" applyAlignment="1">
      <alignment horizontal="right"/>
    </xf>
    <xf numFmtId="164" fontId="1" fillId="0" borderId="39" xfId="56" applyNumberFormat="1" applyFont="1" applyBorder="1" applyAlignment="1">
      <alignment horizontal="right"/>
    </xf>
    <xf numFmtId="171" fontId="1" fillId="0" borderId="38" xfId="60" applyNumberFormat="1" applyFont="1" applyBorder="1" applyAlignment="1">
      <alignment horizontal="right"/>
    </xf>
    <xf numFmtId="171" fontId="1" fillId="0" borderId="39" xfId="60" applyNumberFormat="1" applyFont="1" applyBorder="1" applyAlignment="1">
      <alignment horizontal="right"/>
    </xf>
    <xf numFmtId="171" fontId="1" fillId="0" borderId="0" xfId="60" applyNumberFormat="1" applyFont="1" applyAlignment="1">
      <alignment horizontal="right"/>
    </xf>
    <xf numFmtId="171" fontId="1" fillId="0" borderId="21" xfId="60" applyNumberFormat="1" applyFont="1" applyBorder="1" applyAlignment="1">
      <alignment horizontal="right"/>
    </xf>
    <xf numFmtId="171" fontId="1" fillId="0" borderId="0" xfId="60" applyNumberFormat="1" applyFont="1" applyBorder="1" applyAlignment="1">
      <alignment horizontal="right"/>
    </xf>
    <xf numFmtId="164" fontId="1" fillId="0" borderId="30" xfId="60" applyNumberFormat="1" applyFont="1" applyBorder="1" applyAlignment="1">
      <alignment horizontal="right"/>
    </xf>
    <xf numFmtId="164" fontId="1" fillId="0" borderId="31" xfId="60" applyNumberFormat="1" applyFont="1" applyBorder="1" applyAlignment="1">
      <alignment horizontal="right"/>
    </xf>
    <xf numFmtId="164" fontId="1" fillId="0" borderId="0" xfId="60" applyNumberFormat="1" applyFont="1" applyAlignment="1">
      <alignment horizontal="right"/>
    </xf>
    <xf numFmtId="164" fontId="1" fillId="0" borderId="21" xfId="60" applyNumberFormat="1" applyFont="1" applyBorder="1" applyAlignment="1">
      <alignment horizontal="right"/>
    </xf>
    <xf numFmtId="164" fontId="1" fillId="0" borderId="40" xfId="60" applyNumberFormat="1" applyFont="1" applyBorder="1" applyAlignment="1">
      <alignment horizontal="right"/>
    </xf>
    <xf numFmtId="171" fontId="1" fillId="0" borderId="12" xfId="60" applyNumberFormat="1" applyFont="1" applyBorder="1" applyAlignment="1">
      <alignment horizontal="right"/>
    </xf>
    <xf numFmtId="171" fontId="1" fillId="0" borderId="18" xfId="60" applyNumberFormat="1" applyFont="1" applyBorder="1" applyAlignment="1">
      <alignment horizontal="right"/>
    </xf>
    <xf numFmtId="0" fontId="51" fillId="0" borderId="0" xfId="56" applyFont="1" applyAlignment="1">
      <alignment horizontal="left"/>
    </xf>
    <xf numFmtId="172" fontId="1" fillId="0" borderId="32" xfId="56" applyNumberFormat="1" applyFont="1" applyBorder="1" applyAlignment="1" applyProtection="1">
      <alignment horizontal="right"/>
      <protection locked="0"/>
    </xf>
    <xf numFmtId="172" fontId="1" fillId="0" borderId="33" xfId="56" applyNumberFormat="1" applyFont="1" applyBorder="1" applyAlignment="1" applyProtection="1">
      <alignment horizontal="right"/>
      <protection locked="0"/>
    </xf>
    <xf numFmtId="172" fontId="1" fillId="0" borderId="48" xfId="56" applyNumberFormat="1" applyFont="1" applyBorder="1" applyAlignment="1" applyProtection="1">
      <alignment horizontal="right"/>
      <protection locked="0"/>
    </xf>
    <xf numFmtId="15" fontId="1" fillId="0" borderId="38" xfId="56" applyNumberFormat="1" applyFont="1" applyBorder="1" applyAlignment="1" applyProtection="1">
      <alignment horizontal="center"/>
      <protection locked="0"/>
    </xf>
    <xf numFmtId="15" fontId="1" fillId="0" borderId="33" xfId="56" applyNumberFormat="1" applyFont="1" applyBorder="1" applyAlignment="1" applyProtection="1">
      <alignment horizontal="center"/>
      <protection locked="0"/>
    </xf>
    <xf numFmtId="15" fontId="1" fillId="0" borderId="0" xfId="56" applyNumberFormat="1" applyFont="1" applyAlignment="1" applyProtection="1">
      <alignment horizontal="center"/>
      <protection locked="0"/>
    </xf>
    <xf numFmtId="15" fontId="48" fillId="0" borderId="38" xfId="56" applyNumberFormat="1" applyFont="1" applyBorder="1" applyAlignment="1" applyProtection="1">
      <alignment horizontal="center"/>
      <protection locked="0"/>
    </xf>
    <xf numFmtId="15" fontId="48" fillId="0" borderId="33" xfId="56" applyNumberFormat="1" applyFont="1" applyBorder="1" applyAlignment="1" applyProtection="1">
      <alignment horizontal="center"/>
      <protection locked="0"/>
    </xf>
    <xf numFmtId="15" fontId="1" fillId="0" borderId="21" xfId="56" applyNumberFormat="1" applyFont="1" applyBorder="1" applyAlignment="1" applyProtection="1">
      <alignment horizontal="center"/>
      <protection locked="0"/>
    </xf>
    <xf numFmtId="15" fontId="1" fillId="0" borderId="35" xfId="56" applyNumberFormat="1" applyFont="1" applyBorder="1" applyAlignment="1" applyProtection="1">
      <alignment horizontal="center"/>
      <protection locked="0"/>
    </xf>
    <xf numFmtId="15" fontId="1" fillId="0" borderId="16" xfId="56" applyNumberFormat="1" applyFont="1" applyBorder="1" applyAlignment="1" applyProtection="1">
      <alignment horizontal="center"/>
      <protection locked="0"/>
    </xf>
    <xf numFmtId="15" fontId="48" fillId="0" borderId="35" xfId="56" applyNumberFormat="1" applyFont="1" applyBorder="1" applyAlignment="1" applyProtection="1">
      <alignment horizontal="center"/>
      <protection locked="0"/>
    </xf>
    <xf numFmtId="15" fontId="48" fillId="0" borderId="16" xfId="56" applyNumberFormat="1" applyFont="1" applyBorder="1" applyAlignment="1" applyProtection="1">
      <alignment horizontal="center"/>
      <protection locked="0"/>
    </xf>
    <xf numFmtId="15" fontId="1" fillId="0" borderId="47" xfId="56" applyNumberFormat="1" applyFont="1" applyBorder="1" applyAlignment="1" applyProtection="1">
      <alignment horizontal="center"/>
      <protection locked="0"/>
    </xf>
    <xf numFmtId="0" fontId="54" fillId="0" borderId="0" xfId="56" applyFont="1" applyAlignment="1">
      <alignment horizontal="left"/>
    </xf>
    <xf numFmtId="0" fontId="54" fillId="0" borderId="0" xfId="56" applyFont="1" applyAlignment="1">
      <alignment horizontal="center"/>
    </xf>
    <xf numFmtId="0" fontId="14" fillId="0" borderId="0" xfId="56" applyFont="1" applyAlignment="1">
      <alignment horizontal="right"/>
    </xf>
    <xf numFmtId="172" fontId="14" fillId="0" borderId="0" xfId="56" applyNumberFormat="1" applyFont="1" applyAlignment="1">
      <alignment horizontal="right"/>
    </xf>
    <xf numFmtId="172" fontId="6" fillId="0" borderId="0" xfId="56" applyNumberFormat="1" applyFont="1" applyAlignment="1">
      <alignment horizontal="right"/>
    </xf>
    <xf numFmtId="172" fontId="54" fillId="0" borderId="0" xfId="56" applyNumberFormat="1" applyFont="1" applyAlignment="1">
      <alignment horizontal="right"/>
    </xf>
    <xf numFmtId="172" fontId="54" fillId="0" borderId="21" xfId="56" applyNumberFormat="1" applyFont="1" applyBorder="1" applyAlignment="1">
      <alignment horizontal="right"/>
    </xf>
    <xf numFmtId="0" fontId="6" fillId="0" borderId="0" xfId="56" applyFont="1" applyAlignment="1">
      <alignment horizontal="center"/>
    </xf>
    <xf numFmtId="172" fontId="6" fillId="0" borderId="0" xfId="56" applyNumberFormat="1" applyFont="1"/>
    <xf numFmtId="172" fontId="54" fillId="0" borderId="0" xfId="56" applyNumberFormat="1" applyFont="1"/>
    <xf numFmtId="192" fontId="6" fillId="0" borderId="0" xfId="56" applyNumberFormat="1" applyFont="1"/>
    <xf numFmtId="172" fontId="54" fillId="0" borderId="21" xfId="56" applyNumberFormat="1" applyFont="1" applyBorder="1"/>
    <xf numFmtId="169" fontId="48" fillId="21" borderId="30" xfId="56" applyNumberFormat="1" applyFont="1" applyFill="1" applyBorder="1" applyAlignment="1" applyProtection="1">
      <alignment horizontal="right"/>
      <protection locked="0"/>
    </xf>
    <xf numFmtId="169" fontId="6" fillId="0" borderId="40" xfId="56" applyNumberFormat="1" applyFont="1" applyBorder="1" applyAlignment="1" applyProtection="1">
      <alignment horizontal="right"/>
      <protection locked="0"/>
    </xf>
    <xf numFmtId="169" fontId="54" fillId="0" borderId="40" xfId="56" applyNumberFormat="1" applyFont="1" applyBorder="1" applyAlignment="1" applyProtection="1">
      <alignment horizontal="right"/>
      <protection locked="0"/>
    </xf>
    <xf numFmtId="169" fontId="48" fillId="21" borderId="40" xfId="56" applyNumberFormat="1" applyFont="1" applyFill="1" applyBorder="1" applyAlignment="1" applyProtection="1">
      <alignment horizontal="right"/>
      <protection locked="0"/>
    </xf>
    <xf numFmtId="169" fontId="6" fillId="0" borderId="31" xfId="56" applyNumberFormat="1" applyFont="1" applyBorder="1" applyAlignment="1" applyProtection="1">
      <alignment horizontal="right"/>
      <protection locked="0"/>
    </xf>
    <xf numFmtId="169" fontId="6" fillId="0" borderId="0" xfId="56" applyNumberFormat="1" applyFont="1" applyAlignment="1">
      <alignment horizontal="right"/>
    </xf>
    <xf numFmtId="169" fontId="54" fillId="0" borderId="0" xfId="56" applyNumberFormat="1" applyFont="1" applyAlignment="1">
      <alignment horizontal="right"/>
    </xf>
    <xf numFmtId="180" fontId="54" fillId="0" borderId="0" xfId="56" applyNumberFormat="1" applyFont="1" applyAlignment="1">
      <alignment horizontal="right"/>
    </xf>
    <xf numFmtId="169" fontId="48" fillId="0" borderId="0" xfId="56" applyNumberFormat="1" applyFont="1" applyAlignment="1">
      <alignment horizontal="right"/>
    </xf>
    <xf numFmtId="180" fontId="6" fillId="0" borderId="0" xfId="56" applyNumberFormat="1" applyFont="1" applyAlignment="1">
      <alignment horizontal="right"/>
    </xf>
    <xf numFmtId="169" fontId="54" fillId="0" borderId="21" xfId="56" applyNumberFormat="1" applyFont="1" applyBorder="1" applyAlignment="1">
      <alignment horizontal="right"/>
    </xf>
    <xf numFmtId="169" fontId="6" fillId="0" borderId="15" xfId="56" applyNumberFormat="1" applyFont="1" applyBorder="1" applyAlignment="1">
      <alignment horizontal="right"/>
    </xf>
    <xf numFmtId="169" fontId="6" fillId="0" borderId="47" xfId="56" applyNumberFormat="1" applyFont="1" applyBorder="1" applyAlignment="1">
      <alignment horizontal="right"/>
    </xf>
    <xf numFmtId="169" fontId="6" fillId="0" borderId="38" xfId="56" applyNumberFormat="1" applyFont="1" applyBorder="1" applyAlignment="1" applyProtection="1">
      <alignment horizontal="right"/>
      <protection locked="0"/>
    </xf>
    <xf numFmtId="169" fontId="6" fillId="0" borderId="0" xfId="56" applyNumberFormat="1" applyFont="1" applyAlignment="1" applyProtection="1">
      <alignment horizontal="right"/>
      <protection locked="0"/>
    </xf>
    <xf numFmtId="169" fontId="54" fillId="0" borderId="37" xfId="56" applyNumberFormat="1" applyFont="1" applyBorder="1" applyAlignment="1">
      <alignment horizontal="right"/>
    </xf>
    <xf numFmtId="169" fontId="54" fillId="0" borderId="38" xfId="56" applyNumberFormat="1" applyFont="1" applyBorder="1" applyAlignment="1">
      <alignment horizontal="right"/>
    </xf>
    <xf numFmtId="169" fontId="6" fillId="0" borderId="39" xfId="56" applyNumberFormat="1" applyFont="1" applyBorder="1" applyAlignment="1" applyProtection="1">
      <alignment horizontal="right"/>
      <protection locked="0"/>
    </xf>
    <xf numFmtId="169" fontId="48" fillId="0" borderId="13" xfId="56" applyNumberFormat="1" applyFont="1" applyBorder="1" applyAlignment="1" applyProtection="1">
      <alignment horizontal="right"/>
      <protection locked="0"/>
    </xf>
    <xf numFmtId="169" fontId="6" fillId="0" borderId="33" xfId="56" applyNumberFormat="1" applyFont="1" applyBorder="1" applyAlignment="1" applyProtection="1">
      <alignment horizontal="right"/>
      <protection locked="0"/>
    </xf>
    <xf numFmtId="169" fontId="48" fillId="0" borderId="13" xfId="56" applyNumberFormat="1" applyFont="1" applyBorder="1" applyAlignment="1">
      <alignment horizontal="right"/>
    </xf>
    <xf numFmtId="169" fontId="54" fillId="0" borderId="33" xfId="56" applyNumberFormat="1" applyFont="1" applyBorder="1" applyAlignment="1">
      <alignment horizontal="right"/>
    </xf>
    <xf numFmtId="169" fontId="48" fillId="0" borderId="33" xfId="56" applyNumberFormat="1" applyFont="1" applyBorder="1" applyAlignment="1" applyProtection="1">
      <alignment horizontal="right"/>
      <protection locked="0"/>
    </xf>
    <xf numFmtId="169" fontId="48" fillId="0" borderId="0" xfId="56" applyNumberFormat="1" applyFont="1" applyAlignment="1" applyProtection="1">
      <alignment horizontal="right"/>
      <protection locked="0"/>
    </xf>
    <xf numFmtId="169" fontId="54" fillId="0" borderId="51" xfId="56" applyNumberFormat="1" applyFont="1" applyBorder="1" applyAlignment="1">
      <alignment horizontal="right"/>
    </xf>
    <xf numFmtId="183" fontId="6" fillId="0" borderId="39" xfId="56" applyNumberFormat="1" applyFont="1" applyBorder="1" applyAlignment="1" applyProtection="1">
      <alignment horizontal="right"/>
      <protection locked="0"/>
    </xf>
    <xf numFmtId="183" fontId="54" fillId="0" borderId="37" xfId="56" applyNumberFormat="1" applyFont="1" applyBorder="1" applyAlignment="1">
      <alignment horizontal="right"/>
    </xf>
    <xf numFmtId="180" fontId="6" fillId="0" borderId="0" xfId="56" applyNumberFormat="1" applyFont="1" applyAlignment="1" applyProtection="1">
      <alignment horizontal="right"/>
      <protection locked="0"/>
    </xf>
    <xf numFmtId="184" fontId="6" fillId="0" borderId="0" xfId="56" applyNumberFormat="1" applyFont="1" applyAlignment="1" applyProtection="1">
      <alignment horizontal="right"/>
      <protection locked="0"/>
    </xf>
    <xf numFmtId="169" fontId="6" fillId="0" borderId="35" xfId="56" applyNumberFormat="1" applyFont="1" applyBorder="1" applyAlignment="1" applyProtection="1">
      <alignment horizontal="right"/>
      <protection locked="0"/>
    </xf>
    <xf numFmtId="169" fontId="6" fillId="0" borderId="16" xfId="56" applyNumberFormat="1" applyFont="1" applyBorder="1" applyAlignment="1" applyProtection="1">
      <alignment horizontal="right"/>
      <protection locked="0"/>
    </xf>
    <xf numFmtId="169" fontId="6" fillId="0" borderId="14" xfId="56" applyNumberFormat="1" applyFont="1" applyBorder="1" applyAlignment="1">
      <alignment horizontal="right"/>
    </xf>
    <xf numFmtId="169" fontId="48" fillId="0" borderId="12" xfId="56" applyNumberFormat="1" applyFont="1" applyBorder="1" applyAlignment="1">
      <alignment horizontal="right"/>
    </xf>
    <xf numFmtId="180" fontId="1" fillId="0" borderId="12" xfId="56" applyNumberFormat="1" applyFont="1" applyBorder="1" applyAlignment="1">
      <alignment horizontal="right"/>
    </xf>
    <xf numFmtId="169" fontId="1" fillId="0" borderId="18" xfId="56" applyNumberFormat="1" applyFont="1" applyBorder="1" applyAlignment="1">
      <alignment horizontal="right"/>
    </xf>
    <xf numFmtId="169" fontId="59" fillId="0" borderId="12" xfId="56" applyNumberFormat="1" applyFont="1" applyBorder="1" applyAlignment="1">
      <alignment horizontal="right"/>
    </xf>
    <xf numFmtId="169" fontId="59" fillId="0" borderId="18" xfId="56" applyNumberFormat="1" applyFont="1" applyBorder="1" applyAlignment="1">
      <alignment horizontal="right"/>
    </xf>
    <xf numFmtId="184" fontId="1" fillId="0" borderId="0" xfId="56" applyNumberFormat="1" applyFont="1"/>
    <xf numFmtId="169" fontId="1" fillId="0" borderId="21" xfId="56" applyNumberFormat="1" applyFont="1" applyBorder="1"/>
    <xf numFmtId="172" fontId="1" fillId="0" borderId="15" xfId="56" applyNumberFormat="1" applyFont="1" applyBorder="1" applyAlignment="1">
      <alignment horizontal="right"/>
    </xf>
    <xf numFmtId="172" fontId="1" fillId="0" borderId="47" xfId="56" applyNumberFormat="1" applyFont="1" applyBorder="1" applyAlignment="1">
      <alignment horizontal="right"/>
    </xf>
    <xf numFmtId="1" fontId="1" fillId="0" borderId="38" xfId="56" applyNumberFormat="1" applyFont="1" applyBorder="1" applyAlignment="1" applyProtection="1">
      <alignment horizontal="right"/>
      <protection locked="0"/>
    </xf>
    <xf numFmtId="1" fontId="1" fillId="0" borderId="0" xfId="56" applyNumberFormat="1" applyFont="1" applyAlignment="1" applyProtection="1">
      <alignment horizontal="right"/>
      <protection locked="0"/>
    </xf>
    <xf numFmtId="1" fontId="1" fillId="0" borderId="37" xfId="56" applyNumberFormat="1" applyFont="1" applyBorder="1" applyAlignment="1">
      <alignment horizontal="center"/>
    </xf>
    <xf numFmtId="1" fontId="48" fillId="0" borderId="0" xfId="56" applyNumberFormat="1" applyFont="1" applyAlignment="1" applyProtection="1">
      <alignment horizontal="right"/>
      <protection locked="0"/>
    </xf>
    <xf numFmtId="1" fontId="1" fillId="0" borderId="38" xfId="56" applyNumberFormat="1" applyFont="1" applyBorder="1" applyAlignment="1">
      <alignment horizontal="right"/>
    </xf>
    <xf numFmtId="1" fontId="1" fillId="0" borderId="51" xfId="56" applyNumberFormat="1" applyFont="1" applyBorder="1" applyAlignment="1">
      <alignment horizontal="right"/>
    </xf>
    <xf numFmtId="1" fontId="1" fillId="0" borderId="21" xfId="56" applyNumberFormat="1" applyFont="1" applyBorder="1" applyAlignment="1" applyProtection="1">
      <alignment horizontal="right"/>
      <protection locked="0"/>
    </xf>
    <xf numFmtId="1" fontId="1" fillId="0" borderId="39" xfId="56" applyNumberFormat="1" applyFont="1" applyBorder="1" applyAlignment="1">
      <alignment horizontal="center"/>
    </xf>
    <xf numFmtId="1" fontId="59" fillId="0" borderId="0" xfId="56" applyNumberFormat="1" applyFont="1" applyAlignment="1" applyProtection="1">
      <alignment horizontal="right"/>
      <protection locked="0"/>
    </xf>
    <xf numFmtId="183" fontId="1" fillId="0" borderId="14" xfId="56" applyNumberFormat="1" applyFont="1" applyBorder="1" applyAlignment="1">
      <alignment horizontal="right"/>
    </xf>
    <xf numFmtId="183" fontId="1" fillId="0" borderId="0" xfId="56" applyNumberFormat="1" applyFont="1" applyAlignment="1">
      <alignment horizontal="center"/>
    </xf>
    <xf numFmtId="183" fontId="1" fillId="0" borderId="0" xfId="56" applyNumberFormat="1" applyFont="1" applyAlignment="1">
      <alignment horizontal="right"/>
    </xf>
    <xf numFmtId="183" fontId="1" fillId="0" borderId="21" xfId="56" applyNumberFormat="1" applyFont="1" applyBorder="1" applyAlignment="1">
      <alignment horizontal="right"/>
    </xf>
    <xf numFmtId="183" fontId="1" fillId="0" borderId="41" xfId="56" applyNumberFormat="1" applyFont="1" applyBorder="1" applyAlignment="1">
      <alignment horizontal="right"/>
    </xf>
    <xf numFmtId="183" fontId="48" fillId="0" borderId="41" xfId="56" applyNumberFormat="1" applyFont="1" applyBorder="1" applyAlignment="1">
      <alignment horizontal="right"/>
    </xf>
    <xf numFmtId="188" fontId="1" fillId="0" borderId="41" xfId="56" applyNumberFormat="1" applyFont="1" applyBorder="1" applyAlignment="1">
      <alignment horizontal="right"/>
    </xf>
    <xf numFmtId="183" fontId="1" fillId="0" borderId="52" xfId="56" applyNumberFormat="1" applyFont="1" applyBorder="1" applyAlignment="1">
      <alignment horizontal="right"/>
    </xf>
    <xf numFmtId="183" fontId="1" fillId="0" borderId="0" xfId="56" applyNumberFormat="1" applyFont="1" applyAlignment="1" applyProtection="1">
      <alignment horizontal="right"/>
      <protection locked="0"/>
    </xf>
    <xf numFmtId="183" fontId="1" fillId="0" borderId="21" xfId="56" applyNumberFormat="1" applyFont="1" applyBorder="1" applyAlignment="1" applyProtection="1">
      <alignment horizontal="right"/>
      <protection locked="0"/>
    </xf>
    <xf numFmtId="183" fontId="59" fillId="0" borderId="21" xfId="56" applyNumberFormat="1" applyFont="1" applyBorder="1" applyAlignment="1" applyProtection="1">
      <alignment horizontal="right"/>
      <protection locked="0"/>
    </xf>
    <xf numFmtId="183" fontId="59" fillId="0" borderId="0" xfId="56" applyNumberFormat="1" applyFont="1" applyAlignment="1" applyProtection="1">
      <alignment horizontal="right"/>
      <protection locked="0"/>
    </xf>
    <xf numFmtId="183" fontId="1" fillId="0" borderId="40" xfId="56" applyNumberFormat="1" applyFont="1" applyBorder="1" applyAlignment="1">
      <alignment horizontal="right"/>
    </xf>
    <xf numFmtId="183" fontId="48" fillId="0" borderId="40" xfId="56" applyNumberFormat="1" applyFont="1" applyBorder="1" applyAlignment="1">
      <alignment horizontal="right"/>
    </xf>
    <xf numFmtId="183" fontId="1" fillId="0" borderId="43" xfId="56" applyNumberFormat="1" applyFont="1" applyBorder="1" applyAlignment="1">
      <alignment horizontal="right"/>
    </xf>
    <xf numFmtId="183" fontId="48" fillId="0" borderId="0" xfId="56" applyNumberFormat="1" applyFont="1" applyAlignment="1" applyProtection="1">
      <alignment horizontal="right"/>
      <protection locked="0"/>
    </xf>
    <xf numFmtId="183" fontId="48" fillId="0" borderId="21" xfId="56" applyNumberFormat="1" applyFont="1" applyBorder="1" applyAlignment="1" applyProtection="1">
      <alignment horizontal="right"/>
      <protection locked="0"/>
    </xf>
    <xf numFmtId="169" fontId="1" fillId="0" borderId="41" xfId="56" applyNumberFormat="1" applyFont="1" applyBorder="1" applyAlignment="1">
      <alignment horizontal="right"/>
    </xf>
    <xf numFmtId="4" fontId="1" fillId="0" borderId="41" xfId="56" applyNumberFormat="1" applyFont="1" applyBorder="1" applyAlignment="1">
      <alignment horizontal="right"/>
    </xf>
    <xf numFmtId="170" fontId="1" fillId="0" borderId="29" xfId="56" applyNumberFormat="1" applyFont="1" applyBorder="1" applyAlignment="1">
      <alignment horizontal="right"/>
    </xf>
    <xf numFmtId="170" fontId="1" fillId="0" borderId="48" xfId="56" applyNumberFormat="1" applyFont="1" applyBorder="1" applyAlignment="1">
      <alignment horizontal="right"/>
    </xf>
    <xf numFmtId="172" fontId="1" fillId="0" borderId="42" xfId="56" applyNumberFormat="1" applyFont="1" applyBorder="1" applyAlignment="1">
      <alignment horizontal="right"/>
    </xf>
    <xf numFmtId="172" fontId="6" fillId="0" borderId="32" xfId="56" applyNumberFormat="1" applyFont="1" applyBorder="1" applyAlignment="1" applyProtection="1">
      <alignment horizontal="right"/>
      <protection locked="0"/>
    </xf>
    <xf numFmtId="172" fontId="6" fillId="0" borderId="0" xfId="56" applyNumberFormat="1" applyFont="1" applyAlignment="1" applyProtection="1">
      <alignment horizontal="right"/>
      <protection locked="0"/>
    </xf>
    <xf numFmtId="172" fontId="54" fillId="0" borderId="13" xfId="56" applyNumberFormat="1" applyFont="1" applyBorder="1" applyAlignment="1" applyProtection="1">
      <alignment horizontal="right"/>
      <protection locked="0"/>
    </xf>
    <xf numFmtId="172" fontId="6" fillId="0" borderId="33" xfId="56" applyNumberFormat="1" applyFont="1" applyBorder="1" applyAlignment="1" applyProtection="1">
      <alignment horizontal="right"/>
      <protection locked="0"/>
    </xf>
    <xf numFmtId="172" fontId="48" fillId="0" borderId="13" xfId="56" applyNumberFormat="1" applyFont="1" applyBorder="1" applyAlignment="1" applyProtection="1">
      <alignment horizontal="right"/>
      <protection locked="0"/>
    </xf>
    <xf numFmtId="172" fontId="54" fillId="0" borderId="32" xfId="56" applyNumberFormat="1" applyFont="1" applyBorder="1" applyAlignment="1" applyProtection="1">
      <alignment horizontal="right"/>
      <protection locked="0"/>
    </xf>
    <xf numFmtId="177" fontId="6" fillId="0" borderId="33" xfId="56" applyNumberFormat="1" applyFont="1" applyBorder="1" applyAlignment="1" applyProtection="1">
      <alignment horizontal="right"/>
      <protection locked="0"/>
    </xf>
    <xf numFmtId="172" fontId="48" fillId="0" borderId="32" xfId="56" applyNumberFormat="1" applyFont="1" applyBorder="1" applyAlignment="1" applyProtection="1">
      <alignment horizontal="right"/>
      <protection locked="0"/>
    </xf>
    <xf numFmtId="172" fontId="54" fillId="0" borderId="49" xfId="56" applyNumberFormat="1" applyFont="1" applyBorder="1" applyAlignment="1" applyProtection="1">
      <alignment horizontal="right"/>
      <protection locked="0"/>
    </xf>
    <xf numFmtId="172" fontId="6" fillId="24" borderId="33" xfId="56" applyNumberFormat="1" applyFont="1" applyFill="1" applyBorder="1" applyAlignment="1" applyProtection="1">
      <alignment horizontal="right"/>
      <protection locked="0"/>
    </xf>
    <xf numFmtId="172" fontId="6" fillId="0" borderId="37" xfId="56" applyNumberFormat="1" applyFont="1" applyBorder="1" applyAlignment="1" applyProtection="1">
      <alignment horizontal="right"/>
      <protection locked="0"/>
    </xf>
    <xf numFmtId="172" fontId="54" fillId="0" borderId="38" xfId="56" applyNumberFormat="1" applyFont="1" applyBorder="1" applyAlignment="1" applyProtection="1">
      <alignment horizontal="right"/>
      <protection locked="0"/>
    </xf>
    <xf numFmtId="172" fontId="6" fillId="0" borderId="39" xfId="56" applyNumberFormat="1" applyFont="1" applyBorder="1" applyAlignment="1" applyProtection="1">
      <alignment horizontal="right"/>
      <protection locked="0"/>
    </xf>
    <xf numFmtId="172" fontId="48" fillId="0" borderId="38" xfId="56" applyNumberFormat="1" applyFont="1" applyBorder="1" applyAlignment="1" applyProtection="1">
      <alignment horizontal="right"/>
      <protection locked="0"/>
    </xf>
    <xf numFmtId="172" fontId="54" fillId="0" borderId="37" xfId="56" applyNumberFormat="1" applyFont="1" applyBorder="1" applyAlignment="1" applyProtection="1">
      <alignment horizontal="right"/>
      <protection locked="0"/>
    </xf>
    <xf numFmtId="172" fontId="54" fillId="0" borderId="51" xfId="56" applyNumberFormat="1" applyFont="1" applyBorder="1" applyAlignment="1" applyProtection="1">
      <alignment horizontal="right"/>
      <protection locked="0"/>
    </xf>
    <xf numFmtId="172" fontId="6" fillId="0" borderId="37" xfId="56" applyNumberFormat="1" applyFont="1" applyBorder="1" applyAlignment="1">
      <alignment horizontal="right"/>
    </xf>
    <xf numFmtId="172" fontId="54" fillId="0" borderId="38" xfId="56" applyNumberFormat="1" applyFont="1" applyBorder="1" applyAlignment="1">
      <alignment horizontal="right"/>
    </xf>
    <xf numFmtId="172" fontId="6" fillId="0" borderId="39" xfId="56" applyNumberFormat="1" applyFont="1" applyBorder="1" applyAlignment="1">
      <alignment horizontal="right"/>
    </xf>
    <xf numFmtId="172" fontId="48" fillId="20" borderId="39" xfId="56" applyNumberFormat="1" applyFont="1" applyFill="1" applyBorder="1" applyAlignment="1">
      <alignment horizontal="right"/>
    </xf>
    <xf numFmtId="172" fontId="54" fillId="0" borderId="37" xfId="56" applyNumberFormat="1" applyFont="1" applyBorder="1" applyAlignment="1">
      <alignment horizontal="right"/>
    </xf>
    <xf numFmtId="172" fontId="54" fillId="0" borderId="51" xfId="56" applyNumberFormat="1" applyFont="1" applyBorder="1" applyAlignment="1">
      <alignment horizontal="right"/>
    </xf>
    <xf numFmtId="0" fontId="6" fillId="0" borderId="34" xfId="56" applyFont="1" applyBorder="1" applyAlignment="1">
      <alignment horizontal="right"/>
    </xf>
    <xf numFmtId="0" fontId="54" fillId="0" borderId="35" xfId="56" applyFont="1" applyBorder="1" applyAlignment="1">
      <alignment horizontal="right"/>
    </xf>
    <xf numFmtId="0" fontId="6" fillId="0" borderId="16" xfId="56" applyFont="1" applyBorder="1" applyAlignment="1">
      <alignment horizontal="right"/>
    </xf>
    <xf numFmtId="0" fontId="54" fillId="18" borderId="35" xfId="56" applyFont="1" applyFill="1" applyBorder="1" applyAlignment="1">
      <alignment horizontal="right"/>
    </xf>
    <xf numFmtId="0" fontId="54" fillId="0" borderId="34" xfId="56" applyFont="1" applyBorder="1" applyAlignment="1">
      <alignment horizontal="right"/>
    </xf>
    <xf numFmtId="0" fontId="54" fillId="0" borderId="50" xfId="56" applyFont="1" applyBorder="1" applyAlignment="1">
      <alignment horizontal="right"/>
    </xf>
    <xf numFmtId="0" fontId="6" fillId="0" borderId="0" xfId="56" applyFont="1" applyAlignment="1" applyProtection="1">
      <alignment horizontal="right"/>
      <protection locked="0"/>
    </xf>
    <xf numFmtId="0" fontId="54" fillId="0" borderId="0" xfId="56" applyFont="1" applyAlignment="1" applyProtection="1">
      <alignment horizontal="right"/>
      <protection locked="0"/>
    </xf>
    <xf numFmtId="39" fontId="6" fillId="0" borderId="0" xfId="56" applyNumberFormat="1" applyFont="1" applyAlignment="1" applyProtection="1">
      <alignment horizontal="right"/>
      <protection locked="0"/>
    </xf>
    <xf numFmtId="39" fontId="54" fillId="0" borderId="0" xfId="56" applyNumberFormat="1" applyFont="1" applyAlignment="1" applyProtection="1">
      <alignment horizontal="right"/>
      <protection locked="0"/>
    </xf>
    <xf numFmtId="0" fontId="54" fillId="0" borderId="21" xfId="56" applyFont="1" applyBorder="1" applyAlignment="1" applyProtection="1">
      <alignment horizontal="right"/>
      <protection locked="0"/>
    </xf>
    <xf numFmtId="49" fontId="1" fillId="0" borderId="0" xfId="56" applyNumberFormat="1" applyFont="1" applyProtection="1">
      <protection locked="0"/>
    </xf>
    <xf numFmtId="49" fontId="1" fillId="0" borderId="0" xfId="56" applyNumberFormat="1" applyFont="1"/>
    <xf numFmtId="0" fontId="54" fillId="0" borderId="0" xfId="56" applyFont="1" applyProtection="1">
      <protection locked="0"/>
    </xf>
    <xf numFmtId="0" fontId="54" fillId="0" borderId="21" xfId="56" applyFont="1" applyBorder="1" applyProtection="1">
      <protection locked="0"/>
    </xf>
    <xf numFmtId="39" fontId="66" fillId="16" borderId="0" xfId="56" applyNumberFormat="1" applyFont="1" applyFill="1" applyAlignment="1">
      <alignment horizontal="right"/>
    </xf>
    <xf numFmtId="0" fontId="7" fillId="0" borderId="0" xfId="56" applyFont="1" applyProtection="1">
      <protection locked="0"/>
    </xf>
    <xf numFmtId="0" fontId="13" fillId="0" borderId="0" xfId="56" applyFont="1" applyAlignment="1">
      <alignment horizontal="left"/>
    </xf>
    <xf numFmtId="0" fontId="1" fillId="17" borderId="0" xfId="56" applyFont="1" applyFill="1" applyProtection="1">
      <protection locked="0"/>
    </xf>
    <xf numFmtId="0" fontId="7" fillId="17" borderId="0" xfId="56" applyFont="1" applyFill="1" applyAlignment="1">
      <alignment horizontal="left"/>
    </xf>
    <xf numFmtId="0" fontId="6" fillId="17" borderId="0" xfId="56" applyFont="1" applyFill="1"/>
    <xf numFmtId="169" fontId="1" fillId="17" borderId="0" xfId="56" applyNumberFormat="1" applyFont="1" applyFill="1"/>
    <xf numFmtId="169" fontId="48" fillId="17" borderId="0" xfId="56" applyNumberFormat="1" applyFont="1" applyFill="1"/>
    <xf numFmtId="169" fontId="99" fillId="17" borderId="0" xfId="56" applyNumberFormat="1" applyFont="1" applyFill="1"/>
    <xf numFmtId="169" fontId="1" fillId="17" borderId="21" xfId="56" applyNumberFormat="1" applyFont="1" applyFill="1" applyBorder="1"/>
    <xf numFmtId="0" fontId="1" fillId="17" borderId="21" xfId="56" applyFont="1" applyFill="1" applyBorder="1"/>
    <xf numFmtId="171" fontId="48" fillId="0" borderId="0" xfId="56" applyNumberFormat="1" applyFont="1"/>
    <xf numFmtId="0" fontId="6" fillId="0" borderId="21" xfId="56" applyFont="1" applyBorder="1"/>
    <xf numFmtId="0" fontId="1" fillId="0" borderId="21" xfId="56" applyFont="1" applyBorder="1"/>
    <xf numFmtId="170" fontId="1" fillId="0" borderId="0" xfId="67" applyNumberFormat="1" applyFont="1" applyAlignment="1">
      <alignment horizontal="right"/>
    </xf>
    <xf numFmtId="9" fontId="1" fillId="0" borderId="0" xfId="67" applyFont="1" applyAlignment="1">
      <alignment horizontal="right"/>
    </xf>
    <xf numFmtId="178" fontId="1" fillId="0" borderId="0" xfId="56" applyNumberFormat="1" applyFont="1"/>
    <xf numFmtId="170" fontId="6" fillId="0" borderId="0" xfId="67" applyNumberFormat="1" applyFont="1"/>
    <xf numFmtId="178" fontId="1" fillId="0" borderId="21" xfId="56" applyNumberFormat="1" applyFont="1" applyBorder="1" applyAlignment="1">
      <alignment horizontal="right"/>
    </xf>
    <xf numFmtId="174" fontId="6" fillId="0" borderId="0" xfId="56" applyNumberFormat="1" applyFont="1"/>
    <xf numFmtId="174" fontId="6" fillId="0" borderId="21" xfId="56" applyNumberFormat="1" applyFont="1" applyBorder="1"/>
    <xf numFmtId="0" fontId="13" fillId="16" borderId="0" xfId="56" applyFont="1" applyFill="1"/>
    <xf numFmtId="0" fontId="54" fillId="16" borderId="0" xfId="56" applyFont="1" applyFill="1"/>
    <xf numFmtId="0" fontId="13" fillId="16" borderId="0" xfId="56" applyFont="1" applyFill="1" applyAlignment="1">
      <alignment horizontal="right"/>
    </xf>
    <xf numFmtId="0" fontId="54" fillId="16" borderId="0" xfId="60" applyFont="1" applyFill="1" applyBorder="1"/>
    <xf numFmtId="0" fontId="54" fillId="16" borderId="0" xfId="60" applyFont="1" applyFill="1"/>
    <xf numFmtId="172" fontId="54" fillId="0" borderId="0" xfId="56" applyNumberFormat="1" applyFont="1" applyAlignment="1" applyProtection="1">
      <alignment horizontal="right"/>
      <protection locked="0"/>
    </xf>
    <xf numFmtId="172" fontId="6" fillId="0" borderId="0" xfId="56" applyNumberFormat="1" applyFont="1" applyProtection="1">
      <protection locked="0"/>
    </xf>
    <xf numFmtId="172" fontId="54" fillId="0" borderId="0" xfId="56" applyNumberFormat="1" applyFont="1" applyProtection="1">
      <protection locked="0"/>
    </xf>
    <xf numFmtId="0" fontId="13" fillId="0" borderId="0" xfId="56" applyFont="1" applyProtection="1">
      <protection locked="0"/>
    </xf>
    <xf numFmtId="0" fontId="13" fillId="0" borderId="0" xfId="56" applyFont="1" applyAlignment="1">
      <alignment horizontal="center"/>
    </xf>
    <xf numFmtId="0" fontId="54" fillId="19" borderId="0" xfId="56" applyFont="1" applyFill="1" applyProtection="1">
      <protection locked="0"/>
    </xf>
    <xf numFmtId="39" fontId="54" fillId="19" borderId="0" xfId="56" applyNumberFormat="1" applyFont="1" applyFill="1" applyAlignment="1" applyProtection="1">
      <alignment horizontal="right"/>
      <protection locked="0"/>
    </xf>
    <xf numFmtId="0" fontId="54" fillId="19" borderId="0" xfId="56" applyFont="1" applyFill="1" applyAlignment="1" applyProtection="1">
      <alignment horizontal="right"/>
      <protection locked="0"/>
    </xf>
    <xf numFmtId="172" fontId="13" fillId="0" borderId="0" xfId="56" applyNumberFormat="1" applyFont="1" applyAlignment="1" applyProtection="1">
      <alignment horizontal="right"/>
      <protection locked="0"/>
    </xf>
    <xf numFmtId="172" fontId="66" fillId="0" borderId="0" xfId="56" applyNumberFormat="1" applyFont="1" applyAlignment="1" applyProtection="1">
      <alignment horizontal="right"/>
      <protection locked="0"/>
    </xf>
    <xf numFmtId="172" fontId="7" fillId="0" borderId="0" xfId="56" applyNumberFormat="1" applyFont="1" applyAlignment="1" applyProtection="1">
      <alignment horizontal="right"/>
      <protection locked="0"/>
    </xf>
    <xf numFmtId="172" fontId="7" fillId="0" borderId="21" xfId="56" applyNumberFormat="1" applyFont="1" applyBorder="1" applyAlignment="1" applyProtection="1">
      <alignment horizontal="right"/>
      <protection locked="0"/>
    </xf>
    <xf numFmtId="172" fontId="54" fillId="0" borderId="33" xfId="56" applyNumberFormat="1" applyFont="1" applyBorder="1" applyAlignment="1" applyProtection="1">
      <alignment horizontal="right"/>
      <protection locked="0"/>
    </xf>
    <xf numFmtId="172" fontId="54" fillId="0" borderId="36" xfId="56" applyNumberFormat="1" applyFont="1" applyBorder="1" applyAlignment="1" applyProtection="1">
      <alignment horizontal="right"/>
      <protection locked="0"/>
    </xf>
    <xf numFmtId="172" fontId="6" fillId="0" borderId="36" xfId="56" applyNumberFormat="1" applyFont="1" applyBorder="1" applyAlignment="1" applyProtection="1">
      <alignment horizontal="right"/>
      <protection locked="0"/>
    </xf>
    <xf numFmtId="172" fontId="1" fillId="0" borderId="36" xfId="56" applyNumberFormat="1" applyFont="1" applyBorder="1" applyAlignment="1" applyProtection="1">
      <alignment horizontal="right"/>
      <protection locked="0"/>
    </xf>
    <xf numFmtId="172" fontId="1" fillId="0" borderId="49" xfId="56" applyNumberFormat="1" applyFont="1" applyBorder="1" applyAlignment="1" applyProtection="1">
      <alignment horizontal="right"/>
      <protection locked="0"/>
    </xf>
    <xf numFmtId="172" fontId="54" fillId="0" borderId="35" xfId="56" applyNumberFormat="1" applyFont="1" applyBorder="1" applyAlignment="1" applyProtection="1">
      <alignment horizontal="right"/>
      <protection locked="0"/>
    </xf>
    <xf numFmtId="172" fontId="54" fillId="0" borderId="16" xfId="56" applyNumberFormat="1" applyFont="1" applyBorder="1" applyAlignment="1" applyProtection="1">
      <alignment horizontal="right"/>
      <protection locked="0"/>
    </xf>
    <xf numFmtId="172" fontId="54" fillId="0" borderId="34" xfId="56" applyNumberFormat="1" applyFont="1" applyBorder="1" applyAlignment="1" applyProtection="1">
      <alignment horizontal="right"/>
      <protection locked="0"/>
    </xf>
    <xf numFmtId="172" fontId="6" fillId="0" borderId="16" xfId="56" applyNumberFormat="1" applyFont="1" applyBorder="1" applyAlignment="1" applyProtection="1">
      <alignment horizontal="right"/>
      <protection locked="0"/>
    </xf>
    <xf numFmtId="172" fontId="48" fillId="0" borderId="34" xfId="56" applyNumberFormat="1" applyFont="1" applyBorder="1" applyAlignment="1" applyProtection="1">
      <alignment horizontal="right"/>
      <protection locked="0"/>
    </xf>
    <xf numFmtId="172" fontId="1" fillId="0" borderId="50" xfId="56" applyNumberFormat="1" applyFont="1" applyBorder="1" applyAlignment="1" applyProtection="1">
      <alignment horizontal="right"/>
      <protection locked="0"/>
    </xf>
    <xf numFmtId="172" fontId="13" fillId="0" borderId="12" xfId="56" applyNumberFormat="1" applyFont="1" applyBorder="1" applyAlignment="1" applyProtection="1">
      <alignment horizontal="right"/>
      <protection locked="0"/>
    </xf>
    <xf numFmtId="172" fontId="66" fillId="0" borderId="12" xfId="56" applyNumberFormat="1" applyFont="1" applyBorder="1" applyAlignment="1" applyProtection="1">
      <alignment horizontal="right"/>
      <protection locked="0"/>
    </xf>
    <xf numFmtId="172" fontId="7" fillId="0" borderId="12" xfId="56" applyNumberFormat="1" applyFont="1" applyBorder="1" applyAlignment="1" applyProtection="1">
      <alignment horizontal="right"/>
      <protection locked="0"/>
    </xf>
    <xf numFmtId="172" fontId="7" fillId="0" borderId="18" xfId="56" applyNumberFormat="1" applyFont="1" applyBorder="1" applyAlignment="1" applyProtection="1">
      <alignment horizontal="right"/>
      <protection locked="0"/>
    </xf>
    <xf numFmtId="172" fontId="54" fillId="0" borderId="39" xfId="56" applyNumberFormat="1" applyFont="1" applyBorder="1" applyAlignment="1" applyProtection="1">
      <alignment horizontal="right"/>
      <protection locked="0"/>
    </xf>
    <xf numFmtId="172" fontId="1" fillId="0" borderId="37" xfId="56" applyNumberFormat="1" applyFont="1" applyBorder="1" applyAlignment="1" applyProtection="1">
      <alignment horizontal="right"/>
      <protection locked="0"/>
    </xf>
    <xf numFmtId="172" fontId="1" fillId="0" borderId="39" xfId="56" applyNumberFormat="1" applyFont="1" applyBorder="1" applyAlignment="1" applyProtection="1">
      <alignment horizontal="right"/>
      <protection locked="0"/>
    </xf>
    <xf numFmtId="172" fontId="1" fillId="0" borderId="51" xfId="56" applyNumberFormat="1" applyFont="1" applyBorder="1" applyAlignment="1" applyProtection="1">
      <alignment horizontal="right"/>
      <protection locked="0"/>
    </xf>
    <xf numFmtId="0" fontId="1" fillId="0" borderId="21" xfId="56" applyFont="1" applyBorder="1" applyProtection="1">
      <protection locked="0"/>
    </xf>
    <xf numFmtId="0" fontId="54" fillId="0" borderId="0" xfId="56" quotePrefix="1" applyFont="1" applyProtection="1">
      <protection locked="0"/>
    </xf>
    <xf numFmtId="171" fontId="54" fillId="0" borderId="0" xfId="56" applyNumberFormat="1" applyFont="1"/>
    <xf numFmtId="9" fontId="1" fillId="0" borderId="21" xfId="67" applyFont="1" applyBorder="1"/>
    <xf numFmtId="39" fontId="1" fillId="0" borderId="0" xfId="56" applyNumberFormat="1" applyFont="1"/>
    <xf numFmtId="39" fontId="1" fillId="0" borderId="21" xfId="56" applyNumberFormat="1" applyFont="1" applyBorder="1"/>
    <xf numFmtId="171" fontId="1" fillId="0" borderId="0" xfId="56" applyNumberFormat="1" applyFont="1" applyProtection="1">
      <protection locked="0"/>
    </xf>
    <xf numFmtId="0" fontId="54" fillId="0" borderId="21" xfId="56" applyFont="1" applyBorder="1"/>
    <xf numFmtId="171" fontId="54" fillId="0" borderId="0" xfId="56" applyNumberFormat="1" applyFont="1" applyProtection="1">
      <protection locked="0"/>
    </xf>
    <xf numFmtId="170" fontId="54" fillId="0" borderId="0" xfId="67" applyNumberFormat="1" applyFont="1" applyFill="1" applyBorder="1"/>
    <xf numFmtId="170" fontId="6" fillId="0" borderId="0" xfId="56" applyNumberFormat="1" applyFont="1"/>
    <xf numFmtId="170" fontId="54" fillId="0" borderId="0" xfId="56" applyNumberFormat="1" applyFont="1"/>
    <xf numFmtId="9" fontId="54" fillId="0" borderId="0" xfId="56" applyNumberFormat="1" applyFont="1"/>
    <xf numFmtId="2" fontId="54" fillId="0" borderId="0" xfId="56" applyNumberFormat="1" applyFont="1"/>
    <xf numFmtId="172" fontId="1" fillId="29" borderId="0" xfId="56" applyNumberFormat="1" applyFont="1" applyFill="1" applyAlignment="1">
      <alignment horizontal="right"/>
    </xf>
    <xf numFmtId="172" fontId="1" fillId="29" borderId="21" xfId="56" applyNumberFormat="1" applyFont="1" applyFill="1" applyBorder="1" applyAlignment="1">
      <alignment horizontal="right"/>
    </xf>
    <xf numFmtId="172" fontId="59" fillId="29" borderId="21" xfId="56" applyNumberFormat="1" applyFont="1" applyFill="1" applyBorder="1" applyAlignment="1">
      <alignment horizontal="right"/>
    </xf>
    <xf numFmtId="172" fontId="1" fillId="29" borderId="25" xfId="56" applyNumberFormat="1" applyFont="1" applyFill="1" applyBorder="1" applyAlignment="1" applyProtection="1">
      <alignment horizontal="right"/>
      <protection locked="0"/>
    </xf>
    <xf numFmtId="172" fontId="1" fillId="29" borderId="24" xfId="56" applyNumberFormat="1" applyFont="1" applyFill="1" applyBorder="1" applyAlignment="1" applyProtection="1">
      <alignment horizontal="right"/>
      <protection locked="0"/>
    </xf>
    <xf numFmtId="172" fontId="59" fillId="29" borderId="24" xfId="56" applyNumberFormat="1" applyFont="1" applyFill="1" applyBorder="1" applyAlignment="1" applyProtection="1">
      <alignment horizontal="right"/>
      <protection locked="0"/>
    </xf>
    <xf numFmtId="172" fontId="48" fillId="29" borderId="48" xfId="60" applyNumberFormat="1" applyFont="1" applyFill="1" applyBorder="1" applyAlignment="1">
      <alignment horizontal="right"/>
    </xf>
    <xf numFmtId="172" fontId="1" fillId="29" borderId="31" xfId="60" applyNumberFormat="1" applyFont="1" applyFill="1" applyBorder="1" applyAlignment="1">
      <alignment horizontal="right"/>
    </xf>
    <xf numFmtId="172" fontId="1" fillId="29" borderId="48" xfId="60" applyNumberFormat="1" applyFont="1" applyFill="1" applyBorder="1" applyAlignment="1">
      <alignment horizontal="right"/>
    </xf>
    <xf numFmtId="172" fontId="1" fillId="29" borderId="12" xfId="56" applyNumberFormat="1" applyFont="1" applyFill="1" applyBorder="1" applyAlignment="1">
      <alignment horizontal="right"/>
    </xf>
    <xf numFmtId="172" fontId="1" fillId="29" borderId="49" xfId="60" applyNumberFormat="1" applyFont="1" applyFill="1" applyBorder="1" applyAlignment="1">
      <alignment horizontal="right"/>
    </xf>
    <xf numFmtId="172" fontId="1" fillId="29" borderId="33" xfId="60" applyNumberFormat="1" applyFont="1" applyFill="1" applyBorder="1" applyAlignment="1">
      <alignment horizontal="right"/>
    </xf>
    <xf numFmtId="172" fontId="1" fillId="29" borderId="36" xfId="56" applyNumberFormat="1" applyFont="1" applyFill="1" applyBorder="1" applyAlignment="1">
      <alignment horizontal="right"/>
    </xf>
    <xf numFmtId="172" fontId="1" fillId="29" borderId="33" xfId="56" applyNumberFormat="1" applyFont="1" applyFill="1" applyBorder="1" applyAlignment="1">
      <alignment horizontal="right"/>
    </xf>
    <xf numFmtId="172" fontId="48" fillId="29" borderId="49" xfId="60" applyNumberFormat="1" applyFont="1" applyFill="1" applyBorder="1" applyAlignment="1">
      <alignment horizontal="right"/>
    </xf>
    <xf numFmtId="172" fontId="48" fillId="29" borderId="51" xfId="56" applyNumberFormat="1" applyFont="1" applyFill="1" applyBorder="1" applyAlignment="1">
      <alignment horizontal="right"/>
    </xf>
    <xf numFmtId="172" fontId="59" fillId="29" borderId="39" xfId="56" applyNumberFormat="1" applyFont="1" applyFill="1" applyBorder="1" applyAlignment="1">
      <alignment horizontal="right"/>
    </xf>
    <xf numFmtId="172" fontId="59" fillId="29" borderId="51" xfId="56" applyNumberFormat="1" applyFont="1" applyFill="1" applyBorder="1" applyAlignment="1">
      <alignment horizontal="right"/>
    </xf>
    <xf numFmtId="172" fontId="48" fillId="29" borderId="51" xfId="60" applyNumberFormat="1" applyFont="1" applyFill="1" applyBorder="1" applyAlignment="1">
      <alignment horizontal="right"/>
    </xf>
    <xf numFmtId="172" fontId="1" fillId="29" borderId="39" xfId="56" applyNumberFormat="1" applyFont="1" applyFill="1" applyBorder="1" applyAlignment="1">
      <alignment horizontal="right"/>
    </xf>
    <xf numFmtId="172" fontId="1" fillId="29" borderId="51" xfId="60" applyNumberFormat="1" applyFont="1" applyFill="1" applyBorder="1" applyAlignment="1">
      <alignment horizontal="right"/>
    </xf>
    <xf numFmtId="172" fontId="48" fillId="29" borderId="48" xfId="56" applyNumberFormat="1" applyFont="1" applyFill="1" applyBorder="1" applyAlignment="1" applyProtection="1">
      <alignment horizontal="right"/>
      <protection locked="0"/>
    </xf>
    <xf numFmtId="172" fontId="48" fillId="29" borderId="31" xfId="56" applyNumberFormat="1" applyFont="1" applyFill="1" applyBorder="1" applyAlignment="1">
      <alignment horizontal="right"/>
    </xf>
    <xf numFmtId="172" fontId="1" fillId="29" borderId="48" xfId="56" applyNumberFormat="1" applyFont="1" applyFill="1" applyBorder="1" applyAlignment="1" applyProtection="1">
      <alignment horizontal="right"/>
      <protection locked="0"/>
    </xf>
    <xf numFmtId="172" fontId="1" fillId="29" borderId="31" xfId="56" applyNumberFormat="1" applyFont="1" applyFill="1" applyBorder="1" applyAlignment="1">
      <alignment horizontal="right"/>
    </xf>
    <xf numFmtId="172" fontId="48" fillId="29" borderId="48" xfId="56" applyNumberFormat="1" applyFont="1" applyFill="1" applyBorder="1" applyAlignment="1">
      <alignment horizontal="right"/>
    </xf>
    <xf numFmtId="172" fontId="99" fillId="29" borderId="31" xfId="56" applyNumberFormat="1" applyFont="1" applyFill="1" applyBorder="1" applyAlignment="1">
      <alignment horizontal="right"/>
    </xf>
    <xf numFmtId="172" fontId="1" fillId="29" borderId="48" xfId="56" applyNumberFormat="1" applyFont="1" applyFill="1" applyBorder="1" applyAlignment="1">
      <alignment horizontal="right"/>
    </xf>
    <xf numFmtId="172" fontId="59" fillId="29" borderId="0" xfId="56" applyNumberFormat="1" applyFont="1" applyFill="1" applyAlignment="1">
      <alignment horizontal="right"/>
    </xf>
    <xf numFmtId="172" fontId="1" fillId="24" borderId="21" xfId="56" applyNumberFormat="1" applyFont="1" applyFill="1" applyBorder="1" applyAlignment="1">
      <alignment horizontal="right"/>
    </xf>
    <xf numFmtId="172" fontId="48" fillId="29" borderId="49" xfId="56" applyNumberFormat="1" applyFont="1" applyFill="1" applyBorder="1" applyAlignment="1">
      <alignment horizontal="right"/>
    </xf>
    <xf numFmtId="172" fontId="48" fillId="29" borderId="33" xfId="56" applyNumberFormat="1" applyFont="1" applyFill="1" applyBorder="1" applyAlignment="1">
      <alignment horizontal="right"/>
    </xf>
    <xf numFmtId="172" fontId="1" fillId="29" borderId="49" xfId="56" applyNumberFormat="1" applyFont="1" applyFill="1" applyBorder="1" applyAlignment="1">
      <alignment horizontal="right"/>
    </xf>
    <xf numFmtId="172" fontId="48" fillId="29" borderId="50" xfId="56" applyNumberFormat="1" applyFont="1" applyFill="1" applyBorder="1" applyAlignment="1">
      <alignment horizontal="right"/>
    </xf>
    <xf numFmtId="172" fontId="48" fillId="29" borderId="16" xfId="56" applyNumberFormat="1" applyFont="1" applyFill="1" applyBorder="1" applyAlignment="1">
      <alignment horizontal="right"/>
    </xf>
    <xf numFmtId="172" fontId="1" fillId="29" borderId="50" xfId="56" applyNumberFormat="1" applyFont="1" applyFill="1" applyBorder="1" applyAlignment="1">
      <alignment horizontal="right"/>
    </xf>
    <xf numFmtId="172" fontId="1" fillId="29" borderId="16" xfId="56" applyNumberFormat="1" applyFont="1" applyFill="1" applyBorder="1" applyAlignment="1">
      <alignment horizontal="right"/>
    </xf>
    <xf numFmtId="172" fontId="48" fillId="29" borderId="39" xfId="56" applyNumberFormat="1" applyFont="1" applyFill="1" applyBorder="1" applyAlignment="1">
      <alignment horizontal="right"/>
    </xf>
    <xf numFmtId="172" fontId="1" fillId="29" borderId="51" xfId="56" applyNumberFormat="1" applyFont="1" applyFill="1" applyBorder="1" applyAlignment="1">
      <alignment horizontal="right"/>
    </xf>
    <xf numFmtId="183" fontId="1" fillId="29" borderId="52" xfId="56" applyNumberFormat="1" applyFont="1" applyFill="1" applyBorder="1" applyAlignment="1">
      <alignment horizontal="right"/>
    </xf>
    <xf numFmtId="183" fontId="1" fillId="29" borderId="41" xfId="56" applyNumberFormat="1" applyFont="1" applyFill="1" applyBorder="1" applyAlignment="1">
      <alignment horizontal="right"/>
    </xf>
    <xf numFmtId="183" fontId="59" fillId="29" borderId="52" xfId="56" applyNumberFormat="1" applyFont="1" applyFill="1" applyBorder="1" applyAlignment="1">
      <alignment horizontal="right"/>
    </xf>
    <xf numFmtId="183" fontId="1" fillId="29" borderId="43" xfId="56" applyNumberFormat="1" applyFont="1" applyFill="1" applyBorder="1" applyAlignment="1">
      <alignment horizontal="right"/>
    </xf>
    <xf numFmtId="183" fontId="1" fillId="29" borderId="40" xfId="56" applyNumberFormat="1" applyFont="1" applyFill="1" applyBorder="1" applyAlignment="1">
      <alignment horizontal="right"/>
    </xf>
    <xf numFmtId="183" fontId="59" fillId="29" borderId="40" xfId="56" applyNumberFormat="1" applyFont="1" applyFill="1" applyBorder="1" applyAlignment="1">
      <alignment horizontal="right"/>
    </xf>
    <xf numFmtId="0" fontId="61" fillId="30" borderId="0" xfId="55" applyFont="1" applyFill="1"/>
    <xf numFmtId="0" fontId="102" fillId="30" borderId="0" xfId="55" applyFont="1" applyFill="1" applyAlignment="1">
      <alignment horizontal="center"/>
    </xf>
    <xf numFmtId="0" fontId="61" fillId="30" borderId="0" xfId="55" applyFont="1" applyFill="1" applyAlignment="1">
      <alignment horizontal="right"/>
    </xf>
    <xf numFmtId="168" fontId="7" fillId="28" borderId="42" xfId="55" applyNumberFormat="1" applyFont="1" applyFill="1" applyBorder="1" applyAlignment="1">
      <alignment horizontal="right"/>
    </xf>
    <xf numFmtId="0" fontId="90" fillId="25" borderId="0" xfId="63" applyFont="1" applyFill="1" applyBorder="1" applyAlignment="1">
      <alignment horizontal="right"/>
    </xf>
    <xf numFmtId="0" fontId="103" fillId="0" borderId="0" xfId="63" applyFont="1"/>
    <xf numFmtId="0" fontId="103" fillId="0" borderId="0" xfId="0" applyFont="1"/>
    <xf numFmtId="0" fontId="104" fillId="0" borderId="0" xfId="63" applyFont="1"/>
    <xf numFmtId="0" fontId="103" fillId="0" borderId="0" xfId="63" applyFont="1" applyAlignment="1">
      <alignment horizontal="left"/>
    </xf>
    <xf numFmtId="172" fontId="103" fillId="0" borderId="0" xfId="63" applyNumberFormat="1" applyFont="1" applyBorder="1" applyAlignment="1">
      <alignment horizontal="left"/>
    </xf>
    <xf numFmtId="170" fontId="103" fillId="0" borderId="0" xfId="68" applyNumberFormat="1" applyFont="1" applyFill="1" applyAlignment="1">
      <alignment horizontal="left"/>
    </xf>
    <xf numFmtId="0" fontId="103" fillId="0" borderId="0" xfId="0" applyFont="1" applyAlignment="1">
      <alignment horizontal="right"/>
    </xf>
    <xf numFmtId="172" fontId="103" fillId="0" borderId="0" xfId="0" applyNumberFormat="1" applyFont="1"/>
    <xf numFmtId="175" fontId="103" fillId="0" borderId="0" xfId="0" applyNumberFormat="1" applyFont="1"/>
    <xf numFmtId="170" fontId="103" fillId="0" borderId="0" xfId="67" applyNumberFormat="1" applyFont="1" applyFill="1"/>
    <xf numFmtId="194" fontId="91" fillId="0" borderId="0" xfId="63" applyNumberFormat="1" applyFont="1" applyBorder="1" applyAlignment="1">
      <alignment horizontal="right"/>
    </xf>
    <xf numFmtId="187" fontId="91" fillId="0" borderId="0" xfId="63" applyNumberFormat="1" applyFont="1" applyBorder="1" applyAlignment="1">
      <alignment horizontal="right"/>
    </xf>
    <xf numFmtId="9" fontId="91" fillId="0" borderId="0" xfId="67" applyFont="1" applyFill="1" applyBorder="1" applyAlignment="1">
      <alignment horizontal="right"/>
    </xf>
    <xf numFmtId="190" fontId="91" fillId="0" borderId="0" xfId="67" applyNumberFormat="1" applyFont="1" applyFill="1" applyBorder="1" applyAlignment="1">
      <alignment horizontal="right"/>
    </xf>
    <xf numFmtId="0" fontId="103" fillId="0" borderId="0" xfId="63" applyFont="1" applyBorder="1"/>
    <xf numFmtId="172" fontId="91" fillId="0" borderId="0" xfId="63" applyNumberFormat="1" applyFont="1" applyBorder="1" applyAlignment="1">
      <alignment horizontal="right"/>
    </xf>
    <xf numFmtId="186" fontId="97" fillId="0" borderId="0" xfId="0" applyNumberFormat="1" applyFont="1"/>
    <xf numFmtId="186" fontId="97" fillId="0" borderId="0" xfId="63" applyNumberFormat="1" applyFont="1" applyBorder="1" applyAlignment="1">
      <alignment horizontal="right"/>
    </xf>
    <xf numFmtId="186" fontId="91" fillId="0" borderId="0" xfId="63" applyNumberFormat="1" applyFont="1" applyBorder="1" applyAlignment="1">
      <alignment horizontal="right"/>
    </xf>
    <xf numFmtId="187" fontId="97" fillId="0" borderId="0" xfId="0" applyNumberFormat="1" applyFont="1"/>
    <xf numFmtId="187" fontId="97" fillId="0" borderId="0" xfId="63" applyNumberFormat="1" applyFont="1" applyBorder="1" applyAlignment="1">
      <alignment horizontal="right"/>
    </xf>
    <xf numFmtId="170" fontId="92" fillId="0" borderId="0" xfId="63" applyNumberFormat="1" applyFont="1" applyBorder="1" applyAlignment="1">
      <alignment horizontal="right"/>
    </xf>
    <xf numFmtId="170" fontId="91" fillId="0" borderId="0" xfId="67" applyNumberFormat="1" applyFont="1" applyFill="1" applyBorder="1" applyAlignment="1">
      <alignment horizontal="right"/>
    </xf>
    <xf numFmtId="0" fontId="92" fillId="0" borderId="0" xfId="63" applyFont="1" applyBorder="1"/>
    <xf numFmtId="9" fontId="92" fillId="0" borderId="0" xfId="63" applyNumberFormat="1" applyFont="1" applyBorder="1" applyAlignment="1">
      <alignment horizontal="right"/>
    </xf>
    <xf numFmtId="0" fontId="92" fillId="0" borderId="0" xfId="63" quotePrefix="1" applyFont="1" applyBorder="1"/>
    <xf numFmtId="190" fontId="97" fillId="0" borderId="0" xfId="0" applyNumberFormat="1" applyFont="1"/>
    <xf numFmtId="190" fontId="97" fillId="0" borderId="0" xfId="67" applyNumberFormat="1" applyFont="1" applyFill="1" applyBorder="1" applyAlignment="1">
      <alignment horizontal="right"/>
    </xf>
    <xf numFmtId="0" fontId="91" fillId="0" borderId="42" xfId="63" applyFont="1" applyBorder="1"/>
    <xf numFmtId="0" fontId="91" fillId="0" borderId="0" xfId="63" quotePrefix="1" applyFont="1" applyBorder="1"/>
    <xf numFmtId="172" fontId="91" fillId="0" borderId="42" xfId="63" applyNumberFormat="1" applyFont="1" applyBorder="1" applyAlignment="1">
      <alignment horizontal="right"/>
    </xf>
    <xf numFmtId="181" fontId="91" fillId="0" borderId="42" xfId="63" applyNumberFormat="1" applyFont="1" applyBorder="1" applyAlignment="1">
      <alignment horizontal="right"/>
    </xf>
    <xf numFmtId="171" fontId="91" fillId="0" borderId="0" xfId="63" applyNumberFormat="1" applyFont="1" applyBorder="1" applyAlignment="1">
      <alignment horizontal="right"/>
    </xf>
    <xf numFmtId="9" fontId="91" fillId="0" borderId="0" xfId="67" applyFont="1" applyFill="1" applyBorder="1"/>
    <xf numFmtId="1" fontId="91" fillId="0" borderId="0" xfId="0" applyNumberFormat="1" applyFont="1"/>
    <xf numFmtId="9" fontId="92" fillId="0" borderId="0" xfId="67" applyFont="1" applyFill="1" applyBorder="1" applyAlignment="1">
      <alignment horizontal="right"/>
    </xf>
    <xf numFmtId="171" fontId="91" fillId="0" borderId="0" xfId="0" applyNumberFormat="1" applyFont="1"/>
    <xf numFmtId="170" fontId="91" fillId="0" borderId="0" xfId="67" applyNumberFormat="1" applyFont="1" applyFill="1" applyBorder="1"/>
    <xf numFmtId="0" fontId="91" fillId="0" borderId="42" xfId="0" applyFont="1" applyBorder="1"/>
    <xf numFmtId="171" fontId="91" fillId="0" borderId="42" xfId="0" applyNumberFormat="1" applyFont="1" applyBorder="1"/>
    <xf numFmtId="170" fontId="91" fillId="0" borderId="42" xfId="67" applyNumberFormat="1" applyFont="1" applyFill="1" applyBorder="1"/>
    <xf numFmtId="171" fontId="91" fillId="0" borderId="0" xfId="0" applyNumberFormat="1" applyFont="1" applyAlignment="1">
      <alignment horizontal="center"/>
    </xf>
    <xf numFmtId="0" fontId="90" fillId="25" borderId="0" xfId="63" applyFont="1" applyFill="1" applyBorder="1" applyAlignment="1">
      <alignment horizontal="left"/>
    </xf>
    <xf numFmtId="0" fontId="90" fillId="0" borderId="0" xfId="63" applyFont="1" applyBorder="1"/>
    <xf numFmtId="0" fontId="90" fillId="25" borderId="0" xfId="63" applyFont="1" applyFill="1" applyBorder="1"/>
    <xf numFmtId="0" fontId="90" fillId="22" borderId="0" xfId="63" applyFont="1" applyFill="1" applyBorder="1"/>
    <xf numFmtId="39" fontId="90" fillId="22" borderId="0" xfId="63" applyNumberFormat="1" applyFont="1" applyFill="1" applyBorder="1" applyAlignment="1">
      <alignment horizontal="right"/>
    </xf>
    <xf numFmtId="39" fontId="90" fillId="25" borderId="0" xfId="63" applyNumberFormat="1" applyFont="1" applyFill="1" applyBorder="1" applyAlignment="1">
      <alignment horizontal="right"/>
    </xf>
    <xf numFmtId="0" fontId="96" fillId="0" borderId="0" xfId="63" applyFont="1" applyBorder="1"/>
    <xf numFmtId="172" fontId="96" fillId="0" borderId="0" xfId="63" applyNumberFormat="1" applyFont="1" applyBorder="1" applyAlignment="1">
      <alignment horizontal="right"/>
    </xf>
    <xf numFmtId="187" fontId="96" fillId="0" borderId="0" xfId="63" applyNumberFormat="1" applyFont="1" applyBorder="1" applyAlignment="1">
      <alignment horizontal="right"/>
    </xf>
    <xf numFmtId="194" fontId="96" fillId="0" borderId="0" xfId="63" applyNumberFormat="1" applyFont="1" applyBorder="1" applyAlignment="1">
      <alignment horizontal="right"/>
    </xf>
    <xf numFmtId="170" fontId="105" fillId="0" borderId="0" xfId="63" applyNumberFormat="1" applyFont="1" applyBorder="1" applyAlignment="1">
      <alignment horizontal="right"/>
    </xf>
    <xf numFmtId="170" fontId="96" fillId="0" borderId="0" xfId="67" applyNumberFormat="1" applyFont="1" applyFill="1" applyBorder="1" applyAlignment="1">
      <alignment horizontal="right"/>
    </xf>
    <xf numFmtId="9" fontId="96" fillId="0" borderId="0" xfId="67" applyFont="1" applyFill="1" applyBorder="1" applyAlignment="1">
      <alignment horizontal="right"/>
    </xf>
    <xf numFmtId="181" fontId="96" fillId="0" borderId="0" xfId="63" applyNumberFormat="1" applyFont="1" applyBorder="1" applyAlignment="1">
      <alignment horizontal="right"/>
    </xf>
    <xf numFmtId="0" fontId="96" fillId="31" borderId="0" xfId="63" applyFont="1" applyFill="1" applyBorder="1"/>
    <xf numFmtId="170" fontId="105" fillId="31" borderId="0" xfId="63" applyNumberFormat="1" applyFont="1" applyFill="1" applyBorder="1" applyAlignment="1">
      <alignment horizontal="right"/>
    </xf>
    <xf numFmtId="170" fontId="96" fillId="31" borderId="0" xfId="67" applyNumberFormat="1" applyFont="1" applyFill="1" applyBorder="1" applyAlignment="1">
      <alignment horizontal="right"/>
    </xf>
    <xf numFmtId="9" fontId="96" fillId="31" borderId="0" xfId="67" applyFont="1" applyFill="1" applyBorder="1" applyAlignment="1">
      <alignment horizontal="right"/>
    </xf>
    <xf numFmtId="181" fontId="96" fillId="31" borderId="0" xfId="63" applyNumberFormat="1" applyFont="1" applyFill="1" applyBorder="1" applyAlignment="1">
      <alignment horizontal="right"/>
    </xf>
    <xf numFmtId="0" fontId="92" fillId="0" borderId="56" xfId="63" applyFont="1" applyBorder="1"/>
    <xf numFmtId="170" fontId="92" fillId="0" borderId="56" xfId="63" applyNumberFormat="1" applyFont="1" applyBorder="1" applyAlignment="1">
      <alignment horizontal="right"/>
    </xf>
    <xf numFmtId="170" fontId="91" fillId="0" borderId="56" xfId="67" applyNumberFormat="1" applyFont="1" applyFill="1" applyBorder="1" applyAlignment="1">
      <alignment horizontal="right"/>
    </xf>
    <xf numFmtId="9" fontId="91" fillId="0" borderId="56" xfId="67" applyFont="1" applyFill="1" applyBorder="1" applyAlignment="1">
      <alignment horizontal="right"/>
    </xf>
    <xf numFmtId="0" fontId="91" fillId="0" borderId="56" xfId="63" applyFont="1" applyBorder="1"/>
    <xf numFmtId="181" fontId="91" fillId="0" borderId="56" xfId="63" applyNumberFormat="1" applyFont="1" applyBorder="1" applyAlignment="1">
      <alignment horizontal="right"/>
    </xf>
    <xf numFmtId="172" fontId="91" fillId="0" borderId="56" xfId="63" applyNumberFormat="1" applyFont="1" applyBorder="1" applyAlignment="1">
      <alignment horizontal="right"/>
    </xf>
    <xf numFmtId="187" fontId="91" fillId="0" borderId="56" xfId="63" applyNumberFormat="1" applyFont="1" applyBorder="1" applyAlignment="1">
      <alignment horizontal="right"/>
    </xf>
    <xf numFmtId="194" fontId="91" fillId="0" borderId="56" xfId="63" applyNumberFormat="1" applyFont="1" applyBorder="1" applyAlignment="1">
      <alignment horizontal="right"/>
    </xf>
    <xf numFmtId="172" fontId="96" fillId="31" borderId="0" xfId="63" applyNumberFormat="1" applyFont="1" applyFill="1" applyBorder="1" applyAlignment="1">
      <alignment horizontal="right"/>
    </xf>
    <xf numFmtId="187" fontId="96" fillId="31" borderId="0" xfId="63" applyNumberFormat="1" applyFont="1" applyFill="1" applyBorder="1" applyAlignment="1">
      <alignment horizontal="right"/>
    </xf>
    <xf numFmtId="194" fontId="96" fillId="31" borderId="0" xfId="63" applyNumberFormat="1" applyFont="1" applyFill="1" applyBorder="1" applyAlignment="1">
      <alignment horizontal="right"/>
    </xf>
    <xf numFmtId="181" fontId="91" fillId="0" borderId="0" xfId="63" applyNumberFormat="1" applyFont="1" applyBorder="1" applyAlignment="1">
      <alignment horizontal="right" vertical="top"/>
    </xf>
    <xf numFmtId="190" fontId="106" fillId="0" borderId="0" xfId="0" applyNumberFormat="1" applyFont="1"/>
    <xf numFmtId="190" fontId="106" fillId="0" borderId="0" xfId="67" applyNumberFormat="1" applyFont="1" applyFill="1" applyBorder="1" applyAlignment="1">
      <alignment horizontal="right"/>
    </xf>
    <xf numFmtId="190" fontId="92" fillId="0" borderId="0" xfId="67" applyNumberFormat="1" applyFont="1" applyFill="1" applyBorder="1" applyAlignment="1">
      <alignment horizontal="right"/>
    </xf>
    <xf numFmtId="197" fontId="92" fillId="0" borderId="0" xfId="67" applyNumberFormat="1" applyFont="1" applyFill="1" applyBorder="1" applyAlignment="1">
      <alignment horizontal="right"/>
    </xf>
    <xf numFmtId="0" fontId="7" fillId="0" borderId="0" xfId="56" applyFont="1" applyAlignment="1">
      <alignment horizontal="center"/>
    </xf>
    <xf numFmtId="172" fontId="7" fillId="0" borderId="12" xfId="56" applyNumberFormat="1" applyFont="1" applyBorder="1" applyAlignment="1">
      <alignment horizontal="right"/>
    </xf>
    <xf numFmtId="172" fontId="7" fillId="0" borderId="18" xfId="56" applyNumberFormat="1" applyFont="1" applyBorder="1" applyAlignment="1">
      <alignment horizontal="right"/>
    </xf>
    <xf numFmtId="0" fontId="96" fillId="0" borderId="0" xfId="0" applyFont="1"/>
    <xf numFmtId="0" fontId="91" fillId="0" borderId="56" xfId="0" applyFont="1" applyBorder="1"/>
    <xf numFmtId="172" fontId="96" fillId="31" borderId="0" xfId="63" applyNumberFormat="1" applyFont="1" applyFill="1" applyBorder="1" applyAlignment="1">
      <alignment horizontal="left"/>
    </xf>
    <xf numFmtId="181" fontId="91" fillId="0" borderId="56" xfId="0" applyNumberFormat="1" applyFont="1" applyBorder="1"/>
    <xf numFmtId="171" fontId="91" fillId="0" borderId="56" xfId="63" applyNumberFormat="1" applyFont="1" applyBorder="1" applyAlignment="1">
      <alignment horizontal="right"/>
    </xf>
    <xf numFmtId="0" fontId="96" fillId="0" borderId="57" xfId="63" applyFont="1" applyBorder="1"/>
    <xf numFmtId="172" fontId="96" fillId="0" borderId="57" xfId="63" applyNumberFormat="1" applyFont="1" applyBorder="1" applyAlignment="1">
      <alignment horizontal="right"/>
    </xf>
    <xf numFmtId="181" fontId="96" fillId="0" borderId="57" xfId="63" applyNumberFormat="1" applyFont="1" applyBorder="1" applyAlignment="1">
      <alignment horizontal="right"/>
    </xf>
    <xf numFmtId="9" fontId="92" fillId="0" borderId="56" xfId="67" applyFont="1" applyFill="1" applyBorder="1" applyAlignment="1">
      <alignment horizontal="right"/>
    </xf>
    <xf numFmtId="170" fontId="92" fillId="0" borderId="56" xfId="67" applyNumberFormat="1" applyFont="1" applyFill="1" applyBorder="1" applyAlignment="1">
      <alignment horizontal="right"/>
    </xf>
    <xf numFmtId="170" fontId="91" fillId="0" borderId="56" xfId="63" applyNumberFormat="1" applyFont="1" applyBorder="1" applyAlignment="1">
      <alignment horizontal="right"/>
    </xf>
    <xf numFmtId="190" fontId="97" fillId="0" borderId="56" xfId="0" applyNumberFormat="1" applyFont="1" applyBorder="1"/>
    <xf numFmtId="190" fontId="97" fillId="0" borderId="56" xfId="67" applyNumberFormat="1" applyFont="1" applyFill="1" applyBorder="1" applyAlignment="1">
      <alignment horizontal="right"/>
    </xf>
    <xf numFmtId="190" fontId="91" fillId="0" borderId="56" xfId="67" applyNumberFormat="1" applyFont="1" applyFill="1" applyBorder="1" applyAlignment="1">
      <alignment horizontal="right"/>
    </xf>
    <xf numFmtId="1" fontId="96" fillId="0" borderId="0" xfId="0" applyNumberFormat="1" applyFont="1"/>
    <xf numFmtId="0" fontId="105" fillId="31" borderId="56" xfId="63" applyFont="1" applyFill="1" applyBorder="1"/>
    <xf numFmtId="170" fontId="105" fillId="31" borderId="56" xfId="63" applyNumberFormat="1" applyFont="1" applyFill="1" applyBorder="1" applyAlignment="1">
      <alignment horizontal="right"/>
    </xf>
    <xf numFmtId="170" fontId="96" fillId="31" borderId="56" xfId="67" applyNumberFormat="1" applyFont="1" applyFill="1" applyBorder="1" applyAlignment="1">
      <alignment horizontal="right"/>
    </xf>
    <xf numFmtId="9" fontId="96" fillId="31" borderId="56" xfId="67" applyFont="1" applyFill="1" applyBorder="1" applyAlignment="1">
      <alignment horizontal="right"/>
    </xf>
    <xf numFmtId="9" fontId="105" fillId="31" borderId="56" xfId="67" applyFont="1" applyFill="1" applyBorder="1" applyAlignment="1">
      <alignment horizontal="right"/>
    </xf>
    <xf numFmtId="172" fontId="91" fillId="0" borderId="56" xfId="67" applyNumberFormat="1" applyFont="1" applyFill="1" applyBorder="1" applyAlignment="1">
      <alignment horizontal="right"/>
    </xf>
    <xf numFmtId="181" fontId="1" fillId="0" borderId="0" xfId="56" applyNumberFormat="1" applyFont="1" applyAlignment="1" applyProtection="1">
      <alignment horizontal="right"/>
      <protection locked="0"/>
    </xf>
    <xf numFmtId="181" fontId="48" fillId="0" borderId="0" xfId="56" applyNumberFormat="1" applyFont="1" applyAlignment="1" applyProtection="1">
      <alignment horizontal="right"/>
      <protection locked="0"/>
    </xf>
    <xf numFmtId="4" fontId="1" fillId="0" borderId="0" xfId="56" applyNumberFormat="1" applyFont="1" applyAlignment="1">
      <alignment horizontal="right"/>
    </xf>
    <xf numFmtId="172" fontId="1" fillId="29" borderId="0" xfId="60" applyNumberFormat="1" applyFont="1" applyFill="1" applyBorder="1" applyAlignment="1">
      <alignment horizontal="right"/>
    </xf>
    <xf numFmtId="172" fontId="59" fillId="29" borderId="0" xfId="60" applyNumberFormat="1" applyFont="1" applyFill="1" applyBorder="1" applyAlignment="1">
      <alignment horizontal="right"/>
    </xf>
    <xf numFmtId="172" fontId="7" fillId="29" borderId="0" xfId="60" applyNumberFormat="1" applyFont="1" applyFill="1" applyBorder="1" applyAlignment="1">
      <alignment horizontal="right"/>
    </xf>
    <xf numFmtId="172" fontId="7" fillId="29" borderId="0" xfId="56" applyNumberFormat="1" applyFont="1" applyFill="1" applyAlignment="1">
      <alignment horizontal="right"/>
    </xf>
    <xf numFmtId="172" fontId="67" fillId="29" borderId="0" xfId="60" applyNumberFormat="1" applyFont="1" applyFill="1" applyBorder="1" applyAlignment="1">
      <alignment horizontal="right"/>
    </xf>
    <xf numFmtId="172" fontId="7" fillId="0" borderId="0" xfId="60" applyNumberFormat="1" applyFont="1" applyBorder="1" applyAlignment="1">
      <alignment horizontal="right"/>
    </xf>
    <xf numFmtId="172" fontId="59" fillId="0" borderId="0" xfId="60" applyNumberFormat="1" applyFont="1" applyBorder="1" applyAlignment="1">
      <alignment horizontal="right"/>
    </xf>
    <xf numFmtId="172" fontId="99" fillId="29" borderId="0" xfId="56" applyNumberFormat="1" applyFont="1" applyFill="1" applyAlignment="1">
      <alignment horizontal="right"/>
    </xf>
    <xf numFmtId="172" fontId="59" fillId="0" borderId="0" xfId="56" applyNumberFormat="1" applyFont="1" applyAlignment="1">
      <alignment horizontal="right"/>
    </xf>
    <xf numFmtId="0" fontId="54" fillId="0" borderId="21" xfId="56" applyFont="1" applyBorder="1" applyAlignment="1">
      <alignment horizontal="right"/>
    </xf>
    <xf numFmtId="172" fontId="1" fillId="29" borderId="21" xfId="56" applyNumberFormat="1" applyFont="1" applyFill="1" applyBorder="1" applyAlignment="1" applyProtection="1">
      <alignment horizontal="right"/>
      <protection locked="0"/>
    </xf>
    <xf numFmtId="172" fontId="1" fillId="29" borderId="21" xfId="60" applyNumberFormat="1" applyFont="1" applyFill="1" applyBorder="1" applyAlignment="1">
      <alignment horizontal="right"/>
    </xf>
    <xf numFmtId="172" fontId="7" fillId="29" borderId="21" xfId="60" applyNumberFormat="1" applyFont="1" applyFill="1" applyBorder="1" applyAlignment="1">
      <alignment horizontal="right"/>
    </xf>
    <xf numFmtId="172" fontId="59" fillId="29" borderId="21" xfId="56" applyNumberFormat="1" applyFont="1" applyFill="1" applyBorder="1" applyAlignment="1" applyProtection="1">
      <alignment horizontal="right"/>
      <protection locked="0"/>
    </xf>
    <xf numFmtId="172" fontId="59" fillId="29" borderId="21" xfId="60" applyNumberFormat="1" applyFont="1" applyFill="1" applyBorder="1" applyAlignment="1">
      <alignment horizontal="right"/>
    </xf>
    <xf numFmtId="172" fontId="67" fillId="29" borderId="21" xfId="60" applyNumberFormat="1" applyFont="1" applyFill="1" applyBorder="1" applyAlignment="1">
      <alignment horizontal="right"/>
    </xf>
    <xf numFmtId="172" fontId="59" fillId="0" borderId="21" xfId="60" applyNumberFormat="1" applyFont="1" applyBorder="1" applyAlignment="1">
      <alignment horizontal="right"/>
    </xf>
    <xf numFmtId="172" fontId="59" fillId="0" borderId="21" xfId="56" applyNumberFormat="1" applyFont="1" applyBorder="1" applyAlignment="1">
      <alignment horizontal="right"/>
    </xf>
    <xf numFmtId="0" fontId="6" fillId="0" borderId="21" xfId="56" applyFont="1" applyBorder="1" applyAlignment="1">
      <alignment horizontal="right"/>
    </xf>
    <xf numFmtId="172" fontId="7" fillId="0" borderId="21" xfId="60" applyNumberFormat="1" applyFont="1" applyBorder="1" applyAlignment="1">
      <alignment horizontal="right"/>
    </xf>
    <xf numFmtId="171" fontId="6" fillId="20" borderId="0" xfId="56" applyNumberFormat="1" applyFont="1" applyFill="1"/>
    <xf numFmtId="172" fontId="49" fillId="0" borderId="0" xfId="56" applyNumberFormat="1" applyFont="1" applyAlignment="1" applyProtection="1">
      <alignment horizontal="right"/>
      <protection locked="0"/>
    </xf>
    <xf numFmtId="181" fontId="7" fillId="0" borderId="0" xfId="56" applyNumberFormat="1" applyFont="1" applyAlignment="1" applyProtection="1">
      <alignment horizontal="right"/>
      <protection locked="0"/>
    </xf>
    <xf numFmtId="181" fontId="7" fillId="0" borderId="21" xfId="56" applyNumberFormat="1" applyFont="1" applyBorder="1" applyAlignment="1" applyProtection="1">
      <alignment horizontal="right"/>
      <protection locked="0"/>
    </xf>
    <xf numFmtId="181" fontId="7" fillId="0" borderId="0" xfId="56" applyNumberFormat="1" applyFont="1" applyAlignment="1">
      <alignment horizontal="right"/>
    </xf>
    <xf numFmtId="187" fontId="7" fillId="0" borderId="0" xfId="63" applyNumberFormat="1" applyFont="1" applyBorder="1" applyAlignment="1">
      <alignment horizontal="right"/>
    </xf>
    <xf numFmtId="49" fontId="7" fillId="0" borderId="0" xfId="56" applyNumberFormat="1" applyFont="1" applyAlignment="1">
      <alignment horizontal="left"/>
    </xf>
    <xf numFmtId="172" fontId="107" fillId="0" borderId="0" xfId="56" applyNumberFormat="1" applyFont="1" applyAlignment="1">
      <alignment horizontal="right"/>
    </xf>
    <xf numFmtId="172" fontId="55" fillId="0" borderId="0" xfId="56" applyNumberFormat="1" applyFont="1" applyAlignment="1">
      <alignment horizontal="right"/>
    </xf>
    <xf numFmtId="172" fontId="49" fillId="29" borderId="21" xfId="56" applyNumberFormat="1" applyFont="1" applyFill="1" applyBorder="1" applyAlignment="1">
      <alignment horizontal="right"/>
    </xf>
    <xf numFmtId="172" fontId="49" fillId="29" borderId="0" xfId="56" applyNumberFormat="1" applyFont="1" applyFill="1" applyAlignment="1">
      <alignment horizontal="right"/>
    </xf>
    <xf numFmtId="172" fontId="7" fillId="29" borderId="21" xfId="56" applyNumberFormat="1" applyFont="1" applyFill="1" applyBorder="1" applyAlignment="1">
      <alignment horizontal="right"/>
    </xf>
    <xf numFmtId="172" fontId="67" fillId="29" borderId="0" xfId="56" applyNumberFormat="1" applyFont="1" applyFill="1" applyAlignment="1">
      <alignment horizontal="right"/>
    </xf>
    <xf numFmtId="172" fontId="67" fillId="29" borderId="21" xfId="56" applyNumberFormat="1" applyFont="1" applyFill="1" applyBorder="1" applyAlignment="1">
      <alignment horizontal="right"/>
    </xf>
    <xf numFmtId="0" fontId="7" fillId="0" borderId="0" xfId="56" quotePrefix="1" applyFont="1" applyAlignment="1">
      <alignment horizontal="left"/>
    </xf>
    <xf numFmtId="177" fontId="7" fillId="0" borderId="0" xfId="56" applyNumberFormat="1" applyFont="1" applyAlignment="1">
      <alignment horizontal="right"/>
    </xf>
    <xf numFmtId="178" fontId="7" fillId="0" borderId="0" xfId="56" applyNumberFormat="1" applyFont="1" applyAlignment="1" applyProtection="1">
      <alignment horizontal="right"/>
      <protection locked="0"/>
    </xf>
    <xf numFmtId="169" fontId="7" fillId="0" borderId="0" xfId="56" applyNumberFormat="1" applyFont="1"/>
    <xf numFmtId="0" fontId="22" fillId="0" borderId="42" xfId="56" applyFont="1" applyBorder="1" applyAlignment="1">
      <alignment horizontal="left"/>
    </xf>
    <xf numFmtId="0" fontId="22" fillId="0" borderId="42" xfId="56" applyFont="1" applyBorder="1"/>
    <xf numFmtId="0" fontId="22" fillId="0" borderId="42" xfId="56" applyFont="1" applyBorder="1" applyAlignment="1">
      <alignment horizontal="center"/>
    </xf>
    <xf numFmtId="172" fontId="22" fillId="0" borderId="42" xfId="56" applyNumberFormat="1" applyFont="1" applyBorder="1" applyAlignment="1" applyProtection="1">
      <alignment horizontal="right"/>
      <protection locked="0"/>
    </xf>
    <xf numFmtId="172" fontId="22" fillId="0" borderId="42" xfId="56" applyNumberFormat="1" applyFont="1" applyBorder="1" applyAlignment="1">
      <alignment horizontal="right"/>
    </xf>
    <xf numFmtId="170" fontId="22" fillId="0" borderId="42" xfId="67" applyNumberFormat="1" applyFont="1" applyBorder="1" applyAlignment="1" applyProtection="1">
      <alignment horizontal="right"/>
      <protection locked="0"/>
    </xf>
    <xf numFmtId="172" fontId="22" fillId="0" borderId="24" xfId="56" applyNumberFormat="1" applyFont="1" applyBorder="1" applyAlignment="1" applyProtection="1">
      <alignment horizontal="right"/>
      <protection locked="0"/>
    </xf>
    <xf numFmtId="0" fontId="1" fillId="0" borderId="42" xfId="56" applyFont="1" applyBorder="1" applyAlignment="1">
      <alignment horizontal="left"/>
    </xf>
    <xf numFmtId="0" fontId="1" fillId="0" borderId="42" xfId="56" applyFont="1" applyBorder="1"/>
    <xf numFmtId="0" fontId="1" fillId="0" borderId="42" xfId="56" applyFont="1" applyBorder="1" applyAlignment="1">
      <alignment horizontal="center"/>
    </xf>
    <xf numFmtId="172" fontId="48" fillId="0" borderId="42" xfId="56" applyNumberFormat="1" applyFont="1" applyBorder="1" applyAlignment="1">
      <alignment horizontal="right"/>
    </xf>
    <xf numFmtId="172" fontId="48" fillId="0" borderId="42" xfId="56" applyNumberFormat="1" applyFont="1" applyBorder="1" applyAlignment="1" applyProtection="1">
      <alignment horizontal="right"/>
      <protection locked="0"/>
    </xf>
    <xf numFmtId="170" fontId="1" fillId="0" borderId="42" xfId="67" applyNumberFormat="1" applyFont="1" applyBorder="1" applyAlignment="1" applyProtection="1">
      <alignment horizontal="right"/>
      <protection locked="0"/>
    </xf>
    <xf numFmtId="49" fontId="1" fillId="0" borderId="42" xfId="56" applyNumberFormat="1" applyFont="1" applyBorder="1" applyAlignment="1">
      <alignment horizontal="left"/>
    </xf>
    <xf numFmtId="172" fontId="1" fillId="29" borderId="42" xfId="56" applyNumberFormat="1" applyFont="1" applyFill="1" applyBorder="1" applyAlignment="1">
      <alignment horizontal="right"/>
    </xf>
    <xf numFmtId="172" fontId="1" fillId="29" borderId="42" xfId="56" applyNumberFormat="1" applyFont="1" applyFill="1" applyBorder="1" applyAlignment="1" applyProtection="1">
      <alignment horizontal="right"/>
      <protection locked="0"/>
    </xf>
    <xf numFmtId="172" fontId="59" fillId="29" borderId="42" xfId="56" applyNumberFormat="1" applyFont="1" applyFill="1" applyBorder="1" applyAlignment="1" applyProtection="1">
      <alignment horizontal="right"/>
      <protection locked="0"/>
    </xf>
    <xf numFmtId="172" fontId="7" fillId="0" borderId="34" xfId="56" applyNumberFormat="1" applyFont="1" applyBorder="1" applyAlignment="1">
      <alignment horizontal="right"/>
    </xf>
    <xf numFmtId="172" fontId="7" fillId="0" borderId="35" xfId="60" applyNumberFormat="1" applyFont="1" applyBorder="1" applyAlignment="1">
      <alignment horizontal="right"/>
    </xf>
    <xf numFmtId="172" fontId="7" fillId="0" borderId="16" xfId="56" applyNumberFormat="1" applyFont="1" applyBorder="1" applyAlignment="1">
      <alignment horizontal="right"/>
    </xf>
    <xf numFmtId="172" fontId="7" fillId="0" borderId="16" xfId="60" applyNumberFormat="1" applyFont="1" applyBorder="1" applyAlignment="1">
      <alignment horizontal="right"/>
    </xf>
    <xf numFmtId="172" fontId="49" fillId="0" borderId="35" xfId="60" applyNumberFormat="1" applyFont="1" applyBorder="1" applyAlignment="1">
      <alignment horizontal="right"/>
    </xf>
    <xf numFmtId="172" fontId="49" fillId="0" borderId="16" xfId="60" applyNumberFormat="1" applyFont="1" applyBorder="1" applyAlignment="1">
      <alignment horizontal="right"/>
    </xf>
    <xf numFmtId="172" fontId="49" fillId="0" borderId="34" xfId="60" applyNumberFormat="1" applyFont="1" applyBorder="1" applyAlignment="1">
      <alignment horizontal="right"/>
    </xf>
    <xf numFmtId="172" fontId="7" fillId="0" borderId="34" xfId="60" applyNumberFormat="1" applyFont="1" applyBorder="1" applyAlignment="1">
      <alignment horizontal="right"/>
    </xf>
    <xf numFmtId="172" fontId="49" fillId="29" borderId="50" xfId="60" applyNumberFormat="1" applyFont="1" applyFill="1" applyBorder="1" applyAlignment="1">
      <alignment horizontal="right"/>
    </xf>
    <xf numFmtId="172" fontId="49" fillId="29" borderId="16" xfId="60" applyNumberFormat="1" applyFont="1" applyFill="1" applyBorder="1" applyAlignment="1">
      <alignment horizontal="right"/>
    </xf>
    <xf numFmtId="172" fontId="7" fillId="29" borderId="50" xfId="60" applyNumberFormat="1" applyFont="1" applyFill="1" applyBorder="1" applyAlignment="1">
      <alignment horizontal="right"/>
    </xf>
    <xf numFmtId="172" fontId="7" fillId="29" borderId="16" xfId="60" applyNumberFormat="1" applyFont="1" applyFill="1" applyBorder="1" applyAlignment="1">
      <alignment horizontal="right"/>
    </xf>
    <xf numFmtId="178" fontId="7" fillId="0" borderId="0" xfId="56" applyNumberFormat="1" applyFont="1" applyAlignment="1">
      <alignment horizontal="right"/>
    </xf>
    <xf numFmtId="172" fontId="1" fillId="0" borderId="58" xfId="56" applyNumberFormat="1" applyFont="1" applyBorder="1" applyAlignment="1">
      <alignment horizontal="right"/>
    </xf>
    <xf numFmtId="172" fontId="1" fillId="0" borderId="59" xfId="60" applyNumberFormat="1" applyFont="1" applyBorder="1" applyAlignment="1">
      <alignment horizontal="right"/>
    </xf>
    <xf numFmtId="172" fontId="1" fillId="0" borderId="60" xfId="56" applyNumberFormat="1" applyFont="1" applyBorder="1" applyAlignment="1">
      <alignment horizontal="right"/>
    </xf>
    <xf numFmtId="172" fontId="48" fillId="0" borderId="59" xfId="60" applyNumberFormat="1" applyFont="1" applyBorder="1" applyAlignment="1">
      <alignment horizontal="right"/>
    </xf>
    <xf numFmtId="172" fontId="48" fillId="0" borderId="60" xfId="56" applyNumberFormat="1" applyFont="1" applyBorder="1" applyAlignment="1">
      <alignment horizontal="right"/>
    </xf>
    <xf numFmtId="172" fontId="48" fillId="0" borderId="58" xfId="60" applyNumberFormat="1" applyFont="1" applyBorder="1" applyAlignment="1">
      <alignment horizontal="right"/>
    </xf>
    <xf numFmtId="172" fontId="1" fillId="0" borderId="58" xfId="60" applyNumberFormat="1" applyFont="1" applyBorder="1" applyAlignment="1">
      <alignment horizontal="right"/>
    </xf>
    <xf numFmtId="172" fontId="48" fillId="0" borderId="61" xfId="60" applyNumberFormat="1" applyFont="1" applyBorder="1" applyAlignment="1">
      <alignment horizontal="right"/>
    </xf>
    <xf numFmtId="172" fontId="1" fillId="0" borderId="61" xfId="60" applyNumberFormat="1" applyFont="1" applyBorder="1" applyAlignment="1">
      <alignment horizontal="right"/>
    </xf>
    <xf numFmtId="172" fontId="1" fillId="0" borderId="24" xfId="60" applyNumberFormat="1" applyFont="1" applyBorder="1" applyAlignment="1">
      <alignment horizontal="right"/>
    </xf>
    <xf numFmtId="172" fontId="59" fillId="0" borderId="24" xfId="60" applyNumberFormat="1" applyFont="1" applyBorder="1" applyAlignment="1">
      <alignment horizontal="right"/>
    </xf>
    <xf numFmtId="172" fontId="48" fillId="0" borderId="39" xfId="60" applyNumberFormat="1" applyFont="1" applyBorder="1" applyAlignment="1">
      <alignment horizontal="right"/>
    </xf>
    <xf numFmtId="172" fontId="48" fillId="0" borderId="51" xfId="60" applyNumberFormat="1" applyFont="1" applyBorder="1" applyAlignment="1">
      <alignment horizontal="right"/>
    </xf>
    <xf numFmtId="172" fontId="1" fillId="0" borderId="42" xfId="60" applyNumberFormat="1" applyFont="1" applyBorder="1" applyAlignment="1">
      <alignment horizontal="right"/>
    </xf>
    <xf numFmtId="177" fontId="1" fillId="0" borderId="42" xfId="60" applyNumberFormat="1" applyFont="1" applyBorder="1" applyAlignment="1">
      <alignment horizontal="right"/>
    </xf>
    <xf numFmtId="172" fontId="1" fillId="0" borderId="59" xfId="56" applyNumberFormat="1" applyFont="1" applyBorder="1" applyAlignment="1">
      <alignment horizontal="right"/>
    </xf>
    <xf numFmtId="172" fontId="48" fillId="0" borderId="58" xfId="56" applyNumberFormat="1" applyFont="1" applyBorder="1" applyAlignment="1">
      <alignment horizontal="right"/>
    </xf>
    <xf numFmtId="172" fontId="99" fillId="0" borderId="58" xfId="56" applyNumberFormat="1" applyFont="1" applyBorder="1" applyAlignment="1">
      <alignment horizontal="right"/>
    </xf>
    <xf numFmtId="172" fontId="48" fillId="29" borderId="61" xfId="56" applyNumberFormat="1" applyFont="1" applyFill="1" applyBorder="1" applyAlignment="1">
      <alignment horizontal="right"/>
    </xf>
    <xf numFmtId="172" fontId="48" fillId="29" borderId="60" xfId="56" applyNumberFormat="1" applyFont="1" applyFill="1" applyBorder="1" applyAlignment="1">
      <alignment horizontal="right"/>
    </xf>
    <xf numFmtId="172" fontId="1" fillId="29" borderId="61" xfId="56" applyNumberFormat="1" applyFont="1" applyFill="1" applyBorder="1" applyAlignment="1">
      <alignment horizontal="right"/>
    </xf>
    <xf numFmtId="172" fontId="1" fillId="29" borderId="60" xfId="56" applyNumberFormat="1" applyFont="1" applyFill="1" applyBorder="1" applyAlignment="1">
      <alignment horizontal="right"/>
    </xf>
    <xf numFmtId="172" fontId="1" fillId="29" borderId="24" xfId="56" applyNumberFormat="1" applyFont="1" applyFill="1" applyBorder="1" applyAlignment="1">
      <alignment horizontal="right"/>
    </xf>
    <xf numFmtId="172" fontId="59" fillId="29" borderId="42" xfId="56" applyNumberFormat="1" applyFont="1" applyFill="1" applyBorder="1" applyAlignment="1">
      <alignment horizontal="right"/>
    </xf>
    <xf numFmtId="172" fontId="59" fillId="29" borderId="24" xfId="56" applyNumberFormat="1" applyFont="1" applyFill="1" applyBorder="1" applyAlignment="1">
      <alignment horizontal="right"/>
    </xf>
    <xf numFmtId="169" fontId="7" fillId="0" borderId="0" xfId="56" applyNumberFormat="1" applyFont="1" applyAlignment="1">
      <alignment horizontal="right"/>
    </xf>
    <xf numFmtId="169" fontId="1" fillId="0" borderId="59" xfId="56" applyNumberFormat="1" applyFont="1" applyBorder="1" applyAlignment="1">
      <alignment horizontal="right"/>
    </xf>
    <xf numFmtId="0" fontId="1" fillId="0" borderId="42" xfId="56" quotePrefix="1" applyFont="1" applyBorder="1" applyAlignment="1">
      <alignment horizontal="left"/>
    </xf>
    <xf numFmtId="172" fontId="48" fillId="0" borderId="59" xfId="56" applyNumberFormat="1" applyFont="1" applyBorder="1" applyAlignment="1">
      <alignment horizontal="right"/>
    </xf>
    <xf numFmtId="172" fontId="1" fillId="0" borderId="61" xfId="56" applyNumberFormat="1" applyFont="1" applyBorder="1" applyAlignment="1">
      <alignment horizontal="right"/>
    </xf>
    <xf numFmtId="9" fontId="1" fillId="0" borderId="0" xfId="55" applyNumberFormat="1" applyFont="1"/>
    <xf numFmtId="3" fontId="77" fillId="0" borderId="21" xfId="61" applyNumberFormat="1" applyFont="1" applyBorder="1" applyAlignment="1">
      <alignment horizontal="right"/>
    </xf>
    <xf numFmtId="1" fontId="59" fillId="0" borderId="0" xfId="61" applyNumberFormat="1" applyFont="1" applyAlignment="1">
      <alignment horizontal="right"/>
    </xf>
    <xf numFmtId="172" fontId="59" fillId="0" borderId="12" xfId="61" applyNumberFormat="1" applyFont="1" applyBorder="1"/>
    <xf numFmtId="3" fontId="59" fillId="0" borderId="12" xfId="61" applyNumberFormat="1" applyFont="1" applyBorder="1"/>
    <xf numFmtId="183" fontId="59" fillId="0" borderId="40" xfId="56" applyNumberFormat="1" applyFont="1" applyBorder="1" applyAlignment="1">
      <alignment horizontal="right"/>
    </xf>
    <xf numFmtId="183" fontId="59" fillId="0" borderId="41" xfId="56" applyNumberFormat="1" applyFont="1" applyBorder="1" applyAlignment="1">
      <alignment horizontal="right"/>
    </xf>
    <xf numFmtId="0" fontId="108" fillId="25" borderId="0" xfId="0" applyFont="1" applyFill="1"/>
    <xf numFmtId="0" fontId="109" fillId="25" borderId="0" xfId="0" applyFont="1" applyFill="1" applyAlignment="1">
      <alignment horizontal="right"/>
    </xf>
    <xf numFmtId="0" fontId="111" fillId="31" borderId="0" xfId="62" applyFont="1" applyFill="1"/>
    <xf numFmtId="170" fontId="111" fillId="31" borderId="0" xfId="0" applyNumberFormat="1" applyFont="1" applyFill="1" applyAlignment="1">
      <alignment horizontal="right"/>
    </xf>
    <xf numFmtId="0" fontId="108" fillId="25" borderId="0" xfId="62" applyFont="1" applyFill="1"/>
    <xf numFmtId="0" fontId="108" fillId="25" borderId="0" xfId="0" applyFont="1" applyFill="1" applyAlignment="1">
      <alignment horizontal="right"/>
    </xf>
    <xf numFmtId="0" fontId="111" fillId="31" borderId="0" xfId="0" applyFont="1" applyFill="1"/>
    <xf numFmtId="3" fontId="111" fillId="31" borderId="0" xfId="0" applyNumberFormat="1" applyFont="1" applyFill="1" applyAlignment="1">
      <alignment horizontal="right"/>
    </xf>
    <xf numFmtId="0" fontId="111" fillId="32" borderId="44" xfId="0" applyFont="1" applyFill="1" applyBorder="1"/>
    <xf numFmtId="3" fontId="111" fillId="32" borderId="44" xfId="0" applyNumberFormat="1" applyFont="1" applyFill="1" applyBorder="1" applyAlignment="1">
      <alignment horizontal="right"/>
    </xf>
    <xf numFmtId="0" fontId="110" fillId="23" borderId="0" xfId="0" applyFont="1" applyFill="1" applyAlignment="1">
      <alignment horizontal="right"/>
    </xf>
    <xf numFmtId="0" fontId="110" fillId="23" borderId="0" xfId="0" applyFont="1" applyFill="1"/>
    <xf numFmtId="0" fontId="110" fillId="23" borderId="0" xfId="62" applyFont="1" applyFill="1"/>
    <xf numFmtId="170" fontId="110" fillId="23" borderId="0" xfId="0" applyNumberFormat="1" applyFont="1" applyFill="1" applyAlignment="1">
      <alignment horizontal="right"/>
    </xf>
    <xf numFmtId="0" fontId="110" fillId="23" borderId="42" xfId="62" applyFont="1" applyFill="1" applyBorder="1"/>
    <xf numFmtId="2" fontId="110" fillId="23" borderId="42" xfId="0" applyNumberFormat="1" applyFont="1" applyFill="1" applyBorder="1" applyAlignment="1">
      <alignment horizontal="right"/>
    </xf>
    <xf numFmtId="0" fontId="111" fillId="23" borderId="0" xfId="62" applyFont="1" applyFill="1"/>
    <xf numFmtId="3" fontId="110" fillId="23" borderId="0" xfId="0" applyNumberFormat="1" applyFont="1" applyFill="1" applyAlignment="1">
      <alignment horizontal="right"/>
    </xf>
    <xf numFmtId="0" fontId="110" fillId="23" borderId="42" xfId="0" applyFont="1" applyFill="1" applyBorder="1"/>
    <xf numFmtId="3" fontId="110" fillId="23" borderId="42" xfId="0" applyNumberFormat="1" applyFont="1" applyFill="1" applyBorder="1" applyAlignment="1">
      <alignment horizontal="right"/>
    </xf>
    <xf numFmtId="0" fontId="111" fillId="23" borderId="0" xfId="0" applyFont="1" applyFill="1"/>
    <xf numFmtId="3" fontId="111" fillId="23" borderId="0" xfId="0" applyNumberFormat="1" applyFont="1" applyFill="1" applyAlignment="1">
      <alignment horizontal="right"/>
    </xf>
    <xf numFmtId="4" fontId="110" fillId="23" borderId="42" xfId="0" applyNumberFormat="1" applyFont="1" applyFill="1" applyBorder="1" applyAlignment="1">
      <alignment horizontal="right"/>
    </xf>
    <xf numFmtId="0" fontId="110" fillId="23" borderId="42" xfId="0" applyFont="1" applyFill="1" applyBorder="1" applyAlignment="1">
      <alignment horizontal="right"/>
    </xf>
    <xf numFmtId="0" fontId="113" fillId="0" borderId="42" xfId="0" applyFont="1" applyBorder="1"/>
    <xf numFmtId="198" fontId="113" fillId="0" borderId="42" xfId="0" applyNumberFormat="1" applyFont="1" applyBorder="1"/>
    <xf numFmtId="0" fontId="112" fillId="25" borderId="0" xfId="0" applyFont="1" applyFill="1"/>
    <xf numFmtId="0" fontId="112" fillId="25" borderId="0" xfId="0" applyFont="1" applyFill="1" applyAlignment="1">
      <alignment horizontal="right"/>
    </xf>
    <xf numFmtId="0" fontId="113" fillId="0" borderId="0" xfId="0" applyFont="1"/>
    <xf numFmtId="198" fontId="113" fillId="0" borderId="0" xfId="0" applyNumberFormat="1" applyFont="1"/>
    <xf numFmtId="0" fontId="113" fillId="31" borderId="0" xfId="0" applyFont="1" applyFill="1"/>
    <xf numFmtId="199" fontId="113" fillId="31" borderId="0" xfId="0" applyNumberFormat="1" applyFont="1" applyFill="1" applyAlignment="1">
      <alignment horizontal="right"/>
    </xf>
    <xf numFmtId="198" fontId="113" fillId="31" borderId="0" xfId="0" applyNumberFormat="1" applyFont="1" applyFill="1"/>
    <xf numFmtId="0" fontId="114" fillId="32" borderId="0" xfId="0" applyFont="1" applyFill="1"/>
    <xf numFmtId="199" fontId="114" fillId="32" borderId="0" xfId="0" applyNumberFormat="1" applyFont="1" applyFill="1"/>
    <xf numFmtId="198" fontId="113" fillId="32" borderId="0" xfId="0" applyNumberFormat="1" applyFont="1" applyFill="1"/>
    <xf numFmtId="199" fontId="113" fillId="0" borderId="0" xfId="0" applyNumberFormat="1" applyFont="1"/>
    <xf numFmtId="0" fontId="114" fillId="0" borderId="42" xfId="0" applyFont="1" applyBorder="1"/>
    <xf numFmtId="9" fontId="114" fillId="0" borderId="42" xfId="67" applyFont="1" applyBorder="1"/>
    <xf numFmtId="181" fontId="1" fillId="28" borderId="0" xfId="56" applyNumberFormat="1" applyFont="1" applyFill="1" applyAlignment="1">
      <alignment horizontal="right"/>
    </xf>
    <xf numFmtId="181" fontId="1" fillId="28" borderId="21" xfId="56" applyNumberFormat="1" applyFont="1" applyFill="1" applyBorder="1" applyAlignment="1" applyProtection="1">
      <alignment horizontal="right"/>
      <protection locked="0"/>
    </xf>
    <xf numFmtId="172" fontId="1" fillId="28" borderId="0" xfId="56" applyNumberFormat="1" applyFont="1" applyFill="1" applyAlignment="1">
      <alignment horizontal="right"/>
    </xf>
    <xf numFmtId="172" fontId="1" fillId="28" borderId="21" xfId="56" applyNumberFormat="1" applyFont="1" applyFill="1" applyBorder="1" applyAlignment="1" applyProtection="1">
      <alignment horizontal="right"/>
      <protection locked="0"/>
    </xf>
    <xf numFmtId="181" fontId="1" fillId="28" borderId="0" xfId="56" applyNumberFormat="1" applyFont="1" applyFill="1" applyAlignment="1" applyProtection="1">
      <alignment horizontal="right"/>
      <protection locked="0"/>
    </xf>
    <xf numFmtId="172" fontId="1" fillId="28" borderId="0" xfId="56" applyNumberFormat="1" applyFont="1" applyFill="1" applyAlignment="1" applyProtection="1">
      <alignment horizontal="right"/>
      <protection locked="0"/>
    </xf>
    <xf numFmtId="172" fontId="1" fillId="28" borderId="21" xfId="56" applyNumberFormat="1" applyFont="1" applyFill="1" applyBorder="1" applyAlignment="1">
      <alignment horizontal="right"/>
    </xf>
    <xf numFmtId="9" fontId="113" fillId="0" borderId="0" xfId="0" applyNumberFormat="1" applyFont="1" applyAlignment="1">
      <alignment horizontal="right"/>
    </xf>
    <xf numFmtId="199" fontId="113" fillId="0" borderId="0" xfId="0" applyNumberFormat="1" applyFont="1" applyAlignment="1">
      <alignment horizontal="right"/>
    </xf>
    <xf numFmtId="9" fontId="113" fillId="31" borderId="0" xfId="0" applyNumberFormat="1" applyFont="1" applyFill="1" applyAlignment="1">
      <alignment horizontal="right"/>
    </xf>
    <xf numFmtId="9" fontId="113" fillId="0" borderId="42" xfId="0" applyNumberFormat="1" applyFont="1" applyBorder="1" applyAlignment="1">
      <alignment horizontal="right"/>
    </xf>
    <xf numFmtId="199" fontId="113" fillId="0" borderId="42" xfId="0" applyNumberFormat="1" applyFont="1" applyBorder="1" applyAlignment="1">
      <alignment horizontal="right"/>
    </xf>
    <xf numFmtId="170" fontId="1" fillId="0" borderId="21" xfId="67" applyNumberFormat="1" applyFont="1" applyFill="1" applyBorder="1" applyAlignment="1" applyProtection="1">
      <alignment horizontal="right"/>
      <protection locked="0"/>
    </xf>
    <xf numFmtId="172" fontId="65" fillId="0" borderId="42" xfId="56" applyNumberFormat="1" applyFont="1" applyBorder="1" applyAlignment="1" applyProtection="1">
      <alignment horizontal="right"/>
      <protection locked="0"/>
    </xf>
    <xf numFmtId="172" fontId="65" fillId="0" borderId="24" xfId="56" applyNumberFormat="1" applyFont="1" applyBorder="1" applyAlignment="1" applyProtection="1">
      <alignment horizontal="right"/>
      <protection locked="0"/>
    </xf>
    <xf numFmtId="3" fontId="65" fillId="0" borderId="0" xfId="0" applyNumberFormat="1" applyFont="1" applyAlignment="1">
      <alignment horizontal="right"/>
    </xf>
    <xf numFmtId="3" fontId="77" fillId="0" borderId="21" xfId="55" applyNumberFormat="1" applyFont="1" applyBorder="1" applyAlignment="1">
      <alignment horizontal="right"/>
    </xf>
    <xf numFmtId="3" fontId="77" fillId="0" borderId="21" xfId="0" applyNumberFormat="1" applyFont="1" applyBorder="1" applyAlignment="1">
      <alignment horizontal="right"/>
    </xf>
    <xf numFmtId="1" fontId="77" fillId="0" borderId="21" xfId="0" applyNumberFormat="1" applyFont="1" applyBorder="1" applyAlignment="1">
      <alignment horizontal="right"/>
    </xf>
    <xf numFmtId="3" fontId="59" fillId="0" borderId="18" xfId="61" applyNumberFormat="1" applyFont="1" applyBorder="1"/>
    <xf numFmtId="172" fontId="65" fillId="29" borderId="24" xfId="56" applyNumberFormat="1" applyFont="1" applyFill="1" applyBorder="1" applyAlignment="1" applyProtection="1">
      <alignment horizontal="right"/>
      <protection locked="0"/>
    </xf>
    <xf numFmtId="200" fontId="1" fillId="0" borderId="21" xfId="61" applyNumberFormat="1" applyFont="1" applyBorder="1"/>
    <xf numFmtId="200" fontId="59" fillId="0" borderId="21" xfId="61" applyNumberFormat="1" applyFont="1" applyBorder="1"/>
    <xf numFmtId="170" fontId="65" fillId="24" borderId="0" xfId="68" applyNumberFormat="1" applyFont="1" applyFill="1" applyAlignment="1">
      <alignment horizontal="right"/>
    </xf>
    <xf numFmtId="9" fontId="65" fillId="24" borderId="0" xfId="67" applyFont="1" applyFill="1" applyBorder="1" applyAlignment="1">
      <alignment horizontal="right"/>
    </xf>
    <xf numFmtId="9" fontId="65" fillId="24" borderId="0" xfId="68" applyFont="1" applyFill="1" applyAlignment="1">
      <alignment horizontal="right"/>
    </xf>
    <xf numFmtId="170" fontId="65" fillId="24" borderId="0" xfId="68" applyNumberFormat="1" applyFont="1" applyFill="1" applyBorder="1" applyAlignment="1">
      <alignment horizontal="right"/>
    </xf>
    <xf numFmtId="0" fontId="65" fillId="0" borderId="0" xfId="61" applyFont="1" applyBorder="1"/>
    <xf numFmtId="193" fontId="77" fillId="0" borderId="21" xfId="38" applyNumberFormat="1" applyFont="1" applyBorder="1" applyAlignment="1">
      <alignment horizontal="right"/>
    </xf>
    <xf numFmtId="183" fontId="59" fillId="0" borderId="43" xfId="56" applyNumberFormat="1" applyFont="1" applyBorder="1" applyAlignment="1">
      <alignment horizontal="right"/>
    </xf>
    <xf numFmtId="183" fontId="59" fillId="0" borderId="52" xfId="56" applyNumberFormat="1" applyFont="1" applyBorder="1" applyAlignment="1">
      <alignment horizontal="right"/>
    </xf>
    <xf numFmtId="170" fontId="66" fillId="24" borderId="21" xfId="68" applyNumberFormat="1" applyFont="1" applyFill="1" applyBorder="1" applyAlignment="1">
      <alignment horizontal="right"/>
    </xf>
    <xf numFmtId="37" fontId="22" fillId="0" borderId="0" xfId="61" applyNumberFormat="1" applyFont="1" applyBorder="1" applyAlignment="1">
      <alignment horizontal="right"/>
    </xf>
    <xf numFmtId="37" fontId="55" fillId="0" borderId="21" xfId="61" applyNumberFormat="1" applyFont="1" applyBorder="1" applyAlignment="1">
      <alignment horizontal="right"/>
    </xf>
    <xf numFmtId="9" fontId="65" fillId="24" borderId="0" xfId="55" applyNumberFormat="1" applyFont="1" applyFill="1" applyAlignment="1">
      <alignment horizontal="right"/>
    </xf>
    <xf numFmtId="9" fontId="65" fillId="0" borderId="0" xfId="67" applyFont="1" applyFill="1" applyBorder="1" applyAlignment="1">
      <alignment horizontal="right"/>
    </xf>
    <xf numFmtId="9" fontId="65" fillId="0" borderId="0" xfId="68" applyFont="1" applyAlignment="1">
      <alignment horizontal="right"/>
    </xf>
    <xf numFmtId="170" fontId="55" fillId="0" borderId="21" xfId="67" applyNumberFormat="1" applyFont="1" applyBorder="1" applyAlignment="1">
      <alignment horizontal="right"/>
    </xf>
    <xf numFmtId="172" fontId="7" fillId="0" borderId="0" xfId="61" applyNumberFormat="1" applyFont="1" applyBorder="1" applyAlignment="1">
      <alignment horizontal="right"/>
    </xf>
    <xf numFmtId="9" fontId="1" fillId="0" borderId="21" xfId="67" applyFont="1" applyBorder="1" applyAlignment="1" applyProtection="1">
      <alignment horizontal="right"/>
      <protection locked="0"/>
    </xf>
    <xf numFmtId="9" fontId="7" fillId="15" borderId="0" xfId="55" applyNumberFormat="1" applyFont="1" applyFill="1"/>
    <xf numFmtId="0" fontId="1" fillId="15" borderId="0" xfId="55" applyFont="1" applyFill="1" applyAlignment="1">
      <alignment horizontal="left"/>
    </xf>
    <xf numFmtId="0" fontId="8" fillId="15" borderId="0" xfId="55" applyFont="1" applyFill="1"/>
    <xf numFmtId="193" fontId="6" fillId="0" borderId="0" xfId="38" applyNumberFormat="1" applyFont="1" applyAlignment="1">
      <alignment horizontal="right"/>
    </xf>
    <xf numFmtId="0" fontId="61" fillId="30" borderId="42" xfId="55" applyFont="1" applyFill="1" applyBorder="1" applyAlignment="1">
      <alignment horizontal="right"/>
    </xf>
    <xf numFmtId="9" fontId="55" fillId="0" borderId="21" xfId="67" applyFont="1" applyBorder="1" applyAlignment="1">
      <alignment horizontal="right"/>
    </xf>
    <xf numFmtId="172" fontId="1" fillId="33" borderId="0" xfId="56" applyNumberFormat="1" applyFont="1" applyFill="1" applyAlignment="1">
      <alignment horizontal="right"/>
    </xf>
    <xf numFmtId="172" fontId="1" fillId="33" borderId="21" xfId="56" applyNumberFormat="1" applyFont="1" applyFill="1" applyBorder="1" applyAlignment="1">
      <alignment horizontal="right"/>
    </xf>
    <xf numFmtId="172" fontId="1" fillId="33" borderId="0" xfId="60" applyNumberFormat="1" applyFont="1" applyFill="1" applyBorder="1" applyAlignment="1">
      <alignment horizontal="right"/>
    </xf>
    <xf numFmtId="172" fontId="1" fillId="24" borderId="42" xfId="56" applyNumberFormat="1" applyFont="1" applyFill="1" applyBorder="1" applyAlignment="1">
      <alignment horizontal="right"/>
    </xf>
    <xf numFmtId="172" fontId="1" fillId="24" borderId="24" xfId="56" applyNumberFormat="1" applyFont="1" applyFill="1" applyBorder="1" applyAlignment="1">
      <alignment horizontal="right"/>
    </xf>
    <xf numFmtId="172" fontId="1" fillId="33" borderId="21" xfId="60" applyNumberFormat="1" applyFont="1" applyFill="1" applyBorder="1" applyAlignment="1">
      <alignment horizontal="right"/>
    </xf>
    <xf numFmtId="172" fontId="1" fillId="33" borderId="42" xfId="56" applyNumberFormat="1" applyFont="1" applyFill="1" applyBorder="1" applyAlignment="1">
      <alignment horizontal="right"/>
    </xf>
    <xf numFmtId="172" fontId="1" fillId="24" borderId="0" xfId="56" applyNumberFormat="1" applyFont="1" applyFill="1" applyAlignment="1" applyProtection="1">
      <alignment horizontal="right"/>
      <protection locked="0"/>
    </xf>
    <xf numFmtId="171" fontId="1" fillId="24" borderId="0" xfId="56" applyNumberFormat="1" applyFont="1" applyFill="1" applyAlignment="1">
      <alignment horizontal="right"/>
    </xf>
    <xf numFmtId="172" fontId="65" fillId="24" borderId="42" xfId="56" applyNumberFormat="1" applyFont="1" applyFill="1" applyBorder="1" applyAlignment="1" applyProtection="1">
      <alignment horizontal="right"/>
      <protection locked="0"/>
    </xf>
    <xf numFmtId="171" fontId="59" fillId="24" borderId="0" xfId="61" applyNumberFormat="1" applyFont="1" applyFill="1" applyBorder="1" applyAlignment="1">
      <alignment horizontal="right"/>
    </xf>
    <xf numFmtId="3" fontId="59" fillId="24" borderId="0" xfId="55" applyNumberFormat="1" applyFont="1" applyFill="1" applyAlignment="1">
      <alignment horizontal="right"/>
    </xf>
    <xf numFmtId="175" fontId="59" fillId="0" borderId="0" xfId="61" applyNumberFormat="1" applyFont="1" applyBorder="1" applyAlignment="1">
      <alignment horizontal="right"/>
    </xf>
    <xf numFmtId="1" fontId="1" fillId="0" borderId="0" xfId="68" applyNumberFormat="1" applyFont="1" applyFill="1" applyBorder="1" applyAlignment="1">
      <alignment horizontal="right"/>
    </xf>
    <xf numFmtId="1" fontId="7" fillId="0" borderId="21" xfId="68" applyNumberFormat="1" applyFont="1" applyFill="1" applyBorder="1" applyAlignment="1">
      <alignment horizontal="right"/>
    </xf>
    <xf numFmtId="1" fontId="59" fillId="0" borderId="0" xfId="68" applyNumberFormat="1" applyFont="1" applyFill="1" applyBorder="1" applyAlignment="1">
      <alignment horizontal="right"/>
    </xf>
    <xf numFmtId="2" fontId="6" fillId="0" borderId="0" xfId="68" applyNumberFormat="1" applyFont="1" applyFill="1" applyBorder="1" applyAlignment="1">
      <alignment horizontal="right"/>
    </xf>
    <xf numFmtId="1" fontId="59" fillId="0" borderId="0" xfId="38" applyNumberFormat="1" applyFont="1" applyFill="1" applyBorder="1" applyAlignment="1">
      <alignment horizontal="right"/>
    </xf>
    <xf numFmtId="3" fontId="59" fillId="24" borderId="0" xfId="61" applyNumberFormat="1" applyFont="1" applyFill="1" applyBorder="1" applyAlignment="1">
      <alignment horizontal="right"/>
    </xf>
    <xf numFmtId="1" fontId="65" fillId="24" borderId="0" xfId="61" applyNumberFormat="1" applyFont="1" applyFill="1" applyBorder="1" applyAlignment="1">
      <alignment horizontal="right"/>
    </xf>
    <xf numFmtId="3" fontId="1" fillId="24" borderId="0" xfId="55" applyNumberFormat="1" applyFont="1" applyFill="1" applyAlignment="1">
      <alignment horizontal="right"/>
    </xf>
    <xf numFmtId="3" fontId="58" fillId="0" borderId="0" xfId="0" applyNumberFormat="1" applyFont="1" applyAlignment="1">
      <alignment horizontal="right"/>
    </xf>
    <xf numFmtId="10" fontId="1" fillId="0" borderId="0" xfId="67" applyNumberFormat="1" applyFont="1" applyAlignment="1" applyProtection="1">
      <alignment horizontal="right"/>
      <protection locked="0"/>
    </xf>
    <xf numFmtId="172" fontId="1" fillId="33" borderId="24" xfId="60" applyNumberFormat="1" applyFont="1" applyFill="1" applyBorder="1" applyAlignment="1">
      <alignment horizontal="right"/>
    </xf>
    <xf numFmtId="172" fontId="59" fillId="0" borderId="42" xfId="60" applyNumberFormat="1" applyFont="1" applyBorder="1" applyAlignment="1">
      <alignment horizontal="right"/>
    </xf>
    <xf numFmtId="172" fontId="65" fillId="24" borderId="0" xfId="56" applyNumberFormat="1" applyFont="1" applyFill="1" applyAlignment="1" applyProtection="1">
      <alignment horizontal="right"/>
      <protection locked="0"/>
    </xf>
    <xf numFmtId="9" fontId="12" fillId="24" borderId="0" xfId="67" applyFont="1" applyFill="1" applyAlignment="1">
      <alignment horizontal="right"/>
    </xf>
    <xf numFmtId="9" fontId="80" fillId="24" borderId="0" xfId="67" applyFont="1" applyFill="1" applyAlignment="1">
      <alignment horizontal="right"/>
    </xf>
    <xf numFmtId="166" fontId="7" fillId="0" borderId="21" xfId="38" applyFont="1" applyBorder="1" applyAlignment="1">
      <alignment horizontal="right"/>
    </xf>
    <xf numFmtId="9" fontId="65" fillId="0" borderId="0" xfId="55" applyNumberFormat="1" applyFont="1" applyAlignment="1">
      <alignment horizontal="right"/>
    </xf>
    <xf numFmtId="170" fontId="65" fillId="34" borderId="0" xfId="68" applyNumberFormat="1" applyFont="1" applyFill="1" applyBorder="1" applyAlignment="1">
      <alignment horizontal="right"/>
    </xf>
    <xf numFmtId="170" fontId="7" fillId="33" borderId="21" xfId="68" applyNumberFormat="1" applyFont="1" applyFill="1" applyBorder="1" applyAlignment="1">
      <alignment horizontal="right"/>
    </xf>
    <xf numFmtId="9" fontId="7" fillId="33" borderId="21" xfId="68" applyFont="1" applyFill="1" applyBorder="1" applyAlignment="1">
      <alignment horizontal="right"/>
    </xf>
    <xf numFmtId="9" fontId="65" fillId="34" borderId="0" xfId="67" applyFont="1" applyFill="1" applyBorder="1" applyAlignment="1">
      <alignment horizontal="right"/>
    </xf>
    <xf numFmtId="0" fontId="7" fillId="17" borderId="0" xfId="61" applyFont="1" applyFill="1" applyBorder="1"/>
    <xf numFmtId="170" fontId="66" fillId="0" borderId="0" xfId="68" applyNumberFormat="1" applyFont="1" applyFill="1" applyBorder="1"/>
    <xf numFmtId="170" fontId="7" fillId="0" borderId="0" xfId="68" applyNumberFormat="1" applyFont="1" applyFill="1" applyBorder="1"/>
    <xf numFmtId="170" fontId="68" fillId="0" borderId="0" xfId="68" applyNumberFormat="1" applyFont="1" applyFill="1" applyBorder="1"/>
    <xf numFmtId="170" fontId="65" fillId="27" borderId="0" xfId="61" applyNumberFormat="1" applyFont="1" applyFill="1"/>
    <xf numFmtId="170" fontId="65" fillId="27" borderId="21" xfId="61" applyNumberFormat="1" applyFont="1" applyFill="1" applyBorder="1"/>
    <xf numFmtId="49" fontId="115" fillId="0" borderId="0" xfId="0" applyNumberFormat="1" applyFont="1"/>
    <xf numFmtId="49" fontId="116" fillId="0" borderId="0" xfId="0" applyNumberFormat="1" applyFont="1"/>
    <xf numFmtId="49" fontId="1" fillId="0" borderId="0" xfId="0" applyNumberFormat="1" applyFont="1"/>
    <xf numFmtId="49" fontId="117" fillId="0" borderId="0" xfId="0" applyNumberFormat="1" applyFont="1"/>
    <xf numFmtId="49" fontId="1" fillId="0" borderId="28" xfId="0" applyNumberFormat="1" applyFont="1" applyBorder="1"/>
    <xf numFmtId="49" fontId="1" fillId="0" borderId="0" xfId="0" applyNumberFormat="1" applyFont="1" applyAlignment="1">
      <alignment horizontal="left" vertical="center"/>
    </xf>
    <xf numFmtId="2" fontId="115" fillId="0" borderId="0" xfId="0" applyNumberFormat="1" applyFont="1"/>
    <xf numFmtId="49" fontId="1" fillId="0" borderId="28" xfId="0" applyNumberFormat="1" applyFont="1" applyBorder="1" applyAlignment="1">
      <alignment horizontal="right"/>
    </xf>
    <xf numFmtId="9" fontId="1" fillId="0" borderId="28" xfId="67" applyFont="1" applyBorder="1" applyAlignment="1">
      <alignment horizontal="right"/>
    </xf>
    <xf numFmtId="49" fontId="1" fillId="0" borderId="28" xfId="0" applyNumberFormat="1" applyFont="1" applyBorder="1"/>
  </cellXfs>
  <cellStyles count="81">
    <cellStyle name="******************************************" xfId="1" xr:uid="{00000000-0005-0000-0000-000000000000}"/>
    <cellStyle name="****************************************** 2" xfId="2" xr:uid="{00000000-0005-0000-0000-000001000000}"/>
    <cellStyle name="_MWA RR_1-pager " xfId="3" xr:uid="{00000000-0005-0000-0000-000002000000}"/>
    <cellStyle name="_RRS1_1_1-pager " xfId="4" xr:uid="{00000000-0005-0000-0000-000003000000}"/>
    <cellStyle name="_RRS10_1_1-pager " xfId="5" xr:uid="{00000000-0005-0000-0000-000004000000}"/>
    <cellStyle name="_SUMMARY " xfId="6" xr:uid="{00000000-0005-0000-0000-000005000000}"/>
    <cellStyle name="_SUMMARY _1-pager " xfId="7" xr:uid="{00000000-0005-0000-0000-000006000000}"/>
    <cellStyle name="0_Capex &amp; Depreciation " xfId="8" xr:uid="{00000000-0005-0000-0000-000007000000}"/>
    <cellStyle name="0_Valuing BP " xfId="9" xr:uid="{00000000-0005-0000-0000-000008000000}"/>
    <cellStyle name="20% - Accent1" xfId="10" builtinId="30" customBuiltin="1"/>
    <cellStyle name="20% - Accent2" xfId="11" builtinId="34" customBuiltin="1"/>
    <cellStyle name="20% - Accent3" xfId="12" builtinId="38" customBuiltin="1"/>
    <cellStyle name="20% - Accent4" xfId="13" builtinId="42" customBuiltin="1"/>
    <cellStyle name="20% - Accent5" xfId="14" builtinId="46" customBuiltin="1"/>
    <cellStyle name="20% - Accent6" xfId="15" builtinId="50" customBuiltin="1"/>
    <cellStyle name="40% - Accent1" xfId="16" builtinId="31" customBuiltin="1"/>
    <cellStyle name="40% - Accent2" xfId="17" builtinId="35" customBuiltin="1"/>
    <cellStyle name="40% - Accent3" xfId="18" builtinId="39" customBuiltin="1"/>
    <cellStyle name="40% - Accent4" xfId="19" builtinId="43" customBuiltin="1"/>
    <cellStyle name="40% - Accent5" xfId="20" builtinId="47" customBuiltin="1"/>
    <cellStyle name="40% - Accent6" xfId="21" builtinId="51" customBuiltin="1"/>
    <cellStyle name="60% - Accent1" xfId="22" builtinId="32" customBuiltin="1"/>
    <cellStyle name="60% - Accent2" xfId="23" builtinId="36" customBuiltin="1"/>
    <cellStyle name="60% - Accent3" xfId="24" builtinId="40" customBuiltin="1"/>
    <cellStyle name="60% - Accent4" xfId="25" builtinId="44" customBuiltin="1"/>
    <cellStyle name="60% - Accent5" xfId="26" builtinId="48" customBuiltin="1"/>
    <cellStyle name="60% - Accent6" xfId="27" builtinId="52" customBuiltin="1"/>
    <cellStyle name="Accent1" xfId="28" builtinId="29" customBuiltin="1"/>
    <cellStyle name="Accent2" xfId="29" builtinId="33" customBuiltin="1"/>
    <cellStyle name="Accent3" xfId="30" builtinId="37" customBuiltin="1"/>
    <cellStyle name="Accent4" xfId="31" builtinId="41" customBuiltin="1"/>
    <cellStyle name="Accent5" xfId="32" builtinId="45" customBuiltin="1"/>
    <cellStyle name="Accent6" xfId="33" builtinId="49" customBuiltin="1"/>
    <cellStyle name="Bad" xfId="34" builtinId="27" customBuiltin="1"/>
    <cellStyle name="c_HardInc " xfId="35" xr:uid="{00000000-0005-0000-0000-000022000000}"/>
    <cellStyle name="Calculation" xfId="36" builtinId="22" customBuiltin="1"/>
    <cellStyle name="Check Cell" xfId="37" builtinId="23" customBuiltin="1"/>
    <cellStyle name="Comma" xfId="38" builtinId="3"/>
    <cellStyle name="Comma 2" xfId="39" xr:uid="{00000000-0005-0000-0000-000026000000}"/>
    <cellStyle name="Comma 3" xfId="40" xr:uid="{00000000-0005-0000-0000-000027000000}"/>
    <cellStyle name="Currency 5" xfId="41" xr:uid="{00000000-0005-0000-0000-000029000000}"/>
    <cellStyle name="Explanatory Text" xfId="42" builtinId="53" customBuiltin="1"/>
    <cellStyle name="Good" xfId="43" builtinId="26" customBuiltin="1"/>
    <cellStyle name="Heading 1" xfId="44" builtinId="16" customBuiltin="1"/>
    <cellStyle name="Heading 2" xfId="45" builtinId="17" customBuiltin="1"/>
    <cellStyle name="Heading 3" xfId="46" builtinId="18" customBuiltin="1"/>
    <cellStyle name="Heading 4" xfId="47" builtinId="19" customBuiltin="1"/>
    <cellStyle name="Input" xfId="48" builtinId="20" customBuiltin="1"/>
    <cellStyle name="Linked Cell" xfId="49" builtinId="24" customBuiltin="1"/>
    <cellStyle name="Millares_2AV_M_M " xfId="50" xr:uid="{00000000-0005-0000-0000-000033000000}"/>
    <cellStyle name="Moneda [0]_2AV_M_M " xfId="51" xr:uid="{00000000-0005-0000-0000-000034000000}"/>
    <cellStyle name="MS Heading 2" xfId="52" xr:uid="{00000000-0005-0000-0000-000035000000}"/>
    <cellStyle name="MS Shading Alt" xfId="53" xr:uid="{00000000-0005-0000-0000-000036000000}"/>
    <cellStyle name="Neutral" xfId="54" builtinId="28" customBuiltin="1"/>
    <cellStyle name="Normal" xfId="0" builtinId="0"/>
    <cellStyle name="Normal - Style1" xfId="77" xr:uid="{70BFFBC9-0D52-42DC-970C-366C82788934}"/>
    <cellStyle name="Normal 2" xfId="55" xr:uid="{00000000-0005-0000-0000-000039000000}"/>
    <cellStyle name="Normal 2 2" xfId="78" xr:uid="{91406D79-AE16-4AA8-B481-1907BED3BCC4}"/>
    <cellStyle name="Normal 5" xfId="80" xr:uid="{D76E857E-D313-45D5-8DED-E32C510F72B9}"/>
    <cellStyle name="Normal_ACH Model" xfId="56" xr:uid="{00000000-0005-0000-0000-00003A000000}"/>
    <cellStyle name="Normal_ACH Model_Segment (2)" xfId="57" xr:uid="{00000000-0005-0000-0000-00003B000000}"/>
    <cellStyle name="Normal_Assumptions" xfId="58" xr:uid="{00000000-0005-0000-0000-00003C000000}"/>
    <cellStyle name="Normal_FullSet_1" xfId="59" xr:uid="{00000000-0005-0000-0000-00003D000000}"/>
    <cellStyle name="Normal_Model_2" xfId="60" xr:uid="{00000000-0005-0000-0000-000040000000}"/>
    <cellStyle name="Normal_Segment" xfId="61" xr:uid="{00000000-0005-0000-0000-000044000000}"/>
    <cellStyle name="Normal_srpmod" xfId="62" xr:uid="{00000000-0005-0000-0000-000046000000}"/>
    <cellStyle name="Normal_SummNew" xfId="63" xr:uid="{00000000-0005-0000-0000-000047000000}"/>
    <cellStyle name="Note" xfId="64" builtinId="10" customBuiltin="1"/>
    <cellStyle name="Output" xfId="65" builtinId="21" customBuiltin="1"/>
    <cellStyle name="p " xfId="66" xr:uid="{00000000-0005-0000-0000-00004C000000}"/>
    <cellStyle name="Percent" xfId="67" builtinId="5"/>
    <cellStyle name="Percent 2" xfId="68" xr:uid="{00000000-0005-0000-0000-00004E000000}"/>
    <cellStyle name="Percent 2 2" xfId="79" xr:uid="{0AA8D494-6AFD-47E4-B7DE-A5E9FAF006A4}"/>
    <cellStyle name="Percent 3" xfId="69" xr:uid="{00000000-0005-0000-0000-00004F000000}"/>
    <cellStyle name="s_HardInc " xfId="70" xr:uid="{00000000-0005-0000-0000-000050000000}"/>
    <cellStyle name="s_Valuation " xfId="71" xr:uid="{00000000-0005-0000-0000-000051000000}"/>
    <cellStyle name="ssp " xfId="72" xr:uid="{00000000-0005-0000-0000-000052000000}"/>
    <cellStyle name="Title" xfId="73" builtinId="15" customBuiltin="1"/>
    <cellStyle name="Total" xfId="74" builtinId="25" customBuiltin="1"/>
    <cellStyle name="Warning Text" xfId="75" builtinId="11" customBuiltin="1"/>
    <cellStyle name="표준_0N-HANDLING " xfId="76" xr:uid="{00000000-0005-0000-0000-000056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0000FF"/>
      <color rgb="FFCCECFF"/>
      <color rgb="FFD0B86A"/>
      <color rgb="FFFFFF99"/>
      <color rgb="FF22AA5A"/>
      <color rgb="FF005AA4"/>
      <color rgb="FFDDAAB6"/>
      <color rgb="FF003366"/>
      <color rgb="FF226B5A"/>
      <color rgb="FFA5A5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248257540353731"/>
          <c:y val="6.4217735081580796E-2"/>
          <c:w val="0.80879709853706727"/>
          <c:h val="0.68651251735515628"/>
        </c:manualLayout>
      </c:layout>
      <c:barChart>
        <c:barDir val="col"/>
        <c:grouping val="clustered"/>
        <c:varyColors val="0"/>
        <c:ser>
          <c:idx val="1"/>
          <c:order val="1"/>
          <c:tx>
            <c:v>CSL112 Revenue (lhs) US$mn</c:v>
          </c:tx>
          <c:spPr>
            <a:solidFill>
              <a:srgbClr val="EACC80"/>
            </a:solidFill>
            <a:ln w="38100"/>
          </c:spPr>
          <c:invertIfNegative val="0"/>
          <c:cat>
            <c:strRef>
              <c:f>Segment!$DN$5:$EF$5</c:f>
              <c:strCache>
                <c:ptCount val="19"/>
                <c:pt idx="0">
                  <c:v>2022</c:v>
                </c:pt>
                <c:pt idx="1">
                  <c:v>1h23</c:v>
                </c:pt>
                <c:pt idx="2">
                  <c:v>2h23</c:v>
                </c:pt>
                <c:pt idx="3">
                  <c:v>2023</c:v>
                </c:pt>
                <c:pt idx="4">
                  <c:v>1h24</c:v>
                </c:pt>
                <c:pt idx="5">
                  <c:v>2h24</c:v>
                </c:pt>
                <c:pt idx="6">
                  <c:v>2024</c:v>
                </c:pt>
                <c:pt idx="7">
                  <c:v>1h25</c:v>
                </c:pt>
                <c:pt idx="8">
                  <c:v>2h25</c:v>
                </c:pt>
                <c:pt idx="9">
                  <c:v>2025</c:v>
                </c:pt>
                <c:pt idx="10">
                  <c:v>1h26</c:v>
                </c:pt>
                <c:pt idx="11">
                  <c:v>2h26E</c:v>
                </c:pt>
                <c:pt idx="12">
                  <c:v>2026E</c:v>
                </c:pt>
                <c:pt idx="13">
                  <c:v>1h27E</c:v>
                </c:pt>
                <c:pt idx="14">
                  <c:v>2h27E</c:v>
                </c:pt>
                <c:pt idx="15">
                  <c:v>2027E</c:v>
                </c:pt>
                <c:pt idx="16">
                  <c:v>1h28E</c:v>
                </c:pt>
                <c:pt idx="17">
                  <c:v>2h28E</c:v>
                </c:pt>
                <c:pt idx="18">
                  <c:v>2028E</c:v>
                </c:pt>
              </c:strCache>
            </c:strRef>
          </c:cat>
          <c:val>
            <c:numRef>
              <c:f>Segment!#REF!</c:f>
              <c:numCache>
                <c:formatCode>General</c:formatCode>
                <c:ptCount val="1"/>
                <c:pt idx="0">
                  <c:v>1</c:v>
                </c:pt>
              </c:numCache>
            </c:numRef>
          </c:val>
          <c:extLst>
            <c:ext xmlns:c16="http://schemas.microsoft.com/office/drawing/2014/chart" uri="{C3380CC4-5D6E-409C-BE32-E72D297353CC}">
              <c16:uniqueId val="{00000000-B4D4-499A-873F-1BFA3E17E566}"/>
            </c:ext>
          </c:extLst>
        </c:ser>
        <c:dLbls>
          <c:showLegendKey val="0"/>
          <c:showVal val="0"/>
          <c:showCatName val="0"/>
          <c:showSerName val="0"/>
          <c:showPercent val="0"/>
          <c:showBubbleSize val="0"/>
        </c:dLbls>
        <c:gapWidth val="60"/>
        <c:axId val="885082352"/>
        <c:axId val="1"/>
      </c:barChart>
      <c:lineChart>
        <c:grouping val="standard"/>
        <c:varyColors val="0"/>
        <c:ser>
          <c:idx val="0"/>
          <c:order val="0"/>
          <c:tx>
            <c:v>Target Market Capture</c:v>
          </c:tx>
          <c:spPr>
            <a:ln w="38100">
              <a:solidFill>
                <a:srgbClr val="1275A6"/>
              </a:solidFill>
            </a:ln>
          </c:spPr>
          <c:marker>
            <c:symbol val="none"/>
          </c:marker>
          <c:cat>
            <c:strRef>
              <c:f>Segment!$DN$5:$EC$5</c:f>
              <c:strCache>
                <c:ptCount val="16"/>
                <c:pt idx="0">
                  <c:v>2022</c:v>
                </c:pt>
                <c:pt idx="1">
                  <c:v>1h23</c:v>
                </c:pt>
                <c:pt idx="2">
                  <c:v>2h23</c:v>
                </c:pt>
                <c:pt idx="3">
                  <c:v>2023</c:v>
                </c:pt>
                <c:pt idx="4">
                  <c:v>1h24</c:v>
                </c:pt>
                <c:pt idx="5">
                  <c:v>2h24</c:v>
                </c:pt>
                <c:pt idx="6">
                  <c:v>2024</c:v>
                </c:pt>
                <c:pt idx="7">
                  <c:v>1h25</c:v>
                </c:pt>
                <c:pt idx="8">
                  <c:v>2h25</c:v>
                </c:pt>
                <c:pt idx="9">
                  <c:v>2025</c:v>
                </c:pt>
                <c:pt idx="10">
                  <c:v>1h26</c:v>
                </c:pt>
                <c:pt idx="11">
                  <c:v>2h26E</c:v>
                </c:pt>
                <c:pt idx="12">
                  <c:v>2026E</c:v>
                </c:pt>
                <c:pt idx="13">
                  <c:v>1h27E</c:v>
                </c:pt>
                <c:pt idx="14">
                  <c:v>2h27E</c:v>
                </c:pt>
                <c:pt idx="15">
                  <c:v>2027E</c:v>
                </c:pt>
              </c:strCache>
            </c:strRef>
          </c:cat>
          <c:val>
            <c:numRef>
              <c:f>Segment!#REF!</c:f>
              <c:numCache>
                <c:formatCode>General</c:formatCode>
                <c:ptCount val="1"/>
                <c:pt idx="0">
                  <c:v>1</c:v>
                </c:pt>
              </c:numCache>
            </c:numRef>
          </c:val>
          <c:smooth val="0"/>
          <c:extLst>
            <c:ext xmlns:c16="http://schemas.microsoft.com/office/drawing/2014/chart" uri="{C3380CC4-5D6E-409C-BE32-E72D297353CC}">
              <c16:uniqueId val="{00000001-B4D4-499A-873F-1BFA3E17E566}"/>
            </c:ext>
          </c:extLst>
        </c:ser>
        <c:dLbls>
          <c:showLegendKey val="0"/>
          <c:showVal val="0"/>
          <c:showCatName val="0"/>
          <c:showSerName val="0"/>
          <c:showPercent val="0"/>
          <c:showBubbleSize val="0"/>
        </c:dLbls>
        <c:marker val="1"/>
        <c:smooth val="0"/>
        <c:axId val="3"/>
        <c:axId val="4"/>
      </c:lineChart>
      <c:catAx>
        <c:axId val="885082352"/>
        <c:scaling>
          <c:orientation val="minMax"/>
        </c:scaling>
        <c:delete val="0"/>
        <c:axPos val="b"/>
        <c:numFmt formatCode="[$-409]mmm\-yy;@" sourceLinked="0"/>
        <c:majorTickMark val="out"/>
        <c:minorTickMark val="none"/>
        <c:tickLblPos val="low"/>
        <c:spPr>
          <a:ln>
            <a:solidFill>
              <a:srgbClr val="808080"/>
            </a:solidFill>
          </a:ln>
        </c:spPr>
        <c:txPr>
          <a:bodyPr rot="-5400000" vert="horz"/>
          <a:lstStyle/>
          <a:p>
            <a:pPr>
              <a:defRPr sz="1200" b="0" i="0" u="none" strike="noStrike" baseline="0">
                <a:solidFill>
                  <a:srgbClr val="000000"/>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spPr>
            <a:ln>
              <a:solidFill>
                <a:srgbClr val="C0C0C0"/>
              </a:solidFill>
              <a:prstDash val="solid"/>
            </a:ln>
          </c:spPr>
        </c:majorGridlines>
        <c:numFmt formatCode="0" sourceLinked="0"/>
        <c:majorTickMark val="out"/>
        <c:minorTickMark val="none"/>
        <c:tickLblPos val="nextTo"/>
        <c:spPr>
          <a:ln w="9525">
            <a:noFill/>
          </a:ln>
        </c:spPr>
        <c:txPr>
          <a:bodyPr rot="0" vert="horz"/>
          <a:lstStyle/>
          <a:p>
            <a:pPr>
              <a:defRPr sz="1200" b="0" i="0" u="none" strike="noStrike" baseline="0">
                <a:solidFill>
                  <a:srgbClr val="000000"/>
                </a:solidFill>
                <a:latin typeface="Calibri"/>
                <a:ea typeface="Calibri"/>
                <a:cs typeface="Calibri"/>
              </a:defRPr>
            </a:pPr>
            <a:endParaRPr lang="en-US"/>
          </a:p>
        </c:txPr>
        <c:crossAx val="885082352"/>
        <c:crosses val="autoZero"/>
        <c:crossBetween val="midCat"/>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r"/>
        <c:numFmt formatCode="General" sourceLinked="1"/>
        <c:majorTickMark val="out"/>
        <c:minorTickMark val="none"/>
        <c:tickLblPos val="nextTo"/>
        <c:spPr>
          <a:ln w="9525">
            <a:noFill/>
          </a:ln>
        </c:spPr>
        <c:txPr>
          <a:bodyPr rot="0" vert="horz"/>
          <a:lstStyle/>
          <a:p>
            <a:pPr>
              <a:defRPr sz="1200" b="0" i="0" u="none" strike="noStrike" baseline="0">
                <a:solidFill>
                  <a:srgbClr val="000000"/>
                </a:solidFill>
                <a:latin typeface="Calibri"/>
                <a:ea typeface="Calibri"/>
                <a:cs typeface="Calibri"/>
              </a:defRPr>
            </a:pPr>
            <a:endParaRPr lang="en-US"/>
          </a:p>
        </c:txPr>
        <c:crossAx val="3"/>
        <c:crosses val="max"/>
        <c:crossBetween val="midCat"/>
      </c:valAx>
    </c:plotArea>
    <c:legend>
      <c:legendPos val="r"/>
      <c:layout>
        <c:manualLayout>
          <c:xMode val="edge"/>
          <c:yMode val="edge"/>
          <c:x val="0.34858078476867504"/>
          <c:y val="0.94915518845446911"/>
          <c:w val="0.33911699125383621"/>
          <c:h val="3.3898356365396731E-2"/>
        </c:manualLayout>
      </c:layout>
      <c:overlay val="0"/>
      <c:txPr>
        <a:bodyPr/>
        <a:lstStyle/>
        <a:p>
          <a:pPr>
            <a:defRPr sz="110" b="1" i="0" u="none" strike="noStrike" baseline="0">
              <a:solidFill>
                <a:srgbClr val="000000"/>
              </a:solidFill>
              <a:latin typeface="Calibri"/>
              <a:ea typeface="Calibri"/>
              <a:cs typeface="Calibri"/>
            </a:defRPr>
          </a:pPr>
          <a:endParaRPr lang="en-US"/>
        </a:p>
      </c:txPr>
    </c:legend>
    <c:plotVisOnly val="1"/>
    <c:dispBlanksAs val="gap"/>
    <c:showDLblsOverMax val="0"/>
  </c:chart>
  <c:spPr>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63500</xdr:colOff>
      <xdr:row>0</xdr:row>
      <xdr:rowOff>0</xdr:rowOff>
    </xdr:from>
    <xdr:to>
      <xdr:col>2</xdr:col>
      <xdr:colOff>406618</xdr:colOff>
      <xdr:row>1</xdr:row>
      <xdr:rowOff>5756</xdr:rowOff>
    </xdr:to>
    <xdr:pic>
      <xdr:nvPicPr>
        <xdr:cNvPr id="3" name="Picture 2">
          <a:extLst>
            <a:ext uri="{FF2B5EF4-FFF2-40B4-BE49-F238E27FC236}">
              <a16:creationId xmlns:a16="http://schemas.microsoft.com/office/drawing/2014/main" id="{92AEDAD5-CD84-EAFA-A02A-691676DBA50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0"/>
          <a:ext cx="1562318" cy="295316"/>
        </a:xfrm>
        <a:prstGeom prst="rect">
          <a:avLst/>
        </a:prstGeom>
      </xdr:spPr>
    </xdr:pic>
    <xdr:clientData/>
  </xdr:twoCellAnchor>
  <xdr:twoCellAnchor editAs="oneCell">
    <xdr:from>
      <xdr:col>0</xdr:col>
      <xdr:colOff>127000</xdr:colOff>
      <xdr:row>190</xdr:row>
      <xdr:rowOff>2</xdr:rowOff>
    </xdr:from>
    <xdr:to>
      <xdr:col>10</xdr:col>
      <xdr:colOff>527050</xdr:colOff>
      <xdr:row>214</xdr:row>
      <xdr:rowOff>62867</xdr:rowOff>
    </xdr:to>
    <xdr:pic>
      <xdr:nvPicPr>
        <xdr:cNvPr id="5" name="Picture 4">
          <a:extLst>
            <a:ext uri="{FF2B5EF4-FFF2-40B4-BE49-F238E27FC236}">
              <a16:creationId xmlns:a16="http://schemas.microsoft.com/office/drawing/2014/main" id="{528AD2C8-9D78-8E55-C3D5-7662068036C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7000" y="32217362"/>
          <a:ext cx="6496050" cy="4086225"/>
        </a:xfrm>
        <a:prstGeom prst="rect">
          <a:avLst/>
        </a:prstGeom>
      </xdr:spPr>
    </xdr:pic>
    <xdr:clientData/>
  </xdr:twoCellAnchor>
  <xdr:twoCellAnchor>
    <xdr:from>
      <xdr:col>4</xdr:col>
      <xdr:colOff>85725</xdr:colOff>
      <xdr:row>1</xdr:row>
      <xdr:rowOff>38100</xdr:rowOff>
    </xdr:from>
    <xdr:to>
      <xdr:col>10</xdr:col>
      <xdr:colOff>19050</xdr:colOff>
      <xdr:row>8</xdr:row>
      <xdr:rowOff>85724</xdr:rowOff>
    </xdr:to>
    <xdr:sp macro="" textlink="">
      <xdr:nvSpPr>
        <xdr:cNvPr id="2" name="TextBox 1">
          <a:extLst>
            <a:ext uri="{FF2B5EF4-FFF2-40B4-BE49-F238E27FC236}">
              <a16:creationId xmlns:a16="http://schemas.microsoft.com/office/drawing/2014/main" id="{3EF163B2-B920-CDBF-99CF-3658FFA4EA8F}"/>
            </a:ext>
          </a:extLst>
        </xdr:cNvPr>
        <xdr:cNvSpPr txBox="1"/>
      </xdr:nvSpPr>
      <xdr:spPr>
        <a:xfrm>
          <a:off x="2524125" y="333375"/>
          <a:ext cx="3590925" cy="11810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0" i="1">
              <a:solidFill>
                <a:schemeClr val="dk1"/>
              </a:solidFill>
              <a:effectLst/>
              <a:latin typeface="+mn-lt"/>
              <a:ea typeface="+mn-ea"/>
              <a:cs typeface="+mn-cs"/>
            </a:rPr>
            <a:t>Morgan Stanley Australia Limited (“Morgan Stanley”) is acting as financial advisor to CSL Limited ("CSL") on certain matters. CSL may agree to pay fees to Morgan Stanley for its financial services. Please refer to the notes at the end of the report.</a:t>
          </a:r>
          <a:endParaRPr lang="en-AU" sz="1100" i="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4</xdr:col>
          <xdr:colOff>0</xdr:colOff>
          <xdr:row>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AU" sz="800" b="1" i="0" u="none" strike="noStrike" baseline="0">
                  <a:solidFill>
                    <a:srgbClr val="000000"/>
                  </a:solidFill>
                  <a:latin typeface="Helv"/>
                </a:rPr>
                <a:t>Cashflw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4</xdr:col>
          <xdr:colOff>0</xdr:colOff>
          <xdr:row>2</xdr:row>
          <xdr:rowOff>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AU" sz="800" b="1" i="0" u="none" strike="noStrike" baseline="0">
                  <a:solidFill>
                    <a:srgbClr val="000000"/>
                  </a:solidFill>
                  <a:latin typeface="Helv"/>
                </a:rPr>
                <a:t>Bal Sht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4</xdr:col>
          <xdr:colOff>0</xdr:colOff>
          <xdr:row>2</xdr:row>
          <xdr:rowOff>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AU" sz="800" b="1" i="0" u="none" strike="noStrike" baseline="0">
                  <a:solidFill>
                    <a:srgbClr val="000000"/>
                  </a:solidFill>
                  <a:latin typeface="Helv"/>
                </a:rPr>
                <a:t>Cashflw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4</xdr:col>
          <xdr:colOff>0</xdr:colOff>
          <xdr:row>2</xdr:row>
          <xdr:rowOff>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AU" sz="800" b="1" i="0" u="none" strike="noStrike" baseline="0">
                  <a:solidFill>
                    <a:srgbClr val="000000"/>
                  </a:solidFill>
                  <a:latin typeface="Helv"/>
                </a:rPr>
                <a:t>Bal Sht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4</xdr:col>
          <xdr:colOff>0</xdr:colOff>
          <xdr:row>2</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AU" sz="800" b="1" i="0" u="none" strike="noStrike" baseline="0">
                  <a:solidFill>
                    <a:srgbClr val="000000"/>
                  </a:solidFill>
                  <a:latin typeface="Helv"/>
                </a:rPr>
                <a:t>Cashflw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4</xdr:col>
          <xdr:colOff>0</xdr:colOff>
          <xdr:row>2</xdr:row>
          <xdr:rowOff>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AU" sz="800" b="1" i="0" u="none" strike="noStrike" baseline="0">
                  <a:solidFill>
                    <a:srgbClr val="000000"/>
                  </a:solidFill>
                  <a:latin typeface="Helv"/>
                </a:rPr>
                <a:t>Bal Sht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4</xdr:col>
          <xdr:colOff>0</xdr:colOff>
          <xdr:row>2</xdr:row>
          <xdr:rowOff>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AU" sz="800" b="1" i="0" u="none" strike="noStrike" baseline="0">
                  <a:solidFill>
                    <a:srgbClr val="000000"/>
                  </a:solidFill>
                  <a:latin typeface="Helv"/>
                </a:rPr>
                <a:t>Cashflw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4</xdr:col>
          <xdr:colOff>0</xdr:colOff>
          <xdr:row>2</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AU" sz="800" b="1" i="0" u="none" strike="noStrike" baseline="0">
                  <a:solidFill>
                    <a:srgbClr val="000000"/>
                  </a:solidFill>
                  <a:latin typeface="Helv"/>
                </a:rPr>
                <a:t>Bal Sht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162</xdr:col>
      <xdr:colOff>305479</xdr:colOff>
      <xdr:row>981</xdr:row>
      <xdr:rowOff>144780</xdr:rowOff>
    </xdr:from>
    <xdr:to>
      <xdr:col>171</xdr:col>
      <xdr:colOff>558051</xdr:colOff>
      <xdr:row>1002</xdr:row>
      <xdr:rowOff>110490</xdr:rowOff>
    </xdr:to>
    <xdr:graphicFrame macro="">
      <xdr:nvGraphicFramePr>
        <xdr:cNvPr id="11757447" name="Chart 11">
          <a:extLst>
            <a:ext uri="{FF2B5EF4-FFF2-40B4-BE49-F238E27FC236}">
              <a16:creationId xmlns:a16="http://schemas.microsoft.com/office/drawing/2014/main" id="{00000000-0008-0000-0500-00008767B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Startup" Target="users/HealthCare/CSL/CSL_Research_Notes_2015/CSL_DATABASE.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USERS/HealthCare/1_Current_Models/Templates/CSLIVIGrebuild.xl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users/HealthCare/ANN/ANN_Notes_2015/ANN_Databas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ts"/>
      <sheetName val="Comp Margins"/>
      <sheetName val="IVIg Price hit"/>
      <sheetName val="Growth vs. Market"/>
      <sheetName val="IG supply"/>
      <sheetName val="Haemonetics"/>
      <sheetName val="MW-Cache"/>
      <sheetName val="Global Comps"/>
    </sheetNames>
    <sheetDataSet>
      <sheetData sheetId="0">
        <row r="864">
          <cell r="A864" t="str">
            <v>Size of buyback</v>
          </cell>
          <cell r="B864" t="str">
            <v>A$mn</v>
          </cell>
          <cell r="C864">
            <v>950</v>
          </cell>
        </row>
        <row r="865">
          <cell r="A865" t="str">
            <v>Size of buyback</v>
          </cell>
          <cell r="B865" t="str">
            <v>US$mn</v>
          </cell>
          <cell r="C865">
            <v>741</v>
          </cell>
        </row>
        <row r="866">
          <cell r="A866" t="str">
            <v>Avg cost of debt</v>
          </cell>
          <cell r="B866" t="str">
            <v>%</v>
          </cell>
          <cell r="C866">
            <v>3.7999999999999999E-2</v>
          </cell>
        </row>
        <row r="867">
          <cell r="A867" t="str">
            <v>Interest expense</v>
          </cell>
          <cell r="B867" t="str">
            <v>US$mn</v>
          </cell>
          <cell r="C867">
            <v>28.157999999999998</v>
          </cell>
        </row>
        <row r="868">
          <cell r="A868" t="str">
            <v>FY15 NPAT</v>
          </cell>
          <cell r="B868" t="str">
            <v>US$mn</v>
          </cell>
          <cell r="C868">
            <v>1379</v>
          </cell>
        </row>
        <row r="869">
          <cell r="A869" t="str">
            <v>Shares on issue closing FY14</v>
          </cell>
          <cell r="B869" t="str">
            <v>US$mn</v>
          </cell>
          <cell r="C869">
            <v>473.16522500000002</v>
          </cell>
        </row>
        <row r="870">
          <cell r="A870" t="str">
            <v>FY15 EPS</v>
          </cell>
          <cell r="B870" t="str">
            <v>US$</v>
          </cell>
          <cell r="C870">
            <v>2.9144153609344388</v>
          </cell>
        </row>
        <row r="871">
          <cell r="A871" t="str">
            <v>Avg price of shares</v>
          </cell>
          <cell r="B871" t="str">
            <v>A$</v>
          </cell>
          <cell r="C871">
            <v>95.67</v>
          </cell>
        </row>
        <row r="872">
          <cell r="A872" t="str">
            <v>Number of shares</v>
          </cell>
          <cell r="B872" t="str">
            <v>mn</v>
          </cell>
          <cell r="C872">
            <v>9.9299675969478418</v>
          </cell>
        </row>
        <row r="873">
          <cell r="A873" t="str">
            <v>New NPAT</v>
          </cell>
          <cell r="B873" t="str">
            <v>US$mn</v>
          </cell>
          <cell r="C873">
            <v>1356.3454597432908</v>
          </cell>
        </row>
        <row r="874">
          <cell r="A874" t="str">
            <v>New share count</v>
          </cell>
          <cell r="B874" t="str">
            <v>mn</v>
          </cell>
          <cell r="C874">
            <v>463.23525740305217</v>
          </cell>
        </row>
        <row r="875">
          <cell r="A875" t="str">
            <v>New EPS</v>
          </cell>
          <cell r="B875" t="str">
            <v>US$</v>
          </cell>
          <cell r="C875">
            <v>2.9279840816675153</v>
          </cell>
        </row>
        <row r="876">
          <cell r="A876" t="str">
            <v>Accretion</v>
          </cell>
          <cell r="B876" t="str">
            <v>%</v>
          </cell>
          <cell r="C876">
            <v>4.655726467460708E-3</v>
          </cell>
        </row>
        <row r="877">
          <cell r="A877" t="str">
            <v>Point at which neutral</v>
          </cell>
        </row>
        <row r="878">
          <cell r="A878" t="str">
            <v>NPAT</v>
          </cell>
          <cell r="B878" t="str">
            <v>US$mn</v>
          </cell>
          <cell r="C878">
            <v>1356.3454597432908</v>
          </cell>
        </row>
        <row r="879">
          <cell r="A879" t="str">
            <v>Existing EPS</v>
          </cell>
          <cell r="B879" t="str">
            <v>US$</v>
          </cell>
          <cell r="C879">
            <v>2.9144153609344388</v>
          </cell>
        </row>
        <row r="880">
          <cell r="A880" t="str">
            <v>Number of shares out</v>
          </cell>
          <cell r="B880" t="str">
            <v>mn</v>
          </cell>
          <cell r="C880">
            <v>465.39195405160456</v>
          </cell>
        </row>
        <row r="881">
          <cell r="A881" t="str">
            <v>Numbers share acquired</v>
          </cell>
          <cell r="B881" t="str">
            <v>mn</v>
          </cell>
          <cell r="C881">
            <v>7.7732709483954636</v>
          </cell>
        </row>
        <row r="882">
          <cell r="A882" t="str">
            <v>Implied av. share price</v>
          </cell>
          <cell r="B882" t="str">
            <v>A$</v>
          </cell>
          <cell r="C882">
            <v>122.213673794054</v>
          </cell>
        </row>
        <row r="884">
          <cell r="A884" t="str">
            <v xml:space="preserve">EPS changes </v>
          </cell>
          <cell r="C884" t="str">
            <v>F14</v>
          </cell>
          <cell r="D884" t="str">
            <v>F15E</v>
          </cell>
          <cell r="E884" t="str">
            <v>F16E</v>
          </cell>
          <cell r="F884" t="str">
            <v>F17E</v>
          </cell>
          <cell r="G884" t="str">
            <v>F18E</v>
          </cell>
          <cell r="H884" t="str">
            <v>F19E</v>
          </cell>
        </row>
        <row r="885">
          <cell r="A885" t="str">
            <v>Start</v>
          </cell>
          <cell r="B885" t="str">
            <v>US$</v>
          </cell>
          <cell r="C885">
            <v>2.7014014672392341</v>
          </cell>
          <cell r="D885">
            <v>3.09</v>
          </cell>
          <cell r="E885">
            <v>3.18</v>
          </cell>
          <cell r="F885">
            <v>3.4</v>
          </cell>
          <cell r="G885">
            <v>3.77</v>
          </cell>
          <cell r="H885">
            <v>4.18</v>
          </cell>
        </row>
        <row r="887">
          <cell r="A887" t="str">
            <v>Helixate expiry</v>
          </cell>
          <cell r="B887" t="str">
            <v>US$</v>
          </cell>
          <cell r="C887">
            <v>2.7014014672392341</v>
          </cell>
          <cell r="D887">
            <v>3.09</v>
          </cell>
          <cell r="E887">
            <v>3.18</v>
          </cell>
          <cell r="F887">
            <v>3.4</v>
          </cell>
          <cell r="G887">
            <v>3.59</v>
          </cell>
          <cell r="H887">
            <v>3.96</v>
          </cell>
        </row>
        <row r="888">
          <cell r="A888" t="str">
            <v>change</v>
          </cell>
          <cell r="B888" t="str">
            <v>%</v>
          </cell>
          <cell r="C888">
            <v>0</v>
          </cell>
          <cell r="D888">
            <v>0</v>
          </cell>
          <cell r="E888">
            <v>0</v>
          </cell>
          <cell r="F888">
            <v>0</v>
          </cell>
          <cell r="G888">
            <v>-4.7745358090185763E-2</v>
          </cell>
          <cell r="H888">
            <v>-5.2631578947368363E-2</v>
          </cell>
        </row>
        <row r="890">
          <cell r="A890" t="str">
            <v>pd-Coag ASP down furthet 5%pa</v>
          </cell>
          <cell r="B890" t="str">
            <v>US$</v>
          </cell>
          <cell r="C890">
            <v>2.7014014672392341</v>
          </cell>
          <cell r="D890">
            <v>3.08</v>
          </cell>
          <cell r="E890">
            <v>3.11</v>
          </cell>
          <cell r="F890">
            <v>3.25</v>
          </cell>
          <cell r="G890">
            <v>3.36</v>
          </cell>
          <cell r="H890">
            <v>3.65</v>
          </cell>
        </row>
        <row r="891">
          <cell r="A891" t="str">
            <v>change</v>
          </cell>
          <cell r="B891" t="str">
            <v>%</v>
          </cell>
          <cell r="C891">
            <v>0</v>
          </cell>
          <cell r="D891">
            <v>-3.2362459546925182E-3</v>
          </cell>
          <cell r="E891">
            <v>-2.2012578616352307E-2</v>
          </cell>
          <cell r="F891">
            <v>-4.4117647058823484E-2</v>
          </cell>
          <cell r="G891">
            <v>-6.4066852367688054E-2</v>
          </cell>
          <cell r="H891">
            <v>-7.8282828282828287E-2</v>
          </cell>
        </row>
        <row r="893">
          <cell r="A893" t="str">
            <v>CSL654 &amp; CSL627 launched</v>
          </cell>
          <cell r="B893" t="str">
            <v>US$</v>
          </cell>
          <cell r="C893">
            <v>2.7014014672392341</v>
          </cell>
          <cell r="D893">
            <v>3.08</v>
          </cell>
          <cell r="E893">
            <v>3.12</v>
          </cell>
          <cell r="F893">
            <v>3.45</v>
          </cell>
          <cell r="G893">
            <v>3.89</v>
          </cell>
          <cell r="H893">
            <v>4.57</v>
          </cell>
        </row>
        <row r="894">
          <cell r="A894" t="str">
            <v>change</v>
          </cell>
          <cell r="B894" t="str">
            <v>%</v>
          </cell>
          <cell r="C894">
            <v>0</v>
          </cell>
          <cell r="D894">
            <v>0</v>
          </cell>
          <cell r="E894">
            <v>3.215434083601254E-3</v>
          </cell>
          <cell r="F894">
            <v>6.1538461538461542E-2</v>
          </cell>
          <cell r="G894">
            <v>0.15773809523809534</v>
          </cell>
          <cell r="H894">
            <v>0.25205479452054802</v>
          </cell>
        </row>
        <row r="896">
          <cell r="A896" t="str">
            <v>Net change from start</v>
          </cell>
          <cell r="B896" t="str">
            <v>%</v>
          </cell>
          <cell r="C896">
            <v>0</v>
          </cell>
          <cell r="D896">
            <v>-3.2362459546925182E-3</v>
          </cell>
          <cell r="E896">
            <v>-1.8867924528301883E-2</v>
          </cell>
          <cell r="F896">
            <v>1.4705882352941346E-2</v>
          </cell>
          <cell r="G896">
            <v>3.1830238726790583E-2</v>
          </cell>
          <cell r="H896">
            <v>9.3301435406698774E-2</v>
          </cell>
        </row>
        <row r="898">
          <cell r="A898" t="str">
            <v>Consensus EPS</v>
          </cell>
          <cell r="B898" t="str">
            <v>US$</v>
          </cell>
          <cell r="C898">
            <v>2.7</v>
          </cell>
          <cell r="D898">
            <v>3.09</v>
          </cell>
          <cell r="E898">
            <v>3.41</v>
          </cell>
          <cell r="F898">
            <v>3.81</v>
          </cell>
          <cell r="G898">
            <v>4.21</v>
          </cell>
          <cell r="H898">
            <v>4.76</v>
          </cell>
        </row>
        <row r="899">
          <cell r="A899" t="str">
            <v>Difference to consensus</v>
          </cell>
          <cell r="B899" t="str">
            <v>%</v>
          </cell>
          <cell r="C899">
            <v>0</v>
          </cell>
          <cell r="D899">
            <v>-3.2362459546925182E-3</v>
          </cell>
          <cell r="E899">
            <v>-8.5043988269794757E-2</v>
          </cell>
          <cell r="F899">
            <v>-9.4488188976377896E-2</v>
          </cell>
          <cell r="G899">
            <v>-7.6009501187648376E-2</v>
          </cell>
          <cell r="H899">
            <v>-3.991596638655448E-2</v>
          </cell>
        </row>
        <row r="901">
          <cell r="A901" t="str">
            <v>Scenario analysis</v>
          </cell>
          <cell r="C901" t="str">
            <v>F14</v>
          </cell>
          <cell r="D901" t="str">
            <v>F15E</v>
          </cell>
          <cell r="E901" t="str">
            <v>F16E</v>
          </cell>
          <cell r="F901" t="str">
            <v>F17E</v>
          </cell>
          <cell r="G901" t="str">
            <v>F18E</v>
          </cell>
          <cell r="H901" t="str">
            <v>F19E</v>
          </cell>
        </row>
        <row r="902">
          <cell r="A902" t="str">
            <v>vWF displaced</v>
          </cell>
          <cell r="B902" t="str">
            <v>US$</v>
          </cell>
          <cell r="C902">
            <v>2.7014014672392341</v>
          </cell>
          <cell r="D902">
            <v>3.09</v>
          </cell>
          <cell r="E902">
            <v>3.06</v>
          </cell>
          <cell r="F902">
            <v>3.32</v>
          </cell>
          <cell r="G902">
            <v>3.7</v>
          </cell>
          <cell r="H902">
            <v>4.3099999999999996</v>
          </cell>
        </row>
        <row r="903">
          <cell r="A903" t="str">
            <v>change</v>
          </cell>
          <cell r="B903" t="str">
            <v>%</v>
          </cell>
          <cell r="C903">
            <v>0</v>
          </cell>
          <cell r="D903">
            <v>3.2467532467532756E-3</v>
          </cell>
          <cell r="E903">
            <v>-1.9230769230769273E-2</v>
          </cell>
          <cell r="F903">
            <v>-3.7681159420289934E-2</v>
          </cell>
          <cell r="G903">
            <v>-4.8843187660668419E-2</v>
          </cell>
          <cell r="H903">
            <v>-5.6892778993435589E-2</v>
          </cell>
        </row>
        <row r="905">
          <cell r="A905" t="str">
            <v>Eu pd-Coag displaced 30%</v>
          </cell>
          <cell r="B905" t="str">
            <v>US$</v>
          </cell>
          <cell r="C905">
            <v>2.7014014672392341</v>
          </cell>
          <cell r="D905">
            <v>3.09</v>
          </cell>
          <cell r="E905">
            <v>2.77</v>
          </cell>
          <cell r="F905">
            <v>3.02</v>
          </cell>
          <cell r="G905">
            <v>3.39</v>
          </cell>
          <cell r="H905">
            <v>4.01</v>
          </cell>
        </row>
        <row r="906">
          <cell r="A906" t="str">
            <v>change</v>
          </cell>
          <cell r="B906" t="str">
            <v>%</v>
          </cell>
          <cell r="C906">
            <v>0</v>
          </cell>
          <cell r="D906">
            <v>0</v>
          </cell>
          <cell r="E906">
            <v>-9.4771241830065356E-2</v>
          </cell>
          <cell r="F906">
            <v>-9.0361445783132432E-2</v>
          </cell>
          <cell r="G906">
            <v>-8.3783783783783816E-2</v>
          </cell>
          <cell r="H906">
            <v>-6.9605568445475607E-2</v>
          </cell>
        </row>
        <row r="908">
          <cell r="A908" t="str">
            <v>Net change from start</v>
          </cell>
          <cell r="B908" t="str">
            <v>%</v>
          </cell>
          <cell r="C908">
            <v>0</v>
          </cell>
          <cell r="D908">
            <v>0</v>
          </cell>
          <cell r="E908">
            <v>-0.12893081761006298</v>
          </cell>
          <cell r="F908">
            <v>-0.11176470588235288</v>
          </cell>
          <cell r="G908">
            <v>-0.1007957559681697</v>
          </cell>
          <cell r="H908">
            <v>-4.0669856459330078E-2</v>
          </cell>
        </row>
        <row r="911">
          <cell r="A911" t="str">
            <v>rFVIII</v>
          </cell>
        </row>
        <row r="912">
          <cell r="A912" t="str">
            <v>Current</v>
          </cell>
          <cell r="B912" t="str">
            <v>Manufacturer</v>
          </cell>
          <cell r="C912" t="str">
            <v>Product</v>
          </cell>
          <cell r="D912" t="str">
            <v>Launch</v>
          </cell>
        </row>
        <row r="913">
          <cell r="B913" t="str">
            <v>Bayer</v>
          </cell>
          <cell r="C913" t="str">
            <v>Kogenate</v>
          </cell>
          <cell r="D913" t="str">
            <v>Marketed</v>
          </cell>
        </row>
        <row r="914">
          <cell r="B914" t="str">
            <v>Baxter</v>
          </cell>
          <cell r="C914" t="str">
            <v>Advate</v>
          </cell>
          <cell r="D914" t="str">
            <v>Marketed</v>
          </cell>
        </row>
        <row r="915">
          <cell r="B915" t="str">
            <v>Pfizer</v>
          </cell>
          <cell r="C915" t="str">
            <v>Xyntha</v>
          </cell>
          <cell r="D915" t="str">
            <v>Marketed</v>
          </cell>
        </row>
        <row r="916">
          <cell r="A916" t="str">
            <v>Future/New</v>
          </cell>
          <cell r="B916" t="str">
            <v>Manufacturer</v>
          </cell>
          <cell r="C916" t="str">
            <v>Product</v>
          </cell>
          <cell r="D916" t="str">
            <v>Launch</v>
          </cell>
        </row>
        <row r="917">
          <cell r="B917" t="str">
            <v>Biogen-Idec</v>
          </cell>
          <cell r="C917" t="str">
            <v>Eloctate</v>
          </cell>
          <cell r="D917" t="str">
            <v>Launched Q3CY14</v>
          </cell>
        </row>
        <row r="918">
          <cell r="B918" t="str">
            <v>Baxter</v>
          </cell>
          <cell r="C918" t="str">
            <v>BAX855</v>
          </cell>
          <cell r="D918" t="str">
            <v>BLA Q4CY14</v>
          </cell>
        </row>
        <row r="919">
          <cell r="B919" t="str">
            <v>Octapharma</v>
          </cell>
          <cell r="C919" t="str">
            <v>Nuwiq</v>
          </cell>
          <cell r="D919" t="str">
            <v>Q1CY15</v>
          </cell>
        </row>
        <row r="920">
          <cell r="B920" t="str">
            <v>Novo Nordisk</v>
          </cell>
          <cell r="C920" t="str">
            <v>Novoeight</v>
          </cell>
          <cell r="D920" t="str">
            <v>Q2CY15</v>
          </cell>
        </row>
        <row r="921">
          <cell r="B921" t="str">
            <v>Bayer</v>
          </cell>
          <cell r="C921" t="str">
            <v>BAY94-9027</v>
          </cell>
          <cell r="D921" t="str">
            <v>Q3CY16</v>
          </cell>
        </row>
        <row r="922">
          <cell r="B922" t="str">
            <v>CSL</v>
          </cell>
          <cell r="C922" t="str">
            <v>CSL627</v>
          </cell>
          <cell r="D922" t="str">
            <v>Q1CY17</v>
          </cell>
        </row>
        <row r="923">
          <cell r="B923" t="str">
            <v>Novo Nordisk</v>
          </cell>
          <cell r="C923" t="str">
            <v>N8-GP</v>
          </cell>
          <cell r="D923" t="str">
            <v>Q1CY18</v>
          </cell>
        </row>
        <row r="924">
          <cell r="A924" t="str">
            <v>rFIX</v>
          </cell>
        </row>
        <row r="925">
          <cell r="A925" t="str">
            <v>Current</v>
          </cell>
          <cell r="B925" t="str">
            <v>Manufacturer</v>
          </cell>
          <cell r="C925" t="str">
            <v>Product</v>
          </cell>
          <cell r="D925" t="str">
            <v>Launch</v>
          </cell>
        </row>
        <row r="926">
          <cell r="B926" t="str">
            <v>Pfizer</v>
          </cell>
          <cell r="C926" t="str">
            <v>BeneFIX</v>
          </cell>
          <cell r="D926" t="str">
            <v>Marketed</v>
          </cell>
        </row>
        <row r="927">
          <cell r="A927" t="str">
            <v>Future/New</v>
          </cell>
          <cell r="B927" t="str">
            <v>Manufacturer</v>
          </cell>
          <cell r="C927" t="str">
            <v>Product</v>
          </cell>
          <cell r="D927" t="str">
            <v>Launch</v>
          </cell>
        </row>
        <row r="928">
          <cell r="B928" t="str">
            <v>Biogen-Idec</v>
          </cell>
          <cell r="C928" t="str">
            <v>Alprolix</v>
          </cell>
          <cell r="D928" t="str">
            <v>Launched Q2CY14</v>
          </cell>
        </row>
        <row r="929">
          <cell r="B929" t="str">
            <v>Baxter</v>
          </cell>
          <cell r="C929" t="str">
            <v>Rixubis</v>
          </cell>
          <cell r="D929" t="str">
            <v>Q4CY14</v>
          </cell>
        </row>
        <row r="930">
          <cell r="B930" t="str">
            <v>CSL</v>
          </cell>
          <cell r="C930" t="str">
            <v>CSL654</v>
          </cell>
          <cell r="D930" t="str">
            <v>Q4FY16</v>
          </cell>
        </row>
        <row r="931">
          <cell r="B931" t="str">
            <v>Novo Nordisk</v>
          </cell>
          <cell r="C931" t="str">
            <v>N9-GP</v>
          </cell>
          <cell r="D931" t="str">
            <v>Q4CY16</v>
          </cell>
        </row>
        <row r="967">
          <cell r="A967" t="str">
            <v>MS Price target calculation</v>
          </cell>
          <cell r="B967" t="str">
            <v>P/E 5-yr absolute</v>
          </cell>
          <cell r="C967" t="str">
            <v>P/E 2-yr absolute</v>
          </cell>
          <cell r="D967" t="str">
            <v>P/E rel to ASX 200 2-yr Average</v>
          </cell>
          <cell r="E967" t="str">
            <v>P/E rel to ASX 200 5-yr Average</v>
          </cell>
          <cell r="F967" t="str">
            <v>Average &amp; price target</v>
          </cell>
        </row>
        <row r="968">
          <cell r="A968" t="str">
            <v>Current</v>
          </cell>
          <cell r="B968">
            <v>22.4</v>
          </cell>
          <cell r="C968">
            <v>22.4</v>
          </cell>
          <cell r="D968">
            <v>1.4667343617870343</v>
          </cell>
          <cell r="E968">
            <v>1.4667343617870343</v>
          </cell>
        </row>
        <row r="969">
          <cell r="A969" t="str">
            <v>Average</v>
          </cell>
          <cell r="B969">
            <v>18.782501533742348</v>
          </cell>
          <cell r="C969">
            <v>20.833126436781598</v>
          </cell>
          <cell r="D969">
            <v>1.3151767110108001</v>
          </cell>
          <cell r="E969">
            <v>1.3385881194479978</v>
          </cell>
        </row>
        <row r="970">
          <cell r="A970" t="str">
            <v>Current share price</v>
          </cell>
          <cell r="B970">
            <v>93</v>
          </cell>
          <cell r="C970">
            <v>93</v>
          </cell>
          <cell r="D970">
            <v>93</v>
          </cell>
          <cell r="E970">
            <v>93</v>
          </cell>
          <cell r="F970">
            <v>93</v>
          </cell>
        </row>
        <row r="971">
          <cell r="A971" t="str">
            <v>Implied share price</v>
          </cell>
          <cell r="B971">
            <v>77.980921546340994</v>
          </cell>
          <cell r="C971">
            <v>86.494676724137889</v>
          </cell>
          <cell r="D971">
            <v>83.390310686512493</v>
          </cell>
          <cell r="E971">
            <v>84.874738297526306</v>
          </cell>
          <cell r="F971">
            <v>83.185161813629421</v>
          </cell>
        </row>
        <row r="972">
          <cell r="A972" t="str">
            <v>Change</v>
          </cell>
          <cell r="B972">
            <v>-0.16149546724364527</v>
          </cell>
          <cell r="C972">
            <v>-6.9949712643678663E-2</v>
          </cell>
          <cell r="D972">
            <v>-0.10332999261814524</v>
          </cell>
          <cell r="E972">
            <v>-8.7368405402942995E-2</v>
          </cell>
          <cell r="F972">
            <v>-0.10553589447710299</v>
          </cell>
        </row>
        <row r="1054">
          <cell r="C1054" t="str">
            <v>2016E</v>
          </cell>
          <cell r="D1054" t="str">
            <v>2017E</v>
          </cell>
          <cell r="E1054" t="str">
            <v>2018E</v>
          </cell>
          <cell r="F1054" t="str">
            <v>2019E</v>
          </cell>
        </row>
        <row r="1055">
          <cell r="A1055" t="str">
            <v>US rFIX market</v>
          </cell>
          <cell r="B1055" t="str">
            <v>US$mn</v>
          </cell>
          <cell r="C1055">
            <v>560</v>
          </cell>
          <cell r="D1055">
            <v>580</v>
          </cell>
          <cell r="E1055">
            <v>605</v>
          </cell>
          <cell r="F1055">
            <v>636</v>
          </cell>
        </row>
        <row r="1056">
          <cell r="A1056" t="str">
            <v>growth</v>
          </cell>
          <cell r="B1056" t="str">
            <v>%</v>
          </cell>
          <cell r="C1056">
            <v>0.04</v>
          </cell>
          <cell r="D1056">
            <v>3.5714285714285809E-2</v>
          </cell>
          <cell r="E1056">
            <v>4.31034482758621E-2</v>
          </cell>
          <cell r="F1056">
            <v>5.123966942148761E-2</v>
          </cell>
        </row>
        <row r="1057">
          <cell r="A1057" t="str">
            <v>CSL654 market share</v>
          </cell>
          <cell r="B1057" t="str">
            <v>US$mn</v>
          </cell>
          <cell r="C1057">
            <v>28</v>
          </cell>
          <cell r="D1057">
            <v>58</v>
          </cell>
          <cell r="E1057">
            <v>121</v>
          </cell>
          <cell r="F1057">
            <v>159</v>
          </cell>
        </row>
        <row r="1058">
          <cell r="A1058" t="str">
            <v>CSL654 market share</v>
          </cell>
          <cell r="B1058" t="str">
            <v>%</v>
          </cell>
          <cell r="C1058">
            <v>0.05</v>
          </cell>
          <cell r="D1058">
            <v>0.1</v>
          </cell>
          <cell r="E1058">
            <v>0.2</v>
          </cell>
          <cell r="F1058">
            <v>0.25</v>
          </cell>
        </row>
        <row r="1059">
          <cell r="A1059" t="str">
            <v>CSL654 growth</v>
          </cell>
          <cell r="B1059" t="str">
            <v>%</v>
          </cell>
          <cell r="D1059">
            <v>1.0714285714285716</v>
          </cell>
          <cell r="E1059">
            <v>1.0862068965517242</v>
          </cell>
          <cell r="F1059">
            <v>0.31404958677685957</v>
          </cell>
        </row>
        <row r="1060">
          <cell r="C1060" t="str">
            <v>2016E</v>
          </cell>
          <cell r="D1060" t="str">
            <v>2017E</v>
          </cell>
          <cell r="E1060" t="str">
            <v>2018E</v>
          </cell>
          <cell r="F1060" t="str">
            <v>2019E</v>
          </cell>
        </row>
        <row r="1061">
          <cell r="A1061" t="str">
            <v>ROW rFIX market</v>
          </cell>
          <cell r="B1061" t="str">
            <v>US$mn</v>
          </cell>
          <cell r="C1061">
            <v>599.04</v>
          </cell>
          <cell r="D1061">
            <v>624</v>
          </cell>
          <cell r="E1061">
            <v>650</v>
          </cell>
          <cell r="F1061">
            <v>677.5</v>
          </cell>
        </row>
        <row r="1062">
          <cell r="A1062" t="str">
            <v>growth</v>
          </cell>
          <cell r="B1062" t="str">
            <v>%</v>
          </cell>
          <cell r="C1062">
            <v>0.04</v>
          </cell>
          <cell r="D1062">
            <v>4.1666666666666741E-2</v>
          </cell>
          <cell r="E1062">
            <v>4.1666666666666741E-2</v>
          </cell>
          <cell r="F1062">
            <v>4.2307692307692379E-2</v>
          </cell>
        </row>
        <row r="1063">
          <cell r="A1063" t="str">
            <v>CSL654 market share</v>
          </cell>
          <cell r="B1063" t="str">
            <v>US$mn</v>
          </cell>
          <cell r="C1063">
            <v>0</v>
          </cell>
          <cell r="D1063">
            <v>78</v>
          </cell>
          <cell r="E1063">
            <v>195</v>
          </cell>
          <cell r="F1063">
            <v>271</v>
          </cell>
        </row>
        <row r="1064">
          <cell r="A1064" t="str">
            <v>CSL654 market share</v>
          </cell>
          <cell r="B1064" t="str">
            <v>%</v>
          </cell>
          <cell r="C1064">
            <v>0</v>
          </cell>
          <cell r="D1064">
            <v>0.125</v>
          </cell>
          <cell r="E1064">
            <v>0.3</v>
          </cell>
          <cell r="F1064">
            <v>0.4</v>
          </cell>
        </row>
        <row r="1065">
          <cell r="A1065" t="str">
            <v>CSL654 growth</v>
          </cell>
          <cell r="B1065" t="str">
            <v>%</v>
          </cell>
          <cell r="C1065" t="str">
            <v>-</v>
          </cell>
          <cell r="D1065" t="str">
            <v>-</v>
          </cell>
          <cell r="E1065">
            <v>1.5</v>
          </cell>
          <cell r="F1065">
            <v>0.38974358974358969</v>
          </cell>
        </row>
        <row r="1066">
          <cell r="C1066" t="str">
            <v>2016E</v>
          </cell>
          <cell r="D1066" t="str">
            <v>2017E</v>
          </cell>
          <cell r="E1066" t="str">
            <v>2018E</v>
          </cell>
          <cell r="F1066" t="str">
            <v>2019E</v>
          </cell>
        </row>
        <row r="1067">
          <cell r="A1067" t="str">
            <v>ROW rFIX market</v>
          </cell>
          <cell r="B1067" t="str">
            <v>US$mn</v>
          </cell>
          <cell r="C1067">
            <v>1159.04</v>
          </cell>
          <cell r="D1067">
            <v>1204</v>
          </cell>
          <cell r="E1067">
            <v>1255</v>
          </cell>
          <cell r="F1067">
            <v>1313.5</v>
          </cell>
        </row>
        <row r="1068">
          <cell r="A1068" t="str">
            <v>growth</v>
          </cell>
          <cell r="B1068" t="str">
            <v>%</v>
          </cell>
          <cell r="C1068">
            <v>0.04</v>
          </cell>
          <cell r="D1068">
            <v>4.235880398671088E-2</v>
          </cell>
          <cell r="E1068">
            <v>4.235880398671088E-2</v>
          </cell>
          <cell r="F1068">
            <v>4.661354581673316E-2</v>
          </cell>
        </row>
        <row r="1069">
          <cell r="A1069" t="str">
            <v>CSL654 market share</v>
          </cell>
          <cell r="B1069" t="str">
            <v>US$mn</v>
          </cell>
          <cell r="C1069">
            <v>28</v>
          </cell>
          <cell r="D1069">
            <v>136</v>
          </cell>
          <cell r="E1069">
            <v>316</v>
          </cell>
          <cell r="F1069">
            <v>430</v>
          </cell>
        </row>
        <row r="1070">
          <cell r="A1070" t="str">
            <v>CSL654 market share</v>
          </cell>
          <cell r="B1070" t="str">
            <v>%</v>
          </cell>
          <cell r="C1070">
            <v>2.4157923799006074E-2</v>
          </cell>
          <cell r="D1070">
            <v>0.11295681063122924</v>
          </cell>
          <cell r="E1070">
            <v>0.25179282868525898</v>
          </cell>
          <cell r="F1070">
            <v>0.32736962314427104</v>
          </cell>
        </row>
        <row r="1071">
          <cell r="A1071" t="str">
            <v>CSL654 growth</v>
          </cell>
          <cell r="B1071" t="str">
            <v>%</v>
          </cell>
          <cell r="C1071" t="str">
            <v>-</v>
          </cell>
          <cell r="D1071" t="str">
            <v>-</v>
          </cell>
          <cell r="E1071">
            <v>1.3235294117647061</v>
          </cell>
          <cell r="F1071">
            <v>0.360759493670886</v>
          </cell>
        </row>
        <row r="1072">
          <cell r="C1072" t="str">
            <v>2016E</v>
          </cell>
          <cell r="D1072" t="str">
            <v>2017E</v>
          </cell>
          <cell r="E1072" t="str">
            <v>2018E</v>
          </cell>
          <cell r="F1072" t="str">
            <v>2019E</v>
          </cell>
        </row>
        <row r="1073">
          <cell r="A1073" t="str">
            <v>Gross profit</v>
          </cell>
          <cell r="B1073" t="str">
            <v>US$mn</v>
          </cell>
          <cell r="C1073">
            <v>22.400000000000002</v>
          </cell>
          <cell r="D1073">
            <v>108.80000000000001</v>
          </cell>
          <cell r="E1073">
            <v>252.8</v>
          </cell>
          <cell r="F1073">
            <v>344</v>
          </cell>
        </row>
        <row r="1074">
          <cell r="A1074" t="str">
            <v>GP margin</v>
          </cell>
          <cell r="B1074" t="str">
            <v>%</v>
          </cell>
          <cell r="C1074">
            <v>0.8</v>
          </cell>
          <cell r="D1074">
            <v>0.8</v>
          </cell>
          <cell r="E1074">
            <v>0.8</v>
          </cell>
          <cell r="F1074">
            <v>0.8</v>
          </cell>
        </row>
        <row r="1075">
          <cell r="A1075" t="str">
            <v>EBITDA</v>
          </cell>
          <cell r="B1075" t="str">
            <v>US$mn</v>
          </cell>
          <cell r="C1075">
            <v>16.071999999999999</v>
          </cell>
          <cell r="D1075">
            <v>78.063999999999993</v>
          </cell>
          <cell r="E1075">
            <v>181.38399999999999</v>
          </cell>
          <cell r="F1075">
            <v>246.82</v>
          </cell>
        </row>
        <row r="1076">
          <cell r="A1076" t="str">
            <v>EBITDA margin</v>
          </cell>
          <cell r="B1076" t="str">
            <v>%</v>
          </cell>
          <cell r="C1076">
            <v>0.57399999999999995</v>
          </cell>
          <cell r="D1076">
            <v>0.57399999999999995</v>
          </cell>
          <cell r="E1076">
            <v>0.57399999999999995</v>
          </cell>
          <cell r="F1076">
            <v>0.57399999999999995</v>
          </cell>
        </row>
        <row r="1077">
          <cell r="A1077" t="str">
            <v>EPS</v>
          </cell>
          <cell r="B1077" t="str">
            <v>US cents</v>
          </cell>
          <cell r="C1077">
            <v>2.7687818241463575</v>
          </cell>
          <cell r="D1077">
            <v>13.448368860139452</v>
          </cell>
          <cell r="E1077">
            <v>31.247680586794608</v>
          </cell>
          <cell r="F1077">
            <v>42.520578013676207</v>
          </cell>
        </row>
        <row r="1078">
          <cell r="A1078" t="str">
            <v>Gp EPS</v>
          </cell>
          <cell r="B1078" t="str">
            <v>US cents</v>
          </cell>
          <cell r="C1078">
            <v>272.27173825299423</v>
          </cell>
          <cell r="D1078">
            <v>310.13306458891623</v>
          </cell>
          <cell r="E1078">
            <v>343.46804914640688</v>
          </cell>
          <cell r="F1078">
            <v>396.82672853546376</v>
          </cell>
        </row>
        <row r="1079">
          <cell r="A1079" t="str">
            <v>EPS contribution to group</v>
          </cell>
          <cell r="B1079" t="str">
            <v>%</v>
          </cell>
          <cell r="C1079">
            <v>1.0169185542032323E-2</v>
          </cell>
          <cell r="D1079">
            <v>4.3363221776966505E-2</v>
          </cell>
          <cell r="E1079">
            <v>9.0976964711716041E-2</v>
          </cell>
          <cell r="F1079">
            <v>0.10715149700375139</v>
          </cell>
        </row>
        <row r="1081">
          <cell r="C1081" t="str">
            <v>2016E</v>
          </cell>
          <cell r="D1081" t="str">
            <v>2017E</v>
          </cell>
          <cell r="E1081" t="str">
            <v>2018E</v>
          </cell>
          <cell r="F1081" t="str">
            <v>2019E</v>
          </cell>
        </row>
        <row r="1082">
          <cell r="A1082" t="str">
            <v>US rFVIII market</v>
          </cell>
          <cell r="B1082" t="str">
            <v>US$mn</v>
          </cell>
          <cell r="C1082">
            <v>1944.6728971962616</v>
          </cell>
          <cell r="D1082">
            <v>2040</v>
          </cell>
          <cell r="E1082">
            <v>2140</v>
          </cell>
          <cell r="F1082">
            <v>2230</v>
          </cell>
        </row>
        <row r="1083">
          <cell r="A1083" t="str">
            <v>growth</v>
          </cell>
          <cell r="B1083" t="str">
            <v>%</v>
          </cell>
          <cell r="C1083">
            <v>0.04</v>
          </cell>
          <cell r="D1083">
            <v>4.9019607843137303E-2</v>
          </cell>
          <cell r="E1083">
            <v>4.9019607843137303E-2</v>
          </cell>
          <cell r="F1083">
            <v>4.20560747663552E-2</v>
          </cell>
        </row>
        <row r="1084">
          <cell r="A1084" t="str">
            <v>CSL627 market share</v>
          </cell>
          <cell r="B1084" t="str">
            <v>US$mn</v>
          </cell>
          <cell r="C1084">
            <v>0</v>
          </cell>
          <cell r="D1084">
            <v>51</v>
          </cell>
          <cell r="E1084">
            <v>107</v>
          </cell>
          <cell r="F1084">
            <v>223</v>
          </cell>
        </row>
        <row r="1085">
          <cell r="A1085" t="str">
            <v>CSL627 market share</v>
          </cell>
          <cell r="B1085" t="str">
            <v>%</v>
          </cell>
          <cell r="C1085">
            <v>0</v>
          </cell>
          <cell r="D1085">
            <v>2.5000000000000001E-2</v>
          </cell>
          <cell r="E1085">
            <v>0.05</v>
          </cell>
          <cell r="F1085">
            <v>0.1</v>
          </cell>
        </row>
        <row r="1086">
          <cell r="A1086" t="str">
            <v>CSL627 growth</v>
          </cell>
          <cell r="B1086" t="str">
            <v>%</v>
          </cell>
          <cell r="C1086">
            <v>0</v>
          </cell>
          <cell r="D1086">
            <v>0</v>
          </cell>
          <cell r="E1086">
            <v>1.0980392156862746</v>
          </cell>
          <cell r="F1086">
            <v>1.0841121495327104</v>
          </cell>
        </row>
        <row r="1087">
          <cell r="C1087" t="str">
            <v>2016E</v>
          </cell>
          <cell r="D1087" t="str">
            <v>2017E</v>
          </cell>
          <cell r="E1087" t="str">
            <v>2018E</v>
          </cell>
          <cell r="F1087" t="str">
            <v>2019E</v>
          </cell>
        </row>
        <row r="1088">
          <cell r="A1088" t="str">
            <v>ROW rFVIII market</v>
          </cell>
          <cell r="B1088" t="str">
            <v>US$mn</v>
          </cell>
          <cell r="C1088">
            <v>3065.868263473054</v>
          </cell>
          <cell r="D1088">
            <v>3200</v>
          </cell>
          <cell r="E1088">
            <v>3340</v>
          </cell>
          <cell r="F1088">
            <v>3540</v>
          </cell>
        </row>
        <row r="1089">
          <cell r="A1089" t="str">
            <v>growth</v>
          </cell>
          <cell r="B1089" t="str">
            <v>%</v>
          </cell>
          <cell r="C1089">
            <v>0.04</v>
          </cell>
          <cell r="D1089">
            <v>4.3749999999999956E-2</v>
          </cell>
          <cell r="E1089">
            <v>4.3749999999999956E-2</v>
          </cell>
          <cell r="F1089">
            <v>5.9880239520958112E-2</v>
          </cell>
        </row>
        <row r="1090">
          <cell r="A1090" t="str">
            <v>CSL627 market share</v>
          </cell>
          <cell r="B1090" t="str">
            <v>US$mn</v>
          </cell>
          <cell r="C1090">
            <v>0</v>
          </cell>
          <cell r="D1090">
            <v>40</v>
          </cell>
          <cell r="E1090">
            <v>167</v>
          </cell>
          <cell r="F1090">
            <v>354</v>
          </cell>
        </row>
        <row r="1091">
          <cell r="A1091" t="str">
            <v>CSL627 market share</v>
          </cell>
          <cell r="B1091" t="str">
            <v>%</v>
          </cell>
          <cell r="C1091">
            <v>0</v>
          </cell>
          <cell r="D1091">
            <v>1.2500000000000001E-2</v>
          </cell>
          <cell r="E1091">
            <v>0.05</v>
          </cell>
          <cell r="F1091">
            <v>0.1</v>
          </cell>
        </row>
        <row r="1092">
          <cell r="A1092" t="str">
            <v>CSL627 growth</v>
          </cell>
          <cell r="B1092" t="str">
            <v>%</v>
          </cell>
          <cell r="C1092" t="str">
            <v>-</v>
          </cell>
          <cell r="D1092" t="str">
            <v>-</v>
          </cell>
          <cell r="E1092">
            <v>3.1749999999999998</v>
          </cell>
          <cell r="F1092">
            <v>1.1197604790419162</v>
          </cell>
        </row>
        <row r="1093">
          <cell r="C1093" t="str">
            <v>2016E</v>
          </cell>
          <cell r="D1093" t="str">
            <v>2017E</v>
          </cell>
          <cell r="E1093" t="str">
            <v>2018E</v>
          </cell>
          <cell r="F1093" t="str">
            <v>2019E</v>
          </cell>
        </row>
        <row r="1094">
          <cell r="A1094" t="str">
            <v>ROW rFVIII market</v>
          </cell>
          <cell r="B1094" t="str">
            <v>US$mn</v>
          </cell>
          <cell r="C1094">
            <v>5010.541160669316</v>
          </cell>
          <cell r="D1094">
            <v>5240</v>
          </cell>
          <cell r="E1094">
            <v>5480</v>
          </cell>
          <cell r="F1094">
            <v>5770</v>
          </cell>
        </row>
        <row r="1095">
          <cell r="A1095" t="str">
            <v>growth</v>
          </cell>
          <cell r="B1095" t="str">
            <v>%</v>
          </cell>
          <cell r="C1095">
            <v>0.04</v>
          </cell>
          <cell r="D1095">
            <v>4.5801526717557328E-2</v>
          </cell>
          <cell r="E1095">
            <v>4.5801526717557328E-2</v>
          </cell>
          <cell r="F1095">
            <v>5.2919708029196988E-2</v>
          </cell>
        </row>
        <row r="1096">
          <cell r="A1096" t="str">
            <v>CSL627 market share</v>
          </cell>
          <cell r="B1096" t="str">
            <v>US$mn</v>
          </cell>
          <cell r="C1096">
            <v>0</v>
          </cell>
          <cell r="D1096">
            <v>91</v>
          </cell>
          <cell r="E1096">
            <v>274</v>
          </cell>
          <cell r="F1096">
            <v>577</v>
          </cell>
        </row>
        <row r="1097">
          <cell r="A1097" t="str">
            <v>CSL627 market share</v>
          </cell>
          <cell r="B1097" t="str">
            <v>%</v>
          </cell>
          <cell r="C1097">
            <v>0</v>
          </cell>
          <cell r="D1097">
            <v>1.7366412213740457E-2</v>
          </cell>
          <cell r="E1097">
            <v>0.05</v>
          </cell>
          <cell r="F1097">
            <v>0.1</v>
          </cell>
        </row>
        <row r="1098">
          <cell r="A1098" t="str">
            <v>CSL627 growth</v>
          </cell>
          <cell r="B1098" t="str">
            <v>%</v>
          </cell>
          <cell r="C1098" t="str">
            <v>-</v>
          </cell>
          <cell r="D1098" t="str">
            <v>-</v>
          </cell>
          <cell r="E1098">
            <v>2.0109890109890109</v>
          </cell>
          <cell r="F1098">
            <v>1.105839416058394</v>
          </cell>
        </row>
        <row r="1099">
          <cell r="C1099" t="str">
            <v>2016E</v>
          </cell>
          <cell r="D1099" t="str">
            <v>2017E</v>
          </cell>
          <cell r="E1099" t="str">
            <v>2018E</v>
          </cell>
          <cell r="F1099" t="str">
            <v>2019E</v>
          </cell>
        </row>
        <row r="1100">
          <cell r="A1100" t="str">
            <v>Gross profit</v>
          </cell>
          <cell r="B1100" t="str">
            <v>US$mn</v>
          </cell>
          <cell r="C1100">
            <v>0</v>
          </cell>
          <cell r="D1100">
            <v>72.8</v>
          </cell>
          <cell r="E1100">
            <v>219.20000000000002</v>
          </cell>
          <cell r="F1100">
            <v>461.6</v>
          </cell>
        </row>
        <row r="1101">
          <cell r="A1101" t="str">
            <v>GP margin</v>
          </cell>
          <cell r="B1101" t="str">
            <v>%</v>
          </cell>
          <cell r="C1101">
            <v>0.8</v>
          </cell>
          <cell r="D1101">
            <v>0.8</v>
          </cell>
          <cell r="E1101">
            <v>0.8</v>
          </cell>
          <cell r="F1101">
            <v>0.8</v>
          </cell>
        </row>
        <row r="1102">
          <cell r="A1102" t="str">
            <v>EBITDA</v>
          </cell>
          <cell r="B1102" t="str">
            <v>US$mn</v>
          </cell>
          <cell r="C1102">
            <v>0</v>
          </cell>
          <cell r="D1102">
            <v>52.233999999999995</v>
          </cell>
          <cell r="E1102">
            <v>157.27599999999998</v>
          </cell>
          <cell r="F1102">
            <v>331.19799999999998</v>
          </cell>
        </row>
        <row r="1103">
          <cell r="A1103" t="str">
            <v>EBITDA margin</v>
          </cell>
          <cell r="B1103" t="str">
            <v>%</v>
          </cell>
          <cell r="C1103">
            <v>0.57399999999999995</v>
          </cell>
          <cell r="D1103">
            <v>0.57399999999999995</v>
          </cell>
          <cell r="E1103">
            <v>0.57399999999999995</v>
          </cell>
          <cell r="F1103">
            <v>0.57399999999999995</v>
          </cell>
        </row>
        <row r="1104">
          <cell r="A1104" t="str">
            <v>EPS</v>
          </cell>
          <cell r="B1104" t="str">
            <v>US cents</v>
          </cell>
          <cell r="C1104">
            <v>0</v>
          </cell>
          <cell r="D1104">
            <v>8.9985409284756628</v>
          </cell>
          <cell r="E1104">
            <v>27.094507850575066</v>
          </cell>
          <cell r="F1104">
            <v>57.056682590444588</v>
          </cell>
        </row>
        <row r="1105">
          <cell r="A1105" t="str">
            <v>Gp EPS</v>
          </cell>
          <cell r="B1105" t="str">
            <v>US cents</v>
          </cell>
          <cell r="C1105">
            <v>302.54399202564838</v>
          </cell>
          <cell r="D1105">
            <v>326.2274944393518</v>
          </cell>
          <cell r="E1105">
            <v>369.43501567491052</v>
          </cell>
          <cell r="F1105">
            <v>435.6210851933356</v>
          </cell>
        </row>
        <row r="1106">
          <cell r="A1106" t="str">
            <v>EPS contribution to group</v>
          </cell>
          <cell r="B1106" t="str">
            <v>%</v>
          </cell>
          <cell r="C1106">
            <v>0</v>
          </cell>
          <cell r="D1106">
            <v>2.7583637436631083E-2</v>
          </cell>
          <cell r="E1106">
            <v>7.3340389245661691E-2</v>
          </cell>
          <cell r="F1106">
            <v>0.13097777984075754</v>
          </cell>
        </row>
        <row r="1169">
          <cell r="C1169" t="str">
            <v>F17E</v>
          </cell>
          <cell r="D1169" t="str">
            <v>F18E</v>
          </cell>
          <cell r="E1169" t="str">
            <v>F19E</v>
          </cell>
        </row>
        <row r="1170">
          <cell r="A1170" t="str">
            <v>EPS from Helixate agreement</v>
          </cell>
          <cell r="B1170" t="str">
            <v>US$</v>
          </cell>
          <cell r="C1170" t="str">
            <v>-</v>
          </cell>
          <cell r="D1170">
            <v>0.18</v>
          </cell>
          <cell r="E1170">
            <v>0.22</v>
          </cell>
        </row>
        <row r="1171">
          <cell r="A1171" t="str">
            <v>Underlying EPS assuming Helixate continues</v>
          </cell>
          <cell r="B1171" t="str">
            <v>US$</v>
          </cell>
          <cell r="C1171" t="str">
            <v>-</v>
          </cell>
          <cell r="D1171">
            <v>3.0312586070903724</v>
          </cell>
          <cell r="E1171">
            <v>3.1924946793134299</v>
          </cell>
        </row>
        <row r="1172">
          <cell r="A1172" t="str">
            <v>Underlying EPS assuming Helixate expires</v>
          </cell>
          <cell r="B1172" t="str">
            <v>US$</v>
          </cell>
          <cell r="C1172" t="str">
            <v>-</v>
          </cell>
          <cell r="D1172">
            <v>2.8512586070903723</v>
          </cell>
          <cell r="E1172">
            <v>2.9724946793134297</v>
          </cell>
        </row>
        <row r="1173">
          <cell r="A1173" t="str">
            <v>Change</v>
          </cell>
          <cell r="B1173" t="str">
            <v>%</v>
          </cell>
          <cell r="C1173" t="str">
            <v>-</v>
          </cell>
          <cell r="D1173">
            <v>-5.9381274688660612E-2</v>
          </cell>
          <cell r="E1173">
            <v>-6.8911626204280152E-2</v>
          </cell>
        </row>
        <row r="1175">
          <cell r="C1175" t="str">
            <v>F15E</v>
          </cell>
          <cell r="D1175" t="str">
            <v>F16E</v>
          </cell>
          <cell r="E1175" t="str">
            <v>F17E</v>
          </cell>
          <cell r="F1175" t="str">
            <v>F18E</v>
          </cell>
          <cell r="G1175" t="str">
            <v>F19E</v>
          </cell>
        </row>
        <row r="1176">
          <cell r="A1176" t="str">
            <v>EPS decrease from ASP -10% pa</v>
          </cell>
          <cell r="B1176" t="str">
            <v>US$</v>
          </cell>
          <cell r="C1176">
            <v>0.01</v>
          </cell>
          <cell r="D1176">
            <v>7.0000000000000007E-2</v>
          </cell>
          <cell r="E1176">
            <v>0.15</v>
          </cell>
          <cell r="F1176">
            <v>0.23</v>
          </cell>
          <cell r="G1176">
            <v>0.31</v>
          </cell>
        </row>
        <row r="1177">
          <cell r="A1177" t="str">
            <v>EPS pre decrease (assumes 5% decay pa)</v>
          </cell>
          <cell r="B1177" t="str">
            <v>US$</v>
          </cell>
          <cell r="C1177">
            <v>2.98</v>
          </cell>
          <cell r="D1177">
            <v>3.04</v>
          </cell>
          <cell r="E1177">
            <v>3.13</v>
          </cell>
          <cell r="F1177">
            <v>3.29</v>
          </cell>
          <cell r="G1177">
            <v>3.6</v>
          </cell>
        </row>
        <row r="1178">
          <cell r="A1178" t="str">
            <v>% change</v>
          </cell>
          <cell r="B1178" t="str">
            <v>%</v>
          </cell>
          <cell r="C1178">
            <v>3.3557046979865771E-3</v>
          </cell>
          <cell r="D1178">
            <v>2.3026315789473686E-2</v>
          </cell>
          <cell r="E1178">
            <v>4.7923322683706068E-2</v>
          </cell>
          <cell r="F1178">
            <v>6.9908814589665649E-2</v>
          </cell>
          <cell r="G1178">
            <v>8.611111111111111E-2</v>
          </cell>
        </row>
        <row r="1227">
          <cell r="A1227" t="str">
            <v>F14 Result</v>
          </cell>
          <cell r="C1227" t="str">
            <v>F14</v>
          </cell>
          <cell r="D1227" t="str">
            <v>F15E</v>
          </cell>
        </row>
        <row r="1228">
          <cell r="A1228" t="str">
            <v>EBIT</v>
          </cell>
          <cell r="B1228" t="str">
            <v>US$mn</v>
          </cell>
          <cell r="C1228">
            <v>1637</v>
          </cell>
          <cell r="D1228">
            <v>1882.55</v>
          </cell>
        </row>
        <row r="1229">
          <cell r="A1229" t="str">
            <v>Growth</v>
          </cell>
          <cell r="B1229" t="str">
            <v>%</v>
          </cell>
          <cell r="C1229">
            <v>0.1</v>
          </cell>
          <cell r="D1229">
            <v>0.15</v>
          </cell>
        </row>
        <row r="1231">
          <cell r="A1231" t="str">
            <v xml:space="preserve">NPAT </v>
          </cell>
          <cell r="B1231" t="str">
            <v>US$mn</v>
          </cell>
          <cell r="C1231">
            <v>1307</v>
          </cell>
          <cell r="D1231">
            <v>1463.8400000000001</v>
          </cell>
        </row>
        <row r="1232">
          <cell r="A1232" t="str">
            <v>Growth</v>
          </cell>
          <cell r="B1232" t="str">
            <v>%</v>
          </cell>
          <cell r="C1232">
            <v>0.08</v>
          </cell>
          <cell r="D1232">
            <v>0.12</v>
          </cell>
        </row>
        <row r="1233">
          <cell r="A1233" t="str">
            <v>Antit-trust settlement adjustment</v>
          </cell>
        </row>
        <row r="1234">
          <cell r="C1234" t="str">
            <v>F14</v>
          </cell>
          <cell r="D1234" t="str">
            <v>F15E</v>
          </cell>
        </row>
        <row r="1235">
          <cell r="A1235" t="str">
            <v>Pre-tax</v>
          </cell>
          <cell r="B1235" t="str">
            <v>US$mn</v>
          </cell>
          <cell r="C1235">
            <v>64</v>
          </cell>
          <cell r="D1235">
            <v>0</v>
          </cell>
        </row>
        <row r="1236">
          <cell r="A1236" t="str">
            <v>tax</v>
          </cell>
          <cell r="B1236" t="str">
            <v>US$mn</v>
          </cell>
          <cell r="C1236">
            <v>-25</v>
          </cell>
          <cell r="D1236">
            <v>0</v>
          </cell>
        </row>
        <row r="1237">
          <cell r="A1237" t="str">
            <v>Post-tax</v>
          </cell>
          <cell r="B1237" t="str">
            <v>US$mn</v>
          </cell>
          <cell r="C1237">
            <v>39</v>
          </cell>
          <cell r="D1237">
            <v>0</v>
          </cell>
        </row>
        <row r="1239">
          <cell r="A1239" t="str">
            <v>Adjusted guidance</v>
          </cell>
          <cell r="C1239" t="str">
            <v>F14</v>
          </cell>
          <cell r="D1239" t="str">
            <v>F15E</v>
          </cell>
        </row>
        <row r="1240">
          <cell r="A1240" t="str">
            <v>Adjusted EBIT</v>
          </cell>
          <cell r="B1240" t="str">
            <v>US$mn</v>
          </cell>
          <cell r="C1240">
            <v>1701</v>
          </cell>
          <cell r="D1240">
            <v>1882.55</v>
          </cell>
        </row>
        <row r="1241">
          <cell r="A1241" t="str">
            <v>Growth</v>
          </cell>
          <cell r="B1241" t="str">
            <v>%</v>
          </cell>
          <cell r="C1241">
            <v>0.13909590714722056</v>
          </cell>
          <cell r="D1241">
            <v>0.10673133450911232</v>
          </cell>
        </row>
        <row r="1243">
          <cell r="A1243" t="str">
            <v>Adjusted NPAT</v>
          </cell>
          <cell r="B1243" t="str">
            <v>US$mn</v>
          </cell>
          <cell r="C1243">
            <v>1346</v>
          </cell>
          <cell r="D1243">
            <v>1463.8400000000001</v>
          </cell>
        </row>
        <row r="1244">
          <cell r="A1244" t="str">
            <v>Growth</v>
          </cell>
          <cell r="B1244" t="str">
            <v>%</v>
          </cell>
          <cell r="C1244">
            <v>0.10983932670237177</v>
          </cell>
          <cell r="D1244">
            <v>8.7548291233283893E-2</v>
          </cell>
        </row>
        <row r="1246">
          <cell r="A1246" t="str">
            <v>New NPAT guidance</v>
          </cell>
          <cell r="B1246" t="str">
            <v>US$mn</v>
          </cell>
          <cell r="C1246">
            <v>1307</v>
          </cell>
          <cell r="D1246">
            <v>1437.7</v>
          </cell>
        </row>
        <row r="1247">
          <cell r="A1247" t="str">
            <v>Growth</v>
          </cell>
          <cell r="B1247" t="str">
            <v>%</v>
          </cell>
          <cell r="C1247">
            <v>0.08</v>
          </cell>
          <cell r="D1247">
            <v>0.1</v>
          </cell>
        </row>
        <row r="1249">
          <cell r="A1249" t="str">
            <v>New adjusted NPAT guidance</v>
          </cell>
          <cell r="B1249" t="str">
            <v>US$mn</v>
          </cell>
          <cell r="C1249">
            <v>1346</v>
          </cell>
          <cell r="D1249">
            <v>1437.7</v>
          </cell>
        </row>
        <row r="1250">
          <cell r="A1250" t="str">
            <v>Growth</v>
          </cell>
          <cell r="B1250" t="str">
            <v>%</v>
          </cell>
          <cell r="C1250">
            <v>0.10983932670237177</v>
          </cell>
          <cell r="D1250">
            <v>6.812778603268943E-2</v>
          </cell>
        </row>
        <row r="1252">
          <cell r="A1252" t="str">
            <v>half on half CC</v>
          </cell>
          <cell r="C1252" t="str">
            <v>1h14</v>
          </cell>
          <cell r="D1252" t="str">
            <v>2h14</v>
          </cell>
          <cell r="E1252" t="str">
            <v>F14</v>
          </cell>
          <cell r="F1252" t="str">
            <v>1h15</v>
          </cell>
          <cell r="G1252" t="str">
            <v>2h15E</v>
          </cell>
          <cell r="H1252" t="str">
            <v>F15E</v>
          </cell>
        </row>
        <row r="1253">
          <cell r="A1253" t="str">
            <v>EBIT</v>
          </cell>
          <cell r="B1253" t="str">
            <v>US$mn</v>
          </cell>
          <cell r="C1253">
            <v>817.99635999999987</v>
          </cell>
          <cell r="D1253">
            <v>819.00364000000013</v>
          </cell>
          <cell r="E1253">
            <v>1637</v>
          </cell>
          <cell r="F1253">
            <v>891.61603239999988</v>
          </cell>
          <cell r="G1253">
            <v>957.31700331428567</v>
          </cell>
          <cell r="H1253">
            <v>1848.9330357142856</v>
          </cell>
        </row>
        <row r="1254">
          <cell r="A1254" t="str">
            <v>growth</v>
          </cell>
          <cell r="B1254" t="str">
            <v>%</v>
          </cell>
          <cell r="C1254">
            <v>4.1107240028989279E-2</v>
          </cell>
          <cell r="D1254">
            <v>0.1700164429831359</v>
          </cell>
          <cell r="E1254">
            <v>0.1</v>
          </cell>
          <cell r="F1254">
            <v>0.09</v>
          </cell>
          <cell r="G1254">
            <v>0.16888003490959513</v>
          </cell>
          <cell r="H1254">
            <v>0.12946428571428559</v>
          </cell>
        </row>
        <row r="1256">
          <cell r="A1256" t="str">
            <v>Adjusted EBIT</v>
          </cell>
          <cell r="B1256" t="str">
            <v>US$mn</v>
          </cell>
          <cell r="C1256">
            <v>881.99635999999987</v>
          </cell>
          <cell r="D1256">
            <v>819.00364000000013</v>
          </cell>
          <cell r="E1256">
            <v>1701</v>
          </cell>
          <cell r="F1256">
            <v>891.61603239999988</v>
          </cell>
          <cell r="G1256">
            <v>957.31700331428567</v>
          </cell>
          <cell r="H1256">
            <v>1848.9330357142856</v>
          </cell>
        </row>
        <row r="1257">
          <cell r="A1257" t="str">
            <v>growth</v>
          </cell>
          <cell r="B1257" t="str">
            <v>%</v>
          </cell>
          <cell r="C1257">
            <v>7.8239956960199697E-2</v>
          </cell>
          <cell r="D1257">
            <v>0.1700164429831359</v>
          </cell>
          <cell r="E1257">
            <v>0.13909590714722056</v>
          </cell>
          <cell r="F1257">
            <v>1.0906703061676959E-2</v>
          </cell>
          <cell r="G1257">
            <v>0.16888003490959513</v>
          </cell>
          <cell r="H1257">
            <v>8.6968274964306591E-2</v>
          </cell>
        </row>
        <row r="1259">
          <cell r="A1259" t="str">
            <v>NPAT</v>
          </cell>
          <cell r="B1259" t="str">
            <v>US$mn</v>
          </cell>
          <cell r="C1259">
            <v>645.70000000000005</v>
          </cell>
          <cell r="D1259">
            <v>661.3</v>
          </cell>
          <cell r="E1259">
            <v>1307</v>
          </cell>
          <cell r="F1259">
            <v>703.8130000000001</v>
          </cell>
          <cell r="G1259">
            <v>733.88699999999994</v>
          </cell>
          <cell r="H1259">
            <v>1437.7</v>
          </cell>
        </row>
        <row r="1260">
          <cell r="A1260" t="str">
            <v>growth</v>
          </cell>
          <cell r="B1260" t="str">
            <v>%</v>
          </cell>
          <cell r="C1260">
            <v>3.3781620236951859E-2</v>
          </cell>
          <cell r="D1260">
            <v>0.11762717593374972</v>
          </cell>
          <cell r="E1260">
            <v>7.4570418482282186E-2</v>
          </cell>
          <cell r="F1260">
            <v>0.09</v>
          </cell>
          <cell r="G1260">
            <v>0.10976410101315581</v>
          </cell>
          <cell r="H1260">
            <v>0.10000000000000009</v>
          </cell>
        </row>
        <row r="1262">
          <cell r="A1262" t="str">
            <v>Adjusted NPAT</v>
          </cell>
          <cell r="B1262" t="str">
            <v>US$mn</v>
          </cell>
          <cell r="C1262">
            <v>684.7</v>
          </cell>
          <cell r="D1262">
            <v>661.3</v>
          </cell>
          <cell r="E1262">
            <v>1346</v>
          </cell>
          <cell r="F1262">
            <v>703.8130000000001</v>
          </cell>
          <cell r="G1262">
            <v>733.88699999999994</v>
          </cell>
          <cell r="H1262">
            <v>1437.7</v>
          </cell>
        </row>
        <row r="1263">
          <cell r="A1263" t="str">
            <v>growth</v>
          </cell>
          <cell r="B1263" t="str">
            <v>%</v>
          </cell>
          <cell r="C1263">
            <v>9.622158181236018E-2</v>
          </cell>
          <cell r="D1263">
            <v>0.11762717593374972</v>
          </cell>
          <cell r="E1263">
            <v>0.10663487626407941</v>
          </cell>
          <cell r="F1263">
            <v>2.7914415072294529E-2</v>
          </cell>
          <cell r="G1263">
            <v>0.10976410101315581</v>
          </cell>
          <cell r="H1263">
            <v>6.812778603268943E-2</v>
          </cell>
        </row>
        <row r="1265">
          <cell r="C1265" t="str">
            <v>1h14</v>
          </cell>
          <cell r="D1265" t="str">
            <v>1h15</v>
          </cell>
        </row>
        <row r="1266">
          <cell r="A1266" t="str">
            <v>Adjusted EBIT</v>
          </cell>
          <cell r="B1266" t="str">
            <v>A$mn</v>
          </cell>
          <cell r="C1266">
            <v>881.99635999999987</v>
          </cell>
          <cell r="D1266">
            <v>891.61603239999988</v>
          </cell>
        </row>
        <row r="1267">
          <cell r="A1267" t="str">
            <v>margin</v>
          </cell>
          <cell r="B1267" t="str">
            <v>%</v>
          </cell>
          <cell r="C1267">
            <v>0.34081547200432782</v>
          </cell>
          <cell r="D1267">
            <v>0.31969022316242379</v>
          </cell>
        </row>
        <row r="1268">
          <cell r="A1268" t="str">
            <v>growth</v>
          </cell>
          <cell r="B1268" t="str">
            <v>%</v>
          </cell>
          <cell r="C1268">
            <v>0.34265592851592847</v>
          </cell>
          <cell r="D1268">
            <v>1.0906703061676959E-2</v>
          </cell>
        </row>
        <row r="1288">
          <cell r="A1288" t="str">
            <v>rFVIII</v>
          </cell>
        </row>
        <row r="1289">
          <cell r="A1289" t="str">
            <v>Current</v>
          </cell>
          <cell r="B1289" t="str">
            <v>Manufacturer</v>
          </cell>
          <cell r="C1289" t="str">
            <v>Product</v>
          </cell>
          <cell r="D1289" t="str">
            <v>Launch</v>
          </cell>
        </row>
        <row r="1290">
          <cell r="B1290" t="str">
            <v>Bayer</v>
          </cell>
          <cell r="C1290" t="str">
            <v>Kogenate</v>
          </cell>
          <cell r="D1290" t="str">
            <v>Marketed</v>
          </cell>
        </row>
        <row r="1291">
          <cell r="B1291" t="str">
            <v>Baxter</v>
          </cell>
          <cell r="C1291" t="str">
            <v>Advate</v>
          </cell>
          <cell r="D1291" t="str">
            <v>Marketed</v>
          </cell>
        </row>
        <row r="1292">
          <cell r="B1292" t="str">
            <v>Pfizer</v>
          </cell>
          <cell r="C1292" t="str">
            <v>Xyntha</v>
          </cell>
          <cell r="D1292" t="str">
            <v>Marketed</v>
          </cell>
        </row>
        <row r="1293">
          <cell r="A1293" t="str">
            <v>Future/New</v>
          </cell>
          <cell r="B1293" t="str">
            <v>Manufacturer</v>
          </cell>
          <cell r="C1293" t="str">
            <v>Product</v>
          </cell>
          <cell r="D1293" t="str">
            <v>Launch</v>
          </cell>
        </row>
        <row r="1294">
          <cell r="B1294" t="str">
            <v>Biogen-Idec</v>
          </cell>
          <cell r="C1294" t="str">
            <v>Eloctate</v>
          </cell>
          <cell r="D1294" t="str">
            <v>Q3CY14</v>
          </cell>
        </row>
        <row r="1295">
          <cell r="B1295" t="str">
            <v>Baxter</v>
          </cell>
          <cell r="C1295" t="str">
            <v>BAX855</v>
          </cell>
          <cell r="D1295" t="str">
            <v>BLA Q4CY14</v>
          </cell>
        </row>
        <row r="1296">
          <cell r="B1296" t="str">
            <v>Octapharma</v>
          </cell>
          <cell r="C1296" t="str">
            <v>Nuwiq</v>
          </cell>
          <cell r="D1296" t="str">
            <v>Q1CY15</v>
          </cell>
        </row>
        <row r="1297">
          <cell r="B1297" t="str">
            <v>Novo Nordisk</v>
          </cell>
          <cell r="C1297" t="str">
            <v>Novoeight</v>
          </cell>
          <cell r="D1297" t="str">
            <v>Q2CY15</v>
          </cell>
        </row>
        <row r="1298">
          <cell r="B1298" t="str">
            <v>Bayer</v>
          </cell>
          <cell r="C1298" t="str">
            <v>BAY94-9027</v>
          </cell>
          <cell r="D1298" t="str">
            <v>Q3CY16</v>
          </cell>
        </row>
        <row r="1299">
          <cell r="B1299" t="str">
            <v>CSL</v>
          </cell>
          <cell r="C1299" t="str">
            <v>CSL627</v>
          </cell>
          <cell r="D1299" t="str">
            <v>Q1CY17</v>
          </cell>
        </row>
        <row r="1300">
          <cell r="B1300" t="str">
            <v>Novo Nordisk</v>
          </cell>
          <cell r="C1300" t="str">
            <v>N8-GP</v>
          </cell>
          <cell r="D1300" t="str">
            <v>Q1CY18</v>
          </cell>
        </row>
        <row r="1301">
          <cell r="A1301" t="str">
            <v>rFIX</v>
          </cell>
        </row>
        <row r="1302">
          <cell r="A1302" t="str">
            <v>Current</v>
          </cell>
          <cell r="B1302" t="str">
            <v>Manufacturer</v>
          </cell>
          <cell r="C1302" t="str">
            <v>Product</v>
          </cell>
          <cell r="D1302" t="str">
            <v>Launch</v>
          </cell>
        </row>
        <row r="1303">
          <cell r="B1303" t="str">
            <v>Pfizer</v>
          </cell>
          <cell r="C1303" t="str">
            <v>BeneFIX</v>
          </cell>
          <cell r="D1303" t="str">
            <v>Marketed</v>
          </cell>
        </row>
        <row r="1304">
          <cell r="A1304" t="str">
            <v>Future/New</v>
          </cell>
          <cell r="B1304" t="str">
            <v>Manufacturer</v>
          </cell>
          <cell r="C1304" t="str">
            <v>Product</v>
          </cell>
          <cell r="D1304" t="str">
            <v>Launch</v>
          </cell>
        </row>
        <row r="1305">
          <cell r="B1305" t="str">
            <v>Biogen-Idec</v>
          </cell>
          <cell r="C1305" t="str">
            <v>Alprolix</v>
          </cell>
          <cell r="D1305" t="str">
            <v>Q2CY14</v>
          </cell>
        </row>
        <row r="1306">
          <cell r="B1306" t="str">
            <v>Baxter</v>
          </cell>
          <cell r="C1306" t="str">
            <v>Rixubis</v>
          </cell>
          <cell r="D1306" t="str">
            <v>Q3CY13</v>
          </cell>
        </row>
        <row r="1307">
          <cell r="B1307" t="str">
            <v>CSL</v>
          </cell>
          <cell r="C1307" t="str">
            <v>CSL654</v>
          </cell>
          <cell r="D1307" t="str">
            <v>Q4CY16</v>
          </cell>
        </row>
        <row r="1308">
          <cell r="B1308" t="str">
            <v>Novo Nordisk</v>
          </cell>
          <cell r="C1308" t="str">
            <v>N9-GP</v>
          </cell>
          <cell r="D1308" t="str">
            <v>Q4CY16</v>
          </cell>
        </row>
        <row r="1313">
          <cell r="A1313" t="str">
            <v>Scenario analysis</v>
          </cell>
          <cell r="D1313" t="str">
            <v>F15E</v>
          </cell>
          <cell r="E1313" t="str">
            <v>F16E</v>
          </cell>
          <cell r="F1313" t="str">
            <v>F17E</v>
          </cell>
          <cell r="G1313" t="str">
            <v>F18E</v>
          </cell>
          <cell r="H1313" t="str">
            <v>F19E</v>
          </cell>
        </row>
        <row r="1314">
          <cell r="A1314" t="str">
            <v>EPS</v>
          </cell>
          <cell r="B1314" t="str">
            <v>US$</v>
          </cell>
          <cell r="C1314" t="str">
            <v>-</v>
          </cell>
          <cell r="D1314">
            <v>2.94</v>
          </cell>
          <cell r="E1314">
            <v>2.96</v>
          </cell>
          <cell r="F1314">
            <v>3.17</v>
          </cell>
          <cell r="G1314">
            <v>3.69</v>
          </cell>
          <cell r="H1314">
            <v>4.34</v>
          </cell>
        </row>
        <row r="1315">
          <cell r="A1315" t="str">
            <v>Scenario 1 (vWF)</v>
          </cell>
          <cell r="B1315" t="str">
            <v>US$</v>
          </cell>
          <cell r="C1315" t="str">
            <v>-</v>
          </cell>
          <cell r="D1315">
            <v>2.94</v>
          </cell>
          <cell r="E1315">
            <v>2.8948800000000001</v>
          </cell>
          <cell r="F1315">
            <v>3.0495399999999999</v>
          </cell>
          <cell r="G1315">
            <v>3.5091899999999998</v>
          </cell>
          <cell r="H1315">
            <v>4.0926199999999993</v>
          </cell>
        </row>
        <row r="1316">
          <cell r="A1316" t="str">
            <v>Change</v>
          </cell>
          <cell r="B1316" t="str">
            <v>%</v>
          </cell>
          <cell r="C1316" t="str">
            <v>-</v>
          </cell>
          <cell r="D1316">
            <v>0</v>
          </cell>
          <cell r="E1316">
            <v>-2.1999999999999999E-2</v>
          </cell>
          <cell r="F1316">
            <v>-3.7999999999999999E-2</v>
          </cell>
          <cell r="G1316">
            <v>-4.9000000000000002E-2</v>
          </cell>
          <cell r="H1316">
            <v>-5.7000000000000002E-2</v>
          </cell>
        </row>
        <row r="1317">
          <cell r="A1317" t="str">
            <v>Scenario 2 (Eu displacement)</v>
          </cell>
          <cell r="B1317" t="str">
            <v>US$</v>
          </cell>
          <cell r="C1317" t="str">
            <v>-</v>
          </cell>
          <cell r="D1317">
            <v>2.94</v>
          </cell>
          <cell r="E1317">
            <v>2.6196000000000002</v>
          </cell>
          <cell r="F1317">
            <v>2.7737499999999997</v>
          </cell>
          <cell r="G1317">
            <v>3.2139899999999999</v>
          </cell>
          <cell r="H1317">
            <v>3.8061799999999999</v>
          </cell>
        </row>
        <row r="1318">
          <cell r="A1318" t="str">
            <v>Change</v>
          </cell>
          <cell r="B1318" t="str">
            <v>%</v>
          </cell>
          <cell r="C1318" t="str">
            <v>-</v>
          </cell>
          <cell r="D1318">
            <v>0</v>
          </cell>
          <cell r="E1318">
            <v>-0.115</v>
          </cell>
          <cell r="F1318">
            <v>-0.125</v>
          </cell>
          <cell r="G1318">
            <v>-0.129</v>
          </cell>
          <cell r="H1318">
            <v>-0.123</v>
          </cell>
        </row>
        <row r="1321">
          <cell r="C1321" t="str">
            <v>ASP</v>
          </cell>
          <cell r="D1321" t="str">
            <v>F15E</v>
          </cell>
          <cell r="E1321" t="str">
            <v>F16E</v>
          </cell>
          <cell r="F1321" t="str">
            <v>F17E</v>
          </cell>
          <cell r="G1321" t="str">
            <v>F18E</v>
          </cell>
          <cell r="H1321" t="str">
            <v>F19E</v>
          </cell>
        </row>
        <row r="1322">
          <cell r="C1322">
            <v>0</v>
          </cell>
          <cell r="D1322">
            <v>2.94</v>
          </cell>
          <cell r="E1322">
            <v>2.96</v>
          </cell>
          <cell r="F1322">
            <v>3.17</v>
          </cell>
          <cell r="G1322">
            <v>3.69</v>
          </cell>
          <cell r="H1322">
            <v>4.34</v>
          </cell>
        </row>
        <row r="1323">
          <cell r="C1323">
            <v>-0.1</v>
          </cell>
          <cell r="D1323">
            <v>2.94</v>
          </cell>
          <cell r="E1323">
            <v>2.96</v>
          </cell>
          <cell r="F1323">
            <v>3.14</v>
          </cell>
          <cell r="G1323">
            <v>3.6</v>
          </cell>
          <cell r="H1323">
            <v>4.18</v>
          </cell>
        </row>
        <row r="1324">
          <cell r="C1324">
            <v>-0.2</v>
          </cell>
          <cell r="D1324">
            <v>2.94</v>
          </cell>
          <cell r="E1324">
            <v>2.95</v>
          </cell>
          <cell r="F1324">
            <v>3.11</v>
          </cell>
          <cell r="G1324">
            <v>3.5</v>
          </cell>
          <cell r="H1324">
            <v>4.0199999999999996</v>
          </cell>
        </row>
        <row r="1325">
          <cell r="C1325">
            <v>-0.3</v>
          </cell>
          <cell r="D1325">
            <v>2.94</v>
          </cell>
          <cell r="E1325">
            <v>2.95</v>
          </cell>
          <cell r="F1325">
            <v>3.08</v>
          </cell>
          <cell r="G1325">
            <v>3.41</v>
          </cell>
          <cell r="H1325">
            <v>3.8599999999999994</v>
          </cell>
        </row>
        <row r="1326">
          <cell r="C1326">
            <v>-0.4</v>
          </cell>
          <cell r="D1326">
            <v>2.94</v>
          </cell>
          <cell r="E1326">
            <v>2.94</v>
          </cell>
          <cell r="F1326">
            <v>3.05</v>
          </cell>
          <cell r="G1326">
            <v>3.31</v>
          </cell>
          <cell r="H1326">
            <v>3.6999999999999993</v>
          </cell>
        </row>
        <row r="1327">
          <cell r="C1327">
            <v>-0.5</v>
          </cell>
          <cell r="D1327">
            <v>2.94</v>
          </cell>
          <cell r="E1327">
            <v>2.94</v>
          </cell>
          <cell r="F1327">
            <v>3.02</v>
          </cell>
          <cell r="G1327">
            <v>3.22</v>
          </cell>
          <cell r="H1327">
            <v>3.5399999999999991</v>
          </cell>
        </row>
      </sheetData>
      <sheetData sheetId="1"/>
      <sheetData sheetId="2"/>
      <sheetData sheetId="3"/>
      <sheetData sheetId="4">
        <row r="32">
          <cell r="K32">
            <v>68300</v>
          </cell>
        </row>
      </sheetData>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_Template"/>
      <sheetName val="Bear_to_Bull_Data"/>
      <sheetName val="MWA RR"/>
      <sheetName val="Note tables"/>
      <sheetName val="Control"/>
      <sheetName val="Segment"/>
      <sheetName val="Estimate Calcs"/>
      <sheetName val="Model"/>
      <sheetName val="Assumptions"/>
      <sheetName val="SQLTest"/>
      <sheetName val="MW-Cache"/>
      <sheetName val="Summary3f"/>
      <sheetName val="MWA ROE"/>
      <sheetName val="Lookups"/>
      <sheetName val="Behring Reconciliation"/>
      <sheetName val="Next-Gen Coag"/>
      <sheetName val="mwareDates"/>
      <sheetName val="mwareSettings"/>
    </sheetNames>
    <sheetDataSet>
      <sheetData sheetId="0" refreshError="1"/>
      <sheetData sheetId="1" refreshError="1"/>
      <sheetData sheetId="2" refreshError="1"/>
      <sheetData sheetId="3" refreshError="1">
        <row r="5">
          <cell r="AN5" t="str">
            <v>Group</v>
          </cell>
          <cell r="AP5" t="str">
            <v>1h18A</v>
          </cell>
          <cell r="AQ5" t="str">
            <v>1h18 MSe</v>
          </cell>
          <cell r="AR5" t="str">
            <v>vs. MSe</v>
          </cell>
          <cell r="AS5" t="str">
            <v>1h18  Cons.</v>
          </cell>
          <cell r="AT5" t="str">
            <v>vs. Cons</v>
          </cell>
        </row>
        <row r="6">
          <cell r="AN6" t="str">
            <v>Revenue</v>
          </cell>
          <cell r="AO6" t="str">
            <v>US$mn</v>
          </cell>
          <cell r="AP6">
            <v>4147</v>
          </cell>
          <cell r="AQ6">
            <v>0</v>
          </cell>
          <cell r="AR6" t="e">
            <v>#DIV/0!</v>
          </cell>
          <cell r="AS6">
            <v>6873</v>
          </cell>
          <cell r="AT6">
            <v>-0.3966244725738397</v>
          </cell>
        </row>
        <row r="7">
          <cell r="AN7" t="str">
            <v>growth pcp</v>
          </cell>
          <cell r="AO7" t="str">
            <v>%</v>
          </cell>
          <cell r="AP7" t="e">
            <v>#DIV/0!</v>
          </cell>
          <cell r="AQ7">
            <v>0.12790387132176664</v>
          </cell>
          <cell r="AS7" t="e">
            <v>#DIV/0!</v>
          </cell>
        </row>
        <row r="9">
          <cell r="AN9" t="str">
            <v>Behring</v>
          </cell>
        </row>
        <row r="10">
          <cell r="AN10" t="str">
            <v>Revenue</v>
          </cell>
          <cell r="AO10" t="str">
            <v>US$mn</v>
          </cell>
          <cell r="AP10">
            <v>3355.5</v>
          </cell>
          <cell r="AQ10">
            <v>3355.6385829144756</v>
          </cell>
          <cell r="AR10">
            <v>-4.1298522189259224E-5</v>
          </cell>
        </row>
        <row r="11">
          <cell r="AN11" t="str">
            <v>growth pcp</v>
          </cell>
          <cell r="AO11" t="str">
            <v>%</v>
          </cell>
          <cell r="AP11">
            <v>9.7824308849991937E-2</v>
          </cell>
          <cell r="AQ11">
            <v>9.7869649244062273E-2</v>
          </cell>
        </row>
        <row r="13">
          <cell r="AN13" t="str">
            <v>Seqirus</v>
          </cell>
        </row>
        <row r="14">
          <cell r="AN14" t="str">
            <v>Revenue</v>
          </cell>
          <cell r="AO14" t="str">
            <v>US$mn</v>
          </cell>
          <cell r="AP14">
            <v>791</v>
          </cell>
          <cell r="AQ14">
            <v>791.09999999999991</v>
          </cell>
          <cell r="AR14">
            <v>-1.2640626975091163E-4</v>
          </cell>
        </row>
        <row r="15">
          <cell r="AN15" t="str">
            <v>growth pcp</v>
          </cell>
          <cell r="AO15" t="str">
            <v>%</v>
          </cell>
          <cell r="AP15">
            <v>0.27580645161290285</v>
          </cell>
          <cell r="AQ15">
            <v>0.27596774193548335</v>
          </cell>
        </row>
        <row r="17">
          <cell r="AN17" t="str">
            <v>EBIT</v>
          </cell>
          <cell r="AO17" t="str">
            <v>US$mn</v>
          </cell>
          <cell r="AP17">
            <v>1476</v>
          </cell>
          <cell r="AQ17">
            <v>1421.3999999999999</v>
          </cell>
          <cell r="AR17">
            <v>3.8412832418742271E-2</v>
          </cell>
          <cell r="AS17">
            <v>1868</v>
          </cell>
          <cell r="AT17">
            <v>-0.20985010706638119</v>
          </cell>
        </row>
        <row r="18">
          <cell r="AN18" t="str">
            <v xml:space="preserve">margin </v>
          </cell>
          <cell r="AO18" t="str">
            <v>%</v>
          </cell>
          <cell r="AP18">
            <v>0.3559199421268387</v>
          </cell>
          <cell r="AQ18" t="e">
            <v>#DIV/0!</v>
          </cell>
          <cell r="AS18">
            <v>0.27178815655463406</v>
          </cell>
        </row>
        <row r="20">
          <cell r="AN20" t="str">
            <v>NPAT</v>
          </cell>
          <cell r="AO20" t="str">
            <v>US$mn</v>
          </cell>
          <cell r="AP20">
            <v>1086</v>
          </cell>
          <cell r="AQ20">
            <v>1424.1</v>
          </cell>
          <cell r="AR20">
            <v>-0.23741310301242891</v>
          </cell>
          <cell r="AS20">
            <v>1353</v>
          </cell>
          <cell r="AT20">
            <v>-0.19733924611973397</v>
          </cell>
        </row>
        <row r="21">
          <cell r="AN21" t="str">
            <v>growth pcp</v>
          </cell>
          <cell r="AO21" t="str">
            <v>%</v>
          </cell>
          <cell r="AP21">
            <v>2.7922385234264047E-2</v>
          </cell>
          <cell r="AQ21">
            <v>0.34794131566493131</v>
          </cell>
          <cell r="AS21">
            <v>1.1032177833048347</v>
          </cell>
        </row>
        <row r="23">
          <cell r="AN23" t="str">
            <v>EPS</v>
          </cell>
          <cell r="AO23" t="str">
            <v>US¢</v>
          </cell>
          <cell r="AP23">
            <v>239</v>
          </cell>
          <cell r="AQ23">
            <v>299.0773190641915</v>
          </cell>
          <cell r="AR23">
            <v>-0.20087554366266402</v>
          </cell>
          <cell r="AS23">
            <v>297.7</v>
          </cell>
          <cell r="AT23">
            <v>-0.19717836748404427</v>
          </cell>
        </row>
        <row r="24">
          <cell r="AN24" t="str">
            <v>growth pcp</v>
          </cell>
          <cell r="AO24" t="str">
            <v>%</v>
          </cell>
          <cell r="AP24">
            <v>7.6278341448178022E-2</v>
          </cell>
          <cell r="AQ24">
            <v>0.35692149243943549</v>
          </cell>
          <cell r="AS24">
            <v>1.2020068916788431</v>
          </cell>
        </row>
        <row r="26">
          <cell r="AN26" t="str">
            <v xml:space="preserve">DPS </v>
          </cell>
          <cell r="AO26" t="str">
            <v>US¢</v>
          </cell>
          <cell r="AP26">
            <v>79</v>
          </cell>
          <cell r="AQ26">
            <v>99.13978668922627</v>
          </cell>
          <cell r="AR26">
            <v>-0.20314535023520386</v>
          </cell>
          <cell r="AS26">
            <v>141.4</v>
          </cell>
          <cell r="AT26">
            <v>-0.44130127298444133</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ts &amp; Tables"/>
      <sheetName val="Latex"/>
      <sheetName val="Valuation Metrics"/>
      <sheetName val="Competitor Financials"/>
      <sheetName val="Sheet1"/>
      <sheetName val="Sheet2"/>
      <sheetName val="Sheet3"/>
      <sheetName val="Guidance"/>
    </sheetNames>
    <sheetDataSet>
      <sheetData sheetId="0">
        <row r="2">
          <cell r="A2" t="str">
            <v>Manufacturing &amp; Assembly</v>
          </cell>
        </row>
        <row r="136">
          <cell r="AF136" t="str">
            <v>Market Size (US$mn)</v>
          </cell>
          <cell r="AG136" t="str">
            <v>Market growth (%) 2012-2017*</v>
          </cell>
        </row>
        <row r="137">
          <cell r="AE137" t="str">
            <v>Industrial</v>
          </cell>
          <cell r="AF137">
            <v>435</v>
          </cell>
          <cell r="AG137" t="str">
            <v>~3%</v>
          </cell>
        </row>
        <row r="138">
          <cell r="AE138" t="str">
            <v>Life Sciences</v>
          </cell>
          <cell r="AF138">
            <v>229</v>
          </cell>
          <cell r="AG138" t="str">
            <v>2-3%</v>
          </cell>
        </row>
        <row r="139">
          <cell r="AE139" t="str">
            <v>Dental</v>
          </cell>
          <cell r="AF139">
            <v>237</v>
          </cell>
          <cell r="AG139" t="str">
            <v>3-4%</v>
          </cell>
        </row>
        <row r="140">
          <cell r="AE140" t="str">
            <v>Automotive Aftermarket</v>
          </cell>
          <cell r="AF140">
            <v>75</v>
          </cell>
          <cell r="AG140" t="str">
            <v>4-5%</v>
          </cell>
        </row>
        <row r="141">
          <cell r="AE141" t="str">
            <v>EMS</v>
          </cell>
          <cell r="AF141">
            <v>75</v>
          </cell>
          <cell r="AG141" t="str">
            <v>~3%</v>
          </cell>
        </row>
        <row r="1170">
          <cell r="J1170" t="str">
            <v>Interest cost</v>
          </cell>
          <cell r="K1170" t="str">
            <v>Shares bought back</v>
          </cell>
          <cell r="L1170"/>
        </row>
        <row r="1171">
          <cell r="K1171">
            <v>13.09</v>
          </cell>
        </row>
        <row r="1172">
          <cell r="J1172">
            <v>0.03</v>
          </cell>
          <cell r="K1172">
            <v>6.4000000000000001E-2</v>
          </cell>
        </row>
        <row r="1173">
          <cell r="J1173">
            <v>0.04</v>
          </cell>
          <cell r="K1173">
            <v>4.8000000000000001E-2</v>
          </cell>
        </row>
        <row r="1174">
          <cell r="J1174">
            <v>0.05</v>
          </cell>
          <cell r="K1174">
            <v>3.2000000000000001E-2</v>
          </cell>
        </row>
      </sheetData>
      <sheetData sheetId="1">
        <row r="1">
          <cell r="A1" t="str">
            <v>Daily Pricing</v>
          </cell>
        </row>
      </sheetData>
      <sheetData sheetId="2">
        <row r="1">
          <cell r="A1" t="str">
            <v>International Comps</v>
          </cell>
        </row>
      </sheetData>
      <sheetData sheetId="3">
        <row r="1">
          <cell r="A1" t="str">
            <v>Sperian</v>
          </cell>
        </row>
      </sheetData>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3B3C7-80A8-4B86-8B53-75B2C817EF7E}">
  <sheetPr codeName="Sheet1"/>
  <dimension ref="A1:H443"/>
  <sheetViews>
    <sheetView showGridLines="0" tabSelected="1" workbookViewId="0">
      <selection activeCell="J16" sqref="J16"/>
    </sheetView>
  </sheetViews>
  <sheetFormatPr defaultRowHeight="12.75"/>
  <sheetData>
    <row r="1" spans="1:8" ht="23.25" customHeight="1">
      <c r="A1" s="1920"/>
      <c r="B1" s="1917"/>
      <c r="C1" s="1917"/>
      <c r="D1" s="1917"/>
      <c r="E1" s="1917"/>
      <c r="F1" s="1917"/>
      <c r="G1" s="1917"/>
      <c r="H1" s="1917"/>
    </row>
    <row r="2" spans="1:8">
      <c r="A2" s="1915" t="s">
        <v>1075</v>
      </c>
      <c r="B2" s="1917"/>
      <c r="C2" s="1917"/>
      <c r="D2" s="1917"/>
      <c r="E2" s="1917"/>
      <c r="F2" s="1917"/>
      <c r="G2" s="1917"/>
      <c r="H2" s="1917"/>
    </row>
    <row r="3" spans="1:8">
      <c r="A3" s="1915" t="s">
        <v>1076</v>
      </c>
      <c r="B3" s="1917"/>
      <c r="C3" s="1917"/>
      <c r="D3" s="1917"/>
      <c r="E3" s="1917"/>
      <c r="F3" s="1917"/>
      <c r="G3" s="1917"/>
      <c r="H3" s="1917"/>
    </row>
    <row r="4" spans="1:8">
      <c r="A4" s="1915" t="s">
        <v>1077</v>
      </c>
      <c r="B4" s="1917"/>
      <c r="C4" s="1917"/>
      <c r="D4" s="1917"/>
      <c r="E4" s="1917"/>
      <c r="F4" s="1917"/>
      <c r="G4" s="1917"/>
      <c r="H4" s="1917"/>
    </row>
    <row r="5" spans="1:8">
      <c r="A5" s="1915" t="s">
        <v>1078</v>
      </c>
      <c r="B5" s="1917"/>
      <c r="C5" s="1917"/>
      <c r="D5" s="1917"/>
      <c r="E5" s="1917"/>
      <c r="F5" s="1917"/>
      <c r="G5" s="1917"/>
      <c r="H5" s="1917"/>
    </row>
    <row r="6" spans="1:8">
      <c r="A6" s="1915"/>
      <c r="B6" s="1917"/>
      <c r="C6" s="1917"/>
      <c r="D6" s="1917"/>
      <c r="E6" s="1917"/>
      <c r="F6" s="1917"/>
      <c r="G6" s="1917"/>
      <c r="H6" s="1917"/>
    </row>
    <row r="7" spans="1:8">
      <c r="A7" s="1915" t="s">
        <v>1079</v>
      </c>
      <c r="B7" s="1917"/>
      <c r="C7" s="1917"/>
      <c r="D7" s="1917"/>
      <c r="E7" s="1917"/>
      <c r="F7" s="1917"/>
      <c r="G7" s="1917"/>
      <c r="H7" s="1917"/>
    </row>
    <row r="8" spans="1:8">
      <c r="A8" s="1915" t="s">
        <v>1080</v>
      </c>
      <c r="B8" s="1917"/>
      <c r="C8" s="1917"/>
      <c r="D8" s="1917"/>
      <c r="E8" s="1917"/>
      <c r="F8" s="1917"/>
      <c r="G8" s="1917"/>
      <c r="H8" s="1917"/>
    </row>
    <row r="9" spans="1:8">
      <c r="A9" s="1915"/>
      <c r="B9" s="1917"/>
      <c r="C9" s="1917"/>
      <c r="D9" s="1917"/>
      <c r="E9" s="1917"/>
      <c r="F9" s="1917"/>
      <c r="G9" s="1917"/>
      <c r="H9" s="1917"/>
    </row>
    <row r="10" spans="1:8">
      <c r="A10" s="1915" t="s">
        <v>1081</v>
      </c>
      <c r="B10" s="1917"/>
      <c r="C10" s="1917"/>
      <c r="D10" s="1917"/>
      <c r="E10" s="1917"/>
      <c r="F10" s="1917"/>
      <c r="G10" s="1917"/>
      <c r="H10" s="1917"/>
    </row>
    <row r="11" spans="1:8">
      <c r="A11" s="1915" t="s">
        <v>1082</v>
      </c>
      <c r="B11" s="1917"/>
      <c r="C11" s="1917"/>
      <c r="D11" s="1917"/>
      <c r="E11" s="1917"/>
      <c r="F11" s="1917"/>
      <c r="G11" s="1917"/>
      <c r="H11" s="1917"/>
    </row>
    <row r="12" spans="1:8">
      <c r="A12" s="1915" t="s">
        <v>1083</v>
      </c>
      <c r="B12" s="1917"/>
      <c r="C12" s="1917"/>
      <c r="D12" s="1917"/>
      <c r="E12" s="1917"/>
      <c r="F12" s="1917"/>
      <c r="G12" s="1917"/>
      <c r="H12" s="1917"/>
    </row>
    <row r="13" spans="1:8">
      <c r="A13" s="1915" t="s">
        <v>1084</v>
      </c>
      <c r="B13" s="1917"/>
      <c r="C13" s="1917"/>
      <c r="D13" s="1917"/>
      <c r="E13" s="1917"/>
      <c r="F13" s="1917"/>
      <c r="G13" s="1917"/>
      <c r="H13" s="1917"/>
    </row>
    <row r="14" spans="1:8">
      <c r="A14" s="1915" t="s">
        <v>1496</v>
      </c>
      <c r="B14" s="1917"/>
      <c r="C14" s="1917"/>
      <c r="D14" s="1917"/>
      <c r="E14" s="1917"/>
      <c r="F14" s="1917"/>
      <c r="G14" s="1917"/>
      <c r="H14" s="1917"/>
    </row>
    <row r="15" spans="1:8">
      <c r="A15" s="1915" t="s">
        <v>1085</v>
      </c>
      <c r="B15" s="1917"/>
      <c r="C15" s="1917"/>
      <c r="D15" s="1917"/>
      <c r="E15" s="1917"/>
      <c r="F15" s="1917"/>
      <c r="G15" s="1917"/>
      <c r="H15" s="1917"/>
    </row>
    <row r="16" spans="1:8">
      <c r="A16" s="1915"/>
      <c r="B16" s="1917"/>
      <c r="C16" s="1917"/>
      <c r="D16" s="1917"/>
      <c r="E16" s="1917"/>
      <c r="F16" s="1917"/>
      <c r="G16" s="1917"/>
      <c r="H16" s="1917"/>
    </row>
    <row r="17" spans="1:8">
      <c r="A17" s="1915" t="s">
        <v>1086</v>
      </c>
      <c r="B17" s="1917"/>
      <c r="C17" s="1917"/>
      <c r="D17" s="1917"/>
      <c r="E17" s="1917"/>
      <c r="F17" s="1917"/>
      <c r="G17" s="1917"/>
      <c r="H17" s="1917"/>
    </row>
    <row r="18" spans="1:8">
      <c r="A18" s="1915"/>
      <c r="B18" s="1917"/>
      <c r="C18" s="1917"/>
      <c r="D18" s="1917"/>
      <c r="E18" s="1917"/>
      <c r="F18" s="1917"/>
      <c r="G18" s="1917"/>
      <c r="H18" s="1917"/>
    </row>
    <row r="19" spans="1:8">
      <c r="A19" s="1915" t="s">
        <v>1087</v>
      </c>
      <c r="B19" s="1917"/>
      <c r="C19" s="1917"/>
      <c r="D19" s="1917"/>
      <c r="E19" s="1917"/>
      <c r="F19" s="1917"/>
      <c r="G19" s="1917"/>
      <c r="H19" s="1917"/>
    </row>
    <row r="20" spans="1:8">
      <c r="A20" s="1915"/>
      <c r="B20" s="1917"/>
      <c r="C20" s="1917"/>
      <c r="D20" s="1917"/>
      <c r="E20" s="1917"/>
      <c r="F20" s="1917"/>
      <c r="G20" s="1917"/>
      <c r="H20" s="1917"/>
    </row>
    <row r="21" spans="1:8">
      <c r="A21" s="1916" t="s">
        <v>1088</v>
      </c>
      <c r="B21" s="1917"/>
      <c r="C21" s="1917"/>
      <c r="D21" s="1917"/>
      <c r="E21" s="1917"/>
      <c r="F21" s="1917"/>
      <c r="G21" s="1917"/>
      <c r="H21" s="1917"/>
    </row>
    <row r="22" spans="1:8">
      <c r="A22" s="1917"/>
      <c r="B22" s="1917"/>
      <c r="C22" s="1917"/>
      <c r="D22" s="1917"/>
      <c r="E22" s="1917"/>
      <c r="F22" s="1917"/>
      <c r="G22" s="1917"/>
      <c r="H22" s="1917"/>
    </row>
    <row r="23" spans="1:8">
      <c r="A23" s="1917" t="s">
        <v>1089</v>
      </c>
      <c r="B23" s="1917"/>
      <c r="C23" s="1917"/>
      <c r="D23" s="1917"/>
      <c r="E23" s="1917"/>
      <c r="F23" s="1917"/>
      <c r="G23" s="1917"/>
      <c r="H23" s="1917"/>
    </row>
    <row r="24" spans="1:8">
      <c r="A24" s="1917" t="s">
        <v>1090</v>
      </c>
      <c r="B24" s="1917"/>
      <c r="C24" s="1917"/>
      <c r="D24" s="1917"/>
      <c r="E24" s="1917"/>
      <c r="F24" s="1917"/>
      <c r="G24" s="1917"/>
      <c r="H24" s="1917"/>
    </row>
    <row r="25" spans="1:8">
      <c r="A25" s="1917" t="s">
        <v>1091</v>
      </c>
      <c r="B25" s="1917"/>
      <c r="C25" s="1917"/>
      <c r="D25" s="1917"/>
      <c r="E25" s="1917"/>
      <c r="F25" s="1917"/>
      <c r="G25" s="1917"/>
      <c r="H25" s="1917"/>
    </row>
    <row r="26" spans="1:8">
      <c r="A26" s="1917" t="s">
        <v>1092</v>
      </c>
      <c r="B26" s="1917"/>
      <c r="C26" s="1917"/>
      <c r="D26" s="1917"/>
      <c r="E26" s="1917"/>
      <c r="F26" s="1917"/>
      <c r="G26" s="1917"/>
      <c r="H26" s="1917"/>
    </row>
    <row r="27" spans="1:8">
      <c r="A27" s="1917"/>
      <c r="B27" s="1917"/>
      <c r="C27" s="1917"/>
      <c r="D27" s="1917"/>
      <c r="E27" s="1917"/>
      <c r="F27" s="1917"/>
      <c r="G27" s="1917"/>
      <c r="H27" s="1917"/>
    </row>
    <row r="28" spans="1:8">
      <c r="A28" s="1917" t="s">
        <v>1093</v>
      </c>
      <c r="B28" s="1917"/>
      <c r="C28" s="1917"/>
      <c r="D28" s="1917"/>
      <c r="E28" s="1917"/>
      <c r="F28" s="1917"/>
      <c r="G28" s="1917"/>
      <c r="H28" s="1917"/>
    </row>
    <row r="29" spans="1:8">
      <c r="A29" s="1917" t="s">
        <v>1094</v>
      </c>
      <c r="B29" s="1917"/>
      <c r="C29" s="1917"/>
      <c r="D29" s="1917"/>
      <c r="E29" s="1917"/>
      <c r="F29" s="1917"/>
      <c r="G29" s="1917"/>
      <c r="H29" s="1917"/>
    </row>
    <row r="30" spans="1:8">
      <c r="A30" s="1917" t="s">
        <v>1095</v>
      </c>
      <c r="B30" s="1917"/>
      <c r="C30" s="1917"/>
      <c r="D30" s="1917"/>
      <c r="E30" s="1917"/>
      <c r="F30" s="1917"/>
      <c r="G30" s="1917"/>
      <c r="H30" s="1917"/>
    </row>
    <row r="31" spans="1:8">
      <c r="A31" s="1917" t="s">
        <v>1096</v>
      </c>
      <c r="B31" s="1917"/>
      <c r="C31" s="1917"/>
      <c r="D31" s="1917"/>
      <c r="E31" s="1917"/>
      <c r="F31" s="1917"/>
      <c r="G31" s="1917"/>
      <c r="H31" s="1917"/>
    </row>
    <row r="32" spans="1:8">
      <c r="A32" s="1917" t="s">
        <v>1097</v>
      </c>
      <c r="B32" s="1917"/>
      <c r="C32" s="1917"/>
      <c r="D32" s="1917"/>
      <c r="E32" s="1917"/>
      <c r="F32" s="1917"/>
      <c r="G32" s="1917"/>
      <c r="H32" s="1917"/>
    </row>
    <row r="33" spans="1:8">
      <c r="A33" s="1917" t="s">
        <v>1098</v>
      </c>
      <c r="B33" s="1917"/>
      <c r="C33" s="1917"/>
      <c r="D33" s="1917"/>
      <c r="E33" s="1917"/>
      <c r="F33" s="1917"/>
      <c r="G33" s="1917"/>
      <c r="H33" s="1917"/>
    </row>
    <row r="34" spans="1:8">
      <c r="A34" s="1917" t="s">
        <v>1099</v>
      </c>
      <c r="B34" s="1917"/>
      <c r="C34" s="1917"/>
      <c r="D34" s="1917"/>
      <c r="E34" s="1917"/>
      <c r="F34" s="1917"/>
      <c r="G34" s="1917"/>
      <c r="H34" s="1917"/>
    </row>
    <row r="35" spans="1:8">
      <c r="A35" s="1917" t="s">
        <v>1100</v>
      </c>
      <c r="B35" s="1917"/>
      <c r="C35" s="1917"/>
      <c r="D35" s="1917"/>
      <c r="E35" s="1917"/>
      <c r="F35" s="1917"/>
      <c r="G35" s="1917"/>
      <c r="H35" s="1917"/>
    </row>
    <row r="36" spans="1:8">
      <c r="A36" s="1917" t="s">
        <v>1101</v>
      </c>
      <c r="B36" s="1917"/>
      <c r="C36" s="1917"/>
      <c r="D36" s="1917"/>
      <c r="E36" s="1917"/>
      <c r="F36" s="1917"/>
      <c r="G36" s="1917"/>
      <c r="H36" s="1917"/>
    </row>
    <row r="37" spans="1:8">
      <c r="A37" s="1917" t="s">
        <v>1102</v>
      </c>
      <c r="B37" s="1917"/>
      <c r="C37" s="1917"/>
      <c r="D37" s="1917"/>
      <c r="E37" s="1917"/>
      <c r="F37" s="1917"/>
      <c r="G37" s="1917"/>
      <c r="H37" s="1917"/>
    </row>
    <row r="38" spans="1:8">
      <c r="A38" s="1917" t="s">
        <v>1103</v>
      </c>
      <c r="B38" s="1917"/>
      <c r="C38" s="1917"/>
      <c r="D38" s="1917"/>
      <c r="E38" s="1917"/>
      <c r="F38" s="1917"/>
      <c r="G38" s="1917"/>
      <c r="H38" s="1917"/>
    </row>
    <row r="39" spans="1:8">
      <c r="A39" s="1917" t="s">
        <v>1104</v>
      </c>
      <c r="B39" s="1917"/>
      <c r="C39" s="1917"/>
      <c r="D39" s="1917"/>
      <c r="E39" s="1917"/>
      <c r="F39" s="1917"/>
      <c r="G39" s="1917"/>
      <c r="H39" s="1917"/>
    </row>
    <row r="40" spans="1:8">
      <c r="A40" s="1917" t="s">
        <v>1105</v>
      </c>
      <c r="B40" s="1917"/>
      <c r="C40" s="1917"/>
      <c r="D40" s="1917"/>
      <c r="E40" s="1917"/>
      <c r="F40" s="1917"/>
      <c r="G40" s="1917"/>
      <c r="H40" s="1917"/>
    </row>
    <row r="41" spans="1:8">
      <c r="A41" s="1917" t="s">
        <v>1106</v>
      </c>
      <c r="B41" s="1917"/>
      <c r="C41" s="1917"/>
      <c r="D41" s="1917"/>
      <c r="E41" s="1917"/>
      <c r="F41" s="1917"/>
      <c r="G41" s="1917"/>
      <c r="H41" s="1917"/>
    </row>
    <row r="42" spans="1:8">
      <c r="A42" s="1917" t="s">
        <v>1107</v>
      </c>
      <c r="B42" s="1917"/>
      <c r="C42" s="1917"/>
      <c r="D42" s="1917"/>
      <c r="E42" s="1917"/>
      <c r="F42" s="1917"/>
      <c r="G42" s="1917"/>
      <c r="H42" s="1917"/>
    </row>
    <row r="43" spans="1:8">
      <c r="A43" s="1917" t="s">
        <v>1108</v>
      </c>
      <c r="B43" s="1917"/>
      <c r="C43" s="1917"/>
      <c r="D43" s="1917"/>
      <c r="E43" s="1917"/>
      <c r="F43" s="1917"/>
      <c r="G43" s="1917"/>
      <c r="H43" s="1917"/>
    </row>
    <row r="44" spans="1:8">
      <c r="A44" s="1917" t="s">
        <v>1109</v>
      </c>
      <c r="B44" s="1917"/>
      <c r="C44" s="1917"/>
      <c r="D44" s="1917"/>
      <c r="E44" s="1917"/>
      <c r="F44" s="1917"/>
      <c r="G44" s="1917"/>
      <c r="H44" s="1917"/>
    </row>
    <row r="45" spans="1:8">
      <c r="A45" s="1917" t="s">
        <v>1110</v>
      </c>
      <c r="B45" s="1917"/>
      <c r="C45" s="1917"/>
      <c r="D45" s="1917"/>
      <c r="E45" s="1917"/>
      <c r="F45" s="1917"/>
      <c r="G45" s="1917"/>
      <c r="H45" s="1917"/>
    </row>
    <row r="46" spans="1:8">
      <c r="A46" s="1917" t="s">
        <v>1111</v>
      </c>
      <c r="B46" s="1917"/>
      <c r="C46" s="1917"/>
      <c r="D46" s="1917"/>
      <c r="E46" s="1917"/>
      <c r="F46" s="1917"/>
      <c r="G46" s="1917"/>
      <c r="H46" s="1917"/>
    </row>
    <row r="47" spans="1:8">
      <c r="A47" s="1917" t="s">
        <v>1112</v>
      </c>
      <c r="B47" s="1917"/>
      <c r="C47" s="1917"/>
      <c r="D47" s="1917"/>
      <c r="E47" s="1917"/>
      <c r="F47" s="1917"/>
      <c r="G47" s="1917"/>
      <c r="H47" s="1917"/>
    </row>
    <row r="48" spans="1:8">
      <c r="A48" s="1917" t="s">
        <v>1113</v>
      </c>
      <c r="B48" s="1917"/>
      <c r="C48" s="1917"/>
      <c r="D48" s="1917"/>
      <c r="E48" s="1917"/>
      <c r="F48" s="1917"/>
      <c r="G48" s="1917"/>
      <c r="H48" s="1917"/>
    </row>
    <row r="49" spans="1:8">
      <c r="A49" s="1917" t="s">
        <v>1114</v>
      </c>
      <c r="B49" s="1917"/>
      <c r="C49" s="1917"/>
      <c r="D49" s="1917"/>
      <c r="E49" s="1917"/>
      <c r="F49" s="1917"/>
      <c r="G49" s="1917"/>
      <c r="H49" s="1917"/>
    </row>
    <row r="50" spans="1:8">
      <c r="A50" s="1917" t="s">
        <v>1115</v>
      </c>
      <c r="B50" s="1917"/>
      <c r="C50" s="1917"/>
      <c r="D50" s="1917"/>
      <c r="E50" s="1917"/>
      <c r="F50" s="1917"/>
      <c r="G50" s="1917"/>
      <c r="H50" s="1917"/>
    </row>
    <row r="51" spans="1:8">
      <c r="A51" s="1917"/>
      <c r="B51" s="1917"/>
      <c r="C51" s="1917"/>
      <c r="D51" s="1917"/>
      <c r="E51" s="1917"/>
      <c r="F51" s="1917"/>
      <c r="G51" s="1917"/>
      <c r="H51" s="1917"/>
    </row>
    <row r="52" spans="1:8">
      <c r="A52" s="1917" t="s">
        <v>1116</v>
      </c>
      <c r="B52" s="1917"/>
      <c r="C52" s="1917"/>
      <c r="D52" s="1917"/>
      <c r="E52" s="1917"/>
      <c r="F52" s="1917"/>
      <c r="G52" s="1917"/>
      <c r="H52" s="1917"/>
    </row>
    <row r="53" spans="1:8">
      <c r="A53" s="1917" t="s">
        <v>1117</v>
      </c>
      <c r="B53" s="1917"/>
      <c r="C53" s="1917"/>
      <c r="D53" s="1917"/>
      <c r="E53" s="1917"/>
      <c r="F53" s="1917"/>
      <c r="G53" s="1917"/>
      <c r="H53" s="1917"/>
    </row>
    <row r="54" spans="1:8">
      <c r="A54" s="1917" t="s">
        <v>1118</v>
      </c>
      <c r="B54" s="1917"/>
      <c r="C54" s="1917"/>
      <c r="D54" s="1917"/>
      <c r="E54" s="1917"/>
      <c r="F54" s="1917"/>
      <c r="G54" s="1917"/>
      <c r="H54" s="1917"/>
    </row>
    <row r="55" spans="1:8">
      <c r="A55" s="1917" t="s">
        <v>1119</v>
      </c>
      <c r="B55" s="1917"/>
      <c r="C55" s="1917"/>
      <c r="D55" s="1917"/>
      <c r="E55" s="1917"/>
      <c r="F55" s="1917"/>
      <c r="G55" s="1917"/>
      <c r="H55" s="1917"/>
    </row>
    <row r="56" spans="1:8">
      <c r="A56" s="1917"/>
      <c r="B56" s="1917"/>
      <c r="C56" s="1917"/>
      <c r="D56" s="1917"/>
      <c r="E56" s="1917"/>
      <c r="F56" s="1917"/>
      <c r="G56" s="1917"/>
      <c r="H56" s="1917"/>
    </row>
    <row r="57" spans="1:8">
      <c r="A57" s="1917" t="s">
        <v>1120</v>
      </c>
      <c r="B57" s="1917"/>
      <c r="C57" s="1917"/>
      <c r="D57" s="1917"/>
      <c r="E57" s="1917"/>
      <c r="F57" s="1917"/>
      <c r="G57" s="1917"/>
      <c r="H57" s="1917"/>
    </row>
    <row r="58" spans="1:8">
      <c r="A58" s="1917" t="s">
        <v>1121</v>
      </c>
      <c r="B58" s="1917"/>
      <c r="C58" s="1917"/>
      <c r="D58" s="1917"/>
      <c r="E58" s="1917"/>
      <c r="F58" s="1917"/>
      <c r="G58" s="1917"/>
      <c r="H58" s="1917"/>
    </row>
    <row r="59" spans="1:8">
      <c r="A59" s="1917" t="s">
        <v>1122</v>
      </c>
      <c r="B59" s="1917"/>
      <c r="C59" s="1917"/>
      <c r="D59" s="1917"/>
      <c r="E59" s="1917"/>
      <c r="F59" s="1917"/>
      <c r="G59" s="1917"/>
      <c r="H59" s="1917"/>
    </row>
    <row r="60" spans="1:8">
      <c r="A60" s="1917" t="s">
        <v>1123</v>
      </c>
      <c r="B60" s="1917"/>
      <c r="C60" s="1917"/>
      <c r="D60" s="1917"/>
      <c r="E60" s="1917"/>
      <c r="F60" s="1917"/>
      <c r="G60" s="1917"/>
      <c r="H60" s="1917"/>
    </row>
    <row r="61" spans="1:8">
      <c r="A61" s="1917" t="s">
        <v>1124</v>
      </c>
      <c r="B61" s="1917"/>
      <c r="C61" s="1917"/>
      <c r="D61" s="1917"/>
      <c r="E61" s="1917"/>
      <c r="F61" s="1917"/>
      <c r="G61" s="1917"/>
      <c r="H61" s="1917"/>
    </row>
    <row r="62" spans="1:8">
      <c r="A62" s="1917" t="s">
        <v>1125</v>
      </c>
      <c r="B62" s="1917"/>
      <c r="C62" s="1917"/>
      <c r="D62" s="1917"/>
      <c r="E62" s="1917"/>
      <c r="F62" s="1917"/>
      <c r="G62" s="1917"/>
      <c r="H62" s="1917"/>
    </row>
    <row r="63" spans="1:8">
      <c r="A63" s="1917"/>
      <c r="B63" s="1917"/>
      <c r="C63" s="1917"/>
      <c r="D63" s="1917"/>
      <c r="E63" s="1917"/>
      <c r="F63" s="1917"/>
      <c r="G63" s="1917"/>
      <c r="H63" s="1917"/>
    </row>
    <row r="64" spans="1:8" ht="15.75">
      <c r="A64" s="1918" t="s">
        <v>1126</v>
      </c>
      <c r="B64" s="1917"/>
      <c r="C64" s="1917"/>
      <c r="D64" s="1917"/>
      <c r="E64" s="1917"/>
      <c r="F64" s="1917"/>
      <c r="G64" s="1917"/>
      <c r="H64" s="1917"/>
    </row>
    <row r="65" spans="1:8">
      <c r="A65" s="1917"/>
      <c r="B65" s="1917"/>
      <c r="C65" s="1917"/>
      <c r="D65" s="1917"/>
      <c r="E65" s="1917"/>
      <c r="F65" s="1917"/>
      <c r="G65" s="1917"/>
      <c r="H65" s="1917"/>
    </row>
    <row r="66" spans="1:8">
      <c r="A66" s="1917" t="s">
        <v>1127</v>
      </c>
      <c r="B66" s="1917"/>
      <c r="C66" s="1917"/>
      <c r="D66" s="1917"/>
      <c r="E66" s="1917"/>
      <c r="F66" s="1917"/>
      <c r="G66" s="1917"/>
      <c r="H66" s="1917"/>
    </row>
    <row r="67" spans="1:8">
      <c r="A67" s="1917" t="s">
        <v>1128</v>
      </c>
      <c r="B67" s="1917"/>
      <c r="C67" s="1917"/>
      <c r="D67" s="1917"/>
      <c r="E67" s="1917"/>
      <c r="F67" s="1917"/>
      <c r="G67" s="1917"/>
      <c r="H67" s="1917"/>
    </row>
    <row r="68" spans="1:8">
      <c r="A68" s="1917" t="s">
        <v>1129</v>
      </c>
      <c r="B68" s="1917"/>
      <c r="C68" s="1917"/>
      <c r="D68" s="1917"/>
      <c r="E68" s="1917"/>
      <c r="F68" s="1917"/>
      <c r="G68" s="1917"/>
      <c r="H68" s="1917"/>
    </row>
    <row r="69" spans="1:8">
      <c r="A69" s="1917" t="s">
        <v>1130</v>
      </c>
      <c r="B69" s="1917"/>
      <c r="C69" s="1917"/>
      <c r="D69" s="1917"/>
      <c r="E69" s="1917"/>
      <c r="F69" s="1917"/>
      <c r="G69" s="1917"/>
      <c r="H69" s="1917"/>
    </row>
    <row r="70" spans="1:8">
      <c r="A70" s="1917"/>
      <c r="B70" s="1917"/>
      <c r="C70" s="1917"/>
      <c r="D70" s="1917"/>
      <c r="E70" s="1917"/>
      <c r="F70" s="1917"/>
      <c r="G70" s="1917"/>
      <c r="H70" s="1917"/>
    </row>
    <row r="71" spans="1:8">
      <c r="A71" s="1917" t="s">
        <v>1131</v>
      </c>
      <c r="B71" s="1917"/>
      <c r="C71" s="1917"/>
      <c r="D71" s="1917"/>
      <c r="E71" s="1917"/>
      <c r="F71" s="1917"/>
      <c r="G71" s="1917"/>
      <c r="H71" s="1917"/>
    </row>
    <row r="72" spans="1:8">
      <c r="A72" s="1917"/>
      <c r="B72" s="1917"/>
      <c r="C72" s="1917"/>
      <c r="D72" s="1917"/>
      <c r="E72" s="1917"/>
      <c r="F72" s="1917"/>
      <c r="G72" s="1917"/>
      <c r="H72" s="1917"/>
    </row>
    <row r="73" spans="1:8" ht="15.75">
      <c r="A73" s="1918" t="s">
        <v>1132</v>
      </c>
      <c r="B73" s="1917"/>
      <c r="C73" s="1917"/>
      <c r="D73" s="1917"/>
      <c r="E73" s="1917"/>
      <c r="F73" s="1917"/>
      <c r="G73" s="1917"/>
      <c r="H73" s="1917"/>
    </row>
    <row r="74" spans="1:8">
      <c r="A74" s="1917"/>
      <c r="B74" s="1917"/>
      <c r="C74" s="1917"/>
      <c r="D74" s="1917"/>
      <c r="E74" s="1917"/>
      <c r="F74" s="1917"/>
      <c r="G74" s="1917"/>
      <c r="H74" s="1917"/>
    </row>
    <row r="75" spans="1:8">
      <c r="A75" s="1917" t="s">
        <v>1133</v>
      </c>
      <c r="B75" s="1917"/>
      <c r="C75" s="1917"/>
      <c r="D75" s="1917"/>
      <c r="E75" s="1917"/>
      <c r="F75" s="1917"/>
      <c r="G75" s="1917"/>
      <c r="H75" s="1917"/>
    </row>
    <row r="76" spans="1:8">
      <c r="A76" s="1917" t="s">
        <v>1134</v>
      </c>
      <c r="B76" s="1917"/>
      <c r="C76" s="1917"/>
      <c r="D76" s="1917"/>
      <c r="E76" s="1917"/>
      <c r="F76" s="1917"/>
      <c r="G76" s="1917"/>
      <c r="H76" s="1917"/>
    </row>
    <row r="77" spans="1:8">
      <c r="A77" s="1917" t="s">
        <v>1135</v>
      </c>
      <c r="B77" s="1917"/>
      <c r="C77" s="1917"/>
      <c r="D77" s="1917"/>
      <c r="E77" s="1917"/>
      <c r="F77" s="1917"/>
      <c r="G77" s="1917"/>
      <c r="H77" s="1917"/>
    </row>
    <row r="78" spans="1:8">
      <c r="A78" s="1917"/>
      <c r="B78" s="1917"/>
      <c r="C78" s="1917"/>
      <c r="D78" s="1917"/>
      <c r="E78" s="1917"/>
      <c r="F78" s="1917"/>
      <c r="G78" s="1917"/>
      <c r="H78" s="1917"/>
    </row>
    <row r="79" spans="1:8" ht="15.75">
      <c r="A79" s="1918" t="s">
        <v>1136</v>
      </c>
      <c r="B79" s="1917"/>
      <c r="C79" s="1917"/>
      <c r="D79" s="1917"/>
      <c r="E79" s="1917"/>
      <c r="F79" s="1917"/>
      <c r="G79" s="1917"/>
      <c r="H79" s="1917"/>
    </row>
    <row r="80" spans="1:8">
      <c r="A80" s="1917"/>
      <c r="B80" s="1917"/>
      <c r="C80" s="1917"/>
      <c r="D80" s="1917"/>
      <c r="E80" s="1917"/>
      <c r="F80" s="1917"/>
      <c r="G80" s="1917"/>
      <c r="H80" s="1917"/>
    </row>
    <row r="81" spans="1:8">
      <c r="A81" s="1917" t="s">
        <v>1137</v>
      </c>
      <c r="B81" s="1917"/>
      <c r="C81" s="1917"/>
      <c r="D81" s="1917"/>
      <c r="E81" s="1917"/>
      <c r="F81" s="1917"/>
      <c r="G81" s="1917"/>
      <c r="H81" s="1917"/>
    </row>
    <row r="82" spans="1:8">
      <c r="A82" s="1917" t="s">
        <v>1138</v>
      </c>
      <c r="B82" s="1917"/>
      <c r="C82" s="1917"/>
      <c r="D82" s="1917"/>
      <c r="E82" s="1917"/>
      <c r="F82" s="1917"/>
      <c r="G82" s="1917"/>
      <c r="H82" s="1917"/>
    </row>
    <row r="83" spans="1:8">
      <c r="A83" s="1917"/>
      <c r="B83" s="1917"/>
      <c r="C83" s="1917"/>
      <c r="D83" s="1917"/>
      <c r="E83" s="1917"/>
      <c r="F83" s="1917"/>
      <c r="G83" s="1917"/>
      <c r="H83" s="1917"/>
    </row>
    <row r="84" spans="1:8">
      <c r="A84" s="1917" t="s">
        <v>1139</v>
      </c>
      <c r="B84" s="1917"/>
      <c r="C84" s="1917"/>
      <c r="D84" s="1917"/>
      <c r="E84" s="1917"/>
      <c r="F84" s="1917"/>
      <c r="G84" s="1917"/>
      <c r="H84" s="1917"/>
    </row>
    <row r="85" spans="1:8">
      <c r="A85" s="1917" t="s">
        <v>1140</v>
      </c>
      <c r="B85" s="1917"/>
      <c r="C85" s="1917"/>
      <c r="D85" s="1917"/>
      <c r="E85" s="1917"/>
      <c r="F85" s="1917"/>
      <c r="G85" s="1917"/>
      <c r="H85" s="1917"/>
    </row>
    <row r="86" spans="1:8">
      <c r="A86" s="1917"/>
      <c r="B86" s="1917"/>
      <c r="C86" s="1917"/>
      <c r="D86" s="1917"/>
      <c r="E86" s="1917"/>
      <c r="F86" s="1917"/>
      <c r="G86" s="1917"/>
      <c r="H86" s="1917"/>
    </row>
    <row r="87" spans="1:8">
      <c r="A87" s="1917" t="s">
        <v>1141</v>
      </c>
      <c r="B87" s="1917"/>
      <c r="C87" s="1917"/>
      <c r="D87" s="1917"/>
      <c r="E87" s="1917"/>
      <c r="F87" s="1917"/>
      <c r="G87" s="1917"/>
      <c r="H87" s="1917"/>
    </row>
    <row r="88" spans="1:8">
      <c r="A88" s="1917" t="s">
        <v>1142</v>
      </c>
      <c r="B88" s="1917"/>
      <c r="C88" s="1917"/>
      <c r="D88" s="1917"/>
      <c r="E88" s="1917"/>
      <c r="F88" s="1917"/>
      <c r="G88" s="1917"/>
      <c r="H88" s="1917"/>
    </row>
    <row r="89" spans="1:8">
      <c r="A89" s="1917"/>
      <c r="B89" s="1917"/>
      <c r="C89" s="1917"/>
      <c r="D89" s="1917"/>
      <c r="E89" s="1917"/>
      <c r="F89" s="1917"/>
      <c r="G89" s="1917"/>
      <c r="H89" s="1917"/>
    </row>
    <row r="90" spans="1:8">
      <c r="A90" s="1917" t="s">
        <v>1143</v>
      </c>
      <c r="B90" s="1917"/>
      <c r="C90" s="1917"/>
      <c r="D90" s="1917"/>
      <c r="E90" s="1917"/>
      <c r="F90" s="1917"/>
      <c r="G90" s="1917"/>
      <c r="H90" s="1917"/>
    </row>
    <row r="91" spans="1:8">
      <c r="A91" s="1917" t="s">
        <v>1144</v>
      </c>
      <c r="B91" s="1917"/>
      <c r="C91" s="1917"/>
      <c r="D91" s="1917"/>
      <c r="E91" s="1917"/>
      <c r="F91" s="1917"/>
      <c r="G91" s="1917"/>
      <c r="H91" s="1917"/>
    </row>
    <row r="92" spans="1:8">
      <c r="A92" s="1917" t="s">
        <v>1145</v>
      </c>
      <c r="B92" s="1917"/>
      <c r="C92" s="1917"/>
      <c r="D92" s="1917"/>
      <c r="E92" s="1917"/>
      <c r="F92" s="1917"/>
      <c r="G92" s="1917"/>
      <c r="H92" s="1917"/>
    </row>
    <row r="93" spans="1:8">
      <c r="A93" s="1917"/>
      <c r="B93" s="1917"/>
      <c r="C93" s="1917"/>
      <c r="D93" s="1917"/>
      <c r="E93" s="1917"/>
      <c r="F93" s="1917"/>
      <c r="G93" s="1917"/>
      <c r="H93" s="1917"/>
    </row>
    <row r="94" spans="1:8">
      <c r="A94" s="1917" t="s">
        <v>1146</v>
      </c>
      <c r="B94" s="1917"/>
      <c r="C94" s="1917"/>
      <c r="D94" s="1917"/>
      <c r="E94" s="1917"/>
      <c r="F94" s="1917"/>
      <c r="G94" s="1917"/>
      <c r="H94" s="1917"/>
    </row>
    <row r="95" spans="1:8">
      <c r="A95" s="1917" t="s">
        <v>1147</v>
      </c>
      <c r="B95" s="1917"/>
      <c r="C95" s="1917"/>
      <c r="D95" s="1917"/>
      <c r="E95" s="1917"/>
      <c r="F95" s="1917"/>
      <c r="G95" s="1917"/>
      <c r="H95" s="1917"/>
    </row>
    <row r="96" spans="1:8">
      <c r="A96" s="1917" t="s">
        <v>1148</v>
      </c>
      <c r="B96" s="1917"/>
      <c r="C96" s="1917"/>
      <c r="D96" s="1917"/>
      <c r="E96" s="1917"/>
      <c r="F96" s="1917"/>
      <c r="G96" s="1917"/>
      <c r="H96" s="1917"/>
    </row>
    <row r="97" spans="1:8">
      <c r="A97" s="1917" t="s">
        <v>1149</v>
      </c>
      <c r="B97" s="1917"/>
      <c r="C97" s="1917"/>
      <c r="D97" s="1917"/>
      <c r="E97" s="1917"/>
      <c r="F97" s="1917"/>
      <c r="G97" s="1917"/>
      <c r="H97" s="1917"/>
    </row>
    <row r="98" spans="1:8">
      <c r="A98" s="1917" t="s">
        <v>1150</v>
      </c>
      <c r="B98" s="1917"/>
      <c r="C98" s="1917"/>
      <c r="D98" s="1917"/>
      <c r="E98" s="1917"/>
      <c r="F98" s="1917"/>
      <c r="G98" s="1917"/>
      <c r="H98" s="1917"/>
    </row>
    <row r="99" spans="1:8">
      <c r="A99" s="1917" t="s">
        <v>1151</v>
      </c>
      <c r="B99" s="1917"/>
      <c r="C99" s="1917"/>
      <c r="D99" s="1917"/>
      <c r="E99" s="1917"/>
      <c r="F99" s="1917"/>
      <c r="G99" s="1917"/>
      <c r="H99" s="1917"/>
    </row>
    <row r="100" spans="1:8">
      <c r="A100" s="1917"/>
      <c r="B100" s="1917"/>
      <c r="C100" s="1917"/>
      <c r="D100" s="1917"/>
      <c r="E100" s="1917"/>
      <c r="F100" s="1917"/>
      <c r="G100" s="1917"/>
      <c r="H100" s="1917"/>
    </row>
    <row r="101" spans="1:8">
      <c r="A101" s="1917" t="s">
        <v>1152</v>
      </c>
      <c r="B101" s="1917"/>
      <c r="C101" s="1917"/>
      <c r="D101" s="1917"/>
      <c r="E101" s="1917"/>
      <c r="F101" s="1917"/>
      <c r="G101" s="1917"/>
      <c r="H101" s="1917"/>
    </row>
    <row r="102" spans="1:8">
      <c r="A102" s="1917" t="s">
        <v>1153</v>
      </c>
      <c r="B102" s="1917"/>
      <c r="C102" s="1917"/>
      <c r="D102" s="1917"/>
      <c r="E102" s="1917"/>
      <c r="F102" s="1917"/>
      <c r="G102" s="1917"/>
      <c r="H102" s="1917"/>
    </row>
    <row r="103" spans="1:8">
      <c r="A103" s="1917" t="s">
        <v>1154</v>
      </c>
      <c r="B103" s="1917"/>
      <c r="C103" s="1917"/>
      <c r="D103" s="1917"/>
      <c r="E103" s="1917"/>
      <c r="F103" s="1917"/>
      <c r="G103" s="1917"/>
      <c r="H103" s="1917"/>
    </row>
    <row r="104" spans="1:8">
      <c r="A104" s="1917" t="s">
        <v>1155</v>
      </c>
      <c r="B104" s="1917"/>
      <c r="C104" s="1917"/>
      <c r="D104" s="1917"/>
      <c r="E104" s="1917"/>
      <c r="F104" s="1917"/>
      <c r="G104" s="1917"/>
      <c r="H104" s="1917"/>
    </row>
    <row r="105" spans="1:8">
      <c r="A105" s="1917" t="s">
        <v>1156</v>
      </c>
      <c r="B105" s="1917"/>
      <c r="C105" s="1917"/>
      <c r="D105" s="1917"/>
      <c r="E105" s="1917"/>
      <c r="F105" s="1917"/>
      <c r="G105" s="1917"/>
      <c r="H105" s="1917"/>
    </row>
    <row r="106" spans="1:8">
      <c r="A106" s="1917" t="s">
        <v>1157</v>
      </c>
      <c r="B106" s="1917"/>
      <c r="C106" s="1917"/>
      <c r="D106" s="1917"/>
      <c r="E106" s="1917"/>
      <c r="F106" s="1917"/>
      <c r="G106" s="1917"/>
      <c r="H106" s="1917"/>
    </row>
    <row r="107" spans="1:8">
      <c r="A107" s="1917" t="s">
        <v>1158</v>
      </c>
      <c r="B107" s="1917"/>
      <c r="C107" s="1917"/>
      <c r="D107" s="1917"/>
      <c r="E107" s="1917"/>
      <c r="F107" s="1917"/>
      <c r="G107" s="1917"/>
      <c r="H107" s="1917"/>
    </row>
    <row r="108" spans="1:8">
      <c r="A108" s="1917"/>
      <c r="B108" s="1917"/>
      <c r="C108" s="1917"/>
      <c r="D108" s="1917"/>
      <c r="E108" s="1917"/>
      <c r="F108" s="1917"/>
      <c r="G108" s="1917"/>
      <c r="H108" s="1917"/>
    </row>
    <row r="109" spans="1:8">
      <c r="A109" s="1917" t="s">
        <v>1159</v>
      </c>
      <c r="B109" s="1917"/>
      <c r="C109" s="1917"/>
      <c r="D109" s="1917"/>
      <c r="E109" s="1917"/>
      <c r="F109" s="1917"/>
      <c r="G109" s="1917"/>
      <c r="H109" s="1917"/>
    </row>
    <row r="110" spans="1:8">
      <c r="A110" s="1917" t="s">
        <v>1160</v>
      </c>
      <c r="B110" s="1917"/>
      <c r="C110" s="1917"/>
      <c r="D110" s="1917"/>
      <c r="E110" s="1917"/>
      <c r="F110" s="1917"/>
      <c r="G110" s="1917"/>
      <c r="H110" s="1917"/>
    </row>
    <row r="111" spans="1:8">
      <c r="A111" s="1917"/>
      <c r="B111" s="1917"/>
      <c r="C111" s="1917"/>
      <c r="D111" s="1917"/>
      <c r="E111" s="1917"/>
      <c r="F111" s="1917"/>
      <c r="G111" s="1917"/>
      <c r="H111" s="1917"/>
    </row>
    <row r="112" spans="1:8" ht="15.75">
      <c r="A112" s="1918" t="s">
        <v>1161</v>
      </c>
      <c r="B112" s="1917"/>
      <c r="C112" s="1917"/>
      <c r="D112" s="1917"/>
      <c r="E112" s="1917"/>
      <c r="F112" s="1917"/>
      <c r="G112" s="1917"/>
      <c r="H112" s="1917"/>
    </row>
    <row r="113" spans="1:8">
      <c r="A113" s="1917"/>
      <c r="B113" s="1917"/>
      <c r="C113" s="1917"/>
      <c r="D113" s="1917"/>
      <c r="E113" s="1917"/>
      <c r="F113" s="1917"/>
      <c r="G113" s="1917"/>
      <c r="H113" s="1917"/>
    </row>
    <row r="114" spans="1:8">
      <c r="A114" s="1917" t="s">
        <v>1162</v>
      </c>
      <c r="B114" s="1917"/>
      <c r="C114" s="1917"/>
      <c r="D114" s="1917"/>
      <c r="E114" s="1917"/>
      <c r="F114" s="1917"/>
      <c r="G114" s="1917"/>
      <c r="H114" s="1917"/>
    </row>
    <row r="115" spans="1:8">
      <c r="A115" s="1917" t="s">
        <v>1163</v>
      </c>
      <c r="B115" s="1917"/>
      <c r="C115" s="1917"/>
      <c r="D115" s="1917"/>
      <c r="E115" s="1917"/>
      <c r="F115" s="1917"/>
      <c r="G115" s="1917"/>
      <c r="H115" s="1917"/>
    </row>
    <row r="116" spans="1:8">
      <c r="A116" s="1917" t="s">
        <v>1164</v>
      </c>
      <c r="B116" s="1917"/>
      <c r="C116" s="1917"/>
      <c r="D116" s="1917"/>
      <c r="E116" s="1917"/>
      <c r="F116" s="1917"/>
      <c r="G116" s="1917"/>
      <c r="H116" s="1917"/>
    </row>
    <row r="117" spans="1:8">
      <c r="A117" s="1917" t="s">
        <v>1165</v>
      </c>
      <c r="B117" s="1917"/>
      <c r="C117" s="1917"/>
      <c r="D117" s="1917"/>
      <c r="E117" s="1917"/>
      <c r="F117" s="1917"/>
      <c r="G117" s="1917"/>
      <c r="H117" s="1917"/>
    </row>
    <row r="118" spans="1:8">
      <c r="A118" s="1917" t="s">
        <v>1166</v>
      </c>
      <c r="B118" s="1917"/>
      <c r="C118" s="1917"/>
      <c r="D118" s="1917"/>
      <c r="E118" s="1917"/>
      <c r="F118" s="1917"/>
      <c r="G118" s="1917"/>
      <c r="H118" s="1917"/>
    </row>
    <row r="119" spans="1:8">
      <c r="A119" s="1917" t="s">
        <v>1167</v>
      </c>
      <c r="B119" s="1917"/>
      <c r="C119" s="1917"/>
      <c r="D119" s="1917"/>
      <c r="E119" s="1917"/>
      <c r="F119" s="1917"/>
      <c r="G119" s="1917"/>
      <c r="H119" s="1917"/>
    </row>
    <row r="120" spans="1:8">
      <c r="A120" s="1917" t="s">
        <v>1168</v>
      </c>
      <c r="B120" s="1917"/>
      <c r="C120" s="1917"/>
      <c r="D120" s="1917"/>
      <c r="E120" s="1917"/>
      <c r="F120" s="1917"/>
      <c r="G120" s="1917"/>
      <c r="H120" s="1917"/>
    </row>
    <row r="121" spans="1:8">
      <c r="A121" s="1917" t="s">
        <v>1169</v>
      </c>
      <c r="B121" s="1917"/>
      <c r="C121" s="1917"/>
      <c r="D121" s="1917"/>
      <c r="E121" s="1917"/>
      <c r="F121" s="1917"/>
      <c r="G121" s="1917"/>
      <c r="H121" s="1917"/>
    </row>
    <row r="122" spans="1:8">
      <c r="A122" s="1917" t="s">
        <v>1170</v>
      </c>
      <c r="B122" s="1917"/>
      <c r="C122" s="1917"/>
      <c r="D122" s="1917"/>
      <c r="E122" s="1917"/>
      <c r="F122" s="1917"/>
      <c r="G122" s="1917"/>
      <c r="H122" s="1917"/>
    </row>
    <row r="123" spans="1:8">
      <c r="A123" s="1917"/>
      <c r="B123" s="1917"/>
      <c r="C123" s="1917"/>
      <c r="D123" s="1917"/>
      <c r="E123" s="1917"/>
      <c r="F123" s="1917"/>
      <c r="G123" s="1917"/>
      <c r="H123" s="1917"/>
    </row>
    <row r="124" spans="1:8" ht="15.75">
      <c r="A124" s="1918" t="s">
        <v>1171</v>
      </c>
      <c r="B124" s="1917"/>
      <c r="C124" s="1917"/>
      <c r="D124" s="1917"/>
      <c r="E124" s="1917"/>
      <c r="F124" s="1917"/>
      <c r="G124" s="1917"/>
      <c r="H124" s="1917"/>
    </row>
    <row r="125" spans="1:8">
      <c r="A125" s="1917"/>
      <c r="B125" s="1917"/>
      <c r="C125" s="1917"/>
      <c r="D125" s="1917"/>
      <c r="E125" s="1917"/>
      <c r="F125" s="1917"/>
      <c r="G125" s="1917"/>
      <c r="H125" s="1917"/>
    </row>
    <row r="126" spans="1:8">
      <c r="A126" s="1917" t="s">
        <v>1172</v>
      </c>
      <c r="B126" s="1917"/>
      <c r="C126" s="1917"/>
      <c r="D126" s="1917"/>
      <c r="E126" s="1917"/>
      <c r="F126" s="1917"/>
      <c r="G126" s="1917"/>
      <c r="H126" s="1917"/>
    </row>
    <row r="127" spans="1:8">
      <c r="A127" s="1917"/>
      <c r="B127" s="1917"/>
      <c r="C127" s="1917"/>
      <c r="D127" s="1917"/>
      <c r="E127" s="1917"/>
      <c r="F127" s="1917"/>
      <c r="G127" s="1917"/>
      <c r="H127" s="1917"/>
    </row>
    <row r="128" spans="1:8">
      <c r="A128" s="1917" t="s">
        <v>1173</v>
      </c>
      <c r="B128" s="1917"/>
      <c r="C128" s="1917"/>
      <c r="D128" s="1917"/>
      <c r="E128" s="1917"/>
      <c r="F128" s="1917"/>
      <c r="G128" s="1917"/>
      <c r="H128" s="1917"/>
    </row>
    <row r="129" spans="1:8">
      <c r="A129" s="1917" t="s">
        <v>1174</v>
      </c>
      <c r="B129" s="1917"/>
      <c r="C129" s="1917"/>
      <c r="D129" s="1917"/>
      <c r="E129" s="1917"/>
      <c r="F129" s="1917"/>
      <c r="G129" s="1917"/>
      <c r="H129" s="1917"/>
    </row>
    <row r="130" spans="1:8">
      <c r="A130" s="1917"/>
      <c r="B130" s="1917"/>
      <c r="C130" s="1917"/>
      <c r="D130" s="1917"/>
      <c r="E130" s="1917"/>
      <c r="F130" s="1917"/>
      <c r="G130" s="1917"/>
      <c r="H130" s="1917"/>
    </row>
    <row r="131" spans="1:8">
      <c r="A131" s="1917" t="s">
        <v>1175</v>
      </c>
      <c r="B131" s="1917"/>
      <c r="C131" s="1917"/>
      <c r="D131" s="1917"/>
      <c r="E131" s="1917"/>
      <c r="F131" s="1917"/>
      <c r="G131" s="1917"/>
      <c r="H131" s="1917"/>
    </row>
    <row r="132" spans="1:8">
      <c r="A132" s="1917" t="s">
        <v>1176</v>
      </c>
      <c r="B132" s="1917"/>
      <c r="C132" s="1917"/>
      <c r="D132" s="1917"/>
      <c r="E132" s="1917"/>
      <c r="F132" s="1917"/>
      <c r="G132" s="1917"/>
      <c r="H132" s="1917"/>
    </row>
    <row r="133" spans="1:8">
      <c r="A133" s="1917" t="s">
        <v>1177</v>
      </c>
      <c r="B133" s="1917"/>
      <c r="C133" s="1917"/>
      <c r="D133" s="1917"/>
      <c r="E133" s="1917"/>
      <c r="F133" s="1917"/>
      <c r="G133" s="1917"/>
      <c r="H133" s="1917"/>
    </row>
    <row r="134" spans="1:8">
      <c r="A134" s="1917" t="s">
        <v>1178</v>
      </c>
      <c r="B134" s="1917"/>
      <c r="C134" s="1917"/>
      <c r="D134" s="1917"/>
      <c r="E134" s="1917"/>
      <c r="F134" s="1917"/>
      <c r="G134" s="1917"/>
      <c r="H134" s="1917"/>
    </row>
    <row r="135" spans="1:8">
      <c r="A135" s="1917" t="s">
        <v>1179</v>
      </c>
      <c r="B135" s="1917"/>
      <c r="C135" s="1917"/>
      <c r="D135" s="1917"/>
      <c r="E135" s="1917"/>
      <c r="F135" s="1917"/>
      <c r="G135" s="1917"/>
      <c r="H135" s="1917"/>
    </row>
    <row r="136" spans="1:8">
      <c r="A136" s="1917" t="s">
        <v>1180</v>
      </c>
      <c r="B136" s="1917"/>
      <c r="C136" s="1917"/>
      <c r="D136" s="1917"/>
      <c r="E136" s="1917"/>
      <c r="F136" s="1917"/>
      <c r="G136" s="1917"/>
      <c r="H136" s="1917"/>
    </row>
    <row r="137" spans="1:8">
      <c r="A137" s="1917" t="s">
        <v>1181</v>
      </c>
      <c r="B137" s="1917"/>
      <c r="C137" s="1917"/>
      <c r="D137" s="1917"/>
      <c r="E137" s="1917"/>
      <c r="F137" s="1917"/>
      <c r="G137" s="1917"/>
      <c r="H137" s="1917"/>
    </row>
    <row r="138" spans="1:8">
      <c r="A138" s="1917"/>
      <c r="B138" s="1917"/>
      <c r="C138" s="1917"/>
      <c r="D138" s="1917"/>
      <c r="E138" s="1917"/>
      <c r="F138" s="1917"/>
      <c r="G138" s="1917"/>
      <c r="H138" s="1917"/>
    </row>
    <row r="139" spans="1:8">
      <c r="A139" s="1919"/>
      <c r="B139" s="1924" t="s">
        <v>1182</v>
      </c>
      <c r="C139" s="1924"/>
      <c r="D139" s="1924" t="s">
        <v>1183</v>
      </c>
      <c r="E139" s="1924"/>
      <c r="F139" s="1924"/>
      <c r="G139" s="1924" t="s">
        <v>1184</v>
      </c>
      <c r="H139" s="1924"/>
    </row>
    <row r="140" spans="1:8">
      <c r="A140" s="1919" t="s">
        <v>1185</v>
      </c>
      <c r="B140" s="1922" t="s">
        <v>1186</v>
      </c>
      <c r="C140" s="1922" t="s">
        <v>1187</v>
      </c>
      <c r="D140" s="1922" t="s">
        <v>1186</v>
      </c>
      <c r="E140" s="1922" t="s">
        <v>1188</v>
      </c>
      <c r="F140" s="1922" t="s">
        <v>1189</v>
      </c>
      <c r="G140" s="1922" t="s">
        <v>1186</v>
      </c>
      <c r="H140" s="1922" t="s">
        <v>1190</v>
      </c>
    </row>
    <row r="141" spans="1:8">
      <c r="A141" s="1919" t="s">
        <v>1191</v>
      </c>
      <c r="B141" s="1922">
        <v>1520</v>
      </c>
      <c r="C141" s="1923">
        <v>0.41</v>
      </c>
      <c r="D141" s="1922">
        <v>425</v>
      </c>
      <c r="E141" s="1923">
        <v>0.48</v>
      </c>
      <c r="F141" s="1923">
        <v>0.28000000000000003</v>
      </c>
      <c r="G141" s="1922">
        <v>685</v>
      </c>
      <c r="H141" s="1923">
        <v>0.42</v>
      </c>
    </row>
    <row r="142" spans="1:8">
      <c r="A142" s="1919" t="s">
        <v>1192</v>
      </c>
      <c r="B142" s="1922">
        <v>1579</v>
      </c>
      <c r="C142" s="1923">
        <v>0.43</v>
      </c>
      <c r="D142" s="1922">
        <v>375</v>
      </c>
      <c r="E142" s="1923">
        <v>0.42</v>
      </c>
      <c r="F142" s="1923">
        <v>0.24</v>
      </c>
      <c r="G142" s="1922">
        <v>713</v>
      </c>
      <c r="H142" s="1923">
        <v>0.44</v>
      </c>
    </row>
    <row r="143" spans="1:8">
      <c r="A143" s="1919" t="s">
        <v>1193</v>
      </c>
      <c r="B143" s="1922">
        <v>4</v>
      </c>
      <c r="C143" s="1923">
        <v>0</v>
      </c>
      <c r="D143" s="1922">
        <v>1</v>
      </c>
      <c r="E143" s="1923">
        <v>0</v>
      </c>
      <c r="F143" s="1923">
        <v>0.25</v>
      </c>
      <c r="G143" s="1922">
        <v>1</v>
      </c>
      <c r="H143" s="1923">
        <v>0</v>
      </c>
    </row>
    <row r="144" spans="1:8">
      <c r="A144" s="1919" t="s">
        <v>1194</v>
      </c>
      <c r="B144" s="1922">
        <v>592</v>
      </c>
      <c r="C144" s="1923">
        <v>0.16</v>
      </c>
      <c r="D144" s="1922">
        <v>89</v>
      </c>
      <c r="E144" s="1923">
        <v>0.1</v>
      </c>
      <c r="F144" s="1923">
        <v>0.15</v>
      </c>
      <c r="G144" s="1922">
        <v>232</v>
      </c>
      <c r="H144" s="1923">
        <v>0.14000000000000001</v>
      </c>
    </row>
    <row r="145" spans="1:8">
      <c r="A145" s="1919" t="s">
        <v>487</v>
      </c>
      <c r="B145" s="1922">
        <v>3695</v>
      </c>
      <c r="C145" s="1923"/>
      <c r="D145" s="1922">
        <v>890</v>
      </c>
      <c r="E145" s="1923"/>
      <c r="F145" s="1923"/>
      <c r="G145" s="1922">
        <v>1631</v>
      </c>
      <c r="H145" s="1923"/>
    </row>
    <row r="146" spans="1:8">
      <c r="A146" s="1917"/>
      <c r="B146" s="1917"/>
      <c r="C146" s="1917"/>
      <c r="D146" s="1917"/>
      <c r="E146" s="1917"/>
      <c r="F146" s="1917"/>
      <c r="G146" s="1917"/>
      <c r="H146" s="1917"/>
    </row>
    <row r="147" spans="1:8">
      <c r="A147" s="1917" t="s">
        <v>1195</v>
      </c>
      <c r="B147" s="1917"/>
      <c r="C147" s="1917"/>
      <c r="D147" s="1917"/>
      <c r="E147" s="1917"/>
      <c r="F147" s="1917"/>
      <c r="G147" s="1917"/>
      <c r="H147" s="1917"/>
    </row>
    <row r="148" spans="1:8">
      <c r="A148" s="1917" t="s">
        <v>1196</v>
      </c>
      <c r="B148" s="1917"/>
      <c r="C148" s="1917"/>
      <c r="D148" s="1917"/>
      <c r="E148" s="1917"/>
      <c r="F148" s="1917"/>
      <c r="G148" s="1917"/>
      <c r="H148" s="1917"/>
    </row>
    <row r="149" spans="1:8">
      <c r="A149" s="1917" t="s">
        <v>1197</v>
      </c>
      <c r="B149" s="1917"/>
      <c r="C149" s="1917"/>
      <c r="D149" s="1917"/>
      <c r="E149" s="1917"/>
      <c r="F149" s="1917"/>
      <c r="G149" s="1917"/>
      <c r="H149" s="1917"/>
    </row>
    <row r="150" spans="1:8">
      <c r="A150" s="1917" t="s">
        <v>1198</v>
      </c>
      <c r="B150" s="1917"/>
      <c r="C150" s="1917"/>
      <c r="D150" s="1917"/>
      <c r="E150" s="1917"/>
      <c r="F150" s="1917"/>
      <c r="G150" s="1917"/>
      <c r="H150" s="1917"/>
    </row>
    <row r="151" spans="1:8">
      <c r="A151" s="1917"/>
      <c r="B151" s="1917"/>
      <c r="C151" s="1917"/>
      <c r="D151" s="1917"/>
      <c r="E151" s="1917"/>
      <c r="F151" s="1917"/>
      <c r="G151" s="1917"/>
      <c r="H151" s="1917"/>
    </row>
    <row r="152" spans="1:8" ht="15.75">
      <c r="A152" s="1918" t="s">
        <v>1199</v>
      </c>
      <c r="B152" s="1917"/>
      <c r="C152" s="1917"/>
      <c r="D152" s="1917"/>
      <c r="E152" s="1917"/>
      <c r="F152" s="1917"/>
      <c r="G152" s="1917"/>
      <c r="H152" s="1917"/>
    </row>
    <row r="153" spans="1:8">
      <c r="A153" s="1917"/>
      <c r="B153" s="1917"/>
      <c r="C153" s="1917"/>
      <c r="D153" s="1917"/>
      <c r="E153" s="1917"/>
      <c r="F153" s="1917"/>
      <c r="G153" s="1917"/>
      <c r="H153" s="1917"/>
    </row>
    <row r="154" spans="1:8">
      <c r="A154" s="1917" t="s">
        <v>1200</v>
      </c>
      <c r="B154" s="1917"/>
      <c r="C154" s="1917"/>
      <c r="D154" s="1917"/>
      <c r="E154" s="1917"/>
      <c r="F154" s="1917"/>
      <c r="G154" s="1917"/>
      <c r="H154" s="1917"/>
    </row>
    <row r="155" spans="1:8">
      <c r="A155" s="1917" t="s">
        <v>1201</v>
      </c>
      <c r="B155" s="1917"/>
      <c r="C155" s="1917"/>
      <c r="D155" s="1917"/>
      <c r="E155" s="1917"/>
      <c r="F155" s="1917"/>
      <c r="G155" s="1917"/>
      <c r="H155" s="1917"/>
    </row>
    <row r="156" spans="1:8">
      <c r="A156" s="1917"/>
      <c r="B156" s="1917"/>
      <c r="C156" s="1917"/>
      <c r="D156" s="1917"/>
      <c r="E156" s="1917"/>
      <c r="F156" s="1917"/>
      <c r="G156" s="1917"/>
      <c r="H156" s="1917"/>
    </row>
    <row r="157" spans="1:8">
      <c r="A157" s="1917" t="s">
        <v>1202</v>
      </c>
      <c r="B157" s="1917"/>
      <c r="C157" s="1917"/>
      <c r="D157" s="1917"/>
      <c r="E157" s="1917"/>
      <c r="F157" s="1917"/>
      <c r="G157" s="1917"/>
      <c r="H157" s="1917"/>
    </row>
    <row r="158" spans="1:8">
      <c r="A158" s="1917" t="s">
        <v>1203</v>
      </c>
      <c r="B158" s="1917"/>
      <c r="C158" s="1917"/>
      <c r="D158" s="1917"/>
      <c r="E158" s="1917"/>
      <c r="F158" s="1917"/>
      <c r="G158" s="1917"/>
      <c r="H158" s="1917"/>
    </row>
    <row r="159" spans="1:8">
      <c r="A159" s="1917" t="s">
        <v>1204</v>
      </c>
      <c r="B159" s="1917"/>
      <c r="C159" s="1917"/>
      <c r="D159" s="1917"/>
      <c r="E159" s="1917"/>
      <c r="F159" s="1917"/>
      <c r="G159" s="1917"/>
      <c r="H159" s="1917"/>
    </row>
    <row r="160" spans="1:8">
      <c r="A160" s="1917"/>
      <c r="B160" s="1917"/>
      <c r="C160" s="1917"/>
      <c r="D160" s="1917"/>
      <c r="E160" s="1917"/>
      <c r="F160" s="1917"/>
      <c r="G160" s="1917"/>
      <c r="H160" s="1917"/>
    </row>
    <row r="161" spans="1:8">
      <c r="A161" s="1917" t="s">
        <v>1205</v>
      </c>
      <c r="B161" s="1917"/>
      <c r="C161" s="1917"/>
      <c r="D161" s="1917"/>
      <c r="E161" s="1917"/>
      <c r="F161" s="1917"/>
      <c r="G161" s="1917"/>
      <c r="H161" s="1917"/>
    </row>
    <row r="162" spans="1:8">
      <c r="A162" s="1917" t="s">
        <v>1206</v>
      </c>
      <c r="B162" s="1917"/>
      <c r="C162" s="1917"/>
      <c r="D162" s="1917"/>
      <c r="E162" s="1917"/>
      <c r="F162" s="1917"/>
      <c r="G162" s="1917"/>
      <c r="H162" s="1917"/>
    </row>
    <row r="163" spans="1:8">
      <c r="A163" s="1917" t="s">
        <v>1207</v>
      </c>
      <c r="B163" s="1917"/>
      <c r="C163" s="1917"/>
      <c r="D163" s="1917"/>
      <c r="E163" s="1917"/>
      <c r="F163" s="1917"/>
      <c r="G163" s="1917"/>
      <c r="H163" s="1917"/>
    </row>
    <row r="164" spans="1:8">
      <c r="A164" s="1917"/>
      <c r="B164" s="1917"/>
      <c r="C164" s="1917"/>
      <c r="D164" s="1917"/>
      <c r="E164" s="1917"/>
      <c r="F164" s="1917"/>
      <c r="G164" s="1917"/>
      <c r="H164" s="1917"/>
    </row>
    <row r="165" spans="1:8">
      <c r="A165" s="1917" t="s">
        <v>1208</v>
      </c>
      <c r="B165" s="1917"/>
      <c r="C165" s="1917"/>
      <c r="D165" s="1917"/>
      <c r="E165" s="1917"/>
      <c r="F165" s="1917"/>
      <c r="G165" s="1917"/>
      <c r="H165" s="1917"/>
    </row>
    <row r="166" spans="1:8">
      <c r="A166" s="1917" t="s">
        <v>1209</v>
      </c>
      <c r="B166" s="1917"/>
      <c r="C166" s="1917"/>
      <c r="D166" s="1917"/>
      <c r="E166" s="1917"/>
      <c r="F166" s="1917"/>
      <c r="G166" s="1917"/>
      <c r="H166" s="1917"/>
    </row>
    <row r="167" spans="1:8">
      <c r="A167" s="1917" t="s">
        <v>1210</v>
      </c>
      <c r="B167" s="1917"/>
      <c r="C167" s="1917"/>
      <c r="D167" s="1917"/>
      <c r="E167" s="1917"/>
      <c r="F167" s="1917"/>
      <c r="G167" s="1917"/>
      <c r="H167" s="1917"/>
    </row>
    <row r="168" spans="1:8">
      <c r="A168" s="1917"/>
      <c r="B168" s="1917"/>
      <c r="C168" s="1917"/>
      <c r="D168" s="1917"/>
      <c r="E168" s="1917"/>
      <c r="F168" s="1917"/>
      <c r="G168" s="1917"/>
      <c r="H168" s="1917"/>
    </row>
    <row r="169" spans="1:8">
      <c r="A169" s="1917" t="s">
        <v>1211</v>
      </c>
      <c r="B169" s="1917"/>
      <c r="C169" s="1917"/>
      <c r="D169" s="1917"/>
      <c r="E169" s="1917"/>
      <c r="F169" s="1917"/>
      <c r="G169" s="1917"/>
      <c r="H169" s="1917"/>
    </row>
    <row r="170" spans="1:8">
      <c r="A170" s="1917" t="s">
        <v>1212</v>
      </c>
      <c r="B170" s="1917"/>
      <c r="C170" s="1917"/>
      <c r="D170" s="1917"/>
      <c r="E170" s="1917"/>
      <c r="F170" s="1917"/>
      <c r="G170" s="1917"/>
      <c r="H170" s="1917"/>
    </row>
    <row r="171" spans="1:8">
      <c r="A171" s="1917"/>
      <c r="B171" s="1917"/>
      <c r="C171" s="1917"/>
      <c r="D171" s="1917"/>
      <c r="E171" s="1917"/>
      <c r="F171" s="1917"/>
      <c r="G171" s="1917"/>
      <c r="H171" s="1917"/>
    </row>
    <row r="172" spans="1:8" ht="15.75">
      <c r="A172" s="1918" t="s">
        <v>1213</v>
      </c>
      <c r="B172" s="1917"/>
      <c r="C172" s="1917"/>
      <c r="D172" s="1917"/>
      <c r="E172" s="1917"/>
      <c r="F172" s="1917"/>
      <c r="G172" s="1917"/>
      <c r="H172" s="1917"/>
    </row>
    <row r="173" spans="1:8">
      <c r="A173" s="1917"/>
      <c r="B173" s="1917"/>
      <c r="C173" s="1917"/>
      <c r="D173" s="1917"/>
      <c r="E173" s="1917"/>
      <c r="F173" s="1917"/>
      <c r="G173" s="1917"/>
      <c r="H173" s="1917"/>
    </row>
    <row r="174" spans="1:8">
      <c r="A174" s="1917" t="s">
        <v>1214</v>
      </c>
      <c r="B174" s="1917"/>
      <c r="C174" s="1917"/>
      <c r="D174" s="1917"/>
      <c r="E174" s="1917"/>
      <c r="F174" s="1917"/>
      <c r="G174" s="1917"/>
      <c r="H174" s="1917"/>
    </row>
    <row r="175" spans="1:8">
      <c r="A175" s="1917" t="s">
        <v>1215</v>
      </c>
      <c r="B175" s="1917"/>
      <c r="C175" s="1917"/>
      <c r="D175" s="1917"/>
      <c r="E175" s="1917"/>
      <c r="F175" s="1917"/>
      <c r="G175" s="1917"/>
      <c r="H175" s="1917"/>
    </row>
    <row r="176" spans="1:8">
      <c r="A176" s="1917"/>
      <c r="B176" s="1917"/>
      <c r="C176" s="1917"/>
      <c r="D176" s="1917"/>
      <c r="E176" s="1917"/>
      <c r="F176" s="1917"/>
      <c r="G176" s="1917"/>
      <c r="H176" s="1917"/>
    </row>
    <row r="177" spans="1:8">
      <c r="A177" s="1917" t="s">
        <v>1216</v>
      </c>
      <c r="B177" s="1917"/>
      <c r="C177" s="1917"/>
      <c r="D177" s="1917"/>
      <c r="E177" s="1917"/>
      <c r="F177" s="1917"/>
      <c r="G177" s="1917"/>
      <c r="H177" s="1917"/>
    </row>
    <row r="178" spans="1:8">
      <c r="A178" s="1917" t="s">
        <v>1217</v>
      </c>
      <c r="B178" s="1917"/>
      <c r="C178" s="1917"/>
      <c r="D178" s="1917"/>
      <c r="E178" s="1917"/>
      <c r="F178" s="1917"/>
      <c r="G178" s="1917"/>
      <c r="H178" s="1917"/>
    </row>
    <row r="179" spans="1:8">
      <c r="A179" s="1917"/>
      <c r="B179" s="1917"/>
      <c r="C179" s="1917"/>
      <c r="D179" s="1917"/>
      <c r="E179" s="1917"/>
      <c r="F179" s="1917"/>
      <c r="G179" s="1917"/>
      <c r="H179" s="1917"/>
    </row>
    <row r="180" spans="1:8">
      <c r="A180" s="1917" t="s">
        <v>1218</v>
      </c>
      <c r="B180" s="1917"/>
      <c r="C180" s="1917"/>
      <c r="D180" s="1917"/>
      <c r="E180" s="1917"/>
      <c r="F180" s="1917"/>
      <c r="G180" s="1917"/>
      <c r="H180" s="1917"/>
    </row>
    <row r="181" spans="1:8">
      <c r="A181" s="1917" t="s">
        <v>1219</v>
      </c>
      <c r="B181" s="1917"/>
      <c r="C181" s="1917"/>
      <c r="D181" s="1917"/>
      <c r="E181" s="1917"/>
      <c r="F181" s="1917"/>
      <c r="G181" s="1917"/>
      <c r="H181" s="1917"/>
    </row>
    <row r="182" spans="1:8">
      <c r="A182" s="1917"/>
      <c r="B182" s="1917"/>
      <c r="C182" s="1917"/>
      <c r="D182" s="1917"/>
      <c r="E182" s="1917"/>
      <c r="F182" s="1917"/>
      <c r="G182" s="1917"/>
      <c r="H182" s="1917"/>
    </row>
    <row r="183" spans="1:8">
      <c r="A183" s="1917" t="s">
        <v>1220</v>
      </c>
      <c r="B183" s="1917"/>
      <c r="C183" s="1917"/>
      <c r="D183" s="1917"/>
      <c r="E183" s="1917"/>
      <c r="F183" s="1917"/>
      <c r="G183" s="1917"/>
      <c r="H183" s="1917"/>
    </row>
    <row r="184" spans="1:8">
      <c r="A184" s="1917" t="s">
        <v>1221</v>
      </c>
      <c r="B184" s="1917"/>
      <c r="C184" s="1917"/>
      <c r="D184" s="1917"/>
      <c r="E184" s="1917"/>
      <c r="F184" s="1917"/>
      <c r="G184" s="1917"/>
      <c r="H184" s="1917"/>
    </row>
    <row r="185" spans="1:8">
      <c r="A185" s="1917" t="s">
        <v>1222</v>
      </c>
      <c r="B185" s="1917"/>
      <c r="C185" s="1917"/>
      <c r="D185" s="1917"/>
      <c r="E185" s="1917"/>
      <c r="F185" s="1917"/>
      <c r="G185" s="1917"/>
      <c r="H185" s="1917"/>
    </row>
    <row r="186" spans="1:8">
      <c r="A186" s="1917"/>
      <c r="B186" s="1917"/>
      <c r="C186" s="1917"/>
      <c r="D186" s="1917"/>
      <c r="E186" s="1917"/>
      <c r="F186" s="1917"/>
      <c r="G186" s="1917"/>
      <c r="H186" s="1917"/>
    </row>
    <row r="187" spans="1:8">
      <c r="A187" s="1917" t="s">
        <v>1131</v>
      </c>
      <c r="B187" s="1917"/>
      <c r="C187" s="1917"/>
      <c r="D187" s="1917"/>
      <c r="E187" s="1917"/>
      <c r="F187" s="1917"/>
      <c r="G187" s="1917"/>
      <c r="H187" s="1917"/>
    </row>
    <row r="188" spans="1:8">
      <c r="A188" s="1917"/>
      <c r="B188" s="1917"/>
      <c r="C188" s="1917"/>
      <c r="D188" s="1917"/>
      <c r="E188" s="1917"/>
      <c r="F188" s="1917"/>
      <c r="G188" s="1917"/>
      <c r="H188" s="1917"/>
    </row>
    <row r="189" spans="1:8" ht="15.75">
      <c r="A189" s="1918" t="s">
        <v>1223</v>
      </c>
      <c r="B189" s="1917"/>
      <c r="C189" s="1917"/>
      <c r="D189" s="1917"/>
      <c r="E189" s="1917"/>
      <c r="F189" s="1917"/>
      <c r="G189" s="1917"/>
      <c r="H189" s="1917"/>
    </row>
    <row r="190" spans="1:8">
      <c r="A190" s="1917"/>
      <c r="B190" s="1917"/>
      <c r="C190" s="1917"/>
      <c r="D190" s="1917"/>
      <c r="E190" s="1917"/>
      <c r="F190" s="1917"/>
      <c r="G190" s="1917"/>
      <c r="H190" s="1917"/>
    </row>
    <row r="191" spans="1:8">
      <c r="A191" s="1917"/>
      <c r="B191" s="1917"/>
      <c r="C191" s="1917"/>
      <c r="D191" s="1917"/>
      <c r="E191" s="1917"/>
      <c r="F191" s="1917"/>
      <c r="G191" s="1917"/>
      <c r="H191" s="1917"/>
    </row>
    <row r="192" spans="1:8">
      <c r="A192" s="1917"/>
      <c r="B192" s="1917"/>
      <c r="C192" s="1917"/>
      <c r="D192" s="1917"/>
      <c r="E192" s="1917"/>
      <c r="F192" s="1917"/>
      <c r="G192" s="1917"/>
      <c r="H192" s="1917"/>
    </row>
    <row r="193" spans="1:8">
      <c r="A193" s="1917"/>
      <c r="B193" s="1917"/>
      <c r="C193" s="1917"/>
      <c r="D193" s="1917"/>
      <c r="E193" s="1917"/>
      <c r="F193" s="1917"/>
      <c r="G193" s="1917"/>
      <c r="H193" s="1917"/>
    </row>
    <row r="194" spans="1:8">
      <c r="A194" s="1917"/>
      <c r="B194" s="1917"/>
      <c r="C194" s="1917"/>
      <c r="D194" s="1917"/>
      <c r="E194" s="1917"/>
      <c r="F194" s="1917"/>
      <c r="G194" s="1917"/>
      <c r="H194" s="1917"/>
    </row>
    <row r="195" spans="1:8">
      <c r="A195" s="1917"/>
      <c r="B195" s="1917"/>
      <c r="C195" s="1917"/>
      <c r="D195" s="1917"/>
      <c r="E195" s="1917"/>
      <c r="F195" s="1917"/>
      <c r="G195" s="1917"/>
      <c r="H195" s="1917"/>
    </row>
    <row r="196" spans="1:8">
      <c r="A196" s="1917"/>
      <c r="B196" s="1917"/>
      <c r="C196" s="1917"/>
      <c r="D196" s="1917"/>
      <c r="E196" s="1917"/>
      <c r="F196" s="1917"/>
      <c r="G196" s="1917"/>
      <c r="H196" s="1917"/>
    </row>
    <row r="197" spans="1:8">
      <c r="A197" s="1917"/>
      <c r="B197" s="1917"/>
      <c r="C197" s="1917"/>
      <c r="D197" s="1917"/>
      <c r="E197" s="1917"/>
      <c r="F197" s="1917"/>
      <c r="G197" s="1917"/>
      <c r="H197" s="1917"/>
    </row>
    <row r="198" spans="1:8">
      <c r="A198" s="1917"/>
      <c r="B198" s="1917"/>
      <c r="C198" s="1917"/>
      <c r="D198" s="1917"/>
      <c r="E198" s="1917"/>
      <c r="F198" s="1917"/>
      <c r="G198" s="1917"/>
      <c r="H198" s="1917"/>
    </row>
    <row r="199" spans="1:8">
      <c r="A199" s="1917"/>
      <c r="B199" s="1917"/>
      <c r="C199" s="1917"/>
      <c r="D199" s="1917"/>
      <c r="E199" s="1917"/>
      <c r="F199" s="1917"/>
      <c r="G199" s="1917"/>
      <c r="H199" s="1917"/>
    </row>
    <row r="200" spans="1:8">
      <c r="A200" s="1917"/>
      <c r="B200" s="1917"/>
      <c r="C200" s="1917"/>
      <c r="D200" s="1917"/>
      <c r="E200" s="1917"/>
      <c r="F200" s="1917"/>
      <c r="G200" s="1917"/>
      <c r="H200" s="1917"/>
    </row>
    <row r="201" spans="1:8">
      <c r="A201" s="1917"/>
      <c r="B201" s="1917"/>
      <c r="C201" s="1917"/>
      <c r="D201" s="1917"/>
      <c r="E201" s="1917"/>
      <c r="F201" s="1917"/>
      <c r="G201" s="1917"/>
      <c r="H201" s="1917"/>
    </row>
    <row r="202" spans="1:8">
      <c r="A202" s="1917"/>
      <c r="B202" s="1917"/>
      <c r="C202" s="1917"/>
      <c r="D202" s="1917"/>
      <c r="E202" s="1917"/>
      <c r="F202" s="1917"/>
      <c r="G202" s="1917"/>
      <c r="H202" s="1917"/>
    </row>
    <row r="203" spans="1:8">
      <c r="A203" s="1917"/>
      <c r="B203" s="1917"/>
      <c r="C203" s="1917"/>
      <c r="D203" s="1917"/>
      <c r="E203" s="1917"/>
      <c r="F203" s="1917"/>
      <c r="G203" s="1917"/>
      <c r="H203" s="1917"/>
    </row>
    <row r="204" spans="1:8">
      <c r="A204" s="1917"/>
      <c r="B204" s="1917"/>
      <c r="C204" s="1917"/>
      <c r="D204" s="1917"/>
      <c r="E204" s="1917"/>
      <c r="F204" s="1917"/>
      <c r="G204" s="1917"/>
      <c r="H204" s="1917"/>
    </row>
    <row r="205" spans="1:8">
      <c r="A205" s="1917"/>
      <c r="B205" s="1917"/>
      <c r="C205" s="1917"/>
      <c r="D205" s="1917"/>
      <c r="E205" s="1917"/>
      <c r="F205" s="1917"/>
      <c r="G205" s="1917"/>
      <c r="H205" s="1917"/>
    </row>
    <row r="206" spans="1:8">
      <c r="A206" s="1917"/>
      <c r="B206" s="1917"/>
      <c r="C206" s="1917"/>
      <c r="D206" s="1917"/>
      <c r="E206" s="1917"/>
      <c r="F206" s="1917"/>
      <c r="G206" s="1917"/>
      <c r="H206" s="1917"/>
    </row>
    <row r="207" spans="1:8">
      <c r="A207" s="1917"/>
      <c r="B207" s="1917"/>
      <c r="C207" s="1917"/>
      <c r="D207" s="1917"/>
      <c r="E207" s="1917"/>
      <c r="F207" s="1917"/>
      <c r="G207" s="1917"/>
      <c r="H207" s="1917"/>
    </row>
    <row r="208" spans="1:8">
      <c r="A208" s="1917"/>
      <c r="B208" s="1917"/>
      <c r="C208" s="1917"/>
      <c r="D208" s="1917"/>
      <c r="E208" s="1917"/>
      <c r="F208" s="1917"/>
      <c r="G208" s="1917"/>
      <c r="H208" s="1917"/>
    </row>
    <row r="209" spans="1:8">
      <c r="A209" s="1917"/>
      <c r="B209" s="1917"/>
      <c r="C209" s="1917"/>
      <c r="D209" s="1917"/>
      <c r="E209" s="1917"/>
      <c r="F209" s="1917"/>
      <c r="G209" s="1917"/>
      <c r="H209" s="1917"/>
    </row>
    <row r="210" spans="1:8">
      <c r="A210" s="1917"/>
      <c r="B210" s="1917"/>
      <c r="C210" s="1917"/>
      <c r="D210" s="1917"/>
      <c r="E210" s="1917"/>
      <c r="F210" s="1917"/>
      <c r="G210" s="1917"/>
      <c r="H210" s="1917"/>
    </row>
    <row r="211" spans="1:8">
      <c r="A211" s="1917"/>
      <c r="B211" s="1917"/>
      <c r="C211" s="1917"/>
      <c r="D211" s="1917"/>
      <c r="E211" s="1917"/>
      <c r="F211" s="1917"/>
      <c r="G211" s="1917"/>
      <c r="H211" s="1917"/>
    </row>
    <row r="212" spans="1:8">
      <c r="A212" s="1917"/>
      <c r="B212" s="1917"/>
      <c r="C212" s="1917"/>
      <c r="D212" s="1917"/>
      <c r="E212" s="1917"/>
      <c r="F212" s="1917"/>
      <c r="G212" s="1917"/>
      <c r="H212" s="1917"/>
    </row>
    <row r="213" spans="1:8">
      <c r="A213" s="1917"/>
      <c r="B213" s="1917"/>
      <c r="C213" s="1917"/>
      <c r="D213" s="1917"/>
      <c r="E213" s="1917"/>
      <c r="F213" s="1917"/>
      <c r="G213" s="1917"/>
      <c r="H213" s="1917"/>
    </row>
    <row r="214" spans="1:8">
      <c r="A214" s="1917"/>
      <c r="B214" s="1917"/>
      <c r="C214" s="1917"/>
      <c r="D214" s="1917"/>
      <c r="E214" s="1917"/>
      <c r="F214" s="1917"/>
      <c r="G214" s="1917"/>
      <c r="H214" s="1917"/>
    </row>
    <row r="215" spans="1:8">
      <c r="A215" s="1917"/>
      <c r="B215" s="1917"/>
      <c r="C215" s="1917"/>
      <c r="D215" s="1917"/>
      <c r="E215" s="1917"/>
      <c r="F215" s="1917"/>
      <c r="G215" s="1917"/>
      <c r="H215" s="1917"/>
    </row>
    <row r="216" spans="1:8">
      <c r="A216" s="1917"/>
      <c r="B216" s="1917"/>
      <c r="C216" s="1917"/>
      <c r="D216" s="1917"/>
      <c r="E216" s="1917"/>
      <c r="F216" s="1917"/>
      <c r="G216" s="1917"/>
      <c r="H216" s="1917"/>
    </row>
    <row r="217" spans="1:8" ht="15.75">
      <c r="A217" s="1918" t="s">
        <v>1224</v>
      </c>
      <c r="B217" s="1917"/>
      <c r="C217" s="1917"/>
      <c r="D217" s="1917"/>
      <c r="E217" s="1917"/>
      <c r="F217" s="1917"/>
      <c r="G217" s="1917"/>
      <c r="H217" s="1917"/>
    </row>
    <row r="218" spans="1:8">
      <c r="A218" s="1917"/>
      <c r="B218" s="1917"/>
      <c r="C218" s="1917"/>
      <c r="D218" s="1917"/>
      <c r="E218" s="1917"/>
      <c r="F218" s="1917"/>
      <c r="G218" s="1917"/>
      <c r="H218" s="1917"/>
    </row>
    <row r="219" spans="1:8">
      <c r="A219" s="1917" t="s">
        <v>1225</v>
      </c>
      <c r="B219" s="1917"/>
      <c r="C219" s="1917"/>
      <c r="D219" s="1917"/>
      <c r="E219" s="1917"/>
      <c r="F219" s="1917"/>
      <c r="G219" s="1917"/>
      <c r="H219" s="1917"/>
    </row>
    <row r="220" spans="1:8">
      <c r="A220" s="1917" t="s">
        <v>1226</v>
      </c>
      <c r="B220" s="1917"/>
      <c r="C220" s="1917"/>
      <c r="D220" s="1917"/>
      <c r="E220" s="1917"/>
      <c r="F220" s="1917"/>
      <c r="G220" s="1917"/>
      <c r="H220" s="1917"/>
    </row>
    <row r="221" spans="1:8">
      <c r="A221" s="1917" t="s">
        <v>1227</v>
      </c>
      <c r="B221" s="1917"/>
      <c r="C221" s="1917"/>
      <c r="D221" s="1917"/>
      <c r="E221" s="1917"/>
      <c r="F221" s="1917"/>
      <c r="G221" s="1917"/>
      <c r="H221" s="1917"/>
    </row>
    <row r="222" spans="1:8">
      <c r="A222" s="1917" t="s">
        <v>1228</v>
      </c>
      <c r="B222" s="1917"/>
      <c r="C222" s="1917"/>
      <c r="D222" s="1917"/>
      <c r="E222" s="1917"/>
      <c r="F222" s="1917"/>
      <c r="G222" s="1917"/>
      <c r="H222" s="1917"/>
    </row>
    <row r="223" spans="1:8">
      <c r="A223" s="1917" t="s">
        <v>1229</v>
      </c>
      <c r="B223" s="1917"/>
      <c r="C223" s="1917"/>
      <c r="D223" s="1917"/>
      <c r="E223" s="1917"/>
      <c r="F223" s="1917"/>
      <c r="G223" s="1917"/>
      <c r="H223" s="1917"/>
    </row>
    <row r="224" spans="1:8">
      <c r="A224" s="1917"/>
      <c r="B224" s="1917"/>
      <c r="C224" s="1917"/>
      <c r="D224" s="1917"/>
      <c r="E224" s="1917"/>
      <c r="F224" s="1917"/>
      <c r="G224" s="1917"/>
      <c r="H224" s="1917"/>
    </row>
    <row r="225" spans="1:8">
      <c r="A225" s="1917" t="s">
        <v>1230</v>
      </c>
      <c r="B225" s="1917"/>
      <c r="C225" s="1917"/>
      <c r="D225" s="1917"/>
      <c r="E225" s="1917"/>
      <c r="F225" s="1917"/>
      <c r="G225" s="1917"/>
      <c r="H225" s="1917"/>
    </row>
    <row r="226" spans="1:8">
      <c r="A226" s="1917" t="s">
        <v>1231</v>
      </c>
      <c r="B226" s="1917"/>
      <c r="C226" s="1917"/>
      <c r="D226" s="1917"/>
      <c r="E226" s="1917"/>
      <c r="F226" s="1917"/>
      <c r="G226" s="1917"/>
      <c r="H226" s="1917"/>
    </row>
    <row r="227" spans="1:8">
      <c r="A227" s="1917" t="s">
        <v>1232</v>
      </c>
      <c r="B227" s="1917"/>
      <c r="C227" s="1917"/>
      <c r="D227" s="1917"/>
      <c r="E227" s="1917"/>
      <c r="F227" s="1917"/>
      <c r="G227" s="1917"/>
      <c r="H227" s="1917"/>
    </row>
    <row r="228" spans="1:8">
      <c r="A228" s="1917"/>
      <c r="B228" s="1917"/>
      <c r="C228" s="1917"/>
      <c r="D228" s="1917"/>
      <c r="E228" s="1917"/>
      <c r="F228" s="1917"/>
      <c r="G228" s="1917"/>
      <c r="H228" s="1917"/>
    </row>
    <row r="229" spans="1:8" ht="15.75">
      <c r="A229" s="1918" t="s">
        <v>1233</v>
      </c>
      <c r="B229" s="1917"/>
      <c r="C229" s="1917"/>
      <c r="D229" s="1917"/>
      <c r="E229" s="1917"/>
      <c r="F229" s="1917"/>
      <c r="G229" s="1917"/>
      <c r="H229" s="1917"/>
    </row>
    <row r="230" spans="1:8">
      <c r="A230" s="1917"/>
      <c r="B230" s="1917"/>
      <c r="C230" s="1917"/>
      <c r="D230" s="1917"/>
      <c r="E230" s="1917"/>
      <c r="F230" s="1917"/>
      <c r="G230" s="1917"/>
      <c r="H230" s="1917"/>
    </row>
    <row r="231" spans="1:8">
      <c r="A231" s="1917" t="s">
        <v>1234</v>
      </c>
      <c r="B231" s="1917"/>
      <c r="C231" s="1917"/>
      <c r="D231" s="1917"/>
      <c r="E231" s="1917"/>
      <c r="F231" s="1917"/>
      <c r="G231" s="1917"/>
      <c r="H231" s="1917"/>
    </row>
    <row r="232" spans="1:8">
      <c r="A232" s="1917" t="s">
        <v>1235</v>
      </c>
      <c r="B232" s="1917"/>
      <c r="C232" s="1917"/>
      <c r="D232" s="1917"/>
      <c r="E232" s="1917"/>
      <c r="F232" s="1917"/>
      <c r="G232" s="1917"/>
      <c r="H232" s="1917"/>
    </row>
    <row r="233" spans="1:8">
      <c r="A233" s="1917" t="s">
        <v>1236</v>
      </c>
      <c r="B233" s="1917"/>
      <c r="C233" s="1917"/>
      <c r="D233" s="1917"/>
      <c r="E233" s="1917"/>
      <c r="F233" s="1917"/>
      <c r="G233" s="1917"/>
      <c r="H233" s="1917"/>
    </row>
    <row r="234" spans="1:8">
      <c r="A234" s="1917" t="s">
        <v>1237</v>
      </c>
      <c r="B234" s="1917"/>
      <c r="C234" s="1917"/>
      <c r="D234" s="1917"/>
      <c r="E234" s="1917"/>
      <c r="F234" s="1917"/>
      <c r="G234" s="1917"/>
      <c r="H234" s="1917"/>
    </row>
    <row r="235" spans="1:8">
      <c r="A235" s="1917" t="s">
        <v>1238</v>
      </c>
      <c r="B235" s="1917"/>
      <c r="C235" s="1917"/>
      <c r="D235" s="1917"/>
      <c r="E235" s="1917"/>
      <c r="F235" s="1917"/>
      <c r="G235" s="1917"/>
      <c r="H235" s="1917"/>
    </row>
    <row r="236" spans="1:8">
      <c r="A236" s="1917" t="s">
        <v>1239</v>
      </c>
      <c r="B236" s="1917"/>
      <c r="C236" s="1917"/>
      <c r="D236" s="1917"/>
      <c r="E236" s="1917"/>
      <c r="F236" s="1917"/>
      <c r="G236" s="1917"/>
      <c r="H236" s="1917"/>
    </row>
    <row r="237" spans="1:8">
      <c r="A237" s="1917" t="s">
        <v>1240</v>
      </c>
      <c r="B237" s="1917"/>
      <c r="C237" s="1917"/>
      <c r="D237" s="1917"/>
      <c r="E237" s="1917"/>
      <c r="F237" s="1917"/>
      <c r="G237" s="1917"/>
      <c r="H237" s="1917"/>
    </row>
    <row r="238" spans="1:8">
      <c r="A238" s="1917"/>
      <c r="B238" s="1917"/>
      <c r="C238" s="1917"/>
      <c r="D238" s="1917"/>
      <c r="E238" s="1917"/>
      <c r="F238" s="1917"/>
      <c r="G238" s="1917"/>
      <c r="H238" s="1917"/>
    </row>
    <row r="239" spans="1:8">
      <c r="A239" s="1917" t="s">
        <v>1241</v>
      </c>
      <c r="B239" s="1917"/>
      <c r="C239" s="1917"/>
      <c r="D239" s="1917"/>
      <c r="E239" s="1917"/>
      <c r="F239" s="1917"/>
      <c r="G239" s="1917"/>
      <c r="H239" s="1917"/>
    </row>
    <row r="240" spans="1:8">
      <c r="A240" s="1917" t="s">
        <v>1242</v>
      </c>
      <c r="B240" s="1917"/>
      <c r="C240" s="1917"/>
      <c r="D240" s="1917"/>
      <c r="E240" s="1917"/>
      <c r="F240" s="1917"/>
      <c r="G240" s="1917"/>
      <c r="H240" s="1917"/>
    </row>
    <row r="241" spans="1:8">
      <c r="A241" s="1917" t="s">
        <v>1243</v>
      </c>
      <c r="B241" s="1917"/>
      <c r="C241" s="1917"/>
      <c r="D241" s="1917"/>
      <c r="E241" s="1917"/>
      <c r="F241" s="1917"/>
      <c r="G241" s="1917"/>
      <c r="H241" s="1917"/>
    </row>
    <row r="242" spans="1:8">
      <c r="A242" s="1917"/>
      <c r="B242" s="1917"/>
      <c r="C242" s="1917"/>
      <c r="D242" s="1917"/>
      <c r="E242" s="1917"/>
      <c r="F242" s="1917"/>
      <c r="G242" s="1917"/>
      <c r="H242" s="1917"/>
    </row>
    <row r="243" spans="1:8">
      <c r="A243" s="1917" t="s">
        <v>1244</v>
      </c>
      <c r="B243" s="1917"/>
      <c r="C243" s="1917"/>
      <c r="D243" s="1917"/>
      <c r="E243" s="1917"/>
      <c r="F243" s="1917"/>
      <c r="G243" s="1917"/>
      <c r="H243" s="1917"/>
    </row>
    <row r="244" spans="1:8">
      <c r="A244" s="1917" t="s">
        <v>1245</v>
      </c>
      <c r="B244" s="1917"/>
      <c r="C244" s="1917"/>
      <c r="D244" s="1917"/>
      <c r="E244" s="1917"/>
      <c r="F244" s="1917"/>
      <c r="G244" s="1917"/>
      <c r="H244" s="1917"/>
    </row>
    <row r="245" spans="1:8">
      <c r="A245" s="1917" t="s">
        <v>1246</v>
      </c>
      <c r="B245" s="1917"/>
      <c r="C245" s="1917"/>
      <c r="D245" s="1917"/>
      <c r="E245" s="1917"/>
      <c r="F245" s="1917"/>
      <c r="G245" s="1917"/>
      <c r="H245" s="1917"/>
    </row>
    <row r="246" spans="1:8">
      <c r="A246" s="1917" t="s">
        <v>1247</v>
      </c>
      <c r="B246" s="1917"/>
      <c r="C246" s="1917"/>
      <c r="D246" s="1917"/>
      <c r="E246" s="1917"/>
      <c r="F246" s="1917"/>
      <c r="G246" s="1917"/>
      <c r="H246" s="1917"/>
    </row>
    <row r="247" spans="1:8">
      <c r="A247" s="1917" t="s">
        <v>1248</v>
      </c>
      <c r="B247" s="1917"/>
      <c r="C247" s="1917"/>
      <c r="D247" s="1917"/>
      <c r="E247" s="1917"/>
      <c r="F247" s="1917"/>
      <c r="G247" s="1917"/>
      <c r="H247" s="1917"/>
    </row>
    <row r="248" spans="1:8">
      <c r="A248" s="1917"/>
      <c r="B248" s="1917"/>
      <c r="C248" s="1917"/>
      <c r="D248" s="1917"/>
      <c r="E248" s="1917"/>
      <c r="F248" s="1917"/>
      <c r="G248" s="1917"/>
      <c r="H248" s="1917"/>
    </row>
    <row r="249" spans="1:8">
      <c r="A249" s="1917" t="s">
        <v>1249</v>
      </c>
      <c r="B249" s="1917"/>
      <c r="C249" s="1917"/>
      <c r="D249" s="1917"/>
      <c r="E249" s="1917"/>
      <c r="F249" s="1917"/>
      <c r="G249" s="1917"/>
      <c r="H249" s="1917"/>
    </row>
    <row r="250" spans="1:8">
      <c r="A250" s="1917" t="s">
        <v>1250</v>
      </c>
      <c r="B250" s="1917"/>
      <c r="C250" s="1917"/>
      <c r="D250" s="1917"/>
      <c r="E250" s="1917"/>
      <c r="F250" s="1917"/>
      <c r="G250" s="1917"/>
      <c r="H250" s="1917"/>
    </row>
    <row r="251" spans="1:8">
      <c r="A251" s="1917" t="s">
        <v>1251</v>
      </c>
      <c r="B251" s="1917"/>
      <c r="C251" s="1917"/>
      <c r="D251" s="1917"/>
      <c r="E251" s="1917"/>
      <c r="F251" s="1917"/>
      <c r="G251" s="1917"/>
      <c r="H251" s="1917"/>
    </row>
    <row r="252" spans="1:8">
      <c r="A252" s="1917" t="s">
        <v>1252</v>
      </c>
      <c r="B252" s="1917"/>
      <c r="C252" s="1917"/>
      <c r="D252" s="1917"/>
      <c r="E252" s="1917"/>
      <c r="F252" s="1917"/>
      <c r="G252" s="1917"/>
      <c r="H252" s="1917"/>
    </row>
    <row r="253" spans="1:8">
      <c r="A253" s="1917" t="s">
        <v>1253</v>
      </c>
      <c r="B253" s="1917"/>
      <c r="C253" s="1917"/>
      <c r="D253" s="1917"/>
      <c r="E253" s="1917"/>
      <c r="F253" s="1917"/>
      <c r="G253" s="1917"/>
      <c r="H253" s="1917"/>
    </row>
    <row r="254" spans="1:8">
      <c r="A254" s="1917" t="s">
        <v>1254</v>
      </c>
      <c r="B254" s="1917"/>
      <c r="C254" s="1917"/>
      <c r="D254" s="1917"/>
      <c r="E254" s="1917"/>
      <c r="F254" s="1917"/>
      <c r="G254" s="1917"/>
      <c r="H254" s="1917"/>
    </row>
    <row r="255" spans="1:8">
      <c r="A255" s="1917"/>
      <c r="B255" s="1917"/>
      <c r="C255" s="1917"/>
      <c r="D255" s="1917"/>
      <c r="E255" s="1917"/>
      <c r="F255" s="1917"/>
      <c r="G255" s="1917"/>
      <c r="H255" s="1917"/>
    </row>
    <row r="256" spans="1:8">
      <c r="A256" s="1917" t="s">
        <v>1255</v>
      </c>
      <c r="B256" s="1917"/>
      <c r="C256" s="1917"/>
      <c r="D256" s="1917"/>
      <c r="E256" s="1917"/>
      <c r="F256" s="1917"/>
      <c r="G256" s="1917"/>
      <c r="H256" s="1917"/>
    </row>
    <row r="257" spans="1:8">
      <c r="A257" s="1917" t="s">
        <v>1256</v>
      </c>
      <c r="B257" s="1917"/>
      <c r="C257" s="1917"/>
      <c r="D257" s="1917"/>
      <c r="E257" s="1917"/>
      <c r="F257" s="1917"/>
      <c r="G257" s="1917"/>
      <c r="H257" s="1917"/>
    </row>
    <row r="258" spans="1:8">
      <c r="A258" s="1917" t="s">
        <v>1257</v>
      </c>
      <c r="B258" s="1917"/>
      <c r="C258" s="1917"/>
      <c r="D258" s="1917"/>
      <c r="E258" s="1917"/>
      <c r="F258" s="1917"/>
      <c r="G258" s="1917"/>
      <c r="H258" s="1917"/>
    </row>
    <row r="259" spans="1:8">
      <c r="A259" s="1917" t="s">
        <v>1258</v>
      </c>
      <c r="B259" s="1917"/>
      <c r="C259" s="1917"/>
      <c r="D259" s="1917"/>
      <c r="E259" s="1917"/>
      <c r="F259" s="1917"/>
      <c r="G259" s="1917"/>
      <c r="H259" s="1917"/>
    </row>
    <row r="260" spans="1:8">
      <c r="A260" s="1917" t="s">
        <v>1259</v>
      </c>
      <c r="B260" s="1917"/>
      <c r="C260" s="1917"/>
      <c r="D260" s="1917"/>
      <c r="E260" s="1917"/>
      <c r="F260" s="1917"/>
      <c r="G260" s="1917"/>
      <c r="H260" s="1917"/>
    </row>
    <row r="261" spans="1:8">
      <c r="A261" s="1917" t="s">
        <v>1260</v>
      </c>
      <c r="B261" s="1917"/>
      <c r="C261" s="1917"/>
      <c r="D261" s="1917"/>
      <c r="E261" s="1917"/>
      <c r="F261" s="1917"/>
      <c r="G261" s="1917"/>
      <c r="H261" s="1917"/>
    </row>
    <row r="262" spans="1:8">
      <c r="A262" s="1917" t="s">
        <v>1261</v>
      </c>
      <c r="B262" s="1917"/>
      <c r="C262" s="1917"/>
      <c r="D262" s="1917"/>
      <c r="E262" s="1917"/>
      <c r="F262" s="1917"/>
      <c r="G262" s="1917"/>
      <c r="H262" s="1917"/>
    </row>
    <row r="263" spans="1:8">
      <c r="A263" s="1917" t="s">
        <v>1262</v>
      </c>
      <c r="B263" s="1917"/>
      <c r="C263" s="1917"/>
      <c r="D263" s="1917"/>
      <c r="E263" s="1917"/>
      <c r="F263" s="1917"/>
      <c r="G263" s="1917"/>
      <c r="H263" s="1917"/>
    </row>
    <row r="264" spans="1:8">
      <c r="A264" s="1917" t="s">
        <v>1263</v>
      </c>
      <c r="B264" s="1917"/>
      <c r="C264" s="1917"/>
      <c r="D264" s="1917"/>
      <c r="E264" s="1917"/>
      <c r="F264" s="1917"/>
      <c r="G264" s="1917"/>
      <c r="H264" s="1917"/>
    </row>
    <row r="265" spans="1:8">
      <c r="A265" s="1917" t="s">
        <v>1264</v>
      </c>
      <c r="B265" s="1917"/>
      <c r="C265" s="1917"/>
      <c r="D265" s="1917"/>
      <c r="E265" s="1917"/>
      <c r="F265" s="1917"/>
      <c r="G265" s="1917"/>
      <c r="H265" s="1917"/>
    </row>
    <row r="266" spans="1:8">
      <c r="A266" s="1917" t="s">
        <v>1265</v>
      </c>
      <c r="B266" s="1917"/>
      <c r="C266" s="1917"/>
      <c r="D266" s="1917"/>
      <c r="E266" s="1917"/>
      <c r="F266" s="1917"/>
      <c r="G266" s="1917"/>
      <c r="H266" s="1917"/>
    </row>
    <row r="267" spans="1:8">
      <c r="A267" s="1917" t="s">
        <v>1266</v>
      </c>
      <c r="B267" s="1917"/>
      <c r="C267" s="1917"/>
      <c r="D267" s="1917"/>
      <c r="E267" s="1917"/>
      <c r="F267" s="1917"/>
      <c r="G267" s="1917"/>
      <c r="H267" s="1917"/>
    </row>
    <row r="268" spans="1:8">
      <c r="A268" s="1917" t="s">
        <v>1267</v>
      </c>
      <c r="B268" s="1917"/>
      <c r="C268" s="1917"/>
      <c r="D268" s="1917"/>
      <c r="E268" s="1917"/>
      <c r="F268" s="1917"/>
      <c r="G268" s="1917"/>
      <c r="H268" s="1917"/>
    </row>
    <row r="269" spans="1:8">
      <c r="A269" s="1917" t="s">
        <v>1268</v>
      </c>
      <c r="B269" s="1917"/>
      <c r="C269" s="1917"/>
      <c r="D269" s="1917"/>
      <c r="E269" s="1917"/>
      <c r="F269" s="1917"/>
      <c r="G269" s="1917"/>
      <c r="H269" s="1917"/>
    </row>
    <row r="270" spans="1:8">
      <c r="A270" s="1917"/>
      <c r="B270" s="1917"/>
      <c r="C270" s="1917"/>
      <c r="D270" s="1917"/>
      <c r="E270" s="1917"/>
      <c r="F270" s="1917"/>
      <c r="G270" s="1917"/>
      <c r="H270" s="1917"/>
    </row>
    <row r="271" spans="1:8">
      <c r="A271" s="1917" t="s">
        <v>1269</v>
      </c>
      <c r="B271" s="1917"/>
      <c r="C271" s="1917"/>
      <c r="D271" s="1917"/>
      <c r="E271" s="1917"/>
      <c r="F271" s="1917"/>
      <c r="G271" s="1917"/>
      <c r="H271" s="1917"/>
    </row>
    <row r="272" spans="1:8">
      <c r="A272" s="1917" t="s">
        <v>1270</v>
      </c>
      <c r="B272" s="1917"/>
      <c r="C272" s="1917"/>
      <c r="D272" s="1917"/>
      <c r="E272" s="1917"/>
      <c r="F272" s="1917"/>
      <c r="G272" s="1917"/>
      <c r="H272" s="1917"/>
    </row>
    <row r="273" spans="1:8">
      <c r="A273" s="1917"/>
      <c r="B273" s="1917"/>
      <c r="C273" s="1917"/>
      <c r="D273" s="1917"/>
      <c r="E273" s="1917"/>
      <c r="F273" s="1917"/>
      <c r="G273" s="1917"/>
      <c r="H273" s="1917"/>
    </row>
    <row r="274" spans="1:8">
      <c r="A274" s="1917" t="s">
        <v>1271</v>
      </c>
      <c r="B274" s="1917"/>
      <c r="C274" s="1917"/>
      <c r="D274" s="1917"/>
      <c r="E274" s="1917"/>
      <c r="F274" s="1917"/>
      <c r="G274" s="1917"/>
      <c r="H274" s="1917"/>
    </row>
    <row r="275" spans="1:8">
      <c r="A275" s="1917" t="s">
        <v>1272</v>
      </c>
      <c r="B275" s="1917"/>
      <c r="C275" s="1917"/>
      <c r="D275" s="1917"/>
      <c r="E275" s="1917"/>
      <c r="F275" s="1917"/>
      <c r="G275" s="1917"/>
      <c r="H275" s="1917"/>
    </row>
    <row r="276" spans="1:8">
      <c r="A276" s="1917" t="s">
        <v>1273</v>
      </c>
      <c r="B276" s="1917"/>
      <c r="C276" s="1917"/>
      <c r="D276" s="1917"/>
      <c r="E276" s="1917"/>
      <c r="F276" s="1917"/>
      <c r="G276" s="1917"/>
      <c r="H276" s="1917"/>
    </row>
    <row r="277" spans="1:8">
      <c r="A277" s="1917" t="s">
        <v>1274</v>
      </c>
      <c r="B277" s="1917"/>
      <c r="C277" s="1917"/>
      <c r="D277" s="1917"/>
      <c r="E277" s="1917"/>
      <c r="F277" s="1917"/>
      <c r="G277" s="1917"/>
      <c r="H277" s="1917"/>
    </row>
    <row r="278" spans="1:8">
      <c r="A278" s="1917" t="s">
        <v>1275</v>
      </c>
      <c r="B278" s="1917"/>
      <c r="C278" s="1917"/>
      <c r="D278" s="1917"/>
      <c r="E278" s="1917"/>
      <c r="F278" s="1917"/>
      <c r="G278" s="1917"/>
      <c r="H278" s="1917"/>
    </row>
    <row r="279" spans="1:8">
      <c r="A279" s="1917" t="s">
        <v>1276</v>
      </c>
      <c r="B279" s="1917"/>
      <c r="C279" s="1917"/>
      <c r="D279" s="1917"/>
      <c r="E279" s="1917"/>
      <c r="F279" s="1917"/>
      <c r="G279" s="1917"/>
      <c r="H279" s="1917"/>
    </row>
    <row r="280" spans="1:8">
      <c r="A280" s="1917" t="s">
        <v>1277</v>
      </c>
      <c r="B280" s="1917"/>
      <c r="C280" s="1917"/>
      <c r="D280" s="1917"/>
      <c r="E280" s="1917"/>
      <c r="F280" s="1917"/>
      <c r="G280" s="1917"/>
      <c r="H280" s="1917"/>
    </row>
    <row r="281" spans="1:8">
      <c r="A281" s="1917" t="s">
        <v>1278</v>
      </c>
      <c r="B281" s="1917"/>
      <c r="C281" s="1917"/>
      <c r="D281" s="1917"/>
      <c r="E281" s="1917"/>
      <c r="F281" s="1917"/>
      <c r="G281" s="1917"/>
      <c r="H281" s="1917"/>
    </row>
    <row r="282" spans="1:8">
      <c r="A282" s="1917" t="s">
        <v>1279</v>
      </c>
      <c r="B282" s="1917"/>
      <c r="C282" s="1917"/>
      <c r="D282" s="1917"/>
      <c r="E282" s="1917"/>
      <c r="F282" s="1917"/>
      <c r="G282" s="1917"/>
      <c r="H282" s="1917"/>
    </row>
    <row r="283" spans="1:8">
      <c r="A283" s="1917" t="s">
        <v>1280</v>
      </c>
      <c r="B283" s="1917"/>
      <c r="C283" s="1917"/>
      <c r="D283" s="1917"/>
      <c r="E283" s="1917"/>
      <c r="F283" s="1917"/>
      <c r="G283" s="1917"/>
      <c r="H283" s="1917"/>
    </row>
    <row r="284" spans="1:8">
      <c r="A284" s="1917" t="s">
        <v>1281</v>
      </c>
      <c r="B284" s="1917"/>
      <c r="C284" s="1917"/>
      <c r="D284" s="1917"/>
      <c r="E284" s="1917"/>
      <c r="F284" s="1917"/>
      <c r="G284" s="1917"/>
      <c r="H284" s="1917"/>
    </row>
    <row r="285" spans="1:8">
      <c r="A285" s="1917" t="s">
        <v>1282</v>
      </c>
      <c r="B285" s="1917"/>
      <c r="C285" s="1917"/>
      <c r="D285" s="1917"/>
      <c r="E285" s="1917"/>
      <c r="F285" s="1917"/>
      <c r="G285" s="1917"/>
      <c r="H285" s="1917"/>
    </row>
    <row r="286" spans="1:8">
      <c r="A286" s="1917" t="s">
        <v>1283</v>
      </c>
      <c r="B286" s="1917"/>
      <c r="C286" s="1917"/>
      <c r="D286" s="1917"/>
      <c r="E286" s="1917"/>
      <c r="F286" s="1917"/>
      <c r="G286" s="1917"/>
      <c r="H286" s="1917"/>
    </row>
    <row r="287" spans="1:8">
      <c r="A287" s="1917" t="s">
        <v>1284</v>
      </c>
      <c r="B287" s="1917"/>
      <c r="C287" s="1917"/>
      <c r="D287" s="1917"/>
      <c r="E287" s="1917"/>
      <c r="F287" s="1917"/>
      <c r="G287" s="1917"/>
      <c r="H287" s="1917"/>
    </row>
    <row r="288" spans="1:8">
      <c r="A288" s="1917" t="s">
        <v>1285</v>
      </c>
      <c r="B288" s="1917"/>
      <c r="C288" s="1917"/>
      <c r="D288" s="1917"/>
      <c r="E288" s="1917"/>
      <c r="F288" s="1917"/>
      <c r="G288" s="1917"/>
      <c r="H288" s="1917"/>
    </row>
    <row r="289" spans="1:8">
      <c r="A289" s="1917" t="s">
        <v>1286</v>
      </c>
      <c r="B289" s="1917"/>
      <c r="C289" s="1917"/>
      <c r="D289" s="1917"/>
      <c r="E289" s="1917"/>
      <c r="F289" s="1917"/>
      <c r="G289" s="1917"/>
      <c r="H289" s="1917"/>
    </row>
    <row r="290" spans="1:8">
      <c r="A290" s="1917"/>
      <c r="B290" s="1917"/>
      <c r="C290" s="1917"/>
      <c r="D290" s="1917"/>
      <c r="E290" s="1917"/>
      <c r="F290" s="1917"/>
      <c r="G290" s="1917"/>
      <c r="H290" s="1917"/>
    </row>
    <row r="291" spans="1:8">
      <c r="A291" s="1917" t="s">
        <v>1287</v>
      </c>
      <c r="B291" s="1917"/>
      <c r="C291" s="1917"/>
      <c r="D291" s="1917"/>
      <c r="E291" s="1917"/>
      <c r="F291" s="1917"/>
      <c r="G291" s="1917"/>
      <c r="H291" s="1917"/>
    </row>
    <row r="292" spans="1:8">
      <c r="A292" s="1917" t="s">
        <v>1288</v>
      </c>
      <c r="B292" s="1917"/>
      <c r="C292" s="1917"/>
      <c r="D292" s="1917"/>
      <c r="E292" s="1917"/>
      <c r="F292" s="1917"/>
      <c r="G292" s="1917"/>
      <c r="H292" s="1917"/>
    </row>
    <row r="293" spans="1:8">
      <c r="A293" s="1917" t="s">
        <v>1289</v>
      </c>
      <c r="B293" s="1917"/>
      <c r="C293" s="1917"/>
      <c r="D293" s="1917"/>
      <c r="E293" s="1917"/>
      <c r="F293" s="1917"/>
      <c r="G293" s="1917"/>
      <c r="H293" s="1917"/>
    </row>
    <row r="294" spans="1:8">
      <c r="A294" s="1917" t="s">
        <v>1290</v>
      </c>
      <c r="B294" s="1917"/>
      <c r="C294" s="1917"/>
      <c r="D294" s="1917"/>
      <c r="E294" s="1917"/>
      <c r="F294" s="1917"/>
      <c r="G294" s="1917"/>
      <c r="H294" s="1917"/>
    </row>
    <row r="295" spans="1:8">
      <c r="A295" s="1917" t="s">
        <v>1291</v>
      </c>
      <c r="B295" s="1917"/>
      <c r="C295" s="1917"/>
      <c r="D295" s="1917"/>
      <c r="E295" s="1917"/>
      <c r="F295" s="1917"/>
      <c r="G295" s="1917"/>
      <c r="H295" s="1917"/>
    </row>
    <row r="296" spans="1:8">
      <c r="A296" s="1917" t="s">
        <v>1292</v>
      </c>
      <c r="B296" s="1917"/>
      <c r="C296" s="1917"/>
      <c r="D296" s="1917"/>
      <c r="E296" s="1917"/>
      <c r="F296" s="1917"/>
      <c r="G296" s="1917"/>
      <c r="H296" s="1917"/>
    </row>
    <row r="297" spans="1:8">
      <c r="A297" s="1917" t="s">
        <v>1151</v>
      </c>
      <c r="B297" s="1917"/>
      <c r="C297" s="1917"/>
      <c r="D297" s="1917"/>
      <c r="E297" s="1917"/>
      <c r="F297" s="1917"/>
      <c r="G297" s="1917"/>
      <c r="H297" s="1917"/>
    </row>
    <row r="298" spans="1:8">
      <c r="A298" s="1917"/>
      <c r="B298" s="1917"/>
      <c r="C298" s="1917"/>
      <c r="D298" s="1917"/>
      <c r="E298" s="1917"/>
      <c r="F298" s="1917"/>
      <c r="G298" s="1917"/>
      <c r="H298" s="1917"/>
    </row>
    <row r="299" spans="1:8">
      <c r="A299" s="1917" t="s">
        <v>1293</v>
      </c>
      <c r="B299" s="1917"/>
      <c r="C299" s="1917"/>
      <c r="D299" s="1917"/>
      <c r="E299" s="1917"/>
      <c r="F299" s="1917"/>
      <c r="G299" s="1917"/>
      <c r="H299" s="1917"/>
    </row>
    <row r="300" spans="1:8">
      <c r="A300" s="1917" t="s">
        <v>1294</v>
      </c>
      <c r="B300" s="1917"/>
      <c r="C300" s="1917"/>
      <c r="D300" s="1917"/>
      <c r="E300" s="1917"/>
      <c r="F300" s="1917"/>
      <c r="G300" s="1917"/>
      <c r="H300" s="1917"/>
    </row>
    <row r="301" spans="1:8">
      <c r="A301" s="1917" t="s">
        <v>1295</v>
      </c>
      <c r="B301" s="1917"/>
      <c r="C301" s="1917"/>
      <c r="D301" s="1917"/>
      <c r="E301" s="1917"/>
      <c r="F301" s="1917"/>
      <c r="G301" s="1917"/>
      <c r="H301" s="1917"/>
    </row>
    <row r="302" spans="1:8">
      <c r="A302" s="1917" t="s">
        <v>1296</v>
      </c>
      <c r="B302" s="1917"/>
      <c r="C302" s="1917"/>
      <c r="D302" s="1917"/>
      <c r="E302" s="1917"/>
      <c r="F302" s="1917"/>
      <c r="G302" s="1917"/>
      <c r="H302" s="1917"/>
    </row>
    <row r="303" spans="1:8">
      <c r="A303" s="1917" t="s">
        <v>1297</v>
      </c>
      <c r="B303" s="1917"/>
      <c r="C303" s="1917"/>
      <c r="D303" s="1917"/>
      <c r="E303" s="1917"/>
      <c r="F303" s="1917"/>
      <c r="G303" s="1917"/>
      <c r="H303" s="1917"/>
    </row>
    <row r="304" spans="1:8">
      <c r="A304" s="1917" t="s">
        <v>1298</v>
      </c>
      <c r="B304" s="1917"/>
      <c r="C304" s="1917"/>
      <c r="D304" s="1917"/>
      <c r="E304" s="1917"/>
      <c r="F304" s="1917"/>
      <c r="G304" s="1917"/>
      <c r="H304" s="1917"/>
    </row>
    <row r="305" spans="1:8">
      <c r="A305" s="1917" t="s">
        <v>1299</v>
      </c>
      <c r="B305" s="1917"/>
      <c r="C305" s="1917"/>
      <c r="D305" s="1917"/>
      <c r="E305" s="1917"/>
      <c r="F305" s="1917"/>
      <c r="G305" s="1917"/>
      <c r="H305" s="1917"/>
    </row>
    <row r="306" spans="1:8">
      <c r="A306" s="1917" t="s">
        <v>1300</v>
      </c>
      <c r="B306" s="1917"/>
      <c r="C306" s="1917"/>
      <c r="D306" s="1917"/>
      <c r="E306" s="1917"/>
      <c r="F306" s="1917"/>
      <c r="G306" s="1917"/>
      <c r="H306" s="1917"/>
    </row>
    <row r="307" spans="1:8">
      <c r="A307" s="1917" t="s">
        <v>1301</v>
      </c>
      <c r="B307" s="1917"/>
      <c r="C307" s="1917"/>
      <c r="D307" s="1917"/>
      <c r="E307" s="1917"/>
      <c r="F307" s="1917"/>
      <c r="G307" s="1917"/>
      <c r="H307" s="1917"/>
    </row>
    <row r="308" spans="1:8">
      <c r="A308" s="1917"/>
      <c r="B308" s="1917"/>
      <c r="C308" s="1917"/>
      <c r="D308" s="1917"/>
      <c r="E308" s="1917"/>
      <c r="F308" s="1917"/>
      <c r="G308" s="1917"/>
      <c r="H308" s="1917"/>
    </row>
    <row r="309" spans="1:8">
      <c r="A309" s="1917" t="s">
        <v>1302</v>
      </c>
      <c r="B309" s="1917"/>
      <c r="C309" s="1917"/>
      <c r="D309" s="1917"/>
      <c r="E309" s="1917"/>
      <c r="F309" s="1917"/>
      <c r="G309" s="1917"/>
      <c r="H309" s="1917"/>
    </row>
    <row r="310" spans="1:8">
      <c r="A310" s="1917" t="s">
        <v>1303</v>
      </c>
      <c r="B310" s="1917"/>
      <c r="C310" s="1917"/>
      <c r="D310" s="1917"/>
      <c r="E310" s="1917"/>
      <c r="F310" s="1917"/>
      <c r="G310" s="1917"/>
      <c r="H310" s="1917"/>
    </row>
    <row r="311" spans="1:8">
      <c r="A311" s="1917" t="s">
        <v>1304</v>
      </c>
      <c r="B311" s="1917"/>
      <c r="C311" s="1917"/>
      <c r="D311" s="1917"/>
      <c r="E311" s="1917"/>
      <c r="F311" s="1917"/>
      <c r="G311" s="1917"/>
      <c r="H311" s="1917"/>
    </row>
    <row r="312" spans="1:8">
      <c r="A312" s="1917" t="s">
        <v>1305</v>
      </c>
      <c r="B312" s="1917"/>
      <c r="C312" s="1917"/>
      <c r="D312" s="1917"/>
      <c r="E312" s="1917"/>
      <c r="F312" s="1917"/>
      <c r="G312" s="1917"/>
      <c r="H312" s="1917"/>
    </row>
    <row r="313" spans="1:8">
      <c r="A313" s="1917" t="s">
        <v>1306</v>
      </c>
      <c r="B313" s="1917"/>
      <c r="C313" s="1917"/>
      <c r="D313" s="1917"/>
      <c r="E313" s="1917"/>
      <c r="F313" s="1917"/>
      <c r="G313" s="1917"/>
      <c r="H313" s="1917"/>
    </row>
    <row r="314" spans="1:8">
      <c r="A314" s="1917" t="s">
        <v>1307</v>
      </c>
      <c r="B314" s="1917"/>
      <c r="C314" s="1917"/>
      <c r="D314" s="1917"/>
      <c r="E314" s="1917"/>
      <c r="F314" s="1917"/>
      <c r="G314" s="1917"/>
      <c r="H314" s="1917"/>
    </row>
    <row r="315" spans="1:8">
      <c r="A315" s="1917" t="s">
        <v>1308</v>
      </c>
      <c r="B315" s="1917"/>
      <c r="C315" s="1917"/>
      <c r="D315" s="1917"/>
      <c r="E315" s="1917"/>
      <c r="F315" s="1917"/>
      <c r="G315" s="1917"/>
      <c r="H315" s="1917"/>
    </row>
    <row r="316" spans="1:8">
      <c r="A316" s="1917"/>
      <c r="B316" s="1917"/>
      <c r="C316" s="1917"/>
      <c r="D316" s="1917"/>
      <c r="E316" s="1917"/>
      <c r="F316" s="1917"/>
      <c r="G316" s="1917"/>
      <c r="H316" s="1917"/>
    </row>
    <row r="317" spans="1:8">
      <c r="A317" s="1917" t="s">
        <v>1309</v>
      </c>
      <c r="B317" s="1917"/>
      <c r="C317" s="1917"/>
      <c r="D317" s="1917"/>
      <c r="E317" s="1917"/>
      <c r="F317" s="1917"/>
      <c r="G317" s="1917"/>
      <c r="H317" s="1917"/>
    </row>
    <row r="318" spans="1:8">
      <c r="A318" s="1917" t="s">
        <v>1310</v>
      </c>
      <c r="B318" s="1917"/>
      <c r="C318" s="1917"/>
      <c r="D318" s="1917"/>
      <c r="E318" s="1917"/>
      <c r="F318" s="1917"/>
      <c r="G318" s="1917"/>
      <c r="H318" s="1917"/>
    </row>
    <row r="319" spans="1:8">
      <c r="A319" s="1917" t="s">
        <v>1311</v>
      </c>
      <c r="B319" s="1917"/>
      <c r="C319" s="1917"/>
      <c r="D319" s="1917"/>
      <c r="E319" s="1917"/>
      <c r="F319" s="1917"/>
      <c r="G319" s="1917"/>
      <c r="H319" s="1917"/>
    </row>
    <row r="320" spans="1:8">
      <c r="A320" s="1917"/>
      <c r="B320" s="1917"/>
      <c r="C320" s="1917"/>
      <c r="D320" s="1917"/>
      <c r="E320" s="1917"/>
      <c r="F320" s="1917"/>
      <c r="G320" s="1917"/>
      <c r="H320" s="1917"/>
    </row>
    <row r="321" spans="1:8">
      <c r="A321" s="1917" t="s">
        <v>1312</v>
      </c>
      <c r="B321" s="1917"/>
      <c r="C321" s="1917"/>
      <c r="D321" s="1917"/>
      <c r="E321" s="1917"/>
      <c r="F321" s="1917"/>
      <c r="G321" s="1917"/>
      <c r="H321" s="1917"/>
    </row>
    <row r="322" spans="1:8">
      <c r="A322" s="1917" t="s">
        <v>1313</v>
      </c>
      <c r="B322" s="1917"/>
      <c r="C322" s="1917"/>
      <c r="D322" s="1917"/>
      <c r="E322" s="1917"/>
      <c r="F322" s="1917"/>
      <c r="G322" s="1917"/>
      <c r="H322" s="1917"/>
    </row>
    <row r="323" spans="1:8">
      <c r="A323" s="1917"/>
      <c r="B323" s="1917"/>
      <c r="C323" s="1917"/>
      <c r="D323" s="1917"/>
      <c r="E323" s="1917"/>
      <c r="F323" s="1917"/>
      <c r="G323" s="1917"/>
      <c r="H323" s="1917"/>
    </row>
    <row r="324" spans="1:8">
      <c r="A324" s="1917" t="s">
        <v>1314</v>
      </c>
      <c r="B324" s="1917"/>
      <c r="C324" s="1917"/>
      <c r="D324" s="1917"/>
      <c r="E324" s="1917"/>
      <c r="F324" s="1917"/>
      <c r="G324" s="1917"/>
      <c r="H324" s="1917"/>
    </row>
    <row r="325" spans="1:8">
      <c r="A325" s="1917" t="s">
        <v>1315</v>
      </c>
      <c r="B325" s="1917"/>
      <c r="C325" s="1917"/>
      <c r="D325" s="1917"/>
      <c r="E325" s="1917"/>
      <c r="F325" s="1917"/>
      <c r="G325" s="1917"/>
      <c r="H325" s="1917"/>
    </row>
    <row r="326" spans="1:8">
      <c r="A326" s="1917" t="s">
        <v>1316</v>
      </c>
      <c r="B326" s="1917"/>
      <c r="C326" s="1917"/>
      <c r="D326" s="1917"/>
      <c r="E326" s="1917"/>
      <c r="F326" s="1917"/>
      <c r="G326" s="1917"/>
      <c r="H326" s="1917"/>
    </row>
    <row r="327" spans="1:8">
      <c r="A327" s="1917" t="s">
        <v>1317</v>
      </c>
      <c r="B327" s="1917"/>
      <c r="C327" s="1917"/>
      <c r="D327" s="1917"/>
      <c r="E327" s="1917"/>
      <c r="F327" s="1917"/>
      <c r="G327" s="1917"/>
      <c r="H327" s="1917"/>
    </row>
    <row r="328" spans="1:8">
      <c r="A328" s="1917" t="s">
        <v>1318</v>
      </c>
      <c r="B328" s="1917"/>
      <c r="C328" s="1917"/>
      <c r="D328" s="1917"/>
      <c r="E328" s="1917"/>
      <c r="F328" s="1917"/>
      <c r="G328" s="1917"/>
      <c r="H328" s="1917"/>
    </row>
    <row r="329" spans="1:8">
      <c r="A329" s="1917" t="s">
        <v>1319</v>
      </c>
      <c r="B329" s="1917"/>
      <c r="C329" s="1917"/>
      <c r="D329" s="1917"/>
      <c r="E329" s="1917"/>
      <c r="F329" s="1917"/>
      <c r="G329" s="1917"/>
      <c r="H329" s="1917"/>
    </row>
    <row r="330" spans="1:8">
      <c r="A330" s="1917" t="s">
        <v>1320</v>
      </c>
      <c r="B330" s="1917"/>
      <c r="C330" s="1917"/>
      <c r="D330" s="1917"/>
      <c r="E330" s="1917"/>
      <c r="F330" s="1917"/>
      <c r="G330" s="1917"/>
      <c r="H330" s="1917"/>
    </row>
    <row r="331" spans="1:8">
      <c r="A331" s="1917" t="s">
        <v>1321</v>
      </c>
      <c r="B331" s="1917"/>
      <c r="C331" s="1917"/>
      <c r="D331" s="1917"/>
      <c r="E331" s="1917"/>
      <c r="F331" s="1917"/>
      <c r="G331" s="1917"/>
      <c r="H331" s="1917"/>
    </row>
    <row r="332" spans="1:8">
      <c r="A332" s="1917" t="s">
        <v>1322</v>
      </c>
      <c r="B332" s="1917"/>
      <c r="C332" s="1917"/>
      <c r="D332" s="1917"/>
      <c r="E332" s="1917"/>
      <c r="F332" s="1917"/>
      <c r="G332" s="1917"/>
      <c r="H332" s="1917"/>
    </row>
    <row r="333" spans="1:8">
      <c r="A333" s="1917" t="s">
        <v>1323</v>
      </c>
      <c r="B333" s="1917"/>
      <c r="C333" s="1917"/>
      <c r="D333" s="1917"/>
      <c r="E333" s="1917"/>
      <c r="F333" s="1917"/>
      <c r="G333" s="1917"/>
      <c r="H333" s="1917"/>
    </row>
    <row r="334" spans="1:8">
      <c r="A334" s="1917" t="s">
        <v>1324</v>
      </c>
      <c r="B334" s="1917"/>
      <c r="C334" s="1917"/>
      <c r="D334" s="1917"/>
      <c r="E334" s="1917"/>
      <c r="F334" s="1917"/>
      <c r="G334" s="1917"/>
      <c r="H334" s="1917"/>
    </row>
    <row r="335" spans="1:8">
      <c r="A335" s="1917" t="s">
        <v>1325</v>
      </c>
      <c r="B335" s="1917"/>
      <c r="C335" s="1917"/>
      <c r="D335" s="1917"/>
      <c r="E335" s="1917"/>
      <c r="F335" s="1917"/>
      <c r="G335" s="1917"/>
      <c r="H335" s="1917"/>
    </row>
    <row r="336" spans="1:8">
      <c r="A336" s="1917" t="s">
        <v>1326</v>
      </c>
      <c r="B336" s="1917"/>
      <c r="C336" s="1917"/>
      <c r="D336" s="1917"/>
      <c r="E336" s="1917"/>
      <c r="F336" s="1917"/>
      <c r="G336" s="1917"/>
      <c r="H336" s="1917"/>
    </row>
    <row r="337" spans="1:8">
      <c r="A337" s="1917"/>
      <c r="B337" s="1917"/>
      <c r="C337" s="1917"/>
      <c r="D337" s="1917"/>
      <c r="E337" s="1917"/>
      <c r="F337" s="1917"/>
      <c r="G337" s="1917"/>
      <c r="H337" s="1917"/>
    </row>
    <row r="338" spans="1:8">
      <c r="A338" s="1917" t="s">
        <v>1327</v>
      </c>
      <c r="B338" s="1917"/>
      <c r="C338" s="1917"/>
      <c r="D338" s="1917"/>
      <c r="E338" s="1917"/>
      <c r="F338" s="1917"/>
      <c r="G338" s="1917"/>
      <c r="H338" s="1917"/>
    </row>
    <row r="339" spans="1:8">
      <c r="A339" s="1917" t="s">
        <v>1328</v>
      </c>
      <c r="B339" s="1917"/>
      <c r="C339" s="1917"/>
      <c r="D339" s="1917"/>
      <c r="E339" s="1917"/>
      <c r="F339" s="1917"/>
      <c r="G339" s="1917"/>
      <c r="H339" s="1917"/>
    </row>
    <row r="340" spans="1:8">
      <c r="A340" s="1917"/>
      <c r="B340" s="1917"/>
      <c r="C340" s="1917"/>
      <c r="D340" s="1917"/>
      <c r="E340" s="1917"/>
      <c r="F340" s="1917"/>
      <c r="G340" s="1917"/>
      <c r="H340" s="1917"/>
    </row>
    <row r="341" spans="1:8">
      <c r="A341" s="1917" t="s">
        <v>1329</v>
      </c>
      <c r="B341" s="1917"/>
      <c r="C341" s="1917"/>
      <c r="D341" s="1917"/>
      <c r="E341" s="1917"/>
      <c r="F341" s="1917"/>
      <c r="G341" s="1917"/>
      <c r="H341" s="1917"/>
    </row>
    <row r="342" spans="1:8">
      <c r="A342" s="1917" t="s">
        <v>1330</v>
      </c>
      <c r="B342" s="1917"/>
      <c r="C342" s="1917"/>
      <c r="D342" s="1917"/>
      <c r="E342" s="1917"/>
      <c r="F342" s="1917"/>
      <c r="G342" s="1917"/>
      <c r="H342" s="1917"/>
    </row>
    <row r="343" spans="1:8">
      <c r="A343" s="1917" t="s">
        <v>1331</v>
      </c>
      <c r="B343" s="1917"/>
      <c r="C343" s="1917"/>
      <c r="D343" s="1917"/>
      <c r="E343" s="1917"/>
      <c r="F343" s="1917"/>
      <c r="G343" s="1917"/>
      <c r="H343" s="1917"/>
    </row>
    <row r="344" spans="1:8">
      <c r="A344" s="1917" t="s">
        <v>1332</v>
      </c>
      <c r="B344" s="1917"/>
      <c r="C344" s="1917"/>
      <c r="D344" s="1917"/>
      <c r="E344" s="1917"/>
      <c r="F344" s="1917"/>
      <c r="G344" s="1917"/>
      <c r="H344" s="1917"/>
    </row>
    <row r="345" spans="1:8">
      <c r="A345" s="1917" t="s">
        <v>1333</v>
      </c>
      <c r="B345" s="1917"/>
      <c r="C345" s="1917"/>
      <c r="D345" s="1917"/>
      <c r="E345" s="1917"/>
      <c r="F345" s="1917"/>
      <c r="G345" s="1917"/>
      <c r="H345" s="1917"/>
    </row>
    <row r="346" spans="1:8">
      <c r="A346" s="1917" t="s">
        <v>1334</v>
      </c>
      <c r="B346" s="1917"/>
      <c r="C346" s="1917"/>
      <c r="D346" s="1917"/>
      <c r="E346" s="1917"/>
      <c r="F346" s="1917"/>
      <c r="G346" s="1917"/>
      <c r="H346" s="1917"/>
    </row>
    <row r="347" spans="1:8">
      <c r="A347" s="1917" t="s">
        <v>1335</v>
      </c>
      <c r="B347" s="1917"/>
      <c r="C347" s="1917"/>
      <c r="D347" s="1917"/>
      <c r="E347" s="1917"/>
      <c r="F347" s="1917"/>
      <c r="G347" s="1917"/>
      <c r="H347" s="1917"/>
    </row>
    <row r="348" spans="1:8">
      <c r="A348" s="1917" t="s">
        <v>1336</v>
      </c>
      <c r="B348" s="1917"/>
      <c r="C348" s="1917"/>
      <c r="D348" s="1917"/>
      <c r="E348" s="1917"/>
      <c r="F348" s="1917"/>
      <c r="G348" s="1917"/>
      <c r="H348" s="1917"/>
    </row>
    <row r="349" spans="1:8">
      <c r="A349" s="1917"/>
      <c r="B349" s="1917"/>
      <c r="C349" s="1917"/>
      <c r="D349" s="1917"/>
      <c r="E349" s="1917"/>
      <c r="F349" s="1917"/>
      <c r="G349" s="1917"/>
      <c r="H349" s="1917"/>
    </row>
    <row r="350" spans="1:8">
      <c r="A350" s="1917" t="s">
        <v>1337</v>
      </c>
      <c r="B350" s="1917"/>
      <c r="C350" s="1917"/>
      <c r="D350" s="1917"/>
      <c r="E350" s="1917"/>
      <c r="F350" s="1917"/>
      <c r="G350" s="1917"/>
      <c r="H350" s="1917"/>
    </row>
    <row r="351" spans="1:8">
      <c r="A351" s="1917" t="s">
        <v>1338</v>
      </c>
      <c r="B351" s="1917"/>
      <c r="C351" s="1917"/>
      <c r="D351" s="1917"/>
      <c r="E351" s="1917"/>
      <c r="F351" s="1917"/>
      <c r="G351" s="1917"/>
      <c r="H351" s="1917"/>
    </row>
    <row r="352" spans="1:8">
      <c r="A352" s="1917" t="s">
        <v>1339</v>
      </c>
      <c r="B352" s="1917"/>
      <c r="C352" s="1917"/>
      <c r="D352" s="1917"/>
      <c r="E352" s="1917"/>
      <c r="F352" s="1917"/>
      <c r="G352" s="1917"/>
      <c r="H352" s="1917"/>
    </row>
    <row r="353" spans="1:8">
      <c r="A353" s="1917" t="s">
        <v>1340</v>
      </c>
      <c r="B353" s="1917"/>
      <c r="C353" s="1917"/>
      <c r="D353" s="1917"/>
      <c r="E353" s="1917"/>
      <c r="F353" s="1917"/>
      <c r="G353" s="1917"/>
      <c r="H353" s="1917"/>
    </row>
    <row r="354" spans="1:8">
      <c r="A354" s="1917" t="s">
        <v>1341</v>
      </c>
      <c r="B354" s="1917"/>
      <c r="C354" s="1917"/>
      <c r="D354" s="1917"/>
      <c r="E354" s="1917"/>
      <c r="F354" s="1917"/>
      <c r="G354" s="1917"/>
      <c r="H354" s="1917"/>
    </row>
    <row r="355" spans="1:8">
      <c r="A355" s="1917" t="s">
        <v>1342</v>
      </c>
      <c r="B355" s="1917"/>
      <c r="C355" s="1917"/>
      <c r="D355" s="1917"/>
      <c r="E355" s="1917"/>
      <c r="F355" s="1917"/>
      <c r="G355" s="1917"/>
      <c r="H355" s="1917"/>
    </row>
    <row r="356" spans="1:8">
      <c r="A356" s="1917" t="s">
        <v>1343</v>
      </c>
      <c r="B356" s="1917"/>
      <c r="C356" s="1917"/>
      <c r="D356" s="1917"/>
      <c r="E356" s="1917"/>
      <c r="F356" s="1917"/>
      <c r="G356" s="1917"/>
      <c r="H356" s="1917"/>
    </row>
    <row r="357" spans="1:8">
      <c r="A357" s="1917" t="s">
        <v>1344</v>
      </c>
      <c r="B357" s="1917"/>
      <c r="C357" s="1917"/>
      <c r="D357" s="1917"/>
      <c r="E357" s="1917"/>
      <c r="F357" s="1917"/>
      <c r="G357" s="1917"/>
      <c r="H357" s="1917"/>
    </row>
    <row r="358" spans="1:8">
      <c r="A358" s="1917" t="s">
        <v>1345</v>
      </c>
      <c r="B358" s="1917"/>
      <c r="C358" s="1917"/>
      <c r="D358" s="1917"/>
      <c r="E358" s="1917"/>
      <c r="F358" s="1917"/>
      <c r="G358" s="1917"/>
      <c r="H358" s="1917"/>
    </row>
    <row r="359" spans="1:8">
      <c r="A359" s="1917" t="s">
        <v>1346</v>
      </c>
      <c r="B359" s="1917"/>
      <c r="C359" s="1917"/>
      <c r="D359" s="1917"/>
      <c r="E359" s="1917"/>
      <c r="F359" s="1917"/>
      <c r="G359" s="1917"/>
      <c r="H359" s="1917"/>
    </row>
    <row r="360" spans="1:8">
      <c r="A360" s="1917" t="s">
        <v>1347</v>
      </c>
      <c r="B360" s="1917"/>
      <c r="C360" s="1917"/>
      <c r="D360" s="1917"/>
      <c r="E360" s="1917"/>
      <c r="F360" s="1917"/>
      <c r="G360" s="1917"/>
      <c r="H360" s="1917"/>
    </row>
    <row r="361" spans="1:8">
      <c r="A361" s="1917" t="s">
        <v>1348</v>
      </c>
      <c r="B361" s="1917"/>
      <c r="C361" s="1917"/>
      <c r="D361" s="1917"/>
      <c r="E361" s="1917"/>
      <c r="F361" s="1917"/>
      <c r="G361" s="1917"/>
      <c r="H361" s="1917"/>
    </row>
    <row r="362" spans="1:8">
      <c r="A362" s="1917" t="s">
        <v>1349</v>
      </c>
      <c r="B362" s="1917"/>
      <c r="C362" s="1917"/>
      <c r="D362" s="1917"/>
      <c r="E362" s="1917"/>
      <c r="F362" s="1917"/>
      <c r="G362" s="1917"/>
      <c r="H362" s="1917"/>
    </row>
    <row r="363" spans="1:8">
      <c r="A363" s="1917" t="s">
        <v>1350</v>
      </c>
      <c r="B363" s="1917"/>
      <c r="C363" s="1917"/>
      <c r="D363" s="1917"/>
      <c r="E363" s="1917"/>
      <c r="F363" s="1917"/>
      <c r="G363" s="1917"/>
      <c r="H363" s="1917"/>
    </row>
    <row r="364" spans="1:8">
      <c r="A364" s="1917" t="s">
        <v>1351</v>
      </c>
      <c r="B364" s="1917"/>
      <c r="C364" s="1917"/>
      <c r="D364" s="1917"/>
      <c r="E364" s="1917"/>
      <c r="F364" s="1917"/>
      <c r="G364" s="1917"/>
      <c r="H364" s="1917"/>
    </row>
    <row r="365" spans="1:8">
      <c r="A365" s="1917" t="s">
        <v>1352</v>
      </c>
      <c r="B365" s="1917"/>
      <c r="C365" s="1917"/>
      <c r="D365" s="1917"/>
      <c r="E365" s="1917"/>
      <c r="F365" s="1917"/>
      <c r="G365" s="1917"/>
      <c r="H365" s="1917"/>
    </row>
    <row r="366" spans="1:8">
      <c r="A366" s="1917" t="s">
        <v>1353</v>
      </c>
      <c r="B366" s="1917"/>
      <c r="C366" s="1917"/>
      <c r="D366" s="1917"/>
      <c r="E366" s="1917"/>
      <c r="F366" s="1917"/>
      <c r="G366" s="1917"/>
      <c r="H366" s="1917"/>
    </row>
    <row r="367" spans="1:8">
      <c r="A367" s="1917" t="s">
        <v>1354</v>
      </c>
      <c r="B367" s="1917"/>
      <c r="C367" s="1917"/>
      <c r="D367" s="1917"/>
      <c r="E367" s="1917"/>
      <c r="F367" s="1917"/>
      <c r="G367" s="1917"/>
      <c r="H367" s="1917"/>
    </row>
    <row r="368" spans="1:8">
      <c r="A368" s="1917" t="s">
        <v>1355</v>
      </c>
      <c r="B368" s="1917"/>
      <c r="C368" s="1917"/>
      <c r="D368" s="1917"/>
      <c r="E368" s="1917"/>
      <c r="F368" s="1917"/>
      <c r="G368" s="1917"/>
      <c r="H368" s="1917"/>
    </row>
    <row r="369" spans="1:8">
      <c r="A369" s="1917" t="s">
        <v>1356</v>
      </c>
      <c r="B369" s="1917"/>
      <c r="C369" s="1917"/>
      <c r="D369" s="1917"/>
      <c r="E369" s="1917"/>
      <c r="F369" s="1917"/>
      <c r="G369" s="1917"/>
      <c r="H369" s="1917"/>
    </row>
    <row r="370" spans="1:8">
      <c r="A370" s="1917" t="s">
        <v>1357</v>
      </c>
      <c r="B370" s="1917"/>
      <c r="C370" s="1917"/>
      <c r="D370" s="1917"/>
      <c r="E370" s="1917"/>
      <c r="F370" s="1917"/>
      <c r="G370" s="1917"/>
      <c r="H370" s="1917"/>
    </row>
    <row r="371" spans="1:8">
      <c r="A371" s="1917" t="s">
        <v>1358</v>
      </c>
      <c r="B371" s="1917"/>
      <c r="C371" s="1917"/>
      <c r="D371" s="1917"/>
      <c r="E371" s="1917"/>
      <c r="F371" s="1917"/>
      <c r="G371" s="1917"/>
      <c r="H371" s="1917"/>
    </row>
    <row r="372" spans="1:8">
      <c r="A372" s="1917" t="s">
        <v>1359</v>
      </c>
      <c r="B372" s="1917"/>
      <c r="C372" s="1917"/>
      <c r="D372" s="1917"/>
      <c r="E372" s="1917"/>
      <c r="F372" s="1917"/>
      <c r="G372" s="1917"/>
      <c r="H372" s="1917"/>
    </row>
    <row r="373" spans="1:8">
      <c r="A373" s="1917" t="s">
        <v>1360</v>
      </c>
      <c r="B373" s="1917"/>
      <c r="C373" s="1917"/>
      <c r="D373" s="1917"/>
      <c r="E373" s="1917"/>
      <c r="F373" s="1917"/>
      <c r="G373" s="1917"/>
      <c r="H373" s="1917"/>
    </row>
    <row r="374" spans="1:8">
      <c r="A374" s="1917" t="s">
        <v>1361</v>
      </c>
      <c r="B374" s="1917"/>
      <c r="C374" s="1917"/>
      <c r="D374" s="1917"/>
      <c r="E374" s="1917"/>
      <c r="F374" s="1917"/>
      <c r="G374" s="1917"/>
      <c r="H374" s="1917"/>
    </row>
    <row r="375" spans="1:8">
      <c r="A375" s="1917" t="s">
        <v>1362</v>
      </c>
      <c r="B375" s="1917"/>
      <c r="C375" s="1917"/>
      <c r="D375" s="1917"/>
      <c r="E375" s="1917"/>
      <c r="F375" s="1917"/>
      <c r="G375" s="1917"/>
      <c r="H375" s="1917"/>
    </row>
    <row r="376" spans="1:8">
      <c r="A376" s="1917" t="s">
        <v>1363</v>
      </c>
      <c r="B376" s="1917"/>
      <c r="C376" s="1917"/>
      <c r="D376" s="1917"/>
      <c r="E376" s="1917"/>
      <c r="F376" s="1917"/>
      <c r="G376" s="1917"/>
      <c r="H376" s="1917"/>
    </row>
    <row r="377" spans="1:8">
      <c r="A377" s="1917" t="s">
        <v>1364</v>
      </c>
      <c r="B377" s="1917"/>
      <c r="C377" s="1917"/>
      <c r="D377" s="1917"/>
      <c r="E377" s="1917"/>
      <c r="F377" s="1917"/>
      <c r="G377" s="1917"/>
      <c r="H377" s="1917"/>
    </row>
    <row r="378" spans="1:8">
      <c r="A378" s="1917" t="s">
        <v>1365</v>
      </c>
      <c r="B378" s="1917"/>
      <c r="C378" s="1917"/>
      <c r="D378" s="1917"/>
      <c r="E378" s="1917"/>
      <c r="F378" s="1917"/>
      <c r="G378" s="1917"/>
      <c r="H378" s="1917"/>
    </row>
    <row r="379" spans="1:8">
      <c r="A379" s="1917" t="s">
        <v>1366</v>
      </c>
      <c r="B379" s="1917"/>
      <c r="C379" s="1917"/>
      <c r="D379" s="1917"/>
      <c r="E379" s="1917"/>
      <c r="F379" s="1917"/>
      <c r="G379" s="1917"/>
      <c r="H379" s="1917"/>
    </row>
    <row r="380" spans="1:8">
      <c r="A380" s="1917" t="s">
        <v>1367</v>
      </c>
      <c r="B380" s="1917"/>
      <c r="C380" s="1917"/>
      <c r="D380" s="1917"/>
      <c r="E380" s="1917"/>
      <c r="F380" s="1917"/>
      <c r="G380" s="1917"/>
      <c r="H380" s="1917"/>
    </row>
    <row r="381" spans="1:8">
      <c r="A381" s="1917" t="s">
        <v>1368</v>
      </c>
      <c r="B381" s="1917"/>
      <c r="C381" s="1917"/>
      <c r="D381" s="1917"/>
      <c r="E381" s="1917"/>
      <c r="F381" s="1917"/>
      <c r="G381" s="1917"/>
      <c r="H381" s="1917"/>
    </row>
    <row r="382" spans="1:8">
      <c r="A382" s="1917" t="s">
        <v>1369</v>
      </c>
      <c r="B382" s="1917"/>
      <c r="C382" s="1917"/>
      <c r="D382" s="1917"/>
      <c r="E382" s="1917"/>
      <c r="F382" s="1917"/>
      <c r="G382" s="1917"/>
      <c r="H382" s="1917"/>
    </row>
    <row r="383" spans="1:8">
      <c r="A383" s="1917" t="s">
        <v>1370</v>
      </c>
      <c r="B383" s="1917"/>
      <c r="C383" s="1917"/>
      <c r="D383" s="1917"/>
      <c r="E383" s="1917"/>
      <c r="F383" s="1917"/>
      <c r="G383" s="1917"/>
      <c r="H383" s="1917"/>
    </row>
    <row r="384" spans="1:8">
      <c r="A384" s="1917" t="s">
        <v>1371</v>
      </c>
      <c r="B384" s="1917"/>
      <c r="C384" s="1917"/>
      <c r="D384" s="1917"/>
      <c r="E384" s="1917"/>
      <c r="F384" s="1917"/>
      <c r="G384" s="1917"/>
      <c r="H384" s="1917"/>
    </row>
    <row r="385" spans="1:8">
      <c r="A385" s="1917" t="s">
        <v>1372</v>
      </c>
      <c r="B385" s="1917"/>
      <c r="C385" s="1917"/>
      <c r="D385" s="1917"/>
      <c r="E385" s="1917"/>
      <c r="F385" s="1917"/>
      <c r="G385" s="1917"/>
      <c r="H385" s="1917"/>
    </row>
    <row r="386" spans="1:8">
      <c r="A386" s="1917" t="s">
        <v>1373</v>
      </c>
      <c r="B386" s="1917"/>
      <c r="C386" s="1917"/>
      <c r="D386" s="1917"/>
      <c r="E386" s="1917"/>
      <c r="F386" s="1917"/>
      <c r="G386" s="1917"/>
      <c r="H386" s="1917"/>
    </row>
    <row r="387" spans="1:8">
      <c r="A387" s="1917" t="s">
        <v>1374</v>
      </c>
      <c r="B387" s="1917"/>
      <c r="C387" s="1917"/>
      <c r="D387" s="1917"/>
      <c r="E387" s="1917"/>
      <c r="F387" s="1917"/>
      <c r="G387" s="1917"/>
      <c r="H387" s="1917"/>
    </row>
    <row r="388" spans="1:8">
      <c r="A388" s="1917" t="s">
        <v>1375</v>
      </c>
      <c r="B388" s="1917"/>
      <c r="C388" s="1917"/>
      <c r="D388" s="1917"/>
      <c r="E388" s="1917"/>
      <c r="F388" s="1917"/>
      <c r="G388" s="1917"/>
      <c r="H388" s="1917"/>
    </row>
    <row r="389" spans="1:8">
      <c r="A389" s="1917" t="s">
        <v>1376</v>
      </c>
      <c r="B389" s="1917"/>
      <c r="C389" s="1917"/>
      <c r="D389" s="1917"/>
      <c r="E389" s="1917"/>
      <c r="F389" s="1917"/>
      <c r="G389" s="1917"/>
      <c r="H389" s="1917"/>
    </row>
    <row r="390" spans="1:8">
      <c r="A390" s="1917" t="s">
        <v>1377</v>
      </c>
      <c r="B390" s="1917"/>
      <c r="C390" s="1917"/>
      <c r="D390" s="1917"/>
      <c r="E390" s="1917"/>
      <c r="F390" s="1917"/>
      <c r="G390" s="1917"/>
      <c r="H390" s="1917"/>
    </row>
    <row r="391" spans="1:8">
      <c r="A391" s="1917" t="s">
        <v>1378</v>
      </c>
      <c r="B391" s="1917"/>
      <c r="C391" s="1917"/>
      <c r="D391" s="1917"/>
      <c r="E391" s="1917"/>
      <c r="F391" s="1917"/>
      <c r="G391" s="1917"/>
      <c r="H391" s="1917"/>
    </row>
    <row r="392" spans="1:8">
      <c r="A392" s="1917" t="s">
        <v>1379</v>
      </c>
      <c r="B392" s="1917"/>
      <c r="C392" s="1917"/>
      <c r="D392" s="1917"/>
      <c r="E392" s="1917"/>
      <c r="F392" s="1917"/>
      <c r="G392" s="1917"/>
      <c r="H392" s="1917"/>
    </row>
    <row r="393" spans="1:8">
      <c r="A393" s="1917" t="s">
        <v>1380</v>
      </c>
      <c r="B393" s="1917"/>
      <c r="C393" s="1917"/>
      <c r="D393" s="1917"/>
      <c r="E393" s="1917"/>
      <c r="F393" s="1917"/>
      <c r="G393" s="1917"/>
      <c r="H393" s="1917"/>
    </row>
    <row r="394" spans="1:8">
      <c r="A394" s="1917" t="s">
        <v>1381</v>
      </c>
      <c r="B394" s="1917"/>
      <c r="C394" s="1917"/>
      <c r="D394" s="1917"/>
      <c r="E394" s="1917"/>
      <c r="F394" s="1917"/>
      <c r="G394" s="1917"/>
      <c r="H394" s="1917"/>
    </row>
    <row r="395" spans="1:8">
      <c r="A395" s="1917" t="s">
        <v>1382</v>
      </c>
      <c r="B395" s="1917"/>
      <c r="C395" s="1917"/>
      <c r="D395" s="1917"/>
      <c r="E395" s="1917"/>
      <c r="F395" s="1917"/>
      <c r="G395" s="1917"/>
      <c r="H395" s="1917"/>
    </row>
    <row r="396" spans="1:8">
      <c r="A396" s="1917"/>
      <c r="B396" s="1917"/>
      <c r="C396" s="1917"/>
      <c r="D396" s="1917"/>
      <c r="E396" s="1917"/>
      <c r="F396" s="1917"/>
      <c r="G396" s="1917"/>
      <c r="H396" s="1917"/>
    </row>
    <row r="397" spans="1:8">
      <c r="A397" s="1917" t="s">
        <v>1383</v>
      </c>
      <c r="B397" s="1917"/>
      <c r="C397" s="1917"/>
      <c r="D397" s="1917"/>
      <c r="E397" s="1917"/>
      <c r="F397" s="1917"/>
      <c r="G397" s="1917"/>
      <c r="H397" s="1917"/>
    </row>
    <row r="398" spans="1:8">
      <c r="A398" s="1917" t="s">
        <v>1384</v>
      </c>
      <c r="B398" s="1917"/>
      <c r="C398" s="1917"/>
      <c r="D398" s="1917"/>
      <c r="E398" s="1917"/>
      <c r="F398" s="1917"/>
      <c r="G398" s="1917"/>
      <c r="H398" s="1917"/>
    </row>
    <row r="399" spans="1:8">
      <c r="A399" s="1917" t="s">
        <v>1385</v>
      </c>
      <c r="B399" s="1917"/>
      <c r="C399" s="1917"/>
      <c r="D399" s="1917"/>
      <c r="E399" s="1917"/>
      <c r="F399" s="1917"/>
      <c r="G399" s="1917"/>
      <c r="H399" s="1917"/>
    </row>
    <row r="400" spans="1:8">
      <c r="A400" s="1917" t="s">
        <v>1386</v>
      </c>
      <c r="B400" s="1917"/>
      <c r="C400" s="1917"/>
      <c r="D400" s="1917"/>
      <c r="E400" s="1917"/>
      <c r="F400" s="1917"/>
      <c r="G400" s="1917"/>
      <c r="H400" s="1917"/>
    </row>
    <row r="401" spans="1:8">
      <c r="A401" s="1917" t="s">
        <v>1387</v>
      </c>
      <c r="B401" s="1917"/>
      <c r="C401" s="1917"/>
      <c r="D401" s="1917"/>
      <c r="E401" s="1917"/>
      <c r="F401" s="1917"/>
      <c r="G401" s="1917"/>
      <c r="H401" s="1917"/>
    </row>
    <row r="402" spans="1:8">
      <c r="A402" s="1917" t="s">
        <v>1388</v>
      </c>
      <c r="B402" s="1917"/>
      <c r="C402" s="1917"/>
      <c r="D402" s="1917"/>
      <c r="E402" s="1917"/>
      <c r="F402" s="1917"/>
      <c r="G402" s="1917"/>
      <c r="H402" s="1917"/>
    </row>
    <row r="403" spans="1:8">
      <c r="A403" s="1917" t="s">
        <v>1389</v>
      </c>
      <c r="B403" s="1917"/>
      <c r="C403" s="1917"/>
      <c r="D403" s="1917"/>
      <c r="E403" s="1917"/>
      <c r="F403" s="1917"/>
      <c r="G403" s="1917"/>
      <c r="H403" s="1917"/>
    </row>
    <row r="404" spans="1:8">
      <c r="A404" s="1917" t="s">
        <v>1390</v>
      </c>
      <c r="B404" s="1917"/>
      <c r="C404" s="1917"/>
      <c r="D404" s="1917"/>
      <c r="E404" s="1917"/>
      <c r="F404" s="1917"/>
      <c r="G404" s="1917"/>
      <c r="H404" s="1917"/>
    </row>
    <row r="405" spans="1:8">
      <c r="A405" s="1917"/>
      <c r="B405" s="1917"/>
      <c r="C405" s="1917"/>
      <c r="D405" s="1917"/>
      <c r="E405" s="1917"/>
      <c r="F405" s="1917"/>
      <c r="G405" s="1917"/>
      <c r="H405" s="1917"/>
    </row>
    <row r="406" spans="1:8">
      <c r="A406" s="1917" t="s">
        <v>1383</v>
      </c>
      <c r="B406" s="1917"/>
      <c r="C406" s="1917"/>
      <c r="D406" s="1917"/>
      <c r="E406" s="1917"/>
      <c r="F406" s="1917"/>
      <c r="G406" s="1917"/>
      <c r="H406" s="1917"/>
    </row>
    <row r="407" spans="1:8">
      <c r="A407" s="1917" t="s">
        <v>1391</v>
      </c>
      <c r="B407" s="1917"/>
      <c r="C407" s="1917"/>
      <c r="D407" s="1917"/>
      <c r="E407" s="1917"/>
      <c r="F407" s="1917"/>
      <c r="G407" s="1917"/>
      <c r="H407" s="1917"/>
    </row>
    <row r="408" spans="1:8">
      <c r="A408" s="1917" t="s">
        <v>1392</v>
      </c>
      <c r="B408" s="1917"/>
      <c r="C408" s="1917"/>
      <c r="D408" s="1917"/>
      <c r="E408" s="1917"/>
      <c r="F408" s="1917"/>
      <c r="G408" s="1917"/>
      <c r="H408" s="1917"/>
    </row>
    <row r="409" spans="1:8">
      <c r="A409" s="1917" t="s">
        <v>1393</v>
      </c>
      <c r="B409" s="1917"/>
      <c r="C409" s="1917"/>
      <c r="D409" s="1917"/>
      <c r="E409" s="1917"/>
      <c r="F409" s="1917"/>
      <c r="G409" s="1917"/>
      <c r="H409" s="1917"/>
    </row>
    <row r="410" spans="1:8">
      <c r="A410" s="1917"/>
      <c r="B410" s="1917"/>
      <c r="C410" s="1917"/>
      <c r="D410" s="1917"/>
      <c r="E410" s="1917"/>
      <c r="F410" s="1917"/>
      <c r="G410" s="1917"/>
      <c r="H410" s="1917"/>
    </row>
    <row r="411" spans="1:8">
      <c r="A411" s="1917" t="s">
        <v>1394</v>
      </c>
      <c r="B411" s="1917"/>
      <c r="C411" s="1917"/>
      <c r="D411" s="1917"/>
      <c r="E411" s="1917"/>
      <c r="F411" s="1917"/>
      <c r="G411" s="1917"/>
      <c r="H411" s="1917"/>
    </row>
    <row r="412" spans="1:8">
      <c r="A412" s="1917" t="s">
        <v>1395</v>
      </c>
      <c r="B412" s="1917"/>
      <c r="C412" s="1917"/>
      <c r="D412" s="1917"/>
      <c r="E412" s="1917"/>
      <c r="F412" s="1917"/>
      <c r="G412" s="1917"/>
      <c r="H412" s="1917"/>
    </row>
    <row r="413" spans="1:8">
      <c r="A413" s="1917" t="s">
        <v>1396</v>
      </c>
      <c r="B413" s="1917"/>
      <c r="C413" s="1917"/>
      <c r="D413" s="1917"/>
      <c r="E413" s="1917"/>
      <c r="F413" s="1917"/>
      <c r="G413" s="1917"/>
      <c r="H413" s="1917"/>
    </row>
    <row r="414" spans="1:8">
      <c r="A414" s="1917" t="s">
        <v>1397</v>
      </c>
      <c r="B414" s="1917"/>
      <c r="C414" s="1917"/>
      <c r="D414" s="1917"/>
      <c r="E414" s="1917"/>
      <c r="F414" s="1917"/>
      <c r="G414" s="1917"/>
      <c r="H414" s="1917"/>
    </row>
    <row r="415" spans="1:8">
      <c r="A415" s="1917" t="s">
        <v>1398</v>
      </c>
      <c r="B415" s="1917"/>
      <c r="C415" s="1917"/>
      <c r="D415" s="1917"/>
      <c r="E415" s="1917"/>
      <c r="F415" s="1917"/>
      <c r="G415" s="1917"/>
      <c r="H415" s="1917"/>
    </row>
    <row r="416" spans="1:8">
      <c r="A416" s="1917" t="s">
        <v>1399</v>
      </c>
      <c r="B416" s="1917"/>
      <c r="C416" s="1917"/>
      <c r="D416" s="1917"/>
      <c r="E416" s="1917"/>
      <c r="F416" s="1917"/>
      <c r="G416" s="1917"/>
      <c r="H416" s="1917"/>
    </row>
    <row r="417" spans="1:8">
      <c r="A417" s="1917"/>
      <c r="B417" s="1917"/>
      <c r="C417" s="1917"/>
      <c r="D417" s="1917"/>
      <c r="E417" s="1917"/>
      <c r="F417" s="1917"/>
      <c r="G417" s="1917"/>
      <c r="H417" s="1917"/>
    </row>
    <row r="418" spans="1:8">
      <c r="A418" s="1917" t="s">
        <v>1400</v>
      </c>
      <c r="B418" s="1917"/>
      <c r="C418" s="1917"/>
      <c r="D418" s="1917"/>
      <c r="E418" s="1917"/>
      <c r="F418" s="1917"/>
      <c r="G418" s="1917"/>
      <c r="H418" s="1917"/>
    </row>
    <row r="419" spans="1:8">
      <c r="A419" s="1917" t="s">
        <v>1401</v>
      </c>
      <c r="B419" s="1917"/>
      <c r="C419" s="1917"/>
      <c r="D419" s="1917"/>
      <c r="E419" s="1917"/>
      <c r="F419" s="1917"/>
      <c r="G419" s="1917"/>
      <c r="H419" s="1917"/>
    </row>
    <row r="420" spans="1:8">
      <c r="A420" s="1917" t="s">
        <v>1402</v>
      </c>
      <c r="B420" s="1917"/>
      <c r="C420" s="1917"/>
      <c r="D420" s="1917"/>
      <c r="E420" s="1917"/>
      <c r="F420" s="1917"/>
      <c r="G420" s="1917"/>
      <c r="H420" s="1917"/>
    </row>
    <row r="421" spans="1:8">
      <c r="A421" s="1917" t="s">
        <v>1403</v>
      </c>
      <c r="B421" s="1917"/>
      <c r="C421" s="1917"/>
      <c r="D421" s="1917"/>
      <c r="E421" s="1917"/>
      <c r="F421" s="1917"/>
      <c r="G421" s="1917"/>
      <c r="H421" s="1917"/>
    </row>
    <row r="422" spans="1:8">
      <c r="A422" s="1917" t="s">
        <v>1404</v>
      </c>
      <c r="B422" s="1917"/>
      <c r="C422" s="1917"/>
      <c r="D422" s="1917"/>
      <c r="E422" s="1917"/>
      <c r="F422" s="1917"/>
      <c r="G422" s="1917"/>
      <c r="H422" s="1917"/>
    </row>
    <row r="423" spans="1:8">
      <c r="A423" s="1917"/>
      <c r="B423" s="1917"/>
      <c r="C423" s="1917"/>
      <c r="D423" s="1917"/>
      <c r="E423" s="1917"/>
      <c r="F423" s="1917"/>
      <c r="G423" s="1917"/>
      <c r="H423" s="1917"/>
    </row>
    <row r="424" spans="1:8">
      <c r="A424" s="1917" t="s">
        <v>1405</v>
      </c>
      <c r="B424" s="1917"/>
      <c r="C424" s="1917"/>
      <c r="D424" s="1917"/>
      <c r="E424" s="1917"/>
      <c r="F424" s="1917"/>
      <c r="G424" s="1917"/>
      <c r="H424" s="1917"/>
    </row>
    <row r="425" spans="1:8">
      <c r="A425" s="1917" t="s">
        <v>1406</v>
      </c>
      <c r="B425" s="1917"/>
      <c r="C425" s="1917"/>
      <c r="D425" s="1917"/>
      <c r="E425" s="1917"/>
      <c r="F425" s="1917"/>
      <c r="G425" s="1917"/>
      <c r="H425" s="1917"/>
    </row>
    <row r="426" spans="1:8">
      <c r="A426" s="1917"/>
      <c r="B426" s="1917"/>
      <c r="C426" s="1917"/>
      <c r="D426" s="1917"/>
      <c r="E426" s="1917"/>
      <c r="F426" s="1917"/>
      <c r="G426" s="1917"/>
      <c r="H426" s="1917"/>
    </row>
    <row r="427" spans="1:8">
      <c r="A427" s="1917" t="s">
        <v>1407</v>
      </c>
      <c r="B427" s="1917"/>
      <c r="C427" s="1917"/>
      <c r="D427" s="1917"/>
      <c r="E427" s="1917"/>
      <c r="F427" s="1917"/>
      <c r="G427" s="1917"/>
      <c r="H427" s="1917"/>
    </row>
    <row r="428" spans="1:8">
      <c r="A428" s="1917" t="s">
        <v>1408</v>
      </c>
      <c r="B428" s="1917"/>
      <c r="C428" s="1917"/>
      <c r="D428" s="1917"/>
      <c r="E428" s="1917"/>
      <c r="F428" s="1917"/>
      <c r="G428" s="1917"/>
      <c r="H428" s="1917"/>
    </row>
    <row r="429" spans="1:8">
      <c r="A429" s="1917"/>
      <c r="B429" s="1917"/>
      <c r="C429" s="1917"/>
      <c r="D429" s="1917"/>
      <c r="E429" s="1917"/>
      <c r="F429" s="1917"/>
      <c r="G429" s="1917"/>
      <c r="H429" s="1917"/>
    </row>
    <row r="430" spans="1:8">
      <c r="A430" s="1917" t="s">
        <v>1409</v>
      </c>
      <c r="B430" s="1917"/>
      <c r="C430" s="1917"/>
      <c r="D430" s="1917"/>
      <c r="E430" s="1917"/>
      <c r="F430" s="1917"/>
      <c r="G430" s="1917"/>
      <c r="H430" s="1917"/>
    </row>
    <row r="431" spans="1:8">
      <c r="A431" s="1917" t="s">
        <v>1410</v>
      </c>
      <c r="B431" s="1917"/>
      <c r="C431" s="1917"/>
      <c r="D431" s="1917"/>
      <c r="E431" s="1917"/>
      <c r="F431" s="1917"/>
      <c r="G431" s="1917"/>
      <c r="H431" s="1917"/>
    </row>
    <row r="432" spans="1:8">
      <c r="A432" s="1917" t="s">
        <v>1411</v>
      </c>
      <c r="B432" s="1917"/>
      <c r="C432" s="1917"/>
      <c r="D432" s="1917"/>
      <c r="E432" s="1917"/>
      <c r="F432" s="1917"/>
      <c r="G432" s="1917"/>
      <c r="H432" s="1917"/>
    </row>
    <row r="433" spans="1:8">
      <c r="A433" s="1917" t="s">
        <v>1412</v>
      </c>
      <c r="B433" s="1917"/>
      <c r="C433" s="1917"/>
      <c r="D433" s="1917"/>
      <c r="E433" s="1917"/>
      <c r="F433" s="1917"/>
      <c r="G433" s="1917"/>
      <c r="H433" s="1917"/>
    </row>
    <row r="434" spans="1:8">
      <c r="A434" s="1917"/>
      <c r="B434" s="1917"/>
      <c r="C434" s="1917"/>
      <c r="D434" s="1917"/>
      <c r="E434" s="1917"/>
      <c r="F434" s="1917"/>
      <c r="G434" s="1917"/>
      <c r="H434" s="1917"/>
    </row>
    <row r="435" spans="1:8">
      <c r="A435" s="1917" t="s">
        <v>1413</v>
      </c>
      <c r="B435" s="1917"/>
      <c r="C435" s="1917"/>
      <c r="D435" s="1917"/>
      <c r="E435" s="1917"/>
      <c r="F435" s="1917"/>
      <c r="G435" s="1917"/>
      <c r="H435" s="1917"/>
    </row>
    <row r="436" spans="1:8">
      <c r="A436" s="1917" t="s">
        <v>1414</v>
      </c>
      <c r="B436" s="1917"/>
      <c r="C436" s="1917"/>
      <c r="D436" s="1917"/>
      <c r="E436" s="1917"/>
      <c r="F436" s="1917"/>
      <c r="G436" s="1917"/>
      <c r="H436" s="1917"/>
    </row>
    <row r="437" spans="1:8">
      <c r="A437" s="1917"/>
      <c r="B437" s="1917"/>
      <c r="C437" s="1917"/>
      <c r="D437" s="1917"/>
      <c r="E437" s="1917"/>
      <c r="F437" s="1917"/>
      <c r="G437" s="1917"/>
      <c r="H437" s="1917"/>
    </row>
    <row r="438" spans="1:8">
      <c r="A438" s="1917" t="s">
        <v>1415</v>
      </c>
      <c r="B438" s="1917"/>
      <c r="C438" s="1917"/>
      <c r="D438" s="1917"/>
      <c r="E438" s="1917"/>
      <c r="F438" s="1917"/>
      <c r="G438" s="1917"/>
      <c r="H438" s="1917"/>
    </row>
    <row r="439" spans="1:8">
      <c r="A439" s="1917" t="s">
        <v>1416</v>
      </c>
      <c r="B439" s="1917"/>
      <c r="C439" s="1917"/>
      <c r="D439" s="1917"/>
      <c r="E439" s="1917"/>
      <c r="F439" s="1917"/>
      <c r="G439" s="1917"/>
      <c r="H439" s="1917"/>
    </row>
    <row r="440" spans="1:8">
      <c r="A440" s="1917" t="s">
        <v>1417</v>
      </c>
      <c r="B440" s="1917"/>
      <c r="C440" s="1917"/>
      <c r="D440" s="1917"/>
      <c r="E440" s="1917"/>
      <c r="F440" s="1917"/>
      <c r="G440" s="1917"/>
      <c r="H440" s="1917"/>
    </row>
    <row r="441" spans="1:8">
      <c r="A441" s="1917" t="s">
        <v>1418</v>
      </c>
      <c r="B441" s="1917"/>
      <c r="C441" s="1917"/>
      <c r="D441" s="1917"/>
      <c r="E441" s="1917"/>
      <c r="F441" s="1917"/>
      <c r="G441" s="1917"/>
      <c r="H441" s="1917"/>
    </row>
    <row r="443" spans="1:8">
      <c r="A443" s="11" t="s">
        <v>1419</v>
      </c>
    </row>
  </sheetData>
  <mergeCells count="3">
    <mergeCell ref="B139:C139"/>
    <mergeCell ref="D139:F139"/>
    <mergeCell ref="G139:H13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tabColor rgb="FF0070C0"/>
    <pageSetUpPr fitToPage="1"/>
  </sheetPr>
  <dimension ref="A1:AY85"/>
  <sheetViews>
    <sheetView showGridLines="0" zoomScaleNormal="100" workbookViewId="0">
      <pane xSplit="13" ySplit="6" topLeftCell="O13" activePane="bottomRight" state="frozen"/>
      <selection pane="topRight" activeCell="N1" sqref="N1"/>
      <selection pane="bottomLeft" activeCell="A7" sqref="A7"/>
      <selection pane="bottomRight" activeCell="AM27" sqref="AM27"/>
    </sheetView>
  </sheetViews>
  <sheetFormatPr defaultColWidth="9.28515625" defaultRowHeight="11.25" outlineLevelCol="1"/>
  <cols>
    <col min="1" max="1" width="2.28515625" style="995" customWidth="1"/>
    <col min="2" max="2" width="18.140625" style="1581" bestFit="1" customWidth="1"/>
    <col min="3" max="3" width="18.5703125" style="995" customWidth="1"/>
    <col min="4" max="4" width="9" style="995" hidden="1" customWidth="1" outlineLevel="1"/>
    <col min="5" max="8" width="6.7109375" style="995" hidden="1" customWidth="1" outlineLevel="1"/>
    <col min="9" max="13" width="7.42578125" style="995" hidden="1" customWidth="1" outlineLevel="1"/>
    <col min="14" max="14" width="7.5703125" style="995" hidden="1" customWidth="1" outlineLevel="1"/>
    <col min="15" max="15" width="7.5703125" style="995" customWidth="1" collapsed="1"/>
    <col min="16" max="19" width="7.5703125" style="995" customWidth="1"/>
    <col min="20" max="20" width="2.28515625" style="995" customWidth="1"/>
    <col min="21" max="21" width="18.5703125" style="995" customWidth="1"/>
    <col min="22" max="22" width="9.28515625" style="995" hidden="1" customWidth="1" outlineLevel="1"/>
    <col min="23" max="26" width="6.7109375" style="995" hidden="1" customWidth="1" outlineLevel="1"/>
    <col min="27" max="31" width="7.42578125" style="995" hidden="1" customWidth="1" outlineLevel="1"/>
    <col min="32" max="32" width="7.5703125" style="995" hidden="1" customWidth="1" outlineLevel="1"/>
    <col min="33" max="33" width="7.5703125" style="995" customWidth="1" collapsed="1"/>
    <col min="34" max="37" width="7.5703125" style="995" customWidth="1"/>
    <col min="38" max="38" width="4.42578125" style="995" bestFit="1" customWidth="1"/>
    <col min="39" max="39" width="20.140625" style="1581" bestFit="1" customWidth="1"/>
    <col min="40" max="40" width="20.7109375" style="1581" customWidth="1"/>
    <col min="41" max="41" width="20.7109375" style="995" bestFit="1" customWidth="1"/>
    <col min="42" max="48" width="7.28515625" style="995" customWidth="1"/>
    <col min="49" max="49" width="0.7109375" style="995" customWidth="1"/>
    <col min="50" max="50" width="1.7109375" style="995" customWidth="1"/>
    <col min="51" max="51" width="0.7109375" style="995" customWidth="1"/>
    <col min="52" max="52" width="9.28515625" style="995"/>
    <col min="53" max="53" width="8.42578125" style="995" customWidth="1"/>
    <col min="54" max="54" width="6.28515625" style="995" customWidth="1"/>
    <col min="55" max="60" width="7.28515625" style="995" customWidth="1"/>
    <col min="61" max="61" width="1.42578125" style="995" customWidth="1"/>
    <col min="62" max="62" width="0.7109375" style="995" customWidth="1"/>
    <col min="63" max="63" width="1.7109375" style="995" customWidth="1"/>
    <col min="64" max="64" width="0.7109375" style="995" customWidth="1"/>
    <col min="65" max="16384" width="9.28515625" style="995"/>
  </cols>
  <sheetData>
    <row r="1" spans="1:41">
      <c r="A1" s="993"/>
      <c r="B1" s="1580"/>
      <c r="C1" s="993" t="s">
        <v>209</v>
      </c>
      <c r="D1" s="993">
        <v>73.87</v>
      </c>
      <c r="E1" s="994"/>
      <c r="F1" s="993"/>
      <c r="G1" s="993"/>
      <c r="H1" s="993"/>
      <c r="I1" s="993"/>
      <c r="J1" s="993"/>
      <c r="K1" s="993"/>
      <c r="L1" s="993"/>
      <c r="M1" s="993"/>
      <c r="N1" s="993"/>
      <c r="O1" s="993"/>
      <c r="P1" s="993"/>
      <c r="Q1" s="993"/>
      <c r="R1" s="993"/>
      <c r="S1" s="993"/>
      <c r="T1" s="993"/>
      <c r="U1" s="993"/>
      <c r="V1" s="993"/>
      <c r="W1" s="993"/>
    </row>
    <row r="2" spans="1:41" ht="12" customHeight="1">
      <c r="A2" s="993"/>
      <c r="B2" s="1580"/>
      <c r="C2" s="996" t="s">
        <v>1073</v>
      </c>
      <c r="D2" s="993"/>
      <c r="E2" s="997"/>
      <c r="F2" s="996"/>
      <c r="G2" s="996"/>
      <c r="H2" s="996"/>
      <c r="I2" s="996"/>
      <c r="J2" s="996"/>
      <c r="K2" s="996"/>
      <c r="L2" s="996"/>
      <c r="M2" s="996"/>
      <c r="N2" s="996"/>
      <c r="O2" s="996"/>
      <c r="P2" s="996"/>
      <c r="Q2" s="996"/>
      <c r="R2" s="996"/>
      <c r="S2" s="996"/>
      <c r="T2" s="996"/>
      <c r="U2" s="996"/>
      <c r="V2" s="996"/>
      <c r="W2" s="998"/>
    </row>
    <row r="3" spans="1:41" ht="12" customHeight="1">
      <c r="A3" s="996"/>
      <c r="B3" s="1594"/>
      <c r="C3" s="999"/>
      <c r="D3" s="999"/>
      <c r="E3" s="999"/>
      <c r="F3" s="999"/>
      <c r="G3" s="999" t="s">
        <v>774</v>
      </c>
      <c r="H3" s="999">
        <v>2017</v>
      </c>
      <c r="I3" s="999">
        <f>+H3+1</f>
        <v>2018</v>
      </c>
      <c r="J3" s="999">
        <f>+I3+1</f>
        <v>2019</v>
      </c>
      <c r="K3" s="999">
        <f>+J3+1</f>
        <v>2020</v>
      </c>
      <c r="L3" s="999">
        <f>+K3+1</f>
        <v>2021</v>
      </c>
      <c r="M3" s="1000" t="s">
        <v>962</v>
      </c>
      <c r="N3" s="1000" t="s">
        <v>963</v>
      </c>
      <c r="O3" s="1000" t="s">
        <v>960</v>
      </c>
      <c r="P3" s="1000" t="s">
        <v>1060</v>
      </c>
      <c r="Q3" s="1000" t="s">
        <v>961</v>
      </c>
      <c r="R3" s="1000" t="s">
        <v>964</v>
      </c>
      <c r="S3" s="1000" t="s">
        <v>965</v>
      </c>
      <c r="T3" s="1001"/>
      <c r="U3" s="1001"/>
      <c r="V3" s="1001"/>
      <c r="W3" s="996"/>
    </row>
    <row r="4" spans="1:41" s="1005" customFormat="1" ht="12" customHeight="1">
      <c r="A4" s="1003"/>
      <c r="B4" s="1594"/>
      <c r="C4" s="999"/>
      <c r="D4" s="1002"/>
      <c r="E4" s="1002"/>
      <c r="F4" s="999"/>
      <c r="G4" s="999"/>
      <c r="H4" s="999"/>
      <c r="I4" s="999"/>
      <c r="J4" s="999"/>
      <c r="K4" s="999"/>
      <c r="L4" s="999"/>
      <c r="M4" s="1000"/>
      <c r="N4" s="1000"/>
      <c r="O4" s="1000"/>
      <c r="P4" s="1000"/>
      <c r="Q4" s="1000"/>
      <c r="R4" s="1000"/>
      <c r="S4" s="1000"/>
      <c r="T4" s="1003"/>
      <c r="U4" s="1003"/>
      <c r="V4" s="1003"/>
      <c r="W4" s="1004"/>
      <c r="AM4" s="1581"/>
      <c r="AN4" s="1581"/>
    </row>
    <row r="5" spans="1:41" s="1005" customFormat="1" ht="12.6" customHeight="1">
      <c r="A5" s="1003"/>
      <c r="B5" s="1594"/>
      <c r="C5" s="1006"/>
      <c r="D5" s="999"/>
      <c r="E5" s="1007"/>
      <c r="F5" s="1007"/>
      <c r="G5" s="1007"/>
      <c r="H5" s="1007" t="str">
        <f t="shared" ref="H5:M5" si="0">+H3&amp;$G$3</f>
        <v>2017FY</v>
      </c>
      <c r="I5" s="1007" t="str">
        <f t="shared" si="0"/>
        <v>2018FY</v>
      </c>
      <c r="J5" s="1007" t="str">
        <f t="shared" si="0"/>
        <v>2019FY</v>
      </c>
      <c r="K5" s="1007" t="str">
        <f t="shared" si="0"/>
        <v>2020FY</v>
      </c>
      <c r="L5" s="1007" t="str">
        <f t="shared" si="0"/>
        <v>2021FY</v>
      </c>
      <c r="M5" s="1008" t="str">
        <f t="shared" si="0"/>
        <v>2022FY</v>
      </c>
      <c r="N5" s="1008" t="s">
        <v>861</v>
      </c>
      <c r="O5" s="1008"/>
      <c r="P5" s="1008"/>
      <c r="Q5" s="1008"/>
      <c r="R5" s="1008"/>
      <c r="S5" s="1008"/>
      <c r="T5" s="1009"/>
      <c r="V5" s="1000"/>
      <c r="W5" s="1010"/>
      <c r="AM5" s="1581"/>
      <c r="AN5" s="1581"/>
    </row>
    <row r="6" spans="1:41" ht="12.6" customHeight="1">
      <c r="A6" s="996"/>
      <c r="B6" s="1594"/>
      <c r="C6" s="1622" t="s">
        <v>1051</v>
      </c>
      <c r="D6" s="1579"/>
      <c r="E6" s="1579" t="str">
        <f>Model!CP4</f>
        <v>2014</v>
      </c>
      <c r="F6" s="1579" t="str">
        <f>Model!CS4</f>
        <v>2015</v>
      </c>
      <c r="G6" s="1579" t="str">
        <f>Model!CV4</f>
        <v>2016</v>
      </c>
      <c r="H6" s="1579" t="str">
        <f>Model!CY4</f>
        <v>2017</v>
      </c>
      <c r="I6" s="1579" t="str">
        <f>Model!DB4</f>
        <v>2018</v>
      </c>
      <c r="J6" s="1579" t="str">
        <f>Model!DE4</f>
        <v>2019</v>
      </c>
      <c r="K6" s="1579" t="str">
        <f>Model!DH4</f>
        <v>2020</v>
      </c>
      <c r="L6" s="1579" t="str">
        <f>Model!DK4</f>
        <v>2021</v>
      </c>
      <c r="M6" s="1579" t="str">
        <f>Model!DN4</f>
        <v>2022</v>
      </c>
      <c r="N6" s="1579" t="str">
        <f>Model!DQ4</f>
        <v>2023</v>
      </c>
      <c r="O6" s="1579" t="str">
        <f>Model!DT4</f>
        <v>2024</v>
      </c>
      <c r="P6" s="1579" t="str">
        <f>Model!DW4</f>
        <v>2025</v>
      </c>
      <c r="Q6" s="1579" t="str">
        <f>Model!DZ4</f>
        <v>2026E</v>
      </c>
      <c r="R6" s="1627" t="str">
        <f>+Model!EC4</f>
        <v>2027E</v>
      </c>
      <c r="S6" s="1627" t="str">
        <f>+Model!EF4</f>
        <v>2028E</v>
      </c>
      <c r="T6" s="1623"/>
      <c r="U6" s="1624" t="s">
        <v>780</v>
      </c>
      <c r="V6" s="1624"/>
      <c r="W6" s="1627" t="str">
        <f>Model!CZ4</f>
        <v>1h18</v>
      </c>
      <c r="X6" s="1627" t="str">
        <f>Model!DA4</f>
        <v>2h18</v>
      </c>
      <c r="Y6" s="1627" t="str">
        <f>Model!DF4</f>
        <v>1h20</v>
      </c>
      <c r="Z6" s="1627" t="str">
        <f>Model!DI4</f>
        <v>1h21</v>
      </c>
      <c r="AA6" s="1627" t="str">
        <f>Model!DJ4</f>
        <v>2h21</v>
      </c>
      <c r="AB6" s="1627" t="str">
        <f>Model!DL4</f>
        <v>1h22</v>
      </c>
      <c r="AC6" s="1627" t="str">
        <f>Model!DM4</f>
        <v>2h22</v>
      </c>
      <c r="AD6" s="1627" t="str">
        <f>Model!DO4</f>
        <v>1h23</v>
      </c>
      <c r="AE6" s="1579" t="str">
        <f>Model!DP4</f>
        <v>2h23</v>
      </c>
      <c r="AF6" s="1579" t="str">
        <f>Model!DR4</f>
        <v>1h24</v>
      </c>
      <c r="AG6" s="1579" t="str">
        <f>Model!DS4</f>
        <v>2h24</v>
      </c>
      <c r="AH6" s="1579" t="str">
        <f>Model!DU4</f>
        <v>1h25</v>
      </c>
      <c r="AI6" s="1579" t="str">
        <f>Model!DV4</f>
        <v>2h25</v>
      </c>
      <c r="AJ6" s="1579" t="str">
        <f>Model!DX4</f>
        <v>1h26</v>
      </c>
      <c r="AK6" s="1579" t="str">
        <f>Model!DY4</f>
        <v>2h26E</v>
      </c>
      <c r="AN6" s="1582"/>
      <c r="AO6" s="994"/>
    </row>
    <row r="7" spans="1:41" ht="11.1" customHeight="1">
      <c r="A7" s="996"/>
      <c r="B7" s="1594" t="s">
        <v>941</v>
      </c>
      <c r="C7" s="996" t="s">
        <v>1004</v>
      </c>
      <c r="D7" s="1595"/>
      <c r="E7" s="1596">
        <v>2.6893219319536898</v>
      </c>
      <c r="F7" s="1596">
        <v>2.9609107474032998</v>
      </c>
      <c r="G7" s="1596">
        <v>2.4923166909915202</v>
      </c>
      <c r="H7" s="1596">
        <v>2.9478292714019001</v>
      </c>
      <c r="I7" s="1596">
        <v>3.8034455459178802</v>
      </c>
      <c r="J7" s="1597">
        <v>4.2234080178300903</v>
      </c>
      <c r="K7" s="1597">
        <v>4.6154351502377997</v>
      </c>
      <c r="L7" s="1598">
        <f>Model!DK17</f>
        <v>524.92437893766009</v>
      </c>
      <c r="M7" s="1590">
        <f ca="1">+VLOOKUP($B7,Model!$B:$EX,MATCH('Fin Sum'!M$3,Model!$B$4:$EX$4,FALSE),FALSE)</f>
        <v>482.55499995811243</v>
      </c>
      <c r="N7" s="1590">
        <f ca="1">+VLOOKUP($B7,Model!$B:$EX,MATCH('Fin Sum'!N$3,Model!$B$4:$EX$4,FALSE),FALSE)</f>
        <v>455.00252535838024</v>
      </c>
      <c r="O7" s="1590">
        <f ca="1">+VLOOKUP($B7,Model!$B:$EX,MATCH('Fin Sum'!O$3,Model!$B$4:$EX$4,FALSE),FALSE)</f>
        <v>546.98564111554504</v>
      </c>
      <c r="P7" s="1590">
        <f ca="1">+VLOOKUP($B7,Model!$B:$EX,MATCH('Fin Sum'!P$3,Model!$B$4:$EX$4,FALSE),FALSE)</f>
        <v>620.19531979373812</v>
      </c>
      <c r="Q7" s="1590">
        <f ca="1">+VLOOKUP($B7,Model!$B:$EX,MATCH('Fin Sum'!Q$3,Model!$B$4:$EX$4,FALSE),FALSE)</f>
        <v>368.85606611346373</v>
      </c>
      <c r="R7" s="1590">
        <f ca="1">+VLOOKUP($B7,Model!$B:$EX,MATCH('Fin Sum'!R$3,Model!$B$4:$EX$4,FALSE),FALSE)</f>
        <v>709.11632735045418</v>
      </c>
      <c r="S7" s="1590">
        <f ca="1">+VLOOKUP($B7,Model!$B:$EX,MATCH('Fin Sum'!S$3,Model!$B$4:$EX$4,FALSE),FALSE)</f>
        <v>782.15465063037175</v>
      </c>
      <c r="T7" s="1595"/>
      <c r="U7" s="996" t="s">
        <v>528</v>
      </c>
      <c r="V7" s="996"/>
      <c r="W7" s="1595">
        <f>Model!CZ33</f>
        <v>4146.6304625474068</v>
      </c>
      <c r="X7" s="1595">
        <f>Model!DA33</f>
        <v>3768.3695374525928</v>
      </c>
      <c r="Y7" s="1595">
        <f>Model!DF33</f>
        <v>4910.632415164725</v>
      </c>
      <c r="Z7" s="1595">
        <f>Model!DI33</f>
        <v>5739.7448291452838</v>
      </c>
      <c r="AA7" s="1595">
        <f>Model!DJ33</f>
        <v>4572.555895357923</v>
      </c>
      <c r="AB7" s="1011">
        <f>Model!DL33</f>
        <v>6041.2000000000007</v>
      </c>
      <c r="AC7" s="1011">
        <f>Model!DM33</f>
        <v>4521.2</v>
      </c>
      <c r="AD7" s="1011">
        <f>Model!DO33</f>
        <v>7184</v>
      </c>
      <c r="AE7" s="1011">
        <f ca="1">+VLOOKUP($AM7,Model!$B:$EX,MATCH('Fin Sum'!AE$6,Model!$B$4:$EX$4,FALSE),FALSE)</f>
        <v>6126</v>
      </c>
      <c r="AF7" s="1011">
        <f ca="1">+VLOOKUP($AM7,Model!$B:$EX,MATCH('Fin Sum'!AF$6,Model!$B$4:$EX$4,FALSE),FALSE)</f>
        <v>8053</v>
      </c>
      <c r="AG7" s="1011">
        <f ca="1">+VLOOKUP($AM7,Model!$B:$EX,MATCH('Fin Sum'!AG$6,Model!$B$4:$EX$4,FALSE),FALSE)</f>
        <v>6747</v>
      </c>
      <c r="AH7" s="1011">
        <f ca="1">+VLOOKUP($AM7,Model!$B:$EX,MATCH('Fin Sum'!AH$6,Model!$B$4:$EX$4,FALSE),FALSE)</f>
        <v>8483</v>
      </c>
      <c r="AI7" s="1011">
        <f ca="1">+VLOOKUP($AM7,Model!$B:$EX,MATCH('Fin Sum'!AI$6,Model!$B$4:$EX$4,FALSE),FALSE)</f>
        <v>7075</v>
      </c>
      <c r="AJ7" s="1011">
        <f ca="1">+VLOOKUP($AM7,Model!$B:$EX,MATCH('Fin Sum'!AJ$6,Model!$B$4:$EX$4,FALSE),FALSE)</f>
        <v>8332</v>
      </c>
      <c r="AK7" s="1011">
        <f ca="1">+VLOOKUP($AM7,Model!$B:$EX,MATCH('Fin Sum'!AK$6,Model!$B$4:$EX$4,FALSE),FALSE)</f>
        <v>7591.3872548682684</v>
      </c>
      <c r="AM7" s="1581" t="s">
        <v>76</v>
      </c>
      <c r="AN7" s="1583"/>
      <c r="AO7" s="994"/>
    </row>
    <row r="8" spans="1:41" ht="11.1" customHeight="1">
      <c r="A8" s="996"/>
      <c r="B8" s="1594" t="s">
        <v>366</v>
      </c>
      <c r="C8" s="996" t="s">
        <v>159</v>
      </c>
      <c r="D8" s="1595"/>
      <c r="E8" s="1599">
        <v>23.335491776015701</v>
      </c>
      <c r="F8" s="1599">
        <v>22.498647757325699</v>
      </c>
      <c r="G8" s="1599">
        <v>33.532696808529202</v>
      </c>
      <c r="H8" s="1599">
        <v>35.989146123102401</v>
      </c>
      <c r="I8" s="1599">
        <v>37.486358690411599</v>
      </c>
      <c r="J8" s="1600">
        <v>35.736542583561203</v>
      </c>
      <c r="K8" s="1600">
        <v>42.918466868331599</v>
      </c>
      <c r="L8" s="1591">
        <v>23.137718188246694</v>
      </c>
      <c r="M8" s="1591">
        <v>25.169260190142634</v>
      </c>
      <c r="N8" s="1591">
        <v>26.693373493770441</v>
      </c>
      <c r="O8" s="1591">
        <v>22.20451770037301</v>
      </c>
      <c r="P8" s="1591">
        <v>19.58343115849264</v>
      </c>
      <c r="Q8" s="1591">
        <v>32.92761991953769</v>
      </c>
      <c r="R8" s="1591">
        <v>17.127729092602763</v>
      </c>
      <c r="S8" s="1591">
        <v>15.528325939392396</v>
      </c>
      <c r="T8" s="1595"/>
      <c r="U8" s="996" t="s">
        <v>38</v>
      </c>
      <c r="V8" s="996"/>
      <c r="W8" s="1595">
        <f>Model!CZ55</f>
        <v>1616.5090930720517</v>
      </c>
      <c r="X8" s="1595">
        <f>Model!DA55</f>
        <v>1060.4909069279483</v>
      </c>
      <c r="Y8" s="1595">
        <f>Model!DF55</f>
        <v>1836.7326205237171</v>
      </c>
      <c r="Z8" s="1595">
        <f>Model!DI55</f>
        <v>2605.5315449999998</v>
      </c>
      <c r="AA8" s="1595">
        <f>Model!DJ55</f>
        <v>1040.5542762500004</v>
      </c>
      <c r="AB8" s="1011">
        <f>Model!DL55</f>
        <v>2495.6235962499995</v>
      </c>
      <c r="AC8" s="1011">
        <f>Model!DM55</f>
        <v>1129.1764037500006</v>
      </c>
      <c r="AD8" s="1011">
        <f>Model!DO55</f>
        <v>2699.2018085000004</v>
      </c>
      <c r="AE8" s="1011" t="e">
        <f ca="1">+VLOOKUP($AM8,Model!$B:$EX,MATCH('Fin Sum'!AE$6,Model!$B$4:$EX$4,FALSE),FALSE)</f>
        <v>#N/A</v>
      </c>
      <c r="AF8" s="1011">
        <f>+VLOOKUP($AM8,Segment!$1:$1048576,MATCH('Fin Sum'!AF$6,Segment!$4:$4,FALSE),FALSE)</f>
        <v>4494</v>
      </c>
      <c r="AG8" s="1011">
        <f>+VLOOKUP($AM8,Segment!$1:$1048576,MATCH('Fin Sum'!AG$6,Segment!$4:$4,FALSE),FALSE)</f>
        <v>3512</v>
      </c>
      <c r="AH8" s="1011">
        <f>+VLOOKUP($AM8,Segment!$1:$1048576,MATCH('Fin Sum'!AH$6,Segment!$4:$4,FALSE),FALSE)</f>
        <v>4704</v>
      </c>
      <c r="AI8" s="1011">
        <f>+VLOOKUP($AM8,Segment!$1:$1048576,MATCH('Fin Sum'!AI$6,Segment!$4:$4,FALSE),FALSE)</f>
        <v>3739</v>
      </c>
      <c r="AJ8" s="1011">
        <f>+VLOOKUP($AM8,Segment!$1:$1048576,MATCH('Fin Sum'!AJ$6,Segment!$4:$4,FALSE),FALSE)</f>
        <v>4630</v>
      </c>
      <c r="AK8" s="1011">
        <f>+VLOOKUP($AM8,Segment!$1:$1048576,MATCH('Fin Sum'!AK$6,Segment!$4:$4,FALSE),FALSE)</f>
        <v>4000.7870425503465</v>
      </c>
      <c r="AM8" s="1594" t="s">
        <v>1008</v>
      </c>
      <c r="AN8" s="1580"/>
      <c r="AO8" s="993"/>
    </row>
    <row r="9" spans="1:41" ht="11.1" customHeight="1">
      <c r="A9" s="996"/>
      <c r="B9" s="1594" t="s">
        <v>354</v>
      </c>
      <c r="C9" s="996" t="s">
        <v>693</v>
      </c>
      <c r="D9" s="1595"/>
      <c r="E9" s="1599">
        <v>17.462747310830601</v>
      </c>
      <c r="F9" s="1599">
        <v>17.0550404158103</v>
      </c>
      <c r="G9" s="1599">
        <v>23.727900123675202</v>
      </c>
      <c r="H9" s="1599">
        <v>25.0527273826184</v>
      </c>
      <c r="I9" s="1599">
        <v>25.507700001821501</v>
      </c>
      <c r="J9" s="1600">
        <v>25.189767756471301</v>
      </c>
      <c r="K9" s="1600">
        <v>30.301518762838601</v>
      </c>
      <c r="L9" s="1600">
        <v>27.8519756137255</v>
      </c>
      <c r="M9" s="1591">
        <v>23.866685958080101</v>
      </c>
      <c r="N9" s="1591">
        <f ca="1">+VLOOKUP($B9,Model!$B:$EX,MATCH('Fin Sum'!N$3,Model!$B$4:$EX$4,FALSE),FALSE)</f>
        <v>16.335293407389816</v>
      </c>
      <c r="O9" s="1591">
        <f ca="1">+VLOOKUP($B9,Model!$B:$EX,MATCH('Fin Sum'!O$3,Model!$B$4:$EX$4,FALSE),FALSE)</f>
        <v>14.341283518730826</v>
      </c>
      <c r="P9" s="1591">
        <f ca="1">+VLOOKUP($B9,Model!$B:$EX,MATCH('Fin Sum'!P$3,Model!$B$4:$EX$4,FALSE),FALSE)</f>
        <v>13.306165499570309</v>
      </c>
      <c r="Q9" s="1591">
        <f ca="1">+VLOOKUP($B9,Model!$B:$EX,MATCH('Fin Sum'!Q$3,Model!$B$4:$EX$4,FALSE),FALSE)</f>
        <v>12.32974630669902</v>
      </c>
      <c r="R9" s="1591">
        <f ca="1">+VLOOKUP($B9,Model!$B:$EX,MATCH('Fin Sum'!R$3,Model!$B$4:$EX$4,FALSE),FALSE)</f>
        <v>11.632038623904691</v>
      </c>
      <c r="S9" s="1591">
        <f ca="1">+VLOOKUP($B9,Model!$B:$EX,MATCH('Fin Sum'!S$3,Model!$B$4:$EX$4,FALSE),FALSE)</f>
        <v>10.685111886101</v>
      </c>
      <c r="T9" s="996"/>
      <c r="U9" s="996" t="s">
        <v>331</v>
      </c>
      <c r="V9" s="1595"/>
      <c r="W9" s="1595">
        <f>Model!CZ73</f>
        <v>1475.2090930720517</v>
      </c>
      <c r="X9" s="1595">
        <f>Model!DA73</f>
        <v>905.09090692794803</v>
      </c>
      <c r="Y9" s="1595">
        <f>Model!DF73</f>
        <v>1632.019</v>
      </c>
      <c r="Z9" s="1595">
        <f>Model!DI73</f>
        <v>2357.8815450000002</v>
      </c>
      <c r="AA9" s="1595">
        <f>Model!DJ73</f>
        <v>792.90427624999984</v>
      </c>
      <c r="AB9" s="1011">
        <f>Model!DL73</f>
        <v>2231.4235962499997</v>
      </c>
      <c r="AC9" s="1011">
        <f>Model!DM73</f>
        <v>850.87640375000046</v>
      </c>
      <c r="AD9" s="1011">
        <f>Model!DO73</f>
        <v>2406.0018085000002</v>
      </c>
      <c r="AE9" s="1011">
        <f ca="1">+VLOOKUP($AM9,Model!$B:$EX,MATCH('Fin Sum'!AE$6,Model!$B$4:$EX$4,FALSE),FALSE)</f>
        <v>1251.2963594942444</v>
      </c>
      <c r="AF9" s="1011">
        <f ca="1">+VLOOKUP($AM9,Model!$B:$EX,MATCH('Fin Sum'!AF$6,Model!$B$4:$EX$4,FALSE),FALSE)</f>
        <v>2794.9791249999998</v>
      </c>
      <c r="AG9" s="1011">
        <f ca="1">+VLOOKUP($AM9,Model!$B:$EX,MATCH('Fin Sum'!AG$6,Model!$B$4:$EX$4,FALSE),FALSE)</f>
        <v>1402.0284750000001</v>
      </c>
      <c r="AH9" s="1011">
        <f ca="1">+VLOOKUP($AM9,Model!$B:$EX,MATCH('Fin Sum'!AH$6,Model!$B$4:$EX$4,FALSE),FALSE)</f>
        <v>2878</v>
      </c>
      <c r="AI9" s="1011">
        <f ca="1">+VLOOKUP($AM9,Model!$B:$EX,MATCH('Fin Sum'!AI$6,Model!$B$4:$EX$4,FALSE),FALSE)</f>
        <v>1590</v>
      </c>
      <c r="AJ9" s="1011">
        <f ca="1">+VLOOKUP($AM9,Model!$B:$EX,MATCH('Fin Sum'!AJ$6,Model!$B$4:$EX$4,FALSE),FALSE)</f>
        <v>2805</v>
      </c>
      <c r="AK9" s="1011">
        <f ca="1">+VLOOKUP($AM9,Model!$B:$EX,MATCH('Fin Sum'!AK$6,Model!$B$4:$EX$4,FALSE),FALSE)</f>
        <v>2094.5635170371161</v>
      </c>
      <c r="AM9" s="1581" t="s">
        <v>331</v>
      </c>
      <c r="AN9" s="1584"/>
      <c r="AO9" s="1011"/>
    </row>
    <row r="10" spans="1:41" ht="11.1" customHeight="1">
      <c r="A10" s="996"/>
      <c r="B10" s="1594" t="s">
        <v>573</v>
      </c>
      <c r="C10" s="996" t="s">
        <v>581</v>
      </c>
      <c r="E10" s="995">
        <f>Model!CP20</f>
        <v>280.19604539122395</v>
      </c>
      <c r="F10" s="995">
        <f>Model!CS20</f>
        <v>288.18685904062369</v>
      </c>
      <c r="G10" s="995">
        <f>Model!CV20</f>
        <v>254.78744487835976</v>
      </c>
      <c r="H10" s="995">
        <f>Model!CY20</f>
        <v>273.15277162372087</v>
      </c>
      <c r="I10" s="995">
        <f>Model!DB20</f>
        <v>418.44720764014153</v>
      </c>
      <c r="J10" s="1591">
        <f>Model!DE20</f>
        <v>361.96237788710016</v>
      </c>
      <c r="K10" s="1591">
        <f>Model!DH20</f>
        <v>546.23482921934453</v>
      </c>
      <c r="L10" s="1590">
        <f>Model!DK20</f>
        <v>793.86346322364659</v>
      </c>
      <c r="M10" s="1590">
        <f ca="1">+VLOOKUP($B10,Model!$B:$EX,MATCH('Fin Sum'!M$3,Model!$B$4:$EX$4,FALSE),FALSE)</f>
        <v>560.35656413114657</v>
      </c>
      <c r="N10" s="1590">
        <f ca="1">+VLOOKUP($B10,Model!$B:$EX,MATCH('Fin Sum'!N$3,Model!$B$4:$EX$4,FALSE),FALSE)</f>
        <v>537.66656895060828</v>
      </c>
      <c r="O10" s="1590">
        <f ca="1">+VLOOKUP($B10,Model!$B:$EX,MATCH('Fin Sum'!O$3,Model!$B$4:$EX$4,FALSE),FALSE)</f>
        <v>569.75762673405518</v>
      </c>
      <c r="P10" s="1590">
        <f ca="1">+VLOOKUP($B10,Model!$B:$EX,MATCH('Fin Sum'!P$3,Model!$B$4:$EX$4,FALSE),FALSE)</f>
        <v>733.41086412284551</v>
      </c>
      <c r="Q10" s="1590">
        <f ca="1">+VLOOKUP($B10,Model!$B:$EX,MATCH('Fin Sum'!Q$3,Model!$B$4:$EX$4,FALSE),FALSE)</f>
        <v>751.0169835500418</v>
      </c>
      <c r="R10" s="1590">
        <f ca="1">+VLOOKUP($B10,Model!$B:$EX,MATCH('Fin Sum'!R$3,Model!$B$4:$EX$4,FALSE),FALSE)</f>
        <v>860.13192481000647</v>
      </c>
      <c r="S10" s="1590">
        <f ca="1">+VLOOKUP($B10,Model!$B:$EX,MATCH('Fin Sum'!S$3,Model!$B$4:$EX$4,FALSE),FALSE)</f>
        <v>947.58173931250246</v>
      </c>
      <c r="T10" s="996"/>
      <c r="U10" s="996" t="s">
        <v>902</v>
      </c>
      <c r="V10" s="996"/>
      <c r="W10" s="1595">
        <f>Model!CZ116</f>
        <v>1086.3</v>
      </c>
      <c r="X10" s="1595">
        <f>Model!DA116</f>
        <v>642.59999999999991</v>
      </c>
      <c r="Y10" s="1595">
        <f>Model!DF116</f>
        <v>1248</v>
      </c>
      <c r="Z10" s="1595">
        <f>Model!DI116</f>
        <v>1810</v>
      </c>
      <c r="AA10" s="1595">
        <f>Model!DJ116</f>
        <v>581.19999999999982</v>
      </c>
      <c r="AB10" s="1011">
        <f>Model!DL116</f>
        <v>1777</v>
      </c>
      <c r="AC10" s="1011">
        <f>Model!DM116</f>
        <v>603.69999999999982</v>
      </c>
      <c r="AD10" s="1011">
        <f>Model!DO116</f>
        <v>1818.4</v>
      </c>
      <c r="AE10" s="1011">
        <f ca="1">+VLOOKUP($AM10,Model!$B:$EX,MATCH('Fin Sum'!AE$6,Model!$B$4:$EX$4,FALSE),FALSE)</f>
        <v>791.60000000000036</v>
      </c>
      <c r="AF10" s="1011">
        <f ca="1">+VLOOKUP($AM10,Model!$B:$EX,MATCH('Fin Sum'!AF$6,Model!$B$4:$EX$4,FALSE),FALSE)</f>
        <v>2017.0050799999999</v>
      </c>
      <c r="AG10" s="1011">
        <f ca="1">+VLOOKUP($AM10,Model!$B:$EX,MATCH('Fin Sum'!AG$6,Model!$B$4:$EX$4,FALSE),FALSE)</f>
        <v>889.99492000000009</v>
      </c>
      <c r="AH10" s="1011">
        <f ca="1">+VLOOKUP($AM10,Model!$B:$EX,MATCH('Fin Sum'!AH$6,Model!$B$4:$EX$4,FALSE),FALSE)</f>
        <v>2073.9999999999995</v>
      </c>
      <c r="AI10" s="1011">
        <f ca="1">+VLOOKUP($AM10,Model!$B:$EX,MATCH('Fin Sum'!AI$6,Model!$B$4:$EX$4,FALSE),FALSE)</f>
        <v>1145.0000000000005</v>
      </c>
      <c r="AJ10" s="1011">
        <f ca="1">+VLOOKUP($AM10,Model!$B:$EX,MATCH('Fin Sum'!AJ$6,Model!$B$4:$EX$4,FALSE),FALSE)</f>
        <v>1946</v>
      </c>
      <c r="AK10" s="1011">
        <f ca="1">+VLOOKUP($AM10,Model!$B:$EX,MATCH('Fin Sum'!AK$6,Model!$B$4:$EX$4,FALSE),FALSE)</f>
        <v>1476.8577022481932</v>
      </c>
      <c r="AM10" s="1581" t="s">
        <v>501</v>
      </c>
      <c r="AN10" s="1585"/>
      <c r="AO10" s="994"/>
    </row>
    <row r="11" spans="1:41" ht="11.1" customHeight="1">
      <c r="A11" s="996"/>
      <c r="B11" s="1594" t="s">
        <v>574</v>
      </c>
      <c r="C11" s="996" t="s">
        <v>583</v>
      </c>
      <c r="E11" s="995">
        <f>Model!CP21</f>
        <v>61.167886848901297</v>
      </c>
      <c r="F11" s="995">
        <f>Model!CS21</f>
        <v>59.47183038482693</v>
      </c>
      <c r="G11" s="995">
        <f>Model!CV21</f>
        <v>67.267835776533161</v>
      </c>
      <c r="H11" s="995">
        <f>Model!CY21</f>
        <v>62.745107428782291</v>
      </c>
      <c r="I11" s="995">
        <f>Model!DB21</f>
        <v>40.958571803254301</v>
      </c>
      <c r="J11" s="1591">
        <f>Model!DE21</f>
        <v>47.350224904716008</v>
      </c>
      <c r="K11" s="1591">
        <f>Model!DH21</f>
        <v>22.235038302771546</v>
      </c>
      <c r="L11" s="1591">
        <f>Model!DK21</f>
        <v>15.299296305539082</v>
      </c>
      <c r="M11" s="1591">
        <f ca="1">+VLOOKUP($B11,Model!$B:$EX,MATCH('Fin Sum'!M$3,Model!$B$4:$EX$4,FALSE),FALSE)</f>
        <v>21.674685597432276</v>
      </c>
      <c r="N11" s="1595">
        <f ca="1">+VLOOKUP($B11,Model!$B:$EX,MATCH('Fin Sum'!N$3,Model!$B$4:$EX$4,FALSE),FALSE)</f>
        <v>22.58937611409447</v>
      </c>
      <c r="O11" s="1595">
        <f ca="1">+VLOOKUP($B11,Model!$B:$EX,MATCH('Fin Sum'!O$3,Model!$B$4:$EX$4,FALSE),FALSE)</f>
        <v>21.317050935536063</v>
      </c>
      <c r="P11" s="1595">
        <f ca="1">+VLOOKUP($B11,Model!$B:$EX,MATCH('Fin Sum'!P$3,Model!$B$4:$EX$4,FALSE),FALSE)</f>
        <v>16.560366016020225</v>
      </c>
      <c r="Q11" s="1595">
        <f ca="1">+VLOOKUP($B11,Model!$B:$EX,MATCH('Fin Sum'!Q$3,Model!$B$4:$EX$4,FALSE),FALSE)</f>
        <v>16.172140731875629</v>
      </c>
      <c r="R11" s="1595">
        <f ca="1">+VLOOKUP($B11,Model!$B:$EX,MATCH('Fin Sum'!R$3,Model!$B$4:$EX$4,FALSE),FALSE)</f>
        <v>14.120569182085427</v>
      </c>
      <c r="S11" s="1595">
        <f ca="1">+VLOOKUP($B11,Model!$B:$EX,MATCH('Fin Sum'!S$3,Model!$B$4:$EX$4,FALSE),FALSE)</f>
        <v>12.817419169360463</v>
      </c>
      <c r="T11" s="1591"/>
      <c r="U11" s="996"/>
      <c r="V11" s="996"/>
      <c r="W11" s="1595"/>
      <c r="X11" s="1595"/>
      <c r="Y11" s="1595"/>
      <c r="Z11" s="1595"/>
      <c r="AA11" s="1595"/>
      <c r="AB11" s="1011"/>
      <c r="AC11" s="1011"/>
      <c r="AD11" s="1011"/>
      <c r="AE11" s="1011"/>
      <c r="AF11" s="1011"/>
      <c r="AG11" s="1011"/>
      <c r="AH11" s="1011"/>
      <c r="AI11" s="1011"/>
      <c r="AJ11" s="1011"/>
      <c r="AK11" s="1011"/>
      <c r="AN11" s="1580"/>
      <c r="AO11" s="994"/>
    </row>
    <row r="12" spans="1:41" ht="11.1" customHeight="1">
      <c r="A12" s="996"/>
      <c r="B12" s="1594" t="s">
        <v>170</v>
      </c>
      <c r="C12" s="996" t="s">
        <v>580</v>
      </c>
      <c r="E12" s="995">
        <f>Model!CP341</f>
        <v>113.01448591487184</v>
      </c>
      <c r="F12" s="995">
        <f>Model!CS341</f>
        <v>124</v>
      </c>
      <c r="G12" s="995">
        <f>Model!CV341</f>
        <v>126</v>
      </c>
      <c r="H12" s="995">
        <f>Model!CY341</f>
        <v>136.93014912010005</v>
      </c>
      <c r="I12" s="995">
        <f>Model!DB341</f>
        <v>172.47373362043226</v>
      </c>
      <c r="J12" s="1591">
        <f>Model!DE341</f>
        <v>185.00000000000011</v>
      </c>
      <c r="K12" s="1591">
        <f>Model!DH341</f>
        <v>202.07926149328205</v>
      </c>
      <c r="L12" s="1590">
        <f>Model!DK341</f>
        <v>225.38712703848438</v>
      </c>
      <c r="M12" s="1590">
        <f ca="1">+VLOOKUP($B12,Model!$B:$EX,MATCH('Fin Sum'!M$3,Model!$B$4:$EX$4,FALSE),FALSE)</f>
        <v>248.58975393615705</v>
      </c>
      <c r="N12" s="1590">
        <f ca="1">+VLOOKUP($B12,Model!$B:$EX,MATCH('Fin Sum'!N$3,Model!$B$4:$EX$4,FALSE),FALSE)</f>
        <v>235.96201354575362</v>
      </c>
      <c r="O12" s="1590">
        <f ca="1">+VLOOKUP($B12,Model!$B:$EX,MATCH('Fin Sum'!O$3,Model!$B$4:$EX$4,FALSE),FALSE)</f>
        <v>263.56084676109793</v>
      </c>
      <c r="P12" s="1590">
        <f ca="1">+VLOOKUP($B12,Model!$B:$EX,MATCH('Fin Sum'!P$3,Model!$B$4:$EX$4,FALSE),FALSE)</f>
        <v>292</v>
      </c>
      <c r="Q12" s="1590">
        <f ca="1">+VLOOKUP($B12,Model!$B:$EX,MATCH('Fin Sum'!Q$3,Model!$B$4:$EX$4,FALSE),FALSE)</f>
        <v>309.19080606977354</v>
      </c>
      <c r="R12" s="1590">
        <f ca="1">+VLOOKUP($B12,Model!$B:$EX,MATCH('Fin Sum'!R$3,Model!$B$4:$EX$4,FALSE),FALSE)</f>
        <v>313.80659256649187</v>
      </c>
      <c r="S12" s="1590">
        <f ca="1">+VLOOKUP($B12,Model!$B:$EX,MATCH('Fin Sum'!S$3,Model!$B$4:$EX$4,FALSE),FALSE)</f>
        <v>343.92996405697579</v>
      </c>
      <c r="U12" s="1603" t="s">
        <v>692</v>
      </c>
      <c r="V12" s="1603"/>
      <c r="W12" s="1601">
        <f t="shared" ref="W12:AJ12" si="1">W9/W7</f>
        <v>0.35576092598465692</v>
      </c>
      <c r="X12" s="1601">
        <f t="shared" si="1"/>
        <v>0.24018103796152299</v>
      </c>
      <c r="Y12" s="1601">
        <f t="shared" si="1"/>
        <v>0.33234395532438865</v>
      </c>
      <c r="Z12" s="1601">
        <f t="shared" si="1"/>
        <v>0.41079901897853477</v>
      </c>
      <c r="AA12" s="1601">
        <f t="shared" si="1"/>
        <v>0.17340504837895135</v>
      </c>
      <c r="AB12" s="1604">
        <f t="shared" si="1"/>
        <v>0.36936760846355021</v>
      </c>
      <c r="AC12" s="1604">
        <f t="shared" si="1"/>
        <v>0.18819702816730083</v>
      </c>
      <c r="AD12" s="1604">
        <f t="shared" si="1"/>
        <v>0.33491116488028955</v>
      </c>
      <c r="AE12" s="1604">
        <f t="shared" ca="1" si="1"/>
        <v>0.20425993462197917</v>
      </c>
      <c r="AF12" s="1604">
        <f t="shared" ca="1" si="1"/>
        <v>0.34707303178939525</v>
      </c>
      <c r="AG12" s="1604">
        <f t="shared" ca="1" si="1"/>
        <v>0.20780027790128947</v>
      </c>
      <c r="AH12" s="1604">
        <f t="shared" ca="1" si="1"/>
        <v>0.3392667688317812</v>
      </c>
      <c r="AI12" s="1604">
        <f t="shared" ca="1" si="1"/>
        <v>0.22473498233215547</v>
      </c>
      <c r="AJ12" s="1604">
        <f t="shared" ca="1" si="1"/>
        <v>0.33665386461833896</v>
      </c>
      <c r="AK12" s="1604">
        <f ca="1">AK9/AK7</f>
        <v>0.27591314297579761</v>
      </c>
      <c r="AN12" s="1580"/>
      <c r="AO12" s="994"/>
    </row>
    <row r="13" spans="1:41" ht="11.1" customHeight="1">
      <c r="A13" s="996"/>
      <c r="B13" s="1594"/>
      <c r="C13" s="1645" t="s">
        <v>33</v>
      </c>
      <c r="D13" s="1671"/>
      <c r="E13" s="1672">
        <v>1.8008368233154898E-2</v>
      </c>
      <c r="F13" s="1672">
        <v>1.86140104082341E-2</v>
      </c>
      <c r="G13" s="1672">
        <v>1.5076441155286099E-2</v>
      </c>
      <c r="H13" s="1672">
        <v>1.2906997067617399E-2</v>
      </c>
      <c r="I13" s="1672">
        <v>1.2096855852619401E-2</v>
      </c>
      <c r="J13" s="1673">
        <v>1.22573378E-2</v>
      </c>
      <c r="K13" s="1673">
        <v>1.0201520182667401E-2</v>
      </c>
      <c r="L13" s="1673">
        <v>1.0540212755183799E-2</v>
      </c>
      <c r="M13" s="1674">
        <v>1.33881958965996E-2</v>
      </c>
      <c r="N13" s="1681">
        <v>1.9427853649303455</v>
      </c>
      <c r="O13" s="1681">
        <v>2.1700194372888935</v>
      </c>
      <c r="P13" s="1681">
        <v>2.4041722565215409</v>
      </c>
      <c r="Q13" s="1681">
        <v>2.5457121846728823</v>
      </c>
      <c r="R13" s="1681">
        <v>2.5837161087736935</v>
      </c>
      <c r="S13" s="1681">
        <v>2.8317358827816164</v>
      </c>
      <c r="U13" s="996" t="s">
        <v>566</v>
      </c>
      <c r="V13" s="996"/>
      <c r="W13" s="1595">
        <f>Model!CZ14</f>
        <v>238.97755200015021</v>
      </c>
      <c r="X13" s="1595">
        <f>Model!DA14</f>
        <v>141.36700259163814</v>
      </c>
      <c r="Y13" s="1595">
        <f>Model!DF14</f>
        <v>274.03795867526026</v>
      </c>
      <c r="Z13" s="1595">
        <f>Model!DI14</f>
        <v>396.87591863461364</v>
      </c>
      <c r="AA13" s="1595">
        <f>Model!DJ14</f>
        <v>127.34098791877331</v>
      </c>
      <c r="AB13" s="1011">
        <f>Model!DL14</f>
        <v>387.89529278016909</v>
      </c>
      <c r="AC13" s="1011">
        <f>Model!DM14</f>
        <v>125.7418283610004</v>
      </c>
      <c r="AD13" s="1011">
        <f>Model!DO14</f>
        <v>375.99171718202439</v>
      </c>
      <c r="AE13" s="1011">
        <f ca="1">+VLOOKUP($AM13,Model!$B:$EX,MATCH('Fin Sum'!AE$6,Model!$B$4:$EX$4,FALSE),FALSE)</f>
        <v>163.5920989314746</v>
      </c>
      <c r="AF13" s="1011">
        <f ca="1">+VLOOKUP($AM13,Model!$B:$EX,MATCH('Fin Sum'!AF$6,Model!$B$4:$EX$4,FALSE),FALSE)</f>
        <v>415.91557544623657</v>
      </c>
      <c r="AG13" s="1011">
        <f ca="1">+VLOOKUP($AM13,Model!$B:$EX,MATCH('Fin Sum'!AG$6,Model!$B$4:$EX$4,FALSE),FALSE)</f>
        <v>183.39758044828699</v>
      </c>
      <c r="AH13" s="1011">
        <f ca="1">+VLOOKUP($AM13,Model!$B:$EX,MATCH('Fin Sum'!AH$6,Model!$B$4:$EX$4,FALSE),FALSE)</f>
        <v>427.22380495984993</v>
      </c>
      <c r="AI13" s="1011">
        <f ca="1">+VLOOKUP($AM13,Model!$B:$EX,MATCH('Fin Sum'!AI$6,Model!$B$4:$EX$4,FALSE),FALSE)</f>
        <v>235.78139742515026</v>
      </c>
      <c r="AJ13" s="1011">
        <f ca="1">+VLOOKUP($AM13,Model!$B:$EX,MATCH('Fin Sum'!AJ$6,Model!$B$4:$EX$4,FALSE),FALSE)</f>
        <v>401.96081142478118</v>
      </c>
      <c r="AK13" s="1011">
        <f ca="1">+VLOOKUP($AM13,Model!$B:$EX,MATCH('Fin Sum'!AK$6,Model!$B$4:$EX$4,FALSE),FALSE)</f>
        <v>306.3718583110911</v>
      </c>
      <c r="AM13" s="1581" t="s">
        <v>942</v>
      </c>
      <c r="AN13" s="1580"/>
      <c r="AO13" s="993"/>
    </row>
    <row r="14" spans="1:41" ht="11.1" customHeight="1">
      <c r="A14" s="996"/>
      <c r="B14" s="1594" t="s">
        <v>942</v>
      </c>
      <c r="C14" s="1636" t="s">
        <v>1005</v>
      </c>
      <c r="D14" s="1650"/>
      <c r="E14" s="1651"/>
      <c r="F14" s="1651"/>
      <c r="G14" s="1651"/>
      <c r="H14" s="1651"/>
      <c r="I14" s="1651"/>
      <c r="J14" s="1636"/>
      <c r="K14" s="1636"/>
      <c r="L14" s="1636"/>
      <c r="M14" s="1652">
        <f ca="1">+VLOOKUP($B14,Model!$B:$EX,MATCH('Fin Sum'!M$3,Model!$B$4:$EX$4,FALSE),FALSE)</f>
        <v>507.49072630084095</v>
      </c>
      <c r="N14" s="1652">
        <f ca="1">+VLOOKUP($B14,Model!$B:$EX,MATCH('Fin Sum'!N$3,Model!$B$4:$EX$4,FALSE),FALSE)</f>
        <v>539.52700690545475</v>
      </c>
      <c r="O14" s="1652">
        <f ca="1">+VLOOKUP($B14,Model!$B:$EX,MATCH('Fin Sum'!O$3,Model!$B$4:$EX$4,FALSE),FALSE)</f>
        <v>599.23495691602704</v>
      </c>
      <c r="P14" s="1652">
        <f ca="1">+VLOOKUP($B14,Model!$B:$EX,MATCH('Fin Sum'!P$3,Model!$B$4:$EX$4,FALSE),FALSE)</f>
        <v>662.97376344044915</v>
      </c>
      <c r="Q14" s="1652">
        <f ca="1">+VLOOKUP($B14,Model!$B:$EX,MATCH('Fin Sum'!Q$3,Model!$B$4:$EX$4,FALSE),FALSE)</f>
        <v>708.53839189248959</v>
      </c>
      <c r="R14" s="1652">
        <f ca="1">+VLOOKUP($B14,Model!$B:$EX,MATCH('Fin Sum'!R$3,Model!$B$4:$EX$4,FALSE),FALSE)</f>
        <v>760.56623734046741</v>
      </c>
      <c r="S14" s="1652">
        <f ca="1">+VLOOKUP($B14,Model!$B:$EX,MATCH('Fin Sum'!S$3,Model!$B$4:$EX$4,FALSE),FALSE)</f>
        <v>833.64638151648785</v>
      </c>
      <c r="U14" s="996" t="s">
        <v>580</v>
      </c>
      <c r="V14" s="996"/>
      <c r="W14" s="1595">
        <f>Model!CZ22</f>
        <v>79.217586953570603</v>
      </c>
      <c r="X14" s="1595">
        <f>Model!DA22</f>
        <v>93.256146666861639</v>
      </c>
      <c r="Y14" s="1595">
        <f>Model!DF22</f>
        <v>95</v>
      </c>
      <c r="Z14" s="1595">
        <f>Model!DI22</f>
        <v>103.96749505793404</v>
      </c>
      <c r="AA14" s="1595">
        <f>Model!DJ22</f>
        <v>121.41963198055035</v>
      </c>
      <c r="AB14" s="1011">
        <f>Model!DL22</f>
        <v>104.61536046281159</v>
      </c>
      <c r="AC14" s="1011">
        <f>Model!DM22</f>
        <v>143.97439347334546</v>
      </c>
      <c r="AD14" s="1011">
        <f>Model!DO22</f>
        <v>106.96964353828592</v>
      </c>
      <c r="AE14" s="1011">
        <f ca="1">+VLOOKUP($AM14,Model!$B:$EX,MATCH('Fin Sum'!AE$6,Model!$B$4:$EX$4,FALSE),FALSE)</f>
        <v>128.99237000746771</v>
      </c>
      <c r="AF14" s="1011">
        <f ca="1">+VLOOKUP($AM14,Model!$B:$EX,MATCH('Fin Sum'!AF$6,Model!$B$4:$EX$4,FALSE),FALSE)</f>
        <v>118.95185457762365</v>
      </c>
      <c r="AG14" s="1011">
        <f ca="1">+VLOOKUP($AM14,Model!$B:$EX,MATCH('Fin Sum'!AG$6,Model!$B$4:$EX$4,FALSE),FALSE)</f>
        <v>144.6089921834743</v>
      </c>
      <c r="AH14" s="1011">
        <f ca="1">+VLOOKUP($AM14,Model!$B:$EX,MATCH('Fin Sum'!AH$6,Model!$B$4:$EX$4,FALSE),FALSE)</f>
        <v>130</v>
      </c>
      <c r="AI14" s="1011">
        <f ca="1">+VLOOKUP($AM14,Model!$B:$EX,MATCH('Fin Sum'!AI$6,Model!$B$4:$EX$4,FALSE),FALSE)</f>
        <v>162</v>
      </c>
      <c r="AJ14" s="1011">
        <f ca="1">+VLOOKUP($AM14,Model!$B:$EX,MATCH('Fin Sum'!AJ$6,Model!$B$4:$EX$4,FALSE),FALSE)</f>
        <v>140.68628399867342</v>
      </c>
      <c r="AK14" s="1011">
        <f ca="1">+VLOOKUP($AM14,Model!$B:$EX,MATCH('Fin Sum'!AK$6,Model!$B$4:$EX$4,FALSE),FALSE)</f>
        <v>168.50452207110013</v>
      </c>
      <c r="AM14" s="1581" t="s">
        <v>170</v>
      </c>
      <c r="AN14" s="1583"/>
      <c r="AO14" s="994"/>
    </row>
    <row r="15" spans="1:41" ht="11.1" customHeight="1">
      <c r="A15" s="996"/>
      <c r="B15" s="1594"/>
      <c r="C15" s="1603" t="s">
        <v>1006</v>
      </c>
      <c r="D15" s="1601"/>
      <c r="E15" s="1654"/>
      <c r="F15" s="1654"/>
      <c r="G15" s="1654"/>
      <c r="H15" s="1654"/>
      <c r="I15" s="1654"/>
      <c r="J15" s="1655"/>
      <c r="K15" s="1655"/>
      <c r="L15" s="1655"/>
      <c r="M15" s="1656"/>
      <c r="N15" s="1657">
        <f t="shared" ref="N15:S15" ca="1" si="2">IFERROR(N14/M14-1,"NA")</f>
        <v>6.3126829603626478E-2</v>
      </c>
      <c r="O15" s="1657">
        <f t="shared" ca="1" si="2"/>
        <v>0.11066721266287849</v>
      </c>
      <c r="P15" s="1657">
        <f t="shared" ca="1" si="2"/>
        <v>0.10636696973163073</v>
      </c>
      <c r="Q15" s="1657">
        <f t="shared" ca="1" si="2"/>
        <v>6.8727649516002742E-2</v>
      </c>
      <c r="R15" s="1657">
        <f t="shared" ca="1" si="2"/>
        <v>7.3429818402659386E-2</v>
      </c>
      <c r="S15" s="1657">
        <f t="shared" ca="1" si="2"/>
        <v>9.6086495282206696E-2</v>
      </c>
      <c r="T15" s="1593"/>
      <c r="U15" s="1605" t="s">
        <v>582</v>
      </c>
      <c r="V15" s="1603"/>
      <c r="W15" s="1601">
        <f>W7/I19</f>
        <v>0.52389519425741082</v>
      </c>
      <c r="X15" s="1601">
        <f>X7/I19</f>
        <v>0.47610480574258912</v>
      </c>
      <c r="Y15" s="1601">
        <f>Y7/K19</f>
        <v>0.53662815083441973</v>
      </c>
      <c r="Z15" s="1601">
        <f>Z7/L19</f>
        <v>0.55659207217522211</v>
      </c>
      <c r="AA15" s="1601">
        <f>1-Z15</f>
        <v>0.44340792782477789</v>
      </c>
      <c r="AB15" s="1604">
        <f ca="1">AB7/M19</f>
        <v>0.57195334393698405</v>
      </c>
      <c r="AC15" s="1604">
        <f ca="1">1-AB15</f>
        <v>0.42804665606301595</v>
      </c>
      <c r="AD15" s="1604">
        <f ca="1">AD7/N19</f>
        <v>0.53974455296769341</v>
      </c>
      <c r="AE15" s="1604">
        <f ca="1">1-AD15</f>
        <v>0.46025544703230659</v>
      </c>
      <c r="AF15" s="1604">
        <f ca="1">AF7/O19</f>
        <v>0.54412162162162159</v>
      </c>
      <c r="AG15" s="1604">
        <f ca="1">AG7/O19</f>
        <v>0.45587837837837836</v>
      </c>
      <c r="AH15" s="1604">
        <f ca="1">AH7/P19</f>
        <v>0.54525003213780687</v>
      </c>
      <c r="AI15" s="1604">
        <f ca="1">AI7/P19</f>
        <v>0.45474996786219307</v>
      </c>
      <c r="AJ15" s="1604">
        <f ca="1">AJ7/Q19</f>
        <v>0.52325550252837394</v>
      </c>
      <c r="AK15" s="1604">
        <f ca="1">AK7/R19</f>
        <v>0.45264187348217183</v>
      </c>
      <c r="AN15" s="1583"/>
      <c r="AO15" s="994"/>
    </row>
    <row r="16" spans="1:41" ht="11.1" customHeight="1">
      <c r="A16" s="996"/>
      <c r="B16" s="1594" t="s">
        <v>366</v>
      </c>
      <c r="C16" s="996" t="s">
        <v>904</v>
      </c>
      <c r="D16" s="1595"/>
      <c r="E16" s="1591"/>
      <c r="F16" s="1591"/>
      <c r="G16" s="1591"/>
      <c r="H16" s="1591"/>
      <c r="I16" s="1591"/>
      <c r="J16" s="996"/>
      <c r="K16" s="996"/>
      <c r="L16" s="996"/>
      <c r="M16" s="1591">
        <v>23.932560183966995</v>
      </c>
      <c r="N16" s="1591">
        <f ca="1">+VLOOKUP($B16,Model!$B:$EX,MATCH('Fin Sum'!N$3,Model!$B$4:$EX$4,FALSE),FALSE)</f>
        <v>22.511481713701038</v>
      </c>
      <c r="O16" s="1591">
        <f ca="1">+VLOOKUP($B16,Model!$B:$EX,MATCH('Fin Sum'!O$3,Model!$B$4:$EX$4,FALSE),FALSE)</f>
        <v>20.268430954875015</v>
      </c>
      <c r="P16" s="1591">
        <f ca="1">+VLOOKUP($B16,Model!$B:$EX,MATCH('Fin Sum'!P$3,Model!$B$4:$EX$4,FALSE),FALSE)</f>
        <v>18.31980844456292</v>
      </c>
      <c r="Q16" s="1591">
        <f ca="1">+VLOOKUP($B16,Model!$B:$EX,MATCH('Fin Sum'!Q$3,Model!$B$4:$EX$4,FALSE),FALSE)</f>
        <v>17.141699714477731</v>
      </c>
      <c r="R16" s="1591">
        <f ca="1">+VLOOKUP($B16,Model!$B:$EX,MATCH('Fin Sum'!R$3,Model!$B$4:$EX$4,FALSE),FALSE)</f>
        <v>15.969092175942913</v>
      </c>
      <c r="S16" s="1591">
        <f ca="1">+VLOOKUP($B16,Model!$B:$EX,MATCH('Fin Sum'!S$3,Model!$B$4:$EX$4,FALSE),FALSE)</f>
        <v>14.569189789927474</v>
      </c>
      <c r="U16" s="1605" t="s">
        <v>584</v>
      </c>
      <c r="V16" s="1603"/>
      <c r="W16" s="1601"/>
      <c r="X16" s="1601"/>
      <c r="Y16" s="1601"/>
      <c r="Z16" s="1601"/>
      <c r="AA16" s="1601"/>
      <c r="AB16" s="1604"/>
      <c r="AC16" s="1604"/>
      <c r="AD16" s="1604"/>
      <c r="AE16" s="1604"/>
      <c r="AF16" s="1604">
        <f ca="1">AF9/O26</f>
        <v>0.66594689659280437</v>
      </c>
      <c r="AG16" s="1604">
        <f ca="1">AG9/O26</f>
        <v>0.33405491422444605</v>
      </c>
      <c r="AH16" s="1604">
        <f ca="1">AH9/P26</f>
        <v>0.64413607878245305</v>
      </c>
      <c r="AI16" s="1604">
        <f ca="1">AI9/P26</f>
        <v>0.35586392121754701</v>
      </c>
      <c r="AJ16" s="1604">
        <f ca="1">AJ9/Q26</f>
        <v>0.57249997683390597</v>
      </c>
      <c r="AK16" s="1604">
        <f ca="1">AK9/R26</f>
        <v>0.40779315961859591</v>
      </c>
    </row>
    <row r="17" spans="1:44">
      <c r="A17" s="996"/>
      <c r="T17" s="996"/>
      <c r="AN17" s="1583"/>
      <c r="AO17" s="994"/>
    </row>
    <row r="18" spans="1:44">
      <c r="A18" s="996"/>
      <c r="B18" s="1594"/>
      <c r="C18" s="1624" t="s">
        <v>782</v>
      </c>
      <c r="D18" s="1625"/>
      <c r="E18" s="1626" t="str">
        <f t="shared" ref="E18:M18" si="3">IF(E$6&lt;&gt;"",E$6,"")</f>
        <v>2014</v>
      </c>
      <c r="F18" s="1626" t="str">
        <f t="shared" si="3"/>
        <v>2015</v>
      </c>
      <c r="G18" s="1626" t="str">
        <f t="shared" si="3"/>
        <v>2016</v>
      </c>
      <c r="H18" s="1626" t="str">
        <f t="shared" si="3"/>
        <v>2017</v>
      </c>
      <c r="I18" s="1626" t="str">
        <f t="shared" si="3"/>
        <v>2018</v>
      </c>
      <c r="J18" s="1626" t="str">
        <f t="shared" si="3"/>
        <v>2019</v>
      </c>
      <c r="K18" s="1626" t="str">
        <f t="shared" si="3"/>
        <v>2020</v>
      </c>
      <c r="L18" s="1626" t="str">
        <f t="shared" si="3"/>
        <v>2021</v>
      </c>
      <c r="M18" s="1579" t="str">
        <f t="shared" si="3"/>
        <v>2022</v>
      </c>
      <c r="N18" s="1579" t="str">
        <f t="shared" ref="N18:S18" si="4">IF(N$6&lt;&gt;"",N$6,"")</f>
        <v>2023</v>
      </c>
      <c r="O18" s="1579" t="str">
        <f t="shared" si="4"/>
        <v>2024</v>
      </c>
      <c r="P18" s="1579" t="str">
        <f t="shared" si="4"/>
        <v>2025</v>
      </c>
      <c r="Q18" s="1579" t="str">
        <f t="shared" si="4"/>
        <v>2026E</v>
      </c>
      <c r="R18" s="1579" t="str">
        <f t="shared" si="4"/>
        <v>2027E</v>
      </c>
      <c r="S18" s="1579" t="str">
        <f t="shared" si="4"/>
        <v>2028E</v>
      </c>
      <c r="T18" s="996"/>
      <c r="U18" s="1624" t="s">
        <v>781</v>
      </c>
      <c r="V18" s="1625"/>
      <c r="W18" s="1626" t="str">
        <f t="shared" ref="W18:AK18" si="5">IF(E$6&lt;&gt;"",E$6,"")</f>
        <v>2014</v>
      </c>
      <c r="X18" s="1626" t="str">
        <f t="shared" si="5"/>
        <v>2015</v>
      </c>
      <c r="Y18" s="1626" t="str">
        <f t="shared" si="5"/>
        <v>2016</v>
      </c>
      <c r="Z18" s="1626" t="str">
        <f t="shared" si="5"/>
        <v>2017</v>
      </c>
      <c r="AA18" s="1626" t="str">
        <f t="shared" si="5"/>
        <v>2018</v>
      </c>
      <c r="AB18" s="1626" t="str">
        <f t="shared" si="5"/>
        <v>2019</v>
      </c>
      <c r="AC18" s="1626" t="str">
        <f t="shared" si="5"/>
        <v>2020</v>
      </c>
      <c r="AD18" s="1626" t="str">
        <f t="shared" si="5"/>
        <v>2021</v>
      </c>
      <c r="AE18" s="1579" t="str">
        <f t="shared" si="5"/>
        <v>2022</v>
      </c>
      <c r="AF18" s="1579" t="str">
        <f t="shared" si="5"/>
        <v>2023</v>
      </c>
      <c r="AG18" s="1579" t="str">
        <f t="shared" si="5"/>
        <v>2024</v>
      </c>
      <c r="AH18" s="1579" t="str">
        <f t="shared" si="5"/>
        <v>2025</v>
      </c>
      <c r="AI18" s="1579" t="str">
        <f t="shared" si="5"/>
        <v>2026E</v>
      </c>
      <c r="AJ18" s="1579" t="str">
        <f t="shared" si="5"/>
        <v>2027E</v>
      </c>
      <c r="AK18" s="1579" t="str">
        <f t="shared" si="5"/>
        <v>2028E</v>
      </c>
      <c r="AN18" s="1583"/>
      <c r="AO18" s="994"/>
    </row>
    <row r="19" spans="1:44" ht="11.1" customHeight="1">
      <c r="A19" s="996"/>
      <c r="B19" s="1594" t="s">
        <v>76</v>
      </c>
      <c r="C19" s="1628" t="s">
        <v>528</v>
      </c>
      <c r="D19" s="1629"/>
      <c r="E19" s="1629">
        <f>Model!CP33</f>
        <v>5501.8999999999987</v>
      </c>
      <c r="F19" s="1629">
        <f>Model!CS33</f>
        <v>5611.2000000000016</v>
      </c>
      <c r="G19" s="1629">
        <f>Model!CV33</f>
        <v>6115.3000000000029</v>
      </c>
      <c r="H19" s="1629">
        <f>Model!CY33</f>
        <v>6922.7999999999993</v>
      </c>
      <c r="I19" s="1629">
        <f>Model!DB33</f>
        <v>7915</v>
      </c>
      <c r="J19" s="1630">
        <f>Model!DE33</f>
        <v>8537.9000000000015</v>
      </c>
      <c r="K19" s="1630">
        <f>Model!DH33</f>
        <v>9150.9034841519788</v>
      </c>
      <c r="L19" s="1631">
        <f>Model!DK33</f>
        <v>10312.300724503206</v>
      </c>
      <c r="M19" s="1631">
        <f ca="1">+VLOOKUP($B19,Model!$B:$EX,MATCH('Fin Sum'!M$3,Model!$B$4:$EX$4,FALSE),FALSE)</f>
        <v>10562.400000000001</v>
      </c>
      <c r="N19" s="1631">
        <f ca="1">+VLOOKUP($B19,Model!$B:$EX,MATCH('Fin Sum'!N$3,Model!$B$4:$EX$4,FALSE),FALSE)</f>
        <v>13310</v>
      </c>
      <c r="O19" s="1631">
        <f ca="1">+VLOOKUP($B19,Model!$B:$EX,MATCH('Fin Sum'!O$3,Model!$B$4:$EX$4,FALSE),FALSE)</f>
        <v>14800</v>
      </c>
      <c r="P19" s="1631">
        <f ca="1">+VLOOKUP($B19,Model!$B:$EX,MATCH('Fin Sum'!P$3,Model!$B$4:$EX$4,FALSE),FALSE)</f>
        <v>15558</v>
      </c>
      <c r="Q19" s="1631">
        <f ca="1">+VLOOKUP($B19,Model!$B:$EX,MATCH('Fin Sum'!Q$3,Model!$B$4:$EX$4,FALSE),FALSE)</f>
        <v>15923.387254868268</v>
      </c>
      <c r="R19" s="1631">
        <f ca="1">+VLOOKUP($B19,Model!$B:$EX,MATCH('Fin Sum'!R$3,Model!$B$4:$EX$4,FALSE),FALSE)</f>
        <v>16771.288074759326</v>
      </c>
      <c r="S19" s="1631">
        <f ca="1">+VLOOKUP($B19,Model!$B:$EX,MATCH('Fin Sum'!S$3,Model!$B$4:$EX$4,FALSE),FALSE)</f>
        <v>17664.285911660816</v>
      </c>
      <c r="T19" s="996"/>
      <c r="U19" s="996" t="s">
        <v>331</v>
      </c>
      <c r="V19" s="996"/>
      <c r="W19" s="1595"/>
      <c r="X19" s="1595"/>
      <c r="Y19" s="1595"/>
      <c r="Z19" s="1595"/>
      <c r="AA19" s="1595"/>
      <c r="AB19" s="1595"/>
      <c r="AC19" s="1595"/>
      <c r="AD19" s="1011"/>
      <c r="AE19" s="1011"/>
      <c r="AF19" s="1653">
        <f t="shared" ref="AF19:AK19" si="6">+N26</f>
        <v>3657</v>
      </c>
      <c r="AG19" s="1653">
        <f t="shared" si="6"/>
        <v>4197</v>
      </c>
      <c r="AH19" s="1653">
        <f t="shared" si="6"/>
        <v>4468</v>
      </c>
      <c r="AI19" s="1653">
        <f t="shared" si="6"/>
        <v>4899.5635170371161</v>
      </c>
      <c r="AJ19" s="1653">
        <f t="shared" si="6"/>
        <v>5136.3380371464209</v>
      </c>
      <c r="AK19" s="1653">
        <f t="shared" si="6"/>
        <v>5527.8775981921835</v>
      </c>
      <c r="AN19" s="1580"/>
      <c r="AO19" s="994"/>
      <c r="AP19" s="994"/>
      <c r="AQ19" s="994"/>
      <c r="AR19" s="994"/>
    </row>
    <row r="20" spans="1:44" ht="11.1" customHeight="1">
      <c r="A20" s="996"/>
      <c r="B20" s="1594"/>
      <c r="C20" s="1641" t="s">
        <v>1006</v>
      </c>
      <c r="D20" s="1642"/>
      <c r="E20" s="1642"/>
      <c r="F20" s="1642">
        <f t="shared" ref="F20:S20" si="7">F19/E19-1</f>
        <v>1.9865864519530207E-2</v>
      </c>
      <c r="G20" s="1642">
        <f>G19/F19-1</f>
        <v>8.9838180781294685E-2</v>
      </c>
      <c r="H20" s="1642">
        <f>H19/G19-1</f>
        <v>0.13204585220675935</v>
      </c>
      <c r="I20" s="1642">
        <f t="shared" si="7"/>
        <v>0.1433235107182067</v>
      </c>
      <c r="J20" s="1643">
        <f t="shared" si="7"/>
        <v>7.8698673404927533E-2</v>
      </c>
      <c r="K20" s="1643">
        <f t="shared" si="7"/>
        <v>7.1797922691994254E-2</v>
      </c>
      <c r="L20" s="1644">
        <f t="shared" si="7"/>
        <v>0.12691612826674392</v>
      </c>
      <c r="M20" s="1644">
        <f t="shared" ca="1" si="7"/>
        <v>2.4252519605303169E-2</v>
      </c>
      <c r="N20" s="1669">
        <f t="shared" ca="1" si="7"/>
        <v>0.26013027342270689</v>
      </c>
      <c r="O20" s="1669">
        <f t="shared" ca="1" si="7"/>
        <v>0.11194590533433502</v>
      </c>
      <c r="P20" s="1669">
        <f t="shared" ca="1" si="7"/>
        <v>5.1216216216216193E-2</v>
      </c>
      <c r="Q20" s="1669">
        <f t="shared" ca="1" si="7"/>
        <v>2.3485490093088313E-2</v>
      </c>
      <c r="R20" s="1669">
        <f t="shared" ca="1" si="7"/>
        <v>5.3248772156302859E-2</v>
      </c>
      <c r="S20" s="1669">
        <f t="shared" ca="1" si="7"/>
        <v>5.3245632232949758E-2</v>
      </c>
      <c r="T20" s="996"/>
      <c r="U20" s="996" t="s">
        <v>1010</v>
      </c>
      <c r="V20" s="996"/>
      <c r="W20" s="1595"/>
      <c r="X20" s="1595"/>
      <c r="Y20" s="1595"/>
      <c r="Z20" s="1595"/>
      <c r="AA20" s="1595"/>
      <c r="AB20" s="1595"/>
      <c r="AC20" s="1595"/>
      <c r="AD20" s="1011"/>
      <c r="AE20" s="1011"/>
      <c r="AF20" s="1011">
        <f ca="1">+VLOOKUP($AM20,Model!$B:$EX,MATCH('Fin Sum'!AF$18,Model!$B$4:$EX$4,FALSE),FALSE)</f>
        <v>596</v>
      </c>
      <c r="AG20" s="1011">
        <f ca="1">+VLOOKUP($AM20,Model!$B:$EX,MATCH('Fin Sum'!AG$18,Model!$B$4:$EX$4,FALSE),FALSE)</f>
        <v>637</v>
      </c>
      <c r="AH20" s="1011">
        <f ca="1">+VLOOKUP($AM20,Model!$B:$EX,MATCH('Fin Sum'!AH$18,Model!$B$4:$EX$4,FALSE),FALSE)</f>
        <v>653</v>
      </c>
      <c r="AI20" s="1011">
        <f ca="1">+VLOOKUP($AM20,Model!$B:$EX,MATCH('Fin Sum'!AI$18,Model!$B$4:$EX$4,FALSE),FALSE)</f>
        <v>635.34588185552093</v>
      </c>
      <c r="AJ20" s="1011">
        <f ca="1">+VLOOKUP($AM20,Model!$B:$EX,MATCH('Fin Sum'!AJ$18,Model!$B$4:$EX$4,FALSE),FALSE)</f>
        <v>700.86805079222324</v>
      </c>
      <c r="AK20" s="1011">
        <f ca="1">+VLOOKUP($AM20,Model!$B:$EX,MATCH('Fin Sum'!AK$18,Model!$B$4:$EX$4,FALSE),FALSE)</f>
        <v>781.99434445706902</v>
      </c>
      <c r="AM20" s="1594" t="s">
        <v>671</v>
      </c>
      <c r="AN20" s="1580"/>
    </row>
    <row r="21" spans="1:44" ht="11.1" customHeight="1">
      <c r="A21" s="996"/>
      <c r="B21" s="1594" t="s">
        <v>1008</v>
      </c>
      <c r="C21" s="1628" t="s">
        <v>38</v>
      </c>
      <c r="D21" s="1632"/>
      <c r="E21" s="1632"/>
      <c r="F21" s="1632"/>
      <c r="G21" s="1632"/>
      <c r="H21" s="1632"/>
      <c r="I21" s="1632"/>
      <c r="J21" s="1633"/>
      <c r="K21" s="1633"/>
      <c r="L21" s="1634"/>
      <c r="M21" s="1634"/>
      <c r="N21" s="1635">
        <f>+VLOOKUP($B21,Segment!$1:$1048576,MATCH('Fin Sum'!N$3,Segment!$4:$4,FALSE),FALSE)</f>
        <v>7231</v>
      </c>
      <c r="O21" s="1635">
        <f>+VLOOKUP($B21,Segment!$1:$1048576,MATCH('Fin Sum'!O$3,Segment!$4:$4,FALSE),FALSE)</f>
        <v>8006</v>
      </c>
      <c r="P21" s="1635">
        <f>+VLOOKUP($B21,Segment!$1:$1048576,MATCH('Fin Sum'!P$3,Segment!$4:$4,FALSE),FALSE)</f>
        <v>8443</v>
      </c>
      <c r="Q21" s="1635">
        <f>+VLOOKUP($B21,Segment!$1:$1048576,MATCH('Fin Sum'!Q$3,Segment!$4:$4,FALSE),FALSE)</f>
        <v>8630.7870425503461</v>
      </c>
      <c r="R21" s="1635">
        <f>+VLOOKUP($B21,Segment!$1:$1048576,MATCH('Fin Sum'!R$3,Segment!$4:$4,FALSE),FALSE)</f>
        <v>9220.1667391404535</v>
      </c>
      <c r="S21" s="1635">
        <f>+VLOOKUP($B21,Segment!$1:$1048576,MATCH('Fin Sum'!S$3,Segment!$4:$4,FALSE),FALSE)</f>
        <v>9892.6961900964998</v>
      </c>
      <c r="T21" s="996"/>
      <c r="U21" s="996" t="s">
        <v>567</v>
      </c>
      <c r="V21" s="996"/>
      <c r="W21" s="1595"/>
      <c r="X21" s="1595"/>
      <c r="Y21" s="1595"/>
      <c r="Z21" s="1595"/>
      <c r="AA21" s="1595"/>
      <c r="AB21" s="1595"/>
      <c r="AC21" s="1595"/>
      <c r="AD21" s="1011"/>
      <c r="AE21" s="1011"/>
      <c r="AF21" s="1011">
        <f ca="1">+VLOOKUP($AM21,Model!$B:$EX,MATCH('Fin Sum'!AF$18,Model!$B$4:$EX$4,FALSE),FALSE)</f>
        <v>-374</v>
      </c>
      <c r="AG21" s="1011">
        <f ca="1">+VLOOKUP($AM21,Model!$B:$EX,MATCH('Fin Sum'!AG$18,Model!$B$4:$EX$4,FALSE),FALSE)</f>
        <v>-432</v>
      </c>
      <c r="AH21" s="1011">
        <f ca="1">+VLOOKUP($AM21,Model!$B:$EX,MATCH('Fin Sum'!AH$18,Model!$B$4:$EX$4,FALSE),FALSE)</f>
        <v>-412</v>
      </c>
      <c r="AI21" s="1011">
        <f ca="1">+VLOOKUP($AM21,Model!$B:$EX,MATCH('Fin Sum'!AI$18,Model!$B$4:$EX$4,FALSE),FALSE)</f>
        <v>-394</v>
      </c>
      <c r="AJ21" s="1011">
        <f ca="1">+VLOOKUP($AM21,Model!$B:$EX,MATCH('Fin Sum'!AJ$18,Model!$B$4:$EX$4,FALSE),FALSE)</f>
        <v>-386.14667426543548</v>
      </c>
      <c r="AK21" s="1011">
        <f ca="1">+VLOOKUP($AM21,Model!$B:$EX,MATCH('Fin Sum'!AK$18,Model!$B$4:$EX$4,FALSE),FALSE)</f>
        <v>-377.33851623635542</v>
      </c>
      <c r="AM21" s="1581" t="s">
        <v>567</v>
      </c>
    </row>
    <row r="22" spans="1:44" ht="11.1" customHeight="1">
      <c r="A22" s="996"/>
      <c r="B22" s="1594"/>
      <c r="C22" s="1641" t="s">
        <v>1007</v>
      </c>
      <c r="D22" s="1642"/>
      <c r="E22" s="1642"/>
      <c r="F22" s="1642"/>
      <c r="G22" s="1642"/>
      <c r="H22" s="1642"/>
      <c r="I22" s="1642"/>
      <c r="J22" s="1643"/>
      <c r="K22" s="1643"/>
      <c r="L22" s="1644"/>
      <c r="M22" s="1644"/>
      <c r="N22" s="1669">
        <f t="shared" ref="N22:S22" ca="1" si="8">+N21/N19</f>
        <v>0.54327573253193084</v>
      </c>
      <c r="O22" s="1669">
        <f t="shared" ca="1" si="8"/>
        <v>0.54094594594594592</v>
      </c>
      <c r="P22" s="1669">
        <f t="shared" ca="1" si="8"/>
        <v>0.54267900758452248</v>
      </c>
      <c r="Q22" s="1669">
        <f t="shared" ca="1" si="8"/>
        <v>0.54201954046628176</v>
      </c>
      <c r="R22" s="1669">
        <f t="shared" ca="1" si="8"/>
        <v>0.54975901064013932</v>
      </c>
      <c r="S22" s="1669">
        <f t="shared" ca="1" si="8"/>
        <v>0.56003940604052294</v>
      </c>
      <c r="T22" s="996"/>
      <c r="U22" s="996" t="s">
        <v>672</v>
      </c>
      <c r="V22" s="996"/>
      <c r="W22" s="1595"/>
      <c r="X22" s="1595"/>
      <c r="Y22" s="1595"/>
      <c r="Z22" s="1595"/>
      <c r="AA22" s="1595"/>
      <c r="AB22" s="1595"/>
      <c r="AC22" s="1595"/>
      <c r="AD22" s="1011"/>
      <c r="AE22" s="1011"/>
      <c r="AF22" s="1011">
        <f ca="1">+VLOOKUP($AM22,Model!$B:$EX,MATCH('Fin Sum'!AF$18,Model!$B$4:$EX$4,FALSE),FALSE)</f>
        <v>-563</v>
      </c>
      <c r="AG22" s="1011">
        <f ca="1">+VLOOKUP($AM22,Model!$B:$EX,MATCH('Fin Sum'!AG$18,Model!$B$4:$EX$4,FALSE),FALSE)</f>
        <v>-784</v>
      </c>
      <c r="AH22" s="1011">
        <f ca="1">+VLOOKUP($AM22,Model!$B:$EX,MATCH('Fin Sum'!AH$18,Model!$B$4:$EX$4,FALSE),FALSE)</f>
        <v>-637</v>
      </c>
      <c r="AI22" s="1011">
        <f ca="1">+VLOOKUP($AM22,Model!$B:$EX,MATCH('Fin Sum'!AI$18,Model!$B$4:$EX$4,FALSE),FALSE)</f>
        <v>-620.05706823705202</v>
      </c>
      <c r="AJ22" s="1011">
        <f ca="1">+VLOOKUP($AM22,Model!$B:$EX,MATCH('Fin Sum'!AJ$18,Model!$B$4:$EX$4,FALSE),FALSE)</f>
        <v>-902.53635894738716</v>
      </c>
      <c r="AK22" s="1011">
        <f ca="1">+VLOOKUP($AM22,Model!$B:$EX,MATCH('Fin Sum'!AK$18,Model!$B$4:$EX$4,FALSE),FALSE)</f>
        <v>-978.60242557160745</v>
      </c>
      <c r="AM22" s="1581" t="s">
        <v>672</v>
      </c>
    </row>
    <row r="23" spans="1:44" ht="11.1" customHeight="1">
      <c r="A23" s="996"/>
      <c r="B23" s="1594" t="s">
        <v>1009</v>
      </c>
      <c r="C23" s="1628" t="s">
        <v>910</v>
      </c>
      <c r="D23" s="1632"/>
      <c r="E23" s="1632"/>
      <c r="F23" s="1632"/>
      <c r="G23" s="1632"/>
      <c r="H23" s="1632"/>
      <c r="I23" s="1632"/>
      <c r="J23" s="1633"/>
      <c r="K23" s="1633"/>
      <c r="L23" s="1634"/>
      <c r="M23" s="1634"/>
      <c r="N23" s="1635">
        <f>+VLOOKUP($B23,Segment!$1:$1048576,MATCH('Fin Sum'!N$3,Segment!$4:$4,FALSE),FALSE)</f>
        <v>5750</v>
      </c>
      <c r="O23" s="1635">
        <f>+VLOOKUP($B23,Segment!$1:$1048576,MATCH('Fin Sum'!O$3,Segment!$4:$4,FALSE),FALSE)</f>
        <v>6450</v>
      </c>
      <c r="P23" s="1635">
        <f>+VLOOKUP($B23,Segment!$1:$1048576,MATCH('Fin Sum'!P$3,Segment!$4:$4,FALSE),FALSE)</f>
        <v>6827</v>
      </c>
      <c r="Q23" s="1635">
        <f>+VLOOKUP($B23,Segment!$1:$1048576,MATCH('Fin Sum'!Q$3,Segment!$4:$4,FALSE),FALSE)</f>
        <v>6975.7878773266348</v>
      </c>
      <c r="R23" s="1635">
        <f>+VLOOKUP($B23,Segment!$1:$1048576,MATCH('Fin Sum'!R$3,Segment!$4:$4,FALSE),FALSE)</f>
        <v>7600.9452946697293</v>
      </c>
      <c r="S23" s="1635">
        <f>+VLOOKUP($B23,Segment!$1:$1048576,MATCH('Fin Sum'!S$3,Segment!$4:$4,FALSE),FALSE)</f>
        <v>8169.1799071811447</v>
      </c>
      <c r="T23" s="996"/>
      <c r="U23" s="1609" t="s">
        <v>1022</v>
      </c>
      <c r="V23" s="996"/>
      <c r="W23" s="1595"/>
      <c r="X23" s="1595"/>
      <c r="Y23" s="1595"/>
      <c r="Z23" s="1595"/>
      <c r="AA23" s="1595"/>
      <c r="AB23" s="1595"/>
      <c r="AC23" s="1595"/>
      <c r="AD23" s="1011"/>
      <c r="AE23" s="1011"/>
      <c r="AF23" s="1011">
        <f ca="1">+VLOOKUP($AM23,Model!$B:$EX,MATCH('Fin Sum'!AF$18,Model!$B$4:$EX$4,FALSE),FALSE)</f>
        <v>-1034.9999999999998</v>
      </c>
      <c r="AG23" s="1011">
        <f ca="1">+VLOOKUP($AM23,Model!$B:$EX,MATCH('Fin Sum'!AG$18,Model!$B$4:$EX$4,FALSE),FALSE)</f>
        <v>-790</v>
      </c>
      <c r="AH23" s="1011">
        <f ca="1">+VLOOKUP($AM23,Model!$B:$EX,MATCH('Fin Sum'!AH$18,Model!$B$4:$EX$4,FALSE),FALSE)</f>
        <v>-632</v>
      </c>
      <c r="AI23" s="1011">
        <f ca="1">+VLOOKUP($AM23,Model!$B:$EX,MATCH('Fin Sum'!AI$18,Model!$B$4:$EX$4,FALSE),FALSE)</f>
        <v>-816.78602390629658</v>
      </c>
      <c r="AJ23" s="1011">
        <f ca="1">+VLOOKUP($AM23,Model!$B:$EX,MATCH('Fin Sum'!AJ$18,Model!$B$4:$EX$4,FALSE),FALSE)</f>
        <v>-426.79866933326184</v>
      </c>
      <c r="AK23" s="1011">
        <f ca="1">+VLOOKUP($AM23,Model!$B:$EX,MATCH('Fin Sum'!AK$18,Model!$B$4:$EX$4,FALSE),FALSE)</f>
        <v>-446.12960826780773</v>
      </c>
      <c r="AM23" s="1581" t="s">
        <v>123</v>
      </c>
    </row>
    <row r="24" spans="1:44" ht="11.1" customHeight="1">
      <c r="A24" s="996"/>
      <c r="B24" s="1594" t="s">
        <v>480</v>
      </c>
      <c r="C24" s="996" t="s">
        <v>480</v>
      </c>
      <c r="D24" s="1601"/>
      <c r="E24" s="1601"/>
      <c r="F24" s="1601"/>
      <c r="G24" s="1601"/>
      <c r="H24" s="1601"/>
      <c r="I24" s="1601"/>
      <c r="J24" s="1602"/>
      <c r="K24" s="1602"/>
      <c r="L24" s="1592"/>
      <c r="M24" s="1592"/>
      <c r="N24" s="1011">
        <f>+VLOOKUP($B24,Segment!$1:$1048576,MATCH('Fin Sum'!N$3,Segment!$4:$4,FALSE),FALSE)</f>
        <v>1266</v>
      </c>
      <c r="O24" s="1011">
        <f>+VLOOKUP($B24,Segment!$1:$1048576,MATCH('Fin Sum'!O$3,Segment!$4:$4,FALSE),FALSE)</f>
        <v>1428</v>
      </c>
      <c r="P24" s="1011">
        <f>+VLOOKUP($B24,Segment!$1:$1048576,MATCH('Fin Sum'!P$3,Segment!$4:$4,FALSE),FALSE)</f>
        <v>1359</v>
      </c>
      <c r="Q24" s="1011">
        <f>+VLOOKUP($B24,Segment!$1:$1048576,MATCH('Fin Sum'!Q$3,Segment!$4:$4,FALSE),FALSE)</f>
        <v>1207.3109803894615</v>
      </c>
      <c r="R24" s="1011">
        <f>+VLOOKUP($B24,Segment!$1:$1048576,MATCH('Fin Sum'!R$3,Segment!$4:$4,FALSE),FALSE)</f>
        <v>1544.0344062731247</v>
      </c>
      <c r="S24" s="1011">
        <f>+VLOOKUP($B24,Segment!$1:$1048576,MATCH('Fin Sum'!S$3,Segment!$4:$4,FALSE),FALSE)</f>
        <v>1715.6629838038557</v>
      </c>
      <c r="T24" s="996"/>
      <c r="U24" s="1645" t="s">
        <v>183</v>
      </c>
      <c r="V24" s="1645"/>
      <c r="W24" s="1647"/>
      <c r="X24" s="1647"/>
      <c r="Y24" s="1647"/>
      <c r="Z24" s="1647"/>
      <c r="AA24" s="1647"/>
      <c r="AB24" s="1647"/>
      <c r="AC24" s="1647"/>
      <c r="AD24" s="1646"/>
      <c r="AE24" s="1646"/>
      <c r="AF24" s="1646">
        <f t="shared" ref="AF24:AK24" ca="1" si="9">+AF25-SUM(AF19:AF23)</f>
        <v>320</v>
      </c>
      <c r="AG24" s="1646">
        <f t="shared" ca="1" si="9"/>
        <v>-64</v>
      </c>
      <c r="AH24" s="1646">
        <f t="shared" ca="1" si="9"/>
        <v>121</v>
      </c>
      <c r="AI24" s="1646">
        <f t="shared" ca="1" si="9"/>
        <v>-76</v>
      </c>
      <c r="AJ24" s="1646">
        <f t="shared" ca="1" si="9"/>
        <v>0</v>
      </c>
      <c r="AK24" s="1646">
        <f t="shared" ca="1" si="9"/>
        <v>0</v>
      </c>
    </row>
    <row r="25" spans="1:44" ht="11.1" customHeight="1">
      <c r="A25" s="996"/>
      <c r="B25" s="1594" t="s">
        <v>980</v>
      </c>
      <c r="C25" s="1645" t="s">
        <v>980</v>
      </c>
      <c r="D25" s="1642"/>
      <c r="E25" s="1642"/>
      <c r="F25" s="1642"/>
      <c r="G25" s="1642"/>
      <c r="H25" s="1642"/>
      <c r="I25" s="1642"/>
      <c r="J25" s="1643"/>
      <c r="K25" s="1643"/>
      <c r="L25" s="1644"/>
      <c r="M25" s="1644"/>
      <c r="N25" s="1646">
        <f>+VLOOKUP($B25,Segment!$1:$1048576,MATCH('Fin Sum'!N$3,Segment!$4:$4,FALSE),FALSE)</f>
        <v>827</v>
      </c>
      <c r="O25" s="1646">
        <f>+VLOOKUP($B25,Segment!$1:$1048576,MATCH('Fin Sum'!O$3,Segment!$4:$4,FALSE),FALSE)</f>
        <v>825</v>
      </c>
      <c r="P25" s="1646">
        <f>+VLOOKUP($B25,Segment!$1:$1048576,MATCH('Fin Sum'!P$3,Segment!$4:$4,FALSE),FALSE)</f>
        <v>1000</v>
      </c>
      <c r="Q25" s="1646">
        <f>+VLOOKUP($B25,Segment!$1:$1048576,MATCH('Fin Sum'!Q$3,Segment!$4:$4,FALSE),FALSE)</f>
        <v>868.91337990005718</v>
      </c>
      <c r="R25" s="1646">
        <f>+VLOOKUP($B25,Segment!$1:$1048576,MATCH('Fin Sum'!R$3,Segment!$4:$4,FALSE),FALSE)</f>
        <v>920.57285125018404</v>
      </c>
      <c r="S25" s="1646">
        <f>+VLOOKUP($B25,Segment!$1:$1048576,MATCH('Fin Sum'!S$3,Segment!$4:$4,FALSE),FALSE)</f>
        <v>925.63932518510501</v>
      </c>
      <c r="T25" s="996"/>
      <c r="U25" s="1663" t="s">
        <v>560</v>
      </c>
      <c r="V25" s="1650"/>
      <c r="W25" s="1650"/>
      <c r="X25" s="1650"/>
      <c r="Y25" s="1650"/>
      <c r="Z25" s="1650"/>
      <c r="AA25" s="1650"/>
      <c r="AB25" s="1650"/>
      <c r="AC25" s="1650"/>
      <c r="AD25" s="1640"/>
      <c r="AE25" s="1640"/>
      <c r="AF25" s="1640">
        <f ca="1">+VLOOKUP($AM25,Model!$B:$EX,MATCH('Fin Sum'!AF$18,Model!$B$4:$EX$4,FALSE),FALSE)</f>
        <v>2601</v>
      </c>
      <c r="AG25" s="1640">
        <f ca="1">+VLOOKUP($AM25,Model!$B:$EX,MATCH('Fin Sum'!AG$18,Model!$B$4:$EX$4,FALSE),FALSE)</f>
        <v>2764</v>
      </c>
      <c r="AH25" s="1640">
        <f ca="1">+VLOOKUP($AM25,Model!$B:$EX,MATCH('Fin Sum'!AH$18,Model!$B$4:$EX$4,FALSE),FALSE)</f>
        <v>3561</v>
      </c>
      <c r="AI25" s="1640">
        <f ca="1">+VLOOKUP($AM25,Model!$B:$EX,MATCH('Fin Sum'!AI$18,Model!$B$4:$EX$4,FALSE),FALSE)</f>
        <v>3628.0663067492887</v>
      </c>
      <c r="AJ25" s="1640">
        <f ca="1">+VLOOKUP($AM25,Model!$B:$EX,MATCH('Fin Sum'!AJ$18,Model!$B$4:$EX$4,FALSE),FALSE)</f>
        <v>4121.7243853925593</v>
      </c>
      <c r="AK25" s="1640">
        <f ca="1">+VLOOKUP($AM25,Model!$B:$EX,MATCH('Fin Sum'!AK$18,Model!$B$4:$EX$4,FALSE),FALSE)</f>
        <v>4507.8013925734831</v>
      </c>
      <c r="AM25" s="1581" t="s">
        <v>126</v>
      </c>
    </row>
    <row r="26" spans="1:44" ht="11.1" customHeight="1">
      <c r="A26" s="996"/>
      <c r="B26" s="1594"/>
      <c r="C26" s="1628" t="s">
        <v>331</v>
      </c>
      <c r="D26" s="1632"/>
      <c r="E26" s="1632"/>
      <c r="F26" s="1632"/>
      <c r="G26" s="1632"/>
      <c r="H26" s="1632"/>
      <c r="I26" s="1632"/>
      <c r="J26" s="1633"/>
      <c r="K26" s="1633"/>
      <c r="L26" s="1634"/>
      <c r="M26" s="1634"/>
      <c r="N26" s="1635">
        <f t="shared" ref="N26:S26" si="10">+N23-N24-N25</f>
        <v>3657</v>
      </c>
      <c r="O26" s="1635">
        <f t="shared" si="10"/>
        <v>4197</v>
      </c>
      <c r="P26" s="1635">
        <f t="shared" si="10"/>
        <v>4468</v>
      </c>
      <c r="Q26" s="1635">
        <f t="shared" si="10"/>
        <v>4899.5635170371161</v>
      </c>
      <c r="R26" s="1635">
        <f t="shared" si="10"/>
        <v>5136.3380371464209</v>
      </c>
      <c r="S26" s="1635">
        <f t="shared" si="10"/>
        <v>5527.8775981921835</v>
      </c>
      <c r="T26" s="996"/>
      <c r="U26" s="996" t="s">
        <v>127</v>
      </c>
      <c r="V26" s="996"/>
      <c r="W26" s="1595"/>
      <c r="X26" s="1595"/>
      <c r="Y26" s="1595"/>
      <c r="Z26" s="1595"/>
      <c r="AA26" s="1595"/>
      <c r="AB26" s="1595"/>
      <c r="AC26" s="1595"/>
      <c r="AD26" s="1011"/>
      <c r="AE26" s="1011"/>
      <c r="AF26" s="1011">
        <f ca="1">+VLOOKUP($AM26,Model!$B:$EX,MATCH('Fin Sum'!AF$18,Model!$B$4:$EX$4,FALSE),FALSE)</f>
        <v>-1228</v>
      </c>
      <c r="AG26" s="1011">
        <f ca="1">+VLOOKUP($AM26,Model!$B:$EX,MATCH('Fin Sum'!AG$18,Model!$B$4:$EX$4,FALSE),FALSE)</f>
        <v>-849</v>
      </c>
      <c r="AH26" s="1011">
        <f ca="1">+VLOOKUP($AM26,Model!$B:$EX,MATCH('Fin Sum'!AH$18,Model!$B$4:$EX$4,FALSE),FALSE)</f>
        <v>-636</v>
      </c>
      <c r="AI26" s="1011">
        <f ca="1">+VLOOKUP($AM26,Model!$B:$EX,MATCH('Fin Sum'!AI$18,Model!$B$4:$EX$4,FALSE),FALSE)</f>
        <v>-812.96310784077889</v>
      </c>
      <c r="AJ26" s="1011">
        <f ca="1">+VLOOKUP($AM26,Model!$B:$EX,MATCH('Fin Sum'!AJ$18,Model!$B$4:$EX$4,FALSE),FALSE)</f>
        <v>-980.10708448555943</v>
      </c>
      <c r="AK26" s="1011">
        <f ca="1">+VLOOKUP($AM26,Model!$B:$EX,MATCH('Fin Sum'!AK$18,Model!$B$4:$EX$4,FALSE),FALSE)</f>
        <v>-1205.8281068162573</v>
      </c>
      <c r="AM26" s="1581" t="s">
        <v>127</v>
      </c>
      <c r="AO26" s="1012"/>
    </row>
    <row r="27" spans="1:44" ht="11.1" customHeight="1">
      <c r="A27" s="996"/>
      <c r="B27" s="1594"/>
      <c r="C27" s="1603" t="s">
        <v>1014</v>
      </c>
      <c r="D27" s="1632"/>
      <c r="E27" s="1632"/>
      <c r="F27" s="1632"/>
      <c r="G27" s="1632"/>
      <c r="H27" s="1632"/>
      <c r="I27" s="1632"/>
      <c r="J27" s="1633"/>
      <c r="K27" s="1633"/>
      <c r="L27" s="1634"/>
      <c r="M27" s="1634"/>
      <c r="N27" s="1615">
        <f t="shared" ref="N27:S27" ca="1" si="11">+N26/N19</f>
        <v>0.274755822689707</v>
      </c>
      <c r="O27" s="1615">
        <f t="shared" ca="1" si="11"/>
        <v>0.2835810810810811</v>
      </c>
      <c r="P27" s="1615">
        <f t="shared" ca="1" si="11"/>
        <v>0.28718344260187684</v>
      </c>
      <c r="Q27" s="1615">
        <f t="shared" ca="1" si="11"/>
        <v>0.30769605980280162</v>
      </c>
      <c r="R27" s="1615">
        <f t="shared" ca="1" si="11"/>
        <v>0.30625781479936381</v>
      </c>
      <c r="S27" s="1615">
        <f t="shared" ca="1" si="11"/>
        <v>0.31294090380087414</v>
      </c>
      <c r="T27" s="996"/>
      <c r="U27" s="1645" t="s">
        <v>183</v>
      </c>
      <c r="V27" s="1645"/>
      <c r="W27" s="1647"/>
      <c r="X27" s="1647"/>
      <c r="Y27" s="1647"/>
      <c r="Z27" s="1647"/>
      <c r="AA27" s="1647"/>
      <c r="AB27" s="1647"/>
      <c r="AC27" s="1647"/>
      <c r="AD27" s="1646"/>
      <c r="AE27" s="1646"/>
      <c r="AF27" s="1646">
        <f t="shared" ref="AF27:AK27" ca="1" si="12">+AF28-AF26</f>
        <v>-10615</v>
      </c>
      <c r="AG27" s="1646">
        <f t="shared" ca="1" si="12"/>
        <v>-410</v>
      </c>
      <c r="AH27" s="1646">
        <f t="shared" ca="1" si="12"/>
        <v>-214</v>
      </c>
      <c r="AI27" s="1646">
        <f t="shared" ca="1" si="12"/>
        <v>-555.99999999999989</v>
      </c>
      <c r="AJ27" s="1646">
        <f t="shared" ca="1" si="12"/>
        <v>-500</v>
      </c>
      <c r="AK27" s="1646">
        <f t="shared" ca="1" si="12"/>
        <v>-515</v>
      </c>
      <c r="AM27" s="1581" t="s">
        <v>743</v>
      </c>
      <c r="AN27" s="1581" t="s">
        <v>603</v>
      </c>
    </row>
    <row r="28" spans="1:44" ht="11.1" customHeight="1">
      <c r="A28" s="996"/>
      <c r="B28" s="1594" t="s">
        <v>134</v>
      </c>
      <c r="C28" s="1645" t="s">
        <v>563</v>
      </c>
      <c r="D28" s="1647"/>
      <c r="E28" s="1647">
        <f>Model!CP75</f>
        <v>32.9</v>
      </c>
      <c r="F28" s="1647">
        <f>Model!CS75</f>
        <v>44</v>
      </c>
      <c r="G28" s="1647">
        <f>Model!CV75</f>
        <v>57.7</v>
      </c>
      <c r="H28" s="1647">
        <f>Model!CY75</f>
        <v>79.09999999999998</v>
      </c>
      <c r="I28" s="1647">
        <f>Model!DB75</f>
        <v>99.100000000000009</v>
      </c>
      <c r="J28" s="1648">
        <f>Model!DE75</f>
        <v>162.89999999999995</v>
      </c>
      <c r="K28" s="1648">
        <f>Model!DH75</f>
        <v>143.83008749999993</v>
      </c>
      <c r="L28" s="1649">
        <f>Model!DK75</f>
        <v>166.88582124999999</v>
      </c>
      <c r="M28" s="1649">
        <f ca="1">+VLOOKUP($B28,Model!$B:$EX,MATCH('Fin Sum'!M$3,Model!$B$4:$EX$4,FALSE),FALSE)</f>
        <v>147.79999999999998</v>
      </c>
      <c r="N28" s="1649">
        <f ca="1">+VLOOKUP($B28,Model!$B:$EX,MATCH('Fin Sum'!N$3,Model!$B$4:$EX$4,FALSE),FALSE)</f>
        <v>406.29816799424441</v>
      </c>
      <c r="O28" s="1649">
        <f ca="1">+VLOOKUP($B28,Model!$B:$EX,MATCH('Fin Sum'!O$3,Model!$B$4:$EX$4,FALSE),FALSE)</f>
        <v>437.00760000000002</v>
      </c>
      <c r="P28" s="1649">
        <f ca="1">+VLOOKUP($B28,Model!$B:$EX,MATCH('Fin Sum'!P$3,Model!$B$4:$EX$4,FALSE),FALSE)</f>
        <v>410</v>
      </c>
      <c r="Q28" s="1649">
        <f ca="1">+VLOOKUP($B28,Model!$B:$EX,MATCH('Fin Sum'!Q$3,Model!$B$4:$EX$4,FALSE),FALSE)</f>
        <v>394</v>
      </c>
      <c r="R28" s="1649">
        <f ca="1">+VLOOKUP($B28,Model!$B:$EX,MATCH('Fin Sum'!R$3,Model!$B$4:$EX$4,FALSE),FALSE)</f>
        <v>386.14667426543548</v>
      </c>
      <c r="S28" s="1649">
        <f ca="1">+VLOOKUP($B28,Model!$B:$EX,MATCH('Fin Sum'!S$3,Model!$B$4:$EX$4,FALSE),FALSE)</f>
        <v>377.33851623635542</v>
      </c>
      <c r="T28" s="996"/>
      <c r="U28" s="1636" t="s">
        <v>609</v>
      </c>
      <c r="V28" s="1636"/>
      <c r="W28" s="1650"/>
      <c r="X28" s="1650"/>
      <c r="Y28" s="1650"/>
      <c r="Z28" s="1650"/>
      <c r="AA28" s="1650"/>
      <c r="AB28" s="1650"/>
      <c r="AC28" s="1650"/>
      <c r="AD28" s="1640"/>
      <c r="AE28" s="1640"/>
      <c r="AF28" s="1640">
        <f ca="1">+VLOOKUP($AM28,Model!$B:$EX,MATCH('Fin Sum'!AF$18,Model!$B$4:$EX$4,FALSE),FALSE)</f>
        <v>-11843</v>
      </c>
      <c r="AG28" s="1640">
        <f ca="1">+VLOOKUP($AM28,Model!$B:$EX,MATCH('Fin Sum'!AG$18,Model!$B$4:$EX$4,FALSE),FALSE)</f>
        <v>-1259</v>
      </c>
      <c r="AH28" s="1640">
        <f ca="1">+VLOOKUP($AM28,Model!$B:$EX,MATCH('Fin Sum'!AH$18,Model!$B$4:$EX$4,FALSE),FALSE)</f>
        <v>-850</v>
      </c>
      <c r="AI28" s="1640">
        <f ca="1">+VLOOKUP($AM28,Model!$B:$EX,MATCH('Fin Sum'!AI$18,Model!$B$4:$EX$4,FALSE),FALSE)</f>
        <v>-1368.9631078407788</v>
      </c>
      <c r="AJ28" s="1640">
        <f ca="1">+VLOOKUP($AM28,Model!$B:$EX,MATCH('Fin Sum'!AJ$18,Model!$B$4:$EX$4,FALSE),FALSE)</f>
        <v>-1480.1070844855594</v>
      </c>
      <c r="AK28" s="1640">
        <f ca="1">+VLOOKUP($AM28,Model!$B:$EX,MATCH('Fin Sum'!AK$18,Model!$B$4:$EX$4,FALSE),FALSE)</f>
        <v>-1720.8281068162573</v>
      </c>
      <c r="AM28" s="1581" t="s">
        <v>609</v>
      </c>
    </row>
    <row r="29" spans="1:44" ht="11.1" customHeight="1">
      <c r="A29" s="996"/>
      <c r="B29" s="1594"/>
      <c r="C29" s="1628" t="s">
        <v>797</v>
      </c>
      <c r="D29" s="1632"/>
      <c r="E29" s="1632"/>
      <c r="F29" s="1632"/>
      <c r="G29" s="1632"/>
      <c r="H29" s="1632"/>
      <c r="I29" s="1632"/>
      <c r="J29" s="1633"/>
      <c r="K29" s="1633"/>
      <c r="L29" s="1634"/>
      <c r="M29" s="1634"/>
      <c r="N29" s="1635">
        <f t="shared" ref="N29:S29" ca="1" si="13">+N26-N28</f>
        <v>3250.7018320057555</v>
      </c>
      <c r="O29" s="1635">
        <f t="shared" ca="1" si="13"/>
        <v>3759.9924000000001</v>
      </c>
      <c r="P29" s="1635">
        <f t="shared" ca="1" si="13"/>
        <v>4058</v>
      </c>
      <c r="Q29" s="1635">
        <f t="shared" ca="1" si="13"/>
        <v>4505.5635170371161</v>
      </c>
      <c r="R29" s="1635">
        <f t="shared" ca="1" si="13"/>
        <v>4750.1913628809853</v>
      </c>
      <c r="S29" s="1635">
        <f t="shared" ca="1" si="13"/>
        <v>5150.5390819558279</v>
      </c>
      <c r="T29" s="996"/>
      <c r="U29" s="996" t="s">
        <v>1011</v>
      </c>
      <c r="V29" s="996"/>
      <c r="W29" s="1595"/>
      <c r="X29" s="1595"/>
      <c r="Y29" s="1595"/>
      <c r="Z29" s="1595"/>
      <c r="AA29" s="1595"/>
      <c r="AB29" s="1595"/>
      <c r="AC29" s="1595"/>
      <c r="AD29" s="1011"/>
      <c r="AE29" s="1011"/>
      <c r="AF29" s="1011">
        <f ca="1">+VLOOKUP($AM29,Model!$B:$EX,MATCH('Fin Sum'!AF$18,Model!$B$4:$EX$4,FALSE),FALSE)+VLOOKUP($AN29,Model!$B:$EX,MATCH('Fin Sum'!AF$18,Model!$B$4:$EX$4,FALSE),FALSE)</f>
        <v>1741</v>
      </c>
      <c r="AG29" s="1011">
        <f ca="1">+VLOOKUP($AM29,Model!$B:$EX,MATCH('Fin Sum'!AG$18,Model!$B$4:$EX$4,FALSE),FALSE)+VLOOKUP($AN29,Model!$B:$EX,MATCH('Fin Sum'!AG$18,Model!$B$4:$EX$4,FALSE),FALSE)</f>
        <v>41</v>
      </c>
      <c r="AH29" s="1011">
        <f ca="1">+VLOOKUP($AM29,Model!$B:$EX,MATCH('Fin Sum'!AH$18,Model!$B$4:$EX$4,FALSE),FALSE)+VLOOKUP($AN29,Model!$B:$EX,MATCH('Fin Sum'!AH$18,Model!$B$4:$EX$4,FALSE),FALSE)</f>
        <v>-735</v>
      </c>
      <c r="AI29" s="1011">
        <f ca="1">+VLOOKUP($AM29,Model!$B:$EX,MATCH('Fin Sum'!AI$18,Model!$B$4:$EX$4,FALSE),FALSE)+VLOOKUP($AN29,Model!$B:$EX,MATCH('Fin Sum'!AI$18,Model!$B$4:$EX$4,FALSE),FALSE)</f>
        <v>-284</v>
      </c>
      <c r="AJ29" s="1011">
        <f ca="1">+VLOOKUP($AM29,Model!$B:$EX,MATCH('Fin Sum'!AJ$18,Model!$B$4:$EX$4,FALSE),FALSE)+VLOOKUP($AN29,Model!$B:$EX,MATCH('Fin Sum'!AJ$18,Model!$B$4:$EX$4,FALSE),FALSE)</f>
        <v>-2.2737367544323206E-13</v>
      </c>
      <c r="AK29" s="1011">
        <f ca="1">+VLOOKUP($AM29,Model!$B:$EX,MATCH('Fin Sum'!AK$18,Model!$B$4:$EX$4,FALSE),FALSE)+VLOOKUP($AN29,Model!$B:$EX,MATCH('Fin Sum'!AK$18,Model!$B$4:$EX$4,FALSE),FALSE)</f>
        <v>0</v>
      </c>
      <c r="AM29" s="1581" t="s">
        <v>614</v>
      </c>
      <c r="AN29" s="1581" t="s">
        <v>615</v>
      </c>
      <c r="AP29" s="1013"/>
    </row>
    <row r="30" spans="1:44" ht="11.1" customHeight="1">
      <c r="A30" s="996"/>
      <c r="B30" s="1594" t="s">
        <v>140</v>
      </c>
      <c r="C30" s="996" t="s">
        <v>551</v>
      </c>
      <c r="D30" s="1595"/>
      <c r="E30" s="1595">
        <f>Model!CP81</f>
        <v>297.3</v>
      </c>
      <c r="F30" s="1595">
        <f>Model!CS81</f>
        <v>335</v>
      </c>
      <c r="G30" s="1595">
        <f>Model!CV81</f>
        <v>317.89999999999998</v>
      </c>
      <c r="H30" s="1595">
        <f>Model!CY81</f>
        <v>354.4854538998697</v>
      </c>
      <c r="I30" s="1595">
        <f>Model!DB81</f>
        <v>552.29999999999995</v>
      </c>
      <c r="J30" s="1591">
        <f>Model!DE81</f>
        <v>422.4</v>
      </c>
      <c r="K30" s="1591">
        <f>Model!DH81</f>
        <v>470.20000000000005</v>
      </c>
      <c r="L30" s="1590">
        <f>Model!DK81</f>
        <v>592.70000000000005</v>
      </c>
      <c r="M30" s="1590">
        <f ca="1">+VLOOKUP($B30,Model!$B:$EX,MATCH('Fin Sum'!M$3,Model!$B$4:$EX$4,FALSE),FALSE)</f>
        <v>553.79999999999995</v>
      </c>
      <c r="N30" s="1590">
        <f ca="1">+VLOOKUP($B30,Model!$B:$EX,MATCH('Fin Sum'!N$3,Model!$B$4:$EX$4,FALSE),FALSE)</f>
        <v>503.99999999999972</v>
      </c>
      <c r="O30" s="1590">
        <f ca="1">+VLOOKUP($B30,Model!$B:$EX,MATCH('Fin Sum'!O$3,Model!$B$4:$EX$4,FALSE),FALSE)</f>
        <v>722</v>
      </c>
      <c r="P30" s="1590">
        <f ca="1">+VLOOKUP($B30,Model!$B:$EX,MATCH('Fin Sum'!P$3,Model!$B$4:$EX$4,FALSE),FALSE)</f>
        <v>645</v>
      </c>
      <c r="Q30" s="1590">
        <f ca="1">+VLOOKUP($B30,Model!$B:$EX,MATCH('Fin Sum'!Q$3,Model!$B$4:$EX$4,FALSE),FALSE)</f>
        <v>856.05706823705202</v>
      </c>
      <c r="R30" s="1590">
        <f ca="1">+VLOOKUP($B30,Model!$B:$EX,MATCH('Fin Sum'!R$3,Model!$B$4:$EX$4,FALSE),FALSE)</f>
        <v>902.53635894738716</v>
      </c>
      <c r="S30" s="1590">
        <f ca="1">+VLOOKUP($B30,Model!$B:$EX,MATCH('Fin Sum'!S$3,Model!$B$4:$EX$4,FALSE),FALSE)</f>
        <v>978.60242557160745</v>
      </c>
      <c r="T30" s="996"/>
      <c r="U30" s="996" t="s">
        <v>562</v>
      </c>
      <c r="V30" s="996"/>
      <c r="W30" s="1595"/>
      <c r="X30" s="1595"/>
      <c r="Y30" s="1595"/>
      <c r="Z30" s="1595"/>
      <c r="AA30" s="1595"/>
      <c r="AB30" s="1595"/>
      <c r="AC30" s="1595"/>
      <c r="AD30" s="1011"/>
      <c r="AE30" s="1011"/>
      <c r="AF30" s="1011">
        <f ca="1">+VLOOKUP($AM30,Model!$B:$EX,MATCH('Fin Sum'!AF$18,Model!$B$4:$EX$4,FALSE),FALSE)</f>
        <v>34</v>
      </c>
      <c r="AG30" s="1011">
        <f ca="1">+VLOOKUP($AM30,Model!$B:$EX,MATCH('Fin Sum'!AG$18,Model!$B$4:$EX$4,FALSE),FALSE)</f>
        <v>40</v>
      </c>
      <c r="AH30" s="1011">
        <f ca="1">+VLOOKUP($AM30,Model!$B:$EX,MATCH('Fin Sum'!AH$18,Model!$B$4:$EX$4,FALSE),FALSE)</f>
        <v>17</v>
      </c>
      <c r="AI30" s="1011">
        <f ca="1">+VLOOKUP($AM30,Model!$B:$EX,MATCH('Fin Sum'!AI$18,Model!$B$4:$EX$4,FALSE),FALSE)</f>
        <v>-750</v>
      </c>
      <c r="AJ30" s="1011">
        <f ca="1">+VLOOKUP($AM30,Model!$B:$EX,MATCH('Fin Sum'!AJ$18,Model!$B$4:$EX$4,FALSE),FALSE)</f>
        <v>-750</v>
      </c>
      <c r="AK30" s="1011">
        <f ca="1">+VLOOKUP($AM30,Model!$B:$EX,MATCH('Fin Sum'!AK$18,Model!$B$4:$EX$4,FALSE),FALSE)</f>
        <v>-750</v>
      </c>
      <c r="AM30" s="1581" t="s">
        <v>610</v>
      </c>
      <c r="AN30" s="1586"/>
      <c r="AO30" s="1013"/>
    </row>
    <row r="31" spans="1:44" ht="11.1" customHeight="1">
      <c r="A31" s="996"/>
      <c r="B31" s="1594" t="s">
        <v>142</v>
      </c>
      <c r="C31" s="1645" t="s">
        <v>237</v>
      </c>
      <c r="D31" s="1642"/>
      <c r="E31" s="1642"/>
      <c r="F31" s="1642"/>
      <c r="G31" s="1642"/>
      <c r="H31" s="1642"/>
      <c r="I31" s="1642"/>
      <c r="J31" s="1643"/>
      <c r="K31" s="1643"/>
      <c r="L31" s="1644"/>
      <c r="M31" s="1644"/>
      <c r="N31" s="1649">
        <f ca="1">+VLOOKUP($B31,Model!$B:$EX,MATCH('Fin Sum'!N$3,Model!$B$4:$EX$4,FALSE),FALSE)</f>
        <v>137</v>
      </c>
      <c r="O31" s="1649">
        <f ca="1">+VLOOKUP($B31,Model!$B:$EX,MATCH('Fin Sum'!O$3,Model!$B$4:$EX$4,FALSE),FALSE)</f>
        <v>131</v>
      </c>
      <c r="P31" s="1649">
        <f ca="1">+VLOOKUP($B31,Model!$B:$EX,MATCH('Fin Sum'!P$3,Model!$B$4:$EX$4,FALSE),FALSE)</f>
        <v>194</v>
      </c>
      <c r="Q31" s="1649">
        <f ca="1">+VLOOKUP($B31,Model!$B:$EX,MATCH('Fin Sum'!Q$3,Model!$B$4:$EX$4,FALSE),FALSE)</f>
        <v>226.64874655187089</v>
      </c>
      <c r="R31" s="1649">
        <f ca="1">+VLOOKUP($B31,Model!$B:$EX,MATCH('Fin Sum'!R$3,Model!$B$4:$EX$4,FALSE),FALSE)</f>
        <v>203.04617506711759</v>
      </c>
      <c r="S31" s="1649">
        <f ca="1">+VLOOKUP($B31,Model!$B:$EX,MATCH('Fin Sum'!S$3,Model!$B$4:$EX$4,FALSE),FALSE)</f>
        <v>206.14440479404146</v>
      </c>
      <c r="T31" s="996"/>
      <c r="U31" s="996" t="s">
        <v>564</v>
      </c>
      <c r="V31" s="996"/>
      <c r="W31" s="1595"/>
      <c r="X31" s="1595"/>
      <c r="Y31" s="1595"/>
      <c r="Z31" s="1595"/>
      <c r="AA31" s="1595"/>
      <c r="AB31" s="1595"/>
      <c r="AC31" s="1595"/>
      <c r="AD31" s="1011"/>
      <c r="AE31" s="1011"/>
      <c r="AF31" s="1011">
        <f ca="1">+VLOOKUP($AM31,Model!$B:$EX,MATCH('Fin Sum'!AF$18,Model!$B$4:$EX$4,FALSE),FALSE)</f>
        <v>-1085</v>
      </c>
      <c r="AG31" s="1011">
        <f ca="1">+VLOOKUP($AM31,Model!$B:$EX,MATCH('Fin Sum'!AG$18,Model!$B$4:$EX$4,FALSE),FALSE)</f>
        <v>-1192</v>
      </c>
      <c r="AH31" s="1011">
        <f ca="1">+VLOOKUP($AM31,Model!$B:$EX,MATCH('Fin Sum'!AH$18,Model!$B$4:$EX$4,FALSE),FALSE)</f>
        <v>-1334</v>
      </c>
      <c r="AI31" s="1011">
        <f ca="1">+VLOOKUP($AM31,Model!$B:$EX,MATCH('Fin Sum'!AI$18,Model!$B$4:$EX$4,FALSE),FALSE)</f>
        <v>-1619.2583945191266</v>
      </c>
      <c r="AJ31" s="1011">
        <f ca="1">+VLOOKUP($AM31,Model!$B:$EX,MATCH('Fin Sum'!AJ$18,Model!$B$4:$EX$4,FALSE),FALSE)</f>
        <v>-1546.1952525907343</v>
      </c>
      <c r="AK31" s="1011">
        <f ca="1">+VLOOKUP($AM31,Model!$B:$EX,MATCH('Fin Sum'!AK$18,Model!$B$4:$EX$4,FALSE),FALSE)</f>
        <v>-1560.0543093400502</v>
      </c>
      <c r="AM31" s="1581" t="s">
        <v>613</v>
      </c>
    </row>
    <row r="32" spans="1:44" ht="11.1" customHeight="1">
      <c r="A32" s="996"/>
      <c r="B32" s="1594"/>
      <c r="C32" s="1636" t="s">
        <v>902</v>
      </c>
      <c r="D32" s="1637"/>
      <c r="E32" s="1637"/>
      <c r="F32" s="1637"/>
      <c r="G32" s="1637"/>
      <c r="H32" s="1637"/>
      <c r="I32" s="1637"/>
      <c r="J32" s="1638"/>
      <c r="K32" s="1638"/>
      <c r="L32" s="1639"/>
      <c r="M32" s="1639"/>
      <c r="N32" s="1640">
        <f t="shared" ref="N32:S32" ca="1" si="14">+N29-N30-N31</f>
        <v>2609.7018320057559</v>
      </c>
      <c r="O32" s="1640">
        <f t="shared" ca="1" si="14"/>
        <v>2906.9924000000001</v>
      </c>
      <c r="P32" s="1640">
        <f t="shared" ca="1" si="14"/>
        <v>3219</v>
      </c>
      <c r="Q32" s="1640">
        <f t="shared" ca="1" si="14"/>
        <v>3422.8577022481932</v>
      </c>
      <c r="R32" s="1640">
        <f t="shared" ca="1" si="14"/>
        <v>3644.6088288664805</v>
      </c>
      <c r="S32" s="1640">
        <f t="shared" ca="1" si="14"/>
        <v>3965.7922515901791</v>
      </c>
      <c r="T32" s="996"/>
      <c r="U32" s="1662" t="s">
        <v>183</v>
      </c>
      <c r="V32" s="1662"/>
      <c r="W32" s="1662"/>
      <c r="X32" s="1662"/>
      <c r="Y32" s="1662"/>
      <c r="Z32" s="1662"/>
      <c r="AA32" s="1662"/>
      <c r="AB32" s="1662"/>
      <c r="AC32" s="1662"/>
      <c r="AD32" s="1662"/>
      <c r="AE32" s="1662"/>
      <c r="AF32" s="1664">
        <f t="shared" ref="AF32:AK32" ca="1" si="15">+AF33-SUM(AF29:AF31)</f>
        <v>-234</v>
      </c>
      <c r="AG32" s="1664">
        <f t="shared" ca="1" si="15"/>
        <v>-173</v>
      </c>
      <c r="AH32" s="1664">
        <f t="shared" ca="1" si="15"/>
        <v>-371</v>
      </c>
      <c r="AI32" s="1664">
        <f t="shared" ca="1" si="15"/>
        <v>-50</v>
      </c>
      <c r="AJ32" s="1664">
        <f t="shared" ca="1" si="15"/>
        <v>0</v>
      </c>
      <c r="AK32" s="1664">
        <f t="shared" ca="1" si="15"/>
        <v>0</v>
      </c>
      <c r="AM32" s="995"/>
      <c r="AN32" s="995"/>
      <c r="AO32" s="1014"/>
      <c r="AP32" s="1014"/>
    </row>
    <row r="33" spans="1:43" ht="11.1" customHeight="1">
      <c r="A33" s="996"/>
      <c r="B33" s="1594"/>
      <c r="C33" s="1645" t="s">
        <v>1013</v>
      </c>
      <c r="D33" s="1642"/>
      <c r="E33" s="1642"/>
      <c r="F33" s="1642"/>
      <c r="G33" s="1642"/>
      <c r="H33" s="1642"/>
      <c r="I33" s="1642"/>
      <c r="J33" s="1643"/>
      <c r="K33" s="1643"/>
      <c r="L33" s="1644"/>
      <c r="M33" s="1644"/>
      <c r="N33" s="1646">
        <f t="shared" ref="N33:S33" ca="1" si="16">+N34-N32</f>
        <v>-415.80183200575539</v>
      </c>
      <c r="O33" s="1646">
        <f t="shared" ca="1" si="16"/>
        <v>-264.99240000000009</v>
      </c>
      <c r="P33" s="1646">
        <f t="shared" ca="1" si="16"/>
        <v>-217</v>
      </c>
      <c r="Q33" s="1646">
        <f t="shared" ca="1" si="16"/>
        <v>-1649</v>
      </c>
      <c r="R33" s="1646">
        <f t="shared" ca="1" si="16"/>
        <v>-262</v>
      </c>
      <c r="S33" s="1646">
        <f t="shared" ca="1" si="16"/>
        <v>-261.99999999999909</v>
      </c>
      <c r="T33" s="996"/>
      <c r="U33" s="1636" t="s">
        <v>617</v>
      </c>
      <c r="V33" s="1661"/>
      <c r="W33" s="1661"/>
      <c r="X33" s="1661"/>
      <c r="Y33" s="1661"/>
      <c r="Z33" s="1661"/>
      <c r="AA33" s="1661"/>
      <c r="AB33" s="1661"/>
      <c r="AC33" s="1661"/>
      <c r="AD33" s="1661"/>
      <c r="AE33" s="1661"/>
      <c r="AF33" s="1640">
        <f ca="1">+VLOOKUP($AM33,Model!$B:$EX,MATCH('Fin Sum'!AF$18,Model!$B$4:$EX$4,FALSE),FALSE)</f>
        <v>456</v>
      </c>
      <c r="AG33" s="1640">
        <f ca="1">+VLOOKUP($AM33,Model!$B:$EX,MATCH('Fin Sum'!AG$18,Model!$B$4:$EX$4,FALSE),FALSE)</f>
        <v>-1284</v>
      </c>
      <c r="AH33" s="1640">
        <f ca="1">+VLOOKUP($AM33,Model!$B:$EX,MATCH('Fin Sum'!AH$18,Model!$B$4:$EX$4,FALSE),FALSE)</f>
        <v>-2423</v>
      </c>
      <c r="AI33" s="1640">
        <f ca="1">+VLOOKUP($AM33,Model!$B:$EX,MATCH('Fin Sum'!AI$18,Model!$B$4:$EX$4,FALSE),FALSE)</f>
        <v>-2703.2583945191263</v>
      </c>
      <c r="AJ33" s="1640">
        <f ca="1">+VLOOKUP($AM33,Model!$B:$EX,MATCH('Fin Sum'!AJ$18,Model!$B$4:$EX$4,FALSE),FALSE)</f>
        <v>-2296.1952525907345</v>
      </c>
      <c r="AK33" s="1640">
        <f ca="1">+VLOOKUP($AM33,Model!$B:$EX,MATCH('Fin Sum'!AK$18,Model!$B$4:$EX$4,FALSE),FALSE)</f>
        <v>-2310.0543093400502</v>
      </c>
      <c r="AM33" s="1581" t="s">
        <v>617</v>
      </c>
      <c r="AO33" s="1014"/>
      <c r="AP33" s="1014"/>
    </row>
    <row r="34" spans="1:43" ht="11.1" customHeight="1">
      <c r="A34" s="996"/>
      <c r="B34" s="1594" t="s">
        <v>936</v>
      </c>
      <c r="C34" s="1628" t="s">
        <v>412</v>
      </c>
      <c r="D34" s="1632"/>
      <c r="E34" s="1632"/>
      <c r="F34" s="1632"/>
      <c r="G34" s="1632"/>
      <c r="H34" s="1632"/>
      <c r="I34" s="1632"/>
      <c r="J34" s="1633"/>
      <c r="K34" s="1633"/>
      <c r="L34" s="1634"/>
      <c r="M34" s="1634"/>
      <c r="N34" s="1635">
        <f ca="1">+VLOOKUP($B34,Model!$B:$EX,MATCH('Fin Sum'!N$3,Model!$B$4:$EX$4,FALSE),FALSE)</f>
        <v>2193.9000000000005</v>
      </c>
      <c r="O34" s="1635">
        <f ca="1">+VLOOKUP($B34,Model!$B:$EX,MATCH('Fin Sum'!O$3,Model!$B$4:$EX$4,FALSE),FALSE)</f>
        <v>2642</v>
      </c>
      <c r="P34" s="1635">
        <f ca="1">+VLOOKUP($B34,Model!$B:$EX,MATCH('Fin Sum'!P$3,Model!$B$4:$EX$4,FALSE),FALSE)</f>
        <v>3002</v>
      </c>
      <c r="Q34" s="1635">
        <f ca="1">+VLOOKUP($B34,Model!$B:$EX,MATCH('Fin Sum'!Q$3,Model!$B$4:$EX$4,FALSE),FALSE)</f>
        <v>1773.8577022481932</v>
      </c>
      <c r="R34" s="1635">
        <f ca="1">+VLOOKUP($B34,Model!$B:$EX,MATCH('Fin Sum'!R$3,Model!$B$4:$EX$4,FALSE),FALSE)</f>
        <v>3382.6088288664805</v>
      </c>
      <c r="S34" s="1635">
        <f ca="1">+VLOOKUP($B34,Model!$B:$EX,MATCH('Fin Sum'!S$3,Model!$B$4:$EX$4,FALSE),FALSE)</f>
        <v>3703.7922515901801</v>
      </c>
      <c r="T34" s="996"/>
      <c r="U34" s="996" t="s">
        <v>1012</v>
      </c>
      <c r="V34" s="996"/>
      <c r="W34" s="1595"/>
      <c r="X34" s="1595"/>
      <c r="Y34" s="1595"/>
      <c r="Z34" s="1595"/>
      <c r="AA34" s="1595"/>
      <c r="AB34" s="1595"/>
      <c r="AC34" s="1595"/>
      <c r="AD34" s="1011"/>
      <c r="AE34" s="1011"/>
      <c r="AF34" s="1011">
        <f ca="1">+VLOOKUP($AM34,Model!$B:$EX,MATCH('Fin Sum'!AF$18,Model!$B$4:$EX$4,FALSE),FALSE)</f>
        <v>-8786</v>
      </c>
      <c r="AG34" s="1011">
        <f ca="1">+VLOOKUP($AM34,Model!$B:$EX,MATCH('Fin Sum'!AG$18,Model!$B$4:$EX$4,FALSE),FALSE)</f>
        <v>221</v>
      </c>
      <c r="AH34" s="1011">
        <f ca="1">+VLOOKUP($AM34,Model!$B:$EX,MATCH('Fin Sum'!AH$18,Model!$B$4:$EX$4,FALSE),FALSE)</f>
        <v>470</v>
      </c>
      <c r="AI34" s="1011">
        <f ca="1">+VLOOKUP($AM34,Model!$B:$EX,MATCH('Fin Sum'!AI$18,Model!$B$4:$EX$4,FALSE),FALSE)</f>
        <v>-444.1551956106166</v>
      </c>
      <c r="AJ34" s="1011">
        <f ca="1">+VLOOKUP($AM34,Model!$B:$EX,MATCH('Fin Sum'!AJ$18,Model!$B$4:$EX$4,FALSE),FALSE)</f>
        <v>345.42204831626555</v>
      </c>
      <c r="AK34" s="1011">
        <f ca="1">+VLOOKUP($AM34,Model!$B:$EX,MATCH('Fin Sum'!AK$18,Model!$B$4:$EX$4,FALSE),FALSE)</f>
        <v>476.9189764171756</v>
      </c>
      <c r="AM34" s="1581" t="s">
        <v>618</v>
      </c>
      <c r="AN34" s="995"/>
    </row>
    <row r="35" spans="1:43" ht="11.1" customHeight="1">
      <c r="A35" s="996"/>
      <c r="B35" s="995"/>
      <c r="T35" s="996"/>
      <c r="AM35" s="995"/>
      <c r="AN35" s="995"/>
    </row>
    <row r="36" spans="1:43" ht="11.1" customHeight="1">
      <c r="A36" s="996"/>
      <c r="B36" s="1594"/>
      <c r="C36" s="1624" t="s">
        <v>779</v>
      </c>
      <c r="D36" s="1625"/>
      <c r="E36" s="1626" t="str">
        <f t="shared" ref="E36:M36" si="17">IF(E$6&lt;&gt;"",E$6,"")</f>
        <v>2014</v>
      </c>
      <c r="F36" s="1626" t="str">
        <f t="shared" si="17"/>
        <v>2015</v>
      </c>
      <c r="G36" s="1626" t="str">
        <f t="shared" si="17"/>
        <v>2016</v>
      </c>
      <c r="H36" s="1626" t="str">
        <f t="shared" si="17"/>
        <v>2017</v>
      </c>
      <c r="I36" s="1626" t="str">
        <f t="shared" si="17"/>
        <v>2018</v>
      </c>
      <c r="J36" s="1626" t="str">
        <f t="shared" si="17"/>
        <v>2019</v>
      </c>
      <c r="K36" s="1626" t="str">
        <f t="shared" si="17"/>
        <v>2020</v>
      </c>
      <c r="L36" s="1626" t="str">
        <f t="shared" si="17"/>
        <v>2021</v>
      </c>
      <c r="M36" s="1579" t="str">
        <f t="shared" si="17"/>
        <v>2022</v>
      </c>
      <c r="N36" s="1579" t="str">
        <f t="shared" ref="N36:S36" si="18">IF(N$6&lt;&gt;"",N$6,"")</f>
        <v>2023</v>
      </c>
      <c r="O36" s="1579" t="str">
        <f t="shared" si="18"/>
        <v>2024</v>
      </c>
      <c r="P36" s="1579" t="str">
        <f t="shared" si="18"/>
        <v>2025</v>
      </c>
      <c r="Q36" s="1579" t="str">
        <f t="shared" si="18"/>
        <v>2026E</v>
      </c>
      <c r="R36" s="1579" t="str">
        <f t="shared" si="18"/>
        <v>2027E</v>
      </c>
      <c r="S36" s="1579" t="str">
        <f t="shared" si="18"/>
        <v>2028E</v>
      </c>
      <c r="T36" s="996"/>
      <c r="U36" s="1624" t="s">
        <v>783</v>
      </c>
      <c r="V36" s="1625"/>
      <c r="W36" s="1626" t="str">
        <f t="shared" ref="W36:AK36" si="19">IF(E$6&lt;&gt;"",E$6,"")</f>
        <v>2014</v>
      </c>
      <c r="X36" s="1626" t="str">
        <f t="shared" si="19"/>
        <v>2015</v>
      </c>
      <c r="Y36" s="1626" t="str">
        <f t="shared" si="19"/>
        <v>2016</v>
      </c>
      <c r="Z36" s="1626" t="str">
        <f t="shared" si="19"/>
        <v>2017</v>
      </c>
      <c r="AA36" s="1626" t="str">
        <f t="shared" si="19"/>
        <v>2018</v>
      </c>
      <c r="AB36" s="1626" t="str">
        <f t="shared" si="19"/>
        <v>2019</v>
      </c>
      <c r="AC36" s="1626" t="str">
        <f t="shared" si="19"/>
        <v>2020</v>
      </c>
      <c r="AD36" s="1626" t="str">
        <f t="shared" si="19"/>
        <v>2021</v>
      </c>
      <c r="AE36" s="1579" t="str">
        <f t="shared" si="19"/>
        <v>2022</v>
      </c>
      <c r="AF36" s="1579" t="str">
        <f t="shared" si="19"/>
        <v>2023</v>
      </c>
      <c r="AG36" s="1579" t="str">
        <f t="shared" si="19"/>
        <v>2024</v>
      </c>
      <c r="AH36" s="1579" t="str">
        <f t="shared" si="19"/>
        <v>2025</v>
      </c>
      <c r="AI36" s="1579" t="str">
        <f t="shared" si="19"/>
        <v>2026E</v>
      </c>
      <c r="AJ36" s="1579" t="str">
        <f t="shared" si="19"/>
        <v>2027E</v>
      </c>
      <c r="AK36" s="1579" t="str">
        <f t="shared" si="19"/>
        <v>2028E</v>
      </c>
    </row>
    <row r="37" spans="1:43" ht="11.1" customHeight="1">
      <c r="A37" s="996"/>
      <c r="B37" s="1594"/>
      <c r="C37" s="996" t="s">
        <v>681</v>
      </c>
      <c r="J37" s="1602"/>
      <c r="K37" s="1602"/>
      <c r="L37" s="1592"/>
      <c r="M37" s="1592"/>
      <c r="N37" s="1592">
        <f t="shared" ref="N37:S37" ca="1" si="20">N26/N19</f>
        <v>0.274755822689707</v>
      </c>
      <c r="O37" s="1592">
        <f t="shared" ca="1" si="20"/>
        <v>0.2835810810810811</v>
      </c>
      <c r="P37" s="1592">
        <f t="shared" ca="1" si="20"/>
        <v>0.28718344260187684</v>
      </c>
      <c r="Q37" s="1592">
        <f t="shared" ca="1" si="20"/>
        <v>0.30769605980280162</v>
      </c>
      <c r="R37" s="1592">
        <f t="shared" ca="1" si="20"/>
        <v>0.30625781479936381</v>
      </c>
      <c r="S37" s="1592">
        <f t="shared" ca="1" si="20"/>
        <v>0.31294090380087414</v>
      </c>
      <c r="T37" s="996"/>
      <c r="U37" s="996" t="s">
        <v>524</v>
      </c>
      <c r="V37" s="996"/>
      <c r="W37" s="1595">
        <f>Model!CP228</f>
        <v>608.70000000000005</v>
      </c>
      <c r="X37" s="1595">
        <f>Model!CS228</f>
        <v>556.79999999999995</v>
      </c>
      <c r="Y37" s="1595">
        <f>Model!CV228</f>
        <v>556.6</v>
      </c>
      <c r="Z37" s="1595">
        <f>Model!CY228</f>
        <v>844.5</v>
      </c>
      <c r="AA37" s="1595">
        <f>Model!DB228</f>
        <v>814.7</v>
      </c>
      <c r="AB37" s="1595">
        <f>Model!DE228</f>
        <v>657.8</v>
      </c>
      <c r="AC37" s="1595">
        <f>Model!DH228</f>
        <v>1194.4000000000001</v>
      </c>
      <c r="AD37" s="1011">
        <f>Model!DK228</f>
        <v>1808.8</v>
      </c>
      <c r="AE37" s="1011">
        <f>Model!DN228</f>
        <v>10436.4</v>
      </c>
      <c r="AF37" s="1011">
        <f ca="1">+VLOOKUP($AM37,Model!$B:$EX,MATCH('Fin Sum'!AF$18,Model!$B$4:$EX$4,FALSE),FALSE)</f>
        <v>1548</v>
      </c>
      <c r="AG37" s="1011">
        <f ca="1">+VLOOKUP($AM37,Model!$B:$EX,MATCH('Fin Sum'!AG$18,Model!$B$4:$EX$4,FALSE),FALSE)</f>
        <v>1657</v>
      </c>
      <c r="AH37" s="1011">
        <f ca="1">+VLOOKUP($AM37,Model!$B:$EX,MATCH('Fin Sum'!AH$18,Model!$B$4:$EX$4,FALSE),FALSE)</f>
        <v>2157</v>
      </c>
      <c r="AI37" s="1011">
        <f ca="1">+VLOOKUP($AM37,Model!$B:$EX,MATCH('Fin Sum'!AI$18,Model!$B$4:$EX$4,FALSE),FALSE)</f>
        <v>1693.8448043893834</v>
      </c>
      <c r="AJ37" s="1011">
        <f ca="1">+VLOOKUP($AM37,Model!$B:$EX,MATCH('Fin Sum'!AJ$18,Model!$B$4:$EX$4,FALSE),FALSE)</f>
        <v>2039.2668527056489</v>
      </c>
      <c r="AK37" s="1011">
        <f ca="1">+VLOOKUP($AM37,Model!$B:$EX,MATCH('Fin Sum'!AK$18,Model!$B$4:$EX$4,FALSE),FALSE)</f>
        <v>2516.1858291228245</v>
      </c>
      <c r="AM37" s="1581" t="s">
        <v>524</v>
      </c>
      <c r="AO37" s="1014"/>
    </row>
    <row r="38" spans="1:43" ht="11.1" customHeight="1">
      <c r="A38" s="996"/>
      <c r="B38" s="1594" t="s">
        <v>724</v>
      </c>
      <c r="C38" s="996" t="s">
        <v>682</v>
      </c>
      <c r="J38" s="1602"/>
      <c r="K38" s="1602"/>
      <c r="L38" s="1592"/>
      <c r="M38" s="1592"/>
      <c r="N38" s="1592">
        <f ca="1">+VLOOKUP($B38,Model!$B:$EX,MATCH('Fin Sum'!N$3,Model!$B$4:$EX$4,FALSE),FALSE)</f>
        <v>0.10544018243655205</v>
      </c>
      <c r="O38" s="1592">
        <f ca="1">+VLOOKUP($B38,Model!$B:$EX,MATCH('Fin Sum'!O$3,Model!$B$4:$EX$4,FALSE),FALSE)</f>
        <v>0.11541338099821256</v>
      </c>
      <c r="P38" s="1592">
        <f ca="1">+VLOOKUP($B38,Model!$B:$EX,MATCH('Fin Sum'!P$3,Model!$B$4:$EX$4,FALSE),FALSE)</f>
        <v>0.11995596960829059</v>
      </c>
      <c r="Q38" s="1592">
        <f ca="1">+VLOOKUP($B38,Model!$B:$EX,MATCH('Fin Sum'!Q$3,Model!$B$4:$EX$4,FALSE),FALSE)</f>
        <v>0.1312827334076371</v>
      </c>
      <c r="R38" s="1592">
        <f ca="1">+VLOOKUP($B38,Model!$B:$EX,MATCH('Fin Sum'!R$3,Model!$B$4:$EX$4,FALSE),FALSE)</f>
        <v>0.13362523809559654</v>
      </c>
      <c r="S38" s="1592">
        <f ca="1">+VLOOKUP($B38,Model!$B:$EX,MATCH('Fin Sum'!S$3,Model!$B$4:$EX$4,FALSE),FALSE)</f>
        <v>0.13910528810556172</v>
      </c>
      <c r="U38" s="996" t="s">
        <v>172</v>
      </c>
      <c r="V38" s="996"/>
      <c r="W38" s="1595">
        <f>Model!CP229</f>
        <v>953.4</v>
      </c>
      <c r="X38" s="1595">
        <f>Model!CS229</f>
        <v>1003.7</v>
      </c>
      <c r="Y38" s="1595">
        <f>Model!CV229</f>
        <v>1107.2</v>
      </c>
      <c r="Z38" s="1595">
        <f>Model!CY229</f>
        <v>1170.4000000000001</v>
      </c>
      <c r="AA38" s="1595">
        <f>Model!DB229</f>
        <v>1478</v>
      </c>
      <c r="AB38" s="1595">
        <f>Model!DE229</f>
        <v>1821.7</v>
      </c>
      <c r="AC38" s="1595">
        <f>Model!DH229</f>
        <v>1703.89</v>
      </c>
      <c r="AD38" s="1011">
        <f>Model!DK229</f>
        <v>1711.2</v>
      </c>
      <c r="AE38" s="1011">
        <f>Model!DN229</f>
        <v>1657.2</v>
      </c>
      <c r="AF38" s="1011">
        <f ca="1">+VLOOKUP($AM38,Model!$B:$EX,MATCH('Fin Sum'!AF$18,Model!$B$4:$EX$4,FALSE),FALSE)</f>
        <v>2205</v>
      </c>
      <c r="AG38" s="1011">
        <f ca="1">+VLOOKUP($AM38,Model!$B:$EX,MATCH('Fin Sum'!AG$18,Model!$B$4:$EX$4,FALSE),FALSE)</f>
        <v>2895</v>
      </c>
      <c r="AH38" s="1011">
        <f ca="1">+VLOOKUP($AM38,Model!$B:$EX,MATCH('Fin Sum'!AH$18,Model!$B$4:$EX$4,FALSE),FALSE)</f>
        <v>3141</v>
      </c>
      <c r="AI38" s="1011">
        <f ca="1">+VLOOKUP($AM38,Model!$B:$EX,MATCH('Fin Sum'!AI$18,Model!$B$4:$EX$4,FALSE),FALSE)</f>
        <v>3557.804827835278</v>
      </c>
      <c r="AJ38" s="1011">
        <f ca="1">+VLOOKUP($AM38,Model!$B:$EX,MATCH('Fin Sum'!AJ$18,Model!$B$4:$EX$4,FALSE),FALSE)</f>
        <v>3755.0209216056091</v>
      </c>
      <c r="AK38" s="1011">
        <f ca="1">+VLOOKUP($AM38,Model!$B:$EX,MATCH('Fin Sum'!AK$18,Model!$B$4:$EX$4,FALSE),FALSE)</f>
        <v>3959.8382438836825</v>
      </c>
      <c r="AM38" s="1581" t="s">
        <v>525</v>
      </c>
    </row>
    <row r="39" spans="1:43" ht="11.1" customHeight="1">
      <c r="A39" s="996"/>
      <c r="B39" s="1594" t="s">
        <v>725</v>
      </c>
      <c r="C39" s="996" t="s">
        <v>683</v>
      </c>
      <c r="F39" s="1606"/>
      <c r="G39" s="1606"/>
      <c r="H39" s="1606"/>
      <c r="I39" s="1606"/>
      <c r="J39" s="1607"/>
      <c r="K39" s="1607"/>
      <c r="L39" s="1607"/>
      <c r="M39" s="1593"/>
      <c r="N39" s="1592">
        <f ca="1">+VLOOKUP($B39,Model!$B:$EX,MATCH('Fin Sum'!N$3,Model!$B$4:$EX$4,FALSE),FALSE)</f>
        <v>0.13897757506651467</v>
      </c>
      <c r="O39" s="1592">
        <f ca="1">+VLOOKUP($B39,Model!$B:$EX,MATCH('Fin Sum'!O$3,Model!$B$4:$EX$4,FALSE),FALSE)</f>
        <v>0.15216264470425617</v>
      </c>
      <c r="P39" s="1592">
        <f ca="1">+VLOOKUP($B39,Model!$B:$EX,MATCH('Fin Sum'!P$3,Model!$B$4:$EX$4,FALSE),FALSE)</f>
        <v>0.15526247737264029</v>
      </c>
      <c r="Q39" s="1592">
        <f ca="1">+VLOOKUP($B39,Model!$B:$EX,MATCH('Fin Sum'!Q$3,Model!$B$4:$EX$4,FALSE),FALSE)</f>
        <v>9.3505622752017223E-2</v>
      </c>
      <c r="R39" s="1592">
        <f ca="1">+VLOOKUP($B39,Model!$B:$EX,MATCH('Fin Sum'!R$3,Model!$B$4:$EX$4,FALSE),FALSE)</f>
        <v>0.16864968120771678</v>
      </c>
      <c r="S39" s="1592">
        <f ca="1">+VLOOKUP($B39,Model!$B:$EX,MATCH('Fin Sum'!S$3,Model!$B$4:$EX$4,FALSE),FALSE)</f>
        <v>0.17266492355395188</v>
      </c>
      <c r="T39" s="996"/>
      <c r="U39" s="996" t="s">
        <v>674</v>
      </c>
      <c r="V39" s="996"/>
      <c r="W39" s="1595">
        <f>Model!CP234</f>
        <v>1644.5</v>
      </c>
      <c r="X39" s="1595">
        <f>Model!CS234</f>
        <v>1755.6</v>
      </c>
      <c r="Y39" s="1595">
        <f>Model!CV234</f>
        <v>2152</v>
      </c>
      <c r="Z39" s="1595">
        <f>Model!CY234</f>
        <v>2575.8000000000002</v>
      </c>
      <c r="AA39" s="1595">
        <f>Model!DB234</f>
        <v>2692.8</v>
      </c>
      <c r="AB39" s="1595">
        <f>Model!DE234</f>
        <v>3038.8</v>
      </c>
      <c r="AC39" s="1595">
        <f>Model!DH234</f>
        <v>3509.5</v>
      </c>
      <c r="AD39" s="1011">
        <f>Model!DK234</f>
        <v>3780.6</v>
      </c>
      <c r="AE39" s="1011">
        <f>Model!DN234</f>
        <v>4333</v>
      </c>
      <c r="AF39" s="1011">
        <f ca="1">+VLOOKUP($AM39,Model!$B:$EX,MATCH('Fin Sum'!AF$18,Model!$B$4:$EX$4,FALSE),FALSE)</f>
        <v>5466</v>
      </c>
      <c r="AG39" s="1011">
        <f ca="1">+VLOOKUP($AM39,Model!$B:$EX,MATCH('Fin Sum'!AG$18,Model!$B$4:$EX$4,FALSE),FALSE)</f>
        <v>5964</v>
      </c>
      <c r="AH39" s="1011">
        <f ca="1">+VLOOKUP($AM39,Model!$B:$EX,MATCH('Fin Sum'!AH$18,Model!$B$4:$EX$4,FALSE),FALSE)</f>
        <v>6466</v>
      </c>
      <c r="AI39" s="1011">
        <f ca="1">+VLOOKUP($AM39,Model!$B:$EX,MATCH('Fin Sum'!AI$18,Model!$B$4:$EX$4,FALSE),FALSE)</f>
        <v>7274.2780097880859</v>
      </c>
      <c r="AJ39" s="1011">
        <f ca="1">+VLOOKUP($AM39,Model!$B:$EX,MATCH('Fin Sum'!AJ$18,Model!$B$4:$EX$4,FALSE),FALSE)</f>
        <v>7677.505495136882</v>
      </c>
      <c r="AK39" s="1011">
        <f ca="1">+VLOOKUP($AM39,Model!$B:$EX,MATCH('Fin Sum'!AK$18,Model!$B$4:$EX$4,FALSE),FALSE)</f>
        <v>8096.274431480585</v>
      </c>
      <c r="AM39" s="1581" t="s">
        <v>418</v>
      </c>
    </row>
    <row r="40" spans="1:43" ht="11.1" customHeight="1">
      <c r="A40" s="996"/>
      <c r="B40" s="1594" t="s">
        <v>329</v>
      </c>
      <c r="C40" s="996" t="s">
        <v>684</v>
      </c>
      <c r="J40" s="1591"/>
      <c r="K40" s="1591"/>
      <c r="L40" s="1591"/>
      <c r="M40" s="1591"/>
      <c r="N40" s="1591">
        <f ca="1">+VLOOKUP($B40,Model!$B:$EX,MATCH('Fin Sum'!N$3,Model!$B$4:$EX$4,FALSE),FALSE)</f>
        <v>1.9282871786062044</v>
      </c>
      <c r="O40" s="1591">
        <f ca="1">+VLOOKUP($B40,Model!$B:$EX,MATCH('Fin Sum'!O$3,Model!$B$4:$EX$4,FALSE),FALSE)</f>
        <v>2.0753675966573089</v>
      </c>
      <c r="P40" s="1591">
        <f ca="1">+VLOOKUP($B40,Model!$B:$EX,MATCH('Fin Sum'!P$3,Model!$B$4:$EX$4,FALSE),FALSE)</f>
        <v>2.1239565746360896</v>
      </c>
      <c r="Q40" s="1591">
        <f ca="1">+VLOOKUP($B40,Model!$B:$EX,MATCH('Fin Sum'!Q$3,Model!$B$4:$EX$4,FALSE),FALSE)</f>
        <v>1.1929722969518888</v>
      </c>
      <c r="R40" s="1591">
        <f ca="1">+VLOOKUP($B40,Model!$B:$EX,MATCH('Fin Sum'!R$3,Model!$B$4:$EX$4,FALSE),FALSE)</f>
        <v>2.2597241235465786</v>
      </c>
      <c r="S40" s="1591">
        <f ca="1">+VLOOKUP($B40,Model!$B:$EX,MATCH('Fin Sum'!S$3,Model!$B$4:$EX$4,FALSE),FALSE)</f>
        <v>2.2741683841795162</v>
      </c>
      <c r="T40" s="996"/>
      <c r="U40" s="1645" t="s">
        <v>183</v>
      </c>
      <c r="V40" s="1645"/>
      <c r="W40" s="1647">
        <f t="shared" ref="W40:AE40" si="21">IF(W41&lt;&gt;"",W41-SUM(W37:W39),"")</f>
        <v>1</v>
      </c>
      <c r="X40" s="1647">
        <f t="shared" si="21"/>
        <v>23</v>
      </c>
      <c r="Y40" s="1647">
        <f t="shared" si="21"/>
        <v>2.1999999999998181</v>
      </c>
      <c r="Z40" s="1647">
        <f t="shared" si="21"/>
        <v>11.399999999999636</v>
      </c>
      <c r="AA40" s="1647">
        <f t="shared" si="21"/>
        <v>8.1999999999998181</v>
      </c>
      <c r="AB40" s="1647">
        <f t="shared" si="21"/>
        <v>21.800000000000182</v>
      </c>
      <c r="AC40" s="1647">
        <f t="shared" si="21"/>
        <v>38.399999999999636</v>
      </c>
      <c r="AD40" s="1646">
        <f t="shared" si="21"/>
        <v>89.100000000000364</v>
      </c>
      <c r="AE40" s="1646">
        <f t="shared" si="21"/>
        <v>34.099999999998545</v>
      </c>
      <c r="AF40" s="1646">
        <f t="shared" ref="AF40:AK40" ca="1" si="22">IF(AF41&lt;&gt;"",AF41-SUM(AF37:AF39),"")</f>
        <v>40</v>
      </c>
      <c r="AG40" s="1646">
        <f t="shared" ca="1" si="22"/>
        <v>252</v>
      </c>
      <c r="AH40" s="1646">
        <f t="shared" ca="1" si="22"/>
        <v>86</v>
      </c>
      <c r="AI40" s="1646">
        <f t="shared" ca="1" si="22"/>
        <v>133</v>
      </c>
      <c r="AJ40" s="1646">
        <f t="shared" ca="1" si="22"/>
        <v>133</v>
      </c>
      <c r="AK40" s="1646">
        <f t="shared" ca="1" si="22"/>
        <v>133</v>
      </c>
      <c r="AN40" s="1587"/>
      <c r="AO40" s="1014"/>
    </row>
    <row r="41" spans="1:43" ht="11.1" customHeight="1">
      <c r="A41" s="996"/>
      <c r="B41" s="1594" t="s">
        <v>90</v>
      </c>
      <c r="C41" s="996" t="s">
        <v>384</v>
      </c>
      <c r="J41" s="1591"/>
      <c r="K41" s="1591"/>
      <c r="L41" s="1590"/>
      <c r="M41" s="1590"/>
      <c r="N41" s="1590">
        <f ca="1">+VLOOKUP($B41,Model!$B:$EX,MATCH('Fin Sum'!N$3,Model!$B$4:$EX$4,FALSE),FALSE)</f>
        <v>10679</v>
      </c>
      <c r="O41" s="1590">
        <f ca="1">+VLOOKUP($B41,Model!$B:$EX,MATCH('Fin Sum'!O$3,Model!$B$4:$EX$4,FALSE),FALSE)</f>
        <v>10526</v>
      </c>
      <c r="P41" s="1590">
        <f ca="1">+VLOOKUP($B41,Model!$B:$EX,MATCH('Fin Sum'!P$3,Model!$B$4:$EX$4,FALSE),FALSE)</f>
        <v>9341</v>
      </c>
      <c r="Q41" s="1590">
        <f ca="1">+VLOOKUP($B41,Model!$B:$EX,MATCH('Fin Sum'!Q$3,Model!$B$4:$EX$4,FALSE),FALSE)</f>
        <v>9444.1551956106159</v>
      </c>
      <c r="R41" s="1590">
        <f ca="1">+VLOOKUP($B41,Model!$B:$EX,MATCH('Fin Sum'!R$3,Model!$B$4:$EX$4,FALSE),FALSE)</f>
        <v>9098.7331472943515</v>
      </c>
      <c r="S41" s="1590">
        <f ca="1">+VLOOKUP($B41,Model!$B:$EX,MATCH('Fin Sum'!S$3,Model!$B$4:$EX$4,FALSE),FALSE)</f>
        <v>8621.8141708771764</v>
      </c>
      <c r="T41" s="996"/>
      <c r="U41" s="1628" t="s">
        <v>595</v>
      </c>
      <c r="V41" s="1628"/>
      <c r="W41" s="1629">
        <f>Model!CP242</f>
        <v>3207.6</v>
      </c>
      <c r="X41" s="1629">
        <f>Model!CS242</f>
        <v>3339.1</v>
      </c>
      <c r="Y41" s="1629">
        <f>Model!CV242</f>
        <v>3818</v>
      </c>
      <c r="Z41" s="1629">
        <f>Model!CY242</f>
        <v>4602.1000000000004</v>
      </c>
      <c r="AA41" s="1629">
        <f>Model!DB242</f>
        <v>4993.7</v>
      </c>
      <c r="AB41" s="1629">
        <f>Model!DE242</f>
        <v>5540.1</v>
      </c>
      <c r="AC41" s="1629">
        <f>Model!DH242</f>
        <v>6446.19</v>
      </c>
      <c r="AD41" s="1635">
        <f>Model!DK242</f>
        <v>7389.7000000000007</v>
      </c>
      <c r="AE41" s="1635">
        <f>Model!DN242</f>
        <v>16460.699999999997</v>
      </c>
      <c r="AF41" s="1635">
        <f ca="1">+VLOOKUP($AM41,Model!$B:$EX,MATCH('Fin Sum'!AF$18,Model!$B$4:$EX$4,FALSE),FALSE)</f>
        <v>9259</v>
      </c>
      <c r="AG41" s="1635">
        <f ca="1">+VLOOKUP($AM41,Model!$B:$EX,MATCH('Fin Sum'!AG$18,Model!$B$4:$EX$4,FALSE),FALSE)</f>
        <v>10768</v>
      </c>
      <c r="AH41" s="1635">
        <f ca="1">+VLOOKUP($AM41,Model!$B:$EX,MATCH('Fin Sum'!AH$18,Model!$B$4:$EX$4,FALSE),FALSE)</f>
        <v>11850</v>
      </c>
      <c r="AI41" s="1635">
        <f ca="1">+VLOOKUP($AM41,Model!$B:$EX,MATCH('Fin Sum'!AI$18,Model!$B$4:$EX$4,FALSE),FALSE)</f>
        <v>12658.927642012746</v>
      </c>
      <c r="AJ41" s="1635">
        <f ca="1">+VLOOKUP($AM41,Model!$B:$EX,MATCH('Fin Sum'!AJ$18,Model!$B$4:$EX$4,FALSE),FALSE)</f>
        <v>13604.793269448141</v>
      </c>
      <c r="AK41" s="1635">
        <f ca="1">+VLOOKUP($AM41,Model!$B:$EX,MATCH('Fin Sum'!AK$18,Model!$B$4:$EX$4,FALSE),FALSE)</f>
        <v>14705.298504487091</v>
      </c>
      <c r="AM41" s="1581" t="s">
        <v>168</v>
      </c>
      <c r="AQ41" s="1013"/>
    </row>
    <row r="42" spans="1:43" ht="11.1" customHeight="1">
      <c r="A42" s="996"/>
      <c r="B42" s="1594" t="s">
        <v>394</v>
      </c>
      <c r="C42" s="996" t="s">
        <v>259</v>
      </c>
      <c r="J42" s="1602"/>
      <c r="K42" s="1602"/>
      <c r="L42" s="1592"/>
      <c r="M42" s="1592"/>
      <c r="N42" s="1592">
        <f ca="1">+VLOOKUP($B42,Model!$B:$EX,MATCH('Fin Sum'!N$3,Model!$B$4:$EX$4,FALSE),FALSE)</f>
        <v>0.40684790203972981</v>
      </c>
      <c r="O42" s="1592">
        <f ca="1">+VLOOKUP($B42,Model!$B:$EX,MATCH('Fin Sum'!O$3,Model!$B$4:$EX$4,FALSE),FALSE)</f>
        <v>0.38573328267477203</v>
      </c>
      <c r="P42" s="1592">
        <f ca="1">+VLOOKUP($B42,Model!$B:$EX,MATCH('Fin Sum'!P$3,Model!$B$4:$EX$4,FALSE),FALSE)</f>
        <v>0.34943017778453123</v>
      </c>
      <c r="Q42" s="1592">
        <f ca="1">+VLOOKUP($B42,Model!$B:$EX,MATCH('Fin Sum'!Q$3,Model!$B$4:$EX$4,FALSE),FALSE)</f>
        <v>0.34792932945896426</v>
      </c>
      <c r="R42" s="1592">
        <f ca="1">+VLOOKUP($B42,Model!$B:$EX,MATCH('Fin Sum'!R$3,Model!$B$4:$EX$4,FALSE),FALSE)</f>
        <v>0.33445732167883219</v>
      </c>
      <c r="S42" s="1592">
        <f ca="1">+VLOOKUP($B42,Model!$B:$EX,MATCH('Fin Sum'!S$3,Model!$B$4:$EX$4,FALSE),FALSE)</f>
        <v>0.319125860778254</v>
      </c>
      <c r="T42" s="996"/>
      <c r="U42" s="996" t="s">
        <v>173</v>
      </c>
      <c r="V42" s="996"/>
      <c r="W42" s="1595">
        <f>Model!CP245</f>
        <v>1831</v>
      </c>
      <c r="X42" s="1595">
        <f>Model!CS245</f>
        <v>1841.3</v>
      </c>
      <c r="Y42" s="1595">
        <f>Model!CV245</f>
        <v>2389.6</v>
      </c>
      <c r="Z42" s="1595">
        <f>Model!CY245</f>
        <v>2942.7</v>
      </c>
      <c r="AA42" s="1595">
        <f>Model!DB245</f>
        <v>3551.4</v>
      </c>
      <c r="AB42" s="1595">
        <f>Model!DE245</f>
        <v>4484.3</v>
      </c>
      <c r="AC42" s="1595">
        <f>Model!DH245</f>
        <v>6305.4</v>
      </c>
      <c r="AD42" s="1011">
        <f>Model!DK245</f>
        <v>7536</v>
      </c>
      <c r="AE42" s="1011">
        <f>Model!DN245</f>
        <v>8308.6</v>
      </c>
      <c r="AF42" s="1011">
        <f ca="1">+VLOOKUP($AM42,Model!$B:$EX,MATCH('Fin Sum'!AF$18,Model!$B$4:$EX$4,FALSE),FALSE)</f>
        <v>9352</v>
      </c>
      <c r="AG42" s="1011">
        <f ca="1">+VLOOKUP($AM42,Model!$B:$EX,MATCH('Fin Sum'!AG$18,Model!$B$4:$EX$4,FALSE),FALSE)</f>
        <v>9658</v>
      </c>
      <c r="AH42" s="1011">
        <f ca="1">+VLOOKUP($AM42,Model!$B:$EX,MATCH('Fin Sum'!AH$18,Model!$B$4:$EX$4,FALSE),FALSE)</f>
        <v>9797</v>
      </c>
      <c r="AI42" s="1011">
        <f ca="1">+VLOOKUP($AM42,Model!$B:$EX,MATCH('Fin Sum'!AI$18,Model!$B$4:$EX$4,FALSE),FALSE)</f>
        <v>9521.6172259852574</v>
      </c>
      <c r="AJ42" s="1011">
        <f ca="1">+VLOOKUP($AM42,Model!$B:$EX,MATCH('Fin Sum'!AJ$18,Model!$B$4:$EX$4,FALSE),FALSE)</f>
        <v>9800.8562596785923</v>
      </c>
      <c r="AK42" s="1011">
        <f ca="1">+VLOOKUP($AM42,Model!$B:$EX,MATCH('Fin Sum'!AK$18,Model!$B$4:$EX$4,FALSE),FALSE)</f>
        <v>10224.690022037781</v>
      </c>
      <c r="AM42" s="1581" t="s">
        <v>675</v>
      </c>
      <c r="AN42" s="1588"/>
      <c r="AO42" s="1012"/>
    </row>
    <row r="43" spans="1:43" ht="11.1" customHeight="1">
      <c r="A43" s="996"/>
      <c r="B43" s="1594"/>
      <c r="C43" s="996" t="s">
        <v>260</v>
      </c>
      <c r="J43" s="1602"/>
      <c r="K43" s="1602"/>
      <c r="L43" s="1592"/>
      <c r="M43" s="1592"/>
      <c r="N43" s="1592">
        <f t="shared" ref="N43:S43" ca="1" si="23">N41/AF56</f>
        <v>0.67648549347523124</v>
      </c>
      <c r="O43" s="1592">
        <f t="shared" ca="1" si="23"/>
        <v>0.60623164199735069</v>
      </c>
      <c r="P43" s="1592">
        <f t="shared" ca="1" si="23"/>
        <v>0.48311352469614688</v>
      </c>
      <c r="Q43" s="1592">
        <f t="shared" ca="1" si="23"/>
        <v>0.49783114610210794</v>
      </c>
      <c r="R43" s="1592">
        <f t="shared" ca="1" si="23"/>
        <v>0.45364348120604053</v>
      </c>
      <c r="S43" s="1592">
        <f t="shared" ca="1" si="23"/>
        <v>0.40193530943095879</v>
      </c>
      <c r="T43" s="996"/>
      <c r="U43" s="996" t="s">
        <v>561</v>
      </c>
      <c r="V43" s="996"/>
      <c r="W43" s="1595" t="str">
        <f>Model!CP248</f>
        <v/>
      </c>
      <c r="X43" s="1595">
        <f>Model!CS248</f>
        <v>0</v>
      </c>
      <c r="Y43" s="1595" t="str">
        <f>Model!CV248</f>
        <v/>
      </c>
      <c r="Z43" s="1595" t="str">
        <f>Model!CY248</f>
        <v/>
      </c>
      <c r="AA43" s="1595">
        <f>Model!DB248</f>
        <v>0</v>
      </c>
      <c r="AB43" s="1595" t="str">
        <f>Model!DE248</f>
        <v/>
      </c>
      <c r="AC43" s="1595" t="str">
        <f>Model!DH248</f>
        <v/>
      </c>
      <c r="AD43" s="1011" t="str">
        <f>Model!DK248</f>
        <v/>
      </c>
      <c r="AE43" s="1011" t="str">
        <f>Model!DN248</f>
        <v/>
      </c>
      <c r="AF43" s="1011" t="str">
        <f ca="1">+VLOOKUP($AM43,Model!$B:$EX,MATCH('Fin Sum'!AF$18,Model!$B$4:$EX$4,FALSE),FALSE)</f>
        <v/>
      </c>
      <c r="AG43" s="1011" t="str">
        <f ca="1">+VLOOKUP($AM43,Model!$B:$EX,MATCH('Fin Sum'!AG$18,Model!$B$4:$EX$4,FALSE),FALSE)</f>
        <v/>
      </c>
      <c r="AH43" s="1011">
        <f ca="1">+VLOOKUP($AM43,Model!$B:$EX,MATCH('Fin Sum'!AH$18,Model!$B$4:$EX$4,FALSE),FALSE)</f>
        <v>0</v>
      </c>
      <c r="AI43" s="1011">
        <f ca="1">+VLOOKUP($AM43,Model!$B:$EX,MATCH('Fin Sum'!AI$18,Model!$B$4:$EX$4,FALSE),FALSE)</f>
        <v>0</v>
      </c>
      <c r="AJ43" s="1011">
        <f ca="1">+VLOOKUP($AM43,Model!$B:$EX,MATCH('Fin Sum'!AJ$18,Model!$B$4:$EX$4,FALSE),FALSE)</f>
        <v>0</v>
      </c>
      <c r="AK43" s="1011">
        <f ca="1">+VLOOKUP($AM43,Model!$B:$EX,MATCH('Fin Sum'!AK$18,Model!$B$4:$EX$4,FALSE),FALSE)</f>
        <v>0</v>
      </c>
      <c r="AM43" s="1581" t="s">
        <v>20</v>
      </c>
      <c r="AO43" s="1014"/>
      <c r="AQ43" s="1014"/>
    </row>
    <row r="44" spans="1:43" ht="11.1" customHeight="1">
      <c r="A44" s="996"/>
      <c r="B44" s="1594"/>
      <c r="C44" s="996" t="s">
        <v>486</v>
      </c>
      <c r="J44" s="1591"/>
      <c r="K44" s="1591"/>
      <c r="L44" s="1590"/>
      <c r="M44" s="1590"/>
      <c r="N44" s="1590">
        <f t="shared" ref="N44:S44" ca="1" si="24">N26/N28</f>
        <v>9.0007789551534589</v>
      </c>
      <c r="O44" s="1590">
        <f t="shared" ca="1" si="24"/>
        <v>9.6039519678833951</v>
      </c>
      <c r="P44" s="1590">
        <f t="shared" ca="1" si="24"/>
        <v>10.897560975609757</v>
      </c>
      <c r="Q44" s="1590">
        <f t="shared" ca="1" si="24"/>
        <v>12.435440398571361</v>
      </c>
      <c r="R44" s="1590">
        <f t="shared" ca="1" si="24"/>
        <v>13.301520845459168</v>
      </c>
      <c r="S44" s="1590">
        <f t="shared" ca="1" si="24"/>
        <v>14.649651070153833</v>
      </c>
      <c r="T44" s="996"/>
      <c r="U44" s="996" t="s">
        <v>559</v>
      </c>
      <c r="V44" s="996"/>
      <c r="W44" s="1595">
        <f>Model!CP251</f>
        <v>924.1</v>
      </c>
      <c r="X44" s="1595">
        <f>Model!CS251</f>
        <v>926.9</v>
      </c>
      <c r="Y44" s="1595">
        <f>Model!CV251</f>
        <v>942.6</v>
      </c>
      <c r="Z44" s="1595">
        <f>Model!CY251</f>
        <v>1055.4000000000001</v>
      </c>
      <c r="AA44" s="1595">
        <f>Model!DB251</f>
        <v>1802.5</v>
      </c>
      <c r="AB44" s="1595">
        <f>Model!DE251</f>
        <v>1878.3</v>
      </c>
      <c r="AC44" s="1595">
        <f>Model!DH251</f>
        <v>2140.1999999999998</v>
      </c>
      <c r="AD44" s="1011">
        <f>Model!DK251</f>
        <v>2669.7</v>
      </c>
      <c r="AE44" s="1011">
        <f>Model!DN251</f>
        <v>2638.1</v>
      </c>
      <c r="AF44" s="1011">
        <f ca="1">+VLOOKUP($AM44,Model!$B:$EX,MATCH('Fin Sum'!AF$18,Model!$B$4:$EX$4,FALSE),FALSE)</f>
        <v>16446</v>
      </c>
      <c r="AG44" s="1011">
        <f ca="1">+VLOOKUP($AM44,Model!$B:$EX,MATCH('Fin Sum'!AG$18,Model!$B$4:$EX$4,FALSE),FALSE)</f>
        <v>16346</v>
      </c>
      <c r="AH44" s="1011">
        <f ca="1">+VLOOKUP($AM44,Model!$B:$EX,MATCH('Fin Sum'!AH$18,Model!$B$4:$EX$4,FALSE),FALSE)</f>
        <v>16185</v>
      </c>
      <c r="AI44" s="1011">
        <f ca="1">+VLOOKUP($AM44,Model!$B:$EX,MATCH('Fin Sum'!AI$18,Model!$B$4:$EX$4,FALSE),FALSE)</f>
        <v>15199</v>
      </c>
      <c r="AJ44" s="1011">
        <f ca="1">+VLOOKUP($AM44,Model!$B:$EX,MATCH('Fin Sum'!AJ$18,Model!$B$4:$EX$4,FALSE),FALSE)</f>
        <v>15437</v>
      </c>
      <c r="AK44" s="1011">
        <f ca="1">+VLOOKUP($AM44,Model!$B:$EX,MATCH('Fin Sum'!AK$18,Model!$B$4:$EX$4,FALSE),FALSE)</f>
        <v>15690</v>
      </c>
      <c r="AM44" s="1581" t="s">
        <v>998</v>
      </c>
      <c r="AN44" s="995"/>
      <c r="AO44" s="1014"/>
      <c r="AQ44" s="1014"/>
    </row>
    <row r="45" spans="1:43" ht="11.1" customHeight="1">
      <c r="A45" s="996"/>
      <c r="B45" s="995"/>
      <c r="T45" s="996"/>
      <c r="U45" s="996" t="s">
        <v>694</v>
      </c>
      <c r="V45" s="996"/>
      <c r="W45" s="1612">
        <f>Model!CP252+Model!CP253</f>
        <v>6.7</v>
      </c>
      <c r="X45" s="1595">
        <f>Model!CS252+Model!CS253</f>
        <v>7.6</v>
      </c>
      <c r="Y45" s="1595">
        <f>Model!CV252+Model!CV253</f>
        <v>5</v>
      </c>
      <c r="Z45" s="1595">
        <f>Model!CY252+Model!CY253</f>
        <v>5.6</v>
      </c>
      <c r="AA45" s="1595">
        <f>Model!DB252+Model!DB253</f>
        <v>4.0999999999999996</v>
      </c>
      <c r="AB45" s="1595">
        <f>Model!DE252+Model!DE253</f>
        <v>1.5</v>
      </c>
      <c r="AC45" s="1595">
        <f>Model!DH252+Model!DH253</f>
        <v>0</v>
      </c>
      <c r="AD45" s="1011">
        <f>Model!DK252+Model!DK253</f>
        <v>0</v>
      </c>
      <c r="AE45" s="1011">
        <v>0</v>
      </c>
      <c r="AF45" s="1011">
        <f ca="1">+VLOOKUP($AM45,Model!$B:$EX,MATCH('Fin Sum'!AF$18,Model!$B$4:$EX$4,FALSE),FALSE)+VLOOKUP($AN45,Model!$B:$EX,MATCH('Fin Sum'!AF$18,Model!$B$4:$EX$4,FALSE),FALSE)</f>
        <v>0</v>
      </c>
      <c r="AG45" s="1011">
        <f ca="1">+VLOOKUP($AM45,Model!$B:$EX,MATCH('Fin Sum'!AG$18,Model!$B$4:$EX$4,FALSE),FALSE)+VLOOKUP($AN45,Model!$B:$EX,MATCH('Fin Sum'!AG$18,Model!$B$4:$EX$4,FALSE),FALSE)</f>
        <v>0</v>
      </c>
      <c r="AH45" s="1011">
        <f ca="1">+VLOOKUP($AM45,Model!$B:$EX,MATCH('Fin Sum'!AH$18,Model!$B$4:$EX$4,FALSE),FALSE)+VLOOKUP($AN45,Model!$B:$EX,MATCH('Fin Sum'!AH$18,Model!$B$4:$EX$4,FALSE),FALSE)</f>
        <v>0</v>
      </c>
      <c r="AI45" s="1011">
        <f ca="1">+VLOOKUP($AM45,Model!$B:$EX,MATCH('Fin Sum'!AI$18,Model!$B$4:$EX$4,FALSE),FALSE)+VLOOKUP($AN45,Model!$B:$EX,MATCH('Fin Sum'!AI$18,Model!$B$4:$EX$4,FALSE),FALSE)</f>
        <v>0</v>
      </c>
      <c r="AJ45" s="1011">
        <f ca="1">+VLOOKUP($AM45,Model!$B:$EX,MATCH('Fin Sum'!AJ$18,Model!$B$4:$EX$4,FALSE),FALSE)+VLOOKUP($AN45,Model!$B:$EX,MATCH('Fin Sum'!AJ$18,Model!$B$4:$EX$4,FALSE),FALSE)</f>
        <v>0</v>
      </c>
      <c r="AK45" s="1011">
        <f ca="1">+VLOOKUP($AM45,Model!$B:$EX,MATCH('Fin Sum'!AK$18,Model!$B$4:$EX$4,FALSE),FALSE)+VLOOKUP($AN45,Model!$B:$EX,MATCH('Fin Sum'!AK$18,Model!$B$4:$EX$4,FALSE),FALSE)</f>
        <v>0</v>
      </c>
      <c r="AM45" s="1581" t="s">
        <v>23</v>
      </c>
      <c r="AN45" s="1581" t="s">
        <v>24</v>
      </c>
      <c r="AQ45" s="1014"/>
    </row>
    <row r="46" spans="1:43" ht="11.1" customHeight="1">
      <c r="A46" s="996"/>
      <c r="B46" s="1594"/>
      <c r="C46" s="1624" t="s">
        <v>1021</v>
      </c>
      <c r="D46" s="1625"/>
      <c r="E46" s="1626"/>
      <c r="F46" s="1626"/>
      <c r="G46" s="1626"/>
      <c r="H46" s="1626"/>
      <c r="I46" s="1626"/>
      <c r="J46" s="1626"/>
      <c r="K46" s="1626"/>
      <c r="L46" s="1626"/>
      <c r="M46" s="1579"/>
      <c r="N46" s="1579" t="str">
        <f t="shared" ref="N46:S46" si="25">+N$36</f>
        <v>2023</v>
      </c>
      <c r="O46" s="1579" t="str">
        <f t="shared" si="25"/>
        <v>2024</v>
      </c>
      <c r="P46" s="1579" t="str">
        <f t="shared" si="25"/>
        <v>2025</v>
      </c>
      <c r="Q46" s="1579" t="str">
        <f t="shared" si="25"/>
        <v>2026E</v>
      </c>
      <c r="R46" s="1579" t="str">
        <f t="shared" si="25"/>
        <v>2027E</v>
      </c>
      <c r="S46" s="1579" t="str">
        <f t="shared" si="25"/>
        <v>2028E</v>
      </c>
      <c r="T46" s="996"/>
      <c r="U46" s="1645" t="s">
        <v>183</v>
      </c>
      <c r="V46" s="1645"/>
      <c r="W46" s="1665">
        <f t="shared" ref="W46:AE46" si="26">IF(W47&lt;&gt;"",W47-SUM(W42:W45),"")</f>
        <v>308.30000000000018</v>
      </c>
      <c r="X46" s="1647">
        <f t="shared" si="26"/>
        <v>286.10000000000036</v>
      </c>
      <c r="Y46" s="1647">
        <f t="shared" si="26"/>
        <v>407.5</v>
      </c>
      <c r="Z46" s="1647">
        <f t="shared" si="26"/>
        <v>516.89999999999964</v>
      </c>
      <c r="AA46" s="1647">
        <f t="shared" si="26"/>
        <v>422.80000000000018</v>
      </c>
      <c r="AB46" s="1647">
        <f t="shared" si="26"/>
        <v>410.20000000000073</v>
      </c>
      <c r="AC46" s="1647">
        <f t="shared" si="26"/>
        <v>572.90000000000146</v>
      </c>
      <c r="AD46" s="1646">
        <f t="shared" si="26"/>
        <v>561.49999999999818</v>
      </c>
      <c r="AE46" s="1646">
        <f t="shared" si="26"/>
        <v>938.59999999999854</v>
      </c>
      <c r="AF46" s="1646">
        <f t="shared" ref="AF46:AK46" ca="1" si="27">IF(AF47&lt;&gt;"",AF47-SUM(AF42:AF45),"")</f>
        <v>1177</v>
      </c>
      <c r="AG46" s="1646">
        <f t="shared" ca="1" si="27"/>
        <v>1250</v>
      </c>
      <c r="AH46" s="1646">
        <f t="shared" ca="1" si="27"/>
        <v>1572</v>
      </c>
      <c r="AI46" s="1646">
        <f t="shared" ca="1" si="27"/>
        <v>1635</v>
      </c>
      <c r="AJ46" s="1646">
        <f t="shared" ca="1" si="27"/>
        <v>1635</v>
      </c>
      <c r="AK46" s="1646">
        <f t="shared" ca="1" si="27"/>
        <v>1635</v>
      </c>
    </row>
    <row r="47" spans="1:43" ht="11.1" customHeight="1">
      <c r="A47" s="996"/>
      <c r="B47" s="1594" t="s">
        <v>971</v>
      </c>
      <c r="C47" s="996" t="str">
        <f>Segment!C6</f>
        <v>CSL Behring</v>
      </c>
      <c r="D47" s="1595"/>
      <c r="E47" s="1595"/>
      <c r="F47" s="1595"/>
      <c r="G47" s="1595"/>
      <c r="H47" s="1595"/>
      <c r="I47" s="1595"/>
      <c r="J47" s="1595"/>
      <c r="K47" s="1595"/>
      <c r="L47" s="1011"/>
      <c r="M47" s="1011"/>
      <c r="N47" s="1011">
        <f>+VLOOKUP($B47,Segment!$1:$1048576,MATCH('Fin Sum'!N$3,Segment!$4:$4,FALSE),FALSE)</f>
        <v>9290</v>
      </c>
      <c r="O47" s="1011">
        <f>+VLOOKUP($B47,Segment!$1:$1048576,MATCH('Fin Sum'!O$3,Segment!$4:$4,FALSE),FALSE)</f>
        <v>10608</v>
      </c>
      <c r="P47" s="1011">
        <f>+VLOOKUP($B47,Segment!$1:$1048576,MATCH('Fin Sum'!P$3,Segment!$4:$4,FALSE),FALSE)</f>
        <v>11158</v>
      </c>
      <c r="Q47" s="1011">
        <f>+VLOOKUP($B47,Segment!$1:$1048576,MATCH('Fin Sum'!Q$3,Segment!$4:$4,FALSE),FALSE)</f>
        <v>11568.219666169662</v>
      </c>
      <c r="R47" s="1011">
        <f>+VLOOKUP($B47,Segment!$1:$1048576,MATCH('Fin Sum'!R$3,Segment!$4:$4,FALSE),FALSE)</f>
        <v>12456.194868269364</v>
      </c>
      <c r="S47" s="1011">
        <f>+VLOOKUP($B47,Segment!$1:$1048576,MATCH('Fin Sum'!S$3,Segment!$4:$4,FALSE),FALSE)</f>
        <v>13324.628093721585</v>
      </c>
      <c r="T47" s="996"/>
      <c r="U47" s="1666" t="s">
        <v>408</v>
      </c>
      <c r="V47" s="1666"/>
      <c r="W47" s="1667">
        <f>Model!CP260</f>
        <v>3070.1</v>
      </c>
      <c r="X47" s="1667">
        <f>Model!CS260</f>
        <v>3061.9</v>
      </c>
      <c r="Y47" s="1667">
        <f>Model!CV260</f>
        <v>3744.7</v>
      </c>
      <c r="Z47" s="1667">
        <f>Model!CY260</f>
        <v>4520.5999999999995</v>
      </c>
      <c r="AA47" s="1667">
        <f>Model!DB260</f>
        <v>5780.8</v>
      </c>
      <c r="AB47" s="1667">
        <f>Model!DE260</f>
        <v>6774.3000000000011</v>
      </c>
      <c r="AC47" s="1667">
        <f>Model!DH260</f>
        <v>9018.5</v>
      </c>
      <c r="AD47" s="1668">
        <f>Model!DK260</f>
        <v>10767.199999999999</v>
      </c>
      <c r="AE47" s="1668">
        <f>Model!DN260</f>
        <v>11885.3</v>
      </c>
      <c r="AF47" s="1668">
        <f ca="1">+VLOOKUP($AM47,Model!$B:$EX,MATCH('Fin Sum'!AF$18,Model!$B$4:$EX$4,FALSE),FALSE)</f>
        <v>26975</v>
      </c>
      <c r="AG47" s="1668">
        <f ca="1">+VLOOKUP($AM47,Model!$B:$EX,MATCH('Fin Sum'!AG$18,Model!$B$4:$EX$4,FALSE),FALSE)</f>
        <v>27254</v>
      </c>
      <c r="AH47" s="1668">
        <f ca="1">+VLOOKUP($AM47,Model!$B:$EX,MATCH('Fin Sum'!AH$18,Model!$B$4:$EX$4,FALSE),FALSE)</f>
        <v>27554</v>
      </c>
      <c r="AI47" s="1668">
        <f ca="1">+VLOOKUP($AM47,Model!$B:$EX,MATCH('Fin Sum'!AI$18,Model!$B$4:$EX$4,FALSE),FALSE)</f>
        <v>26355.617225985257</v>
      </c>
      <c r="AJ47" s="1668">
        <f ca="1">+VLOOKUP($AM47,Model!$B:$EX,MATCH('Fin Sum'!AJ$18,Model!$B$4:$EX$4,FALSE),FALSE)</f>
        <v>26872.856259678592</v>
      </c>
      <c r="AK47" s="1668">
        <f ca="1">+VLOOKUP($AM47,Model!$B:$EX,MATCH('Fin Sum'!AK$18,Model!$B$4:$EX$4,FALSE),FALSE)</f>
        <v>27549.690022037779</v>
      </c>
      <c r="AM47" s="1581" t="s">
        <v>489</v>
      </c>
      <c r="AO47" s="1014"/>
      <c r="AP47" s="1014"/>
      <c r="AQ47" s="1014"/>
    </row>
    <row r="48" spans="1:43" ht="11.1" customHeight="1">
      <c r="A48" s="996"/>
      <c r="B48" s="1594" t="s">
        <v>990</v>
      </c>
      <c r="C48" s="1603" t="s">
        <v>1006</v>
      </c>
      <c r="D48" s="1601"/>
      <c r="E48" s="1601"/>
      <c r="F48" s="1601"/>
      <c r="G48" s="1601"/>
      <c r="H48" s="1601"/>
      <c r="I48" s="1601"/>
      <c r="J48" s="1602"/>
      <c r="K48" s="1602"/>
      <c r="L48" s="1592"/>
      <c r="M48" s="1592"/>
      <c r="N48" s="1615" t="e">
        <f t="shared" ref="N48:S48" si="28">N47/M47-1</f>
        <v>#DIV/0!</v>
      </c>
      <c r="O48" s="1615">
        <f t="shared" si="28"/>
        <v>0.14187298170075358</v>
      </c>
      <c r="P48" s="1615">
        <f t="shared" si="28"/>
        <v>5.1847662141779827E-2</v>
      </c>
      <c r="Q48" s="1615">
        <f t="shared" si="28"/>
        <v>3.6764623245174821E-2</v>
      </c>
      <c r="R48" s="1615">
        <f t="shared" si="28"/>
        <v>7.6759884210749751E-2</v>
      </c>
      <c r="S48" s="1615">
        <f t="shared" si="28"/>
        <v>6.9718981971328198E-2</v>
      </c>
      <c r="T48" s="996"/>
      <c r="U48" s="1636" t="s">
        <v>306</v>
      </c>
      <c r="V48" s="1636"/>
      <c r="W48" s="1650">
        <f t="shared" ref="W48:AE48" si="29">W47+W41</f>
        <v>6277.7</v>
      </c>
      <c r="X48" s="1650">
        <f t="shared" si="29"/>
        <v>6401</v>
      </c>
      <c r="Y48" s="1650">
        <f t="shared" si="29"/>
        <v>7562.7</v>
      </c>
      <c r="Z48" s="1650">
        <f t="shared" si="29"/>
        <v>9122.7000000000007</v>
      </c>
      <c r="AA48" s="1650">
        <f t="shared" si="29"/>
        <v>10774.5</v>
      </c>
      <c r="AB48" s="1650">
        <f t="shared" si="29"/>
        <v>12314.400000000001</v>
      </c>
      <c r="AC48" s="1650">
        <f t="shared" si="29"/>
        <v>15464.689999999999</v>
      </c>
      <c r="AD48" s="1640">
        <f t="shared" si="29"/>
        <v>18156.900000000001</v>
      </c>
      <c r="AE48" s="1640">
        <f t="shared" si="29"/>
        <v>28345.999999999996</v>
      </c>
      <c r="AF48" s="1640">
        <f t="shared" ref="AF48:AK48" ca="1" si="30">AF47+AF41</f>
        <v>36234</v>
      </c>
      <c r="AG48" s="1640">
        <f t="shared" ca="1" si="30"/>
        <v>38022</v>
      </c>
      <c r="AH48" s="1640">
        <f t="shared" ca="1" si="30"/>
        <v>39404</v>
      </c>
      <c r="AI48" s="1640">
        <f t="shared" ca="1" si="30"/>
        <v>39014.544867998004</v>
      </c>
      <c r="AJ48" s="1640">
        <f t="shared" ca="1" si="30"/>
        <v>40477.649529126735</v>
      </c>
      <c r="AK48" s="1640">
        <f t="shared" ca="1" si="30"/>
        <v>42254.988526524874</v>
      </c>
      <c r="AP48" s="1014"/>
      <c r="AQ48" s="1014"/>
    </row>
    <row r="49" spans="1:43" ht="11.1" customHeight="1">
      <c r="A49" s="996"/>
      <c r="B49" s="1594" t="s">
        <v>974</v>
      </c>
      <c r="C49" s="1661" t="s">
        <v>1016</v>
      </c>
      <c r="D49" s="1661"/>
      <c r="E49" s="1661"/>
      <c r="F49" s="1661"/>
      <c r="G49" s="1661"/>
      <c r="H49" s="1661"/>
      <c r="I49" s="1661"/>
      <c r="J49" s="1661"/>
      <c r="K49" s="1661"/>
      <c r="L49" s="1675"/>
      <c r="M49" s="1635"/>
      <c r="N49" s="1635">
        <f>+VLOOKUP($B49,Segment!$1:$1048576,MATCH('Fin Sum'!N$3,Segment!$4:$4,FALSE),FALSE)</f>
        <v>4561</v>
      </c>
      <c r="O49" s="1635">
        <f>+VLOOKUP($B49,Segment!$1:$1048576,MATCH('Fin Sum'!O$3,Segment!$4:$4,FALSE),FALSE)</f>
        <v>5275</v>
      </c>
      <c r="P49" s="1635">
        <f>+VLOOKUP($B49,Segment!$1:$1048576,MATCH('Fin Sum'!P$3,Segment!$4:$4,FALSE),FALSE)</f>
        <v>5641</v>
      </c>
      <c r="Q49" s="1635">
        <f>+VLOOKUP($B49,Segment!$1:$1048576,MATCH('Fin Sum'!Q$3,Segment!$4:$4,FALSE),FALSE)</f>
        <v>5859.3462724171695</v>
      </c>
      <c r="R49" s="1635">
        <f>+VLOOKUP($B49,Segment!$1:$1048576,MATCH('Fin Sum'!R$3,Segment!$4:$4,FALSE),FALSE)</f>
        <v>6511.8530024336869</v>
      </c>
      <c r="S49" s="1635">
        <f>+VLOOKUP($B49,Segment!$1:$1048576,MATCH('Fin Sum'!S$3,Segment!$4:$4,FALSE),FALSE)</f>
        <v>7163.2413429355365</v>
      </c>
      <c r="T49" s="996"/>
      <c r="U49" s="996"/>
      <c r="V49" s="996"/>
      <c r="W49" s="1595"/>
      <c r="X49" s="1595"/>
      <c r="Y49" s="1595"/>
      <c r="Z49" s="1595"/>
      <c r="AA49" s="1595"/>
      <c r="AB49" s="1595"/>
      <c r="AC49" s="1595"/>
      <c r="AD49" s="1011"/>
      <c r="AE49" s="1011"/>
      <c r="AF49" s="1011"/>
      <c r="AG49" s="1011"/>
      <c r="AH49" s="1011"/>
      <c r="AI49" s="1011"/>
      <c r="AJ49" s="1011"/>
      <c r="AK49" s="1011"/>
      <c r="AN49" s="995"/>
    </row>
    <row r="50" spans="1:43" ht="11.1" customHeight="1">
      <c r="A50" s="996"/>
      <c r="B50" s="1594"/>
      <c r="C50" s="1676" t="s">
        <v>1007</v>
      </c>
      <c r="D50" s="1677"/>
      <c r="E50" s="1677"/>
      <c r="F50" s="1677"/>
      <c r="G50" s="1677"/>
      <c r="H50" s="1677"/>
      <c r="I50" s="1677"/>
      <c r="J50" s="1678"/>
      <c r="K50" s="1678"/>
      <c r="L50" s="1679"/>
      <c r="M50" s="1679"/>
      <c r="N50" s="1680">
        <f t="shared" ref="N50:S50" si="31">N49/N47</f>
        <v>0.49095801937567279</v>
      </c>
      <c r="O50" s="1680">
        <f t="shared" si="31"/>
        <v>0.49726621417797889</v>
      </c>
      <c r="P50" s="1680">
        <f t="shared" si="31"/>
        <v>0.50555655135328914</v>
      </c>
      <c r="Q50" s="1680">
        <f t="shared" si="31"/>
        <v>0.5065037180744727</v>
      </c>
      <c r="R50" s="1680">
        <f t="shared" si="31"/>
        <v>0.52278027690637996</v>
      </c>
      <c r="S50" s="1680">
        <f t="shared" si="31"/>
        <v>0.53759409212410025</v>
      </c>
      <c r="T50" s="1595"/>
      <c r="U50" s="996" t="s">
        <v>685</v>
      </c>
      <c r="V50" s="996"/>
      <c r="W50" s="1595">
        <f>Model!CP266+Model!CP286</f>
        <v>1890.3</v>
      </c>
      <c r="X50" s="1595">
        <f>Model!CS266+Model!CS286</f>
        <v>2280.8999999999996</v>
      </c>
      <c r="Y50" s="1595">
        <f>Model!CV266+Model!CV286</f>
        <v>3143.3</v>
      </c>
      <c r="Z50" s="1595">
        <f>Model!CY266+Model!CY286</f>
        <v>3975.2</v>
      </c>
      <c r="AA50" s="1595">
        <f>Model!DB266+Model!DB286</f>
        <v>4386.3</v>
      </c>
      <c r="AB50" s="1595">
        <f>Model!DE266+Model!DE286</f>
        <v>4662.8</v>
      </c>
      <c r="AC50" s="1595">
        <f>Model!DH266+Model!DH286</f>
        <v>5992.8</v>
      </c>
      <c r="AD50" s="1011">
        <f>Model!DK266+Model!DK286</f>
        <v>5806.9000000000005</v>
      </c>
      <c r="AE50" s="1011">
        <f>Model!DN266+Model!DN286</f>
        <v>9657.7999999999993</v>
      </c>
      <c r="AF50" s="1011">
        <f ca="1">+VLOOKUP($AM50,Model!$B:$EX,MATCH('Fin Sum'!AF$18,Model!$B$4:$EX$4,FALSE),FALSE)+VLOOKUP($AN50,Model!$B:$EX,MATCH('Fin Sum'!AF$18,Model!$B$4:$EX$4,FALSE),FALSE)</f>
        <v>12227</v>
      </c>
      <c r="AG50" s="1011">
        <f ca="1">+VLOOKUP($AM50,Model!$B:$EX,MATCH('Fin Sum'!AG$18,Model!$B$4:$EX$4,FALSE),FALSE)+VLOOKUP($AN50,Model!$B:$EX,MATCH('Fin Sum'!AG$18,Model!$B$4:$EX$4,FALSE),FALSE)</f>
        <v>12183</v>
      </c>
      <c r="AH50" s="1011">
        <f ca="1">+VLOOKUP($AM50,Model!$B:$EX,MATCH('Fin Sum'!AH$18,Model!$B$4:$EX$4,FALSE),FALSE)+VLOOKUP($AN50,Model!$B:$EX,MATCH('Fin Sum'!AH$18,Model!$B$4:$EX$4,FALSE),FALSE)</f>
        <v>11498</v>
      </c>
      <c r="AI50" s="1011">
        <f ca="1">+VLOOKUP($AM50,Model!$B:$EX,MATCH('Fin Sum'!AI$18,Model!$B$4:$EX$4,FALSE),FALSE)+VLOOKUP($AN50,Model!$B:$EX,MATCH('Fin Sum'!AI$18,Model!$B$4:$EX$4,FALSE),FALSE)</f>
        <v>11138</v>
      </c>
      <c r="AJ50" s="1011">
        <f ca="1">+VLOOKUP($AM50,Model!$B:$EX,MATCH('Fin Sum'!AJ$18,Model!$B$4:$EX$4,FALSE),FALSE)+VLOOKUP($AN50,Model!$B:$EX,MATCH('Fin Sum'!AJ$18,Model!$B$4:$EX$4,FALSE),FALSE)</f>
        <v>11138</v>
      </c>
      <c r="AK50" s="1011">
        <f ca="1">+VLOOKUP($AM50,Model!$B:$EX,MATCH('Fin Sum'!AK$18,Model!$B$4:$EX$4,FALSE),FALSE)+VLOOKUP($AN50,Model!$B:$EX,MATCH('Fin Sum'!AK$18,Model!$B$4:$EX$4,FALSE),FALSE)</f>
        <v>11138</v>
      </c>
      <c r="AM50" s="1581" t="s">
        <v>493</v>
      </c>
      <c r="AN50" s="1589" t="s">
        <v>163</v>
      </c>
      <c r="AO50" s="1014"/>
    </row>
    <row r="51" spans="1:43" ht="11.1" customHeight="1">
      <c r="A51" s="996"/>
      <c r="B51" s="1594" t="s">
        <v>972</v>
      </c>
      <c r="C51" s="996" t="s">
        <v>767</v>
      </c>
      <c r="D51" s="1595"/>
      <c r="E51" s="1595"/>
      <c r="F51" s="1595"/>
      <c r="G51" s="1595"/>
      <c r="H51" s="1595"/>
      <c r="I51" s="1595"/>
      <c r="J51" s="1595"/>
      <c r="K51" s="1595"/>
      <c r="L51" s="1011"/>
      <c r="M51" s="1011"/>
      <c r="N51" s="1011">
        <f>+VLOOKUP($B51,Segment!$1:$1048576,MATCH('Fin Sum'!N$3,Segment!$4:$4,FALSE),FALSE)</f>
        <v>2031</v>
      </c>
      <c r="O51" s="1011">
        <f>+VLOOKUP($B51,Segment!$1:$1048576,MATCH('Fin Sum'!O$3,Segment!$4:$4,FALSE),FALSE)</f>
        <v>2128</v>
      </c>
      <c r="P51" s="1011">
        <f>+VLOOKUP($B51,Segment!$1:$1048576,MATCH('Fin Sum'!P$3,Segment!$4:$4,FALSE),FALSE)</f>
        <v>2166</v>
      </c>
      <c r="Q51" s="1011">
        <f>+VLOOKUP($B51,Segment!$1:$1048576,MATCH('Fin Sum'!Q$3,Segment!$4:$4,FALSE),FALSE)</f>
        <v>2007.3263275888512</v>
      </c>
      <c r="R51" s="1011">
        <f>+VLOOKUP($B51,Segment!$1:$1048576,MATCH('Fin Sum'!R$3,Segment!$4:$4,FALSE),FALSE)</f>
        <v>1976.7136336698327</v>
      </c>
      <c r="S51" s="1011">
        <f>+VLOOKUP($B51,Segment!$1:$1048576,MATCH('Fin Sum'!S$3,Segment!$4:$4,FALSE),FALSE)</f>
        <v>1965.5975084445593</v>
      </c>
      <c r="T51" s="996"/>
      <c r="U51" s="996" t="s">
        <v>686</v>
      </c>
      <c r="V51" s="996"/>
      <c r="W51" s="1595">
        <f>Model!CP273+Model!CP293</f>
        <v>480.9</v>
      </c>
      <c r="X51" s="1595">
        <f>Model!CS273+Model!CS293</f>
        <v>567</v>
      </c>
      <c r="Y51" s="1595">
        <f>Model!CV273+Model!CV293</f>
        <v>728.60000000000014</v>
      </c>
      <c r="Z51" s="1595">
        <f>Model!CY273+Model!CY293</f>
        <v>664.8</v>
      </c>
      <c r="AA51" s="1595">
        <f>Model!DB273+Model!DB293</f>
        <v>741.1</v>
      </c>
      <c r="AB51" s="1595">
        <f>Model!DE273+Model!DE293</f>
        <v>708.40000000000009</v>
      </c>
      <c r="AC51" s="1595">
        <f>Model!DH273+Model!DH293</f>
        <v>1258.8</v>
      </c>
      <c r="AD51" s="1011">
        <f>Model!DK273+Model!DK293</f>
        <v>1651.9</v>
      </c>
      <c r="AE51" s="1011">
        <f>Model!DN273+Model!DN293</f>
        <v>1628</v>
      </c>
      <c r="AF51" s="1011">
        <f ca="1">+VLOOKUP($AM51,Model!$B:$EX,MATCH('Fin Sum'!AF$18,Model!$B$4:$EX$4,FALSE),FALSE)+VLOOKUP($AN51,Model!$B:$EX,MATCH('Fin Sum'!AF$18,Model!$B$4:$EX$4,FALSE),FALSE)</f>
        <v>2924</v>
      </c>
      <c r="AG51" s="1011">
        <f ca="1">+VLOOKUP($AM51,Model!$B:$EX,MATCH('Fin Sum'!AG$18,Model!$B$4:$EX$4,FALSE),FALSE)+VLOOKUP($AN51,Model!$B:$EX,MATCH('Fin Sum'!AG$18,Model!$B$4:$EX$4,FALSE),FALSE)</f>
        <v>2608</v>
      </c>
      <c r="AH51" s="1011">
        <f ca="1">+VLOOKUP($AM51,Model!$B:$EX,MATCH('Fin Sum'!AH$18,Model!$B$4:$EX$4,FALSE),FALSE)+VLOOKUP($AN51,Model!$B:$EX,MATCH('Fin Sum'!AH$18,Model!$B$4:$EX$4,FALSE),FALSE)</f>
        <v>2768</v>
      </c>
      <c r="AI51" s="1011">
        <f ca="1">+VLOOKUP($AM51,Model!$B:$EX,MATCH('Fin Sum'!AI$18,Model!$B$4:$EX$4,FALSE),FALSE)+VLOOKUP($AN51,Model!$B:$EX,MATCH('Fin Sum'!AI$18,Model!$B$4:$EX$4,FALSE),FALSE)</f>
        <v>2715</v>
      </c>
      <c r="AJ51" s="1011">
        <f ca="1">+VLOOKUP($AM51,Model!$B:$EX,MATCH('Fin Sum'!AJ$18,Model!$B$4:$EX$4,FALSE),FALSE)+VLOOKUP($AN51,Model!$B:$EX,MATCH('Fin Sum'!AJ$18,Model!$B$4:$EX$4,FALSE),FALSE)</f>
        <v>2715</v>
      </c>
      <c r="AK51" s="1011">
        <f ca="1">+VLOOKUP($AM51,Model!$B:$EX,MATCH('Fin Sum'!AK$18,Model!$B$4:$EX$4,FALSE),FALSE)+VLOOKUP($AN51,Model!$B:$EX,MATCH('Fin Sum'!AK$18,Model!$B$4:$EX$4,FALSE),FALSE)</f>
        <v>2715</v>
      </c>
      <c r="AM51" s="1581" t="s">
        <v>58</v>
      </c>
      <c r="AN51" s="1581" t="s">
        <v>167</v>
      </c>
      <c r="AO51" s="1014"/>
      <c r="AP51" s="1014"/>
      <c r="AQ51" s="1014"/>
    </row>
    <row r="52" spans="1:43" ht="11.1" customHeight="1">
      <c r="B52" s="1594" t="s">
        <v>991</v>
      </c>
      <c r="C52" s="1603" t="s">
        <v>1006</v>
      </c>
      <c r="L52" s="1613"/>
      <c r="M52" s="1613"/>
      <c r="N52" s="1613">
        <f>+VLOOKUP($B52,Segment!$1:$1048576,MATCH('Fin Sum'!N$3,Segment!$4:$4,FALSE),FALSE)</f>
        <v>-5.7535641547861505E-2</v>
      </c>
      <c r="O52" s="1613">
        <f>+VLOOKUP($B52,Segment!$1:$1048576,MATCH('Fin Sum'!O$3,Segment!$4:$4,FALSE),FALSE)</f>
        <v>2.4311183144246355E-2</v>
      </c>
      <c r="P52" s="1613">
        <f>+VLOOKUP($B52,Segment!$1:$1048576,MATCH('Fin Sum'!P$3,Segment!$4:$4,FALSE),FALSE)</f>
        <v>5.2742616033755272E-3</v>
      </c>
      <c r="Q52" s="1613">
        <f>+VLOOKUP($B52,Segment!$1:$1048576,MATCH('Fin Sum'!Q$3,Segment!$4:$4,FALSE),FALSE)</f>
        <v>-6.2263206931347861E-2</v>
      </c>
      <c r="R52" s="1613">
        <f>+VLOOKUP($B52,Segment!$1:$1048576,MATCH('Fin Sum'!R$3,Segment!$4:$4,FALSE),FALSE)</f>
        <v>-1.7127646723760621E-2</v>
      </c>
      <c r="S52" s="1613">
        <f>+VLOOKUP($B52,Segment!$1:$1048576,MATCH('Fin Sum'!S$3,Segment!$4:$4,FALSE),FALSE)</f>
        <v>-6.327795841176165E-3</v>
      </c>
      <c r="T52" s="996"/>
      <c r="U52" s="1645" t="s">
        <v>183</v>
      </c>
      <c r="V52" s="1645"/>
      <c r="W52" s="1647">
        <f t="shared" ref="W52:AJ52" si="32">IF(AND(W50&lt;&gt;"",W51&lt;&gt;"",W53&lt;&gt;""),W53-SUM(W50:W51),"")</f>
        <v>744.5</v>
      </c>
      <c r="X52" s="1647">
        <f t="shared" si="32"/>
        <v>806.19999999999982</v>
      </c>
      <c r="Y52" s="1647">
        <f t="shared" si="32"/>
        <v>1123.5999999999995</v>
      </c>
      <c r="Z52" s="1647">
        <f t="shared" si="32"/>
        <v>1318.8999999999996</v>
      </c>
      <c r="AA52" s="1647">
        <f t="shared" si="32"/>
        <v>1567.1999999999998</v>
      </c>
      <c r="AB52" s="1647">
        <f t="shared" si="32"/>
        <v>1691.8999999999996</v>
      </c>
      <c r="AC52" s="1647">
        <f t="shared" si="32"/>
        <v>1685.5</v>
      </c>
      <c r="AD52" s="1646">
        <f t="shared" si="32"/>
        <v>2316.4999999999982</v>
      </c>
      <c r="AE52" s="1646">
        <f t="shared" si="32"/>
        <v>2482.7000000000007</v>
      </c>
      <c r="AF52" s="1646">
        <f t="shared" ca="1" si="32"/>
        <v>3257</v>
      </c>
      <c r="AG52" s="1646">
        <f t="shared" ca="1" si="32"/>
        <v>3830</v>
      </c>
      <c r="AH52" s="1646">
        <f t="shared" ca="1" si="32"/>
        <v>3731</v>
      </c>
      <c r="AI52" s="1646">
        <f t="shared" ca="1" si="32"/>
        <v>4287.2968137170683</v>
      </c>
      <c r="AJ52" s="1646">
        <f t="shared" ca="1" si="32"/>
        <v>4460.9417235029323</v>
      </c>
      <c r="AK52" s="1646">
        <f ca="1">IF(AND(AK50&lt;&gt;"",AK51&lt;&gt;"",AK53&lt;&gt;""),AK53-SUM(AK50:AK51),"")</f>
        <v>4638.3983738569004</v>
      </c>
    </row>
    <row r="53" spans="1:43" ht="11.1" customHeight="1">
      <c r="A53" s="996"/>
      <c r="B53" s="1594" t="s">
        <v>975</v>
      </c>
      <c r="C53" s="995" t="s">
        <v>1017</v>
      </c>
      <c r="L53" s="1614"/>
      <c r="M53" s="1011"/>
      <c r="N53" s="1011">
        <f>+VLOOKUP($B53,Segment!$1:$1048576,MATCH('Fin Sum'!N$3,Segment!$4:$4,FALSE),FALSE)</f>
        <v>1259</v>
      </c>
      <c r="O53" s="1011">
        <f>+VLOOKUP($B53,Segment!$1:$1048576,MATCH('Fin Sum'!O$3,Segment!$4:$4,FALSE),FALSE)</f>
        <v>1318</v>
      </c>
      <c r="P53" s="1011">
        <f>+VLOOKUP($B53,Segment!$1:$1048576,MATCH('Fin Sum'!P$3,Segment!$4:$4,FALSE),FALSE)</f>
        <v>1257</v>
      </c>
      <c r="Q53" s="1011">
        <f>+VLOOKUP($B53,Segment!$1:$1048576,MATCH('Fin Sum'!Q$3,Segment!$4:$4,FALSE),FALSE)</f>
        <v>1158.7245640796307</v>
      </c>
      <c r="R53" s="1011">
        <f>+VLOOKUP($B53,Segment!$1:$1048576,MATCH('Fin Sum'!R$3,Segment!$4:$4,FALSE),FALSE)</f>
        <v>1141.5994229172791</v>
      </c>
      <c r="S53" s="1011">
        <f>+VLOOKUP($B53,Segment!$1:$1048576,MATCH('Fin Sum'!S$3,Segment!$4:$4,FALSE),FALSE)</f>
        <v>1138.8344397995311</v>
      </c>
      <c r="U53" s="1636" t="s">
        <v>3</v>
      </c>
      <c r="V53" s="1636"/>
      <c r="W53" s="1650">
        <f>Model!CP300</f>
        <v>3115.7</v>
      </c>
      <c r="X53" s="1650">
        <f>Model!CS300</f>
        <v>3654.0999999999995</v>
      </c>
      <c r="Y53" s="1650">
        <f>Model!CV300</f>
        <v>4995.5</v>
      </c>
      <c r="Z53" s="1650">
        <f>Model!CY300</f>
        <v>5958.9</v>
      </c>
      <c r="AA53" s="1650">
        <f>Model!DB300</f>
        <v>6694.6</v>
      </c>
      <c r="AB53" s="1650">
        <f>Model!DE300</f>
        <v>7063.1</v>
      </c>
      <c r="AC53" s="1650">
        <f>Model!DH300</f>
        <v>8937.1</v>
      </c>
      <c r="AD53" s="1640">
        <f>Model!DK300</f>
        <v>9775.2999999999993</v>
      </c>
      <c r="AE53" s="1640">
        <f>Model!DN300</f>
        <v>13768.5</v>
      </c>
      <c r="AF53" s="1640">
        <f ca="1">+VLOOKUP($AM53,Model!$B:$EX,MATCH('Fin Sum'!AF$18,Model!$B$4:$EX$4,FALSE),FALSE)</f>
        <v>18408</v>
      </c>
      <c r="AG53" s="1640">
        <f ca="1">+VLOOKUP($AM53,Model!$B:$EX,MATCH('Fin Sum'!AG$18,Model!$B$4:$EX$4,FALSE),FALSE)</f>
        <v>18621</v>
      </c>
      <c r="AH53" s="1640">
        <f ca="1">+VLOOKUP($AM53,Model!$B:$EX,MATCH('Fin Sum'!AH$18,Model!$B$4:$EX$4,FALSE),FALSE)</f>
        <v>17997</v>
      </c>
      <c r="AI53" s="1640">
        <f ca="1">+VLOOKUP($AM53,Model!$B:$EX,MATCH('Fin Sum'!AI$18,Model!$B$4:$EX$4,FALSE),FALSE)</f>
        <v>18140.296813717068</v>
      </c>
      <c r="AJ53" s="1640">
        <f ca="1">+VLOOKUP($AM53,Model!$B:$EX,MATCH('Fin Sum'!AJ$18,Model!$B$4:$EX$4,FALSE),FALSE)</f>
        <v>18313.941723502932</v>
      </c>
      <c r="AK53" s="1640">
        <f ca="1">+VLOOKUP($AM53,Model!$B:$EX,MATCH('Fin Sum'!AK$18,Model!$B$4:$EX$4,FALSE),FALSE)</f>
        <v>18491.3983738569</v>
      </c>
      <c r="AM53" s="1581" t="s">
        <v>3</v>
      </c>
    </row>
    <row r="54" spans="1:43" ht="11.1" customHeight="1">
      <c r="A54" s="996"/>
      <c r="B54" s="1594"/>
      <c r="C54" s="1641" t="s">
        <v>1007</v>
      </c>
      <c r="D54" s="1647"/>
      <c r="E54" s="1643"/>
      <c r="F54" s="1670"/>
      <c r="G54" s="1670"/>
      <c r="H54" s="1670"/>
      <c r="I54" s="1670"/>
      <c r="J54" s="1670"/>
      <c r="K54" s="1670"/>
      <c r="L54" s="1669"/>
      <c r="M54" s="1669"/>
      <c r="N54" s="1669">
        <f t="shared" ref="N54:S54" si="33">N53/N51</f>
        <v>0.61989167897587394</v>
      </c>
      <c r="O54" s="1669">
        <f t="shared" si="33"/>
        <v>0.61936090225563911</v>
      </c>
      <c r="P54" s="1669">
        <f t="shared" si="33"/>
        <v>0.58033240997229918</v>
      </c>
      <c r="Q54" s="1669">
        <f t="shared" si="33"/>
        <v>0.57724772905831456</v>
      </c>
      <c r="R54" s="1669">
        <f t="shared" si="33"/>
        <v>0.57752392833850341</v>
      </c>
      <c r="S54" s="1669">
        <f t="shared" si="33"/>
        <v>0.57938333504539674</v>
      </c>
      <c r="U54" s="996" t="s">
        <v>698</v>
      </c>
      <c r="V54" s="996"/>
      <c r="W54" s="1011">
        <f t="shared" ref="W54:AE54" si="34">IF(W56&lt;&gt;"",W56-W55,"")</f>
        <v>-2059.5</v>
      </c>
      <c r="X54" s="1011">
        <f t="shared" si="34"/>
        <v>-3253.9</v>
      </c>
      <c r="Y54" s="1011">
        <f t="shared" si="34"/>
        <v>-4025.1</v>
      </c>
      <c r="Z54" s="1011">
        <f t="shared" si="34"/>
        <v>-4240.1000000000004</v>
      </c>
      <c r="AA54" s="1011">
        <f t="shared" si="34"/>
        <v>-4410.3</v>
      </c>
      <c r="AB54" s="1011">
        <f t="shared" si="34"/>
        <v>-4361</v>
      </c>
      <c r="AC54" s="1011">
        <f t="shared" si="34"/>
        <v>-4224.7</v>
      </c>
      <c r="AD54" s="1011">
        <f t="shared" si="34"/>
        <v>-3871.1000000000004</v>
      </c>
      <c r="AE54" s="1011">
        <f t="shared" si="34"/>
        <v>1074.1000000000004</v>
      </c>
      <c r="AF54" s="1011">
        <f t="shared" ref="AF54:AK54" ca="1" si="35">IF(AF56&lt;&gt;"",AF56-AF55,"")</f>
        <v>1165</v>
      </c>
      <c r="AG54" s="1011">
        <f t="shared" ca="1" si="35"/>
        <v>1351</v>
      </c>
      <c r="AH54" s="1011">
        <f t="shared" ca="1" si="35"/>
        <v>1591</v>
      </c>
      <c r="AI54" s="1011">
        <f t="shared" ca="1" si="35"/>
        <v>915</v>
      </c>
      <c r="AJ54" s="1011">
        <f t="shared" ca="1" si="35"/>
        <v>165</v>
      </c>
      <c r="AK54" s="1011">
        <f t="shared" ca="1" si="35"/>
        <v>-585</v>
      </c>
      <c r="AO54" s="1014"/>
      <c r="AP54" s="1014"/>
      <c r="AQ54" s="1014"/>
    </row>
    <row r="55" spans="1:43" ht="11.1" customHeight="1">
      <c r="A55" s="996"/>
      <c r="B55" s="1594" t="s">
        <v>973</v>
      </c>
      <c r="C55" s="995" t="s">
        <v>900</v>
      </c>
      <c r="L55" s="1614"/>
      <c r="M55" s="1011"/>
      <c r="N55" s="1011">
        <f>+VLOOKUP($B55,Segment!$1:$1048576,MATCH('Fin Sum'!N$3,Segment!$4:$4,FALSE),FALSE)</f>
        <v>1989</v>
      </c>
      <c r="O55" s="1011">
        <f>+VLOOKUP($B55,Segment!$1:$1048576,MATCH('Fin Sum'!O$3,Segment!$4:$4,FALSE),FALSE)</f>
        <v>2064</v>
      </c>
      <c r="P55" s="1011">
        <f>+VLOOKUP($B55,Segment!$1:$1048576,MATCH('Fin Sum'!P$3,Segment!$4:$4,FALSE),FALSE)</f>
        <v>2234</v>
      </c>
      <c r="Q55" s="1011">
        <f>+VLOOKUP($B55,Segment!$1:$1048576,MATCH('Fin Sum'!Q$3,Segment!$4:$4,FALSE),FALSE)</f>
        <v>2347.841261109756</v>
      </c>
      <c r="R55" s="1011">
        <f>+VLOOKUP($B55,Segment!$1:$1048576,MATCH('Fin Sum'!R$3,Segment!$4:$4,FALSE),FALSE)</f>
        <v>2338.3795728201303</v>
      </c>
      <c r="S55" s="1011">
        <f>+VLOOKUP($B55,Segment!$1:$1048576,MATCH('Fin Sum'!S$3,Segment!$4:$4,FALSE),FALSE)</f>
        <v>2374.0603094946737</v>
      </c>
      <c r="T55" s="996"/>
      <c r="U55" s="1645" t="s">
        <v>294</v>
      </c>
      <c r="V55" s="1645"/>
      <c r="W55" s="1647">
        <f>Model!CP314</f>
        <v>5221.5</v>
      </c>
      <c r="X55" s="1647">
        <f>Model!CS314</f>
        <v>6000.8</v>
      </c>
      <c r="Y55" s="1647">
        <f>Model!CV314</f>
        <v>6592.3</v>
      </c>
      <c r="Z55" s="1647">
        <f>Model!CY314</f>
        <v>7403.9</v>
      </c>
      <c r="AA55" s="1647">
        <f>Model!DB314</f>
        <v>8490.2000000000007</v>
      </c>
      <c r="AB55" s="1647">
        <f>Model!DE314</f>
        <v>9612.2999999999993</v>
      </c>
      <c r="AC55" s="1647">
        <f>Model!DH314</f>
        <v>10752.29</v>
      </c>
      <c r="AD55" s="1646">
        <f>Model!DK314</f>
        <v>12252.7</v>
      </c>
      <c r="AE55" s="1646">
        <f>Model!DN314</f>
        <v>13503.4</v>
      </c>
      <c r="AF55" s="1646">
        <f ca="1">+VLOOKUP($AM55,Model!$B:$EX,MATCH('Fin Sum'!AF$18,Model!$B$4:$EX$4,FALSE),FALSE)</f>
        <v>14621</v>
      </c>
      <c r="AG55" s="1646">
        <f ca="1">+VLOOKUP($AM55,Model!$B:$EX,MATCH('Fin Sum'!AG$18,Model!$B$4:$EX$4,FALSE),FALSE)</f>
        <v>16012</v>
      </c>
      <c r="AH55" s="1646">
        <f ca="1">+VLOOKUP($AM55,Model!$B:$EX,MATCH('Fin Sum'!AH$18,Model!$B$4:$EX$4,FALSE),FALSE)</f>
        <v>17744</v>
      </c>
      <c r="AI55" s="1646">
        <f ca="1">+VLOOKUP($AM55,Model!$B:$EX,MATCH('Fin Sum'!AI$18,Model!$B$4:$EX$4,FALSE),FALSE)</f>
        <v>18055.599307729066</v>
      </c>
      <c r="AJ55" s="1646">
        <f ca="1">+VLOOKUP($AM55,Model!$B:$EX,MATCH('Fin Sum'!AJ$18,Model!$B$4:$EX$4,FALSE),FALSE)</f>
        <v>19892.012884004816</v>
      </c>
      <c r="AK55" s="1646">
        <f ca="1">+VLOOKUP($AM55,Model!$B:$EX,MATCH('Fin Sum'!AK$18,Model!$B$4:$EX$4,FALSE),FALSE)</f>
        <v>22035.750826254945</v>
      </c>
      <c r="AM55" s="1581" t="s">
        <v>294</v>
      </c>
      <c r="AO55" s="1014"/>
      <c r="AP55" s="1014"/>
      <c r="AQ55" s="1014"/>
    </row>
    <row r="56" spans="1:43" ht="11.1" customHeight="1">
      <c r="A56" s="996"/>
      <c r="B56" s="1594" t="s">
        <v>992</v>
      </c>
      <c r="C56" s="1603" t="s">
        <v>1006</v>
      </c>
      <c r="D56" s="1595"/>
      <c r="E56" s="1591"/>
      <c r="F56" s="1591"/>
      <c r="G56" s="1591"/>
      <c r="H56" s="1591"/>
      <c r="I56" s="1591"/>
      <c r="J56" s="1591"/>
      <c r="K56" s="1591"/>
      <c r="L56" s="1615"/>
      <c r="M56" s="1615"/>
      <c r="N56" s="1615" t="str">
        <f>+VLOOKUP($B56,Segment!$1:$1048576,MATCH('Fin Sum'!N$3,Segment!$4:$4,FALSE),FALSE)</f>
        <v/>
      </c>
      <c r="O56" s="1615">
        <f>+VLOOKUP($B56,Segment!$1:$1048576,MATCH('Fin Sum'!O$3,Segment!$4:$4,FALSE),FALSE)</f>
        <v>3.7707390648567117E-2</v>
      </c>
      <c r="P56" s="1615">
        <f>+VLOOKUP($B56,Segment!$1:$1048576,MATCH('Fin Sum'!P$3,Segment!$4:$4,FALSE),FALSE)</f>
        <v>8.2364341085271311E-2</v>
      </c>
      <c r="Q56" s="1615">
        <f>+VLOOKUP($B56,Segment!$1:$1048576,MATCH('Fin Sum'!Q$3,Segment!$4:$4,FALSE),FALSE)</f>
        <v>5.095848751555776E-2</v>
      </c>
      <c r="R56" s="1615">
        <f>+VLOOKUP($B56,Segment!$1:$1048576,MATCH('Fin Sum'!R$3,Segment!$4:$4,FALSE),FALSE)</f>
        <v>-4.0299522997365939E-3</v>
      </c>
      <c r="S56" s="1615">
        <f>+VLOOKUP($B56,Segment!$1:$1048576,MATCH('Fin Sum'!S$3,Segment!$4:$4,FALSE),FALSE)</f>
        <v>1.5258744597871987E-2</v>
      </c>
      <c r="T56" s="996"/>
      <c r="U56" s="1636" t="s">
        <v>1015</v>
      </c>
      <c r="V56" s="1636"/>
      <c r="W56" s="1650">
        <f>Model!CP315</f>
        <v>3162</v>
      </c>
      <c r="X56" s="1650">
        <f>Model!CS315</f>
        <v>2746.9</v>
      </c>
      <c r="Y56" s="1650">
        <f>Model!CV315</f>
        <v>2567.2000000000003</v>
      </c>
      <c r="Z56" s="1650">
        <f>Model!CY315</f>
        <v>3163.7999999999993</v>
      </c>
      <c r="AA56" s="1650">
        <f>Model!DB315</f>
        <v>4079.9000000000005</v>
      </c>
      <c r="AB56" s="1650">
        <f>Model!DE315</f>
        <v>5251.2999999999993</v>
      </c>
      <c r="AC56" s="1650">
        <f>Model!DH315</f>
        <v>6527.5900000000011</v>
      </c>
      <c r="AD56" s="1640">
        <f>Model!DK315</f>
        <v>8381.6</v>
      </c>
      <c r="AE56" s="1640">
        <f>Model!DN315</f>
        <v>14577.5</v>
      </c>
      <c r="AF56" s="1640">
        <f ca="1">+VLOOKUP($AM56,Model!$B:$EX,MATCH('Fin Sum'!AF$18,Model!$B$4:$EX$4,FALSE),FALSE)</f>
        <v>15786</v>
      </c>
      <c r="AG56" s="1640">
        <f ca="1">+VLOOKUP($AM56,Model!$B:$EX,MATCH('Fin Sum'!AG$18,Model!$B$4:$EX$4,FALSE),FALSE)</f>
        <v>17363</v>
      </c>
      <c r="AH56" s="1640">
        <f ca="1">+VLOOKUP($AM56,Model!$B:$EX,MATCH('Fin Sum'!AH$18,Model!$B$4:$EX$4,FALSE),FALSE)</f>
        <v>19335</v>
      </c>
      <c r="AI56" s="1640">
        <f ca="1">+VLOOKUP($AM56,Model!$B:$EX,MATCH('Fin Sum'!AI$18,Model!$B$4:$EX$4,FALSE),FALSE)</f>
        <v>18970.599307729066</v>
      </c>
      <c r="AJ56" s="1640">
        <f ca="1">+VLOOKUP($AM56,Model!$B:$EX,MATCH('Fin Sum'!AJ$18,Model!$B$4:$EX$4,FALSE),FALSE)</f>
        <v>20057.012884004816</v>
      </c>
      <c r="AK56" s="1640">
        <f ca="1">+VLOOKUP($AM56,Model!$B:$EX,MATCH('Fin Sum'!AK$18,Model!$B$4:$EX$4,FALSE),FALSE)</f>
        <v>21450.750826254945</v>
      </c>
      <c r="AM56" s="1581" t="s">
        <v>295</v>
      </c>
    </row>
    <row r="57" spans="1:43" ht="11.1" customHeight="1">
      <c r="A57" s="996"/>
      <c r="B57" s="1594" t="s">
        <v>976</v>
      </c>
      <c r="C57" s="995" t="s">
        <v>1018</v>
      </c>
      <c r="L57" s="1614"/>
      <c r="M57" s="1011"/>
      <c r="N57" s="1011">
        <f>+VLOOKUP($B57,Segment!$1:$1048576,MATCH('Fin Sum'!N$3,Segment!$4:$4,FALSE),FALSE)</f>
        <v>1411</v>
      </c>
      <c r="O57" s="1011">
        <f>+VLOOKUP($B57,Segment!$1:$1048576,MATCH('Fin Sum'!O$3,Segment!$4:$4,FALSE),FALSE)</f>
        <v>1413</v>
      </c>
      <c r="P57" s="1011">
        <f>+VLOOKUP($B57,Segment!$1:$1048576,MATCH('Fin Sum'!P$3,Segment!$4:$4,FALSE),FALSE)</f>
        <v>1545</v>
      </c>
      <c r="Q57" s="1011">
        <f>+VLOOKUP($B57,Segment!$1:$1048576,MATCH('Fin Sum'!Q$3,Segment!$4:$4,FALSE),FALSE)</f>
        <v>1612.7162060535461</v>
      </c>
      <c r="R57" s="1011">
        <f>+VLOOKUP($B57,Segment!$1:$1048576,MATCH('Fin Sum'!R$3,Segment!$4:$4,FALSE),FALSE)</f>
        <v>1566.7143137894873</v>
      </c>
      <c r="S57" s="1011">
        <f>+VLOOKUP($B57,Segment!$1:$1048576,MATCH('Fin Sum'!S$3,Segment!$4:$4,FALSE),FALSE)</f>
        <v>1590.6204073614313</v>
      </c>
      <c r="T57" s="996"/>
      <c r="U57" s="1645" t="s">
        <v>237</v>
      </c>
      <c r="V57" s="1645"/>
      <c r="W57" s="1647" t="str">
        <f>Model!CP316</f>
        <v/>
      </c>
      <c r="X57" s="1647">
        <f>Model!CS316</f>
        <v>0</v>
      </c>
      <c r="Y57" s="1647">
        <f>Model!CV316</f>
        <v>0</v>
      </c>
      <c r="Z57" s="1647">
        <f>Model!CY316</f>
        <v>0</v>
      </c>
      <c r="AA57" s="1647">
        <f>Model!DB316</f>
        <v>0</v>
      </c>
      <c r="AB57" s="1647" t="str">
        <f>Model!DE316</f>
        <v/>
      </c>
      <c r="AC57" s="1647" t="str">
        <f>Model!DH316</f>
        <v/>
      </c>
      <c r="AD57" s="1646" t="str">
        <f>Model!DK316</f>
        <v/>
      </c>
      <c r="AE57" s="1646" t="str">
        <f>Model!DN316</f>
        <v/>
      </c>
      <c r="AF57" s="1646">
        <f ca="1">+VLOOKUP($AM57,Model!$B:$EX,MATCH('Fin Sum'!AF$18,Model!$B$4:$EX$4,FALSE),FALSE)</f>
        <v>2040</v>
      </c>
      <c r="AG57" s="1646">
        <f ca="1">+VLOOKUP($AM57,Model!$B:$EX,MATCH('Fin Sum'!AG$18,Model!$B$4:$EX$4,FALSE),FALSE)</f>
        <v>2038</v>
      </c>
      <c r="AH57" s="1646">
        <f ca="1">+VLOOKUP($AM57,Model!$B:$EX,MATCH('Fin Sum'!AH$18,Model!$B$4:$EX$4,FALSE),FALSE)</f>
        <v>2072</v>
      </c>
      <c r="AI57" s="1646">
        <f ca="1">+VLOOKUP($AM57,Model!$B:$EX,MATCH('Fin Sum'!AI$18,Model!$B$4:$EX$4,FALSE),FALSE)</f>
        <v>1903.6487465518708</v>
      </c>
      <c r="AJ57" s="1646">
        <f ca="1">+VLOOKUP($AM57,Model!$B:$EX,MATCH('Fin Sum'!AJ$18,Model!$B$4:$EX$4,FALSE),FALSE)</f>
        <v>2106.6949216189882</v>
      </c>
      <c r="AK57" s="1646">
        <f ca="1">+VLOOKUP($AM57,Model!$B:$EX,MATCH('Fin Sum'!AK$18,Model!$B$4:$EX$4,FALSE),FALSE)</f>
        <v>2312.8393264130295</v>
      </c>
      <c r="AM57" s="1581" t="s">
        <v>296</v>
      </c>
    </row>
    <row r="58" spans="1:43" ht="11.1" customHeight="1">
      <c r="A58" s="996"/>
      <c r="B58" s="1594"/>
      <c r="C58" s="1603" t="s">
        <v>1007</v>
      </c>
      <c r="L58" s="1615"/>
      <c r="M58" s="1615"/>
      <c r="N58" s="1615">
        <f t="shared" ref="N58:S58" si="36">N57/N55</f>
        <v>0.70940170940170943</v>
      </c>
      <c r="O58" s="1615">
        <f t="shared" si="36"/>
        <v>0.68459302325581395</v>
      </c>
      <c r="P58" s="1615">
        <f t="shared" si="36"/>
        <v>0.69158460161145929</v>
      </c>
      <c r="Q58" s="1615">
        <f t="shared" si="36"/>
        <v>0.68689320388349517</v>
      </c>
      <c r="R58" s="1615">
        <f t="shared" si="36"/>
        <v>0.67</v>
      </c>
      <c r="S58" s="1615">
        <f t="shared" si="36"/>
        <v>0.66999999999999993</v>
      </c>
      <c r="T58" s="996"/>
      <c r="U58" s="1628" t="s">
        <v>1019</v>
      </c>
      <c r="V58" s="1628"/>
      <c r="W58" s="1629">
        <f t="shared" ref="W58:AJ58" si="37">IF(AND(W52&lt;&gt;"",W56&lt;&gt;""),W53+SUM(W56:W57),"")</f>
        <v>6277.7</v>
      </c>
      <c r="X58" s="1629">
        <f t="shared" si="37"/>
        <v>6401</v>
      </c>
      <c r="Y58" s="1629">
        <f t="shared" si="37"/>
        <v>7562.7000000000007</v>
      </c>
      <c r="Z58" s="1629">
        <f t="shared" si="37"/>
        <v>9122.6999999999989</v>
      </c>
      <c r="AA58" s="1629">
        <f t="shared" si="37"/>
        <v>10774.5</v>
      </c>
      <c r="AB58" s="1629">
        <f t="shared" si="37"/>
        <v>12314.4</v>
      </c>
      <c r="AC58" s="1629">
        <f t="shared" si="37"/>
        <v>15464.690000000002</v>
      </c>
      <c r="AD58" s="1635">
        <f t="shared" si="37"/>
        <v>18156.900000000001</v>
      </c>
      <c r="AE58" s="1635">
        <f t="shared" si="37"/>
        <v>28346</v>
      </c>
      <c r="AF58" s="1635">
        <f t="shared" ca="1" si="37"/>
        <v>36234</v>
      </c>
      <c r="AG58" s="1635">
        <f t="shared" ca="1" si="37"/>
        <v>38022</v>
      </c>
      <c r="AH58" s="1635">
        <f t="shared" ca="1" si="37"/>
        <v>39404</v>
      </c>
      <c r="AI58" s="1635">
        <f t="shared" ca="1" si="37"/>
        <v>39014.544867998004</v>
      </c>
      <c r="AJ58" s="1635">
        <f t="shared" ca="1" si="37"/>
        <v>40477.649529126735</v>
      </c>
      <c r="AK58" s="1635">
        <f ca="1">IF(AND(AK52&lt;&gt;"",AK56&lt;&gt;""),AK53+SUM(AK56:AK57),"")</f>
        <v>42254.988526524874</v>
      </c>
      <c r="AO58" s="1014"/>
      <c r="AP58" s="1014"/>
      <c r="AQ58" s="1014"/>
    </row>
    <row r="59" spans="1:43" ht="11.1" customHeight="1">
      <c r="A59" s="996"/>
      <c r="B59" s="1594"/>
      <c r="L59" s="1615"/>
      <c r="M59" s="1615"/>
      <c r="N59" s="1615"/>
      <c r="O59" s="1615"/>
      <c r="P59" s="1615"/>
      <c r="Q59" s="1615"/>
      <c r="R59" s="1615"/>
      <c r="S59" s="1615"/>
      <c r="T59" s="996"/>
      <c r="AO59" s="1014"/>
    </row>
    <row r="60" spans="1:43" ht="11.1" customHeight="1">
      <c r="A60" s="996"/>
      <c r="B60" s="1594"/>
      <c r="C60" s="1624" t="s">
        <v>1020</v>
      </c>
      <c r="D60" s="1625"/>
      <c r="E60" s="1626"/>
      <c r="F60" s="1626"/>
      <c r="G60" s="1626"/>
      <c r="H60" s="1626"/>
      <c r="I60" s="1626"/>
      <c r="J60" s="1626"/>
      <c r="K60" s="1626"/>
      <c r="L60" s="1626"/>
      <c r="M60" s="1579"/>
      <c r="N60" s="1579" t="str">
        <f t="shared" ref="N60:S60" si="38">+N$36</f>
        <v>2023</v>
      </c>
      <c r="O60" s="1579" t="str">
        <f t="shared" si="38"/>
        <v>2024</v>
      </c>
      <c r="P60" s="1579" t="str">
        <f t="shared" si="38"/>
        <v>2025</v>
      </c>
      <c r="Q60" s="1579" t="str">
        <f t="shared" si="38"/>
        <v>2026E</v>
      </c>
      <c r="R60" s="1579" t="str">
        <f t="shared" si="38"/>
        <v>2027E</v>
      </c>
      <c r="S60" s="1579" t="str">
        <f t="shared" si="38"/>
        <v>2028E</v>
      </c>
      <c r="T60" s="996"/>
      <c r="U60" s="1624" t="s">
        <v>316</v>
      </c>
      <c r="V60" s="1625"/>
      <c r="W60" s="1626" t="str">
        <f t="shared" ref="W60:AH60" si="39">W36</f>
        <v>2014</v>
      </c>
      <c r="X60" s="1626" t="str">
        <f t="shared" si="39"/>
        <v>2015</v>
      </c>
      <c r="Y60" s="1626" t="str">
        <f t="shared" si="39"/>
        <v>2016</v>
      </c>
      <c r="Z60" s="1626" t="str">
        <f t="shared" si="39"/>
        <v>2017</v>
      </c>
      <c r="AA60" s="1626" t="str">
        <f t="shared" si="39"/>
        <v>2018</v>
      </c>
      <c r="AB60" s="1626" t="str">
        <f t="shared" si="39"/>
        <v>2019</v>
      </c>
      <c r="AC60" s="1626" t="str">
        <f t="shared" si="39"/>
        <v>2020</v>
      </c>
      <c r="AD60" s="1626" t="str">
        <f t="shared" si="39"/>
        <v>2021</v>
      </c>
      <c r="AE60" s="1579" t="str">
        <f t="shared" si="39"/>
        <v>2022</v>
      </c>
      <c r="AF60" s="1579" t="str">
        <f t="shared" si="39"/>
        <v>2023</v>
      </c>
      <c r="AG60" s="1579" t="str">
        <f t="shared" si="39"/>
        <v>2024</v>
      </c>
      <c r="AH60" s="1579" t="str">
        <f t="shared" si="39"/>
        <v>2025</v>
      </c>
      <c r="AI60" s="1579" t="str">
        <f>AI36</f>
        <v>2026E</v>
      </c>
      <c r="AJ60" s="1579" t="str">
        <f>AJ36</f>
        <v>2027E</v>
      </c>
      <c r="AK60" s="1579" t="str">
        <f>AK36</f>
        <v>2028E</v>
      </c>
    </row>
    <row r="61" spans="1:43" ht="11.1" customHeight="1">
      <c r="A61" s="996"/>
      <c r="B61" s="1594" t="s">
        <v>993</v>
      </c>
      <c r="C61" s="995" t="str">
        <f>Segment!B103</f>
        <v>Immunoglobulins</v>
      </c>
      <c r="E61" s="1616"/>
      <c r="F61" s="1595"/>
      <c r="G61" s="1595"/>
      <c r="H61" s="1595"/>
      <c r="I61" s="1595"/>
      <c r="J61" s="1595"/>
      <c r="K61" s="1595"/>
      <c r="L61" s="1595"/>
      <c r="M61" s="1011"/>
      <c r="N61" s="1011">
        <f>+VLOOKUP($B61,Segment!$1:$1048576,MATCH('Fin Sum'!N$3,Segment!$4:$4,FALSE),FALSE)</f>
        <v>4479</v>
      </c>
      <c r="O61" s="1011">
        <f>+VLOOKUP($B61,Segment!$1:$1048576,MATCH('Fin Sum'!O$3,Segment!$4:$4,FALSE),FALSE)</f>
        <v>5585</v>
      </c>
      <c r="P61" s="1011">
        <f>+VLOOKUP($B61,Segment!$1:$1048576,MATCH('Fin Sum'!P$3,Segment!$4:$4,FALSE),FALSE)</f>
        <v>5982</v>
      </c>
      <c r="Q61" s="1011">
        <f>+VLOOKUP($B61,Segment!$1:$1048576,MATCH('Fin Sum'!Q$3,Segment!$4:$4,FALSE),FALSE)</f>
        <v>6275.1200000000008</v>
      </c>
      <c r="R61" s="1011">
        <f>+VLOOKUP($B61,Segment!$1:$1048576,MATCH('Fin Sum'!R$3,Segment!$4:$4,FALSE),FALSE)</f>
        <v>6808.5051999999996</v>
      </c>
      <c r="S61" s="1011">
        <f>+VLOOKUP($B61,Segment!$1:$1048576,MATCH('Fin Sum'!S$3,Segment!$4:$4,FALSE),FALSE)</f>
        <v>7321.5260668199999</v>
      </c>
      <c r="T61" s="996"/>
      <c r="U61" s="995" t="str">
        <f>C61</f>
        <v>Immunoglobulins</v>
      </c>
      <c r="W61" s="1617"/>
      <c r="X61" s="1617"/>
      <c r="Y61" s="1617">
        <f>Segment!CV104</f>
        <v>0</v>
      </c>
      <c r="Z61" s="1617">
        <f>Segment!CY104</f>
        <v>0</v>
      </c>
      <c r="AA61" s="1617">
        <f>Segment!DB104</f>
        <v>0</v>
      </c>
      <c r="AB61" s="1617">
        <f>Segment!DE104</f>
        <v>0</v>
      </c>
      <c r="AC61" s="1617">
        <f>Segment!DH104</f>
        <v>0</v>
      </c>
      <c r="AD61" s="1617">
        <f>Segment!DK104</f>
        <v>0</v>
      </c>
      <c r="AE61" s="1617">
        <f>Segment!DN104</f>
        <v>-5.0499867744035143E-2</v>
      </c>
      <c r="AF61" s="1617" t="e">
        <f t="shared" ref="AF61:AK65" si="40">+N61/M61-1</f>
        <v>#DIV/0!</v>
      </c>
      <c r="AG61" s="1617">
        <f t="shared" si="40"/>
        <v>0.24693011832998435</v>
      </c>
      <c r="AH61" s="1617">
        <f t="shared" si="40"/>
        <v>7.1083258728737775E-2</v>
      </c>
      <c r="AI61" s="1617">
        <f t="shared" si="40"/>
        <v>4.9000334336342544E-2</v>
      </c>
      <c r="AJ61" s="1617">
        <f t="shared" si="40"/>
        <v>8.4999999999999742E-2</v>
      </c>
      <c r="AK61" s="1617">
        <f t="shared" si="40"/>
        <v>7.5350000000000028E-2</v>
      </c>
      <c r="AP61" s="1014"/>
      <c r="AQ61" s="1014"/>
    </row>
    <row r="62" spans="1:43" ht="11.1" customHeight="1">
      <c r="A62" s="996"/>
      <c r="B62" s="1594" t="s">
        <v>994</v>
      </c>
      <c r="C62" s="995" t="str">
        <f>Segment!B109</f>
        <v>Specialty products</v>
      </c>
      <c r="E62" s="1616"/>
      <c r="F62" s="1595"/>
      <c r="G62" s="1595"/>
      <c r="H62" s="1595"/>
      <c r="I62" s="1595"/>
      <c r="J62" s="1595"/>
      <c r="K62" s="1595"/>
      <c r="L62" s="1595"/>
      <c r="M62" s="1011"/>
      <c r="N62" s="1011">
        <f>+VLOOKUP($B62,Segment!$1:$1048576,MATCH('Fin Sum'!N$3,Segment!$4:$4,FALSE),FALSE)</f>
        <v>1831</v>
      </c>
      <c r="O62" s="1011">
        <f>+VLOOKUP($B62,Segment!$1:$1048576,MATCH('Fin Sum'!O$3,Segment!$4:$4,FALSE),FALSE)</f>
        <v>1940</v>
      </c>
      <c r="P62" s="1011">
        <f>+VLOOKUP($B62,Segment!$1:$1048576,MATCH('Fin Sum'!P$3,Segment!$4:$4,FALSE),FALSE)</f>
        <v>1873.8</v>
      </c>
      <c r="Q62" s="1011">
        <f>+VLOOKUP($B62,Segment!$1:$1048576,MATCH('Fin Sum'!Q$3,Segment!$4:$4,FALSE),FALSE)</f>
        <v>1984.89</v>
      </c>
      <c r="R62" s="1011">
        <f>+VLOOKUP($B62,Segment!$1:$1048576,MATCH('Fin Sum'!R$3,Segment!$4:$4,FALSE),FALSE)</f>
        <v>2104.6064999999999</v>
      </c>
      <c r="S62" s="1011">
        <f>+VLOOKUP($B62,Segment!$1:$1048576,MATCH('Fin Sum'!S$3,Segment!$4:$4,FALSE),FALSE)</f>
        <v>2222.2132300000003</v>
      </c>
      <c r="T62" s="996"/>
      <c r="U62" s="995" t="str">
        <f>C62</f>
        <v>Specialty products</v>
      </c>
      <c r="W62" s="1617"/>
      <c r="X62" s="1617"/>
      <c r="Y62" s="1617">
        <f>Segment!CV110</f>
        <v>0</v>
      </c>
      <c r="Z62" s="1617">
        <f>Segment!CY110</f>
        <v>0</v>
      </c>
      <c r="AA62" s="1617">
        <f>Segment!DB110</f>
        <v>0</v>
      </c>
      <c r="AB62" s="1617">
        <f>Segment!DE110</f>
        <v>0</v>
      </c>
      <c r="AC62" s="1617">
        <f>Segment!DH110</f>
        <v>0</v>
      </c>
      <c r="AD62" s="1617">
        <f>Segment!DK110</f>
        <v>0</v>
      </c>
      <c r="AE62" s="1617">
        <f>Segment!DN110</f>
        <v>1.2429378531073398E-2</v>
      </c>
      <c r="AF62" s="1617" t="e">
        <f t="shared" si="40"/>
        <v>#DIV/0!</v>
      </c>
      <c r="AG62" s="1617">
        <f t="shared" si="40"/>
        <v>5.9530311305297623E-2</v>
      </c>
      <c r="AH62" s="1617">
        <f t="shared" si="40"/>
        <v>-3.4123711340206198E-2</v>
      </c>
      <c r="AI62" s="1617">
        <f t="shared" si="40"/>
        <v>5.9285943003522412E-2</v>
      </c>
      <c r="AJ62" s="1617">
        <f t="shared" si="40"/>
        <v>6.0313921678279314E-2</v>
      </c>
      <c r="AK62" s="1617">
        <f t="shared" si="40"/>
        <v>5.5880626615949502E-2</v>
      </c>
      <c r="AO62" s="1014"/>
      <c r="AP62" s="1014"/>
      <c r="AQ62" s="1014"/>
    </row>
    <row r="63" spans="1:43" ht="11.1" customHeight="1">
      <c r="A63" s="996"/>
      <c r="B63" s="1594" t="s">
        <v>995</v>
      </c>
      <c r="C63" s="995" t="str">
        <f>Segment!B112</f>
        <v>Albumin</v>
      </c>
      <c r="E63" s="1616"/>
      <c r="F63" s="1595"/>
      <c r="G63" s="1595"/>
      <c r="H63" s="1595"/>
      <c r="I63" s="1595"/>
      <c r="J63" s="1595"/>
      <c r="K63" s="1595"/>
      <c r="L63" s="1595"/>
      <c r="M63" s="1011"/>
      <c r="N63" s="1011">
        <f>+VLOOKUP($B63,Segment!$1:$1048576,MATCH('Fin Sum'!N$3,Segment!$4:$4,FALSE),FALSE)</f>
        <v>1109</v>
      </c>
      <c r="O63" s="1011">
        <f>+VLOOKUP($B63,Segment!$1:$1048576,MATCH('Fin Sum'!O$3,Segment!$4:$4,FALSE),FALSE)</f>
        <v>1209</v>
      </c>
      <c r="P63" s="1011">
        <f>+VLOOKUP($B63,Segment!$1:$1048576,MATCH('Fin Sum'!P$3,Segment!$4:$4,FALSE),FALSE)</f>
        <v>1297</v>
      </c>
      <c r="Q63" s="1011">
        <f>+VLOOKUP($B63,Segment!$1:$1048576,MATCH('Fin Sum'!Q$3,Segment!$4:$4,FALSE),FALSE)</f>
        <v>1282.1737618325201</v>
      </c>
      <c r="R63" s="1011">
        <f>+VLOOKUP($B63,Segment!$1:$1048576,MATCH('Fin Sum'!R$3,Segment!$4:$4,FALSE),FALSE)</f>
        <v>1337.1018465829025</v>
      </c>
      <c r="S63" s="1011">
        <f>+VLOOKUP($B63,Segment!$1:$1048576,MATCH('Fin Sum'!S$3,Segment!$4:$4,FALSE),FALSE)</f>
        <v>1430.6989758437057</v>
      </c>
      <c r="T63" s="996"/>
      <c r="U63" s="995" t="str">
        <f>C63</f>
        <v>Albumin</v>
      </c>
      <c r="W63" s="1617"/>
      <c r="X63" s="1617"/>
      <c r="Y63" s="1617">
        <f>Segment!CV113</f>
        <v>0</v>
      </c>
      <c r="Z63" s="1617">
        <f>Segment!CY113</f>
        <v>0</v>
      </c>
      <c r="AA63" s="1617">
        <f>Segment!DB113</f>
        <v>0</v>
      </c>
      <c r="AB63" s="1617">
        <f>Segment!DE113</f>
        <v>0</v>
      </c>
      <c r="AC63" s="1617">
        <f>Segment!DH113</f>
        <v>0</v>
      </c>
      <c r="AD63" s="1617">
        <f>Segment!DK113</f>
        <v>0</v>
      </c>
      <c r="AE63" s="1617">
        <f>Segment!DN113</f>
        <v>9.3370681605975392E-4</v>
      </c>
      <c r="AF63" s="1617" t="e">
        <f t="shared" si="40"/>
        <v>#DIV/0!</v>
      </c>
      <c r="AG63" s="1617">
        <f t="shared" si="40"/>
        <v>9.0171325518485057E-2</v>
      </c>
      <c r="AH63" s="1617">
        <f t="shared" si="40"/>
        <v>7.2787427626137324E-2</v>
      </c>
      <c r="AI63" s="1617">
        <f t="shared" si="40"/>
        <v>-1.1431178232443995E-2</v>
      </c>
      <c r="AJ63" s="1617">
        <f t="shared" si="40"/>
        <v>4.2839813436735374E-2</v>
      </c>
      <c r="AK63" s="1617">
        <f t="shared" si="40"/>
        <v>7.0000000000000062E-2</v>
      </c>
      <c r="AO63" s="1014"/>
    </row>
    <row r="64" spans="1:43" ht="11.1" customHeight="1">
      <c r="A64" s="996"/>
      <c r="B64" s="1594" t="s">
        <v>996</v>
      </c>
      <c r="C64" s="995" t="str">
        <f>Segment!B115</f>
        <v>pdCoag</v>
      </c>
      <c r="E64" s="1616"/>
      <c r="F64" s="1595"/>
      <c r="G64" s="1595"/>
      <c r="H64" s="1595"/>
      <c r="I64" s="1595"/>
      <c r="J64" s="1595"/>
      <c r="K64" s="1595"/>
      <c r="L64" s="1595"/>
      <c r="M64" s="1011"/>
      <c r="N64" s="1011">
        <f>+VLOOKUP($B64,Segment!$1:$1048576,MATCH('Fin Sum'!N$3,Segment!$4:$4,FALSE),FALSE)</f>
        <v>379</v>
      </c>
      <c r="O64" s="1011">
        <f>+VLOOKUP($B64,Segment!$1:$1048576,MATCH('Fin Sum'!O$3,Segment!$4:$4,FALSE),FALSE)</f>
        <v>430</v>
      </c>
      <c r="P64" s="1011">
        <f>+VLOOKUP($B64,Segment!$1:$1048576,MATCH('Fin Sum'!P$3,Segment!$4:$4,FALSE),FALSE)</f>
        <v>438</v>
      </c>
      <c r="Q64" s="1011">
        <f>+VLOOKUP($B64,Segment!$1:$1048576,MATCH('Fin Sum'!Q$3,Segment!$4:$4,FALSE),FALSE)</f>
        <v>434.63184330484336</v>
      </c>
      <c r="R64" s="1011">
        <f>+VLOOKUP($B64,Segment!$1:$1048576,MATCH('Fin Sum'!R$3,Segment!$4:$4,FALSE),FALSE)</f>
        <v>455.32031904615394</v>
      </c>
      <c r="S64" s="1011">
        <f>+VLOOKUP($B64,Segment!$1:$1048576,MATCH('Fin Sum'!S$3,Segment!$4:$4,FALSE),FALSE)</f>
        <v>476.99356623275094</v>
      </c>
      <c r="T64" s="996"/>
      <c r="U64" s="995" t="str">
        <f>C64</f>
        <v>pdCoag</v>
      </c>
      <c r="W64" s="1617"/>
      <c r="X64" s="1617"/>
      <c r="Y64" s="1617">
        <f>Segment!CV116</f>
        <v>0</v>
      </c>
      <c r="Z64" s="1617">
        <f>Segment!CY116</f>
        <v>0</v>
      </c>
      <c r="AA64" s="1617">
        <f>Segment!DB116</f>
        <v>0</v>
      </c>
      <c r="AB64" s="1617">
        <f>Segment!DE116</f>
        <v>0</v>
      </c>
      <c r="AC64" s="1617">
        <f>Segment!DH116</f>
        <v>0</v>
      </c>
      <c r="AD64" s="1617">
        <f>Segment!DK116</f>
        <v>0</v>
      </c>
      <c r="AE64" s="1617">
        <f>Segment!DN116</f>
        <v>-6.004618937644346E-2</v>
      </c>
      <c r="AF64" s="1617" t="e">
        <f t="shared" si="40"/>
        <v>#DIV/0!</v>
      </c>
      <c r="AG64" s="1617">
        <f t="shared" si="40"/>
        <v>0.13456464379947231</v>
      </c>
      <c r="AH64" s="1617">
        <f t="shared" si="40"/>
        <v>1.8604651162790642E-2</v>
      </c>
      <c r="AI64" s="1617">
        <f t="shared" si="40"/>
        <v>-7.68985546839418E-3</v>
      </c>
      <c r="AJ64" s="1617">
        <f t="shared" si="40"/>
        <v>4.7600000000000087E-2</v>
      </c>
      <c r="AK64" s="1617">
        <f t="shared" si="40"/>
        <v>4.7600000000000087E-2</v>
      </c>
    </row>
    <row r="65" spans="1:43" ht="11.1" customHeight="1">
      <c r="A65" s="996"/>
      <c r="B65" s="1594" t="s">
        <v>997</v>
      </c>
      <c r="C65" s="1618" t="str">
        <f>Segment!B124</f>
        <v>Recombinants</v>
      </c>
      <c r="D65" s="1618"/>
      <c r="E65" s="1619"/>
      <c r="F65" s="1610"/>
      <c r="G65" s="1610"/>
      <c r="H65" s="1610"/>
      <c r="I65" s="1610"/>
      <c r="J65" s="1610"/>
      <c r="K65" s="1610"/>
      <c r="L65" s="1610"/>
      <c r="M65" s="1611"/>
      <c r="N65" s="1611">
        <f>+VLOOKUP($B65,Segment!$1:$1048576,MATCH('Fin Sum'!N$3,Segment!$4:$4,FALSE),FALSE)</f>
        <v>814</v>
      </c>
      <c r="O65" s="1611">
        <f>+VLOOKUP($B65,Segment!$1:$1048576,MATCH('Fin Sum'!O$3,Segment!$4:$4,FALSE),FALSE)</f>
        <v>883</v>
      </c>
      <c r="P65" s="1611">
        <f>+VLOOKUP($B65,Segment!$1:$1048576,MATCH('Fin Sum'!P$3,Segment!$4:$4,FALSE),FALSE)</f>
        <v>1050</v>
      </c>
      <c r="Q65" s="1611">
        <f>+VLOOKUP($B65,Segment!$1:$1048576,MATCH('Fin Sum'!Q$3,Segment!$4:$4,FALSE),FALSE)</f>
        <v>1091.23</v>
      </c>
      <c r="R65" s="1611">
        <f>+VLOOKUP($B65,Segment!$1:$1048576,MATCH('Fin Sum'!R$3,Segment!$4:$4,FALSE),FALSE)</f>
        <v>1207.1862999999998</v>
      </c>
      <c r="S65" s="1611">
        <f>+VLOOKUP($B65,Segment!$1:$1048576,MATCH('Fin Sum'!S$3,Segment!$4:$4,FALSE),FALSE)</f>
        <v>1309.551923</v>
      </c>
      <c r="T65" s="1608"/>
      <c r="U65" s="1618" t="str">
        <f>C65</f>
        <v>Recombinants</v>
      </c>
      <c r="V65" s="1618"/>
      <c r="W65" s="1620"/>
      <c r="X65" s="1620"/>
      <c r="Y65" s="1620">
        <f>Segment!CV125</f>
        <v>0</v>
      </c>
      <c r="Z65" s="1620">
        <f>Segment!CY125</f>
        <v>0</v>
      </c>
      <c r="AA65" s="1620">
        <f>Segment!DB125</f>
        <v>0</v>
      </c>
      <c r="AB65" s="1620" t="e">
        <f>J65/I65-1</f>
        <v>#DIV/0!</v>
      </c>
      <c r="AC65" s="1620" t="e">
        <f>K65/J65-1</f>
        <v>#DIV/0!</v>
      </c>
      <c r="AD65" s="1620">
        <f>Segment!DK352</f>
        <v>0</v>
      </c>
      <c r="AE65" s="1620" t="e">
        <f>M65/L65-1</f>
        <v>#DIV/0!</v>
      </c>
      <c r="AF65" s="1620" t="e">
        <f t="shared" si="40"/>
        <v>#DIV/0!</v>
      </c>
      <c r="AG65" s="1620">
        <f t="shared" si="40"/>
        <v>8.4766584766584829E-2</v>
      </c>
      <c r="AH65" s="1620">
        <f t="shared" si="40"/>
        <v>0.18912797281993199</v>
      </c>
      <c r="AI65" s="1620">
        <f t="shared" si="40"/>
        <v>3.9266666666666783E-2</v>
      </c>
      <c r="AJ65" s="1620">
        <f t="shared" si="40"/>
        <v>0.10626201625688436</v>
      </c>
      <c r="AK65" s="1620">
        <f t="shared" si="40"/>
        <v>8.4796872694794523E-2</v>
      </c>
      <c r="AP65" s="1014"/>
      <c r="AQ65" s="1014"/>
    </row>
    <row r="66" spans="1:43" ht="11.1" customHeight="1">
      <c r="A66" s="996"/>
      <c r="B66" s="1594"/>
      <c r="C66" s="995" t="s">
        <v>939</v>
      </c>
      <c r="T66" s="996"/>
      <c r="AM66" s="995"/>
      <c r="AN66" s="995"/>
      <c r="AP66" s="1014"/>
      <c r="AQ66" s="1014"/>
    </row>
    <row r="67" spans="1:43" ht="11.1" customHeight="1">
      <c r="A67" s="996"/>
      <c r="B67" s="995"/>
      <c r="T67" s="996"/>
      <c r="AM67" s="995"/>
      <c r="AN67" s="995"/>
    </row>
    <row r="68" spans="1:43" ht="11.1" customHeight="1">
      <c r="A68" s="996"/>
      <c r="B68" s="995"/>
      <c r="T68" s="996"/>
      <c r="AM68" s="995"/>
      <c r="AN68" s="995"/>
    </row>
    <row r="69" spans="1:43" ht="11.1" customHeight="1">
      <c r="A69" s="996"/>
      <c r="B69" s="995"/>
      <c r="T69" s="996"/>
      <c r="AM69" s="995"/>
      <c r="AN69" s="995"/>
      <c r="AP69" s="1014"/>
      <c r="AQ69" s="1014"/>
    </row>
    <row r="70" spans="1:43" ht="11.1" customHeight="1">
      <c r="A70" s="996"/>
      <c r="B70" s="995"/>
      <c r="T70" s="996"/>
      <c r="AM70" s="995"/>
      <c r="AN70" s="995"/>
      <c r="AP70" s="1014"/>
      <c r="AQ70" s="1014"/>
    </row>
    <row r="71" spans="1:43" ht="11.1" customHeight="1">
      <c r="A71" s="996"/>
      <c r="B71" s="995"/>
      <c r="T71" s="996"/>
      <c r="AM71" s="995"/>
      <c r="AN71" s="995"/>
    </row>
    <row r="72" spans="1:43" ht="11.1" customHeight="1">
      <c r="A72" s="996"/>
      <c r="B72" s="995"/>
      <c r="T72" s="996"/>
      <c r="AM72" s="995"/>
      <c r="AN72" s="995"/>
    </row>
    <row r="73" spans="1:43" ht="11.1" customHeight="1">
      <c r="A73" s="996"/>
      <c r="B73" s="995"/>
      <c r="T73" s="996"/>
      <c r="AM73" s="995"/>
      <c r="AN73" s="995"/>
      <c r="AP73" s="1014"/>
      <c r="AQ73" s="1014"/>
    </row>
    <row r="74" spans="1:43" ht="10.9" customHeight="1">
      <c r="A74" s="996"/>
      <c r="B74" s="995"/>
      <c r="T74" s="996"/>
      <c r="AM74" s="995"/>
      <c r="AN74" s="995"/>
      <c r="AP74" s="1014"/>
      <c r="AQ74" s="1014"/>
    </row>
    <row r="75" spans="1:43" ht="11.1" customHeight="1">
      <c r="A75" s="996"/>
      <c r="B75" s="995"/>
      <c r="T75" s="996"/>
      <c r="AM75" s="995"/>
      <c r="AN75" s="995"/>
    </row>
    <row r="76" spans="1:43" ht="11.1" customHeight="1">
      <c r="A76" s="996"/>
      <c r="B76" s="995"/>
      <c r="T76" s="996"/>
      <c r="AO76" s="1014"/>
    </row>
    <row r="77" spans="1:43" ht="11.1" customHeight="1">
      <c r="A77" s="996"/>
      <c r="B77" s="995"/>
      <c r="T77" s="996"/>
      <c r="AO77" s="1014"/>
      <c r="AP77" s="1014"/>
      <c r="AQ77" s="1014"/>
    </row>
    <row r="78" spans="1:43" ht="11.1" customHeight="1">
      <c r="A78" s="996"/>
      <c r="B78" s="995"/>
      <c r="T78" s="996"/>
      <c r="AP78" s="1014"/>
      <c r="AQ78" s="1014"/>
    </row>
    <row r="79" spans="1:43" ht="11.1" customHeight="1">
      <c r="A79" s="996"/>
      <c r="B79" s="995"/>
      <c r="T79" s="996"/>
    </row>
    <row r="80" spans="1:43" ht="11.1" customHeight="1">
      <c r="A80" s="996"/>
      <c r="B80" s="995"/>
      <c r="T80" s="996"/>
      <c r="AB80" s="1617"/>
      <c r="AC80" s="1617"/>
      <c r="AD80" s="1617"/>
      <c r="AE80" s="1617"/>
      <c r="AF80" s="1617"/>
      <c r="AG80" s="1617"/>
      <c r="AH80" s="1617"/>
      <c r="AI80" s="1617"/>
      <c r="AJ80" s="1617"/>
      <c r="AK80" s="1617"/>
    </row>
    <row r="81" spans="1:51" ht="11.25" customHeight="1">
      <c r="A81" s="996"/>
      <c r="B81" s="995"/>
      <c r="T81" s="996"/>
    </row>
    <row r="82" spans="1:51" ht="12.6" customHeight="1">
      <c r="A82" s="996"/>
      <c r="B82" s="1594"/>
      <c r="T82" s="996"/>
    </row>
    <row r="83" spans="1:51" ht="12.6" customHeight="1">
      <c r="A83" s="996"/>
      <c r="B83" s="1594"/>
      <c r="T83" s="996"/>
    </row>
    <row r="84" spans="1:51">
      <c r="B84" s="1594"/>
      <c r="T84" s="996"/>
      <c r="AU84" s="1591"/>
    </row>
    <row r="85" spans="1:51">
      <c r="B85" s="1594"/>
      <c r="E85" s="1621"/>
      <c r="F85" s="1595"/>
      <c r="G85" s="1595"/>
      <c r="H85" s="1595"/>
      <c r="I85" s="1595"/>
      <c r="J85" s="1595"/>
      <c r="K85" s="1595"/>
      <c r="L85" s="1595"/>
      <c r="M85" s="1595"/>
      <c r="N85" s="1595"/>
      <c r="O85" s="1595"/>
      <c r="P85" s="1595"/>
      <c r="Q85" s="1595"/>
      <c r="R85" s="1595"/>
      <c r="S85" s="1595"/>
      <c r="AV85" s="1591"/>
      <c r="AW85" s="1591"/>
      <c r="AX85" s="1591"/>
      <c r="AY85" s="1591"/>
    </row>
  </sheetData>
  <phoneticPr fontId="4" type="noConversion"/>
  <pageMargins left="0" right="0" top="0" bottom="0" header="0" footer="0"/>
  <pageSetup paperSize="5" scale="83" orientation="landscape" r:id="rId1"/>
  <headerFooter alignWithMargins="0"/>
  <ignoredErrors>
    <ignoredError sqref="N3:O3 T3:AJ7 Q3:R3 N4:R4 N7:R7 N6:Q6 N5" numberStoredAsText="1"/>
    <ignoredError sqref="T35:AE59 T60:AJ60 T8:AJ15 N9:R12 T61:V65 Y61:AJ65 T24:V34 T19:V23 AF19:AJ23 T17:AJ18 T16:V16 AF16:AJ16 N14:R65" numberStoredAsText="1" formula="1"/>
    <ignoredError sqref="AL24:AL59 AF24:AJ59"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C0BE9-A696-41A0-822B-55A809004DC7}">
  <sheetPr codeName="Sheet15"/>
  <dimension ref="C3:S33"/>
  <sheetViews>
    <sheetView showGridLines="0" zoomScale="85" zoomScaleNormal="85" workbookViewId="0">
      <selection activeCell="R30" sqref="R30"/>
    </sheetView>
  </sheetViews>
  <sheetFormatPr defaultRowHeight="12.75"/>
  <cols>
    <col min="3" max="3" width="28" bestFit="1" customWidth="1"/>
    <col min="4" max="14" width="8.28515625" customWidth="1"/>
    <col min="16" max="19" width="20.7109375" customWidth="1"/>
  </cols>
  <sheetData>
    <row r="3" spans="3:19">
      <c r="C3" s="1790" t="s">
        <v>253</v>
      </c>
      <c r="D3" s="1791"/>
      <c r="E3" s="1800"/>
      <c r="F3" s="1800"/>
      <c r="G3" s="1800"/>
      <c r="H3" s="1800"/>
      <c r="I3" s="1800"/>
      <c r="J3" s="1800"/>
      <c r="K3" s="1800"/>
      <c r="L3" s="1800"/>
      <c r="M3" s="1800"/>
      <c r="N3" s="1801"/>
      <c r="O3" s="11"/>
      <c r="P3" s="1816" t="s">
        <v>1044</v>
      </c>
      <c r="Q3" s="1817" t="s">
        <v>1045</v>
      </c>
      <c r="R3" s="1817" t="s">
        <v>1049</v>
      </c>
      <c r="S3" s="1817" t="s">
        <v>1046</v>
      </c>
    </row>
    <row r="4" spans="3:19">
      <c r="C4" s="1802" t="s">
        <v>411</v>
      </c>
      <c r="D4" s="1803">
        <v>4.2500000000000003E-2</v>
      </c>
      <c r="E4" s="1800"/>
      <c r="F4" s="1800"/>
      <c r="G4" s="1800"/>
      <c r="H4" s="1800"/>
      <c r="I4" s="1800"/>
      <c r="J4" s="1800"/>
      <c r="K4" s="1800"/>
      <c r="L4" s="1800"/>
      <c r="M4" s="1800"/>
      <c r="N4" s="1801"/>
      <c r="O4" s="11"/>
      <c r="P4" s="1818" t="s">
        <v>1042</v>
      </c>
      <c r="Q4" s="1836">
        <v>0.1</v>
      </c>
      <c r="R4" s="1837">
        <v>271</v>
      </c>
      <c r="S4" s="1819">
        <v>23.82634226073576</v>
      </c>
    </row>
    <row r="5" spans="3:19">
      <c r="C5" s="1802" t="s">
        <v>901</v>
      </c>
      <c r="D5" s="1803">
        <v>0.05</v>
      </c>
      <c r="E5" s="1800"/>
      <c r="F5" s="1800"/>
      <c r="G5" s="1800"/>
      <c r="H5" s="1800"/>
      <c r="I5" s="1800"/>
      <c r="J5" s="1800"/>
      <c r="K5" s="1800"/>
      <c r="L5" s="1800"/>
      <c r="M5" s="1800"/>
      <c r="N5" s="1801"/>
      <c r="O5" s="11"/>
      <c r="P5" s="1820" t="s">
        <v>1041</v>
      </c>
      <c r="Q5" s="1838">
        <v>0.7</v>
      </c>
      <c r="R5" s="1821">
        <v>234</v>
      </c>
      <c r="S5" s="1822">
        <v>20.573299221447115</v>
      </c>
    </row>
    <row r="6" spans="3:19">
      <c r="C6" s="1802" t="s">
        <v>1027</v>
      </c>
      <c r="D6" s="1803">
        <v>4.0398936170212764E-2</v>
      </c>
      <c r="E6" s="1800"/>
      <c r="F6" s="1800"/>
      <c r="G6" s="1800"/>
      <c r="H6" s="1800"/>
      <c r="I6" s="1800"/>
      <c r="J6" s="1800"/>
      <c r="K6" s="1800"/>
      <c r="L6" s="1800"/>
      <c r="M6" s="1800"/>
      <c r="N6" s="1801"/>
      <c r="O6" s="11"/>
      <c r="P6" s="1814" t="s">
        <v>1043</v>
      </c>
      <c r="Q6" s="1839">
        <f>1-SUM(Q4:Q5)</f>
        <v>0.20000000000000007</v>
      </c>
      <c r="R6" s="1840">
        <v>122</v>
      </c>
      <c r="S6" s="1815">
        <v>10.726250021438238</v>
      </c>
    </row>
    <row r="7" spans="3:19">
      <c r="C7" s="1802" t="s">
        <v>705</v>
      </c>
      <c r="D7" s="1803">
        <v>9.2499999999999999E-2</v>
      </c>
      <c r="E7" s="1800"/>
      <c r="F7" s="1800"/>
      <c r="G7" s="1800"/>
      <c r="H7" s="1800"/>
      <c r="I7" s="1800"/>
      <c r="J7" s="1800"/>
      <c r="K7" s="1800"/>
      <c r="L7" s="1800"/>
      <c r="M7" s="1800"/>
      <c r="N7" s="1801"/>
      <c r="O7" s="11"/>
      <c r="P7" s="1823" t="s">
        <v>1050</v>
      </c>
      <c r="Q7" s="1823"/>
      <c r="R7" s="1824">
        <f>+SUMPRODUCT(Q4:Q6,R4:R6)</f>
        <v>215.29999999999998</v>
      </c>
      <c r="S7" s="1825">
        <v>18.929193685374202</v>
      </c>
    </row>
    <row r="8" spans="3:19">
      <c r="C8" s="1804" t="s">
        <v>288</v>
      </c>
      <c r="D8" s="1805">
        <v>1</v>
      </c>
      <c r="E8" s="1800"/>
      <c r="F8" s="1800"/>
      <c r="G8" s="1800"/>
      <c r="H8" s="1800"/>
      <c r="I8" s="1800"/>
      <c r="J8" s="1800"/>
      <c r="K8" s="1800"/>
      <c r="L8" s="1800"/>
      <c r="M8" s="1800"/>
      <c r="N8" s="1801"/>
      <c r="O8" s="11"/>
      <c r="P8" s="1818" t="s">
        <v>1047</v>
      </c>
      <c r="Q8" s="1818"/>
      <c r="R8" s="1826">
        <v>163.44</v>
      </c>
      <c r="S8" s="1818"/>
    </row>
    <row r="9" spans="3:19">
      <c r="C9" s="1792" t="s">
        <v>638</v>
      </c>
      <c r="D9" s="1793">
        <v>8.7289893617021275E-2</v>
      </c>
      <c r="E9" s="1800"/>
      <c r="F9" s="1800"/>
      <c r="G9" s="1800"/>
      <c r="H9" s="1800"/>
      <c r="I9" s="1800"/>
      <c r="J9" s="1800"/>
      <c r="K9" s="1800"/>
      <c r="L9" s="1800"/>
      <c r="M9" s="1800"/>
      <c r="N9" s="1801"/>
      <c r="O9" s="11"/>
      <c r="P9" s="1827" t="s">
        <v>1048</v>
      </c>
      <c r="Q9" s="1827"/>
      <c r="R9" s="1828">
        <f>+R7/R8-1</f>
        <v>0.31730298580518834</v>
      </c>
      <c r="S9" s="1814"/>
    </row>
    <row r="10" spans="3:19">
      <c r="C10" s="1802" t="s">
        <v>1029</v>
      </c>
      <c r="D10" s="1803">
        <v>0.03</v>
      </c>
      <c r="E10" s="1800"/>
      <c r="F10" s="1800"/>
      <c r="G10" s="1800"/>
      <c r="H10" s="1800"/>
      <c r="I10" s="1800"/>
      <c r="J10" s="1800"/>
      <c r="K10" s="1800"/>
      <c r="L10" s="1800"/>
      <c r="M10" s="1800"/>
      <c r="N10" s="1801"/>
      <c r="O10" s="11"/>
      <c r="P10" s="11"/>
      <c r="Q10" s="11"/>
      <c r="R10" s="11"/>
      <c r="S10" s="11"/>
    </row>
    <row r="11" spans="3:19">
      <c r="C11" s="1802"/>
      <c r="D11" s="1800"/>
      <c r="E11" s="1800"/>
      <c r="F11" s="1800"/>
      <c r="G11" s="1800"/>
      <c r="H11" s="1800"/>
      <c r="I11" s="1800"/>
      <c r="J11" s="1800"/>
      <c r="K11" s="1800"/>
      <c r="L11" s="1800"/>
      <c r="M11" s="1800"/>
      <c r="N11" s="1801"/>
      <c r="O11" s="11"/>
      <c r="P11" s="11"/>
      <c r="Q11" s="11"/>
      <c r="R11" s="11"/>
      <c r="S11" s="11"/>
    </row>
    <row r="12" spans="3:19">
      <c r="C12" s="1794" t="s">
        <v>1030</v>
      </c>
      <c r="D12" s="1794" t="s">
        <v>1037</v>
      </c>
      <c r="E12" s="1795" t="s">
        <v>961</v>
      </c>
      <c r="F12" s="1795" t="s">
        <v>964</v>
      </c>
      <c r="G12" s="1795" t="s">
        <v>965</v>
      </c>
      <c r="H12" s="1795" t="s">
        <v>966</v>
      </c>
      <c r="I12" s="1795" t="s">
        <v>967</v>
      </c>
      <c r="J12" s="1795" t="s">
        <v>968</v>
      </c>
      <c r="K12" s="1795" t="s">
        <v>969</v>
      </c>
      <c r="L12" s="1795" t="s">
        <v>970</v>
      </c>
      <c r="M12" s="1795" t="s">
        <v>989</v>
      </c>
      <c r="N12" s="1795" t="s">
        <v>1058</v>
      </c>
      <c r="O12" s="11"/>
      <c r="P12" s="11"/>
      <c r="Q12" s="11"/>
      <c r="R12" s="11"/>
    </row>
    <row r="13" spans="3:19">
      <c r="C13" s="1802" t="s">
        <v>331</v>
      </c>
      <c r="D13" s="1801" t="s">
        <v>357</v>
      </c>
      <c r="E13" s="1807">
        <v>4899.5635170371161</v>
      </c>
      <c r="F13" s="1807">
        <v>5136.3380371464209</v>
      </c>
      <c r="G13" s="1807">
        <v>5527.8775981921845</v>
      </c>
      <c r="H13" s="1807">
        <v>6002.3513953456559</v>
      </c>
      <c r="I13" s="1807">
        <v>6522.2867556612846</v>
      </c>
      <c r="J13" s="1807">
        <v>7074.5337613484799</v>
      </c>
      <c r="K13" s="1807">
        <v>7636.8913013051233</v>
      </c>
      <c r="L13" s="1807">
        <v>8158.3530970561278</v>
      </c>
      <c r="M13" s="1807">
        <v>8621.4469980356807</v>
      </c>
      <c r="N13" s="1807">
        <v>9114.197203577678</v>
      </c>
      <c r="O13" s="11"/>
      <c r="P13" s="11"/>
      <c r="Q13" s="11"/>
      <c r="R13" s="11"/>
    </row>
    <row r="14" spans="3:19">
      <c r="C14" s="1802" t="s">
        <v>551</v>
      </c>
      <c r="D14" s="1801" t="s">
        <v>357</v>
      </c>
      <c r="E14" s="1807">
        <v>-856.05706823705202</v>
      </c>
      <c r="F14" s="1807">
        <v>-902.53635894738716</v>
      </c>
      <c r="G14" s="1807">
        <v>-978.60242557160745</v>
      </c>
      <c r="H14" s="1807">
        <v>-1071.241011256097</v>
      </c>
      <c r="I14" s="1807">
        <v>-1176.0948236827408</v>
      </c>
      <c r="J14" s="1807">
        <v>-1288.7583382030696</v>
      </c>
      <c r="K14" s="1807">
        <v>-1405.2669426333355</v>
      </c>
      <c r="L14" s="1807">
        <v>-1514.9895415788592</v>
      </c>
      <c r="M14" s="1807">
        <v>-1614.4651241238025</v>
      </c>
      <c r="N14" s="1807">
        <v>-1720.3408899000572</v>
      </c>
      <c r="O14" s="11"/>
      <c r="P14" s="11"/>
      <c r="Q14" s="11"/>
      <c r="R14" s="11"/>
    </row>
    <row r="15" spans="3:19">
      <c r="C15" s="1802" t="s">
        <v>1031</v>
      </c>
      <c r="D15" s="1801" t="s">
        <v>357</v>
      </c>
      <c r="E15" s="1807">
        <v>635.34588185552093</v>
      </c>
      <c r="F15" s="1807">
        <v>700.86805079222324</v>
      </c>
      <c r="G15" s="1807">
        <v>781.99434445706902</v>
      </c>
      <c r="H15" s="1807">
        <v>876.31634639682466</v>
      </c>
      <c r="I15" s="1807">
        <v>931.69548163541344</v>
      </c>
      <c r="J15" s="1807">
        <v>983.16032249808609</v>
      </c>
      <c r="K15" s="1807">
        <v>1038.5835605867519</v>
      </c>
      <c r="L15" s="1807">
        <v>1098.0585827232385</v>
      </c>
      <c r="M15" s="1807">
        <v>1161.3009036293836</v>
      </c>
      <c r="N15" s="1807">
        <v>1228.5598976786448</v>
      </c>
      <c r="O15" s="11"/>
      <c r="P15" s="11"/>
      <c r="Q15" s="11"/>
      <c r="R15" s="11"/>
    </row>
    <row r="16" spans="3:19">
      <c r="C16" s="1802" t="s">
        <v>1032</v>
      </c>
      <c r="D16" s="1801" t="s">
        <v>357</v>
      </c>
      <c r="E16" s="1807">
        <v>-812.96310784077889</v>
      </c>
      <c r="F16" s="1807">
        <v>-980.10708448555943</v>
      </c>
      <c r="G16" s="1807">
        <v>-1205.8281068162573</v>
      </c>
      <c r="H16" s="1807">
        <v>-1281.0246508083592</v>
      </c>
      <c r="I16" s="1807">
        <v>-1167.6604395788634</v>
      </c>
      <c r="J16" s="1807">
        <v>-1026.9798273075021</v>
      </c>
      <c r="K16" s="1807">
        <v>-1085.0582804769442</v>
      </c>
      <c r="L16" s="1807">
        <v>-1146.3836077612118</v>
      </c>
      <c r="M16" s="1807">
        <v>-1212.6575984162614</v>
      </c>
      <c r="N16" s="1807">
        <v>-1283.1416426607266</v>
      </c>
      <c r="O16" s="11"/>
      <c r="P16" s="11"/>
      <c r="Q16" s="11"/>
      <c r="R16" s="11"/>
    </row>
    <row r="17" spans="3:19">
      <c r="C17" s="1804" t="s">
        <v>553</v>
      </c>
      <c r="D17" s="1808" t="s">
        <v>357</v>
      </c>
      <c r="E17" s="1809">
        <v>-816.78602390629658</v>
      </c>
      <c r="F17" s="1809">
        <v>-426.79866933326184</v>
      </c>
      <c r="G17" s="1809">
        <v>-446.12960826780773</v>
      </c>
      <c r="H17" s="1809">
        <v>-534.39319337583947</v>
      </c>
      <c r="I17" s="1809">
        <v>-579.50615825703608</v>
      </c>
      <c r="J17" s="1809">
        <v>-526.82466505236789</v>
      </c>
      <c r="K17" s="1809">
        <v>-568.4696549219907</v>
      </c>
      <c r="L17" s="1809">
        <v>-611.39713085978747</v>
      </c>
      <c r="M17" s="1809">
        <v>-651.92825209819603</v>
      </c>
      <c r="N17" s="1809">
        <v>-695.25809351748012</v>
      </c>
      <c r="O17" s="11"/>
      <c r="P17" s="11"/>
      <c r="Q17" s="11"/>
      <c r="R17" s="11"/>
    </row>
    <row r="18" spans="3:19">
      <c r="C18" s="1792" t="s">
        <v>550</v>
      </c>
      <c r="D18" s="1796" t="s">
        <v>357</v>
      </c>
      <c r="E18" s="1797">
        <f t="shared" ref="E18:M18" si="0">+SUM(E13:E17)</f>
        <v>3049.10319890851</v>
      </c>
      <c r="F18" s="1797">
        <f t="shared" si="0"/>
        <v>3527.7639751724359</v>
      </c>
      <c r="G18" s="1797">
        <f t="shared" si="0"/>
        <v>3679.3118019935805</v>
      </c>
      <c r="H18" s="1797">
        <f t="shared" si="0"/>
        <v>3992.0088863021856</v>
      </c>
      <c r="I18" s="1797">
        <f t="shared" si="0"/>
        <v>4530.7208157780578</v>
      </c>
      <c r="J18" s="1797">
        <f t="shared" si="0"/>
        <v>5215.1312532836264</v>
      </c>
      <c r="K18" s="1797">
        <f t="shared" si="0"/>
        <v>5616.6799838596062</v>
      </c>
      <c r="L18" s="1797">
        <f t="shared" si="0"/>
        <v>5983.6413995795074</v>
      </c>
      <c r="M18" s="1797">
        <f t="shared" si="0"/>
        <v>6303.6969270268037</v>
      </c>
      <c r="N18" s="1797">
        <f>+SUM(N13:N17)</f>
        <v>6644.0164751780585</v>
      </c>
      <c r="O18" s="11"/>
      <c r="P18" s="11"/>
      <c r="Q18" s="11"/>
      <c r="R18" s="11"/>
    </row>
    <row r="19" spans="3:19">
      <c r="C19" s="1804" t="s">
        <v>984</v>
      </c>
      <c r="D19" s="1804"/>
      <c r="E19" s="1812">
        <v>0.9688542973822174</v>
      </c>
      <c r="F19" s="1812">
        <v>0.89107265971100746</v>
      </c>
      <c r="G19" s="1812">
        <v>0.81953549365453049</v>
      </c>
      <c r="H19" s="1812">
        <v>0.75374148004653252</v>
      </c>
      <c r="I19" s="1812">
        <v>0.69322954666589098</v>
      </c>
      <c r="J19" s="1812">
        <v>0.63757563712816878</v>
      </c>
      <c r="K19" s="1812">
        <v>0.58638973917727177</v>
      </c>
      <c r="L19" s="1812">
        <v>0.5393131515520343</v>
      </c>
      <c r="M19" s="1812">
        <v>0.49601597027443528</v>
      </c>
      <c r="N19" s="1812">
        <v>0.45619477674382591</v>
      </c>
      <c r="O19" s="11"/>
      <c r="P19" s="11"/>
      <c r="Q19" s="11"/>
      <c r="R19" s="11"/>
    </row>
    <row r="20" spans="3:19">
      <c r="C20" s="1806" t="s">
        <v>985</v>
      </c>
      <c r="D20" s="1810" t="s">
        <v>357</v>
      </c>
      <c r="E20" s="1811">
        <f t="shared" ref="E20:M20" si="1">+E18*E19</f>
        <v>2954.136737424376</v>
      </c>
      <c r="F20" s="1811">
        <f t="shared" si="1"/>
        <v>3143.4940281895788</v>
      </c>
      <c r="G20" s="1811">
        <f t="shared" si="1"/>
        <v>3015.3266139557491</v>
      </c>
      <c r="H20" s="1811">
        <f t="shared" si="1"/>
        <v>3008.9426863203194</v>
      </c>
      <c r="I20" s="1811">
        <f t="shared" si="1"/>
        <v>3140.8295371915387</v>
      </c>
      <c r="J20" s="1811">
        <f t="shared" si="1"/>
        <v>3325.0406315193336</v>
      </c>
      <c r="K20" s="1811">
        <f t="shared" si="1"/>
        <v>3293.5635107776375</v>
      </c>
      <c r="L20" s="1811">
        <f t="shared" si="1"/>
        <v>3227.0565009644497</v>
      </c>
      <c r="M20" s="1811">
        <f t="shared" si="1"/>
        <v>3126.7343475751759</v>
      </c>
      <c r="N20" s="1811">
        <f>+N18*N19</f>
        <v>3030.9656125761558</v>
      </c>
      <c r="O20" s="11"/>
      <c r="P20" s="11"/>
      <c r="Q20" s="11"/>
      <c r="R20" s="11"/>
    </row>
    <row r="21" spans="3:19">
      <c r="C21" s="1801"/>
      <c r="D21" s="1801"/>
      <c r="E21" s="1800"/>
      <c r="F21" s="1800"/>
      <c r="G21" s="1800"/>
      <c r="H21" s="1800"/>
      <c r="I21" s="1800"/>
      <c r="J21" s="1800"/>
      <c r="K21" s="1800"/>
      <c r="L21" s="1800"/>
      <c r="M21" s="1800"/>
      <c r="N21" s="1800"/>
      <c r="O21" s="11"/>
      <c r="P21" s="11"/>
      <c r="Q21" s="11"/>
      <c r="R21" s="11"/>
      <c r="S21" s="11"/>
    </row>
    <row r="22" spans="3:19">
      <c r="C22" s="1801" t="s">
        <v>7</v>
      </c>
      <c r="D22" s="1801" t="s">
        <v>357</v>
      </c>
      <c r="E22" s="1807">
        <f>+SUM(E20:N20)</f>
        <v>31266.090206494315</v>
      </c>
      <c r="F22" s="1800"/>
      <c r="G22" s="1800"/>
      <c r="H22" s="1800"/>
      <c r="I22" s="1800"/>
      <c r="J22" s="1800"/>
      <c r="K22" s="1800"/>
      <c r="L22" s="1800"/>
      <c r="M22" s="1800"/>
      <c r="N22" s="1800"/>
      <c r="O22" s="11"/>
    </row>
    <row r="23" spans="3:19">
      <c r="C23" s="1801" t="s">
        <v>1039</v>
      </c>
      <c r="D23" s="1801" t="s">
        <v>357</v>
      </c>
      <c r="E23" s="1807">
        <f>+N20*(1+D10)/(D9-D10)</f>
        <v>54492.93730274796</v>
      </c>
      <c r="F23" s="1800"/>
      <c r="G23" s="1800"/>
      <c r="H23" s="1800"/>
      <c r="I23" s="1800"/>
      <c r="J23" s="1800"/>
      <c r="K23" s="1800"/>
      <c r="L23" s="1800"/>
      <c r="M23" s="1800"/>
      <c r="N23" s="1800"/>
      <c r="O23" s="11"/>
    </row>
    <row r="24" spans="3:19">
      <c r="C24" s="1801" t="s">
        <v>1028</v>
      </c>
      <c r="D24" s="1801" t="s">
        <v>357</v>
      </c>
      <c r="E24" s="1807">
        <v>9993</v>
      </c>
      <c r="F24" s="1800"/>
      <c r="G24" s="1800"/>
      <c r="H24" s="1800"/>
      <c r="I24" s="1800"/>
      <c r="J24" s="1800"/>
      <c r="K24" s="1800"/>
      <c r="L24" s="1800"/>
      <c r="M24" s="1800"/>
      <c r="N24" s="1800"/>
      <c r="O24" s="11"/>
    </row>
    <row r="25" spans="3:19">
      <c r="C25" s="1808" t="s">
        <v>237</v>
      </c>
      <c r="D25" s="1808" t="s">
        <v>357</v>
      </c>
      <c r="E25" s="1809">
        <v>1802</v>
      </c>
      <c r="F25" s="1800"/>
      <c r="G25" s="1800"/>
      <c r="H25" s="1800"/>
      <c r="I25" s="1800"/>
      <c r="J25" s="1800"/>
      <c r="K25" s="1800"/>
      <c r="L25" s="1800"/>
      <c r="M25" s="1800"/>
      <c r="N25" s="1800"/>
      <c r="O25" s="11"/>
    </row>
    <row r="26" spans="3:19">
      <c r="C26" s="1810" t="s">
        <v>1033</v>
      </c>
      <c r="D26" s="1810" t="s">
        <v>357</v>
      </c>
      <c r="E26" s="1811">
        <f>+SUM(E22:E23)-SUM(E24:E25)</f>
        <v>73964.027509242267</v>
      </c>
      <c r="F26" s="1800"/>
      <c r="G26" s="1800"/>
      <c r="H26" s="1800"/>
      <c r="I26" s="1800"/>
      <c r="J26" s="1800"/>
      <c r="K26" s="1800"/>
      <c r="L26" s="1800"/>
      <c r="M26" s="1800"/>
      <c r="N26" s="1800"/>
      <c r="O26" s="11"/>
    </row>
    <row r="27" spans="3:19">
      <c r="C27" s="1808" t="s">
        <v>1035</v>
      </c>
      <c r="D27" s="1808" t="s">
        <v>8</v>
      </c>
      <c r="E27" s="1809">
        <v>484.12679661538459</v>
      </c>
      <c r="F27" s="1800"/>
      <c r="G27" s="1800"/>
      <c r="H27" s="1800"/>
      <c r="I27" s="1800"/>
      <c r="J27" s="1800"/>
      <c r="K27" s="1800"/>
      <c r="L27" s="1800"/>
      <c r="M27" s="1800"/>
      <c r="N27" s="1800"/>
      <c r="O27" s="11"/>
    </row>
    <row r="28" spans="3:19">
      <c r="C28" s="1810" t="s">
        <v>1036</v>
      </c>
      <c r="D28" s="1810" t="s">
        <v>380</v>
      </c>
      <c r="E28" s="1811">
        <f>+E26/E27</f>
        <v>152.77821435693659</v>
      </c>
      <c r="F28" s="1800"/>
      <c r="G28" s="1800"/>
      <c r="H28" s="1800"/>
      <c r="I28" s="1800"/>
      <c r="J28" s="1800"/>
      <c r="K28" s="1800"/>
      <c r="L28" s="1800"/>
      <c r="M28" s="1800"/>
      <c r="N28" s="1800"/>
      <c r="O28" s="11"/>
    </row>
    <row r="29" spans="3:19">
      <c r="C29" s="1808" t="s">
        <v>1034</v>
      </c>
      <c r="D29" s="1808" t="s">
        <v>365</v>
      </c>
      <c r="E29" s="1805">
        <v>0.70865</v>
      </c>
      <c r="F29" s="1800"/>
      <c r="G29" s="1800"/>
      <c r="H29" s="1800"/>
      <c r="I29" s="1800"/>
      <c r="J29" s="1800"/>
      <c r="K29" s="1800"/>
      <c r="L29" s="1800"/>
      <c r="M29" s="1800"/>
      <c r="N29" s="1800"/>
      <c r="O29" s="11"/>
    </row>
    <row r="30" spans="3:19">
      <c r="C30" s="1810" t="s">
        <v>1036</v>
      </c>
      <c r="D30" s="1810" t="s">
        <v>1038</v>
      </c>
      <c r="E30" s="1811">
        <f>+E28/E29</f>
        <v>215.59050921743679</v>
      </c>
      <c r="F30" s="1800"/>
      <c r="G30" s="1800"/>
      <c r="H30" s="1800"/>
      <c r="I30" s="1800"/>
      <c r="J30" s="1800"/>
      <c r="K30" s="1800"/>
      <c r="L30" s="1800"/>
      <c r="M30" s="1800"/>
      <c r="N30" s="1800"/>
      <c r="O30" s="11"/>
    </row>
    <row r="31" spans="3:19">
      <c r="C31" s="1808"/>
      <c r="D31" s="1808"/>
      <c r="E31" s="1813"/>
      <c r="F31" s="1800"/>
      <c r="G31" s="1800"/>
      <c r="H31" s="1800"/>
      <c r="I31" s="1800"/>
      <c r="J31" s="1800"/>
      <c r="K31" s="1800"/>
      <c r="L31" s="1800"/>
      <c r="M31" s="1800"/>
      <c r="N31" s="1800"/>
      <c r="O31" s="11"/>
    </row>
    <row r="32" spans="3:19">
      <c r="C32" s="1798" t="s">
        <v>1040</v>
      </c>
      <c r="D32" s="1798" t="s">
        <v>1038</v>
      </c>
      <c r="E32" s="1799">
        <f>+E30*(1+D9)</f>
        <v>234.40938183186628</v>
      </c>
      <c r="F32" s="1800"/>
      <c r="G32" s="1800"/>
      <c r="H32" s="1800"/>
      <c r="I32" s="1800"/>
      <c r="J32" s="1800"/>
      <c r="K32" s="1800"/>
      <c r="L32" s="1800"/>
      <c r="M32" s="1800"/>
      <c r="N32" s="1801"/>
      <c r="O32" s="11"/>
    </row>
    <row r="33" spans="15:15">
      <c r="O33" s="11"/>
    </row>
  </sheetData>
  <pageMargins left="0" right="0.7" top="0.75" bottom="0.75" header="0.3" footer="0.3"/>
  <pageSetup paperSize="9"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ransitionEvaluation="1" codeName="Sheet5">
    <tabColor rgb="FF92D050"/>
  </sheetPr>
  <dimension ref="A1:FM596"/>
  <sheetViews>
    <sheetView showGridLines="0" zoomScale="70" zoomScaleNormal="70" workbookViewId="0">
      <pane xSplit="3" ySplit="4" topLeftCell="D171" activePane="bottomRight" state="frozen"/>
      <selection pane="topRight" activeCell="D1" sqref="D1"/>
      <selection pane="bottomLeft" activeCell="A5" sqref="A5"/>
      <selection pane="bottomRight" activeCell="DY199" sqref="DY199"/>
    </sheetView>
  </sheetViews>
  <sheetFormatPr defaultColWidth="5" defaultRowHeight="12.75" outlineLevelRow="2" outlineLevelCol="1"/>
  <cols>
    <col min="1" max="1" width="1.28515625" style="11" customWidth="1"/>
    <col min="2" max="2" width="38.28515625" style="11" customWidth="1"/>
    <col min="3" max="3" width="3.28515625" style="11" hidden="1" customWidth="1"/>
    <col min="4" max="4" width="9.28515625" style="11" customWidth="1"/>
    <col min="5" max="13" width="9.28515625" style="11" hidden="1" customWidth="1" outlineLevel="1"/>
    <col min="14" max="14" width="9.5703125" style="11" hidden="1" customWidth="1" outlineLevel="1"/>
    <col min="15" max="21" width="9.28515625" style="11" hidden="1" customWidth="1" outlineLevel="1"/>
    <col min="22" max="36" width="8.5703125" style="11" hidden="1" customWidth="1" outlineLevel="1"/>
    <col min="37" max="37" width="8.7109375" style="11" hidden="1" customWidth="1" outlineLevel="1"/>
    <col min="38" max="41" width="9.28515625" style="11" hidden="1" customWidth="1" outlineLevel="1"/>
    <col min="42" max="43" width="9.7109375" style="11" hidden="1" customWidth="1" outlineLevel="1"/>
    <col min="44" max="44" width="9.28515625" style="11" hidden="1" customWidth="1" outlineLevel="1"/>
    <col min="45" max="46" width="9.7109375" style="11" hidden="1" customWidth="1" outlineLevel="1"/>
    <col min="47" max="47" width="9.28515625" style="11" hidden="1" customWidth="1" outlineLevel="1"/>
    <col min="48" max="49" width="9.7109375" style="11" hidden="1" customWidth="1" outlineLevel="1"/>
    <col min="50" max="53" width="9.28515625" style="11" hidden="1" customWidth="1" outlineLevel="1"/>
    <col min="54" max="54" width="8.7109375" style="11" hidden="1" customWidth="1" outlineLevel="1"/>
    <col min="55" max="81" width="9.28515625" style="11" hidden="1" customWidth="1" outlineLevel="1"/>
    <col min="82" max="82" width="8.7109375" style="11" hidden="1" customWidth="1" outlineLevel="1"/>
    <col min="83" max="117" width="9.28515625" style="11" hidden="1" customWidth="1" outlineLevel="1"/>
    <col min="118" max="118" width="9.28515625" style="11" customWidth="1" collapsed="1"/>
    <col min="119" max="120" width="9.28515625" style="11" customWidth="1" outlineLevel="1"/>
    <col min="121" max="121" width="9.28515625" style="11" customWidth="1"/>
    <col min="122" max="123" width="9.28515625" style="11" customWidth="1" outlineLevel="1"/>
    <col min="124" max="124" width="9.28515625" style="11" customWidth="1"/>
    <col min="125" max="126" width="9.28515625" style="11" customWidth="1" outlineLevel="1"/>
    <col min="127" max="127" width="9.28515625" style="11" customWidth="1"/>
    <col min="128" max="129" width="9.28515625" style="11" customWidth="1" outlineLevel="1"/>
    <col min="130" max="130" width="9.28515625" style="11" customWidth="1"/>
    <col min="131" max="132" width="9.28515625" style="11" customWidth="1" outlineLevel="1"/>
    <col min="133" max="133" width="9.28515625" style="11" customWidth="1"/>
    <col min="134" max="135" width="9.28515625" style="11" customWidth="1" outlineLevel="1"/>
    <col min="136" max="136" width="9.28515625" style="11" customWidth="1"/>
    <col min="137" max="138" width="9.28515625" style="11" customWidth="1" outlineLevel="1"/>
    <col min="139" max="139" width="9.28515625" style="11" customWidth="1"/>
    <col min="140" max="141" width="9.28515625" style="11" customWidth="1" outlineLevel="1"/>
    <col min="142" max="142" width="9.28515625" style="11" customWidth="1"/>
    <col min="143" max="144" width="9.28515625" style="11" customWidth="1" outlineLevel="1"/>
    <col min="145" max="145" width="9.28515625" style="11" customWidth="1"/>
    <col min="146" max="147" width="9.28515625" style="11" customWidth="1" outlineLevel="1"/>
    <col min="148" max="148" width="9.28515625" style="11" customWidth="1"/>
    <col min="149" max="150" width="9.28515625" style="11" customWidth="1" outlineLevel="1"/>
    <col min="151" max="151" width="9.28515625" style="11" customWidth="1"/>
    <col min="152" max="153" width="9.28515625" style="11" customWidth="1" outlineLevel="1"/>
    <col min="154" max="154" width="9.28515625" style="11" customWidth="1"/>
    <col min="155" max="156" width="9.28515625" style="11" customWidth="1" outlineLevel="1"/>
    <col min="157" max="159" width="9.28515625" style="11" customWidth="1"/>
    <col min="160" max="160" width="22.42578125" customWidth="1"/>
    <col min="161" max="161" width="4.28515625" customWidth="1"/>
    <col min="162" max="162" width="10.7109375" customWidth="1"/>
    <col min="163" max="163" width="5" customWidth="1"/>
    <col min="164" max="164" width="4.5703125" customWidth="1"/>
    <col min="165" max="165" width="5" customWidth="1"/>
    <col min="166" max="16384" width="5" style="11"/>
  </cols>
  <sheetData>
    <row r="1" spans="1:169" s="33" customFormat="1">
      <c r="B1" s="1020">
        <f ca="1">NOW()</f>
        <v>46065.61818391204</v>
      </c>
      <c r="E1" s="34"/>
      <c r="F1" s="34"/>
      <c r="G1" s="35"/>
      <c r="H1" s="34"/>
      <c r="I1" s="34"/>
      <c r="J1" s="35"/>
      <c r="K1" s="34"/>
      <c r="L1" s="34"/>
      <c r="M1" s="35"/>
      <c r="N1" s="34"/>
      <c r="O1" s="34"/>
      <c r="P1" s="35"/>
      <c r="Q1" s="36"/>
      <c r="R1" s="1021"/>
      <c r="S1" s="1022"/>
      <c r="T1" s="1021"/>
      <c r="U1" s="1021"/>
      <c r="V1" s="1022"/>
      <c r="W1" s="1021"/>
      <c r="X1" s="1021"/>
      <c r="Y1" s="1022"/>
      <c r="Z1" s="1021"/>
      <c r="AA1" s="1021"/>
      <c r="AB1" s="1022"/>
      <c r="AC1" s="1021"/>
      <c r="AD1" s="1021"/>
      <c r="AE1" s="1022"/>
      <c r="AF1" s="1021"/>
      <c r="AG1" s="1021"/>
      <c r="AH1" s="1022"/>
      <c r="AI1" s="1021"/>
      <c r="AJ1" s="1021"/>
      <c r="AK1" s="1022"/>
      <c r="AL1" s="1021"/>
      <c r="AM1" s="34"/>
      <c r="AN1" s="35"/>
      <c r="AO1" s="34"/>
      <c r="AP1" s="34"/>
      <c r="AQ1" s="35"/>
      <c r="AR1" s="34"/>
      <c r="AS1" s="34"/>
      <c r="AT1" s="35"/>
      <c r="AU1" s="34"/>
      <c r="AV1" s="34"/>
      <c r="AW1" s="35"/>
      <c r="AX1" s="34"/>
      <c r="AY1" s="34"/>
      <c r="AZ1" s="35"/>
      <c r="BA1" s="34"/>
      <c r="BB1" s="34"/>
      <c r="BC1" s="35"/>
      <c r="BD1" s="34"/>
      <c r="BE1" s="34"/>
      <c r="BF1" s="35"/>
      <c r="BG1" s="34"/>
      <c r="BH1" s="34"/>
      <c r="BI1" s="35"/>
      <c r="BJ1" s="34"/>
      <c r="BK1" s="34"/>
      <c r="BL1" s="35"/>
      <c r="BM1" s="34"/>
      <c r="BN1" s="34"/>
      <c r="BO1" s="35"/>
      <c r="BP1" s="34"/>
      <c r="BQ1" s="34"/>
      <c r="BR1" s="35"/>
      <c r="BS1" s="34"/>
      <c r="BT1" s="34"/>
      <c r="BU1" s="35"/>
      <c r="BV1" s="34"/>
      <c r="BW1" s="34"/>
      <c r="BX1" s="35"/>
      <c r="BY1" s="34"/>
      <c r="BZ1" s="34"/>
      <c r="CA1" s="35"/>
      <c r="CB1" s="34"/>
      <c r="CC1" s="34"/>
      <c r="CD1" s="35"/>
      <c r="CE1" s="34"/>
      <c r="CF1" s="34"/>
      <c r="CG1" s="35"/>
      <c r="CH1" s="34"/>
      <c r="CI1" s="34"/>
      <c r="CJ1" s="35"/>
      <c r="CK1" s="34"/>
      <c r="CL1" s="34"/>
      <c r="CM1" s="35"/>
      <c r="CN1" s="34"/>
      <c r="CO1" s="34"/>
      <c r="CP1" s="35"/>
      <c r="CQ1" s="34"/>
      <c r="CR1" s="34"/>
      <c r="CS1" s="35"/>
      <c r="CT1" s="34"/>
      <c r="CU1" s="34"/>
      <c r="CV1" s="35"/>
      <c r="CW1" s="34"/>
      <c r="CX1" s="34"/>
      <c r="CY1" s="35"/>
      <c r="CZ1" s="34"/>
      <c r="DA1" s="34"/>
      <c r="DB1" s="35"/>
      <c r="DC1" s="34"/>
      <c r="DD1" s="34"/>
      <c r="DE1" s="35"/>
      <c r="DF1" s="34"/>
      <c r="DG1" s="34"/>
      <c r="DH1" s="35"/>
      <c r="DI1" s="34"/>
      <c r="DJ1" s="34"/>
      <c r="DK1" s="1523"/>
      <c r="DL1" s="34"/>
      <c r="DM1" s="34"/>
      <c r="DN1" s="1523"/>
      <c r="DO1" s="34"/>
      <c r="DP1" s="34"/>
      <c r="DQ1" s="1523"/>
      <c r="DR1" s="34"/>
      <c r="DS1" s="34"/>
      <c r="DT1" s="1523"/>
      <c r="DU1" s="34"/>
      <c r="DV1" s="34"/>
      <c r="DW1" s="1523"/>
      <c r="DX1" s="34"/>
      <c r="DY1" s="34"/>
      <c r="DZ1" s="1523"/>
      <c r="EA1" s="34"/>
      <c r="EB1" s="34"/>
      <c r="EC1" s="1523"/>
      <c r="ED1" s="34"/>
      <c r="EE1" s="34"/>
      <c r="EF1" s="1523"/>
      <c r="EG1" s="34"/>
      <c r="EH1" s="34"/>
      <c r="EI1" s="1523"/>
      <c r="EJ1" s="34"/>
      <c r="EK1" s="34"/>
      <c r="EL1" s="1523"/>
      <c r="EM1" s="34"/>
      <c r="EN1" s="34"/>
      <c r="EO1" s="1523"/>
      <c r="EP1" s="34"/>
      <c r="EQ1" s="34"/>
      <c r="ER1" s="1523"/>
      <c r="ES1" s="34"/>
      <c r="ET1" s="34"/>
      <c r="EU1" s="1523"/>
      <c r="EV1" s="34"/>
      <c r="EW1" s="34"/>
      <c r="EX1" s="1523"/>
      <c r="EY1" s="34"/>
      <c r="EZ1" s="34"/>
      <c r="FA1" s="1523"/>
      <c r="FD1"/>
      <c r="FE1"/>
      <c r="FF1"/>
      <c r="FG1"/>
      <c r="FH1"/>
      <c r="FI1"/>
    </row>
    <row r="2" spans="1:169" s="33" customFormat="1" ht="13.5" thickBot="1">
      <c r="B2" s="1020">
        <f ca="1">NOW()</f>
        <v>46065.61818391204</v>
      </c>
      <c r="E2" s="34"/>
      <c r="F2" s="34"/>
      <c r="G2" s="35"/>
      <c r="H2" s="34"/>
      <c r="I2" s="34"/>
      <c r="J2" s="35"/>
      <c r="K2" s="34"/>
      <c r="L2" s="34"/>
      <c r="M2" s="35"/>
      <c r="N2" s="34"/>
      <c r="O2" s="34"/>
      <c r="P2" s="35"/>
      <c r="Q2" s="37" t="s">
        <v>508</v>
      </c>
      <c r="R2" s="37" t="s">
        <v>508</v>
      </c>
      <c r="S2" s="38" t="s">
        <v>508</v>
      </c>
      <c r="T2" s="37" t="s">
        <v>508</v>
      </c>
      <c r="U2" s="37" t="s">
        <v>508</v>
      </c>
      <c r="V2" s="38" t="s">
        <v>508</v>
      </c>
      <c r="W2" s="37" t="s">
        <v>508</v>
      </c>
      <c r="X2" s="37" t="s">
        <v>508</v>
      </c>
      <c r="Y2" s="38" t="s">
        <v>508</v>
      </c>
      <c r="Z2" s="37" t="s">
        <v>508</v>
      </c>
      <c r="AA2" s="37" t="s">
        <v>508</v>
      </c>
      <c r="AB2" s="38" t="s">
        <v>508</v>
      </c>
      <c r="AC2" s="37" t="s">
        <v>508</v>
      </c>
      <c r="AD2" s="37" t="s">
        <v>508</v>
      </c>
      <c r="AE2" s="38" t="s">
        <v>508</v>
      </c>
      <c r="AF2" s="37" t="s">
        <v>508</v>
      </c>
      <c r="AG2" s="37" t="s">
        <v>508</v>
      </c>
      <c r="AH2" s="38" t="s">
        <v>508</v>
      </c>
      <c r="AI2" s="37" t="s">
        <v>508</v>
      </c>
      <c r="AJ2" s="37" t="s">
        <v>508</v>
      </c>
      <c r="AK2" s="38" t="s">
        <v>508</v>
      </c>
      <c r="AL2" s="37" t="s">
        <v>508</v>
      </c>
      <c r="AM2" s="34" t="s">
        <v>509</v>
      </c>
      <c r="AN2" s="35" t="s">
        <v>508</v>
      </c>
      <c r="AO2" s="34" t="s">
        <v>509</v>
      </c>
      <c r="AP2" s="34" t="s">
        <v>509</v>
      </c>
      <c r="AQ2" s="35" t="s">
        <v>508</v>
      </c>
      <c r="AR2" s="34" t="s">
        <v>509</v>
      </c>
      <c r="AS2" s="34" t="s">
        <v>509</v>
      </c>
      <c r="AT2" s="35" t="s">
        <v>509</v>
      </c>
      <c r="AU2" s="34" t="s">
        <v>509</v>
      </c>
      <c r="AV2" s="34" t="s">
        <v>509</v>
      </c>
      <c r="AW2" s="35" t="s">
        <v>508</v>
      </c>
      <c r="AX2" s="34" t="s">
        <v>509</v>
      </c>
      <c r="AY2" s="34" t="s">
        <v>509</v>
      </c>
      <c r="AZ2" s="35" t="s">
        <v>509</v>
      </c>
      <c r="BA2" s="34" t="s">
        <v>509</v>
      </c>
      <c r="BB2" s="34" t="s">
        <v>509</v>
      </c>
      <c r="BC2" s="35" t="s">
        <v>508</v>
      </c>
      <c r="BD2" s="34" t="s">
        <v>509</v>
      </c>
      <c r="BE2" s="34" t="s">
        <v>508</v>
      </c>
      <c r="BF2" s="35" t="s">
        <v>508</v>
      </c>
      <c r="BG2" s="34" t="s">
        <v>508</v>
      </c>
      <c r="BH2" s="34" t="s">
        <v>508</v>
      </c>
      <c r="BI2" s="35" t="s">
        <v>508</v>
      </c>
      <c r="BJ2" s="34" t="s">
        <v>508</v>
      </c>
      <c r="BK2" s="34" t="s">
        <v>508</v>
      </c>
      <c r="BL2" s="35" t="s">
        <v>508</v>
      </c>
      <c r="BM2" s="34" t="s">
        <v>508</v>
      </c>
      <c r="BN2" s="34" t="s">
        <v>508</v>
      </c>
      <c r="BO2" s="35" t="s">
        <v>508</v>
      </c>
      <c r="BP2" s="34" t="s">
        <v>508</v>
      </c>
      <c r="BQ2" s="34" t="s">
        <v>508</v>
      </c>
      <c r="BR2" s="35" t="s">
        <v>508</v>
      </c>
      <c r="BS2" s="34" t="s">
        <v>508</v>
      </c>
      <c r="BT2" s="34" t="s">
        <v>508</v>
      </c>
      <c r="BU2" s="35" t="s">
        <v>508</v>
      </c>
      <c r="BV2" s="34" t="s">
        <v>508</v>
      </c>
      <c r="BW2" s="34" t="s">
        <v>508</v>
      </c>
      <c r="BX2" s="35" t="s">
        <v>508</v>
      </c>
      <c r="BY2" s="34" t="s">
        <v>508</v>
      </c>
      <c r="BZ2" s="34" t="s">
        <v>508</v>
      </c>
      <c r="CA2" s="35" t="s">
        <v>508</v>
      </c>
      <c r="CB2" s="34" t="s">
        <v>508</v>
      </c>
      <c r="CC2" s="34" t="s">
        <v>508</v>
      </c>
      <c r="CD2" s="35" t="s">
        <v>508</v>
      </c>
      <c r="CE2" s="34" t="s">
        <v>508</v>
      </c>
      <c r="CF2" s="34" t="s">
        <v>508</v>
      </c>
      <c r="CG2" s="35" t="s">
        <v>508</v>
      </c>
      <c r="CH2" s="34" t="s">
        <v>508</v>
      </c>
      <c r="CI2" s="34" t="s">
        <v>508</v>
      </c>
      <c r="CJ2" s="35" t="s">
        <v>508</v>
      </c>
      <c r="CK2" s="34" t="s">
        <v>508</v>
      </c>
      <c r="CL2" s="34" t="s">
        <v>508</v>
      </c>
      <c r="CM2" s="35" t="s">
        <v>508</v>
      </c>
      <c r="CN2" s="34" t="s">
        <v>508</v>
      </c>
      <c r="CO2" s="34" t="s">
        <v>508</v>
      </c>
      <c r="CP2" s="35" t="s">
        <v>508</v>
      </c>
      <c r="CQ2" s="34" t="s">
        <v>508</v>
      </c>
      <c r="CR2" s="34" t="s">
        <v>508</v>
      </c>
      <c r="CS2" s="35" t="s">
        <v>508</v>
      </c>
      <c r="CT2" s="34" t="s">
        <v>508</v>
      </c>
      <c r="CU2" s="34" t="s">
        <v>508</v>
      </c>
      <c r="CV2" s="35" t="s">
        <v>508</v>
      </c>
      <c r="CW2" s="34" t="s">
        <v>508</v>
      </c>
      <c r="CX2" s="34" t="s">
        <v>508</v>
      </c>
      <c r="CY2" s="35" t="s">
        <v>508</v>
      </c>
      <c r="CZ2" s="34" t="s">
        <v>508</v>
      </c>
      <c r="DA2" s="34" t="s">
        <v>508</v>
      </c>
      <c r="DB2" s="35" t="s">
        <v>508</v>
      </c>
      <c r="DC2" s="34" t="s">
        <v>508</v>
      </c>
      <c r="DD2" s="34" t="s">
        <v>508</v>
      </c>
      <c r="DE2" s="1023" t="str">
        <f>+DE5</f>
        <v>A</v>
      </c>
      <c r="DF2" s="1021" t="str">
        <f t="shared" ref="DF2:EU2" si="0">+DF5</f>
        <v>A</v>
      </c>
      <c r="DG2" s="1021" t="str">
        <f t="shared" si="0"/>
        <v>A</v>
      </c>
      <c r="DH2" s="1022" t="str">
        <f t="shared" si="0"/>
        <v>A</v>
      </c>
      <c r="DI2" s="1021" t="str">
        <f t="shared" si="0"/>
        <v>A</v>
      </c>
      <c r="DJ2" s="1021" t="str">
        <f t="shared" si="0"/>
        <v>A</v>
      </c>
      <c r="DK2" s="1694" t="str">
        <f t="shared" si="0"/>
        <v>A</v>
      </c>
      <c r="DL2" s="1021" t="str">
        <f t="shared" si="0"/>
        <v>A</v>
      </c>
      <c r="DM2" s="1021" t="str">
        <f t="shared" si="0"/>
        <v>A</v>
      </c>
      <c r="DN2" s="1694" t="str">
        <f t="shared" si="0"/>
        <v>A</v>
      </c>
      <c r="DO2" s="1021" t="str">
        <f t="shared" si="0"/>
        <v>A</v>
      </c>
      <c r="DP2" s="1021" t="str">
        <f t="shared" si="0"/>
        <v>A</v>
      </c>
      <c r="DQ2" s="1694" t="str">
        <f t="shared" si="0"/>
        <v>A</v>
      </c>
      <c r="DR2" s="1021" t="str">
        <f t="shared" si="0"/>
        <v>A</v>
      </c>
      <c r="DS2" s="1021" t="str">
        <f t="shared" si="0"/>
        <v>A</v>
      </c>
      <c r="DT2" s="1703" t="str">
        <f t="shared" si="0"/>
        <v>A</v>
      </c>
      <c r="DU2" s="1021" t="s">
        <v>508</v>
      </c>
      <c r="DV2" s="1021" t="s">
        <v>508</v>
      </c>
      <c r="DW2" s="1694" t="s">
        <v>508</v>
      </c>
      <c r="DX2" s="1021" t="str">
        <f t="shared" si="0"/>
        <v>A</v>
      </c>
      <c r="DY2" s="1021" t="str">
        <f t="shared" si="0"/>
        <v>E</v>
      </c>
      <c r="DZ2" s="1694" t="str">
        <f t="shared" si="0"/>
        <v>E</v>
      </c>
      <c r="EA2" s="1021" t="str">
        <f t="shared" si="0"/>
        <v>E</v>
      </c>
      <c r="EB2" s="1021" t="str">
        <f t="shared" si="0"/>
        <v>E</v>
      </c>
      <c r="EC2" s="1694" t="str">
        <f t="shared" si="0"/>
        <v>E</v>
      </c>
      <c r="ED2" s="1021" t="str">
        <f t="shared" si="0"/>
        <v>E</v>
      </c>
      <c r="EE2" s="1021" t="str">
        <f t="shared" si="0"/>
        <v>E</v>
      </c>
      <c r="EF2" s="1694" t="str">
        <f t="shared" si="0"/>
        <v>E</v>
      </c>
      <c r="EG2" s="1021" t="str">
        <f t="shared" si="0"/>
        <v>E</v>
      </c>
      <c r="EH2" s="1021" t="str">
        <f t="shared" si="0"/>
        <v>E</v>
      </c>
      <c r="EI2" s="1694" t="str">
        <f t="shared" si="0"/>
        <v>E</v>
      </c>
      <c r="EJ2" s="1021" t="str">
        <f t="shared" si="0"/>
        <v>E</v>
      </c>
      <c r="EK2" s="1021" t="str">
        <f t="shared" si="0"/>
        <v>E</v>
      </c>
      <c r="EL2" s="1694" t="str">
        <f t="shared" si="0"/>
        <v>E</v>
      </c>
      <c r="EM2" s="1021" t="str">
        <f t="shared" si="0"/>
        <v>E</v>
      </c>
      <c r="EN2" s="1021" t="str">
        <f t="shared" si="0"/>
        <v>E</v>
      </c>
      <c r="EO2" s="1694" t="str">
        <f t="shared" si="0"/>
        <v>E</v>
      </c>
      <c r="EP2" s="1021" t="str">
        <f t="shared" si="0"/>
        <v>E</v>
      </c>
      <c r="EQ2" s="1021" t="str">
        <f t="shared" si="0"/>
        <v>E</v>
      </c>
      <c r="ER2" s="1694" t="str">
        <f t="shared" si="0"/>
        <v>E</v>
      </c>
      <c r="ES2" s="1021" t="str">
        <f t="shared" si="0"/>
        <v>E</v>
      </c>
      <c r="ET2" s="1021" t="str">
        <f t="shared" si="0"/>
        <v>E</v>
      </c>
      <c r="EU2" s="1694" t="str">
        <f t="shared" si="0"/>
        <v>E</v>
      </c>
      <c r="EV2" s="1021" t="str">
        <f t="shared" ref="EV2:FA2" si="1">+EV5</f>
        <v>E</v>
      </c>
      <c r="EW2" s="1021" t="str">
        <f t="shared" si="1"/>
        <v>E</v>
      </c>
      <c r="EX2" s="1694" t="str">
        <f t="shared" si="1"/>
        <v>E</v>
      </c>
      <c r="EY2" s="1021" t="str">
        <f t="shared" si="1"/>
        <v>E</v>
      </c>
      <c r="EZ2" s="1021" t="str">
        <f t="shared" si="1"/>
        <v>E</v>
      </c>
      <c r="FA2" s="1694" t="str">
        <f t="shared" si="1"/>
        <v>E</v>
      </c>
      <c r="FD2"/>
      <c r="FE2"/>
      <c r="FF2"/>
      <c r="FG2"/>
      <c r="FH2"/>
      <c r="FI2"/>
    </row>
    <row r="3" spans="1:169" s="33" customFormat="1">
      <c r="A3" s="1024"/>
      <c r="B3" s="1025"/>
      <c r="C3" s="1026"/>
      <c r="D3" s="1026"/>
      <c r="E3" s="1027"/>
      <c r="F3" s="1027"/>
      <c r="G3" s="1028"/>
      <c r="H3" s="1027"/>
      <c r="I3" s="1027"/>
      <c r="J3" s="1028"/>
      <c r="K3" s="1027"/>
      <c r="L3" s="1027"/>
      <c r="M3" s="1028"/>
      <c r="N3" s="1027"/>
      <c r="O3" s="1027"/>
      <c r="P3" s="1028"/>
      <c r="Q3" s="1029"/>
      <c r="R3" s="1030"/>
      <c r="S3" s="35"/>
      <c r="T3" s="1031"/>
      <c r="U3" s="1032"/>
      <c r="V3" s="1033"/>
      <c r="W3" s="1034"/>
      <c r="X3" s="1021"/>
      <c r="Y3" s="1022"/>
      <c r="Z3" s="1021"/>
      <c r="AA3" s="1021"/>
      <c r="AB3" s="1022"/>
      <c r="AC3" s="1021"/>
      <c r="AD3" s="1021"/>
      <c r="AE3" s="1022"/>
      <c r="AF3" s="1021"/>
      <c r="AG3" s="1021"/>
      <c r="AH3" s="1022"/>
      <c r="AI3" s="1021"/>
      <c r="AJ3" s="1021"/>
      <c r="AK3" s="1022"/>
      <c r="AL3" s="1021"/>
      <c r="AM3" s="34"/>
      <c r="AN3" s="35"/>
      <c r="AO3" s="34"/>
      <c r="AP3" s="34"/>
      <c r="AQ3" s="35"/>
      <c r="AR3" s="34"/>
      <c r="AS3" s="34"/>
      <c r="AT3" s="35"/>
      <c r="AU3" s="34"/>
      <c r="AV3" s="34"/>
      <c r="AW3" s="35"/>
      <c r="AX3" s="34"/>
      <c r="AY3" s="34"/>
      <c r="AZ3" s="35"/>
      <c r="BA3" s="34"/>
      <c r="BB3" s="34"/>
      <c r="BC3" s="35"/>
      <c r="BD3" s="34"/>
      <c r="BE3" s="34"/>
      <c r="BF3" s="35"/>
      <c r="BG3" s="34" t="s">
        <v>508</v>
      </c>
      <c r="BH3" s="34" t="s">
        <v>508</v>
      </c>
      <c r="BI3" s="35" t="s">
        <v>508</v>
      </c>
      <c r="BJ3" s="34"/>
      <c r="BK3" s="1035"/>
      <c r="BL3" s="35"/>
      <c r="BM3" s="34"/>
      <c r="BN3" s="34"/>
      <c r="BO3" s="35"/>
      <c r="BP3" s="34"/>
      <c r="BQ3" s="34"/>
      <c r="BR3" s="35"/>
      <c r="BS3" s="34"/>
      <c r="BT3" s="34"/>
      <c r="BU3" s="35"/>
      <c r="BV3" s="34"/>
      <c r="BW3" s="34"/>
      <c r="BX3" s="35"/>
      <c r="BY3" s="34"/>
      <c r="BZ3" s="34"/>
      <c r="CA3" s="35"/>
      <c r="CB3" s="34"/>
      <c r="CC3" s="34"/>
      <c r="CD3" s="35"/>
      <c r="CE3" s="34"/>
      <c r="CF3" s="34"/>
      <c r="CG3" s="35"/>
      <c r="CH3" s="34"/>
      <c r="CI3" s="34"/>
      <c r="CJ3" s="35"/>
      <c r="CK3" s="34"/>
      <c r="CL3" s="34"/>
      <c r="CM3" s="35"/>
      <c r="CN3" s="34"/>
      <c r="CO3" s="34"/>
      <c r="CP3" s="35"/>
      <c r="CQ3" s="34"/>
      <c r="CR3" s="34"/>
      <c r="CS3" s="35"/>
      <c r="CT3" s="34"/>
      <c r="CU3" s="34"/>
      <c r="CV3" s="35"/>
      <c r="CW3" s="34"/>
      <c r="CX3" s="34"/>
      <c r="CY3" s="35"/>
      <c r="CZ3" s="34"/>
      <c r="DA3" s="34"/>
      <c r="DB3" s="35"/>
      <c r="DC3" s="34"/>
      <c r="DD3" s="34"/>
      <c r="DE3" s="35"/>
      <c r="DF3" s="34"/>
      <c r="DG3" s="34"/>
      <c r="DH3" s="35"/>
      <c r="DI3" s="34"/>
      <c r="DJ3" s="34"/>
      <c r="DK3" s="1523"/>
      <c r="DL3" s="34"/>
      <c r="DM3" s="34"/>
      <c r="DN3" s="1523"/>
      <c r="DO3" s="34"/>
      <c r="DP3" s="34"/>
      <c r="DQ3" s="1523"/>
      <c r="DR3" s="34"/>
      <c r="DS3" s="34"/>
      <c r="DT3" s="1523"/>
      <c r="DU3" s="34"/>
      <c r="DV3" s="34"/>
      <c r="DW3" s="1523"/>
      <c r="DX3" s="34"/>
      <c r="DY3" s="34"/>
      <c r="DZ3" s="1523"/>
      <c r="EA3" s="34"/>
      <c r="EB3" s="34"/>
      <c r="EC3" s="1523"/>
      <c r="ED3" s="34"/>
      <c r="EE3" s="34"/>
      <c r="EF3" s="1523"/>
      <c r="EG3" s="34"/>
      <c r="EH3" s="34"/>
      <c r="EI3" s="1523"/>
      <c r="EJ3" s="34"/>
      <c r="EK3" s="34"/>
      <c r="EL3" s="1523"/>
      <c r="EM3" s="34"/>
      <c r="EN3" s="34"/>
      <c r="EO3" s="1523"/>
      <c r="EP3" s="34"/>
      <c r="EQ3" s="34"/>
      <c r="ER3" s="1523"/>
      <c r="ES3" s="34"/>
      <c r="ET3" s="34"/>
      <c r="EU3" s="1523"/>
      <c r="EV3" s="34"/>
      <c r="EW3" s="34"/>
      <c r="EX3" s="1523"/>
      <c r="EY3" s="34"/>
      <c r="EZ3" s="34"/>
      <c r="FA3" s="1523"/>
      <c r="FD3"/>
      <c r="FE3"/>
      <c r="FF3"/>
      <c r="FG3"/>
      <c r="FH3"/>
      <c r="FI3"/>
    </row>
    <row r="4" spans="1:169" s="1036" customFormat="1">
      <c r="A4" s="48" t="s">
        <v>275</v>
      </c>
      <c r="B4" s="48"/>
      <c r="D4" s="49" t="s">
        <v>1074</v>
      </c>
      <c r="E4" s="1037" t="s">
        <v>276</v>
      </c>
      <c r="F4" s="1037" t="s">
        <v>277</v>
      </c>
      <c r="G4" s="1037" t="s">
        <v>278</v>
      </c>
      <c r="H4" s="1037" t="s">
        <v>279</v>
      </c>
      <c r="I4" s="1037" t="s">
        <v>280</v>
      </c>
      <c r="J4" s="1037" t="s">
        <v>281</v>
      </c>
      <c r="K4" s="1037" t="s">
        <v>282</v>
      </c>
      <c r="L4" s="1037" t="s">
        <v>283</v>
      </c>
      <c r="M4" s="1037" t="s">
        <v>284</v>
      </c>
      <c r="N4" s="1037" t="s">
        <v>285</v>
      </c>
      <c r="O4" s="1037" t="s">
        <v>661</v>
      </c>
      <c r="P4" s="1037" t="s">
        <v>662</v>
      </c>
      <c r="Q4" s="1037" t="s">
        <v>663</v>
      </c>
      <c r="R4" s="1037" t="s">
        <v>664</v>
      </c>
      <c r="S4" s="1037" t="s">
        <v>665</v>
      </c>
      <c r="T4" s="1037" t="s">
        <v>666</v>
      </c>
      <c r="U4" s="1037" t="s">
        <v>667</v>
      </c>
      <c r="V4" s="1037" t="s">
        <v>668</v>
      </c>
      <c r="W4" s="1037" t="s">
        <v>669</v>
      </c>
      <c r="X4" s="1037" t="s">
        <v>706</v>
      </c>
      <c r="Y4" s="1037" t="s">
        <v>707</v>
      </c>
      <c r="Z4" s="1037" t="s">
        <v>708</v>
      </c>
      <c r="AA4" s="1037" t="s">
        <v>709</v>
      </c>
      <c r="AB4" s="1037" t="s">
        <v>710</v>
      </c>
      <c r="AC4" s="1037" t="s">
        <v>711</v>
      </c>
      <c r="AD4" s="1037" t="s">
        <v>712</v>
      </c>
      <c r="AE4" s="1037" t="s">
        <v>713</v>
      </c>
      <c r="AF4" s="1037" t="s">
        <v>714</v>
      </c>
      <c r="AG4" s="1037" t="s">
        <v>715</v>
      </c>
      <c r="AH4" s="1037" t="s">
        <v>716</v>
      </c>
      <c r="AI4" s="1037" t="s">
        <v>717</v>
      </c>
      <c r="AJ4" s="1037" t="s">
        <v>718</v>
      </c>
      <c r="AK4" s="1037" t="s">
        <v>719</v>
      </c>
      <c r="AL4" s="1037" t="s">
        <v>720</v>
      </c>
      <c r="AM4" s="50" t="str">
        <f>IF(AM5="E","2h96f","2h96")</f>
        <v>2h96</v>
      </c>
      <c r="AN4" s="50" t="str">
        <f>IF(AN5="E","1996f","1996")</f>
        <v>1996</v>
      </c>
      <c r="AO4" s="50" t="str">
        <f>IF(AO5="E","1h97f","1h97")</f>
        <v>1h97</v>
      </c>
      <c r="AP4" s="50" t="str">
        <f>IF(AP5="E","2h97f","2h97")</f>
        <v>2h97</v>
      </c>
      <c r="AQ4" s="50" t="str">
        <f>IF(AQ5="E","1997f","1997")</f>
        <v>1997</v>
      </c>
      <c r="AR4" s="50" t="str">
        <f>IF(AR5="E","1h98f","1h98")</f>
        <v>1h98</v>
      </c>
      <c r="AS4" s="50" t="str">
        <f>IF(AS5="E","2h98f","2h98")</f>
        <v>2h98</v>
      </c>
      <c r="AT4" s="50" t="str">
        <f>IF(AT5="E","1998f","1998a")</f>
        <v>1998a</v>
      </c>
      <c r="AU4" s="50" t="str">
        <f>IF(AU5="E","1h99f","1h99")</f>
        <v>1h99</v>
      </c>
      <c r="AV4" s="50" t="str">
        <f>IF(AV5="E","2h99f","2h99")</f>
        <v>2h99</v>
      </c>
      <c r="AW4" s="50" t="str">
        <f>IF(AW5="E","1999f","1999a")</f>
        <v>1999a</v>
      </c>
      <c r="AX4" s="50" t="str">
        <f>IF(AX5="E","1h00f","1h00")</f>
        <v>1h00</v>
      </c>
      <c r="AY4" s="50" t="str">
        <f>IF(AY5="E","2h00f","2h00")</f>
        <v>2h00</v>
      </c>
      <c r="AZ4" s="50" t="str">
        <f>IF(AZ5="E","2000f","2000a")</f>
        <v>2000a</v>
      </c>
      <c r="BA4" s="50" t="str">
        <f>IF(BA5="E","1h01f","1h01")</f>
        <v>1h01</v>
      </c>
      <c r="BB4" s="50" t="str">
        <f>IF(BB5="E","2h01f","2h01")</f>
        <v>2h01</v>
      </c>
      <c r="BC4" s="50" t="str">
        <f>IF(BC5="E","2001f","2001a")</f>
        <v>2001a</v>
      </c>
      <c r="BD4" s="50" t="str">
        <f>IF(BD5="E","1h02f","1h02")</f>
        <v>1h02</v>
      </c>
      <c r="BE4" s="50" t="str">
        <f>IF(BE5="E","2h02f","2h02")</f>
        <v>2h02f</v>
      </c>
      <c r="BF4" s="50" t="str">
        <f>IF(BF5="E","2002f","2002")</f>
        <v>2002</v>
      </c>
      <c r="BG4" s="50" t="str">
        <f>IF(BG5="E","1h03f","1h03")</f>
        <v>1h03</v>
      </c>
      <c r="BH4" s="50" t="str">
        <f>IF(BH5="E","2h03f","2h03")</f>
        <v>2h03</v>
      </c>
      <c r="BI4" s="50" t="str">
        <f>IF(BI5="E","2003f","2003")</f>
        <v>2003</v>
      </c>
      <c r="BJ4" s="50" t="str">
        <f>IF(BJ5="E","1h04f","1h04")</f>
        <v>1h04</v>
      </c>
      <c r="BK4" s="50" t="str">
        <f>IF(BK5="E","2h04f","2h04")</f>
        <v>2h04</v>
      </c>
      <c r="BL4" s="50" t="str">
        <f>IF(BL5="E","2004f","2004")</f>
        <v>2004</v>
      </c>
      <c r="BM4" s="50" t="str">
        <f>IF(BM5="E","1h05f","1h05")</f>
        <v>1h05</v>
      </c>
      <c r="BN4" s="50" t="str">
        <f>IF(BN5="E","2h05f","2h05")</f>
        <v>2h05</v>
      </c>
      <c r="BO4" s="50" t="str">
        <f>IF(BO5="E","2005f","2005")</f>
        <v>2005</v>
      </c>
      <c r="BP4" s="50" t="str">
        <f>IF(BP5="E","1h06f","1h06")</f>
        <v>1h06</v>
      </c>
      <c r="BQ4" s="50" t="str">
        <f>IF(BQ5="E","2h06f","2h06")</f>
        <v>2h06</v>
      </c>
      <c r="BR4" s="50" t="str">
        <f>IF(BR5="E","2006f","2006")</f>
        <v>2006</v>
      </c>
      <c r="BS4" s="50" t="str">
        <f>IF(BS5="E","1h07e","1h07")</f>
        <v>1h07</v>
      </c>
      <c r="BT4" s="50" t="str">
        <f>IF(BT5="E","2h07E","2h07")</f>
        <v>2h07</v>
      </c>
      <c r="BU4" s="50" t="str">
        <f>IF(BU5="E","2007E","2007")</f>
        <v>2007</v>
      </c>
      <c r="BV4" s="50" t="str">
        <f>IF(BV5="E","1h08E","1h08")</f>
        <v>1h08</v>
      </c>
      <c r="BW4" s="50" t="str">
        <f>IF(BW5="E","2h08E","2h08")</f>
        <v>2h08</v>
      </c>
      <c r="BX4" s="50" t="str">
        <f>IF(BX5="E","2008E","2008")</f>
        <v>2008</v>
      </c>
      <c r="BY4" s="50" t="str">
        <f>IF(BY5="E","1h09E","1h09")</f>
        <v>1h09</v>
      </c>
      <c r="BZ4" s="50" t="str">
        <f>IF(BZ5="E","2h09E","2h09")</f>
        <v>2h09</v>
      </c>
      <c r="CA4" s="50" t="str">
        <f>IF(CA5="E","2009E","2009")</f>
        <v>2009</v>
      </c>
      <c r="CB4" s="50" t="str">
        <f>IF(CB5="E","1h10E","1h10")</f>
        <v>1h10</v>
      </c>
      <c r="CC4" s="50" t="str">
        <f>IF(CC5="E","2h10E","2h10")</f>
        <v>2h10</v>
      </c>
      <c r="CD4" s="50" t="str">
        <f>IF(CD5="E","2010E","2010")</f>
        <v>2010</v>
      </c>
      <c r="CE4" s="50" t="str">
        <f>IF(CE5="E","1h11E","1h11")</f>
        <v>1h11</v>
      </c>
      <c r="CF4" s="50" t="str">
        <f>IF(CF5="E","2h11E","2h11")</f>
        <v>2h11</v>
      </c>
      <c r="CG4" s="50" t="str">
        <f>IF(CG5="E","2011E","2011")</f>
        <v>2011</v>
      </c>
      <c r="CH4" s="50" t="str">
        <f>IF(CH5="E","1h12E","1h12")</f>
        <v>1h12</v>
      </c>
      <c r="CI4" s="50" t="str">
        <f>IF(CI5="E","2h12E","2h12")</f>
        <v>2h12</v>
      </c>
      <c r="CJ4" s="50" t="str">
        <f>IF(CJ5="E","2012E","2012")</f>
        <v>2012</v>
      </c>
      <c r="CK4" s="50" t="str">
        <f>IF(CK5="E","1h13E","1h13")</f>
        <v>1h13</v>
      </c>
      <c r="CL4" s="50" t="str">
        <f>IF(CL5="E","2h13E","2h13")</f>
        <v>2h13</v>
      </c>
      <c r="CM4" s="50" t="str">
        <f>IF(CM5="E","2013E","2013")</f>
        <v>2013</v>
      </c>
      <c r="CN4" s="50" t="str">
        <f>IF(CN5="E","1h14E","1h14")</f>
        <v>1h14</v>
      </c>
      <c r="CO4" s="50" t="str">
        <f>IF(CO5="E","2h14E","2h14")</f>
        <v>2h14</v>
      </c>
      <c r="CP4" s="50" t="str">
        <f>IF(CP5="E","2014E","2014")</f>
        <v>2014</v>
      </c>
      <c r="CQ4" s="50" t="str">
        <f>IF(CQ5="E","1h15E","1h15")</f>
        <v>1h15</v>
      </c>
      <c r="CR4" s="50" t="str">
        <f>IF(CR5="E","2h15E","2h15")</f>
        <v>2h15</v>
      </c>
      <c r="CS4" s="50" t="str">
        <f>IF(CS5="E","2015E","2015")</f>
        <v>2015</v>
      </c>
      <c r="CT4" s="50" t="str">
        <f>IF(CT5="E","1h16E","1h16")</f>
        <v>1h16</v>
      </c>
      <c r="CU4" s="50" t="str">
        <f>IF(CU5="E","2h16E","2h16")</f>
        <v>2h16</v>
      </c>
      <c r="CV4" s="50" t="str">
        <f>IF(CV5="E","2016E","2016")</f>
        <v>2016</v>
      </c>
      <c r="CW4" s="50" t="str">
        <f>IF(CW5="E","1h17E","1h17")</f>
        <v>1h17</v>
      </c>
      <c r="CX4" s="50" t="str">
        <f>IF(CX5="E","2h17E","2h17")</f>
        <v>2h17</v>
      </c>
      <c r="CY4" s="50" t="str">
        <f>IF(CY5="E","2017E","2017")</f>
        <v>2017</v>
      </c>
      <c r="CZ4" s="50" t="str">
        <f>IF(CZ5="E","1h18E","1h18")</f>
        <v>1h18</v>
      </c>
      <c r="DA4" s="50" t="str">
        <f>IF(DA5="E","2h18E","2h18")</f>
        <v>2h18</v>
      </c>
      <c r="DB4" s="50" t="str">
        <f>IF(DB5="E","2018E","2018")</f>
        <v>2018</v>
      </c>
      <c r="DC4" s="50" t="str">
        <f>IF(DC5="E","1h19E","1h19")</f>
        <v>1h19</v>
      </c>
      <c r="DD4" s="50" t="str">
        <f>IF(DD5="E","2h19E","2h19")</f>
        <v>2h19</v>
      </c>
      <c r="DE4" s="50" t="str">
        <f>IF(DE5="E","2019E","2019")</f>
        <v>2019</v>
      </c>
      <c r="DF4" s="50" t="str">
        <f>IF(DF5="E","1h20E","1h20")</f>
        <v>1h20</v>
      </c>
      <c r="DG4" s="50" t="str">
        <f>IF(DG5="E","2h20E","2h20")</f>
        <v>2h20</v>
      </c>
      <c r="DH4" s="50" t="str">
        <f>IF(DH5="E","2020E","2020")</f>
        <v>2020</v>
      </c>
      <c r="DI4" s="50" t="str">
        <f>IF(DI5="E","1h21E","1h21")</f>
        <v>1h21</v>
      </c>
      <c r="DJ4" s="50" t="str">
        <f>IF(DJ5="E","2h21E","2h21")</f>
        <v>2h21</v>
      </c>
      <c r="DK4" s="64" t="str">
        <f>IF(DK5="E","2021E","2021")</f>
        <v>2021</v>
      </c>
      <c r="DL4" s="50" t="str">
        <f>IF(DL5="E","1h22E","1h22")</f>
        <v>1h22</v>
      </c>
      <c r="DM4" s="50" t="str">
        <f>IF(DM5="E","2h22E","2h22")</f>
        <v>2h22</v>
      </c>
      <c r="DN4" s="64" t="str">
        <f>IF(DN5="E","2022E","2022")</f>
        <v>2022</v>
      </c>
      <c r="DO4" s="50" t="str">
        <f>IF(DO5="E","1h23E","1h23")</f>
        <v>1h23</v>
      </c>
      <c r="DP4" s="50" t="str">
        <f>IF(DP5="E","2h23E","2h23")</f>
        <v>2h23</v>
      </c>
      <c r="DQ4" s="64" t="str">
        <f>IF(DQ5="E","2023E","2023")</f>
        <v>2023</v>
      </c>
      <c r="DR4" s="50" t="str">
        <f>IF(DR5="E","1h24E","1h24")</f>
        <v>1h24</v>
      </c>
      <c r="DS4" s="50" t="str">
        <f>IF(DS5="E","2h24E","2h24")</f>
        <v>2h24</v>
      </c>
      <c r="DT4" s="64" t="str">
        <f>IF(DT5="E","2024E","2024")</f>
        <v>2024</v>
      </c>
      <c r="DU4" s="50" t="str">
        <f>IF(DU5="E","1h25E","1h25")</f>
        <v>1h25</v>
      </c>
      <c r="DV4" s="50" t="str">
        <f>IF(DV5="E","2h25E","2h25")</f>
        <v>2h25</v>
      </c>
      <c r="DW4" s="64" t="str">
        <f>IF(DW5="E","2025E","2025")</f>
        <v>2025</v>
      </c>
      <c r="DX4" s="50" t="str">
        <f>IF(DX5="E","1h26E","1h26")</f>
        <v>1h26</v>
      </c>
      <c r="DY4" s="50" t="str">
        <f>IF(DY5="E","2h26E","2h26")</f>
        <v>2h26E</v>
      </c>
      <c r="DZ4" s="64" t="str">
        <f>IF(DZ5="E","2026E","2026")</f>
        <v>2026E</v>
      </c>
      <c r="EA4" s="50" t="str">
        <f>IF(EA5="E","1h27E","1h27")</f>
        <v>1h27E</v>
      </c>
      <c r="EB4" s="50" t="str">
        <f>IF(EB5="E","2h27E","2h27")</f>
        <v>2h27E</v>
      </c>
      <c r="EC4" s="64" t="str">
        <f>IF(EC5="E","2027E","2027")</f>
        <v>2027E</v>
      </c>
      <c r="ED4" s="50" t="str">
        <f>IF(ED5="E","1h28E","1h28")</f>
        <v>1h28E</v>
      </c>
      <c r="EE4" s="50" t="str">
        <f>IF(EE5="E","2h28E","2h28")</f>
        <v>2h28E</v>
      </c>
      <c r="EF4" s="64" t="str">
        <f>IF(EF5="E","2028E","2028")</f>
        <v>2028E</v>
      </c>
      <c r="EG4" s="50" t="str">
        <f>IF(EG5="E","1h29E","1h29")</f>
        <v>1h29E</v>
      </c>
      <c r="EH4" s="50" t="str">
        <f>IF(EH5="E","2h29E","2h29")</f>
        <v>2h29E</v>
      </c>
      <c r="EI4" s="64" t="str">
        <f>IF(EI5="E","2029E","2029")</f>
        <v>2029E</v>
      </c>
      <c r="EJ4" s="50" t="str">
        <f>IF(EJ5="E","1h30E","1h30")</f>
        <v>1h30E</v>
      </c>
      <c r="EK4" s="50" t="str">
        <f>IF(EK5="E","2h30E","2h30")</f>
        <v>2h30E</v>
      </c>
      <c r="EL4" s="64" t="str">
        <f>IF(EL5="E","2030E","2030")</f>
        <v>2030E</v>
      </c>
      <c r="EM4" s="50" t="str">
        <f>IF(EM5="E","1h31E","1h31")</f>
        <v>1h31E</v>
      </c>
      <c r="EN4" s="50" t="str">
        <f>IF(EN5="E","2h31E","2h31")</f>
        <v>2h31E</v>
      </c>
      <c r="EO4" s="64" t="str">
        <f>IF(EO5="E","2031E","2031")</f>
        <v>2031E</v>
      </c>
      <c r="EP4" s="50" t="str">
        <f>IF(EP5="E","1h32E","1h32")</f>
        <v>1h32E</v>
      </c>
      <c r="EQ4" s="50" t="str">
        <f>IF(EQ5="E","2h32E","2h32")</f>
        <v>2h32E</v>
      </c>
      <c r="ER4" s="64" t="str">
        <f>IF(ER5="E","2032E","2032")</f>
        <v>2032E</v>
      </c>
      <c r="ES4" s="50" t="str">
        <f>IF(ES5="E","1h33E","1h33")</f>
        <v>1h33E</v>
      </c>
      <c r="ET4" s="50" t="str">
        <f>IF(ET5="E","2h33E","2h33")</f>
        <v>2h33E</v>
      </c>
      <c r="EU4" s="64" t="str">
        <f>IF(EU5="E","2033E","2033")</f>
        <v>2033E</v>
      </c>
      <c r="EV4" s="50" t="str">
        <f>IF(EV5="E","1h34E","1h34")</f>
        <v>1h34E</v>
      </c>
      <c r="EW4" s="50" t="str">
        <f>IF(EW5="E","2h34E","2h34")</f>
        <v>2h34E</v>
      </c>
      <c r="EX4" s="64" t="str">
        <f>IF(EX5="E","2034E","2034")</f>
        <v>2034E</v>
      </c>
      <c r="EY4" s="50" t="str">
        <f>IF(EY5="E","1h35E","1h35")</f>
        <v>1h35E</v>
      </c>
      <c r="EZ4" s="50" t="str">
        <f>IF(EZ5="E","2h35E","2h35")</f>
        <v>2h35E</v>
      </c>
      <c r="FA4" s="64" t="str">
        <f>IF(FA5="E","2035E","2035")</f>
        <v>2035E</v>
      </c>
      <c r="FD4"/>
      <c r="FE4"/>
      <c r="FF4"/>
      <c r="FG4"/>
      <c r="FH4"/>
      <c r="FI4"/>
    </row>
    <row r="5" spans="1:169" s="33" customFormat="1">
      <c r="B5" s="1038" t="s">
        <v>589</v>
      </c>
      <c r="C5" s="35"/>
      <c r="D5" s="1039"/>
      <c r="E5" s="1040" t="s">
        <v>508</v>
      </c>
      <c r="F5" s="1040" t="s">
        <v>508</v>
      </c>
      <c r="G5" s="1023" t="s">
        <v>508</v>
      </c>
      <c r="H5" s="1040" t="s">
        <v>508</v>
      </c>
      <c r="I5" s="1040" t="s">
        <v>508</v>
      </c>
      <c r="J5" s="1023" t="s">
        <v>508</v>
      </c>
      <c r="K5" s="1040" t="s">
        <v>508</v>
      </c>
      <c r="L5" s="1040" t="s">
        <v>508</v>
      </c>
      <c r="M5" s="1023" t="s">
        <v>508</v>
      </c>
      <c r="N5" s="1040" t="s">
        <v>508</v>
      </c>
      <c r="O5" s="1040" t="s">
        <v>508</v>
      </c>
      <c r="P5" s="1023" t="s">
        <v>508</v>
      </c>
      <c r="Q5" s="1040" t="s">
        <v>508</v>
      </c>
      <c r="R5" s="1040" t="s">
        <v>508</v>
      </c>
      <c r="S5" s="1023" t="s">
        <v>508</v>
      </c>
      <c r="T5" s="1040" t="s">
        <v>508</v>
      </c>
      <c r="U5" s="1040" t="s">
        <v>508</v>
      </c>
      <c r="V5" s="1023" t="s">
        <v>508</v>
      </c>
      <c r="W5" s="1040" t="s">
        <v>508</v>
      </c>
      <c r="X5" s="1040" t="s">
        <v>508</v>
      </c>
      <c r="Y5" s="1023" t="s">
        <v>508</v>
      </c>
      <c r="Z5" s="1040" t="s">
        <v>508</v>
      </c>
      <c r="AA5" s="1040" t="s">
        <v>508</v>
      </c>
      <c r="AB5" s="1023" t="s">
        <v>508</v>
      </c>
      <c r="AC5" s="1040" t="s">
        <v>508</v>
      </c>
      <c r="AD5" s="1040" t="s">
        <v>508</v>
      </c>
      <c r="AE5" s="1023" t="s">
        <v>508</v>
      </c>
      <c r="AF5" s="1040" t="s">
        <v>508</v>
      </c>
      <c r="AG5" s="1040" t="s">
        <v>508</v>
      </c>
      <c r="AH5" s="1023" t="s">
        <v>508</v>
      </c>
      <c r="AI5" s="1023" t="s">
        <v>508</v>
      </c>
      <c r="AJ5" s="1040" t="s">
        <v>508</v>
      </c>
      <c r="AK5" s="1040" t="s">
        <v>508</v>
      </c>
      <c r="AL5" s="1023" t="s">
        <v>508</v>
      </c>
      <c r="AM5" s="1040" t="s">
        <v>508</v>
      </c>
      <c r="AN5" s="1040" t="s">
        <v>508</v>
      </c>
      <c r="AO5" s="1023" t="s">
        <v>508</v>
      </c>
      <c r="AP5" s="1040" t="s">
        <v>508</v>
      </c>
      <c r="AQ5" s="1040" t="s">
        <v>508</v>
      </c>
      <c r="AR5" s="1023" t="s">
        <v>508</v>
      </c>
      <c r="AS5" s="1040" t="s">
        <v>508</v>
      </c>
      <c r="AT5" s="1040" t="s">
        <v>508</v>
      </c>
      <c r="AU5" s="1023" t="s">
        <v>508</v>
      </c>
      <c r="AV5" s="1040" t="s">
        <v>508</v>
      </c>
      <c r="AW5" s="1040" t="s">
        <v>508</v>
      </c>
      <c r="AX5" s="1023" t="s">
        <v>508</v>
      </c>
      <c r="AY5" s="1040" t="s">
        <v>508</v>
      </c>
      <c r="AZ5" s="1040" t="s">
        <v>508</v>
      </c>
      <c r="BA5" s="1023" t="s">
        <v>508</v>
      </c>
      <c r="BB5" s="1040" t="s">
        <v>508</v>
      </c>
      <c r="BC5" s="1040" t="s">
        <v>508</v>
      </c>
      <c r="BD5" s="1023" t="s">
        <v>508</v>
      </c>
      <c r="BE5" s="1040" t="s">
        <v>509</v>
      </c>
      <c r="BF5" s="1040" t="s">
        <v>508</v>
      </c>
      <c r="BG5" s="1023" t="s">
        <v>508</v>
      </c>
      <c r="BH5" s="1040" t="s">
        <v>508</v>
      </c>
      <c r="BI5" s="1040" t="s">
        <v>508</v>
      </c>
      <c r="BJ5" s="1023" t="s">
        <v>508</v>
      </c>
      <c r="BK5" s="1040" t="s">
        <v>508</v>
      </c>
      <c r="BL5" s="1040" t="s">
        <v>508</v>
      </c>
      <c r="BM5" s="1023" t="s">
        <v>508</v>
      </c>
      <c r="BN5" s="1023" t="s">
        <v>508</v>
      </c>
      <c r="BO5" s="1040" t="s">
        <v>508</v>
      </c>
      <c r="BP5" s="1023" t="s">
        <v>508</v>
      </c>
      <c r="BQ5" s="1023" t="s">
        <v>508</v>
      </c>
      <c r="BR5" s="1040" t="s">
        <v>508</v>
      </c>
      <c r="BS5" s="1023" t="s">
        <v>508</v>
      </c>
      <c r="BT5" s="1023" t="s">
        <v>508</v>
      </c>
      <c r="BU5" s="1040" t="s">
        <v>508</v>
      </c>
      <c r="BV5" s="1023" t="s">
        <v>508</v>
      </c>
      <c r="BW5" s="1023" t="s">
        <v>508</v>
      </c>
      <c r="BX5" s="1040" t="s">
        <v>508</v>
      </c>
      <c r="BY5" s="1023" t="s">
        <v>508</v>
      </c>
      <c r="BZ5" s="1023" t="s">
        <v>508</v>
      </c>
      <c r="CA5" s="1040" t="s">
        <v>508</v>
      </c>
      <c r="CB5" s="1023" t="s">
        <v>508</v>
      </c>
      <c r="CC5" s="1023" t="s">
        <v>508</v>
      </c>
      <c r="CD5" s="1040" t="s">
        <v>508</v>
      </c>
      <c r="CE5" s="1023" t="s">
        <v>508</v>
      </c>
      <c r="CF5" s="1023" t="s">
        <v>508</v>
      </c>
      <c r="CG5" s="1040" t="s">
        <v>508</v>
      </c>
      <c r="CH5" s="1023" t="s">
        <v>508</v>
      </c>
      <c r="CI5" s="1023" t="s">
        <v>508</v>
      </c>
      <c r="CJ5" s="1040" t="s">
        <v>508</v>
      </c>
      <c r="CK5" s="1023" t="s">
        <v>508</v>
      </c>
      <c r="CL5" s="1023" t="s">
        <v>508</v>
      </c>
      <c r="CM5" s="1040" t="s">
        <v>508</v>
      </c>
      <c r="CN5" s="1023" t="s">
        <v>508</v>
      </c>
      <c r="CO5" s="1023" t="s">
        <v>508</v>
      </c>
      <c r="CP5" s="1040" t="s">
        <v>508</v>
      </c>
      <c r="CQ5" s="1023" t="s">
        <v>508</v>
      </c>
      <c r="CR5" s="1023" t="s">
        <v>508</v>
      </c>
      <c r="CS5" s="1040" t="s">
        <v>508</v>
      </c>
      <c r="CT5" s="1023" t="s">
        <v>508</v>
      </c>
      <c r="CU5" s="1023" t="s">
        <v>508</v>
      </c>
      <c r="CV5" s="1040" t="s">
        <v>508</v>
      </c>
      <c r="CW5" s="1023" t="s">
        <v>508</v>
      </c>
      <c r="CX5" s="1023" t="s">
        <v>508</v>
      </c>
      <c r="CY5" s="1040" t="s">
        <v>508</v>
      </c>
      <c r="CZ5" s="1023" t="s">
        <v>508</v>
      </c>
      <c r="DA5" s="34" t="s">
        <v>508</v>
      </c>
      <c r="DB5" s="35" t="s">
        <v>508</v>
      </c>
      <c r="DC5" s="1023" t="s">
        <v>508</v>
      </c>
      <c r="DD5" s="1023" t="s">
        <v>508</v>
      </c>
      <c r="DE5" s="1041" t="s">
        <v>508</v>
      </c>
      <c r="DF5" s="1023" t="s">
        <v>508</v>
      </c>
      <c r="DG5" s="1023" t="s">
        <v>508</v>
      </c>
      <c r="DH5" s="1041" t="s">
        <v>508</v>
      </c>
      <c r="DI5" s="1023" t="s">
        <v>508</v>
      </c>
      <c r="DJ5" s="1023" t="s">
        <v>508</v>
      </c>
      <c r="DK5" s="1041" t="s">
        <v>508</v>
      </c>
      <c r="DL5" s="1023" t="s">
        <v>508</v>
      </c>
      <c r="DM5" s="1023" t="s">
        <v>508</v>
      </c>
      <c r="DN5" s="1041" t="s">
        <v>508</v>
      </c>
      <c r="DO5" s="1023" t="s">
        <v>508</v>
      </c>
      <c r="DP5" s="1023" t="s">
        <v>508</v>
      </c>
      <c r="DQ5" s="1041" t="s">
        <v>508</v>
      </c>
      <c r="DR5" s="1023" t="s">
        <v>508</v>
      </c>
      <c r="DS5" s="1023" t="s">
        <v>508</v>
      </c>
      <c r="DT5" s="1041" t="s">
        <v>508</v>
      </c>
      <c r="DU5" s="1023" t="s">
        <v>508</v>
      </c>
      <c r="DV5" s="1023" t="s">
        <v>508</v>
      </c>
      <c r="DW5" s="1041" t="s">
        <v>1059</v>
      </c>
      <c r="DX5" s="1023" t="s">
        <v>508</v>
      </c>
      <c r="DY5" s="1023" t="s">
        <v>509</v>
      </c>
      <c r="DZ5" s="1041" t="s">
        <v>509</v>
      </c>
      <c r="EA5" s="1023" t="s">
        <v>509</v>
      </c>
      <c r="EB5" s="1023" t="s">
        <v>509</v>
      </c>
      <c r="EC5" s="1041" t="s">
        <v>509</v>
      </c>
      <c r="ED5" s="1023" t="s">
        <v>509</v>
      </c>
      <c r="EE5" s="1023" t="s">
        <v>509</v>
      </c>
      <c r="EF5" s="1041" t="s">
        <v>509</v>
      </c>
      <c r="EG5" s="1023" t="s">
        <v>509</v>
      </c>
      <c r="EH5" s="1023" t="s">
        <v>509</v>
      </c>
      <c r="EI5" s="1041" t="s">
        <v>509</v>
      </c>
      <c r="EJ5" s="1023" t="s">
        <v>509</v>
      </c>
      <c r="EK5" s="1023" t="s">
        <v>509</v>
      </c>
      <c r="EL5" s="1041" t="s">
        <v>509</v>
      </c>
      <c r="EM5" s="1023" t="s">
        <v>509</v>
      </c>
      <c r="EN5" s="1023" t="s">
        <v>509</v>
      </c>
      <c r="EO5" s="1041" t="s">
        <v>509</v>
      </c>
      <c r="EP5" s="1023" t="s">
        <v>509</v>
      </c>
      <c r="EQ5" s="1023" t="s">
        <v>509</v>
      </c>
      <c r="ER5" s="1041" t="s">
        <v>509</v>
      </c>
      <c r="ES5" s="1023" t="s">
        <v>509</v>
      </c>
      <c r="ET5" s="1023" t="s">
        <v>509</v>
      </c>
      <c r="EU5" s="1041" t="s">
        <v>509</v>
      </c>
      <c r="EV5" s="1023" t="s">
        <v>509</v>
      </c>
      <c r="EW5" s="1023" t="s">
        <v>509</v>
      </c>
      <c r="EX5" s="1041" t="s">
        <v>509</v>
      </c>
      <c r="EY5" s="1023" t="s">
        <v>509</v>
      </c>
      <c r="EZ5" s="1023" t="s">
        <v>509</v>
      </c>
      <c r="FA5" s="1041" t="s">
        <v>509</v>
      </c>
      <c r="FD5"/>
      <c r="FE5"/>
      <c r="FF5"/>
      <c r="FG5"/>
      <c r="FH5"/>
      <c r="FI5"/>
    </row>
    <row r="6" spans="1:169" s="33" customFormat="1">
      <c r="B6" s="1038" t="s">
        <v>590</v>
      </c>
      <c r="C6" s="35"/>
      <c r="E6" s="1042">
        <v>1000000</v>
      </c>
      <c r="F6" s="1042">
        <v>1000000</v>
      </c>
      <c r="G6" s="62"/>
      <c r="H6" s="1042">
        <v>1000000</v>
      </c>
      <c r="I6" s="1042">
        <v>1000000</v>
      </c>
      <c r="J6" s="62"/>
      <c r="K6" s="1042">
        <v>1000000</v>
      </c>
      <c r="L6" s="1042">
        <v>1000000</v>
      </c>
      <c r="M6" s="62"/>
      <c r="N6" s="1042">
        <v>1000000</v>
      </c>
      <c r="O6" s="1042">
        <v>1000000</v>
      </c>
      <c r="P6" s="62"/>
      <c r="Q6" s="1042">
        <v>1000000</v>
      </c>
      <c r="R6" s="1042">
        <v>1000000</v>
      </c>
      <c r="S6" s="62"/>
      <c r="T6" s="1042">
        <v>1000000</v>
      </c>
      <c r="U6" s="1042">
        <v>1000000</v>
      </c>
      <c r="V6" s="62"/>
      <c r="W6" s="1042">
        <v>1000000</v>
      </c>
      <c r="X6" s="1042">
        <v>1000000</v>
      </c>
      <c r="Y6" s="62"/>
      <c r="Z6" s="1042">
        <v>1000000</v>
      </c>
      <c r="AA6" s="1042">
        <v>1000000</v>
      </c>
      <c r="AB6" s="62"/>
      <c r="AC6" s="1042">
        <v>1000000</v>
      </c>
      <c r="AD6" s="1042">
        <v>1000000</v>
      </c>
      <c r="AE6" s="62"/>
      <c r="AF6" s="1042">
        <v>1000000</v>
      </c>
      <c r="AG6" s="1042">
        <v>1000000</v>
      </c>
      <c r="AH6" s="62"/>
      <c r="AI6" s="1042">
        <v>1000000</v>
      </c>
      <c r="AJ6" s="1042">
        <v>1000000</v>
      </c>
      <c r="AK6" s="62"/>
      <c r="AL6" s="1042">
        <v>1000000</v>
      </c>
      <c r="AM6" s="1042">
        <v>1000000</v>
      </c>
      <c r="AN6" s="1043"/>
      <c r="AO6" s="1042">
        <v>1000000</v>
      </c>
      <c r="AP6" s="1042">
        <v>1000000</v>
      </c>
      <c r="AQ6" s="1043"/>
      <c r="AR6" s="1042">
        <v>1000000</v>
      </c>
      <c r="AS6" s="1042">
        <v>1000000</v>
      </c>
      <c r="AT6" s="1043"/>
      <c r="AU6" s="1042">
        <v>1000000</v>
      </c>
      <c r="AV6" s="1042">
        <v>1000000</v>
      </c>
      <c r="AW6" s="1043"/>
      <c r="AX6" s="1042">
        <v>1000000</v>
      </c>
      <c r="AY6" s="1042">
        <v>1000000</v>
      </c>
      <c r="AZ6" s="1043"/>
      <c r="BA6" s="1042">
        <v>1000000</v>
      </c>
      <c r="BB6" s="1044"/>
      <c r="BC6" s="1043"/>
      <c r="BD6" s="1044"/>
      <c r="BE6" s="1044"/>
      <c r="BF6" s="1043"/>
      <c r="BG6" s="1044"/>
      <c r="BH6" s="1044"/>
      <c r="BI6" s="1043"/>
      <c r="BJ6" s="1044"/>
      <c r="BK6" s="1044"/>
      <c r="BL6" s="1043"/>
      <c r="BM6" s="1044"/>
      <c r="BN6" s="1044"/>
      <c r="BO6" s="1043"/>
      <c r="BP6" s="1044"/>
      <c r="BQ6" s="1044"/>
      <c r="BR6" s="1043"/>
      <c r="BS6" s="1044"/>
      <c r="BT6" s="1044"/>
      <c r="BU6" s="1043"/>
      <c r="BV6" s="1044"/>
      <c r="BW6" s="1044"/>
      <c r="BX6" s="1043"/>
      <c r="BY6" s="1044"/>
      <c r="BZ6" s="1044"/>
      <c r="CA6" s="1043"/>
      <c r="CB6" s="1044"/>
      <c r="CC6" s="1044"/>
      <c r="CD6" s="1043"/>
      <c r="CE6" s="1044"/>
      <c r="CF6" s="1044"/>
      <c r="CG6" s="1043"/>
      <c r="CH6" s="1044"/>
      <c r="CI6" s="1044"/>
      <c r="CJ6" s="1043"/>
      <c r="CK6" s="1044"/>
      <c r="CL6" s="1044"/>
      <c r="CM6" s="1043"/>
      <c r="CN6" s="1044"/>
      <c r="CO6" s="1044"/>
      <c r="CP6" s="1043"/>
      <c r="CQ6" s="1044"/>
      <c r="CR6" s="1044"/>
      <c r="CS6" s="1043"/>
      <c r="CT6" s="1044"/>
      <c r="CU6" s="1044"/>
      <c r="CV6" s="1043"/>
      <c r="CW6" s="1044"/>
      <c r="CX6" s="1044"/>
      <c r="CY6" s="1043"/>
      <c r="CZ6" s="1044"/>
      <c r="DA6" s="1044"/>
      <c r="DB6" s="1043"/>
      <c r="DC6" s="1044"/>
      <c r="DD6" s="1044"/>
      <c r="DE6" s="1045"/>
      <c r="DF6" s="1044"/>
      <c r="DG6" s="1044"/>
      <c r="DH6" s="1045"/>
      <c r="DI6" s="1044"/>
      <c r="DJ6" s="1044"/>
      <c r="DK6" s="1045"/>
      <c r="DL6" s="1046"/>
      <c r="DM6" s="1044"/>
      <c r="DN6" s="1045"/>
      <c r="DO6" s="1046"/>
      <c r="DP6" s="1044"/>
      <c r="DQ6" s="1047"/>
      <c r="DR6" s="1044"/>
      <c r="DS6" s="1044"/>
      <c r="DT6" s="1045"/>
      <c r="DU6" s="1044"/>
      <c r="DV6" s="1044"/>
      <c r="DW6" s="1045"/>
      <c r="DX6" s="1044"/>
      <c r="DY6" s="1044"/>
      <c r="DZ6" s="1045"/>
      <c r="EA6" s="1044"/>
      <c r="EB6" s="1044"/>
      <c r="EC6" s="1045"/>
      <c r="ED6" s="1044"/>
      <c r="EE6" s="1044"/>
      <c r="EF6" s="1045"/>
      <c r="EG6" s="1044"/>
      <c r="EH6" s="1044"/>
      <c r="EI6" s="1045"/>
      <c r="EJ6" s="1044"/>
      <c r="EK6" s="1044"/>
      <c r="EL6" s="1045"/>
      <c r="EM6" s="1044"/>
      <c r="EN6" s="1044"/>
      <c r="EO6" s="1045"/>
      <c r="EP6" s="1044"/>
      <c r="EQ6" s="1044"/>
      <c r="ER6" s="1045"/>
      <c r="ES6" s="1044"/>
      <c r="ET6" s="1044"/>
      <c r="EU6" s="1045"/>
      <c r="EV6" s="1044"/>
      <c r="EW6" s="1044"/>
      <c r="EX6" s="1045"/>
      <c r="EY6" s="1044"/>
      <c r="EZ6" s="1044"/>
      <c r="FA6" s="1045"/>
      <c r="FD6"/>
      <c r="FE6"/>
      <c r="FF6"/>
      <c r="FG6"/>
      <c r="FH6"/>
      <c r="FI6"/>
    </row>
    <row r="7" spans="1:169" s="1020" customFormat="1">
      <c r="B7" s="1048" t="s">
        <v>465</v>
      </c>
      <c r="C7" s="1048"/>
      <c r="D7" s="1049"/>
      <c r="E7" s="1050">
        <v>31047</v>
      </c>
      <c r="F7" s="1050">
        <v>31228</v>
      </c>
      <c r="G7" s="1051"/>
      <c r="H7" s="1050">
        <v>31412</v>
      </c>
      <c r="I7" s="1050">
        <v>31593</v>
      </c>
      <c r="J7" s="1051"/>
      <c r="K7" s="1050">
        <v>31777</v>
      </c>
      <c r="L7" s="1050">
        <v>31958</v>
      </c>
      <c r="M7" s="1051"/>
      <c r="N7" s="1050">
        <v>32142</v>
      </c>
      <c r="O7" s="1050">
        <v>32324</v>
      </c>
      <c r="P7" s="1051"/>
      <c r="Q7" s="1050">
        <v>32508</v>
      </c>
      <c r="R7" s="1050">
        <v>32689</v>
      </c>
      <c r="S7" s="1052"/>
      <c r="T7" s="1050">
        <v>32873</v>
      </c>
      <c r="U7" s="1050">
        <v>33054</v>
      </c>
      <c r="V7" s="1052"/>
      <c r="W7" s="1050">
        <v>33238</v>
      </c>
      <c r="X7" s="1050">
        <v>33419</v>
      </c>
      <c r="Y7" s="1052"/>
      <c r="Z7" s="1050">
        <v>33603</v>
      </c>
      <c r="AA7" s="1050">
        <v>33785</v>
      </c>
      <c r="AB7" s="1052"/>
      <c r="AC7" s="1050">
        <v>33969</v>
      </c>
      <c r="AD7" s="1050">
        <v>34150</v>
      </c>
      <c r="AE7" s="1052"/>
      <c r="AF7" s="1050">
        <v>34334</v>
      </c>
      <c r="AG7" s="1050">
        <v>34515</v>
      </c>
      <c r="AH7" s="1052"/>
      <c r="AI7" s="1050">
        <v>34699</v>
      </c>
      <c r="AJ7" s="1050">
        <v>34880</v>
      </c>
      <c r="AK7" s="1052"/>
      <c r="AL7" s="1050">
        <v>35064</v>
      </c>
      <c r="AM7" s="1050">
        <v>35246</v>
      </c>
      <c r="AN7" s="1052"/>
      <c r="AO7" s="1050">
        <v>35430</v>
      </c>
      <c r="AP7" s="1050">
        <v>35611</v>
      </c>
      <c r="AQ7" s="1052"/>
      <c r="AR7" s="1050">
        <v>35795</v>
      </c>
      <c r="AS7" s="1050">
        <v>35976</v>
      </c>
      <c r="AT7" s="1052"/>
      <c r="AU7" s="1050">
        <v>36160</v>
      </c>
      <c r="AV7" s="1050">
        <v>36341</v>
      </c>
      <c r="AW7" s="1052"/>
      <c r="AX7" s="1050">
        <v>36525</v>
      </c>
      <c r="AY7" s="1050">
        <v>36707</v>
      </c>
      <c r="AZ7" s="1052"/>
      <c r="BA7" s="1050">
        <v>36891</v>
      </c>
      <c r="BB7" s="1050">
        <v>37072</v>
      </c>
      <c r="BC7" s="1052"/>
      <c r="BD7" s="1050">
        <v>37256</v>
      </c>
      <c r="BE7" s="1050">
        <v>37437</v>
      </c>
      <c r="BF7" s="1052"/>
      <c r="BG7" s="1050"/>
      <c r="BH7" s="1050"/>
      <c r="BI7" s="1052"/>
      <c r="BJ7" s="1050"/>
      <c r="BK7" s="1050"/>
      <c r="BL7" s="1052"/>
      <c r="BM7" s="1050"/>
      <c r="BN7" s="1050"/>
      <c r="BO7" s="1052"/>
      <c r="BP7" s="1050"/>
      <c r="BQ7" s="1050"/>
      <c r="BR7" s="1052"/>
      <c r="BS7" s="1050"/>
      <c r="BT7" s="1050"/>
      <c r="BU7" s="1052"/>
      <c r="BV7" s="1050"/>
      <c r="BW7" s="1050"/>
      <c r="BX7" s="1052"/>
      <c r="BY7" s="1050"/>
      <c r="BZ7" s="1050"/>
      <c r="CA7" s="1052"/>
      <c r="CB7" s="1050"/>
      <c r="CC7" s="1050"/>
      <c r="CD7" s="1053"/>
      <c r="CE7" s="1053">
        <v>40543</v>
      </c>
      <c r="CF7" s="1053">
        <v>40724</v>
      </c>
      <c r="CG7" s="1053"/>
      <c r="CH7" s="1053">
        <v>40908</v>
      </c>
      <c r="CI7" s="1053">
        <v>41090</v>
      </c>
      <c r="CJ7" s="1053"/>
      <c r="CK7" s="1053">
        <v>41274</v>
      </c>
      <c r="CL7" s="1053">
        <v>41455</v>
      </c>
      <c r="CM7" s="1053"/>
      <c r="CN7" s="1053">
        <v>41639</v>
      </c>
      <c r="CO7" s="1053">
        <v>41820</v>
      </c>
      <c r="CP7" s="1053"/>
      <c r="CQ7" s="1053">
        <v>42004</v>
      </c>
      <c r="CR7" s="1053">
        <v>42185</v>
      </c>
      <c r="CS7" s="1053"/>
      <c r="CT7" s="1053">
        <v>42369</v>
      </c>
      <c r="CU7" s="1053">
        <v>42551</v>
      </c>
      <c r="CV7" s="1053"/>
      <c r="CW7" s="1053">
        <v>42735</v>
      </c>
      <c r="CX7" s="1053">
        <v>42916</v>
      </c>
      <c r="CY7" s="1053"/>
      <c r="CZ7" s="1053">
        <v>43100</v>
      </c>
      <c r="DA7" s="1053">
        <v>43281</v>
      </c>
      <c r="DB7" s="1053"/>
      <c r="DC7" s="1053"/>
      <c r="DD7" s="1053"/>
      <c r="DE7" s="1054"/>
      <c r="DF7" s="1053">
        <v>43830</v>
      </c>
      <c r="DG7" s="1053">
        <v>44012</v>
      </c>
      <c r="DH7" s="1054"/>
      <c r="DI7" s="1053">
        <v>44196</v>
      </c>
      <c r="DJ7" s="1053">
        <v>44377</v>
      </c>
      <c r="DK7" s="1054"/>
      <c r="DL7" s="1053">
        <v>44561</v>
      </c>
      <c r="DM7" s="1053">
        <v>44742</v>
      </c>
      <c r="DN7" s="1054"/>
      <c r="DO7" s="1053">
        <v>44926</v>
      </c>
      <c r="DP7" s="1053">
        <v>45107</v>
      </c>
      <c r="DQ7" s="1054"/>
      <c r="DR7" s="1053">
        <f>+EOMONTH(DO7,12)</f>
        <v>45291</v>
      </c>
      <c r="DS7" s="1053">
        <f>+EOMONTH(DP7,12)</f>
        <v>45473</v>
      </c>
      <c r="DT7" s="1054"/>
      <c r="DU7" s="1053">
        <f>+EOMONTH(DR7,12)</f>
        <v>45657</v>
      </c>
      <c r="DV7" s="1053">
        <f>+EOMONTH(DS7,12)</f>
        <v>45838</v>
      </c>
      <c r="DW7" s="1054"/>
      <c r="DX7" s="1053">
        <f>+EOMONTH(DU7,12)</f>
        <v>46022</v>
      </c>
      <c r="DY7" s="1053">
        <f>+EOMONTH(DV7,12)</f>
        <v>46203</v>
      </c>
      <c r="DZ7" s="1054"/>
      <c r="EA7" s="1053">
        <f>+EOMONTH(DX7,12)</f>
        <v>46387</v>
      </c>
      <c r="EB7" s="1053">
        <f>+EOMONTH(DY7,12)</f>
        <v>46568</v>
      </c>
      <c r="EC7" s="1054"/>
      <c r="ED7" s="1053">
        <f>+EOMONTH(EA7,12)</f>
        <v>46752</v>
      </c>
      <c r="EE7" s="1053">
        <f>+EOMONTH(EB7,12)</f>
        <v>46934</v>
      </c>
      <c r="EF7" s="1054"/>
      <c r="EG7" s="1053">
        <f>+EOMONTH(ED7,12)</f>
        <v>47118</v>
      </c>
      <c r="EH7" s="1053">
        <f>+EOMONTH(EE7,12)</f>
        <v>47299</v>
      </c>
      <c r="EI7" s="1054"/>
      <c r="EJ7" s="1053">
        <f>+EOMONTH(EG7,12)</f>
        <v>47483</v>
      </c>
      <c r="EK7" s="1053">
        <f>+EOMONTH(EH7,12)</f>
        <v>47664</v>
      </c>
      <c r="EL7" s="1054"/>
      <c r="EM7" s="1053">
        <f>+EOMONTH(EJ7,12)</f>
        <v>47848</v>
      </c>
      <c r="EN7" s="1053">
        <f>+EOMONTH(EK7,12)</f>
        <v>48029</v>
      </c>
      <c r="EO7" s="1054"/>
      <c r="EP7" s="1053">
        <f>+EOMONTH(EM7,12)</f>
        <v>48213</v>
      </c>
      <c r="EQ7" s="1053">
        <f>+EOMONTH(EN7,12)</f>
        <v>48395</v>
      </c>
      <c r="ER7" s="1054"/>
      <c r="ES7" s="1053">
        <f>+EOMONTH(EP7,12)</f>
        <v>48579</v>
      </c>
      <c r="ET7" s="1053">
        <f>+EOMONTH(EQ7,12)</f>
        <v>48760</v>
      </c>
      <c r="EU7" s="1054"/>
      <c r="EV7" s="1053">
        <f>+EOMONTH(ES7,12)</f>
        <v>48944</v>
      </c>
      <c r="EW7" s="1053">
        <f>+EOMONTH(ET7,12)</f>
        <v>49125</v>
      </c>
      <c r="EX7" s="1054"/>
      <c r="EY7" s="1053">
        <f>+EOMONTH(EV7,12)</f>
        <v>49309</v>
      </c>
      <c r="EZ7" s="1053">
        <f>+EOMONTH(EW7,12)</f>
        <v>49490</v>
      </c>
      <c r="FA7" s="1054"/>
      <c r="FD7"/>
      <c r="FE7"/>
      <c r="FF7"/>
      <c r="FG7"/>
      <c r="FH7"/>
      <c r="FI7"/>
    </row>
    <row r="8" spans="1:169" s="33" customFormat="1">
      <c r="B8" s="1038"/>
      <c r="C8" s="35"/>
      <c r="E8" s="1044"/>
      <c r="F8" s="1044"/>
      <c r="G8" s="38"/>
      <c r="H8" s="1044"/>
      <c r="I8" s="1044"/>
      <c r="J8" s="38"/>
      <c r="K8" s="1044"/>
      <c r="L8" s="1044"/>
      <c r="M8" s="38"/>
      <c r="N8" s="1044"/>
      <c r="O8" s="1044"/>
      <c r="P8" s="38"/>
      <c r="Q8" s="1044"/>
      <c r="R8" s="1044"/>
      <c r="S8" s="38"/>
      <c r="T8" s="1044"/>
      <c r="U8" s="1044"/>
      <c r="V8" s="38"/>
      <c r="W8" s="1044"/>
      <c r="X8" s="1044"/>
      <c r="Y8" s="38"/>
      <c r="Z8" s="1044"/>
      <c r="AA8" s="1044"/>
      <c r="AB8" s="38"/>
      <c r="AC8" s="1044"/>
      <c r="AD8" s="1044"/>
      <c r="AE8" s="38"/>
      <c r="AF8" s="1044"/>
      <c r="AG8" s="1044"/>
      <c r="AH8" s="38"/>
      <c r="AI8" s="1044"/>
      <c r="AJ8" s="1044"/>
      <c r="AK8" s="38"/>
      <c r="AL8" s="1044"/>
      <c r="AM8" s="1044"/>
      <c r="AN8" s="1055"/>
      <c r="AO8" s="1044"/>
      <c r="AP8" s="1044"/>
      <c r="AQ8" s="1055"/>
      <c r="AR8" s="1044"/>
      <c r="AS8" s="1044"/>
      <c r="AT8" s="1055"/>
      <c r="AU8" s="1044"/>
      <c r="AV8" s="1044"/>
      <c r="AW8" s="1055"/>
      <c r="AX8" s="1044"/>
      <c r="AY8" s="1044"/>
      <c r="AZ8" s="1055"/>
      <c r="BA8" s="1044"/>
      <c r="BB8" s="1044"/>
      <c r="BC8" s="1055"/>
      <c r="BD8" s="1044"/>
      <c r="BE8" s="1044"/>
      <c r="BF8" s="1055"/>
      <c r="BG8" s="1044"/>
      <c r="BH8" s="1044"/>
      <c r="BI8" s="1055"/>
      <c r="BJ8" s="1044"/>
      <c r="BK8" s="1044"/>
      <c r="BL8" s="1055"/>
      <c r="BM8" s="1044"/>
      <c r="BN8" s="1044"/>
      <c r="BO8" s="1055"/>
      <c r="BP8" s="1044"/>
      <c r="BQ8" s="1044"/>
      <c r="BR8" s="1055"/>
      <c r="BS8" s="1044"/>
      <c r="BT8" s="1044"/>
      <c r="BU8" s="1055"/>
      <c r="BV8" s="1044"/>
      <c r="BW8" s="1044"/>
      <c r="BX8" s="1055"/>
      <c r="BY8" s="1044"/>
      <c r="BZ8" s="1044"/>
      <c r="CA8" s="1055"/>
      <c r="CB8" s="1044"/>
      <c r="CC8" s="1044"/>
      <c r="CD8" s="1055"/>
      <c r="CE8" s="1044"/>
      <c r="CF8" s="1044"/>
      <c r="CG8" s="1055"/>
      <c r="CH8" s="1044"/>
      <c r="CI8" s="1044"/>
      <c r="CJ8" s="1055"/>
      <c r="CK8" s="1044"/>
      <c r="CL8" s="1044"/>
      <c r="CM8" s="1055"/>
      <c r="CN8" s="1044"/>
      <c r="CO8" s="1044"/>
      <c r="CP8" s="1055"/>
      <c r="CQ8" s="1044"/>
      <c r="CR8" s="1044"/>
      <c r="CS8" s="1055"/>
      <c r="CT8" s="1044"/>
      <c r="CU8" s="1044"/>
      <c r="CV8" s="1055"/>
      <c r="CW8" s="1044"/>
      <c r="CX8" s="1044"/>
      <c r="CY8" s="1055"/>
      <c r="CZ8" s="1044"/>
      <c r="DA8" s="1044"/>
      <c r="DB8" s="1055"/>
      <c r="DC8" s="1044"/>
      <c r="DD8" s="1044"/>
      <c r="DE8" s="1045"/>
      <c r="DF8" s="1044"/>
      <c r="DG8" s="1044"/>
      <c r="DH8" s="1045"/>
      <c r="DI8" s="1044"/>
      <c r="DJ8" s="1044"/>
      <c r="DK8" s="1045"/>
      <c r="DL8" s="1044"/>
      <c r="DM8" s="1044"/>
      <c r="DN8" s="1056"/>
      <c r="DO8" s="1044"/>
      <c r="DP8" s="1044"/>
      <c r="DQ8" s="1045"/>
      <c r="DR8" s="1044"/>
      <c r="DS8" s="1044"/>
      <c r="DT8" s="1045"/>
      <c r="DU8" s="1044"/>
      <c r="DV8" s="1044"/>
      <c r="DW8" s="1045"/>
      <c r="DX8" s="1044"/>
      <c r="DY8" s="1044"/>
      <c r="DZ8" s="1045"/>
      <c r="EA8" s="1044"/>
      <c r="EB8" s="1044"/>
      <c r="EC8" s="1045"/>
      <c r="ED8" s="1044"/>
      <c r="EE8" s="1044"/>
      <c r="EF8" s="1045"/>
      <c r="EG8" s="1044"/>
      <c r="EH8" s="1044"/>
      <c r="EI8" s="1045"/>
      <c r="EJ8" s="1044"/>
      <c r="EK8" s="1044"/>
      <c r="EL8" s="1045"/>
      <c r="EM8" s="1044"/>
      <c r="EN8" s="1044"/>
      <c r="EO8" s="1045"/>
      <c r="EP8" s="1044"/>
      <c r="EQ8" s="1044"/>
      <c r="ER8" s="1045"/>
      <c r="ES8" s="1044"/>
      <c r="ET8" s="1044"/>
      <c r="EU8" s="1045"/>
      <c r="EV8" s="1044"/>
      <c r="EW8" s="1044"/>
      <c r="EX8" s="1045"/>
      <c r="EY8" s="1044"/>
      <c r="EZ8" s="1044"/>
      <c r="FA8" s="1045"/>
      <c r="FD8"/>
      <c r="FE8"/>
      <c r="FF8"/>
      <c r="FG8"/>
      <c r="FH8"/>
      <c r="FI8"/>
    </row>
    <row r="9" spans="1:169" s="1059" customFormat="1">
      <c r="A9" s="48" t="s">
        <v>466</v>
      </c>
      <c r="B9" s="48"/>
      <c r="C9" s="48"/>
      <c r="D9" s="49" t="str">
        <f t="shared" ref="D9:AI9" si="2">+D4</f>
        <v xml:space="preserve">Year ending Jun </v>
      </c>
      <c r="E9" s="49" t="str">
        <f t="shared" si="2"/>
        <v>1h85</v>
      </c>
      <c r="F9" s="49" t="str">
        <f t="shared" si="2"/>
        <v>2h85</v>
      </c>
      <c r="G9" s="49" t="str">
        <f t="shared" si="2"/>
        <v>1985</v>
      </c>
      <c r="H9" s="49" t="str">
        <f t="shared" si="2"/>
        <v>1h86</v>
      </c>
      <c r="I9" s="49" t="str">
        <f t="shared" si="2"/>
        <v>2h86</v>
      </c>
      <c r="J9" s="49" t="str">
        <f t="shared" si="2"/>
        <v>1986</v>
      </c>
      <c r="K9" s="49" t="str">
        <f t="shared" si="2"/>
        <v>1h87</v>
      </c>
      <c r="L9" s="49" t="str">
        <f t="shared" si="2"/>
        <v>2h87</v>
      </c>
      <c r="M9" s="49" t="str">
        <f t="shared" si="2"/>
        <v>1987</v>
      </c>
      <c r="N9" s="49" t="str">
        <f t="shared" si="2"/>
        <v>1h88</v>
      </c>
      <c r="O9" s="49" t="str">
        <f t="shared" si="2"/>
        <v>2h88</v>
      </c>
      <c r="P9" s="49" t="str">
        <f t="shared" si="2"/>
        <v>1988</v>
      </c>
      <c r="Q9" s="49" t="str">
        <f t="shared" si="2"/>
        <v>1h89</v>
      </c>
      <c r="R9" s="49" t="str">
        <f t="shared" si="2"/>
        <v>2h89</v>
      </c>
      <c r="S9" s="49" t="str">
        <f t="shared" si="2"/>
        <v>1989</v>
      </c>
      <c r="T9" s="49" t="str">
        <f t="shared" si="2"/>
        <v>1h90</v>
      </c>
      <c r="U9" s="49" t="str">
        <f t="shared" si="2"/>
        <v>2h90</v>
      </c>
      <c r="V9" s="49" t="str">
        <f t="shared" si="2"/>
        <v>1990</v>
      </c>
      <c r="W9" s="49" t="str">
        <f t="shared" si="2"/>
        <v>1h91</v>
      </c>
      <c r="X9" s="49" t="str">
        <f t="shared" si="2"/>
        <v>2h91</v>
      </c>
      <c r="Y9" s="49" t="str">
        <f t="shared" si="2"/>
        <v>1991</v>
      </c>
      <c r="Z9" s="49" t="str">
        <f t="shared" si="2"/>
        <v>1h92</v>
      </c>
      <c r="AA9" s="49" t="str">
        <f t="shared" si="2"/>
        <v>2h92</v>
      </c>
      <c r="AB9" s="49" t="str">
        <f t="shared" si="2"/>
        <v>1992</v>
      </c>
      <c r="AC9" s="49" t="str">
        <f t="shared" si="2"/>
        <v>1h93</v>
      </c>
      <c r="AD9" s="49" t="str">
        <f t="shared" si="2"/>
        <v>2h93</v>
      </c>
      <c r="AE9" s="49" t="str">
        <f t="shared" si="2"/>
        <v>1993</v>
      </c>
      <c r="AF9" s="49" t="str">
        <f t="shared" si="2"/>
        <v>1h94</v>
      </c>
      <c r="AG9" s="49" t="str">
        <f t="shared" si="2"/>
        <v>2h94</v>
      </c>
      <c r="AH9" s="49" t="str">
        <f t="shared" si="2"/>
        <v>1994</v>
      </c>
      <c r="AI9" s="49" t="str">
        <f t="shared" si="2"/>
        <v>1h95</v>
      </c>
      <c r="AJ9" s="49" t="str">
        <f t="shared" ref="AJ9:BO9" si="3">+AJ4</f>
        <v>2h95</v>
      </c>
      <c r="AK9" s="49" t="str">
        <f t="shared" si="3"/>
        <v>1995</v>
      </c>
      <c r="AL9" s="49" t="str">
        <f t="shared" si="3"/>
        <v>1h96</v>
      </c>
      <c r="AM9" s="49" t="str">
        <f t="shared" si="3"/>
        <v>2h96</v>
      </c>
      <c r="AN9" s="49" t="str">
        <f t="shared" si="3"/>
        <v>1996</v>
      </c>
      <c r="AO9" s="49" t="str">
        <f t="shared" si="3"/>
        <v>1h97</v>
      </c>
      <c r="AP9" s="49" t="str">
        <f t="shared" si="3"/>
        <v>2h97</v>
      </c>
      <c r="AQ9" s="49" t="str">
        <f t="shared" si="3"/>
        <v>1997</v>
      </c>
      <c r="AR9" s="49" t="str">
        <f t="shared" si="3"/>
        <v>1h98</v>
      </c>
      <c r="AS9" s="49" t="str">
        <f t="shared" si="3"/>
        <v>2h98</v>
      </c>
      <c r="AT9" s="49" t="str">
        <f t="shared" si="3"/>
        <v>1998a</v>
      </c>
      <c r="AU9" s="49" t="str">
        <f t="shared" si="3"/>
        <v>1h99</v>
      </c>
      <c r="AV9" s="49" t="str">
        <f t="shared" si="3"/>
        <v>2h99</v>
      </c>
      <c r="AW9" s="49" t="str">
        <f t="shared" si="3"/>
        <v>1999a</v>
      </c>
      <c r="AX9" s="49" t="str">
        <f t="shared" si="3"/>
        <v>1h00</v>
      </c>
      <c r="AY9" s="49" t="str">
        <f t="shared" si="3"/>
        <v>2h00</v>
      </c>
      <c r="AZ9" s="49" t="str">
        <f t="shared" si="3"/>
        <v>2000a</v>
      </c>
      <c r="BA9" s="49" t="str">
        <f t="shared" si="3"/>
        <v>1h01</v>
      </c>
      <c r="BB9" s="49" t="str">
        <f t="shared" si="3"/>
        <v>2h01</v>
      </c>
      <c r="BC9" s="49" t="str">
        <f t="shared" si="3"/>
        <v>2001a</v>
      </c>
      <c r="BD9" s="49" t="str">
        <f t="shared" si="3"/>
        <v>1h02</v>
      </c>
      <c r="BE9" s="49" t="str">
        <f t="shared" si="3"/>
        <v>2h02f</v>
      </c>
      <c r="BF9" s="49" t="str">
        <f t="shared" si="3"/>
        <v>2002</v>
      </c>
      <c r="BG9" s="49" t="str">
        <f t="shared" si="3"/>
        <v>1h03</v>
      </c>
      <c r="BH9" s="49" t="str">
        <f t="shared" si="3"/>
        <v>2h03</v>
      </c>
      <c r="BI9" s="49" t="str">
        <f t="shared" si="3"/>
        <v>2003</v>
      </c>
      <c r="BJ9" s="49" t="str">
        <f t="shared" si="3"/>
        <v>1h04</v>
      </c>
      <c r="BK9" s="49" t="str">
        <f t="shared" si="3"/>
        <v>2h04</v>
      </c>
      <c r="BL9" s="49" t="str">
        <f t="shared" si="3"/>
        <v>2004</v>
      </c>
      <c r="BM9" s="49" t="str">
        <f t="shared" si="3"/>
        <v>1h05</v>
      </c>
      <c r="BN9" s="49" t="str">
        <f t="shared" si="3"/>
        <v>2h05</v>
      </c>
      <c r="BO9" s="49" t="str">
        <f t="shared" si="3"/>
        <v>2005</v>
      </c>
      <c r="BP9" s="49" t="str">
        <f t="shared" ref="BP9:CU9" si="4">+BP4</f>
        <v>1h06</v>
      </c>
      <c r="BQ9" s="49" t="str">
        <f t="shared" si="4"/>
        <v>2h06</v>
      </c>
      <c r="BR9" s="49" t="str">
        <f t="shared" si="4"/>
        <v>2006</v>
      </c>
      <c r="BS9" s="49" t="str">
        <f t="shared" si="4"/>
        <v>1h07</v>
      </c>
      <c r="BT9" s="49" t="str">
        <f t="shared" si="4"/>
        <v>2h07</v>
      </c>
      <c r="BU9" s="49" t="str">
        <f t="shared" si="4"/>
        <v>2007</v>
      </c>
      <c r="BV9" s="49" t="str">
        <f t="shared" si="4"/>
        <v>1h08</v>
      </c>
      <c r="BW9" s="49" t="str">
        <f t="shared" si="4"/>
        <v>2h08</v>
      </c>
      <c r="BX9" s="49" t="str">
        <f t="shared" si="4"/>
        <v>2008</v>
      </c>
      <c r="BY9" s="49" t="str">
        <f t="shared" si="4"/>
        <v>1h09</v>
      </c>
      <c r="BZ9" s="49" t="str">
        <f t="shared" si="4"/>
        <v>2h09</v>
      </c>
      <c r="CA9" s="49" t="str">
        <f t="shared" si="4"/>
        <v>2009</v>
      </c>
      <c r="CB9" s="49" t="str">
        <f t="shared" si="4"/>
        <v>1h10</v>
      </c>
      <c r="CC9" s="49" t="str">
        <f t="shared" si="4"/>
        <v>2h10</v>
      </c>
      <c r="CD9" s="49" t="str">
        <f t="shared" si="4"/>
        <v>2010</v>
      </c>
      <c r="CE9" s="49" t="str">
        <f t="shared" si="4"/>
        <v>1h11</v>
      </c>
      <c r="CF9" s="49" t="str">
        <f t="shared" si="4"/>
        <v>2h11</v>
      </c>
      <c r="CG9" s="49" t="str">
        <f t="shared" si="4"/>
        <v>2011</v>
      </c>
      <c r="CH9" s="49" t="str">
        <f t="shared" si="4"/>
        <v>1h12</v>
      </c>
      <c r="CI9" s="49" t="str">
        <f t="shared" si="4"/>
        <v>2h12</v>
      </c>
      <c r="CJ9" s="49" t="str">
        <f t="shared" si="4"/>
        <v>2012</v>
      </c>
      <c r="CK9" s="49" t="str">
        <f t="shared" si="4"/>
        <v>1h13</v>
      </c>
      <c r="CL9" s="49" t="str">
        <f t="shared" si="4"/>
        <v>2h13</v>
      </c>
      <c r="CM9" s="49" t="str">
        <f t="shared" si="4"/>
        <v>2013</v>
      </c>
      <c r="CN9" s="49" t="str">
        <f t="shared" si="4"/>
        <v>1h14</v>
      </c>
      <c r="CO9" s="49" t="str">
        <f t="shared" si="4"/>
        <v>2h14</v>
      </c>
      <c r="CP9" s="49" t="str">
        <f t="shared" si="4"/>
        <v>2014</v>
      </c>
      <c r="CQ9" s="49" t="str">
        <f t="shared" si="4"/>
        <v>1h15</v>
      </c>
      <c r="CR9" s="49" t="str">
        <f t="shared" si="4"/>
        <v>2h15</v>
      </c>
      <c r="CS9" s="49" t="str">
        <f t="shared" si="4"/>
        <v>2015</v>
      </c>
      <c r="CT9" s="49" t="str">
        <f t="shared" si="4"/>
        <v>1h16</v>
      </c>
      <c r="CU9" s="49" t="str">
        <f t="shared" si="4"/>
        <v>2h16</v>
      </c>
      <c r="CV9" s="49" t="str">
        <f t="shared" ref="CV9:DQ9" si="5">+CV4</f>
        <v>2016</v>
      </c>
      <c r="CW9" s="49" t="str">
        <f t="shared" si="5"/>
        <v>1h17</v>
      </c>
      <c r="CX9" s="49" t="str">
        <f t="shared" si="5"/>
        <v>2h17</v>
      </c>
      <c r="CY9" s="49" t="str">
        <f t="shared" si="5"/>
        <v>2017</v>
      </c>
      <c r="CZ9" s="49" t="str">
        <f t="shared" si="5"/>
        <v>1h18</v>
      </c>
      <c r="DA9" s="49" t="str">
        <f t="shared" si="5"/>
        <v>2h18</v>
      </c>
      <c r="DB9" s="49" t="str">
        <f t="shared" si="5"/>
        <v>2018</v>
      </c>
      <c r="DC9" s="49" t="str">
        <f t="shared" si="5"/>
        <v>1h19</v>
      </c>
      <c r="DD9" s="49" t="str">
        <f t="shared" si="5"/>
        <v>2h19</v>
      </c>
      <c r="DE9" s="63" t="str">
        <f t="shared" si="5"/>
        <v>2019</v>
      </c>
      <c r="DF9" s="49" t="str">
        <f t="shared" si="5"/>
        <v>1h20</v>
      </c>
      <c r="DG9" s="49" t="str">
        <f t="shared" si="5"/>
        <v>2h20</v>
      </c>
      <c r="DH9" s="63" t="str">
        <f t="shared" si="5"/>
        <v>2020</v>
      </c>
      <c r="DI9" s="49" t="str">
        <f t="shared" si="5"/>
        <v>1h21</v>
      </c>
      <c r="DJ9" s="49" t="str">
        <f t="shared" si="5"/>
        <v>2h21</v>
      </c>
      <c r="DK9" s="63" t="str">
        <f t="shared" si="5"/>
        <v>2021</v>
      </c>
      <c r="DL9" s="49" t="str">
        <f t="shared" si="5"/>
        <v>1h22</v>
      </c>
      <c r="DM9" s="49" t="str">
        <f t="shared" si="5"/>
        <v>2h22</v>
      </c>
      <c r="DN9" s="63" t="str">
        <f t="shared" si="5"/>
        <v>2022</v>
      </c>
      <c r="DO9" s="49" t="str">
        <f t="shared" si="5"/>
        <v>1h23</v>
      </c>
      <c r="DP9" s="49" t="str">
        <f t="shared" si="5"/>
        <v>2h23</v>
      </c>
      <c r="DQ9" s="63" t="str">
        <f t="shared" si="5"/>
        <v>2023</v>
      </c>
      <c r="DR9" s="50" t="str">
        <f t="shared" ref="DR9:DZ9" si="6">+DR4</f>
        <v>1h24</v>
      </c>
      <c r="DS9" s="49" t="str">
        <f t="shared" si="6"/>
        <v>2h24</v>
      </c>
      <c r="DT9" s="63" t="str">
        <f t="shared" si="6"/>
        <v>2024</v>
      </c>
      <c r="DU9" s="50" t="str">
        <f t="shared" si="6"/>
        <v>1h25</v>
      </c>
      <c r="DV9" s="49" t="str">
        <f t="shared" si="6"/>
        <v>2h25</v>
      </c>
      <c r="DW9" s="63" t="str">
        <f t="shared" si="6"/>
        <v>2025</v>
      </c>
      <c r="DX9" s="50" t="str">
        <f t="shared" si="6"/>
        <v>1h26</v>
      </c>
      <c r="DY9" s="49" t="str">
        <f t="shared" si="6"/>
        <v>2h26E</v>
      </c>
      <c r="DZ9" s="63" t="str">
        <f t="shared" si="6"/>
        <v>2026E</v>
      </c>
      <c r="EA9" s="50" t="str">
        <f t="shared" ref="EA9:EF9" si="7">+EA4</f>
        <v>1h27E</v>
      </c>
      <c r="EB9" s="49" t="str">
        <f t="shared" si="7"/>
        <v>2h27E</v>
      </c>
      <c r="EC9" s="63" t="str">
        <f t="shared" si="7"/>
        <v>2027E</v>
      </c>
      <c r="ED9" s="50" t="str">
        <f t="shared" si="7"/>
        <v>1h28E</v>
      </c>
      <c r="EE9" s="49" t="str">
        <f t="shared" si="7"/>
        <v>2h28E</v>
      </c>
      <c r="EF9" s="63" t="str">
        <f t="shared" si="7"/>
        <v>2028E</v>
      </c>
      <c r="EG9" s="50" t="str">
        <f t="shared" ref="EG9:EL9" si="8">+EG4</f>
        <v>1h29E</v>
      </c>
      <c r="EH9" s="49" t="str">
        <f t="shared" si="8"/>
        <v>2h29E</v>
      </c>
      <c r="EI9" s="63" t="str">
        <f t="shared" si="8"/>
        <v>2029E</v>
      </c>
      <c r="EJ9" s="50" t="str">
        <f t="shared" si="8"/>
        <v>1h30E</v>
      </c>
      <c r="EK9" s="49" t="str">
        <f t="shared" si="8"/>
        <v>2h30E</v>
      </c>
      <c r="EL9" s="63" t="str">
        <f t="shared" si="8"/>
        <v>2030E</v>
      </c>
      <c r="EM9" s="50" t="str">
        <f t="shared" ref="EM9:ER9" si="9">+EM4</f>
        <v>1h31E</v>
      </c>
      <c r="EN9" s="49" t="str">
        <f t="shared" si="9"/>
        <v>2h31E</v>
      </c>
      <c r="EO9" s="63" t="str">
        <f t="shared" si="9"/>
        <v>2031E</v>
      </c>
      <c r="EP9" s="50" t="str">
        <f t="shared" si="9"/>
        <v>1h32E</v>
      </c>
      <c r="EQ9" s="49" t="str">
        <f t="shared" si="9"/>
        <v>2h32E</v>
      </c>
      <c r="ER9" s="63" t="str">
        <f t="shared" si="9"/>
        <v>2032E</v>
      </c>
      <c r="ES9" s="50" t="str">
        <f t="shared" ref="ES9:FA9" si="10">+ES4</f>
        <v>1h33E</v>
      </c>
      <c r="ET9" s="49" t="str">
        <f t="shared" si="10"/>
        <v>2h33E</v>
      </c>
      <c r="EU9" s="63" t="str">
        <f t="shared" si="10"/>
        <v>2033E</v>
      </c>
      <c r="EV9" s="50" t="str">
        <f t="shared" si="10"/>
        <v>1h34E</v>
      </c>
      <c r="EW9" s="49" t="str">
        <f t="shared" si="10"/>
        <v>2h34E</v>
      </c>
      <c r="EX9" s="63" t="str">
        <f t="shared" si="10"/>
        <v>2034E</v>
      </c>
      <c r="EY9" s="50" t="str">
        <f t="shared" si="10"/>
        <v>1h35E</v>
      </c>
      <c r="EZ9" s="49" t="str">
        <f t="shared" si="10"/>
        <v>2h35E</v>
      </c>
      <c r="FA9" s="63" t="str">
        <f t="shared" si="10"/>
        <v>2035E</v>
      </c>
      <c r="FB9" s="1057"/>
      <c r="FC9" s="1057"/>
      <c r="FD9"/>
      <c r="FE9"/>
      <c r="FF9"/>
      <c r="FG9"/>
      <c r="FH9"/>
      <c r="FI9"/>
      <c r="FJ9" s="1171"/>
      <c r="FK9" s="1171"/>
      <c r="FL9" s="1171"/>
      <c r="FM9" s="1171"/>
    </row>
    <row r="10" spans="1:169" s="33" customFormat="1">
      <c r="B10" s="54" t="s">
        <v>902</v>
      </c>
      <c r="C10" s="54"/>
      <c r="D10" s="2" t="s">
        <v>506</v>
      </c>
      <c r="E10" s="32">
        <f t="shared" ref="E10:AH10" si="11">+E85</f>
        <v>0</v>
      </c>
      <c r="F10" s="32">
        <f t="shared" si="11"/>
        <v>0</v>
      </c>
      <c r="G10" s="32">
        <f t="shared" si="11"/>
        <v>0</v>
      </c>
      <c r="H10" s="32">
        <f t="shared" si="11"/>
        <v>0</v>
      </c>
      <c r="I10" s="32">
        <f t="shared" si="11"/>
        <v>0</v>
      </c>
      <c r="J10" s="32">
        <f t="shared" si="11"/>
        <v>0</v>
      </c>
      <c r="K10" s="32">
        <f t="shared" si="11"/>
        <v>0</v>
      </c>
      <c r="L10" s="32">
        <f t="shared" si="11"/>
        <v>0</v>
      </c>
      <c r="M10" s="32">
        <f t="shared" si="11"/>
        <v>0</v>
      </c>
      <c r="N10" s="32">
        <f t="shared" si="11"/>
        <v>0</v>
      </c>
      <c r="O10" s="32">
        <f t="shared" si="11"/>
        <v>0</v>
      </c>
      <c r="P10" s="32">
        <f t="shared" si="11"/>
        <v>0</v>
      </c>
      <c r="Q10" s="32">
        <f t="shared" si="11"/>
        <v>0</v>
      </c>
      <c r="R10" s="32">
        <f t="shared" si="11"/>
        <v>0</v>
      </c>
      <c r="S10" s="32">
        <f t="shared" si="11"/>
        <v>0</v>
      </c>
      <c r="T10" s="32">
        <f t="shared" si="11"/>
        <v>0</v>
      </c>
      <c r="U10" s="32">
        <f t="shared" si="11"/>
        <v>0</v>
      </c>
      <c r="V10" s="32">
        <f t="shared" si="11"/>
        <v>0</v>
      </c>
      <c r="W10" s="32">
        <f t="shared" si="11"/>
        <v>0</v>
      </c>
      <c r="X10" s="32">
        <f t="shared" si="11"/>
        <v>0</v>
      </c>
      <c r="Y10" s="32">
        <f t="shared" si="11"/>
        <v>0</v>
      </c>
      <c r="Z10" s="32">
        <f t="shared" si="11"/>
        <v>0</v>
      </c>
      <c r="AA10" s="32">
        <f t="shared" si="11"/>
        <v>0</v>
      </c>
      <c r="AB10" s="32">
        <f t="shared" si="11"/>
        <v>0</v>
      </c>
      <c r="AC10" s="32">
        <f t="shared" si="11"/>
        <v>0</v>
      </c>
      <c r="AD10" s="32">
        <f t="shared" si="11"/>
        <v>0</v>
      </c>
      <c r="AE10" s="32">
        <f t="shared" si="11"/>
        <v>0</v>
      </c>
      <c r="AF10" s="32">
        <f t="shared" si="11"/>
        <v>0</v>
      </c>
      <c r="AG10" s="32">
        <f t="shared" si="11"/>
        <v>0</v>
      </c>
      <c r="AH10" s="32">
        <f t="shared" si="11"/>
        <v>0</v>
      </c>
      <c r="AI10" s="32">
        <f>+AI91</f>
        <v>0</v>
      </c>
      <c r="AJ10" s="32">
        <f>+AJ91</f>
        <v>0</v>
      </c>
      <c r="AK10" s="32">
        <f>+AK91</f>
        <v>0</v>
      </c>
      <c r="AL10" s="32">
        <f t="shared" ref="AL10:BQ10" si="12">+AL85</f>
        <v>0</v>
      </c>
      <c r="AM10" s="32">
        <f t="shared" si="12"/>
        <v>28.995000000000005</v>
      </c>
      <c r="AN10" s="32">
        <f t="shared" si="12"/>
        <v>28.995000000000005</v>
      </c>
      <c r="AO10" s="32">
        <f t="shared" si="12"/>
        <v>12.447000000000001</v>
      </c>
      <c r="AP10" s="32">
        <f t="shared" si="12"/>
        <v>22.704999999999998</v>
      </c>
      <c r="AQ10" s="32">
        <f t="shared" si="12"/>
        <v>35.152000000000001</v>
      </c>
      <c r="AR10" s="32">
        <f t="shared" si="12"/>
        <v>17.733999999999998</v>
      </c>
      <c r="AS10" s="32">
        <f t="shared" si="12"/>
        <v>23.170000000000005</v>
      </c>
      <c r="AT10" s="32">
        <f t="shared" si="12"/>
        <v>40.904000000000003</v>
      </c>
      <c r="AU10" s="32">
        <f t="shared" si="12"/>
        <v>16.207999999999998</v>
      </c>
      <c r="AV10" s="32">
        <f t="shared" si="12"/>
        <v>27.911000000000001</v>
      </c>
      <c r="AW10" s="1060">
        <f t="shared" si="12"/>
        <v>44.119</v>
      </c>
      <c r="AX10" s="32">
        <f t="shared" si="12"/>
        <v>18.61</v>
      </c>
      <c r="AY10" s="32">
        <f t="shared" si="12"/>
        <v>35.792000000000002</v>
      </c>
      <c r="AZ10" s="32">
        <f t="shared" si="12"/>
        <v>54.402000000000001</v>
      </c>
      <c r="BA10" s="32">
        <f t="shared" si="12"/>
        <v>27.253000000000004</v>
      </c>
      <c r="BB10" s="32">
        <f t="shared" si="12"/>
        <v>50.988000000000014</v>
      </c>
      <c r="BC10" s="32">
        <f t="shared" si="12"/>
        <v>78.241000000000014</v>
      </c>
      <c r="BD10" s="32">
        <f t="shared" si="12"/>
        <v>57.541000000000004</v>
      </c>
      <c r="BE10" s="32">
        <f t="shared" si="12"/>
        <v>66.266999999999996</v>
      </c>
      <c r="BF10" s="32">
        <f t="shared" si="12"/>
        <v>123.80799999999999</v>
      </c>
      <c r="BG10" s="32">
        <f t="shared" si="12"/>
        <v>40.1</v>
      </c>
      <c r="BH10" s="32">
        <f t="shared" si="12"/>
        <v>30.323</v>
      </c>
      <c r="BI10" s="32">
        <f t="shared" si="12"/>
        <v>70.423000000000002</v>
      </c>
      <c r="BJ10" s="32">
        <f t="shared" si="12"/>
        <v>25.382000000000001</v>
      </c>
      <c r="BK10" s="32"/>
      <c r="BL10" s="32"/>
      <c r="BM10" s="32">
        <f t="shared" si="12"/>
        <v>160.11100000000002</v>
      </c>
      <c r="BN10" s="32">
        <f t="shared" si="12"/>
        <v>386.40700000000004</v>
      </c>
      <c r="BO10" s="32">
        <f t="shared" si="12"/>
        <v>546.51800000000003</v>
      </c>
      <c r="BP10" s="32">
        <f t="shared" si="12"/>
        <v>176.423</v>
      </c>
      <c r="BQ10" s="32">
        <f t="shared" si="12"/>
        <v>174.47000000000003</v>
      </c>
      <c r="BR10" s="32">
        <f t="shared" ref="BR10:CU10" si="13">+BR85</f>
        <v>350.89300000000003</v>
      </c>
      <c r="BS10" s="32">
        <f t="shared" si="13"/>
        <v>257.28599999999994</v>
      </c>
      <c r="BT10" s="32">
        <f t="shared" si="13"/>
        <v>282.01300000000003</v>
      </c>
      <c r="BU10" s="32">
        <f t="shared" si="13"/>
        <v>539.29899999999998</v>
      </c>
      <c r="BV10" s="32">
        <f t="shared" si="13"/>
        <v>348.72799999999995</v>
      </c>
      <c r="BW10" s="32">
        <f t="shared" si="13"/>
        <v>353.07400000000007</v>
      </c>
      <c r="BX10" s="32">
        <f t="shared" si="13"/>
        <v>701.80200000000002</v>
      </c>
      <c r="BY10" s="32">
        <f t="shared" si="13"/>
        <v>501.85699999999997</v>
      </c>
      <c r="BZ10" s="32">
        <f t="shared" si="13"/>
        <v>518.03700000000003</v>
      </c>
      <c r="CA10" s="32">
        <f t="shared" si="13"/>
        <v>1019.894</v>
      </c>
      <c r="CB10" s="32">
        <f t="shared" si="13"/>
        <v>617.39400000000001</v>
      </c>
      <c r="CC10" s="32">
        <f t="shared" si="13"/>
        <v>435.50699999999983</v>
      </c>
      <c r="CD10" s="32">
        <f t="shared" si="13"/>
        <v>1052.9009999999998</v>
      </c>
      <c r="CE10" s="32">
        <f t="shared" si="13"/>
        <v>500.21500000000003</v>
      </c>
      <c r="CF10" s="32">
        <f t="shared" si="13"/>
        <v>440.38599999999985</v>
      </c>
      <c r="CG10" s="32">
        <f t="shared" si="13"/>
        <v>940.60099999999989</v>
      </c>
      <c r="CH10" s="32">
        <f t="shared" si="13"/>
        <v>504.29999999999995</v>
      </c>
      <c r="CI10" s="32">
        <f t="shared" si="13"/>
        <v>519.6</v>
      </c>
      <c r="CJ10" s="32">
        <f t="shared" si="13"/>
        <v>1023.9</v>
      </c>
      <c r="CK10" s="32">
        <f t="shared" si="13"/>
        <v>624.59999999999991</v>
      </c>
      <c r="CL10" s="32">
        <f t="shared" si="13"/>
        <v>591.70000000000027</v>
      </c>
      <c r="CM10" s="32">
        <f t="shared" si="13"/>
        <v>1216.3000000000002</v>
      </c>
      <c r="CN10" s="32">
        <f t="shared" si="13"/>
        <v>645.70000000000005</v>
      </c>
      <c r="CO10" s="32">
        <f t="shared" si="13"/>
        <v>661.3</v>
      </c>
      <c r="CP10" s="32">
        <f t="shared" si="13"/>
        <v>1307</v>
      </c>
      <c r="CQ10" s="32">
        <f t="shared" si="13"/>
        <v>692.2</v>
      </c>
      <c r="CR10" s="32">
        <f t="shared" si="13"/>
        <v>708.8</v>
      </c>
      <c r="CS10" s="32">
        <f t="shared" si="13"/>
        <v>1401</v>
      </c>
      <c r="CT10" s="32">
        <f t="shared" si="13"/>
        <v>606.90000000000009</v>
      </c>
      <c r="CU10" s="32">
        <f t="shared" si="13"/>
        <v>546</v>
      </c>
      <c r="CV10" s="32">
        <f t="shared" ref="CV10:DP10" si="14">+CV85</f>
        <v>1152.9000000000001</v>
      </c>
      <c r="CW10" s="32">
        <f t="shared" si="14"/>
        <v>805.49999999999989</v>
      </c>
      <c r="CX10" s="32">
        <f t="shared" si="14"/>
        <v>539.81454610013031</v>
      </c>
      <c r="CY10" s="32">
        <f t="shared" si="14"/>
        <v>1345.3145461001302</v>
      </c>
      <c r="CZ10" s="32">
        <f t="shared" si="14"/>
        <v>1086.3</v>
      </c>
      <c r="DA10" s="32">
        <f t="shared" si="14"/>
        <v>642.59999999999991</v>
      </c>
      <c r="DB10" s="32">
        <f t="shared" si="14"/>
        <v>1728.8999999999999</v>
      </c>
      <c r="DC10" s="32">
        <f t="shared" si="14"/>
        <v>1160.7</v>
      </c>
      <c r="DD10" s="32">
        <f t="shared" si="14"/>
        <v>757.99999999999977</v>
      </c>
      <c r="DE10" s="1061">
        <f t="shared" si="14"/>
        <v>1918.6999999999998</v>
      </c>
      <c r="DF10" s="32">
        <f t="shared" si="14"/>
        <v>1248</v>
      </c>
      <c r="DG10" s="32">
        <f t="shared" si="14"/>
        <v>854.5</v>
      </c>
      <c r="DH10" s="1061">
        <f t="shared" si="14"/>
        <v>2102.5</v>
      </c>
      <c r="DI10" s="32">
        <f t="shared" si="14"/>
        <v>1810</v>
      </c>
      <c r="DJ10" s="32">
        <f t="shared" si="14"/>
        <v>581.19999999999982</v>
      </c>
      <c r="DK10" s="1061">
        <f t="shared" si="14"/>
        <v>2391.1999999999998</v>
      </c>
      <c r="DL10" s="32">
        <f t="shared" si="14"/>
        <v>1777</v>
      </c>
      <c r="DM10" s="32">
        <f t="shared" si="14"/>
        <v>603.69999999999982</v>
      </c>
      <c r="DN10" s="1061">
        <f t="shared" si="14"/>
        <v>2380.6999999999998</v>
      </c>
      <c r="DO10" s="32">
        <f t="shared" si="14"/>
        <v>1818.4</v>
      </c>
      <c r="DP10" s="32">
        <f t="shared" si="14"/>
        <v>791.60000000000036</v>
      </c>
      <c r="DQ10" s="1061">
        <f>+DQ85</f>
        <v>2610.0000000000005</v>
      </c>
      <c r="DR10" s="32">
        <f t="shared" ref="DR10:DZ10" si="15">+DR85</f>
        <v>2017.0050799999999</v>
      </c>
      <c r="DS10" s="32">
        <f t="shared" si="15"/>
        <v>889.99492000000009</v>
      </c>
      <c r="DT10" s="1061">
        <f t="shared" si="15"/>
        <v>2907</v>
      </c>
      <c r="DU10" s="32">
        <f t="shared" si="15"/>
        <v>2073.9999999999995</v>
      </c>
      <c r="DV10" s="32">
        <f>+DV85</f>
        <v>1145.0000000000005</v>
      </c>
      <c r="DW10" s="1061">
        <f>+DW85</f>
        <v>3219</v>
      </c>
      <c r="DX10" s="32">
        <f t="shared" ref="DX10" si="16">+DX85</f>
        <v>1946</v>
      </c>
      <c r="DY10" s="32">
        <f t="shared" si="15"/>
        <v>1476.8577022481932</v>
      </c>
      <c r="DZ10" s="1061">
        <f t="shared" si="15"/>
        <v>3422.8577022481932</v>
      </c>
      <c r="EA10" s="32">
        <f t="shared" ref="EA10:EF10" si="17">+EA85</f>
        <v>2123.9420938760486</v>
      </c>
      <c r="EB10" s="32">
        <f t="shared" si="17"/>
        <v>1520.6667349904319</v>
      </c>
      <c r="EC10" s="1061">
        <f t="shared" si="17"/>
        <v>3644.6088288664805</v>
      </c>
      <c r="ED10" s="32">
        <f t="shared" si="17"/>
        <v>2312.0038583265168</v>
      </c>
      <c r="EE10" s="32">
        <f t="shared" si="17"/>
        <v>1653.7883932636632</v>
      </c>
      <c r="EF10" s="1061">
        <f t="shared" si="17"/>
        <v>3965.7922515901801</v>
      </c>
      <c r="EG10" s="32">
        <f t="shared" ref="EG10:EL10" si="18">+EG85</f>
        <v>2508.786779520055</v>
      </c>
      <c r="EH10" s="32">
        <f t="shared" si="18"/>
        <v>1843.8151320194243</v>
      </c>
      <c r="EI10" s="1061">
        <f t="shared" si="18"/>
        <v>4352.6019115394793</v>
      </c>
      <c r="EJ10" s="32">
        <f t="shared" si="18"/>
        <v>2731.5065495174135</v>
      </c>
      <c r="EK10" s="32">
        <f t="shared" si="18"/>
        <v>2059.5985794968633</v>
      </c>
      <c r="EL10" s="1061">
        <f t="shared" si="18"/>
        <v>4791.1051290142768</v>
      </c>
      <c r="EM10" s="32">
        <f t="shared" ref="EM10:ER10" si="19">+EM85</f>
        <v>2993.5062992679455</v>
      </c>
      <c r="EN10" s="32">
        <f t="shared" si="19"/>
        <v>2268.9941550467115</v>
      </c>
      <c r="EO10" s="1061">
        <f t="shared" si="19"/>
        <v>5262.500454314657</v>
      </c>
      <c r="EP10" s="32">
        <f t="shared" si="19"/>
        <v>3244.2368047422647</v>
      </c>
      <c r="EQ10" s="32">
        <f t="shared" si="19"/>
        <v>2505.6281450045294</v>
      </c>
      <c r="ER10" s="1061">
        <f t="shared" si="19"/>
        <v>5749.8649497467941</v>
      </c>
      <c r="ES10" s="32">
        <f t="shared" ref="ES10:FA10" si="20">+ES85</f>
        <v>3483.5110744594012</v>
      </c>
      <c r="ET10" s="32">
        <f t="shared" si="20"/>
        <v>2724.3430891766284</v>
      </c>
      <c r="EU10" s="1061">
        <f t="shared" si="20"/>
        <v>6207.8541636360296</v>
      </c>
      <c r="EV10" s="32">
        <f t="shared" si="20"/>
        <v>3702.5824953413012</v>
      </c>
      <c r="EW10" s="32">
        <f t="shared" si="20"/>
        <v>2919.107026284978</v>
      </c>
      <c r="EX10" s="1061">
        <f t="shared" si="20"/>
        <v>6621.6895216262792</v>
      </c>
      <c r="EY10" s="32">
        <f t="shared" si="20"/>
        <v>3935.4684373353016</v>
      </c>
      <c r="EZ10" s="32">
        <f t="shared" si="20"/>
        <v>3126.8470762413112</v>
      </c>
      <c r="FA10" s="1061">
        <f t="shared" si="20"/>
        <v>7062.3155135766128</v>
      </c>
      <c r="FD10"/>
      <c r="FE10"/>
      <c r="FF10"/>
      <c r="FG10"/>
      <c r="FH10"/>
      <c r="FI10"/>
    </row>
    <row r="11" spans="1:169" s="33" customFormat="1">
      <c r="B11" s="54" t="s">
        <v>938</v>
      </c>
      <c r="C11" s="54"/>
      <c r="D11" s="2" t="s">
        <v>506</v>
      </c>
      <c r="E11" s="32">
        <f t="shared" ref="E11:AH11" si="21">+E91</f>
        <v>0</v>
      </c>
      <c r="F11" s="32">
        <f t="shared" si="21"/>
        <v>0</v>
      </c>
      <c r="G11" s="32">
        <f t="shared" si="21"/>
        <v>0</v>
      </c>
      <c r="H11" s="32">
        <f t="shared" si="21"/>
        <v>0</v>
      </c>
      <c r="I11" s="32">
        <f t="shared" si="21"/>
        <v>0</v>
      </c>
      <c r="J11" s="32">
        <f t="shared" si="21"/>
        <v>0</v>
      </c>
      <c r="K11" s="32">
        <f t="shared" si="21"/>
        <v>0</v>
      </c>
      <c r="L11" s="32">
        <f t="shared" si="21"/>
        <v>0</v>
      </c>
      <c r="M11" s="32">
        <f t="shared" si="21"/>
        <v>0</v>
      </c>
      <c r="N11" s="32">
        <f t="shared" si="21"/>
        <v>0</v>
      </c>
      <c r="O11" s="32">
        <f t="shared" si="21"/>
        <v>0</v>
      </c>
      <c r="P11" s="32">
        <f t="shared" si="21"/>
        <v>0</v>
      </c>
      <c r="Q11" s="32">
        <f t="shared" si="21"/>
        <v>0</v>
      </c>
      <c r="R11" s="32">
        <f t="shared" si="21"/>
        <v>0</v>
      </c>
      <c r="S11" s="32">
        <f t="shared" si="21"/>
        <v>0</v>
      </c>
      <c r="T11" s="32">
        <f t="shared" si="21"/>
        <v>0</v>
      </c>
      <c r="U11" s="32">
        <f t="shared" si="21"/>
        <v>0</v>
      </c>
      <c r="V11" s="32">
        <f t="shared" si="21"/>
        <v>0</v>
      </c>
      <c r="W11" s="32">
        <f t="shared" si="21"/>
        <v>0</v>
      </c>
      <c r="X11" s="32">
        <f t="shared" si="21"/>
        <v>0</v>
      </c>
      <c r="Y11" s="32">
        <f t="shared" si="21"/>
        <v>0</v>
      </c>
      <c r="Z11" s="32">
        <f t="shared" si="21"/>
        <v>0</v>
      </c>
      <c r="AA11" s="32">
        <f t="shared" si="21"/>
        <v>0</v>
      </c>
      <c r="AB11" s="32">
        <f t="shared" si="21"/>
        <v>0</v>
      </c>
      <c r="AC11" s="32">
        <f t="shared" si="21"/>
        <v>0</v>
      </c>
      <c r="AD11" s="32">
        <f t="shared" si="21"/>
        <v>0</v>
      </c>
      <c r="AE11" s="32">
        <f t="shared" si="21"/>
        <v>0</v>
      </c>
      <c r="AF11" s="32">
        <f t="shared" si="21"/>
        <v>0</v>
      </c>
      <c r="AG11" s="32">
        <f t="shared" si="21"/>
        <v>0</v>
      </c>
      <c r="AH11" s="32">
        <f t="shared" si="21"/>
        <v>0</v>
      </c>
      <c r="AI11" s="32">
        <f>+AI85</f>
        <v>0</v>
      </c>
      <c r="AJ11" s="32">
        <f>+AJ85</f>
        <v>0</v>
      </c>
      <c r="AK11" s="32">
        <f>+AK85</f>
        <v>0</v>
      </c>
      <c r="AL11" s="32">
        <f t="shared" ref="AL11:BQ11" si="22">+AL91</f>
        <v>0</v>
      </c>
      <c r="AM11" s="32">
        <f t="shared" si="22"/>
        <v>30.313000000000006</v>
      </c>
      <c r="AN11" s="32">
        <f t="shared" si="22"/>
        <v>30.313000000000006</v>
      </c>
      <c r="AO11" s="32">
        <f t="shared" si="22"/>
        <v>12.447000000000001</v>
      </c>
      <c r="AP11" s="32">
        <f t="shared" si="22"/>
        <v>23.110999999999997</v>
      </c>
      <c r="AQ11" s="32">
        <f t="shared" si="22"/>
        <v>35.558</v>
      </c>
      <c r="AR11" s="32">
        <f t="shared" si="22"/>
        <v>17.733999999999998</v>
      </c>
      <c r="AS11" s="32">
        <f t="shared" si="22"/>
        <v>23.170000000000005</v>
      </c>
      <c r="AT11" s="32">
        <f t="shared" si="22"/>
        <v>40.904000000000003</v>
      </c>
      <c r="AU11" s="32">
        <f t="shared" si="22"/>
        <v>16.207999999999998</v>
      </c>
      <c r="AV11" s="32">
        <f t="shared" si="22"/>
        <v>28.703000000000003</v>
      </c>
      <c r="AW11" s="1060">
        <f t="shared" si="22"/>
        <v>44.911000000000001</v>
      </c>
      <c r="AX11" s="32">
        <f t="shared" si="22"/>
        <v>18.61</v>
      </c>
      <c r="AY11" s="32">
        <f t="shared" si="22"/>
        <v>36.103999999999999</v>
      </c>
      <c r="AZ11" s="32">
        <f t="shared" si="22"/>
        <v>54.713999999999999</v>
      </c>
      <c r="BA11" s="32">
        <f t="shared" si="22"/>
        <v>37.329000000000008</v>
      </c>
      <c r="BB11" s="32">
        <f t="shared" si="22"/>
        <v>65.515000000000001</v>
      </c>
      <c r="BC11" s="32">
        <f t="shared" si="22"/>
        <v>102.84400000000001</v>
      </c>
      <c r="BD11" s="32">
        <f t="shared" si="22"/>
        <v>77.558999999999997</v>
      </c>
      <c r="BE11" s="32">
        <f t="shared" si="22"/>
        <v>95.38300000000001</v>
      </c>
      <c r="BF11" s="32">
        <f t="shared" si="22"/>
        <v>172.94200000000001</v>
      </c>
      <c r="BG11" s="32">
        <f t="shared" si="22"/>
        <v>40.1</v>
      </c>
      <c r="BH11" s="32">
        <f t="shared" si="22"/>
        <v>34.565000000000005</v>
      </c>
      <c r="BI11" s="32">
        <f t="shared" si="22"/>
        <v>74.665000000000006</v>
      </c>
      <c r="BJ11" s="32">
        <f t="shared" si="22"/>
        <v>28.383000000000003</v>
      </c>
      <c r="BK11" s="32"/>
      <c r="BL11" s="32"/>
      <c r="BM11" s="32">
        <f t="shared" si="22"/>
        <v>160.11100000000002</v>
      </c>
      <c r="BN11" s="32">
        <f t="shared" si="22"/>
        <v>391.11200000000008</v>
      </c>
      <c r="BO11" s="32">
        <f t="shared" si="22"/>
        <v>551.22300000000007</v>
      </c>
      <c r="BP11" s="32">
        <f t="shared" si="22"/>
        <v>176.423</v>
      </c>
      <c r="BQ11" s="32">
        <f t="shared" si="22"/>
        <v>185.52800000000002</v>
      </c>
      <c r="BR11" s="32">
        <f t="shared" ref="BR11:CW11" si="23">+BR91</f>
        <v>361.95100000000002</v>
      </c>
      <c r="BS11" s="32">
        <f t="shared" si="23"/>
        <v>257.28599999999994</v>
      </c>
      <c r="BT11" s="32">
        <f t="shared" si="23"/>
        <v>315.63400000000001</v>
      </c>
      <c r="BU11" s="32">
        <f t="shared" si="23"/>
        <v>572.91999999999996</v>
      </c>
      <c r="BV11" s="32">
        <f t="shared" si="23"/>
        <v>348.72799999999995</v>
      </c>
      <c r="BW11" s="32">
        <f t="shared" si="23"/>
        <v>353.07400000000007</v>
      </c>
      <c r="BX11" s="32">
        <f t="shared" si="23"/>
        <v>701.80200000000002</v>
      </c>
      <c r="BY11" s="32">
        <f t="shared" si="23"/>
        <v>501.85699999999997</v>
      </c>
      <c r="BZ11" s="32">
        <f t="shared" si="23"/>
        <v>518.03700000000003</v>
      </c>
      <c r="CA11" s="32">
        <f t="shared" si="23"/>
        <v>1019.894</v>
      </c>
      <c r="CB11" s="32">
        <f t="shared" si="23"/>
        <v>617.39400000000001</v>
      </c>
      <c r="CC11" s="32">
        <f t="shared" si="23"/>
        <v>435.50699999999983</v>
      </c>
      <c r="CD11" s="32">
        <f t="shared" si="23"/>
        <v>1052.9009999999998</v>
      </c>
      <c r="CE11" s="32">
        <f t="shared" si="23"/>
        <v>500.21500000000003</v>
      </c>
      <c r="CF11" s="32">
        <f t="shared" si="23"/>
        <v>440.38599999999985</v>
      </c>
      <c r="CG11" s="32">
        <f>+CG91</f>
        <v>940.60099999999989</v>
      </c>
      <c r="CH11" s="32">
        <f t="shared" si="23"/>
        <v>504.29999999999995</v>
      </c>
      <c r="CI11" s="32">
        <f t="shared" si="23"/>
        <v>519.6</v>
      </c>
      <c r="CJ11" s="32">
        <f t="shared" si="23"/>
        <v>1023.9</v>
      </c>
      <c r="CK11" s="32">
        <f t="shared" si="23"/>
        <v>624.59999999999991</v>
      </c>
      <c r="CL11" s="32">
        <f t="shared" si="23"/>
        <v>591.70000000000027</v>
      </c>
      <c r="CM11" s="32">
        <f t="shared" si="23"/>
        <v>1216.3000000000002</v>
      </c>
      <c r="CN11" s="32">
        <f t="shared" si="23"/>
        <v>645.70000000000005</v>
      </c>
      <c r="CO11" s="32">
        <f t="shared" si="23"/>
        <v>661.3</v>
      </c>
      <c r="CP11" s="32">
        <f t="shared" si="23"/>
        <v>1307</v>
      </c>
      <c r="CQ11" s="32">
        <f t="shared" si="23"/>
        <v>692.2</v>
      </c>
      <c r="CR11" s="32">
        <f t="shared" si="23"/>
        <v>708.8</v>
      </c>
      <c r="CS11" s="32">
        <f t="shared" si="23"/>
        <v>1401</v>
      </c>
      <c r="CT11" s="32">
        <f t="shared" si="23"/>
        <v>606.90000000000009</v>
      </c>
      <c r="CU11" s="32">
        <f t="shared" si="23"/>
        <v>546</v>
      </c>
      <c r="CV11" s="32">
        <f t="shared" si="23"/>
        <v>1152.9000000000001</v>
      </c>
      <c r="CW11" s="32">
        <f t="shared" si="23"/>
        <v>805.49999999999989</v>
      </c>
      <c r="CX11" s="32">
        <f t="shared" ref="CX11:DQ11" si="24">+CX91</f>
        <v>539.81454610013031</v>
      </c>
      <c r="CY11" s="32">
        <f t="shared" si="24"/>
        <v>1345.3145461001302</v>
      </c>
      <c r="CZ11" s="32">
        <f t="shared" si="24"/>
        <v>1086.3</v>
      </c>
      <c r="DA11" s="32">
        <f t="shared" si="24"/>
        <v>642.59999999999991</v>
      </c>
      <c r="DB11" s="32">
        <f t="shared" si="24"/>
        <v>1728.8999999999999</v>
      </c>
      <c r="DC11" s="32">
        <f t="shared" si="24"/>
        <v>1160.7</v>
      </c>
      <c r="DD11" s="32">
        <f t="shared" si="24"/>
        <v>757.99999999999977</v>
      </c>
      <c r="DE11" s="1061">
        <f t="shared" si="24"/>
        <v>1918.6999999999998</v>
      </c>
      <c r="DF11" s="32">
        <f t="shared" si="24"/>
        <v>1248</v>
      </c>
      <c r="DG11" s="32">
        <f t="shared" si="24"/>
        <v>854.5</v>
      </c>
      <c r="DH11" s="1061">
        <f t="shared" si="24"/>
        <v>2102.5</v>
      </c>
      <c r="DI11" s="32">
        <f t="shared" si="24"/>
        <v>1811.85</v>
      </c>
      <c r="DJ11" s="32">
        <f t="shared" si="24"/>
        <v>583.04999999999973</v>
      </c>
      <c r="DK11" s="1061">
        <f t="shared" si="24"/>
        <v>2394.8999999999996</v>
      </c>
      <c r="DL11" s="32">
        <f t="shared" si="24"/>
        <v>1760.3</v>
      </c>
      <c r="DM11" s="32">
        <f t="shared" si="24"/>
        <v>501.70000000000005</v>
      </c>
      <c r="DN11" s="1061">
        <f t="shared" si="24"/>
        <v>2262</v>
      </c>
      <c r="DO11" s="32">
        <f t="shared" si="24"/>
        <v>1623.1000000000001</v>
      </c>
      <c r="DP11" s="32">
        <f t="shared" si="24"/>
        <v>570.80000000000041</v>
      </c>
      <c r="DQ11" s="1061">
        <f t="shared" si="24"/>
        <v>2193.9000000000005</v>
      </c>
      <c r="DR11" s="32">
        <f t="shared" ref="DR11:DZ11" si="25">+DR91</f>
        <v>1901.0050799999999</v>
      </c>
      <c r="DS11" s="32">
        <f t="shared" si="25"/>
        <v>740.99492000000009</v>
      </c>
      <c r="DT11" s="1061">
        <f t="shared" si="25"/>
        <v>2642</v>
      </c>
      <c r="DU11" s="32">
        <f t="shared" si="25"/>
        <v>2006.9999999999995</v>
      </c>
      <c r="DV11" s="32">
        <f>+DV91</f>
        <v>995.00000000000045</v>
      </c>
      <c r="DW11" s="1061">
        <f>+DW91</f>
        <v>3002</v>
      </c>
      <c r="DX11" s="32">
        <f t="shared" ref="DX11" si="26">+DX91</f>
        <v>401</v>
      </c>
      <c r="DY11" s="32">
        <f t="shared" si="25"/>
        <v>1372.8577022481932</v>
      </c>
      <c r="DZ11" s="1061">
        <f t="shared" si="25"/>
        <v>1773.8577022481932</v>
      </c>
      <c r="EA11" s="32">
        <f t="shared" ref="EA11:EF11" si="27">+EA91</f>
        <v>1979.9420938760486</v>
      </c>
      <c r="EB11" s="32">
        <f t="shared" si="27"/>
        <v>1402.6667349904319</v>
      </c>
      <c r="EC11" s="1061">
        <f t="shared" si="27"/>
        <v>3382.6088288664805</v>
      </c>
      <c r="ED11" s="32">
        <f t="shared" si="27"/>
        <v>2168.0038583265168</v>
      </c>
      <c r="EE11" s="32">
        <f t="shared" si="27"/>
        <v>1535.7883932636632</v>
      </c>
      <c r="EF11" s="1061">
        <f t="shared" si="27"/>
        <v>3703.7922515901801</v>
      </c>
      <c r="EG11" s="32">
        <f t="shared" ref="EG11:EL11" si="28">+EG91</f>
        <v>2364.786779520055</v>
      </c>
      <c r="EH11" s="32">
        <f t="shared" si="28"/>
        <v>1725.8151320194243</v>
      </c>
      <c r="EI11" s="1061">
        <f t="shared" si="28"/>
        <v>4090.6019115394793</v>
      </c>
      <c r="EJ11" s="32">
        <f t="shared" si="28"/>
        <v>2587.5065495174135</v>
      </c>
      <c r="EK11" s="32">
        <f t="shared" si="28"/>
        <v>1941.5985794968633</v>
      </c>
      <c r="EL11" s="1061">
        <f t="shared" si="28"/>
        <v>4529.1051290142768</v>
      </c>
      <c r="EM11" s="32">
        <f t="shared" ref="EM11:ER11" si="29">+EM91</f>
        <v>2849.5062992679455</v>
      </c>
      <c r="EN11" s="32">
        <f t="shared" si="29"/>
        <v>2150.9941550467115</v>
      </c>
      <c r="EO11" s="1061">
        <f t="shared" si="29"/>
        <v>5000.500454314657</v>
      </c>
      <c r="EP11" s="32">
        <f t="shared" si="29"/>
        <v>3100.2368047422647</v>
      </c>
      <c r="EQ11" s="32">
        <f t="shared" si="29"/>
        <v>2387.6281450045294</v>
      </c>
      <c r="ER11" s="1061">
        <f t="shared" si="29"/>
        <v>5487.8649497467941</v>
      </c>
      <c r="ES11" s="32">
        <f t="shared" ref="ES11:FA11" si="30">+ES91</f>
        <v>3339.5110744594012</v>
      </c>
      <c r="ET11" s="32">
        <f t="shared" si="30"/>
        <v>2606.3430891766284</v>
      </c>
      <c r="EU11" s="1061">
        <f t="shared" si="30"/>
        <v>5945.8541636360296</v>
      </c>
      <c r="EV11" s="32">
        <f t="shared" si="30"/>
        <v>3558.5824953413012</v>
      </c>
      <c r="EW11" s="32">
        <f t="shared" si="30"/>
        <v>2801.107026284978</v>
      </c>
      <c r="EX11" s="1061">
        <f t="shared" si="30"/>
        <v>6359.6895216262792</v>
      </c>
      <c r="EY11" s="32">
        <f t="shared" si="30"/>
        <v>3791.4684373353016</v>
      </c>
      <c r="EZ11" s="32">
        <f t="shared" si="30"/>
        <v>3008.8470762413112</v>
      </c>
      <c r="FA11" s="1061">
        <f t="shared" si="30"/>
        <v>6800.3155135766128</v>
      </c>
      <c r="FD11"/>
      <c r="FE11"/>
      <c r="FF11"/>
      <c r="FG11"/>
      <c r="FH11"/>
      <c r="FI11"/>
    </row>
    <row r="12" spans="1:169" s="33" customFormat="1">
      <c r="B12" s="54" t="s">
        <v>941</v>
      </c>
      <c r="C12" s="54"/>
      <c r="D12" s="2" t="s">
        <v>365</v>
      </c>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f>+((AK11+AK400)/AK393)*100</f>
        <v>0</v>
      </c>
      <c r="AL12" s="32"/>
      <c r="AM12" s="32"/>
      <c r="AN12" s="32">
        <f>+((AN11+AN400)/AN393)*100</f>
        <v>7.6978945256651512</v>
      </c>
      <c r="AO12" s="32"/>
      <c r="AP12" s="32"/>
      <c r="AQ12" s="32">
        <f>+((AQ11+AQ400)/AQ393)*100</f>
        <v>9.0298463874773667</v>
      </c>
      <c r="AR12" s="32"/>
      <c r="AS12" s="32"/>
      <c r="AT12" s="32">
        <f>+((AT11+AT400)/AT393)*100</f>
        <v>10.387446893339733</v>
      </c>
      <c r="AU12" s="32">
        <f>+((AU11+AU400)/AU389)*100</f>
        <v>4.1251145935705704</v>
      </c>
      <c r="AV12" s="32">
        <f>+((AV11+AV400)/AV389)*100</f>
        <v>7.3274366846715067</v>
      </c>
      <c r="AW12" s="1064">
        <v>34.22</v>
      </c>
      <c r="AX12" s="32">
        <f>+((AX11+AX400)/AX389)*100</f>
        <v>4.7259791522664374</v>
      </c>
      <c r="AY12" s="32">
        <f>+((AY11+AY400)/AY389)*100</f>
        <v>9.1337048355832451</v>
      </c>
      <c r="AZ12" s="1064">
        <v>41.41</v>
      </c>
      <c r="BA12" s="32">
        <f>+((BA11+BA400)/BA389)*100</f>
        <v>8.3421701343480432</v>
      </c>
      <c r="BB12" s="32">
        <f>+((BB11+BB400)/BB389)*100</f>
        <v>14.57611157599171</v>
      </c>
      <c r="BC12" s="1064">
        <v>68.430000000000007</v>
      </c>
      <c r="BD12" s="32">
        <f>+((BD11+BD400)/BD389)*100</f>
        <v>16.351643013874117</v>
      </c>
      <c r="BE12" s="32">
        <f>+((BE11+BE400)/BE389)*100</f>
        <v>20.091975342655068</v>
      </c>
      <c r="BF12" s="1064">
        <v>108.57</v>
      </c>
      <c r="BG12" s="32">
        <f>+((BG11+BG400)/BG389)*100</f>
        <v>8.4546709907697846</v>
      </c>
      <c r="BH12" s="32">
        <f>+((BH11+BH400)/BH389)*100</f>
        <v>7.2631207063354335</v>
      </c>
      <c r="BI12" s="32">
        <f>+((BI11+BI400)/BI389)*100</f>
        <v>15.717791697105218</v>
      </c>
      <c r="BJ12" s="32">
        <f>+((BJ11+BJ400)/BJ389)*100</f>
        <v>5.8398205729603516</v>
      </c>
      <c r="BK12" s="32"/>
      <c r="BL12" s="32"/>
      <c r="BM12" s="32">
        <f t="shared" ref="BM12:DN12" si="31">+((BM11+BM400)/BM389)*100</f>
        <v>27.387923220855026</v>
      </c>
      <c r="BN12" s="32">
        <f t="shared" si="31"/>
        <v>68.117684408806596</v>
      </c>
      <c r="BO12" s="32">
        <f t="shared" si="31"/>
        <v>95.138885441564554</v>
      </c>
      <c r="BP12" s="32">
        <f t="shared" si="31"/>
        <v>32.245175016261115</v>
      </c>
      <c r="BQ12" s="32">
        <f t="shared" si="31"/>
        <v>34.680364930783405</v>
      </c>
      <c r="BR12" s="32">
        <f t="shared" si="31"/>
        <v>66.898164742726507</v>
      </c>
      <c r="BS12" s="32">
        <f t="shared" si="31"/>
        <v>47.41247996580578</v>
      </c>
      <c r="BT12" s="32">
        <f t="shared" si="31"/>
        <v>58.164807651901576</v>
      </c>
      <c r="BU12" s="32">
        <f t="shared" si="31"/>
        <v>104.60319436779241</v>
      </c>
      <c r="BV12" s="32">
        <f t="shared" si="31"/>
        <v>63.422996950848223</v>
      </c>
      <c r="BW12" s="32">
        <f t="shared" si="31"/>
        <v>64.463918606810637</v>
      </c>
      <c r="BX12" s="32">
        <f t="shared" si="31"/>
        <v>127.5757962493019</v>
      </c>
      <c r="BY12" s="32">
        <f t="shared" si="31"/>
        <v>85.09296126228891</v>
      </c>
      <c r="BZ12" s="32">
        <f t="shared" si="31"/>
        <v>86.115439538955457</v>
      </c>
      <c r="CA12" s="32">
        <f t="shared" si="31"/>
        <v>171.21851638771409</v>
      </c>
      <c r="CB12" s="32">
        <f t="shared" si="31"/>
        <v>106.33637918084857</v>
      </c>
      <c r="CC12" s="32">
        <f t="shared" si="31"/>
        <v>78.731996265924252</v>
      </c>
      <c r="CD12" s="32">
        <f t="shared" si="31"/>
        <v>185.73680495279018</v>
      </c>
      <c r="CE12" s="32">
        <f t="shared" si="31"/>
        <v>91.452459994112559</v>
      </c>
      <c r="CF12" s="32">
        <f t="shared" si="31"/>
        <v>81.472970386623416</v>
      </c>
      <c r="CG12" s="32">
        <f t="shared" si="31"/>
        <v>174.01451776084704</v>
      </c>
      <c r="CH12" s="32">
        <f t="shared" si="31"/>
        <v>96.242062527146018</v>
      </c>
      <c r="CI12" s="32">
        <f t="shared" si="31"/>
        <v>101.03961162414421</v>
      </c>
      <c r="CJ12" s="32">
        <f t="shared" si="31"/>
        <v>197.25348816199019</v>
      </c>
      <c r="CK12" s="32">
        <f t="shared" si="31"/>
        <v>124.22251789099596</v>
      </c>
      <c r="CL12" s="32">
        <f t="shared" si="31"/>
        <v>121.79516037904183</v>
      </c>
      <c r="CM12" s="32">
        <f t="shared" si="31"/>
        <v>243.93982516540115</v>
      </c>
      <c r="CN12" s="32">
        <f t="shared" si="31"/>
        <v>133.03680171270798</v>
      </c>
      <c r="CO12" s="32">
        <f t="shared" si="31"/>
        <v>136.25094776616663</v>
      </c>
      <c r="CP12" s="32">
        <f t="shared" si="31"/>
        <v>270.14014672392341</v>
      </c>
      <c r="CQ12" s="32">
        <f t="shared" si="31"/>
        <v>145.97072148285503</v>
      </c>
      <c r="CR12" s="32">
        <f t="shared" si="31"/>
        <v>150.77179963332864</v>
      </c>
      <c r="CS12" s="32">
        <f t="shared" si="31"/>
        <v>296.93700954407052</v>
      </c>
      <c r="CT12" s="32">
        <f t="shared" si="31"/>
        <v>130.88669431529652</v>
      </c>
      <c r="CU12" s="32">
        <f t="shared" si="31"/>
        <v>119.00629500747584</v>
      </c>
      <c r="CV12" s="32">
        <f t="shared" si="31"/>
        <v>249.54568518616361</v>
      </c>
      <c r="CW12" s="32">
        <f t="shared" si="31"/>
        <v>176.74937518547299</v>
      </c>
      <c r="CX12" s="32">
        <f t="shared" si="31"/>
        <v>118.67008795156384</v>
      </c>
      <c r="CY12" s="32">
        <f t="shared" si="31"/>
        <v>295.45846142730142</v>
      </c>
      <c r="CZ12" s="32">
        <f t="shared" si="31"/>
        <v>240.16603863494441</v>
      </c>
      <c r="DA12" s="32">
        <f t="shared" si="31"/>
        <v>141.79630306145475</v>
      </c>
      <c r="DB12" s="32">
        <f t="shared" si="31"/>
        <v>382.20132404009115</v>
      </c>
      <c r="DC12" s="32">
        <f t="shared" si="31"/>
        <v>256.30022984634525</v>
      </c>
      <c r="DD12" s="32">
        <f t="shared" si="31"/>
        <v>167.33939273395347</v>
      </c>
      <c r="DE12" s="1061">
        <f t="shared" si="31"/>
        <v>423.6293776947366</v>
      </c>
      <c r="DF12" s="32">
        <f t="shared" si="31"/>
        <v>275.04127624653</v>
      </c>
      <c r="DG12" s="32">
        <f t="shared" si="31"/>
        <v>188.27180777541929</v>
      </c>
      <c r="DH12" s="1061">
        <f t="shared" si="31"/>
        <v>463.30208899651018</v>
      </c>
      <c r="DI12" s="32">
        <f t="shared" si="31"/>
        <v>398.39193942583205</v>
      </c>
      <c r="DJ12" s="32">
        <f t="shared" si="31"/>
        <v>128.12200096407111</v>
      </c>
      <c r="DK12" s="1061">
        <f t="shared" si="31"/>
        <v>526.50703961667148</v>
      </c>
      <c r="DL12" s="32">
        <f t="shared" si="31"/>
        <v>385.39576645498215</v>
      </c>
      <c r="DM12" s="32">
        <f t="shared" si="31"/>
        <v>104.79408587714711</v>
      </c>
      <c r="DN12" s="1061">
        <f t="shared" si="31"/>
        <v>482.55499995811243</v>
      </c>
      <c r="DO12" s="32">
        <f t="shared" ref="DO12:ER12" si="32">+((DO11+DO400)/DO389)*100</f>
        <v>336.71604754047775</v>
      </c>
      <c r="DP12" s="32">
        <f t="shared" si="32"/>
        <v>118.38071082299267</v>
      </c>
      <c r="DQ12" s="1061">
        <f t="shared" si="32"/>
        <v>455.00252535838024</v>
      </c>
      <c r="DR12" s="32">
        <f t="shared" si="32"/>
        <v>393.72159103600603</v>
      </c>
      <c r="DS12" s="32">
        <f t="shared" si="32"/>
        <v>153.38548184289812</v>
      </c>
      <c r="DT12" s="1061">
        <f t="shared" si="32"/>
        <v>546.98564111554504</v>
      </c>
      <c r="DU12" s="32">
        <f>+((DU11+DU400)/DU389)*100</f>
        <v>414.77239730491181</v>
      </c>
      <c r="DV12" s="32">
        <f>+((DV11+DV400)/DV389)*100</f>
        <v>205.82848300926534</v>
      </c>
      <c r="DW12" s="1061">
        <f>+((DW11+DW400)/DW389)*100</f>
        <v>620.19531979373812</v>
      </c>
      <c r="DX12" s="32">
        <f t="shared" ref="DX12" si="33">+((DX11+DX400)/DX389)*100</f>
        <v>83.204082117593543</v>
      </c>
      <c r="DY12" s="32">
        <f t="shared" si="32"/>
        <v>286.0906057561084</v>
      </c>
      <c r="DZ12" s="1061">
        <f t="shared" si="32"/>
        <v>368.85606611346373</v>
      </c>
      <c r="EA12" s="32">
        <f t="shared" si="32"/>
        <v>414.27061272885595</v>
      </c>
      <c r="EB12" s="32">
        <f t="shared" si="32"/>
        <v>294.61569470071186</v>
      </c>
      <c r="EC12" s="1061">
        <f t="shared" si="32"/>
        <v>709.11632735045418</v>
      </c>
      <c r="ED12" s="32">
        <f t="shared" si="32"/>
        <v>457.03630714657618</v>
      </c>
      <c r="EE12" s="32">
        <f t="shared" si="32"/>
        <v>324.88830042510023</v>
      </c>
      <c r="EF12" s="1061">
        <f t="shared" si="32"/>
        <v>782.15465063037175</v>
      </c>
      <c r="EG12" s="32">
        <f t="shared" si="32"/>
        <v>500.09002637106352</v>
      </c>
      <c r="EH12" s="32">
        <f t="shared" si="32"/>
        <v>364.84133795348953</v>
      </c>
      <c r="EI12" s="1061">
        <f t="shared" si="32"/>
        <v>864.90856245341058</v>
      </c>
      <c r="EJ12" s="32">
        <f t="shared" si="32"/>
        <v>546.82056204178855</v>
      </c>
      <c r="EK12" s="32">
        <f t="shared" si="32"/>
        <v>410.18189405168044</v>
      </c>
      <c r="EL12" s="1061">
        <f t="shared" si="32"/>
        <v>956.97943540707172</v>
      </c>
      <c r="EM12" s="32">
        <f t="shared" si="32"/>
        <v>601.78363406432686</v>
      </c>
      <c r="EN12" s="32">
        <f t="shared" si="32"/>
        <v>454.11279788148124</v>
      </c>
      <c r="EO12" s="1061">
        <f t="shared" si="32"/>
        <v>1055.8715693308407</v>
      </c>
      <c r="EP12" s="32">
        <f t="shared" si="32"/>
        <v>654.29437708423814</v>
      </c>
      <c r="EQ12" s="32">
        <f t="shared" si="32"/>
        <v>503.73122016845417</v>
      </c>
      <c r="ER12" s="1061">
        <f t="shared" si="32"/>
        <v>1158.000264732307</v>
      </c>
      <c r="ES12" s="32">
        <f t="shared" ref="ES12:FA12" si="34">+((ES11+ES400)/ES389)*100</f>
        <v>704.31830254187673</v>
      </c>
      <c r="ET12" s="32">
        <f t="shared" si="34"/>
        <v>549.50497265585852</v>
      </c>
      <c r="EU12" s="1061">
        <f t="shared" si="34"/>
        <v>1253.797245096592</v>
      </c>
      <c r="EV12" s="32">
        <f t="shared" si="34"/>
        <v>750.01696442817365</v>
      </c>
      <c r="EW12" s="32">
        <f t="shared" si="34"/>
        <v>590.17091992355222</v>
      </c>
      <c r="EX12" s="1061">
        <f t="shared" si="34"/>
        <v>1340.1610261204678</v>
      </c>
      <c r="EY12" s="32">
        <f t="shared" si="34"/>
        <v>798.56386074168688</v>
      </c>
      <c r="EZ12" s="32">
        <f t="shared" si="34"/>
        <v>633.51437727766063</v>
      </c>
      <c r="FA12" s="1061">
        <f t="shared" si="34"/>
        <v>1432.0505241036069</v>
      </c>
      <c r="FD12"/>
      <c r="FE12"/>
      <c r="FF12"/>
      <c r="FG12"/>
      <c r="FH12"/>
      <c r="FI12"/>
    </row>
    <row r="13" spans="1:169" s="33" customFormat="1">
      <c r="B13" s="54" t="s">
        <v>366</v>
      </c>
      <c r="C13" s="54"/>
      <c r="D13" s="2" t="s">
        <v>367</v>
      </c>
      <c r="E13" s="32"/>
      <c r="F13" s="32"/>
      <c r="G13" s="32"/>
      <c r="H13" s="32"/>
      <c r="I13" s="32"/>
      <c r="J13" s="32"/>
      <c r="K13" s="32"/>
      <c r="L13" s="32"/>
      <c r="M13" s="32">
        <f>IF(ISERROR(Model!CY13),"",Model!CY13)</f>
        <v>58.008154233271497</v>
      </c>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v>2226.4529531884004</v>
      </c>
      <c r="AO13" s="32"/>
      <c r="AP13" s="32"/>
      <c r="AQ13" s="32">
        <v>1898.0389327296248</v>
      </c>
      <c r="AR13" s="32"/>
      <c r="AS13" s="32"/>
      <c r="AT13" s="32">
        <v>1649.9723344905142</v>
      </c>
      <c r="AU13" s="32">
        <v>2077.3968348313224</v>
      </c>
      <c r="AV13" s="32">
        <v>1169.5085701561643</v>
      </c>
      <c r="AW13" s="32">
        <v>500.84745762711862</v>
      </c>
      <c r="AX13" s="32">
        <v>1813.275032305279</v>
      </c>
      <c r="AY13" s="32">
        <v>938.22826052083417</v>
      </c>
      <c r="AZ13" s="32">
        <v>413.88553489495291</v>
      </c>
      <c r="BA13" s="32">
        <v>1027.2506868106116</v>
      </c>
      <c r="BB13" s="32">
        <v>587.91399580906125</v>
      </c>
      <c r="BC13" s="32">
        <v>250.46032441911439</v>
      </c>
      <c r="BD13" s="32">
        <v>524.07577591615166</v>
      </c>
      <c r="BE13" s="32">
        <v>426.51356344276581</v>
      </c>
      <c r="BF13" s="32">
        <v>157.86128764852168</v>
      </c>
      <c r="BG13" s="32">
        <v>1013.5817241564547</v>
      </c>
      <c r="BH13" s="32">
        <v>1179.8647367274295</v>
      </c>
      <c r="BI13" s="32">
        <v>1090.4203548617156</v>
      </c>
      <c r="BJ13" s="32">
        <v>1467.4252218773058</v>
      </c>
      <c r="BK13" s="32"/>
      <c r="BL13" s="32"/>
      <c r="BM13" s="32">
        <v>312.89338482863133</v>
      </c>
      <c r="BN13" s="32">
        <v>125.80433516457131</v>
      </c>
      <c r="BO13" s="32">
        <v>180.14715981224077</v>
      </c>
      <c r="BP13" s="32">
        <v>265.76069119421538</v>
      </c>
      <c r="BQ13" s="32">
        <v>247.09947594563621</v>
      </c>
      <c r="BR13" s="32">
        <v>256.19536897480339</v>
      </c>
      <c r="BS13" s="32">
        <v>180.74355119538956</v>
      </c>
      <c r="BT13" s="32">
        <v>147.33135629512975</v>
      </c>
      <c r="BU13" s="32">
        <v>163.84776873771207</v>
      </c>
      <c r="BV13" s="32">
        <v>135.11660457548578</v>
      </c>
      <c r="BW13" s="32">
        <v>132.93482905171436</v>
      </c>
      <c r="BX13" s="32">
        <v>134.34366473800301</v>
      </c>
      <c r="BY13" s="32">
        <v>100.70750709433577</v>
      </c>
      <c r="BZ13" s="32">
        <v>99.511772173252083</v>
      </c>
      <c r="CA13" s="32">
        <v>100.10015482898916</v>
      </c>
      <c r="CB13" s="32">
        <v>80.588600684114567</v>
      </c>
      <c r="CC13" s="32">
        <v>108.84393139297215</v>
      </c>
      <c r="CD13" s="32">
        <v>92.275733957824457</v>
      </c>
      <c r="CE13" s="32">
        <v>93.704423047249676</v>
      </c>
      <c r="CF13" s="32">
        <v>105.18212309351344</v>
      </c>
      <c r="CG13" s="32">
        <v>98.491782298041358</v>
      </c>
      <c r="CH13" s="32">
        <v>89.041109209218035</v>
      </c>
      <c r="CI13" s="32">
        <v>84.813271371999704</v>
      </c>
      <c r="CJ13" s="32">
        <v>86.888197312510698</v>
      </c>
      <c r="CK13" s="32">
        <v>68.985077307156587</v>
      </c>
      <c r="CL13" s="32">
        <v>70.359938550354869</v>
      </c>
      <c r="CM13" s="32">
        <v>70.259130457189826</v>
      </c>
      <c r="CN13" s="32">
        <v>64.414507036224265</v>
      </c>
      <c r="CO13" s="32">
        <v>62.894975341433536</v>
      </c>
      <c r="CP13" s="32">
        <v>63.444845972915068</v>
      </c>
      <c r="CQ13" s="32">
        <v>58.706978447088979</v>
      </c>
      <c r="CR13" s="32">
        <v>56.83755198810853</v>
      </c>
      <c r="CS13" s="32">
        <v>57.719312342762308</v>
      </c>
      <c r="CT13" s="32">
        <v>65.47265972931288</v>
      </c>
      <c r="CU13" s="32">
        <v>72.00879583270509</v>
      </c>
      <c r="CV13" s="32">
        <v>68.680810839162092</v>
      </c>
      <c r="CW13" s="32">
        <v>48.483905479199258</v>
      </c>
      <c r="CX13" s="32">
        <v>72.212805669257705</v>
      </c>
      <c r="CY13" s="32">
        <v>58.008154233271497</v>
      </c>
      <c r="CZ13" s="32">
        <v>35.681564507235571</v>
      </c>
      <c r="DA13" s="32">
        <v>60.435285088398707</v>
      </c>
      <c r="DB13" s="32">
        <v>44.842858781415934</v>
      </c>
      <c r="DC13" s="32">
        <v>33.435397249302142</v>
      </c>
      <c r="DD13" s="32">
        <v>51.210296989808732</v>
      </c>
      <c r="DE13" s="1061">
        <v>40.457534114525465</v>
      </c>
      <c r="DF13" s="32">
        <v>22.160346706553689</v>
      </c>
      <c r="DG13" s="32">
        <v>32.383069770634791</v>
      </c>
      <c r="DH13" s="1061">
        <v>26.315075295498897</v>
      </c>
      <c r="DI13" s="32">
        <v>15.30144785778988</v>
      </c>
      <c r="DJ13" s="32">
        <v>47.689092681404567</v>
      </c>
      <c r="DK13" s="1061">
        <v>23.173520110836407</v>
      </c>
      <c r="DL13" s="32">
        <v>15.655709899118595</v>
      </c>
      <c r="DM13" s="32">
        <v>48.295593074766423</v>
      </c>
      <c r="DN13" s="1061">
        <v>23.932560183966995</v>
      </c>
      <c r="DO13" s="32">
        <v>16.151356259957339</v>
      </c>
      <c r="DP13" s="32">
        <v>37.121451553377049</v>
      </c>
      <c r="DQ13" s="1061">
        <v>22.511481713701038</v>
      </c>
      <c r="DR13" s="32">
        <v>14.600982828028277</v>
      </c>
      <c r="DS13" s="32">
        <v>33.112629731297645</v>
      </c>
      <c r="DT13" s="1061">
        <v>20.268430954875015</v>
      </c>
      <c r="DU13" s="32">
        <v>14.214507956949433</v>
      </c>
      <c r="DV13" s="32">
        <v>25.755959720816506</v>
      </c>
      <c r="DW13" s="1061">
        <v>18.31980844456292</v>
      </c>
      <c r="DX13" s="32">
        <v>15.1078811724819</v>
      </c>
      <c r="DY13" s="32">
        <v>19.821586122422772</v>
      </c>
      <c r="DZ13" s="1061">
        <v>17.141699714477731</v>
      </c>
      <c r="EA13" s="32">
        <v>13.727414974972477</v>
      </c>
      <c r="EB13" s="32">
        <v>19.100082325506023</v>
      </c>
      <c r="EC13" s="1061">
        <v>15.969092175942913</v>
      </c>
      <c r="ED13" s="32">
        <v>12.516955697625484</v>
      </c>
      <c r="EE13" s="32">
        <v>17.438222586939592</v>
      </c>
      <c r="EF13" s="1061">
        <v>14.569189789927474</v>
      </c>
      <c r="EG13" s="32">
        <v>11.499109739636653</v>
      </c>
      <c r="EH13" s="32">
        <v>15.651514280103282</v>
      </c>
      <c r="EI13" s="1061">
        <v>13.258118829275769</v>
      </c>
      <c r="EJ13" s="32">
        <v>10.568593822846442</v>
      </c>
      <c r="EK13" s="32">
        <v>14.021114556687383</v>
      </c>
      <c r="EL13" s="1061">
        <v>12.052762215654228</v>
      </c>
      <c r="EM13" s="32">
        <v>9.6500722275420969</v>
      </c>
      <c r="EN13" s="32">
        <v>12.735703313684745</v>
      </c>
      <c r="EO13" s="1061">
        <v>10.980481404675345</v>
      </c>
      <c r="EP13" s="32">
        <v>8.910237598724855</v>
      </c>
      <c r="EQ13" s="32">
        <v>11.5406610482303</v>
      </c>
      <c r="ER13" s="1061">
        <v>10.056501569437938</v>
      </c>
      <c r="ES13" s="32">
        <v>8.3037742363182012</v>
      </c>
      <c r="ET13" s="32">
        <v>10.62126646405323</v>
      </c>
      <c r="EU13" s="1061">
        <v>9.320815514741609</v>
      </c>
      <c r="EV13" s="32">
        <v>7.8176943535191938</v>
      </c>
      <c r="EW13" s="32">
        <v>9.9192466683007208</v>
      </c>
      <c r="EX13" s="1061">
        <v>8.7441431258677866</v>
      </c>
      <c r="EY13" s="32">
        <v>7.3599947461716795</v>
      </c>
      <c r="EZ13" s="32">
        <v>9.2664305908313604</v>
      </c>
      <c r="FA13" s="1061">
        <v>8.2040710743187386</v>
      </c>
      <c r="FD13"/>
      <c r="FE13"/>
      <c r="FF13"/>
      <c r="FG13"/>
      <c r="FH13"/>
      <c r="FI13"/>
    </row>
    <row r="14" spans="1:169" s="33" customFormat="1">
      <c r="B14" s="54" t="s">
        <v>942</v>
      </c>
      <c r="C14" s="54"/>
      <c r="D14" s="2" t="s">
        <v>365</v>
      </c>
      <c r="E14" s="1065"/>
      <c r="F14" s="1065"/>
      <c r="G14" s="1065"/>
      <c r="H14" s="1065"/>
      <c r="I14" s="1065"/>
      <c r="J14" s="1065"/>
      <c r="K14" s="1065"/>
      <c r="L14" s="1065"/>
      <c r="M14" s="1065"/>
      <c r="N14" s="1065"/>
      <c r="O14" s="1065"/>
      <c r="P14" s="1065"/>
      <c r="Q14" s="1065"/>
      <c r="R14" s="1065"/>
      <c r="S14" s="1065"/>
      <c r="T14" s="1065"/>
      <c r="U14" s="1065"/>
      <c r="V14" s="1065"/>
      <c r="W14" s="1065"/>
      <c r="X14" s="1065"/>
      <c r="Y14" s="1065"/>
      <c r="Z14" s="1065"/>
      <c r="AA14" s="1065"/>
      <c r="AB14" s="1065"/>
      <c r="AC14" s="1065"/>
      <c r="AD14" s="1065"/>
      <c r="AE14" s="1065"/>
      <c r="AF14" s="1065"/>
      <c r="AG14" s="1065"/>
      <c r="AH14" s="1065"/>
      <c r="AI14" s="1065"/>
      <c r="AJ14" s="1065"/>
      <c r="AK14" s="1065"/>
      <c r="AL14" s="1065"/>
      <c r="AM14" s="1065"/>
      <c r="AN14" s="32">
        <f>+((AN10+AN400)/AN393)*100</f>
        <v>7.3631924181592412</v>
      </c>
      <c r="AO14" s="32"/>
      <c r="AP14" s="32"/>
      <c r="AQ14" s="32">
        <f>+((AQ10+AQ400)/AQ393)*100</f>
        <v>8.9267439173351821</v>
      </c>
      <c r="AR14" s="32"/>
      <c r="AS14" s="32"/>
      <c r="AT14" s="32">
        <f>+((AT10+AT400)/AT393)*100</f>
        <v>10.387446893339733</v>
      </c>
      <c r="AU14" s="32">
        <f>+((AU10+AU400)/AU393)*100</f>
        <v>4.0555959184386801</v>
      </c>
      <c r="AV14" s="32">
        <f>+((AV10+AV400)/AV393)*100</f>
        <v>7.091195326141615</v>
      </c>
      <c r="AW14" s="1064">
        <v>33.61</v>
      </c>
      <c r="AX14" s="32">
        <f>+((AX10+AX400)/AX393)*100</f>
        <v>4.6910597915551433</v>
      </c>
      <c r="AY14" s="32">
        <f>+((AY10+AY400)/AY393)*100</f>
        <v>8.9881473690822453</v>
      </c>
      <c r="AZ14" s="1064">
        <v>41.18</v>
      </c>
      <c r="BA14" s="32">
        <f>+((BA10+BA400)/BA393)*100</f>
        <v>6.054158923532742</v>
      </c>
      <c r="BB14" s="32">
        <f>+((BB10+BB400)/BB393)*100</f>
        <v>11.273226382062886</v>
      </c>
      <c r="BC14" s="1064">
        <v>52.06</v>
      </c>
      <c r="BD14" s="32">
        <f>+((BD10+BD400)/BD393)*100</f>
        <v>12.059897667511184</v>
      </c>
      <c r="BE14" s="32">
        <f>+((BE10+BE400)/BE393)*100</f>
        <v>13.876857661518541</v>
      </c>
      <c r="BF14" s="1064">
        <v>77.72</v>
      </c>
      <c r="BG14" s="32">
        <f>+((BG10+BG400)/BG393)*100</f>
        <v>8.4026667298498978</v>
      </c>
      <c r="BH14" s="32">
        <f>+((BH10+BH400)/BH393)*100</f>
        <v>6.3309513569148006</v>
      </c>
      <c r="BI14" s="1064">
        <v>44.19</v>
      </c>
      <c r="BJ14" s="32">
        <f>+((BJ10+BJ400)/BJ393)*100</f>
        <v>5.1909623960279845</v>
      </c>
      <c r="BK14" s="32"/>
      <c r="BL14" s="1064">
        <v>122.73</v>
      </c>
      <c r="BM14" s="32">
        <f>+((BM10+BM400)/BM393)*100</f>
        <v>27.250877413968226</v>
      </c>
      <c r="BN14" s="32">
        <f>+((BN10+BN400)/BN393)*100</f>
        <v>67.298242138706371</v>
      </c>
      <c r="BO14" s="1064">
        <v>143.75</v>
      </c>
      <c r="BP14" s="32">
        <f t="shared" ref="BP14:DN14" si="35">+((BP10+BP400)/BP393)*100</f>
        <v>32.245175016261115</v>
      </c>
      <c r="BQ14" s="32">
        <f t="shared" si="35"/>
        <v>31.143924008142822</v>
      </c>
      <c r="BR14" s="32">
        <f t="shared" si="35"/>
        <v>63.376095210965588</v>
      </c>
      <c r="BS14" s="32">
        <f t="shared" si="35"/>
        <v>47.00604762657656</v>
      </c>
      <c r="BT14" s="32">
        <f t="shared" si="35"/>
        <v>51.523660476332722</v>
      </c>
      <c r="BU14" s="32">
        <f t="shared" si="35"/>
        <v>98.529708102909282</v>
      </c>
      <c r="BV14" s="32">
        <f t="shared" si="35"/>
        <v>63.198478650777055</v>
      </c>
      <c r="BW14" s="32">
        <f t="shared" si="35"/>
        <v>64.094167790164107</v>
      </c>
      <c r="BX14" s="32">
        <f t="shared" si="35"/>
        <v>127.29189060183386</v>
      </c>
      <c r="BY14" s="32">
        <f t="shared" si="35"/>
        <v>84.702096640046733</v>
      </c>
      <c r="BZ14" s="32">
        <f t="shared" si="35"/>
        <v>85.727593440659959</v>
      </c>
      <c r="CA14" s="32">
        <f t="shared" si="35"/>
        <v>170.43978938705436</v>
      </c>
      <c r="CB14" s="32">
        <f t="shared" si="35"/>
        <v>106.00344997114726</v>
      </c>
      <c r="CC14" s="32">
        <f t="shared" si="35"/>
        <v>78.479266063701985</v>
      </c>
      <c r="CD14" s="32">
        <f t="shared" si="35"/>
        <v>185.14811214474113</v>
      </c>
      <c r="CE14" s="32">
        <f t="shared" si="35"/>
        <v>91.228912256330759</v>
      </c>
      <c r="CF14" s="32">
        <f t="shared" si="35"/>
        <v>81.280355274216973</v>
      </c>
      <c r="CG14" s="32">
        <f t="shared" si="35"/>
        <v>173.60311965249525</v>
      </c>
      <c r="CH14" s="32">
        <f t="shared" si="35"/>
        <v>96.059529524767854</v>
      </c>
      <c r="CI14" s="32">
        <f t="shared" si="35"/>
        <v>100.84433253610115</v>
      </c>
      <c r="CJ14" s="32">
        <f t="shared" si="35"/>
        <v>196.85907280029443</v>
      </c>
      <c r="CK14" s="32">
        <f t="shared" si="35"/>
        <v>123.84407217582559</v>
      </c>
      <c r="CL14" s="32">
        <f t="shared" si="35"/>
        <v>121.41117283435091</v>
      </c>
      <c r="CM14" s="32">
        <f t="shared" si="35"/>
        <v>243.10658807380923</v>
      </c>
      <c r="CN14" s="32">
        <f t="shared" si="35"/>
        <v>132.61094971507592</v>
      </c>
      <c r="CO14" s="32">
        <f t="shared" si="35"/>
        <v>135.74713985928673</v>
      </c>
      <c r="CP14" s="32">
        <f t="shared" si="35"/>
        <v>269.13811371083244</v>
      </c>
      <c r="CQ14" s="32">
        <f t="shared" si="35"/>
        <v>145.49115154953805</v>
      </c>
      <c r="CR14" s="32">
        <f t="shared" si="35"/>
        <v>150.27216084393723</v>
      </c>
      <c r="CS14" s="32">
        <f t="shared" si="35"/>
        <v>296.09107474032987</v>
      </c>
      <c r="CT14" s="32">
        <f t="shared" si="35"/>
        <v>130.44695679823769</v>
      </c>
      <c r="CU14" s="32">
        <f t="shared" si="35"/>
        <v>118.71713732071836</v>
      </c>
      <c r="CV14" s="32">
        <f t="shared" si="35"/>
        <v>249.23166909915238</v>
      </c>
      <c r="CW14" s="32">
        <f t="shared" si="35"/>
        <v>176.05669243190238</v>
      </c>
      <c r="CX14" s="32">
        <f t="shared" si="35"/>
        <v>118.39849696907913</v>
      </c>
      <c r="CY14" s="32">
        <f t="shared" si="35"/>
        <v>294.78292714018818</v>
      </c>
      <c r="CZ14" s="32">
        <f t="shared" si="35"/>
        <v>238.97755200015021</v>
      </c>
      <c r="DA14" s="32">
        <f t="shared" si="35"/>
        <v>141.36700259163814</v>
      </c>
      <c r="DB14" s="32">
        <f t="shared" si="35"/>
        <v>380.34455459178832</v>
      </c>
      <c r="DC14" s="32">
        <f t="shared" si="35"/>
        <v>255.36675556944064</v>
      </c>
      <c r="DD14" s="32">
        <f t="shared" si="35"/>
        <v>166.93094941138409</v>
      </c>
      <c r="DE14" s="1061">
        <f t="shared" si="35"/>
        <v>422.34080178300843</v>
      </c>
      <c r="DF14" s="32">
        <f t="shared" si="35"/>
        <v>274.03795867526026</v>
      </c>
      <c r="DG14" s="32">
        <f t="shared" si="35"/>
        <v>187.5293546292155</v>
      </c>
      <c r="DH14" s="1061">
        <f t="shared" si="35"/>
        <v>461.54351502378006</v>
      </c>
      <c r="DI14" s="32">
        <f t="shared" si="35"/>
        <v>396.87591863461364</v>
      </c>
      <c r="DJ14" s="32">
        <f t="shared" si="35"/>
        <v>127.34098791877331</v>
      </c>
      <c r="DK14" s="1061">
        <f t="shared" si="35"/>
        <v>524.11339718390445</v>
      </c>
      <c r="DL14" s="32">
        <f t="shared" si="35"/>
        <v>387.89529278016909</v>
      </c>
      <c r="DM14" s="32">
        <f t="shared" si="35"/>
        <v>125.7418283610004</v>
      </c>
      <c r="DN14" s="1061">
        <f t="shared" si="35"/>
        <v>507.49072630084095</v>
      </c>
      <c r="DO14" s="32">
        <f t="shared" ref="DO14:EC14" si="36">+((DO10+DO400)/DO393)*100</f>
        <v>375.99171718202439</v>
      </c>
      <c r="DP14" s="32">
        <f t="shared" si="36"/>
        <v>163.5920989314746</v>
      </c>
      <c r="DQ14" s="1061">
        <f>+((DQ10+DQ400)/DQ393)*100</f>
        <v>539.52700690545475</v>
      </c>
      <c r="DR14" s="32">
        <f>+((DR10+DR400)/DR393)*100</f>
        <v>415.91557544623657</v>
      </c>
      <c r="DS14" s="32">
        <f t="shared" si="36"/>
        <v>183.39758044828699</v>
      </c>
      <c r="DT14" s="1061">
        <f t="shared" si="36"/>
        <v>599.23495691602704</v>
      </c>
      <c r="DU14" s="32">
        <f>+((DU10+DU400)/DU393)*100</f>
        <v>427.22380495984993</v>
      </c>
      <c r="DV14" s="32">
        <f>+((DV10+DV400)/DV393)*100</f>
        <v>235.78139742515026</v>
      </c>
      <c r="DW14" s="1061">
        <f>+((DW10+DW400)/DW393)*100</f>
        <v>662.97376344044915</v>
      </c>
      <c r="DX14" s="32">
        <f t="shared" ref="DX14" si="37">+((DX10+DX400)/DX393)*100</f>
        <v>401.96081142478118</v>
      </c>
      <c r="DY14" s="32">
        <f t="shared" si="36"/>
        <v>306.3718583110911</v>
      </c>
      <c r="DZ14" s="1061">
        <f>+((DZ10+DZ400)/DZ393)*100</f>
        <v>708.53839189248959</v>
      </c>
      <c r="EA14" s="32">
        <f t="shared" si="36"/>
        <v>442.38308422028121</v>
      </c>
      <c r="EB14" s="32">
        <f t="shared" si="36"/>
        <v>317.94502617878697</v>
      </c>
      <c r="EC14" s="1061">
        <f t="shared" si="36"/>
        <v>760.56623734046741</v>
      </c>
      <c r="ED14" s="32">
        <f t="shared" ref="ED14:EL14" si="38">+((ED10+ED400)/ED393)*100</f>
        <v>485.16399048628324</v>
      </c>
      <c r="EE14" s="32">
        <f t="shared" si="38"/>
        <v>348.24513477355327</v>
      </c>
      <c r="EF14" s="1061">
        <f t="shared" si="38"/>
        <v>833.64638151648785</v>
      </c>
      <c r="EG14" s="32">
        <f t="shared" si="38"/>
        <v>528.10837643087712</v>
      </c>
      <c r="EH14" s="32">
        <f t="shared" si="38"/>
        <v>387.99927382872539</v>
      </c>
      <c r="EI14" s="1061">
        <f t="shared" si="38"/>
        <v>916.08413730467782</v>
      </c>
      <c r="EJ14" s="32">
        <f t="shared" si="38"/>
        <v>574.60588199276799</v>
      </c>
      <c r="EK14" s="32">
        <f t="shared" si="38"/>
        <v>433.11650799569162</v>
      </c>
      <c r="EL14" s="1061">
        <f t="shared" si="38"/>
        <v>1007.6986613263848</v>
      </c>
      <c r="EM14" s="32">
        <f t="shared" ref="EM14:ER14" si="39">+((EM10+EM400)/EM393)*100</f>
        <v>629.29852044711106</v>
      </c>
      <c r="EN14" s="32">
        <f t="shared" si="39"/>
        <v>476.83084517795658</v>
      </c>
      <c r="EO14" s="1061">
        <f t="shared" si="39"/>
        <v>1106.1038129738631</v>
      </c>
      <c r="EP14" s="32">
        <f t="shared" si="39"/>
        <v>681.55041969577496</v>
      </c>
      <c r="EQ14" s="32">
        <f t="shared" si="39"/>
        <v>526.20696072962198</v>
      </c>
      <c r="ER14" s="1061">
        <f t="shared" si="39"/>
        <v>1207.7313632516859</v>
      </c>
      <c r="ES14" s="32">
        <f t="shared" ref="ES14:FA14" si="40">+((ES10+ES400)/ES393)*100</f>
        <v>731.3272256896762</v>
      </c>
      <c r="ET14" s="32">
        <f t="shared" si="40"/>
        <v>571.756315082838</v>
      </c>
      <c r="EU14" s="1061">
        <f t="shared" si="40"/>
        <v>1303.0568334702948</v>
      </c>
      <c r="EV14" s="32">
        <f t="shared" si="40"/>
        <v>776.79887450016429</v>
      </c>
      <c r="EW14" s="32">
        <f t="shared" si="40"/>
        <v>612.22151016840621</v>
      </c>
      <c r="EX14" s="1061">
        <f t="shared" si="40"/>
        <v>1388.9928578673223</v>
      </c>
      <c r="EY14" s="32">
        <f t="shared" si="40"/>
        <v>825.10604754966289</v>
      </c>
      <c r="EZ14" s="32">
        <f t="shared" si="40"/>
        <v>655.3522540824606</v>
      </c>
      <c r="FA14" s="1061">
        <f t="shared" si="40"/>
        <v>1480.4299280169948</v>
      </c>
      <c r="FD14"/>
      <c r="FE14"/>
      <c r="FF14"/>
      <c r="FG14"/>
      <c r="FH14"/>
      <c r="FI14"/>
    </row>
    <row r="15" spans="1:169" s="33" customFormat="1">
      <c r="B15" s="54" t="s">
        <v>940</v>
      </c>
      <c r="C15" s="54"/>
      <c r="D15" s="2" t="s">
        <v>365</v>
      </c>
      <c r="E15" s="1065"/>
      <c r="F15" s="1065"/>
      <c r="G15" s="1065"/>
      <c r="H15" s="1065"/>
      <c r="I15" s="1065"/>
      <c r="J15" s="1065"/>
      <c r="K15" s="1065"/>
      <c r="L15" s="1065"/>
      <c r="M15" s="1065"/>
      <c r="N15" s="1065"/>
      <c r="O15" s="1065"/>
      <c r="P15" s="1065"/>
      <c r="Q15" s="1065"/>
      <c r="R15" s="1065"/>
      <c r="S15" s="1065"/>
      <c r="T15" s="1065"/>
      <c r="U15" s="1065"/>
      <c r="V15" s="1065"/>
      <c r="W15" s="1065"/>
      <c r="X15" s="1065"/>
      <c r="Y15" s="1065"/>
      <c r="Z15" s="1065"/>
      <c r="AA15" s="1065"/>
      <c r="AB15" s="1065"/>
      <c r="AC15" s="1065"/>
      <c r="AD15" s="1065"/>
      <c r="AE15" s="1065"/>
      <c r="AF15" s="1065"/>
      <c r="AG15" s="1065"/>
      <c r="AH15" s="1065"/>
      <c r="AI15" s="1065"/>
      <c r="AJ15" s="1065"/>
      <c r="AK15" s="1065"/>
      <c r="AL15" s="1065"/>
      <c r="AM15" s="1065"/>
      <c r="AN15" s="1065"/>
      <c r="AO15" s="1065"/>
      <c r="AP15" s="1065"/>
      <c r="AQ15" s="1065"/>
      <c r="AR15" s="1065"/>
      <c r="AS15" s="1065"/>
      <c r="AT15" s="1065"/>
      <c r="AU15" s="1065"/>
      <c r="AV15" s="1065"/>
      <c r="AW15" s="32">
        <f>+AW141</f>
        <v>11.128492237518618</v>
      </c>
      <c r="AX15" s="32">
        <f>+AX141</f>
        <v>4.6910597915551433</v>
      </c>
      <c r="AY15" s="32">
        <f>+AY141</f>
        <v>8.9881473690822453</v>
      </c>
      <c r="AZ15" s="32">
        <f t="shared" ref="AZ15:DK15" si="41">+((AZ11+AZ400)/AZ393)*100</f>
        <v>13.762563478042262</v>
      </c>
      <c r="BA15" s="32">
        <f t="shared" si="41"/>
        <v>8.2878010759974767</v>
      </c>
      <c r="BB15" s="32">
        <f t="shared" si="41"/>
        <v>14.48147032740073</v>
      </c>
      <c r="BC15" s="32">
        <f t="shared" si="41"/>
        <v>22.780922932229704</v>
      </c>
      <c r="BD15" s="32">
        <f t="shared" si="41"/>
        <v>16.250992605494808</v>
      </c>
      <c r="BE15" s="32">
        <f t="shared" si="41"/>
        <v>19.96839060124336</v>
      </c>
      <c r="BF15" s="32">
        <f t="shared" si="41"/>
        <v>36.220718198057035</v>
      </c>
      <c r="BG15" s="32">
        <f t="shared" si="41"/>
        <v>8.4026667298498978</v>
      </c>
      <c r="BH15" s="32">
        <f t="shared" si="41"/>
        <v>7.2184456119743095</v>
      </c>
      <c r="BI15" s="32">
        <f t="shared" si="41"/>
        <v>15.621112341824208</v>
      </c>
      <c r="BJ15" s="32">
        <f t="shared" si="41"/>
        <v>5.8047074969057713</v>
      </c>
      <c r="BK15" s="32">
        <f t="shared" si="41"/>
        <v>0</v>
      </c>
      <c r="BL15" s="32">
        <f t="shared" si="41"/>
        <v>0</v>
      </c>
      <c r="BM15" s="32">
        <f t="shared" si="41"/>
        <v>27.250877413968226</v>
      </c>
      <c r="BN15" s="32">
        <f t="shared" si="41"/>
        <v>68.117684408806596</v>
      </c>
      <c r="BO15" s="32">
        <f t="shared" si="41"/>
        <v>94.898113628363163</v>
      </c>
      <c r="BP15" s="32">
        <f t="shared" si="41"/>
        <v>32.245175016261115</v>
      </c>
      <c r="BQ15" s="32">
        <f t="shared" si="41"/>
        <v>33.117842227217977</v>
      </c>
      <c r="BR15" s="32">
        <f t="shared" si="41"/>
        <v>65.373321889305885</v>
      </c>
      <c r="BS15" s="32">
        <f t="shared" si="41"/>
        <v>47.00604762657656</v>
      </c>
      <c r="BT15" s="32">
        <f t="shared" si="41"/>
        <v>57.66620351113886</v>
      </c>
      <c r="BU15" s="32">
        <f t="shared" si="41"/>
        <v>104.67225113771541</v>
      </c>
      <c r="BV15" s="32">
        <f t="shared" si="41"/>
        <v>63.198478650777055</v>
      </c>
      <c r="BW15" s="32">
        <f t="shared" si="41"/>
        <v>64.094167790164107</v>
      </c>
      <c r="BX15" s="32">
        <f t="shared" si="41"/>
        <v>127.29189060183386</v>
      </c>
      <c r="BY15" s="32">
        <f t="shared" si="41"/>
        <v>84.702096640046733</v>
      </c>
      <c r="BZ15" s="32">
        <f t="shared" si="41"/>
        <v>85.727593440659959</v>
      </c>
      <c r="CA15" s="32">
        <f t="shared" si="41"/>
        <v>170.43978938705436</v>
      </c>
      <c r="CB15" s="32">
        <f t="shared" si="41"/>
        <v>106.00344997114726</v>
      </c>
      <c r="CC15" s="32">
        <f t="shared" si="41"/>
        <v>78.479266063701985</v>
      </c>
      <c r="CD15" s="32">
        <f t="shared" si="41"/>
        <v>185.14811214474113</v>
      </c>
      <c r="CE15" s="32">
        <f t="shared" si="41"/>
        <v>91.228912256330759</v>
      </c>
      <c r="CF15" s="32">
        <f t="shared" si="41"/>
        <v>81.280355274216973</v>
      </c>
      <c r="CG15" s="32">
        <f t="shared" si="41"/>
        <v>173.60311965249525</v>
      </c>
      <c r="CH15" s="32">
        <f t="shared" si="41"/>
        <v>96.059529524767854</v>
      </c>
      <c r="CI15" s="32">
        <f t="shared" si="41"/>
        <v>100.84433253610115</v>
      </c>
      <c r="CJ15" s="32">
        <f t="shared" si="41"/>
        <v>196.85907280029443</v>
      </c>
      <c r="CK15" s="32">
        <f t="shared" si="41"/>
        <v>123.84407217582559</v>
      </c>
      <c r="CL15" s="32">
        <f t="shared" si="41"/>
        <v>121.41117283435091</v>
      </c>
      <c r="CM15" s="32">
        <f t="shared" si="41"/>
        <v>243.10658807380923</v>
      </c>
      <c r="CN15" s="32">
        <f t="shared" si="41"/>
        <v>132.61094971507592</v>
      </c>
      <c r="CO15" s="32">
        <f t="shared" si="41"/>
        <v>135.74713985928673</v>
      </c>
      <c r="CP15" s="32">
        <f t="shared" si="41"/>
        <v>269.13811371083244</v>
      </c>
      <c r="CQ15" s="32">
        <f t="shared" si="41"/>
        <v>145.49115154953805</v>
      </c>
      <c r="CR15" s="32">
        <f t="shared" si="41"/>
        <v>150.27216084393723</v>
      </c>
      <c r="CS15" s="32">
        <f t="shared" si="41"/>
        <v>296.09107474032987</v>
      </c>
      <c r="CT15" s="32">
        <f t="shared" si="41"/>
        <v>130.44695679823769</v>
      </c>
      <c r="CU15" s="32">
        <f t="shared" si="41"/>
        <v>118.71713732071836</v>
      </c>
      <c r="CV15" s="32">
        <f t="shared" si="41"/>
        <v>249.23166909915238</v>
      </c>
      <c r="CW15" s="32">
        <f t="shared" si="41"/>
        <v>176.05669243190238</v>
      </c>
      <c r="CX15" s="32">
        <f t="shared" si="41"/>
        <v>118.39849696907913</v>
      </c>
      <c r="CY15" s="32">
        <f t="shared" si="41"/>
        <v>294.78292714018818</v>
      </c>
      <c r="CZ15" s="32">
        <f t="shared" si="41"/>
        <v>238.97755200015021</v>
      </c>
      <c r="DA15" s="32">
        <f t="shared" si="41"/>
        <v>141.36700259163814</v>
      </c>
      <c r="DB15" s="32">
        <f t="shared" si="41"/>
        <v>380.34455459178832</v>
      </c>
      <c r="DC15" s="32">
        <f t="shared" si="41"/>
        <v>255.36675556944064</v>
      </c>
      <c r="DD15" s="32">
        <f t="shared" si="41"/>
        <v>166.93094941138409</v>
      </c>
      <c r="DE15" s="1061">
        <f t="shared" si="41"/>
        <v>422.34080178300843</v>
      </c>
      <c r="DF15" s="32">
        <f t="shared" si="41"/>
        <v>274.03795867526026</v>
      </c>
      <c r="DG15" s="32">
        <f t="shared" si="41"/>
        <v>187.5293546292155</v>
      </c>
      <c r="DH15" s="1061">
        <f t="shared" si="41"/>
        <v>461.54351502378006</v>
      </c>
      <c r="DI15" s="32">
        <f t="shared" si="41"/>
        <v>397.28156529178159</v>
      </c>
      <c r="DJ15" s="32">
        <f t="shared" si="41"/>
        <v>127.74632313496346</v>
      </c>
      <c r="DK15" s="1061">
        <f t="shared" si="41"/>
        <v>524.92437893766009</v>
      </c>
      <c r="DL15" s="32">
        <f>+((DL11+DL400)/DL393)*100</f>
        <v>384.24990651712528</v>
      </c>
      <c r="DM15" s="32">
        <f t="shared" ref="DM15:ER15" si="42">+((DM11+DM400)/DM393)*100</f>
        <v>104.49672898577758</v>
      </c>
      <c r="DN15" s="1061">
        <f t="shared" si="42"/>
        <v>482.18760150061007</v>
      </c>
      <c r="DO15" s="32">
        <f t="shared" si="42"/>
        <v>335.60941275744818</v>
      </c>
      <c r="DP15" s="32">
        <f t="shared" si="42"/>
        <v>117.96155895665198</v>
      </c>
      <c r="DQ15" s="1061">
        <f t="shared" si="42"/>
        <v>453.51275879305649</v>
      </c>
      <c r="DR15" s="32">
        <f t="shared" si="42"/>
        <v>391.99585048859615</v>
      </c>
      <c r="DS15" s="32">
        <f t="shared" si="42"/>
        <v>152.69376532224697</v>
      </c>
      <c r="DT15" s="1061">
        <f t="shared" si="42"/>
        <v>544.6091352501353</v>
      </c>
      <c r="DU15" s="32">
        <f>+((DU11+DU400)/DU393)*100</f>
        <v>413.42245735507174</v>
      </c>
      <c r="DV15" s="32">
        <f>+((DV11+DV400)/DV393)*100</f>
        <v>204.89300474936641</v>
      </c>
      <c r="DW15" s="1061">
        <f>+((DW11+DW400)/DW393)*100</f>
        <v>618.28121710103403</v>
      </c>
      <c r="DX15" s="32">
        <f t="shared" ref="DX15" si="43">+((DX11+DX400)/DX393)*100</f>
        <v>82.829540278179465</v>
      </c>
      <c r="DY15" s="32">
        <f t="shared" si="42"/>
        <v>284.79721830626903</v>
      </c>
      <c r="DZ15" s="1061">
        <f t="shared" si="42"/>
        <v>367.19209301967845</v>
      </c>
      <c r="EA15" s="32">
        <f t="shared" si="42"/>
        <v>412.39019302452044</v>
      </c>
      <c r="EB15" s="32">
        <f t="shared" si="42"/>
        <v>293.27327383106893</v>
      </c>
      <c r="EC15" s="1061">
        <f t="shared" si="42"/>
        <v>705.89141116846986</v>
      </c>
      <c r="ED15" s="32">
        <f t="shared" si="42"/>
        <v>454.94621451743438</v>
      </c>
      <c r="EE15" s="32">
        <f t="shared" si="42"/>
        <v>323.39738153579805</v>
      </c>
      <c r="EF15" s="1061">
        <f t="shared" si="42"/>
        <v>778.57154700650028</v>
      </c>
      <c r="EG15" s="32">
        <f t="shared" si="42"/>
        <v>497.79587365987845</v>
      </c>
      <c r="EH15" s="32">
        <f t="shared" si="42"/>
        <v>363.16819748234298</v>
      </c>
      <c r="EI15" s="1061">
        <f t="shared" si="42"/>
        <v>860.94147807422803</v>
      </c>
      <c r="EJ15" s="32">
        <f t="shared" si="42"/>
        <v>544.31371702557169</v>
      </c>
      <c r="EK15" s="32">
        <f t="shared" si="42"/>
        <v>408.30208616987312</v>
      </c>
      <c r="EL15" s="1061">
        <f t="shared" si="42"/>
        <v>952.59299318550813</v>
      </c>
      <c r="EM15" s="32">
        <f t="shared" si="42"/>
        <v>599.02666601121268</v>
      </c>
      <c r="EN15" s="32">
        <f t="shared" si="42"/>
        <v>452.03305554687648</v>
      </c>
      <c r="EO15" s="1061">
        <f t="shared" si="42"/>
        <v>1051.035086326714</v>
      </c>
      <c r="EP15" s="32">
        <f t="shared" si="42"/>
        <v>651.298848573491</v>
      </c>
      <c r="EQ15" s="32">
        <f t="shared" si="42"/>
        <v>501.42578101231675</v>
      </c>
      <c r="ER15" s="1061">
        <f t="shared" si="42"/>
        <v>1152.6995286020954</v>
      </c>
      <c r="ES15" s="32">
        <f t="shared" ref="ES15:FA15" si="44">+((ES11+ES400)/ES393)*100</f>
        <v>701.09591071799753</v>
      </c>
      <c r="ET15" s="32">
        <f t="shared" si="44"/>
        <v>546.99172304308672</v>
      </c>
      <c r="EU15" s="1061">
        <f t="shared" si="44"/>
        <v>1248.0618414215039</v>
      </c>
      <c r="EV15" s="32">
        <f t="shared" si="44"/>
        <v>746.58778857060884</v>
      </c>
      <c r="EW15" s="32">
        <f t="shared" si="44"/>
        <v>587.47348361461059</v>
      </c>
      <c r="EX15" s="1061">
        <f t="shared" si="44"/>
        <v>1334.0346591217155</v>
      </c>
      <c r="EY15" s="32">
        <f t="shared" si="44"/>
        <v>794.91516360813114</v>
      </c>
      <c r="EZ15" s="32">
        <f t="shared" si="44"/>
        <v>630.62077086752572</v>
      </c>
      <c r="FA15" s="1061">
        <f t="shared" si="44"/>
        <v>1425.5084733758358</v>
      </c>
      <c r="FD15"/>
      <c r="FE15"/>
      <c r="FF15"/>
      <c r="FG15"/>
      <c r="FH15"/>
      <c r="FI15"/>
    </row>
    <row r="16" spans="1:169" s="33" customFormat="1">
      <c r="B16" s="54" t="s">
        <v>354</v>
      </c>
      <c r="C16" s="54"/>
      <c r="D16" s="2" t="s">
        <v>367</v>
      </c>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c r="AI16" s="32"/>
      <c r="AJ16" s="32">
        <v>864317.62158240366</v>
      </c>
      <c r="AK16" s="32">
        <v>1728635.2431648073</v>
      </c>
      <c r="AL16" s="32"/>
      <c r="AM16" s="32">
        <v>572.64860087173383</v>
      </c>
      <c r="AN16" s="32">
        <v>1145.2972017434677</v>
      </c>
      <c r="AO16" s="32">
        <v>2487.0958477282761</v>
      </c>
      <c r="AP16" s="32">
        <v>664.44443114007879</v>
      </c>
      <c r="AQ16" s="32">
        <v>1048.7170332647975</v>
      </c>
      <c r="AR16" s="32">
        <v>2053.3158047985835</v>
      </c>
      <c r="AS16" s="32">
        <v>593.75217660548958</v>
      </c>
      <c r="AT16" s="32">
        <v>921.14047460990207</v>
      </c>
      <c r="AU16" s="32">
        <v>1025.0598136030287</v>
      </c>
      <c r="AV16" s="32">
        <v>669.97038040106213</v>
      </c>
      <c r="AW16" s="32">
        <v>810.32151012149529</v>
      </c>
      <c r="AX16" s="32">
        <v>1491.7030719098007</v>
      </c>
      <c r="AY16" s="32">
        <v>499.67776937846719</v>
      </c>
      <c r="AZ16" s="32">
        <v>748.59700173142141</v>
      </c>
      <c r="BA16" s="32">
        <v>539.48201393923921</v>
      </c>
      <c r="BB16" s="32">
        <v>329.27692238545484</v>
      </c>
      <c r="BC16" s="32">
        <v>408.9488344919381</v>
      </c>
      <c r="BD16" s="32">
        <v>300.0502636429261</v>
      </c>
      <c r="BE16" s="32">
        <v>268.50266809284926</v>
      </c>
      <c r="BF16" s="32">
        <v>283.40121685461401</v>
      </c>
      <c r="BG16" s="32">
        <v>314.22828193772108</v>
      </c>
      <c r="BH16" s="32">
        <v>337.19599008384034</v>
      </c>
      <c r="BI16" s="32">
        <v>325.30724196542354</v>
      </c>
      <c r="BJ16" s="32">
        <v>465.6570120990794</v>
      </c>
      <c r="BK16" s="32"/>
      <c r="BL16" s="32"/>
      <c r="BM16" s="32"/>
      <c r="BN16" s="32"/>
      <c r="BO16" s="32">
        <v>105.60434010967231</v>
      </c>
      <c r="BP16" s="32">
        <v>129.65655712566294</v>
      </c>
      <c r="BQ16" s="32">
        <v>133.34933750311097</v>
      </c>
      <c r="BR16" s="32">
        <v>131.47702274920695</v>
      </c>
      <c r="BS16" s="32">
        <v>106.18342833730995</v>
      </c>
      <c r="BT16" s="32">
        <v>78.586087380413701</v>
      </c>
      <c r="BU16" s="32">
        <v>90.32377603257747</v>
      </c>
      <c r="BV16" s="32">
        <v>73.006869744241044</v>
      </c>
      <c r="BW16" s="32">
        <v>76.814047916343952</v>
      </c>
      <c r="BX16" s="32">
        <v>74.973870871940605</v>
      </c>
      <c r="BY16" s="32">
        <v>59.164880175690008</v>
      </c>
      <c r="BZ16" s="32">
        <v>59.420565592768185</v>
      </c>
      <c r="CA16" s="32">
        <v>58.762128752081004</v>
      </c>
      <c r="CB16" s="32">
        <v>48.063291331927438</v>
      </c>
      <c r="CC16" s="32">
        <v>65.636548898099178</v>
      </c>
      <c r="CD16" s="32">
        <v>55.314250062936281</v>
      </c>
      <c r="CE16" s="32">
        <v>57.93968371404555</v>
      </c>
      <c r="CF16" s="32">
        <v>65.573391889852942</v>
      </c>
      <c r="CG16" s="32">
        <v>61.493860370910703</v>
      </c>
      <c r="CH16" s="32">
        <v>57.363876181469308</v>
      </c>
      <c r="CI16" s="32">
        <v>60.152045845017128</v>
      </c>
      <c r="CJ16" s="32">
        <v>58.686814550842186</v>
      </c>
      <c r="CK16" s="32">
        <v>47.746195935227277</v>
      </c>
      <c r="CL16" s="32">
        <v>52.868735875397</v>
      </c>
      <c r="CM16" s="32">
        <v>50.177065700459721</v>
      </c>
      <c r="CN16" s="32">
        <v>46.397567147853614</v>
      </c>
      <c r="CO16" s="32">
        <v>46.112134233751519</v>
      </c>
      <c r="CP16" s="32">
        <v>46.304732728023062</v>
      </c>
      <c r="CQ16" s="32">
        <v>43.749476356413986</v>
      </c>
      <c r="CR16" s="32">
        <v>42.894050274440779</v>
      </c>
      <c r="CS16" s="32">
        <v>43.43294788570369</v>
      </c>
      <c r="CT16" s="32">
        <v>46.574722236889158</v>
      </c>
      <c r="CU16" s="32">
        <v>51.657988320121881</v>
      </c>
      <c r="CV16" s="32">
        <v>49.167447231301423</v>
      </c>
      <c r="CW16" s="32">
        <v>34.926569173497086</v>
      </c>
      <c r="CX16" s="32">
        <v>51.754785968025914</v>
      </c>
      <c r="CY16" s="32">
        <v>41.848259692670752</v>
      </c>
      <c r="CZ16" s="32">
        <v>26.779246724612079</v>
      </c>
      <c r="DA16" s="32">
        <v>40.804730670732127</v>
      </c>
      <c r="DB16" s="32">
        <v>32.329507535267375</v>
      </c>
      <c r="DC16" s="32">
        <v>25.294430063386685</v>
      </c>
      <c r="DD16" s="32">
        <v>37.475007183072279</v>
      </c>
      <c r="DE16" s="1061">
        <v>30.207505616416878</v>
      </c>
      <c r="DF16" s="32">
        <v>17.351484045926352</v>
      </c>
      <c r="DG16" s="32">
        <v>24.460783127714656</v>
      </c>
      <c r="DH16" s="1061">
        <v>20.275293699432822</v>
      </c>
      <c r="DI16" s="32">
        <v>11.994207792886185</v>
      </c>
      <c r="DJ16" s="32">
        <v>30.175251285119849</v>
      </c>
      <c r="DK16" s="1061">
        <v>17.223394237541648</v>
      </c>
      <c r="DL16" s="32">
        <v>11.627208848823123</v>
      </c>
      <c r="DM16" s="32">
        <v>25.691855289665376</v>
      </c>
      <c r="DN16" s="1061">
        <v>16.006751689279287</v>
      </c>
      <c r="DO16" s="32">
        <v>12.857610962011096</v>
      </c>
      <c r="DP16" s="32">
        <v>22.353463830875445</v>
      </c>
      <c r="DQ16" s="1061">
        <v>16.335293407389816</v>
      </c>
      <c r="DR16" s="32">
        <v>11.301802291970448</v>
      </c>
      <c r="DS16" s="32">
        <v>19.898031093693675</v>
      </c>
      <c r="DT16" s="1061">
        <v>14.341283518730826</v>
      </c>
      <c r="DU16" s="32">
        <v>10.822112148061825</v>
      </c>
      <c r="DV16" s="32">
        <v>17.726553986290206</v>
      </c>
      <c r="DW16" s="1061">
        <v>13.306165499570309</v>
      </c>
      <c r="DX16" s="32">
        <v>10.989276920654881</v>
      </c>
      <c r="DY16" s="32">
        <v>14.188482266802604</v>
      </c>
      <c r="DZ16" s="1061">
        <v>12.32974630669902</v>
      </c>
      <c r="EA16" s="32">
        <v>10.271737093620693</v>
      </c>
      <c r="EB16" s="32">
        <v>13.493406189562521</v>
      </c>
      <c r="EC16" s="1061">
        <v>11.632038623904691</v>
      </c>
      <c r="ED16" s="32">
        <v>9.4256437232631871</v>
      </c>
      <c r="EE16" s="32">
        <v>12.38790023055191</v>
      </c>
      <c r="EF16" s="1061">
        <v>10.685111886101</v>
      </c>
      <c r="EG16" s="32">
        <v>8.5935899389036763</v>
      </c>
      <c r="EH16" s="32">
        <v>11.006294601216227</v>
      </c>
      <c r="EI16" s="1061">
        <v>9.5976854479642295</v>
      </c>
      <c r="EJ16" s="32">
        <v>7.7937641794039036</v>
      </c>
      <c r="EK16" s="32">
        <v>9.7858164930347886</v>
      </c>
      <c r="EL16" s="1061">
        <v>8.617876058039565</v>
      </c>
      <c r="EM16" s="32">
        <v>6.9765639896751255</v>
      </c>
      <c r="EN16" s="32">
        <v>8.7260710233774113</v>
      </c>
      <c r="EO16" s="1061">
        <v>7.6877748274149882</v>
      </c>
      <c r="EP16" s="32">
        <v>6.2624381746763937</v>
      </c>
      <c r="EQ16" s="32">
        <v>7.7177421621470916</v>
      </c>
      <c r="ER16" s="1061">
        <v>6.8480564770322507</v>
      </c>
      <c r="ES16" s="32">
        <v>5.6310178241951441</v>
      </c>
      <c r="ET16" s="32">
        <v>6.8677700912424013</v>
      </c>
      <c r="EU16" s="1061">
        <v>6.1222633124713033</v>
      </c>
      <c r="EV16" s="32">
        <v>5.0751346500896783</v>
      </c>
      <c r="EW16" s="32">
        <v>6.145878700282104</v>
      </c>
      <c r="EX16" s="1061">
        <v>5.4946636912303592</v>
      </c>
      <c r="EY16" s="32">
        <v>4.5416754049042236</v>
      </c>
      <c r="EZ16" s="32">
        <v>5.4595282669970739</v>
      </c>
      <c r="FA16" s="1061">
        <v>4.8949650874113795</v>
      </c>
      <c r="FD16"/>
      <c r="FE16"/>
      <c r="FF16"/>
      <c r="FG16"/>
      <c r="FH16"/>
      <c r="FI16"/>
    </row>
    <row r="17" spans="1:169" s="1066" customFormat="1">
      <c r="B17" s="54" t="s">
        <v>5</v>
      </c>
      <c r="C17" s="54"/>
      <c r="D17" s="2" t="s">
        <v>365</v>
      </c>
      <c r="E17" s="1065"/>
      <c r="F17" s="1065"/>
      <c r="G17" s="1065"/>
      <c r="H17" s="1065"/>
      <c r="I17" s="1065"/>
      <c r="J17" s="1065"/>
      <c r="K17" s="1065"/>
      <c r="L17" s="1065"/>
      <c r="M17" s="1065"/>
      <c r="N17" s="1065"/>
      <c r="O17" s="1065"/>
      <c r="P17" s="1065"/>
      <c r="Q17" s="1065"/>
      <c r="R17" s="1065"/>
      <c r="S17" s="1065"/>
      <c r="T17" s="1065"/>
      <c r="U17" s="1065"/>
      <c r="V17" s="1065"/>
      <c r="W17" s="1065"/>
      <c r="X17" s="1065"/>
      <c r="Y17" s="1065"/>
      <c r="Z17" s="1065"/>
      <c r="AA17" s="1065"/>
      <c r="AB17" s="1065"/>
      <c r="AC17" s="1065"/>
      <c r="AD17" s="1065"/>
      <c r="AE17" s="1065"/>
      <c r="AF17" s="1065"/>
      <c r="AG17" s="1065"/>
      <c r="AH17" s="1065"/>
      <c r="AI17" s="1065"/>
      <c r="AJ17" s="1065"/>
      <c r="AK17" s="1065"/>
      <c r="AL17" s="1065"/>
      <c r="AM17" s="1065"/>
      <c r="AN17" s="1065"/>
      <c r="AO17" s="1065"/>
      <c r="AP17" s="1065"/>
      <c r="AQ17" s="1065"/>
      <c r="AR17" s="1065"/>
      <c r="AS17" s="1065"/>
      <c r="AT17" s="1065"/>
      <c r="AU17" s="1065"/>
      <c r="AV17" s="1065"/>
      <c r="AW17" s="982">
        <f>((AW116+AW400)/AW393)*100</f>
        <v>11.128492237518618</v>
      </c>
      <c r="AX17" s="1065"/>
      <c r="AY17" s="1065"/>
      <c r="AZ17" s="982">
        <f>((AZ116+AZ400)/AZ393)*100</f>
        <v>13.684243521636155</v>
      </c>
      <c r="BA17" s="1065"/>
      <c r="BB17" s="1065"/>
      <c r="BC17" s="982">
        <f>((BC116+BC400)/BC393)*100</f>
        <v>17.337203413811984</v>
      </c>
      <c r="BD17" s="1065"/>
      <c r="BE17" s="1065"/>
      <c r="BF17" s="982">
        <f t="shared" ref="BF17:CK17" si="45">((BF116+BF400)/BF393)*100</f>
        <v>25.937407835385372</v>
      </c>
      <c r="BG17" s="982">
        <f t="shared" si="45"/>
        <v>8.4026667298498978</v>
      </c>
      <c r="BH17" s="982">
        <f t="shared" si="45"/>
        <v>6.3309513569148006</v>
      </c>
      <c r="BI17" s="982">
        <f t="shared" si="45"/>
        <v>14.733618086764697</v>
      </c>
      <c r="BJ17" s="982">
        <f t="shared" si="45"/>
        <v>5.1909623960279845</v>
      </c>
      <c r="BK17" s="982"/>
      <c r="BL17" s="982"/>
      <c r="BM17" s="982">
        <f t="shared" si="45"/>
        <v>27.250877413968226</v>
      </c>
      <c r="BN17" s="982">
        <f t="shared" si="45"/>
        <v>67.298242138706371</v>
      </c>
      <c r="BO17" s="982">
        <f t="shared" si="45"/>
        <v>94.088104567381578</v>
      </c>
      <c r="BP17" s="982">
        <f t="shared" si="45"/>
        <v>32.245175016261115</v>
      </c>
      <c r="BQ17" s="982">
        <f t="shared" si="45"/>
        <v>-10.543629365879305</v>
      </c>
      <c r="BR17" s="982">
        <f t="shared" si="45"/>
        <v>21.196286063481722</v>
      </c>
      <c r="BS17" s="982">
        <f t="shared" si="45"/>
        <v>47.00604762657656</v>
      </c>
      <c r="BT17" s="982">
        <f t="shared" si="45"/>
        <v>51.523660476332722</v>
      </c>
      <c r="BU17" s="982">
        <f t="shared" si="45"/>
        <v>98.529708102909282</v>
      </c>
      <c r="BV17" s="982">
        <f t="shared" si="45"/>
        <v>63.198478650777055</v>
      </c>
      <c r="BW17" s="982">
        <f t="shared" si="45"/>
        <v>64.094167790164107</v>
      </c>
      <c r="BX17" s="982">
        <f t="shared" si="45"/>
        <v>127.29189060183386</v>
      </c>
      <c r="BY17" s="982">
        <f t="shared" si="45"/>
        <v>84.702096640046733</v>
      </c>
      <c r="BZ17" s="982">
        <f t="shared" si="45"/>
        <v>85.727593440659959</v>
      </c>
      <c r="CA17" s="982">
        <f t="shared" si="45"/>
        <v>170.43978938705436</v>
      </c>
      <c r="CB17" s="982">
        <f t="shared" si="45"/>
        <v>106.00344997114726</v>
      </c>
      <c r="CC17" s="982">
        <f t="shared" si="45"/>
        <v>78.479266063701985</v>
      </c>
      <c r="CD17" s="982">
        <f t="shared" si="45"/>
        <v>185.14811214474113</v>
      </c>
      <c r="CE17" s="982">
        <f t="shared" si="45"/>
        <v>91.228912256330759</v>
      </c>
      <c r="CF17" s="982">
        <f t="shared" si="45"/>
        <v>81.280355274216973</v>
      </c>
      <c r="CG17" s="982">
        <f t="shared" si="45"/>
        <v>173.60311965249525</v>
      </c>
      <c r="CH17" s="982">
        <f t="shared" si="45"/>
        <v>96.059529524767854</v>
      </c>
      <c r="CI17" s="982">
        <f t="shared" si="45"/>
        <v>100.84433253610115</v>
      </c>
      <c r="CJ17" s="982">
        <f t="shared" si="45"/>
        <v>196.85907280029443</v>
      </c>
      <c r="CK17" s="982">
        <f t="shared" si="45"/>
        <v>123.84407217582559</v>
      </c>
      <c r="CL17" s="982">
        <f t="shared" ref="CL17:DH17" si="46">((CL116+CL400)/CL393)*100</f>
        <v>121.41117283435091</v>
      </c>
      <c r="CM17" s="982">
        <f t="shared" si="46"/>
        <v>243.10658807380923</v>
      </c>
      <c r="CN17" s="982">
        <f t="shared" si="46"/>
        <v>132.61094971507592</v>
      </c>
      <c r="CO17" s="982">
        <f t="shared" si="46"/>
        <v>135.74713985928673</v>
      </c>
      <c r="CP17" s="982">
        <f t="shared" si="46"/>
        <v>269.13811371083244</v>
      </c>
      <c r="CQ17" s="982">
        <f t="shared" si="46"/>
        <v>145.49115154953805</v>
      </c>
      <c r="CR17" s="982">
        <f t="shared" si="46"/>
        <v>145.60795720600464</v>
      </c>
      <c r="CS17" s="982">
        <f t="shared" si="46"/>
        <v>291.44153609344386</v>
      </c>
      <c r="CT17" s="982">
        <f t="shared" si="46"/>
        <v>154.498718976064</v>
      </c>
      <c r="CU17" s="982">
        <f t="shared" si="46"/>
        <v>113.84669066140685</v>
      </c>
      <c r="CV17" s="982">
        <f t="shared" si="46"/>
        <v>268.57960420573067</v>
      </c>
      <c r="CW17" s="982">
        <f t="shared" si="46"/>
        <v>176.05669243190238</v>
      </c>
      <c r="CX17" s="982">
        <f t="shared" si="46"/>
        <v>116.66577573580908</v>
      </c>
      <c r="CY17" s="982">
        <f t="shared" si="46"/>
        <v>293.05189321123947</v>
      </c>
      <c r="CZ17" s="982">
        <f t="shared" si="46"/>
        <v>238.97755200015021</v>
      </c>
      <c r="DA17" s="982">
        <f t="shared" si="46"/>
        <v>141.36700259163814</v>
      </c>
      <c r="DB17" s="982">
        <f t="shared" si="46"/>
        <v>380.34455459178832</v>
      </c>
      <c r="DC17" s="982">
        <f t="shared" si="46"/>
        <v>255.36675556944064</v>
      </c>
      <c r="DD17" s="982">
        <f t="shared" si="46"/>
        <v>166.93094941138409</v>
      </c>
      <c r="DE17" s="1067">
        <f t="shared" si="46"/>
        <v>422.34080178300843</v>
      </c>
      <c r="DF17" s="982">
        <f t="shared" si="46"/>
        <v>274.03795867526026</v>
      </c>
      <c r="DG17" s="982">
        <f t="shared" si="46"/>
        <v>187.5293546292155</v>
      </c>
      <c r="DH17" s="1067">
        <f t="shared" si="46"/>
        <v>461.54351502378006</v>
      </c>
      <c r="DI17" s="982">
        <f>((DI91+DI400)/DI393)*100</f>
        <v>397.28156529178159</v>
      </c>
      <c r="DJ17" s="982">
        <f t="shared" ref="DJ17:ER17" si="47">((DJ91+DJ400)/DJ393)*100</f>
        <v>127.74632313496346</v>
      </c>
      <c r="DK17" s="1067">
        <f t="shared" si="47"/>
        <v>524.92437893766009</v>
      </c>
      <c r="DL17" s="982">
        <f t="shared" si="47"/>
        <v>384.24990651712528</v>
      </c>
      <c r="DM17" s="982">
        <f t="shared" si="47"/>
        <v>104.49672898577758</v>
      </c>
      <c r="DN17" s="1067">
        <f t="shared" si="47"/>
        <v>482.18760150061007</v>
      </c>
      <c r="DO17" s="982">
        <f t="shared" si="47"/>
        <v>335.60941275744818</v>
      </c>
      <c r="DP17" s="982">
        <f t="shared" si="47"/>
        <v>117.96155895665198</v>
      </c>
      <c r="DQ17" s="1067">
        <f>((DQ91+DQ400)/DQ393)*100</f>
        <v>453.51275879305649</v>
      </c>
      <c r="DR17" s="32">
        <f t="shared" si="47"/>
        <v>391.99585048859615</v>
      </c>
      <c r="DS17" s="32">
        <f t="shared" si="47"/>
        <v>152.69376532224697</v>
      </c>
      <c r="DT17" s="1061">
        <f t="shared" si="47"/>
        <v>544.6091352501353</v>
      </c>
      <c r="DU17" s="982">
        <f>((DU91+DU400)/DU393)*100</f>
        <v>413.42245735507174</v>
      </c>
      <c r="DV17" s="32">
        <f>((DV91+DV400)/DV393)*100</f>
        <v>204.89300474936641</v>
      </c>
      <c r="DW17" s="1061">
        <f>((DW91+DW400)/DW393)*100</f>
        <v>618.28121710103403</v>
      </c>
      <c r="DX17" s="982">
        <f t="shared" ref="DX17" si="48">((DX91+DX400)/DX393)*100</f>
        <v>82.829540278179465</v>
      </c>
      <c r="DY17" s="982">
        <f t="shared" si="47"/>
        <v>284.79721830626903</v>
      </c>
      <c r="DZ17" s="1067">
        <f t="shared" si="47"/>
        <v>367.19209301967845</v>
      </c>
      <c r="EA17" s="982">
        <f t="shared" si="47"/>
        <v>412.39019302452044</v>
      </c>
      <c r="EB17" s="982">
        <f t="shared" si="47"/>
        <v>293.27327383106893</v>
      </c>
      <c r="EC17" s="1067">
        <f t="shared" si="47"/>
        <v>705.89141116846986</v>
      </c>
      <c r="ED17" s="982">
        <f t="shared" si="47"/>
        <v>454.94621451743438</v>
      </c>
      <c r="EE17" s="982">
        <f t="shared" si="47"/>
        <v>323.39738153579805</v>
      </c>
      <c r="EF17" s="1067">
        <f t="shared" si="47"/>
        <v>778.57154700650028</v>
      </c>
      <c r="EG17" s="982">
        <f t="shared" si="47"/>
        <v>497.79587365987845</v>
      </c>
      <c r="EH17" s="982">
        <f t="shared" si="47"/>
        <v>363.16819748234298</v>
      </c>
      <c r="EI17" s="1067">
        <f t="shared" si="47"/>
        <v>860.94147807422803</v>
      </c>
      <c r="EJ17" s="982">
        <f t="shared" si="47"/>
        <v>544.31371702557169</v>
      </c>
      <c r="EK17" s="982">
        <f t="shared" si="47"/>
        <v>408.30208616987312</v>
      </c>
      <c r="EL17" s="1067">
        <f t="shared" si="47"/>
        <v>952.59299318550813</v>
      </c>
      <c r="EM17" s="982">
        <f t="shared" si="47"/>
        <v>599.02666601121268</v>
      </c>
      <c r="EN17" s="982">
        <f t="shared" si="47"/>
        <v>452.03305554687648</v>
      </c>
      <c r="EO17" s="1067">
        <f t="shared" si="47"/>
        <v>1051.035086326714</v>
      </c>
      <c r="EP17" s="982">
        <f t="shared" si="47"/>
        <v>651.298848573491</v>
      </c>
      <c r="EQ17" s="982">
        <f t="shared" si="47"/>
        <v>501.42578101231675</v>
      </c>
      <c r="ER17" s="1067">
        <f t="shared" si="47"/>
        <v>1152.6995286020954</v>
      </c>
      <c r="ES17" s="982">
        <f t="shared" ref="ES17:FA17" si="49">((ES91+ES400)/ES393)*100</f>
        <v>701.09591071799753</v>
      </c>
      <c r="ET17" s="982">
        <f t="shared" si="49"/>
        <v>546.99172304308672</v>
      </c>
      <c r="EU17" s="1067">
        <f t="shared" si="49"/>
        <v>1248.0618414215039</v>
      </c>
      <c r="EV17" s="982">
        <f t="shared" si="49"/>
        <v>746.58778857060884</v>
      </c>
      <c r="EW17" s="982">
        <f t="shared" si="49"/>
        <v>587.47348361461059</v>
      </c>
      <c r="EX17" s="1067">
        <f t="shared" si="49"/>
        <v>1334.0346591217155</v>
      </c>
      <c r="EY17" s="982">
        <f t="shared" si="49"/>
        <v>794.91516360813114</v>
      </c>
      <c r="EZ17" s="982">
        <f t="shared" si="49"/>
        <v>630.62077086752572</v>
      </c>
      <c r="FA17" s="1067">
        <f t="shared" si="49"/>
        <v>1425.5084733758358</v>
      </c>
      <c r="FD17"/>
      <c r="FE17"/>
      <c r="FF17"/>
      <c r="FG17"/>
      <c r="FH17"/>
      <c r="FI17"/>
    </row>
    <row r="18" spans="1:169" s="33" customFormat="1">
      <c r="B18" s="54" t="s">
        <v>554</v>
      </c>
      <c r="C18" s="54"/>
      <c r="D18" s="2" t="s">
        <v>506</v>
      </c>
      <c r="E18" s="32"/>
      <c r="F18" s="32"/>
      <c r="G18" s="32"/>
      <c r="H18" s="32"/>
      <c r="I18" s="32"/>
      <c r="J18" s="32"/>
      <c r="K18" s="32"/>
      <c r="L18" s="32"/>
      <c r="M18" s="32"/>
      <c r="N18" s="32"/>
      <c r="O18" s="32"/>
      <c r="P18" s="32"/>
      <c r="Q18" s="32"/>
      <c r="R18" s="32"/>
      <c r="S18" s="32"/>
      <c r="T18" s="32"/>
      <c r="U18" s="32"/>
      <c r="V18" s="32"/>
      <c r="W18" s="32"/>
      <c r="X18" s="32"/>
      <c r="Y18" s="32"/>
      <c r="Z18" s="32"/>
      <c r="AA18" s="32"/>
      <c r="AB18" s="32"/>
      <c r="AC18" s="32"/>
      <c r="AD18" s="32"/>
      <c r="AE18" s="32"/>
      <c r="AF18" s="32"/>
      <c r="AG18" s="32"/>
      <c r="AH18" s="32"/>
      <c r="AI18" s="32"/>
      <c r="AJ18" s="32"/>
      <c r="AK18" s="32">
        <v>82974.491671910757</v>
      </c>
      <c r="AL18" s="32">
        <v>82974.491671910757</v>
      </c>
      <c r="AM18" s="32">
        <v>82974.491671910757</v>
      </c>
      <c r="AN18" s="32">
        <v>82974.491671910757</v>
      </c>
      <c r="AO18" s="32">
        <v>82974.491671910757</v>
      </c>
      <c r="AP18" s="32">
        <v>82974.491671910757</v>
      </c>
      <c r="AQ18" s="32">
        <v>82974.491671910757</v>
      </c>
      <c r="AR18" s="32">
        <v>82974.491671910757</v>
      </c>
      <c r="AS18" s="32">
        <v>82974.491671910757</v>
      </c>
      <c r="AT18" s="32">
        <v>82974.491671910757</v>
      </c>
      <c r="AU18" s="32">
        <v>82974.491671910757</v>
      </c>
      <c r="AV18" s="32">
        <v>82974.491671910757</v>
      </c>
      <c r="AW18" s="32">
        <v>82974.491671910757</v>
      </c>
      <c r="AX18" s="32">
        <v>82974.491671910757</v>
      </c>
      <c r="AY18" s="32">
        <v>82974.491671910757</v>
      </c>
      <c r="AZ18" s="32">
        <v>82974.491671910757</v>
      </c>
      <c r="BA18" s="32">
        <v>82974.491671910757</v>
      </c>
      <c r="BB18" s="32">
        <v>82974.491671910757</v>
      </c>
      <c r="BC18" s="32">
        <v>82974.491671910757</v>
      </c>
      <c r="BD18" s="32">
        <v>82974.491671910757</v>
      </c>
      <c r="BE18" s="32">
        <v>82974.491671910757</v>
      </c>
      <c r="BF18" s="32">
        <v>82974.491671910757</v>
      </c>
      <c r="BG18" s="32">
        <v>82974.491671910757</v>
      </c>
      <c r="BH18" s="32">
        <v>82974.491671910757</v>
      </c>
      <c r="BI18" s="32">
        <v>82974.491671910757</v>
      </c>
      <c r="BJ18" s="32">
        <v>82974.491671910757</v>
      </c>
      <c r="BK18" s="32">
        <v>82974.491671910757</v>
      </c>
      <c r="BL18" s="32">
        <v>82974.491671910757</v>
      </c>
      <c r="BM18" s="32">
        <v>82974.491671910757</v>
      </c>
      <c r="BN18" s="32">
        <v>82974.491671910757</v>
      </c>
      <c r="BO18" s="32">
        <v>82974.491671910757</v>
      </c>
      <c r="BP18" s="32">
        <v>82974.491671910757</v>
      </c>
      <c r="BQ18" s="32">
        <v>82974.491671910757</v>
      </c>
      <c r="BR18" s="32">
        <v>82974.491671910757</v>
      </c>
      <c r="BS18" s="32">
        <v>82974.491671910757</v>
      </c>
      <c r="BT18" s="32">
        <v>82974.491671910757</v>
      </c>
      <c r="BU18" s="32">
        <v>82974.491671910757</v>
      </c>
      <c r="BV18" s="32">
        <v>82974.491671910757</v>
      </c>
      <c r="BW18" s="32">
        <v>83216.491671910757</v>
      </c>
      <c r="BX18" s="32">
        <v>83216.491671910757</v>
      </c>
      <c r="BY18" s="32">
        <v>82974.491671910757</v>
      </c>
      <c r="BZ18" s="32">
        <v>81506.491671910757</v>
      </c>
      <c r="CA18" s="32">
        <v>81506.491671910757</v>
      </c>
      <c r="CB18" s="32">
        <v>82974.491671910757</v>
      </c>
      <c r="CC18" s="32">
        <v>82515.491671910757</v>
      </c>
      <c r="CD18" s="32">
        <v>82515.491671910757</v>
      </c>
      <c r="CE18" s="32">
        <v>82974.491671910757</v>
      </c>
      <c r="CF18" s="32">
        <v>82906.491671910757</v>
      </c>
      <c r="CG18" s="32">
        <v>82906.491671910757</v>
      </c>
      <c r="CH18" s="32">
        <v>83196.29667191075</v>
      </c>
      <c r="CI18" s="32">
        <v>83090.991671910757</v>
      </c>
      <c r="CJ18" s="32">
        <v>83090.991671910757</v>
      </c>
      <c r="CK18" s="32">
        <v>83891.191671910754</v>
      </c>
      <c r="CL18" s="32">
        <v>83891.191671910754</v>
      </c>
      <c r="CM18" s="32">
        <v>83891.191671910754</v>
      </c>
      <c r="CN18" s="32">
        <v>84072.391671910751</v>
      </c>
      <c r="CO18" s="32">
        <v>84256.091671910763</v>
      </c>
      <c r="CP18" s="32">
        <v>84256.091671910763</v>
      </c>
      <c r="CQ18" s="32">
        <v>84243.991671910757</v>
      </c>
      <c r="CR18" s="32">
        <v>84698.591671910763</v>
      </c>
      <c r="CS18" s="32">
        <v>84698.591671910763</v>
      </c>
      <c r="CT18" s="32">
        <v>84956.891671910751</v>
      </c>
      <c r="CU18" s="32">
        <v>85561.191671910754</v>
      </c>
      <c r="CV18" s="32">
        <v>85561.191671910754</v>
      </c>
      <c r="CW18" s="32">
        <v>85618.991671910757</v>
      </c>
      <c r="CX18" s="32">
        <v>86105.191671910754</v>
      </c>
      <c r="CY18" s="32">
        <v>86105.191671910754</v>
      </c>
      <c r="CZ18" s="32">
        <v>86577.79167191076</v>
      </c>
      <c r="DA18" s="32">
        <v>86546.091671910763</v>
      </c>
      <c r="DB18" s="32">
        <v>86546.091671910763</v>
      </c>
      <c r="DC18" s="32">
        <v>86957.191671910754</v>
      </c>
      <c r="DD18" s="32">
        <v>86979.491671910757</v>
      </c>
      <c r="DE18" s="1061">
        <v>86979.491671910757</v>
      </c>
      <c r="DF18" s="32">
        <v>63740.073523299558</v>
      </c>
      <c r="DG18" s="32">
        <v>63598.273523299562</v>
      </c>
      <c r="DH18" s="1061">
        <v>63598.273523299562</v>
      </c>
      <c r="DI18" s="32">
        <v>62502.573523299558</v>
      </c>
      <c r="DJ18" s="32">
        <v>62797.973523299559</v>
      </c>
      <c r="DK18" s="1061">
        <v>62797.973523299559</v>
      </c>
      <c r="DL18" s="32">
        <v>58034.273523299562</v>
      </c>
      <c r="DM18" s="32">
        <v>58021.273523299562</v>
      </c>
      <c r="DN18" s="1061">
        <v>58021.273523299562</v>
      </c>
      <c r="DO18" s="32">
        <v>69410.573523299565</v>
      </c>
      <c r="DP18" s="32">
        <v>69478.873523299553</v>
      </c>
      <c r="DQ18" s="1061">
        <v>69478.873523299553</v>
      </c>
      <c r="DR18" s="32">
        <v>69889.873523299553</v>
      </c>
      <c r="DS18" s="32">
        <v>69325.873523299553</v>
      </c>
      <c r="DT18" s="1061">
        <v>69325.873523299553</v>
      </c>
      <c r="DU18" s="32">
        <v>69239.873523299553</v>
      </c>
      <c r="DV18" s="32">
        <v>68140.873523299553</v>
      </c>
      <c r="DW18" s="1061">
        <v>68140.873523299553</v>
      </c>
      <c r="DX18" s="32">
        <v>68792.873523299553</v>
      </c>
      <c r="DY18" s="32">
        <v>68244.02871891018</v>
      </c>
      <c r="DZ18" s="1061">
        <v>68244.02871891018</v>
      </c>
      <c r="EA18" s="32">
        <v>68229.273892016048</v>
      </c>
      <c r="EB18" s="32">
        <v>67898.606670593916</v>
      </c>
      <c r="EC18" s="1061">
        <v>67898.606670593916</v>
      </c>
      <c r="ED18" s="32">
        <v>67649.732380741378</v>
      </c>
      <c r="EE18" s="32">
        <v>67421.68769417674</v>
      </c>
      <c r="EF18" s="1061">
        <v>67421.68769417674</v>
      </c>
      <c r="EG18" s="32">
        <v>66677.787826940446</v>
      </c>
      <c r="EH18" s="32">
        <v>66019.289286302766</v>
      </c>
      <c r="EI18" s="1061">
        <v>66019.289286302766</v>
      </c>
      <c r="EJ18" s="32">
        <v>65028.187062855315</v>
      </c>
      <c r="EK18" s="32">
        <v>64237.495059851411</v>
      </c>
      <c r="EL18" s="1061">
        <v>64237.495059851411</v>
      </c>
      <c r="EM18" s="32">
        <v>62903.921052708465</v>
      </c>
      <c r="EN18" s="32">
        <v>61945.737744806298</v>
      </c>
      <c r="EO18" s="1061">
        <v>61945.737744806298</v>
      </c>
      <c r="EP18" s="32">
        <v>60451.842585346807</v>
      </c>
      <c r="EQ18" s="32">
        <v>59410.141819309123</v>
      </c>
      <c r="ER18" s="1061">
        <v>59410.141819309123</v>
      </c>
      <c r="ES18" s="32">
        <v>57781.051326793306</v>
      </c>
      <c r="ET18" s="32">
        <v>56670.189632244088</v>
      </c>
      <c r="EU18" s="1061">
        <v>56670.189632244088</v>
      </c>
      <c r="EV18" s="32">
        <v>54909.52719592677</v>
      </c>
      <c r="EW18" s="32">
        <v>53752.909695739014</v>
      </c>
      <c r="EX18" s="1061">
        <v>53752.909695739014</v>
      </c>
      <c r="EY18" s="32">
        <v>51830.912432268182</v>
      </c>
      <c r="EZ18" s="32">
        <v>50627.434918225823</v>
      </c>
      <c r="FA18" s="1061">
        <v>50627.434918225823</v>
      </c>
      <c r="FD18"/>
      <c r="FE18"/>
      <c r="FF18"/>
      <c r="FG18"/>
      <c r="FH18"/>
      <c r="FI18"/>
    </row>
    <row r="19" spans="1:169" s="1078" customFormat="1">
      <c r="A19" s="1068"/>
      <c r="B19" s="1068"/>
      <c r="C19" s="1068"/>
      <c r="D19" s="1068"/>
      <c r="E19" s="1068"/>
      <c r="F19" s="1068"/>
      <c r="G19" s="1068"/>
      <c r="H19" s="1068"/>
      <c r="I19" s="1068"/>
      <c r="J19" s="1068"/>
      <c r="K19" s="1068"/>
      <c r="L19" s="1068"/>
      <c r="M19" s="1068"/>
      <c r="N19" s="1068"/>
      <c r="O19" s="1068"/>
      <c r="P19" s="1068"/>
      <c r="Q19" s="1068"/>
      <c r="R19" s="1068"/>
      <c r="S19" s="1068"/>
      <c r="T19" s="1068"/>
      <c r="U19" s="1068"/>
      <c r="V19" s="1068"/>
      <c r="W19" s="1068"/>
      <c r="X19" s="1068"/>
      <c r="Y19" s="1068"/>
      <c r="Z19" s="1068"/>
      <c r="AA19" s="1068"/>
      <c r="AB19" s="1068"/>
      <c r="AC19" s="1068"/>
      <c r="AD19" s="1068"/>
      <c r="AE19" s="1068"/>
      <c r="AF19" s="1068"/>
      <c r="AG19" s="1068"/>
      <c r="AH19" s="1068"/>
      <c r="AI19" s="1068"/>
      <c r="AJ19" s="1068"/>
      <c r="AK19" s="1068"/>
      <c r="AL19" s="1068"/>
      <c r="AM19" s="1068"/>
      <c r="AN19" s="1068"/>
      <c r="AO19" s="1068"/>
      <c r="AP19" s="1068"/>
      <c r="AQ19" s="1068"/>
      <c r="AR19" s="1068"/>
      <c r="AS19" s="1068"/>
      <c r="AT19" s="1068"/>
      <c r="AU19" s="1068"/>
      <c r="AV19" s="1068"/>
      <c r="AW19" s="1068"/>
      <c r="AX19" s="1068"/>
      <c r="AY19" s="1068"/>
      <c r="AZ19" s="1068"/>
      <c r="BA19" s="1068"/>
      <c r="BB19" s="1068"/>
      <c r="BC19" s="1068"/>
      <c r="BD19" s="1068"/>
      <c r="BE19" s="1068"/>
      <c r="BF19" s="1068"/>
      <c r="BG19" s="1068"/>
      <c r="BH19" s="1068"/>
      <c r="BI19" s="1068"/>
      <c r="BJ19" s="1068"/>
      <c r="BK19" s="1068"/>
      <c r="BL19" s="1068"/>
      <c r="BM19" s="1068"/>
      <c r="BN19" s="1068"/>
      <c r="BO19" s="1068"/>
      <c r="BP19" s="1068"/>
      <c r="BQ19" s="1068"/>
      <c r="BR19" s="1068"/>
      <c r="BS19" s="1068"/>
      <c r="BT19" s="1068"/>
      <c r="BU19" s="1068"/>
      <c r="BV19" s="1068"/>
      <c r="BW19" s="1068"/>
      <c r="BX19" s="1068"/>
      <c r="BY19" s="1068"/>
      <c r="BZ19" s="1068"/>
      <c r="CA19" s="1068"/>
      <c r="CB19" s="1068"/>
      <c r="CC19" s="1068"/>
      <c r="CD19" s="1068"/>
      <c r="CE19" s="1068"/>
      <c r="CF19" s="1068"/>
      <c r="CG19" s="1068"/>
      <c r="CH19" s="1068"/>
      <c r="CI19" s="1068"/>
      <c r="CJ19" s="1068"/>
      <c r="CK19" s="1068"/>
      <c r="CL19" s="1068"/>
      <c r="CM19" s="1068"/>
      <c r="CN19" s="1068"/>
      <c r="CO19" s="1068"/>
      <c r="CP19" s="1068"/>
      <c r="CQ19" s="1068"/>
      <c r="CR19" s="1068"/>
      <c r="CS19" s="1068"/>
      <c r="CT19" s="1068"/>
      <c r="CU19" s="1068"/>
      <c r="CV19" s="1068"/>
      <c r="CW19" s="1068"/>
      <c r="CX19" s="1068"/>
      <c r="CY19" s="1068"/>
      <c r="CZ19" s="1068"/>
      <c r="DA19" s="1068"/>
      <c r="DB19" s="1069"/>
      <c r="DC19" s="1068"/>
      <c r="DD19" s="1068"/>
      <c r="DE19" s="1070"/>
      <c r="DF19" s="1071"/>
      <c r="DG19" s="1071"/>
      <c r="DH19" s="1072"/>
      <c r="DI19" s="1068"/>
      <c r="DJ19" s="1068"/>
      <c r="DK19" s="1073"/>
      <c r="DL19" s="1068"/>
      <c r="DM19" s="1068"/>
      <c r="DN19" s="1073"/>
      <c r="DO19" s="1068"/>
      <c r="DP19" s="1068"/>
      <c r="DQ19" s="1073"/>
      <c r="DR19" s="1074"/>
      <c r="DS19" s="1074"/>
      <c r="DT19" s="1075"/>
      <c r="DU19" s="1076"/>
      <c r="DV19" s="1074"/>
      <c r="DW19" s="1075"/>
      <c r="DX19" s="1076"/>
      <c r="DY19" s="1076"/>
      <c r="DZ19" s="1077"/>
      <c r="EA19" s="1068"/>
      <c r="EB19" s="1068"/>
      <c r="EC19" s="1073"/>
      <c r="ED19" s="1068"/>
      <c r="EE19" s="1068"/>
      <c r="EF19" s="1073"/>
      <c r="EG19" s="1068"/>
      <c r="EH19" s="1068"/>
      <c r="EI19" s="1073"/>
      <c r="EJ19" s="1068"/>
      <c r="EK19" s="1068"/>
      <c r="EL19" s="1073"/>
      <c r="EM19" s="1068"/>
      <c r="EN19" s="1068"/>
      <c r="EO19" s="1073"/>
      <c r="EP19" s="1068"/>
      <c r="EQ19" s="1068"/>
      <c r="ER19" s="1073"/>
      <c r="ES19" s="1068"/>
      <c r="ET19" s="1068"/>
      <c r="EU19" s="1073"/>
      <c r="EV19" s="1068"/>
      <c r="EW19" s="1068"/>
      <c r="EX19" s="1073"/>
      <c r="EY19" s="1068"/>
      <c r="EZ19" s="1068"/>
      <c r="FA19" s="1073"/>
      <c r="FB19" s="1068"/>
      <c r="FC19" s="1068"/>
      <c r="FD19"/>
      <c r="FE19"/>
      <c r="FF19"/>
      <c r="FG19"/>
      <c r="FH19"/>
      <c r="FI19"/>
    </row>
    <row r="20" spans="1:169" s="33" customFormat="1">
      <c r="B20" s="54" t="s">
        <v>573</v>
      </c>
      <c r="C20" s="54"/>
      <c r="D20" s="2" t="s">
        <v>365</v>
      </c>
      <c r="E20" s="32"/>
      <c r="F20" s="32"/>
      <c r="G20" s="32"/>
      <c r="H20" s="32"/>
      <c r="I20" s="32"/>
      <c r="J20" s="32"/>
      <c r="K20" s="32"/>
      <c r="L20" s="32"/>
      <c r="M20" s="32"/>
      <c r="N20" s="32"/>
      <c r="O20" s="32"/>
      <c r="P20" s="32"/>
      <c r="Q20" s="32"/>
      <c r="R20" s="32"/>
      <c r="S20" s="32"/>
      <c r="T20" s="32"/>
      <c r="U20" s="32"/>
      <c r="V20" s="32"/>
      <c r="W20" s="32"/>
      <c r="X20" s="32"/>
      <c r="Y20" s="32"/>
      <c r="Z20" s="32"/>
      <c r="AA20" s="32"/>
      <c r="AB20" s="32"/>
      <c r="AC20" s="32"/>
      <c r="AD20" s="32"/>
      <c r="AE20" s="32"/>
      <c r="AF20" s="32"/>
      <c r="AG20" s="32"/>
      <c r="AH20" s="32"/>
      <c r="AI20" s="32"/>
      <c r="AJ20" s="32"/>
      <c r="AK20" s="32">
        <f t="shared" ref="AK20:BP20" si="50">+(AK187/AK393)*100</f>
        <v>0</v>
      </c>
      <c r="AL20" s="32"/>
      <c r="AM20" s="32"/>
      <c r="AN20" s="32">
        <f t="shared" si="50"/>
        <v>19.966072684701981</v>
      </c>
      <c r="AO20" s="32"/>
      <c r="AP20" s="32"/>
      <c r="AQ20" s="32">
        <f t="shared" si="50"/>
        <v>22.438500392348068</v>
      </c>
      <c r="AR20" s="32"/>
      <c r="AS20" s="32"/>
      <c r="AT20" s="32">
        <f t="shared" si="50"/>
        <v>22.875035235142196</v>
      </c>
      <c r="AU20" s="32">
        <f t="shared" si="50"/>
        <v>13.458316792873495</v>
      </c>
      <c r="AV20" s="32">
        <f t="shared" si="50"/>
        <v>4.6677936891793195</v>
      </c>
      <c r="AW20" s="32">
        <f t="shared" si="50"/>
        <v>18.179100953701401</v>
      </c>
      <c r="AX20" s="32">
        <f t="shared" si="50"/>
        <v>2.9557752092867795</v>
      </c>
      <c r="AY20" s="32">
        <f t="shared" si="50"/>
        <v>10.609207614773871</v>
      </c>
      <c r="AZ20" s="32">
        <f t="shared" si="50"/>
        <v>13.573952957384272</v>
      </c>
      <c r="BA20" s="32">
        <f t="shared" si="50"/>
        <v>10.481226142386369</v>
      </c>
      <c r="BB20" s="32">
        <f t="shared" si="50"/>
        <v>18.055785794657293</v>
      </c>
      <c r="BC20" s="32">
        <f t="shared" si="50"/>
        <v>28.55126119650393</v>
      </c>
      <c r="BD20" s="32">
        <f t="shared" si="50"/>
        <v>-0.47295851058572308</v>
      </c>
      <c r="BE20" s="32">
        <f t="shared" si="50"/>
        <v>27.688481775482256</v>
      </c>
      <c r="BF20" s="32">
        <f t="shared" si="50"/>
        <v>27.225636596412706</v>
      </c>
      <c r="BG20" s="32">
        <f t="shared" si="50"/>
        <v>5.2004820127331985</v>
      </c>
      <c r="BH20" s="32">
        <f t="shared" si="50"/>
        <v>18.967103765955923</v>
      </c>
      <c r="BI20" s="32">
        <f t="shared" si="50"/>
        <v>24.167585778689123</v>
      </c>
      <c r="BJ20" s="32">
        <f t="shared" si="50"/>
        <v>10.060020497227033</v>
      </c>
      <c r="BK20" s="32">
        <f t="shared" si="50"/>
        <v>26.871570936385798</v>
      </c>
      <c r="BL20" s="32">
        <f t="shared" si="50"/>
        <v>38.466934484774974</v>
      </c>
      <c r="BM20" s="32">
        <f t="shared" si="50"/>
        <v>32.689615462967694</v>
      </c>
      <c r="BN20" s="32">
        <f t="shared" si="50"/>
        <v>65.443219903034233</v>
      </c>
      <c r="BO20" s="32">
        <f t="shared" si="50"/>
        <v>97.755784277296897</v>
      </c>
      <c r="BP20" s="32">
        <f t="shared" si="50"/>
        <v>48.297852255074638</v>
      </c>
      <c r="BQ20" s="32">
        <f t="shared" ref="BQ20:CV20" si="51">+(BQ187/BQ393)*100</f>
        <v>46.038813141446262</v>
      </c>
      <c r="BR20" s="32">
        <f t="shared" si="51"/>
        <v>94.30999016719808</v>
      </c>
      <c r="BS20" s="32">
        <f t="shared" si="51"/>
        <v>34.128466775075708</v>
      </c>
      <c r="BT20" s="32">
        <f t="shared" si="51"/>
        <v>53.72080578838704</v>
      </c>
      <c r="BU20" s="32">
        <f t="shared" si="51"/>
        <v>87.849272563462762</v>
      </c>
      <c r="BV20" s="32">
        <f t="shared" si="51"/>
        <v>53.04947655917325</v>
      </c>
      <c r="BW20" s="32">
        <f t="shared" si="51"/>
        <v>76.717164814744933</v>
      </c>
      <c r="BX20" s="32">
        <f t="shared" si="51"/>
        <v>129.74666908266639</v>
      </c>
      <c r="BY20" s="32">
        <f t="shared" si="51"/>
        <v>75.114023926057655</v>
      </c>
      <c r="BZ20" s="32">
        <f t="shared" si="51"/>
        <v>95.944500517631113</v>
      </c>
      <c r="CA20" s="32">
        <f t="shared" si="51"/>
        <v>171.26366732111239</v>
      </c>
      <c r="CB20" s="32">
        <f t="shared" si="51"/>
        <v>84.331594615072987</v>
      </c>
      <c r="CC20" s="32">
        <f t="shared" si="51"/>
        <v>122.05465117560156</v>
      </c>
      <c r="CD20" s="32">
        <f t="shared" si="51"/>
        <v>205.47429231830239</v>
      </c>
      <c r="CE20" s="32">
        <f t="shared" si="51"/>
        <v>74.484294657741671</v>
      </c>
      <c r="CF20" s="32">
        <f t="shared" si="51"/>
        <v>112.53294404539314</v>
      </c>
      <c r="CG20" s="32">
        <f t="shared" si="51"/>
        <v>187.91031965464512</v>
      </c>
      <c r="CH20" s="32">
        <f t="shared" si="51"/>
        <v>102.63112137208985</v>
      </c>
      <c r="CI20" s="32">
        <f t="shared" si="51"/>
        <v>129.45182794761251</v>
      </c>
      <c r="CJ20" s="32">
        <f t="shared" si="51"/>
        <v>231.83188786267706</v>
      </c>
      <c r="CK20" s="32">
        <f t="shared" si="51"/>
        <v>132.88552220979557</v>
      </c>
      <c r="CL20" s="32">
        <f t="shared" si="51"/>
        <v>131.6296558614772</v>
      </c>
      <c r="CM20" s="32">
        <f t="shared" si="51"/>
        <v>262.1745552712452</v>
      </c>
      <c r="CN20" s="32">
        <f t="shared" si="51"/>
        <v>105.25493530893048</v>
      </c>
      <c r="CO20" s="32">
        <f t="shared" si="51"/>
        <v>174.11269322341903</v>
      </c>
      <c r="CP20" s="32">
        <f t="shared" si="51"/>
        <v>280.19604539122395</v>
      </c>
      <c r="CQ20" s="32">
        <f t="shared" si="51"/>
        <v>137.8823973078546</v>
      </c>
      <c r="CR20" s="32">
        <f t="shared" si="51"/>
        <v>150.01774973641361</v>
      </c>
      <c r="CS20" s="32">
        <f t="shared" si="51"/>
        <v>288.18685904062369</v>
      </c>
      <c r="CT20" s="32">
        <f t="shared" si="51"/>
        <v>151.5755378713416</v>
      </c>
      <c r="CU20" s="32">
        <f t="shared" si="51"/>
        <v>102.93167180884259</v>
      </c>
      <c r="CV20" s="32">
        <f t="shared" si="51"/>
        <v>254.78744487835976</v>
      </c>
      <c r="CW20" s="32">
        <f t="shared" ref="CW20:DQ20" si="52">+(CW187/CW393)*100</f>
        <v>145.17300448574747</v>
      </c>
      <c r="CX20" s="32">
        <f t="shared" si="52"/>
        <v>127.73884129828754</v>
      </c>
      <c r="CY20" s="32">
        <f t="shared" si="52"/>
        <v>273.15277162372087</v>
      </c>
      <c r="CZ20" s="32">
        <f t="shared" si="52"/>
        <v>184.79346744004988</v>
      </c>
      <c r="DA20" s="32">
        <f t="shared" si="52"/>
        <v>233.65374020009165</v>
      </c>
      <c r="DB20" s="32">
        <f t="shared" si="52"/>
        <v>418.44720764014153</v>
      </c>
      <c r="DC20" s="32">
        <f t="shared" si="52"/>
        <v>117.74988160658624</v>
      </c>
      <c r="DD20" s="32">
        <f t="shared" si="52"/>
        <v>244.27415446847925</v>
      </c>
      <c r="DE20" s="1061">
        <f t="shared" si="52"/>
        <v>361.96237788710016</v>
      </c>
      <c r="DF20" s="32">
        <f t="shared" si="52"/>
        <v>273.35725541252526</v>
      </c>
      <c r="DG20" s="32">
        <f t="shared" si="52"/>
        <v>272.87770572962734</v>
      </c>
      <c r="DH20" s="1061">
        <f t="shared" si="52"/>
        <v>546.23482921934453</v>
      </c>
      <c r="DI20" s="32">
        <f t="shared" si="52"/>
        <v>508.81246916664145</v>
      </c>
      <c r="DJ20" s="32">
        <f t="shared" si="52"/>
        <v>285.13689208102483</v>
      </c>
      <c r="DK20" s="1061">
        <f t="shared" si="52"/>
        <v>793.86346322364659</v>
      </c>
      <c r="DL20" s="32">
        <f t="shared" si="52"/>
        <v>311.47315321779587</v>
      </c>
      <c r="DM20" s="32">
        <f t="shared" si="52"/>
        <v>250.31725910924348</v>
      </c>
      <c r="DN20" s="1061">
        <f t="shared" si="52"/>
        <v>560.35656413114657</v>
      </c>
      <c r="DO20" s="32">
        <f t="shared" si="52"/>
        <v>202.73860465077811</v>
      </c>
      <c r="DP20" s="32">
        <f t="shared" si="52"/>
        <v>334.8926178858697</v>
      </c>
      <c r="DQ20" s="1061">
        <f t="shared" si="52"/>
        <v>537.66656895060828</v>
      </c>
      <c r="DR20" s="1062">
        <f t="shared" ref="DR20:DZ20" si="53">+(DR187/DR393)*100</f>
        <v>220.43263775618595</v>
      </c>
      <c r="DS20" s="1062">
        <f t="shared" si="53"/>
        <v>349.28165529287111</v>
      </c>
      <c r="DT20" s="1063">
        <f t="shared" si="53"/>
        <v>569.75762673405518</v>
      </c>
      <c r="DU20" s="32">
        <f>+(DU187/DU393)*100</f>
        <v>259.34174081217509</v>
      </c>
      <c r="DV20" s="1062">
        <f>+(DV187/DV393)*100</f>
        <v>474.0338662643631</v>
      </c>
      <c r="DW20" s="1063">
        <f>+(DW187/DW393)*100</f>
        <v>733.41086412284551</v>
      </c>
      <c r="DX20" s="32">
        <f t="shared" ref="DX20" si="54">+(DX187/DX393)*100</f>
        <v>268.93780908276727</v>
      </c>
      <c r="DY20" s="32">
        <f t="shared" si="53"/>
        <v>482.53887687944166</v>
      </c>
      <c r="DZ20" s="1061">
        <f t="shared" si="53"/>
        <v>751.0169835500418</v>
      </c>
      <c r="EA20" s="32">
        <f t="shared" ref="EA20:EF20" si="55">+(EA187/EA393)*100</f>
        <v>408.30629068898293</v>
      </c>
      <c r="EB20" s="32">
        <f t="shared" si="55"/>
        <v>451.90907320228064</v>
      </c>
      <c r="EC20" s="1061">
        <f t="shared" si="55"/>
        <v>860.13192481000647</v>
      </c>
      <c r="ED20" s="32">
        <f t="shared" si="55"/>
        <v>475.01245058655587</v>
      </c>
      <c r="EE20" s="32">
        <f t="shared" si="55"/>
        <v>472.56504780807813</v>
      </c>
      <c r="EF20" s="1061">
        <f t="shared" si="55"/>
        <v>947.58173931250246</v>
      </c>
      <c r="EG20" s="32">
        <f t="shared" ref="EG20:EL20" si="56">+(EG187/EG393)*100</f>
        <v>524.92494191259766</v>
      </c>
      <c r="EH20" s="32">
        <f t="shared" si="56"/>
        <v>508.22245877318915</v>
      </c>
      <c r="EI20" s="1061">
        <f t="shared" si="56"/>
        <v>1033.1445976935051</v>
      </c>
      <c r="EJ20" s="32">
        <f t="shared" si="56"/>
        <v>585.60878746641299</v>
      </c>
      <c r="EK20" s="32">
        <f t="shared" si="56"/>
        <v>543.0270614923943</v>
      </c>
      <c r="EL20" s="1061">
        <f t="shared" si="56"/>
        <v>1128.6287077342922</v>
      </c>
      <c r="EM20" s="32">
        <f t="shared" ref="EM20:ER20" si="57">+(EM187/EM393)*100</f>
        <v>665.84703299919909</v>
      </c>
      <c r="EN20" s="32">
        <f t="shared" si="57"/>
        <v>584.8815583980338</v>
      </c>
      <c r="EO20" s="1061">
        <f t="shared" si="57"/>
        <v>1250.7150220781728</v>
      </c>
      <c r="EP20" s="32">
        <f t="shared" si="57"/>
        <v>728.63065498617323</v>
      </c>
      <c r="EQ20" s="32">
        <f t="shared" si="57"/>
        <v>628.48560397062329</v>
      </c>
      <c r="ER20" s="1061">
        <f t="shared" si="57"/>
        <v>1357.0994865017094</v>
      </c>
      <c r="ES20" s="32">
        <f t="shared" ref="ES20:FA20" si="58">+(ES187/ES393)*100</f>
        <v>789.45198203677978</v>
      </c>
      <c r="ET20" s="32">
        <f t="shared" si="58"/>
        <v>668.41857098119681</v>
      </c>
      <c r="EU20" s="1061">
        <f t="shared" si="58"/>
        <v>1457.8502957174737</v>
      </c>
      <c r="EV20" s="32">
        <f t="shared" si="58"/>
        <v>848.23172804244643</v>
      </c>
      <c r="EW20" s="32">
        <f t="shared" si="58"/>
        <v>702.38840116084771</v>
      </c>
      <c r="EX20" s="1061">
        <f t="shared" si="58"/>
        <v>1550.5957358106259</v>
      </c>
      <c r="EY20" s="32">
        <f t="shared" si="58"/>
        <v>911.16249439009243</v>
      </c>
      <c r="EZ20" s="32">
        <f t="shared" si="58"/>
        <v>738.058496732104</v>
      </c>
      <c r="FA20" s="1061">
        <f t="shared" si="58"/>
        <v>1649.1920575348729</v>
      </c>
      <c r="FD20"/>
      <c r="FE20"/>
      <c r="FF20"/>
      <c r="FG20"/>
      <c r="FH20"/>
      <c r="FI20"/>
    </row>
    <row r="21" spans="1:169" s="33" customFormat="1">
      <c r="B21" s="54" t="s">
        <v>574</v>
      </c>
      <c r="C21" s="54"/>
      <c r="D21" s="2" t="s">
        <v>367</v>
      </c>
      <c r="E21" s="32"/>
      <c r="F21" s="32"/>
      <c r="G21" s="32"/>
      <c r="H21" s="32"/>
      <c r="I21" s="32"/>
      <c r="J21" s="32"/>
      <c r="K21" s="32"/>
      <c r="L21" s="32"/>
      <c r="M21" s="32"/>
      <c r="N21" s="32"/>
      <c r="O21" s="32"/>
      <c r="P21" s="32"/>
      <c r="Q21" s="32"/>
      <c r="R21" s="32"/>
      <c r="S21" s="32"/>
      <c r="T21" s="32"/>
      <c r="U21" s="32"/>
      <c r="V21" s="32"/>
      <c r="W21" s="32"/>
      <c r="X21" s="32"/>
      <c r="Y21" s="32"/>
      <c r="Z21" s="32"/>
      <c r="AA21" s="32"/>
      <c r="AB21" s="32"/>
      <c r="AC21" s="32"/>
      <c r="AD21" s="32"/>
      <c r="AE21" s="32"/>
      <c r="AF21" s="32"/>
      <c r="AG21" s="32"/>
      <c r="AH21" s="32"/>
      <c r="AI21" s="32"/>
      <c r="AJ21" s="32"/>
      <c r="AK21" s="32"/>
      <c r="AL21" s="32"/>
      <c r="AM21" s="32"/>
      <c r="AN21" s="32">
        <v>858.40617084059363</v>
      </c>
      <c r="AO21" s="32"/>
      <c r="AP21" s="32"/>
      <c r="AQ21" s="32">
        <v>763.82109768105113</v>
      </c>
      <c r="AR21" s="32"/>
      <c r="AS21" s="32"/>
      <c r="AT21" s="32">
        <v>749.24474755212145</v>
      </c>
      <c r="AU21" s="32">
        <v>636.74381662183464</v>
      </c>
      <c r="AV21" s="32">
        <v>1835.8780551645734</v>
      </c>
      <c r="AW21" s="32">
        <v>942.78589703911462</v>
      </c>
      <c r="AX21" s="32">
        <v>2899.2394188419344</v>
      </c>
      <c r="AY21" s="32">
        <v>807.74175708151165</v>
      </c>
      <c r="AZ21" s="32">
        <v>1262.6388240631356</v>
      </c>
      <c r="BA21" s="32">
        <v>817.60472330090317</v>
      </c>
      <c r="BB21" s="32">
        <v>474.61240942145616</v>
      </c>
      <c r="BC21" s="32">
        <v>600.28871866783425</v>
      </c>
      <c r="BD21" s="32">
        <v>-18118.925462166495</v>
      </c>
      <c r="BE21" s="32">
        <v>309.49692617629063</v>
      </c>
      <c r="BF21" s="32">
        <v>629.51696057892218</v>
      </c>
      <c r="BG21" s="32">
        <v>1647.8280242135013</v>
      </c>
      <c r="BH21" s="32">
        <v>451.80856844266361</v>
      </c>
      <c r="BI21" s="32">
        <v>709.173028574211</v>
      </c>
      <c r="BJ21" s="32">
        <v>851.83723058637065</v>
      </c>
      <c r="BK21" s="32">
        <v>318.90580644826974</v>
      </c>
      <c r="BL21" s="32">
        <v>445.55149063888967</v>
      </c>
      <c r="BM21" s="32">
        <v>262.1474703398676</v>
      </c>
      <c r="BN21" s="32">
        <v>130.94557408234553</v>
      </c>
      <c r="BO21" s="32">
        <v>175.32466366780929</v>
      </c>
      <c r="BP21" s="32">
        <v>177.4302499983238</v>
      </c>
      <c r="BQ21" s="32">
        <v>186.13642305833773</v>
      </c>
      <c r="BR21" s="32">
        <v>181.73048231279645</v>
      </c>
      <c r="BS21" s="32">
        <v>251.09537022209196</v>
      </c>
      <c r="BT21" s="32">
        <v>159.51920069397934</v>
      </c>
      <c r="BU21" s="32">
        <v>195.09552555052403</v>
      </c>
      <c r="BV21" s="32">
        <v>161.53788040568654</v>
      </c>
      <c r="BW21" s="32">
        <v>111.70251169596082</v>
      </c>
      <c r="BX21" s="32">
        <v>132.09587668936695</v>
      </c>
      <c r="BY21" s="32">
        <v>114.08655204567161</v>
      </c>
      <c r="BZ21" s="32">
        <v>89.317261059952429</v>
      </c>
      <c r="CA21" s="32">
        <v>100.07376502025424</v>
      </c>
      <c r="CB21" s="32">
        <v>101.616719559437</v>
      </c>
      <c r="CC21" s="32">
        <v>70.210351817489951</v>
      </c>
      <c r="CD21" s="32">
        <v>83.411894532527668</v>
      </c>
      <c r="CE21" s="32">
        <v>115.05109955564723</v>
      </c>
      <c r="CF21" s="32">
        <v>76.151033572384506</v>
      </c>
      <c r="CG21" s="32">
        <v>91.20840213299229</v>
      </c>
      <c r="CH21" s="32">
        <v>83.49806457761693</v>
      </c>
      <c r="CI21" s="32">
        <v>66.198369971785681</v>
      </c>
      <c r="CJ21" s="32">
        <v>73.928570215293618</v>
      </c>
      <c r="CK21" s="32">
        <v>64.48783778319158</v>
      </c>
      <c r="CL21" s="32">
        <v>65.103110267326571</v>
      </c>
      <c r="CM21" s="32">
        <v>65.372476677868406</v>
      </c>
      <c r="CN21" s="32">
        <v>81.416609823073159</v>
      </c>
      <c r="CO21" s="32">
        <v>49.218123281820326</v>
      </c>
      <c r="CP21" s="32">
        <v>61.167886848901297</v>
      </c>
      <c r="CQ21" s="32">
        <v>62.150790581821639</v>
      </c>
      <c r="CR21" s="32">
        <v>57.123240516918223</v>
      </c>
      <c r="CS21" s="32">
        <v>59.47183038482693</v>
      </c>
      <c r="CT21" s="32">
        <v>56.5361675132161</v>
      </c>
      <c r="CU21" s="32">
        <v>83.254258377486252</v>
      </c>
      <c r="CV21" s="32">
        <v>67.267835776533161</v>
      </c>
      <c r="CW21" s="32">
        <v>59.029569790582663</v>
      </c>
      <c r="CX21" s="32">
        <v>67.086094667079792</v>
      </c>
      <c r="CY21" s="32">
        <v>62.745107428782291</v>
      </c>
      <c r="CZ21" s="32">
        <v>46.373392516053578</v>
      </c>
      <c r="DA21" s="32">
        <v>36.676066014014694</v>
      </c>
      <c r="DB21" s="32">
        <v>40.958571803254301</v>
      </c>
      <c r="DC21" s="32">
        <v>72.77714323850897</v>
      </c>
      <c r="DD21" s="32">
        <v>35.081484648453845</v>
      </c>
      <c r="DE21" s="1061">
        <v>47.350224904716008</v>
      </c>
      <c r="DF21" s="32">
        <v>22.215529512233111</v>
      </c>
      <c r="DG21" s="32">
        <v>22.254570628122426</v>
      </c>
      <c r="DH21" s="1061">
        <v>22.235038302771546</v>
      </c>
      <c r="DI21" s="32">
        <v>11.935195269381461</v>
      </c>
      <c r="DJ21" s="32">
        <v>21.297756774575323</v>
      </c>
      <c r="DK21" s="1061">
        <v>15.299296305539082</v>
      </c>
      <c r="DL21" s="32">
        <v>19.496948973812984</v>
      </c>
      <c r="DM21" s="32">
        <v>24.260317473154011</v>
      </c>
      <c r="DN21" s="1061">
        <v>21.674685597432276</v>
      </c>
      <c r="DO21" s="32">
        <v>29.953723837946381</v>
      </c>
      <c r="DP21" s="32">
        <v>18.133502653288051</v>
      </c>
      <c r="DQ21" s="1061">
        <v>22.58937611409447</v>
      </c>
      <c r="DR21" s="32">
        <v>27.549351297591958</v>
      </c>
      <c r="DS21" s="32">
        <v>17.386473303065411</v>
      </c>
      <c r="DT21" s="1061">
        <v>21.317050935536063</v>
      </c>
      <c r="DU21" s="32">
        <v>23.416115570066022</v>
      </c>
      <c r="DV21" s="32">
        <v>12.810848775123766</v>
      </c>
      <c r="DW21" s="1061">
        <v>16.560366016020225</v>
      </c>
      <c r="DX21" s="32">
        <v>22.580596591128863</v>
      </c>
      <c r="DY21" s="32">
        <v>12.585050585503874</v>
      </c>
      <c r="DZ21" s="1061">
        <v>16.172140731875629</v>
      </c>
      <c r="EA21" s="32">
        <v>14.873089916769821</v>
      </c>
      <c r="EB21" s="32">
        <v>13.438048791469479</v>
      </c>
      <c r="EC21" s="1061">
        <v>14.120569182085427</v>
      </c>
      <c r="ED21" s="32">
        <v>12.784456844238926</v>
      </c>
      <c r="EE21" s="32">
        <v>12.850667232305177</v>
      </c>
      <c r="EF21" s="1061">
        <v>12.817419169360463</v>
      </c>
      <c r="EG21" s="32">
        <v>11.568846686677624</v>
      </c>
      <c r="EH21" s="32">
        <v>11.949051188448509</v>
      </c>
      <c r="EI21" s="1061">
        <v>11.755907524575882</v>
      </c>
      <c r="EJ21" s="32">
        <v>10.370022282748442</v>
      </c>
      <c r="EK21" s="32">
        <v>11.183192525083863</v>
      </c>
      <c r="EL21" s="1061">
        <v>10.761335651635195</v>
      </c>
      <c r="EM21" s="32">
        <v>9.1203773149610239</v>
      </c>
      <c r="EN21" s="32">
        <v>10.382916143967815</v>
      </c>
      <c r="EO21" s="1061">
        <v>9.7108870810707124</v>
      </c>
      <c r="EP21" s="32">
        <v>8.3345054636978446</v>
      </c>
      <c r="EQ21" s="32">
        <v>9.6625541406734499</v>
      </c>
      <c r="ER21" s="1061">
        <v>8.9496403696301154</v>
      </c>
      <c r="ES21" s="32">
        <v>7.692394614466969</v>
      </c>
      <c r="ET21" s="32">
        <v>9.0852894258840582</v>
      </c>
      <c r="EU21" s="1061">
        <v>8.3311382421626661</v>
      </c>
      <c r="EV21" s="32">
        <v>7.1593362688929165</v>
      </c>
      <c r="EW21" s="32">
        <v>8.6458947285624763</v>
      </c>
      <c r="EX21" s="1061">
        <v>7.832829711511172</v>
      </c>
      <c r="EY21" s="32">
        <v>6.664866269616323</v>
      </c>
      <c r="EZ21" s="32">
        <v>8.228041817672155</v>
      </c>
      <c r="FA21" s="1061">
        <v>7.3645469577112461</v>
      </c>
      <c r="FD21"/>
      <c r="FE21"/>
      <c r="FF21"/>
      <c r="FG21"/>
      <c r="FH21"/>
      <c r="FI21"/>
    </row>
    <row r="22" spans="1:169" s="33" customFormat="1">
      <c r="B22" s="54" t="s">
        <v>170</v>
      </c>
      <c r="C22" s="54"/>
      <c r="D22" s="2" t="s">
        <v>365</v>
      </c>
      <c r="E22" s="32">
        <f t="shared" ref="E22:AJ22" si="59">+E341</f>
        <v>0</v>
      </c>
      <c r="F22" s="32">
        <f t="shared" si="59"/>
        <v>0</v>
      </c>
      <c r="G22" s="32">
        <f t="shared" si="59"/>
        <v>0</v>
      </c>
      <c r="H22" s="32">
        <f t="shared" si="59"/>
        <v>0</v>
      </c>
      <c r="I22" s="32">
        <f t="shared" si="59"/>
        <v>0</v>
      </c>
      <c r="J22" s="32">
        <f t="shared" si="59"/>
        <v>0</v>
      </c>
      <c r="K22" s="32">
        <f t="shared" si="59"/>
        <v>0</v>
      </c>
      <c r="L22" s="32">
        <f t="shared" si="59"/>
        <v>0</v>
      </c>
      <c r="M22" s="32">
        <f t="shared" si="59"/>
        <v>0</v>
      </c>
      <c r="N22" s="32">
        <f t="shared" si="59"/>
        <v>0</v>
      </c>
      <c r="O22" s="32">
        <f t="shared" si="59"/>
        <v>0</v>
      </c>
      <c r="P22" s="32">
        <f t="shared" si="59"/>
        <v>0</v>
      </c>
      <c r="Q22" s="32">
        <f t="shared" si="59"/>
        <v>0</v>
      </c>
      <c r="R22" s="32">
        <f t="shared" si="59"/>
        <v>0</v>
      </c>
      <c r="S22" s="32">
        <f t="shared" si="59"/>
        <v>0</v>
      </c>
      <c r="T22" s="32">
        <f t="shared" si="59"/>
        <v>0</v>
      </c>
      <c r="U22" s="32">
        <f t="shared" si="59"/>
        <v>0</v>
      </c>
      <c r="V22" s="32">
        <f t="shared" si="59"/>
        <v>0</v>
      </c>
      <c r="W22" s="32">
        <f t="shared" si="59"/>
        <v>0</v>
      </c>
      <c r="X22" s="32">
        <f t="shared" si="59"/>
        <v>0</v>
      </c>
      <c r="Y22" s="32">
        <f t="shared" si="59"/>
        <v>0</v>
      </c>
      <c r="Z22" s="32">
        <f t="shared" si="59"/>
        <v>0</v>
      </c>
      <c r="AA22" s="32">
        <f t="shared" si="59"/>
        <v>0</v>
      </c>
      <c r="AB22" s="32">
        <f t="shared" si="59"/>
        <v>0</v>
      </c>
      <c r="AC22" s="32">
        <f t="shared" si="59"/>
        <v>0</v>
      </c>
      <c r="AD22" s="32">
        <f t="shared" si="59"/>
        <v>0</v>
      </c>
      <c r="AE22" s="32">
        <f t="shared" si="59"/>
        <v>0</v>
      </c>
      <c r="AF22" s="32">
        <f t="shared" si="59"/>
        <v>0</v>
      </c>
      <c r="AG22" s="32">
        <f t="shared" si="59"/>
        <v>0</v>
      </c>
      <c r="AH22" s="32">
        <f t="shared" si="59"/>
        <v>0</v>
      </c>
      <c r="AI22" s="32">
        <f t="shared" si="59"/>
        <v>0</v>
      </c>
      <c r="AJ22" s="32">
        <f t="shared" si="59"/>
        <v>0</v>
      </c>
      <c r="AK22" s="32">
        <f t="shared" ref="AK22:BP22" si="60">+AK341</f>
        <v>0</v>
      </c>
      <c r="AL22" s="32">
        <f t="shared" si="60"/>
        <v>0</v>
      </c>
      <c r="AM22" s="32">
        <f t="shared" si="60"/>
        <v>0</v>
      </c>
      <c r="AN22" s="32">
        <f t="shared" si="60"/>
        <v>0</v>
      </c>
      <c r="AO22" s="32">
        <f t="shared" si="60"/>
        <v>5.5</v>
      </c>
      <c r="AP22" s="32">
        <f t="shared" si="60"/>
        <v>10</v>
      </c>
      <c r="AQ22" s="32">
        <f t="shared" si="60"/>
        <v>15.5</v>
      </c>
      <c r="AR22" s="32">
        <f t="shared" si="60"/>
        <v>6</v>
      </c>
      <c r="AS22" s="32">
        <f t="shared" si="60"/>
        <v>12</v>
      </c>
      <c r="AT22" s="32">
        <f t="shared" si="60"/>
        <v>18</v>
      </c>
      <c r="AU22" s="32">
        <f t="shared" si="60"/>
        <v>7</v>
      </c>
      <c r="AV22" s="32">
        <f t="shared" si="60"/>
        <v>14</v>
      </c>
      <c r="AW22" s="32">
        <f t="shared" si="60"/>
        <v>21</v>
      </c>
      <c r="AX22" s="32">
        <f t="shared" si="60"/>
        <v>8</v>
      </c>
      <c r="AY22" s="32">
        <f t="shared" si="60"/>
        <v>15</v>
      </c>
      <c r="AZ22" s="32">
        <f t="shared" si="60"/>
        <v>23</v>
      </c>
      <c r="BA22" s="32">
        <f t="shared" si="60"/>
        <v>9</v>
      </c>
      <c r="BB22" s="32">
        <f t="shared" si="60"/>
        <v>5.666666666666667</v>
      </c>
      <c r="BC22" s="32">
        <f t="shared" si="60"/>
        <v>14.666666666666668</v>
      </c>
      <c r="BD22" s="32">
        <f t="shared" si="60"/>
        <v>4</v>
      </c>
      <c r="BE22" s="32">
        <f t="shared" si="60"/>
        <v>7.333333333333333</v>
      </c>
      <c r="BF22" s="32">
        <f t="shared" si="60"/>
        <v>11.333333333333332</v>
      </c>
      <c r="BG22" s="32">
        <f t="shared" si="60"/>
        <v>4</v>
      </c>
      <c r="BH22" s="32">
        <f t="shared" si="60"/>
        <v>7.333333333333333</v>
      </c>
      <c r="BI22" s="32">
        <f t="shared" si="60"/>
        <v>11.333333333333332</v>
      </c>
      <c r="BJ22" s="32">
        <f t="shared" si="60"/>
        <v>12</v>
      </c>
      <c r="BK22" s="32">
        <f t="shared" si="60"/>
        <v>8.6666666666666661</v>
      </c>
      <c r="BL22" s="32">
        <f t="shared" si="60"/>
        <v>20.666666666666664</v>
      </c>
      <c r="BM22" s="32">
        <f t="shared" si="60"/>
        <v>5.666666666666667</v>
      </c>
      <c r="BN22" s="32">
        <f t="shared" si="60"/>
        <v>13.333333333333334</v>
      </c>
      <c r="BO22" s="32">
        <f t="shared" si="60"/>
        <v>19</v>
      </c>
      <c r="BP22" s="32">
        <f t="shared" si="60"/>
        <v>28</v>
      </c>
      <c r="BQ22" s="32">
        <f t="shared" ref="BQ22:CV22" si="61">+BQ341</f>
        <v>13.333333333333334</v>
      </c>
      <c r="BR22" s="32">
        <f t="shared" si="61"/>
        <v>41.333333333333336</v>
      </c>
      <c r="BS22" s="32">
        <f t="shared" si="61"/>
        <v>16.333333333333332</v>
      </c>
      <c r="BT22" s="32">
        <f t="shared" si="61"/>
        <v>18.333333333333332</v>
      </c>
      <c r="BU22" s="32">
        <f t="shared" si="61"/>
        <v>34.666666666666664</v>
      </c>
      <c r="BV22" s="32">
        <f t="shared" si="61"/>
        <v>23</v>
      </c>
      <c r="BW22" s="32">
        <f t="shared" si="61"/>
        <v>23</v>
      </c>
      <c r="BX22" s="32">
        <f t="shared" si="61"/>
        <v>46</v>
      </c>
      <c r="BY22" s="32">
        <f t="shared" si="61"/>
        <v>29.878664589776484</v>
      </c>
      <c r="BZ22" s="32">
        <f t="shared" si="61"/>
        <v>40</v>
      </c>
      <c r="CA22" s="32">
        <f t="shared" si="61"/>
        <v>69.878664589776491</v>
      </c>
      <c r="CB22" s="32">
        <f t="shared" si="61"/>
        <v>34.9811384904786</v>
      </c>
      <c r="CC22" s="32">
        <f t="shared" si="61"/>
        <v>45</v>
      </c>
      <c r="CD22" s="32">
        <f t="shared" si="61"/>
        <v>79.9811384904786</v>
      </c>
      <c r="CE22" s="32">
        <f t="shared" si="61"/>
        <v>34.999999999999993</v>
      </c>
      <c r="CF22" s="32">
        <f t="shared" si="61"/>
        <v>47.142606059045839</v>
      </c>
      <c r="CG22" s="32">
        <f t="shared" si="61"/>
        <v>82.142606059045832</v>
      </c>
      <c r="CH22" s="32">
        <f t="shared" si="61"/>
        <v>36</v>
      </c>
      <c r="CI22" s="32">
        <f t="shared" si="61"/>
        <v>48.405279617328553</v>
      </c>
      <c r="CJ22" s="32">
        <f t="shared" si="61"/>
        <v>84.405279617328546</v>
      </c>
      <c r="CK22" s="32">
        <f t="shared" si="61"/>
        <v>49.816557664699324</v>
      </c>
      <c r="CL22" s="32">
        <f t="shared" si="61"/>
        <v>52.202918221920612</v>
      </c>
      <c r="CM22" s="32">
        <f t="shared" si="61"/>
        <v>102.01947588661994</v>
      </c>
      <c r="CN22" s="32">
        <f t="shared" si="61"/>
        <v>53.04437988603037</v>
      </c>
      <c r="CO22" s="32">
        <f t="shared" si="61"/>
        <v>59.970106028841471</v>
      </c>
      <c r="CP22" s="32">
        <f t="shared" si="61"/>
        <v>113.01448591487184</v>
      </c>
      <c r="CQ22" s="32">
        <f t="shared" si="61"/>
        <v>58.000000000000007</v>
      </c>
      <c r="CR22" s="32">
        <f t="shared" si="61"/>
        <v>65.999999999999986</v>
      </c>
      <c r="CS22" s="32">
        <f t="shared" si="61"/>
        <v>124</v>
      </c>
      <c r="CT22" s="32">
        <f t="shared" si="61"/>
        <v>58</v>
      </c>
      <c r="CU22" s="32">
        <f t="shared" si="61"/>
        <v>68</v>
      </c>
      <c r="CV22" s="32">
        <f t="shared" si="61"/>
        <v>126</v>
      </c>
      <c r="CW22" s="32">
        <f t="shared" ref="CW22:DP22" si="62">+CW341</f>
        <v>78.279236340056116</v>
      </c>
      <c r="CX22" s="32">
        <f t="shared" si="62"/>
        <v>58.650912780043939</v>
      </c>
      <c r="CY22" s="32">
        <f t="shared" si="62"/>
        <v>136.93014912010005</v>
      </c>
      <c r="CZ22" s="32">
        <f t="shared" si="62"/>
        <v>79.217586953570603</v>
      </c>
      <c r="DA22" s="32">
        <f t="shared" si="62"/>
        <v>93.256146666861639</v>
      </c>
      <c r="DB22" s="32">
        <f t="shared" si="62"/>
        <v>172.47373362043226</v>
      </c>
      <c r="DC22" s="32">
        <f t="shared" si="62"/>
        <v>84.860542833114522</v>
      </c>
      <c r="DD22" s="32">
        <f t="shared" si="62"/>
        <v>100.13945716688559</v>
      </c>
      <c r="DE22" s="1061">
        <f t="shared" si="62"/>
        <v>185.00000000000011</v>
      </c>
      <c r="DF22" s="32">
        <f t="shared" si="62"/>
        <v>95</v>
      </c>
      <c r="DG22" s="32">
        <f t="shared" si="62"/>
        <v>107.07926149328205</v>
      </c>
      <c r="DH22" s="1061">
        <f t="shared" si="62"/>
        <v>202.07926149328205</v>
      </c>
      <c r="DI22" s="32">
        <f t="shared" si="62"/>
        <v>103.96749505793404</v>
      </c>
      <c r="DJ22" s="32">
        <f t="shared" si="62"/>
        <v>121.41963198055035</v>
      </c>
      <c r="DK22" s="1061">
        <f t="shared" si="62"/>
        <v>225.38712703848438</v>
      </c>
      <c r="DL22" s="32">
        <f t="shared" si="62"/>
        <v>104.61536046281159</v>
      </c>
      <c r="DM22" s="32">
        <f t="shared" si="62"/>
        <v>143.97439347334546</v>
      </c>
      <c r="DN22" s="1061">
        <f t="shared" si="62"/>
        <v>248.58975393615705</v>
      </c>
      <c r="DO22" s="32">
        <f t="shared" si="62"/>
        <v>106.96964353828592</v>
      </c>
      <c r="DP22" s="32">
        <f t="shared" si="62"/>
        <v>128.99237000746771</v>
      </c>
      <c r="DQ22" s="1061">
        <f t="shared" ref="DQ22:DZ22" si="63">+DQ341</f>
        <v>235.96201354575362</v>
      </c>
      <c r="DR22" s="1062">
        <f t="shared" si="63"/>
        <v>118.95185457762365</v>
      </c>
      <c r="DS22" s="1062">
        <f t="shared" si="63"/>
        <v>144.6089921834743</v>
      </c>
      <c r="DT22" s="1063">
        <f t="shared" si="63"/>
        <v>263.56084676109793</v>
      </c>
      <c r="DU22" s="32">
        <f>+DU341</f>
        <v>130</v>
      </c>
      <c r="DV22" s="1062">
        <f>+DV341</f>
        <v>162</v>
      </c>
      <c r="DW22" s="1063">
        <f>+DW341</f>
        <v>292</v>
      </c>
      <c r="DX22" s="32">
        <f t="shared" ref="DX22" si="64">+DX341</f>
        <v>140.68628399867342</v>
      </c>
      <c r="DY22" s="32">
        <f t="shared" si="63"/>
        <v>168.50452207110013</v>
      </c>
      <c r="DZ22" s="1061">
        <f t="shared" si="63"/>
        <v>309.19080606977354</v>
      </c>
      <c r="EA22" s="32">
        <f t="shared" ref="EA22:EF22" si="65">+EA341</f>
        <v>154.83407947709841</v>
      </c>
      <c r="EB22" s="32">
        <f t="shared" si="65"/>
        <v>158.97251308939349</v>
      </c>
      <c r="EC22" s="1061">
        <f t="shared" si="65"/>
        <v>313.80659256649187</v>
      </c>
      <c r="ED22" s="32">
        <f t="shared" si="65"/>
        <v>169.80739667019913</v>
      </c>
      <c r="EE22" s="32">
        <f t="shared" si="65"/>
        <v>174.12256738677664</v>
      </c>
      <c r="EF22" s="1061">
        <f t="shared" si="65"/>
        <v>343.92996405697579</v>
      </c>
      <c r="EG22" s="32">
        <f t="shared" ref="EG22:EL22" si="66">+EG341</f>
        <v>184.83793175080697</v>
      </c>
      <c r="EH22" s="32">
        <f t="shared" si="66"/>
        <v>193.9996369143627</v>
      </c>
      <c r="EI22" s="1061">
        <f t="shared" si="66"/>
        <v>378.83756866516967</v>
      </c>
      <c r="EJ22" s="32">
        <f t="shared" si="66"/>
        <v>201.1120586974688</v>
      </c>
      <c r="EK22" s="32">
        <f t="shared" si="66"/>
        <v>216.55825399784581</v>
      </c>
      <c r="EL22" s="1061">
        <f t="shared" si="66"/>
        <v>417.67031269531458</v>
      </c>
      <c r="EM22" s="32">
        <f t="shared" ref="EM22:ER22" si="67">+EM341</f>
        <v>220.25448215648885</v>
      </c>
      <c r="EN22" s="32">
        <f t="shared" si="67"/>
        <v>238.41542258897829</v>
      </c>
      <c r="EO22" s="1061">
        <f t="shared" si="67"/>
        <v>458.66990474546714</v>
      </c>
      <c r="EP22" s="32">
        <f t="shared" si="67"/>
        <v>238.54264689352121</v>
      </c>
      <c r="EQ22" s="32">
        <f t="shared" si="67"/>
        <v>263.10348036481099</v>
      </c>
      <c r="ER22" s="1061">
        <f t="shared" si="67"/>
        <v>501.64612725833217</v>
      </c>
      <c r="ES22" s="32">
        <f t="shared" ref="ES22:FA22" si="68">+ES341</f>
        <v>255.96452899138666</v>
      </c>
      <c r="ET22" s="32">
        <f t="shared" si="68"/>
        <v>285.878157541419</v>
      </c>
      <c r="EU22" s="1061">
        <f t="shared" si="68"/>
        <v>541.8426865328056</v>
      </c>
      <c r="EV22" s="32">
        <f t="shared" si="68"/>
        <v>271.8796060750575</v>
      </c>
      <c r="EW22" s="32">
        <f t="shared" si="68"/>
        <v>306.11075508420311</v>
      </c>
      <c r="EX22" s="1061">
        <f t="shared" si="68"/>
        <v>577.9903611592606</v>
      </c>
      <c r="EY22" s="32">
        <f t="shared" si="68"/>
        <v>288.78711664238199</v>
      </c>
      <c r="EZ22" s="32">
        <f t="shared" si="68"/>
        <v>327.6761270412303</v>
      </c>
      <c r="FA22" s="1061">
        <f t="shared" si="68"/>
        <v>616.46324368361229</v>
      </c>
      <c r="FD22"/>
      <c r="FE22"/>
      <c r="FF22"/>
      <c r="FG22"/>
      <c r="FH22"/>
      <c r="FI22"/>
    </row>
    <row r="23" spans="1:169" s="33" customFormat="1">
      <c r="B23" s="54" t="s">
        <v>575</v>
      </c>
      <c r="C23" s="54"/>
      <c r="D23" s="2" t="s">
        <v>507</v>
      </c>
      <c r="E23" s="51">
        <v>0</v>
      </c>
      <c r="F23" s="51">
        <v>0</v>
      </c>
      <c r="G23" s="51">
        <v>0</v>
      </c>
      <c r="H23" s="51">
        <v>0</v>
      </c>
      <c r="I23" s="51">
        <v>0</v>
      </c>
      <c r="J23" s="51">
        <v>0</v>
      </c>
      <c r="K23" s="51">
        <v>0</v>
      </c>
      <c r="L23" s="51">
        <v>0</v>
      </c>
      <c r="M23" s="51">
        <v>0</v>
      </c>
      <c r="N23" s="51">
        <v>0</v>
      </c>
      <c r="O23" s="51">
        <v>0</v>
      </c>
      <c r="P23" s="51">
        <v>0</v>
      </c>
      <c r="Q23" s="51">
        <v>0</v>
      </c>
      <c r="R23" s="51">
        <v>0</v>
      </c>
      <c r="S23" s="51">
        <v>0</v>
      </c>
      <c r="T23" s="51">
        <v>0</v>
      </c>
      <c r="U23" s="51">
        <v>0</v>
      </c>
      <c r="V23" s="51">
        <v>0</v>
      </c>
      <c r="W23" s="51">
        <v>0</v>
      </c>
      <c r="X23" s="51">
        <v>0</v>
      </c>
      <c r="Y23" s="51">
        <v>0</v>
      </c>
      <c r="Z23" s="51">
        <v>0</v>
      </c>
      <c r="AA23" s="51">
        <v>0</v>
      </c>
      <c r="AB23" s="51">
        <v>0</v>
      </c>
      <c r="AC23" s="51">
        <v>0</v>
      </c>
      <c r="AD23" s="51">
        <v>0</v>
      </c>
      <c r="AE23" s="51">
        <v>0</v>
      </c>
      <c r="AF23" s="51">
        <v>0</v>
      </c>
      <c r="AG23" s="51">
        <v>0</v>
      </c>
      <c r="AH23" s="51">
        <v>0</v>
      </c>
      <c r="AI23" s="51">
        <v>0</v>
      </c>
      <c r="AJ23" s="51">
        <v>0</v>
      </c>
      <c r="AK23" s="51">
        <v>0</v>
      </c>
      <c r="AL23" s="51">
        <v>0</v>
      </c>
      <c r="AM23" s="51">
        <v>0</v>
      </c>
      <c r="AN23" s="51">
        <v>0</v>
      </c>
      <c r="AO23" s="51">
        <v>3.2090553707917613E-4</v>
      </c>
      <c r="AP23" s="51">
        <v>5.8346461287122936E-4</v>
      </c>
      <c r="AQ23" s="51">
        <v>9.0437014995040554E-4</v>
      </c>
      <c r="AR23" s="51">
        <v>3.5007876772273763E-4</v>
      </c>
      <c r="AS23" s="51">
        <v>7.0015753544547526E-4</v>
      </c>
      <c r="AT23" s="51">
        <v>1.0502363031682129E-3</v>
      </c>
      <c r="AU23" s="51">
        <v>4.0842522900986057E-4</v>
      </c>
      <c r="AV23" s="51">
        <v>8.1685045801972115E-4</v>
      </c>
      <c r="AW23" s="51">
        <v>1.2252756870295817E-3</v>
      </c>
      <c r="AX23" s="51">
        <v>4.6677169029698347E-4</v>
      </c>
      <c r="AY23" s="51">
        <v>8.7519691930684404E-4</v>
      </c>
      <c r="AZ23" s="51">
        <v>1.3419686096038275E-3</v>
      </c>
      <c r="BA23" s="51">
        <v>5.2511815158410647E-4</v>
      </c>
      <c r="BB23" s="51">
        <v>3.3062994729369665E-4</v>
      </c>
      <c r="BC23" s="51">
        <v>8.5574809887780311E-4</v>
      </c>
      <c r="BD23" s="51">
        <v>2.3338584514849173E-4</v>
      </c>
      <c r="BE23" s="51">
        <v>4.278740494389015E-4</v>
      </c>
      <c r="BF23" s="51">
        <v>6.6125989458739318E-4</v>
      </c>
      <c r="BG23" s="51">
        <v>2.3338584514849173E-4</v>
      </c>
      <c r="BH23" s="51">
        <v>4.278740494389015E-4</v>
      </c>
      <c r="BI23" s="51">
        <v>6.6125989458739318E-4</v>
      </c>
      <c r="BJ23" s="51">
        <v>7.0015753544547526E-4</v>
      </c>
      <c r="BK23" s="51">
        <v>5.0566933115506543E-4</v>
      </c>
      <c r="BL23" s="51">
        <v>1.2058268666005406E-3</v>
      </c>
      <c r="BM23" s="51">
        <v>3.3062994729369665E-4</v>
      </c>
      <c r="BN23" s="51">
        <v>7.7795281716163919E-4</v>
      </c>
      <c r="BO23" s="51">
        <v>1.1085827644553357E-3</v>
      </c>
      <c r="BP23" s="51">
        <v>1.6337009160394423E-3</v>
      </c>
      <c r="BQ23" s="51">
        <v>7.7795281716163919E-4</v>
      </c>
      <c r="BR23" s="51">
        <v>2.4116537332010816E-3</v>
      </c>
      <c r="BS23" s="51">
        <v>9.5299220102300786E-4</v>
      </c>
      <c r="BT23" s="51">
        <v>1.0696851235972536E-3</v>
      </c>
      <c r="BU23" s="51">
        <v>2.0226773246202617E-3</v>
      </c>
      <c r="BV23" s="51">
        <v>1.3419686096038275E-3</v>
      </c>
      <c r="BW23" s="51">
        <v>1.3419686096038275E-3</v>
      </c>
      <c r="BX23" s="51">
        <v>2.683937219207655E-3</v>
      </c>
      <c r="BY23" s="51">
        <v>1.7433143467983246E-3</v>
      </c>
      <c r="BZ23" s="51">
        <v>2.3338584514849174E-3</v>
      </c>
      <c r="CA23" s="51">
        <v>4.077172798283242E-3</v>
      </c>
      <c r="CB23" s="51">
        <v>2.0410256427141958E-3</v>
      </c>
      <c r="CC23" s="51">
        <v>2.625590757920532E-3</v>
      </c>
      <c r="CD23" s="51">
        <v>4.6666164006347278E-3</v>
      </c>
      <c r="CE23" s="51">
        <v>2.0421261450493024E-3</v>
      </c>
      <c r="CF23" s="51">
        <v>2.7506042393982051E-3</v>
      </c>
      <c r="CG23" s="51">
        <v>4.7927303844475079E-3</v>
      </c>
      <c r="CH23" s="51">
        <v>2.1004726063364259E-3</v>
      </c>
      <c r="CI23" s="51">
        <v>2.8242767732848213E-3</v>
      </c>
      <c r="CJ23" s="51">
        <v>4.9247493796212467E-3</v>
      </c>
      <c r="CK23" s="51">
        <v>2.9066198532411067E-3</v>
      </c>
      <c r="CL23" s="51">
        <v>3.0458555471101355E-3</v>
      </c>
      <c r="CM23" s="51">
        <v>5.9524754003512422E-3</v>
      </c>
      <c r="CN23" s="51">
        <v>3.0949518575197135E-3</v>
      </c>
      <c r="CO23" s="51">
        <v>3.4990434697964568E-3</v>
      </c>
      <c r="CP23" s="51">
        <v>6.5939953273161699E-3</v>
      </c>
      <c r="CQ23" s="51">
        <v>3.3840947546531306E-3</v>
      </c>
      <c r="CR23" s="51">
        <v>3.8508664449501129E-3</v>
      </c>
      <c r="CS23" s="51">
        <v>7.2349611996032443E-3</v>
      </c>
      <c r="CT23" s="51">
        <v>3.3840947546531302E-3</v>
      </c>
      <c r="CU23" s="51">
        <v>3.9675593675243597E-3</v>
      </c>
      <c r="CV23" s="51">
        <v>7.3516541221774903E-3</v>
      </c>
      <c r="CW23" s="51">
        <v>4.5673164327006315E-3</v>
      </c>
      <c r="CX23" s="51">
        <v>3.4220732119752575E-3</v>
      </c>
      <c r="CY23" s="51">
        <v>7.9893896446758886E-3</v>
      </c>
      <c r="CZ23" s="51">
        <v>4.6220658704458021E-3</v>
      </c>
      <c r="DA23" s="51">
        <v>5.4411661512843009E-3</v>
      </c>
      <c r="DB23" s="51">
        <v>1.0063232021730104E-2</v>
      </c>
      <c r="DC23" s="51">
        <v>4.9513123772165542E-3</v>
      </c>
      <c r="DD23" s="51">
        <v>5.8427829609011958E-3</v>
      </c>
      <c r="DE23" s="1080">
        <v>1.0794095338117749E-2</v>
      </c>
      <c r="DF23" s="51">
        <v>5.542913822276679E-3</v>
      </c>
      <c r="DG23" s="51">
        <v>6.2476959853714946E-3</v>
      </c>
      <c r="DH23" s="1080">
        <v>1.1790609807648173E-2</v>
      </c>
      <c r="DI23" s="51">
        <v>6.0661354255168937E-3</v>
      </c>
      <c r="DJ23" s="51">
        <v>7.0844058568498951E-3</v>
      </c>
      <c r="DK23" s="1080">
        <v>1.3150541282366788E-2</v>
      </c>
      <c r="DL23" s="51">
        <v>6.1039360792818484E-3</v>
      </c>
      <c r="DM23" s="51">
        <v>8.4003963751295551E-3</v>
      </c>
      <c r="DN23" s="1080">
        <v>1.4504332454411404E-2</v>
      </c>
      <c r="DO23" s="51">
        <v>8.8073099070118399E-3</v>
      </c>
      <c r="DP23" s="51">
        <v>1.0620543742291617E-2</v>
      </c>
      <c r="DQ23" s="1080">
        <v>1.9427853649303457E-2</v>
      </c>
      <c r="DR23" s="51">
        <v>9.7938612547023157E-3</v>
      </c>
      <c r="DS23" s="51">
        <v>1.190633311818662E-2</v>
      </c>
      <c r="DT23" s="1080">
        <v>2.1700194372888934E-2</v>
      </c>
      <c r="DU23" s="51">
        <v>1.0703506621500011E-2</v>
      </c>
      <c r="DV23" s="51">
        <v>1.3338215943715398E-2</v>
      </c>
      <c r="DW23" s="1080">
        <v>2.4041722565215411E-2</v>
      </c>
      <c r="DX23" s="51">
        <v>1.1583358248723323E-2</v>
      </c>
      <c r="DY23" s="51">
        <v>1.38737635980055E-2</v>
      </c>
      <c r="DZ23" s="1080">
        <v>2.5457121846728822E-2</v>
      </c>
      <c r="EA23" s="51">
        <v>1.2748212268592168E-2</v>
      </c>
      <c r="EB23" s="51">
        <v>1.3088948819144772E-2</v>
      </c>
      <c r="EC23" s="1080">
        <v>2.5837161087736937E-2</v>
      </c>
      <c r="ED23" s="51">
        <v>1.3981035343378117E-2</v>
      </c>
      <c r="EE23" s="51">
        <v>1.4336323484438043E-2</v>
      </c>
      <c r="EF23" s="1080">
        <v>2.8317358827816164E-2</v>
      </c>
      <c r="EG23" s="51">
        <v>1.5218569433839459E-2</v>
      </c>
      <c r="EH23" s="51">
        <v>1.5972895371395995E-2</v>
      </c>
      <c r="EI23" s="1080">
        <v>3.119146480523545E-2</v>
      </c>
      <c r="EJ23" s="51">
        <v>1.6558494245629662E-2</v>
      </c>
      <c r="EK23" s="51">
        <v>1.7830251581587877E-2</v>
      </c>
      <c r="EL23" s="1080">
        <v>3.4388745827217536E-2</v>
      </c>
      <c r="EM23" s="51">
        <v>1.8134579293669496E-2</v>
      </c>
      <c r="EN23" s="51">
        <v>1.9629854264221942E-2</v>
      </c>
      <c r="EO23" s="1080">
        <v>3.7764433557891434E-2</v>
      </c>
      <c r="EP23" s="51">
        <v>1.964032923488418E-2</v>
      </c>
      <c r="EQ23" s="51">
        <v>2.166253726326502E-2</v>
      </c>
      <c r="ER23" s="1080">
        <v>4.1302866498149196E-2</v>
      </c>
      <c r="ES23" s="51">
        <v>2.1074754084064912E-2</v>
      </c>
      <c r="ET23" s="51">
        <v>2.3537682709129242E-2</v>
      </c>
      <c r="EU23" s="1080">
        <v>4.4612436793194148E-2</v>
      </c>
      <c r="EV23" s="51">
        <v>2.2385116645193787E-2</v>
      </c>
      <c r="EW23" s="51">
        <v>2.5203526876585662E-2</v>
      </c>
      <c r="EX23" s="1080">
        <v>4.7588643521779453E-2</v>
      </c>
      <c r="EY23" s="51">
        <v>2.3777190886043322E-2</v>
      </c>
      <c r="EZ23" s="51">
        <v>2.6979104580717596E-2</v>
      </c>
      <c r="FA23" s="1080">
        <v>5.0756295466760915E-2</v>
      </c>
      <c r="FD23"/>
      <c r="FE23"/>
      <c r="FF23"/>
      <c r="FG23"/>
      <c r="FH23"/>
      <c r="FI23"/>
    </row>
    <row r="24" spans="1:169" s="33" customFormat="1">
      <c r="B24" s="54" t="s">
        <v>576</v>
      </c>
      <c r="C24" s="54"/>
      <c r="D24" s="2" t="s">
        <v>507</v>
      </c>
      <c r="E24" s="1081">
        <f t="shared" ref="E24:AJ24" si="69">+E345</f>
        <v>0</v>
      </c>
      <c r="F24" s="1081">
        <f t="shared" si="69"/>
        <v>0</v>
      </c>
      <c r="G24" s="1081"/>
      <c r="H24" s="1081">
        <f t="shared" si="69"/>
        <v>0</v>
      </c>
      <c r="I24" s="1081">
        <f t="shared" si="69"/>
        <v>0</v>
      </c>
      <c r="J24" s="1081"/>
      <c r="K24" s="1081">
        <f t="shared" si="69"/>
        <v>0</v>
      </c>
      <c r="L24" s="1081">
        <f t="shared" si="69"/>
        <v>0</v>
      </c>
      <c r="M24" s="1081"/>
      <c r="N24" s="1081">
        <f t="shared" si="69"/>
        <v>0</v>
      </c>
      <c r="O24" s="1081">
        <f t="shared" si="69"/>
        <v>0</v>
      </c>
      <c r="P24" s="1081"/>
      <c r="Q24" s="1081">
        <f t="shared" si="69"/>
        <v>0</v>
      </c>
      <c r="R24" s="1081">
        <f t="shared" si="69"/>
        <v>0</v>
      </c>
      <c r="S24" s="1081"/>
      <c r="T24" s="1081">
        <f t="shared" si="69"/>
        <v>0</v>
      </c>
      <c r="U24" s="1081">
        <f t="shared" si="69"/>
        <v>0</v>
      </c>
      <c r="V24" s="1081"/>
      <c r="W24" s="1081">
        <f t="shared" si="69"/>
        <v>0</v>
      </c>
      <c r="X24" s="1081">
        <f t="shared" si="69"/>
        <v>0</v>
      </c>
      <c r="Y24" s="1081"/>
      <c r="Z24" s="1081">
        <f t="shared" si="69"/>
        <v>0</v>
      </c>
      <c r="AA24" s="1081">
        <f t="shared" si="69"/>
        <v>0</v>
      </c>
      <c r="AB24" s="1081"/>
      <c r="AC24" s="1081">
        <f t="shared" si="69"/>
        <v>0</v>
      </c>
      <c r="AD24" s="1081">
        <f t="shared" si="69"/>
        <v>0</v>
      </c>
      <c r="AE24" s="1081"/>
      <c r="AF24" s="1081">
        <f t="shared" si="69"/>
        <v>0</v>
      </c>
      <c r="AG24" s="1081">
        <f t="shared" si="69"/>
        <v>0</v>
      </c>
      <c r="AH24" s="1081"/>
      <c r="AI24" s="1081">
        <f t="shared" si="69"/>
        <v>0</v>
      </c>
      <c r="AJ24" s="1081">
        <f t="shared" si="69"/>
        <v>0</v>
      </c>
      <c r="AK24" s="1081"/>
      <c r="AL24" s="1081">
        <f t="shared" ref="AL24:BP24" si="70">+AL345</f>
        <v>0.39</v>
      </c>
      <c r="AM24" s="1081">
        <f t="shared" si="70"/>
        <v>0.39</v>
      </c>
      <c r="AN24" s="1081"/>
      <c r="AO24" s="1081">
        <f t="shared" si="70"/>
        <v>1</v>
      </c>
      <c r="AP24" s="1081">
        <f t="shared" si="70"/>
        <v>0.38</v>
      </c>
      <c r="AQ24" s="1081">
        <f t="shared" si="70"/>
        <v>0.6</v>
      </c>
      <c r="AR24" s="1081">
        <f t="shared" si="70"/>
        <v>1</v>
      </c>
      <c r="AS24" s="1081">
        <f t="shared" si="70"/>
        <v>1</v>
      </c>
      <c r="AT24" s="1081">
        <f t="shared" si="70"/>
        <v>1</v>
      </c>
      <c r="AU24" s="1081">
        <f t="shared" si="70"/>
        <v>1</v>
      </c>
      <c r="AV24" s="1081">
        <f t="shared" si="70"/>
        <v>1</v>
      </c>
      <c r="AW24" s="1081">
        <f t="shared" si="70"/>
        <v>1</v>
      </c>
      <c r="AX24" s="1081">
        <f t="shared" si="70"/>
        <v>1</v>
      </c>
      <c r="AY24" s="1081">
        <f t="shared" si="70"/>
        <v>1</v>
      </c>
      <c r="AZ24" s="1081">
        <f t="shared" si="70"/>
        <v>1</v>
      </c>
      <c r="BA24" s="1081">
        <f t="shared" si="70"/>
        <v>1</v>
      </c>
      <c r="BB24" s="1081">
        <f t="shared" si="70"/>
        <v>1</v>
      </c>
      <c r="BC24" s="1081">
        <f t="shared" si="70"/>
        <v>0.99999999999999989</v>
      </c>
      <c r="BD24" s="1081">
        <f t="shared" si="70"/>
        <v>0.36</v>
      </c>
      <c r="BE24" s="1081">
        <f t="shared" si="70"/>
        <v>0.36</v>
      </c>
      <c r="BF24" s="1081">
        <f t="shared" si="70"/>
        <v>0.36</v>
      </c>
      <c r="BG24" s="1081">
        <f t="shared" si="70"/>
        <v>0.36</v>
      </c>
      <c r="BH24" s="1081">
        <f t="shared" si="70"/>
        <v>0.36</v>
      </c>
      <c r="BI24" s="1081">
        <f t="shared" si="70"/>
        <v>0.36</v>
      </c>
      <c r="BJ24" s="1081">
        <f t="shared" si="70"/>
        <v>0.36</v>
      </c>
      <c r="BK24" s="1081">
        <f t="shared" si="70"/>
        <v>0.36</v>
      </c>
      <c r="BL24" s="1081">
        <f t="shared" si="70"/>
        <v>0.36</v>
      </c>
      <c r="BM24" s="1081">
        <f t="shared" si="70"/>
        <v>0.36</v>
      </c>
      <c r="BN24" s="1081">
        <f t="shared" si="70"/>
        <v>0.36</v>
      </c>
      <c r="BO24" s="1081">
        <f t="shared" si="70"/>
        <v>0.36</v>
      </c>
      <c r="BP24" s="1081">
        <f t="shared" si="70"/>
        <v>0.36</v>
      </c>
      <c r="BQ24" s="1081">
        <f t="shared" ref="BQ24:CV24" si="71">+BQ345</f>
        <v>0.36</v>
      </c>
      <c r="BR24" s="1081">
        <f t="shared" si="71"/>
        <v>0.36</v>
      </c>
      <c r="BS24" s="1081">
        <f t="shared" si="71"/>
        <v>0</v>
      </c>
      <c r="BT24" s="1081">
        <f t="shared" si="71"/>
        <v>0</v>
      </c>
      <c r="BU24" s="1081">
        <f t="shared" si="71"/>
        <v>0</v>
      </c>
      <c r="BV24" s="1081">
        <f t="shared" si="71"/>
        <v>0.5</v>
      </c>
      <c r="BW24" s="1081">
        <f t="shared" si="71"/>
        <v>0.5</v>
      </c>
      <c r="BX24" s="1081">
        <f t="shared" si="71"/>
        <v>0.5</v>
      </c>
      <c r="BY24" s="1081">
        <f t="shared" si="71"/>
        <v>0</v>
      </c>
      <c r="BZ24" s="1081">
        <f t="shared" si="71"/>
        <v>0</v>
      </c>
      <c r="CA24" s="1081">
        <f t="shared" si="71"/>
        <v>0</v>
      </c>
      <c r="CB24" s="1081">
        <f t="shared" si="71"/>
        <v>0</v>
      </c>
      <c r="CC24" s="1081">
        <f t="shared" si="71"/>
        <v>0.11</v>
      </c>
      <c r="CD24" s="1081">
        <f t="shared" si="71"/>
        <v>6.1889591639024681E-2</v>
      </c>
      <c r="CE24" s="1081">
        <f t="shared" si="71"/>
        <v>0</v>
      </c>
      <c r="CF24" s="1081">
        <f t="shared" si="71"/>
        <v>0</v>
      </c>
      <c r="CG24" s="1081">
        <f t="shared" si="71"/>
        <v>0</v>
      </c>
      <c r="CH24" s="1081">
        <f t="shared" si="71"/>
        <v>0</v>
      </c>
      <c r="CI24" s="1081">
        <f t="shared" si="71"/>
        <v>0</v>
      </c>
      <c r="CJ24" s="1081">
        <f t="shared" si="71"/>
        <v>0</v>
      </c>
      <c r="CK24" s="1081">
        <f t="shared" si="71"/>
        <v>0</v>
      </c>
      <c r="CL24" s="1081">
        <f t="shared" si="71"/>
        <v>0</v>
      </c>
      <c r="CM24" s="1081">
        <f t="shared" si="71"/>
        <v>0</v>
      </c>
      <c r="CN24" s="1081">
        <f t="shared" si="71"/>
        <v>0</v>
      </c>
      <c r="CO24" s="1081">
        <f t="shared" si="71"/>
        <v>0</v>
      </c>
      <c r="CP24" s="1081">
        <f t="shared" si="71"/>
        <v>0</v>
      </c>
      <c r="CQ24" s="1081">
        <f t="shared" si="71"/>
        <v>0</v>
      </c>
      <c r="CR24" s="1081">
        <f t="shared" si="71"/>
        <v>0</v>
      </c>
      <c r="CS24" s="1081">
        <f t="shared" si="71"/>
        <v>0</v>
      </c>
      <c r="CT24" s="1081">
        <f t="shared" si="71"/>
        <v>0</v>
      </c>
      <c r="CU24" s="1081">
        <f t="shared" si="71"/>
        <v>0</v>
      </c>
      <c r="CV24" s="1081">
        <f t="shared" si="71"/>
        <v>0</v>
      </c>
      <c r="CW24" s="1081">
        <f t="shared" ref="CW24:DQ24" si="72">+CW345</f>
        <v>0</v>
      </c>
      <c r="CX24" s="1081">
        <f t="shared" si="72"/>
        <v>0</v>
      </c>
      <c r="CY24" s="1081">
        <f t="shared" si="72"/>
        <v>0</v>
      </c>
      <c r="CZ24" s="1081">
        <f t="shared" si="72"/>
        <v>0</v>
      </c>
      <c r="DA24" s="1081">
        <f t="shared" si="72"/>
        <v>0</v>
      </c>
      <c r="DB24" s="1081">
        <f t="shared" si="72"/>
        <v>0</v>
      </c>
      <c r="DC24" s="1081">
        <f t="shared" si="72"/>
        <v>0</v>
      </c>
      <c r="DD24" s="1081">
        <f t="shared" si="72"/>
        <v>0</v>
      </c>
      <c r="DE24" s="1082">
        <f t="shared" si="72"/>
        <v>0</v>
      </c>
      <c r="DF24" s="1081">
        <f t="shared" si="72"/>
        <v>0</v>
      </c>
      <c r="DG24" s="1081">
        <f t="shared" si="72"/>
        <v>0</v>
      </c>
      <c r="DH24" s="1082">
        <f t="shared" si="72"/>
        <v>0</v>
      </c>
      <c r="DI24" s="1081">
        <f t="shared" si="72"/>
        <v>0</v>
      </c>
      <c r="DJ24" s="1081">
        <f t="shared" si="72"/>
        <v>0</v>
      </c>
      <c r="DK24" s="1082">
        <f t="shared" si="72"/>
        <v>0</v>
      </c>
      <c r="DL24" s="1081">
        <f t="shared" si="72"/>
        <v>0</v>
      </c>
      <c r="DM24" s="1081">
        <f t="shared" si="72"/>
        <v>0</v>
      </c>
      <c r="DN24" s="1082">
        <f t="shared" si="72"/>
        <v>0</v>
      </c>
      <c r="DO24" s="1081">
        <f t="shared" si="72"/>
        <v>0</v>
      </c>
      <c r="DP24" s="1081">
        <f t="shared" si="72"/>
        <v>0</v>
      </c>
      <c r="DQ24" s="1082">
        <f t="shared" si="72"/>
        <v>0</v>
      </c>
      <c r="DR24" s="1081">
        <f t="shared" ref="DR24:DZ24" si="73">+DR345</f>
        <v>0</v>
      </c>
      <c r="DS24" s="1081">
        <f t="shared" si="73"/>
        <v>0</v>
      </c>
      <c r="DT24" s="1082">
        <f t="shared" si="73"/>
        <v>0</v>
      </c>
      <c r="DU24" s="1081">
        <f>+DU345</f>
        <v>0</v>
      </c>
      <c r="DV24" s="1081">
        <f>+DV345</f>
        <v>0</v>
      </c>
      <c r="DW24" s="1082">
        <f>+DW345</f>
        <v>0</v>
      </c>
      <c r="DX24" s="1081">
        <f t="shared" ref="DX24" si="74">+DX345</f>
        <v>0</v>
      </c>
      <c r="DY24" s="1081">
        <f t="shared" si="73"/>
        <v>0</v>
      </c>
      <c r="DZ24" s="1082">
        <f t="shared" si="73"/>
        <v>0</v>
      </c>
      <c r="EA24" s="1081">
        <f t="shared" ref="EA24:EF24" si="75">+EA345</f>
        <v>0</v>
      </c>
      <c r="EB24" s="1081">
        <f t="shared" si="75"/>
        <v>0</v>
      </c>
      <c r="EC24" s="1082">
        <f t="shared" si="75"/>
        <v>0</v>
      </c>
      <c r="ED24" s="1081">
        <f t="shared" si="75"/>
        <v>0</v>
      </c>
      <c r="EE24" s="1081">
        <f t="shared" si="75"/>
        <v>0</v>
      </c>
      <c r="EF24" s="1082">
        <f t="shared" si="75"/>
        <v>0</v>
      </c>
      <c r="EG24" s="1081">
        <f t="shared" ref="EG24:EL24" si="76">+EG345</f>
        <v>0</v>
      </c>
      <c r="EH24" s="1081">
        <f t="shared" si="76"/>
        <v>0</v>
      </c>
      <c r="EI24" s="1082">
        <f t="shared" si="76"/>
        <v>0</v>
      </c>
      <c r="EJ24" s="1081">
        <f t="shared" si="76"/>
        <v>0</v>
      </c>
      <c r="EK24" s="1081">
        <f t="shared" si="76"/>
        <v>0</v>
      </c>
      <c r="EL24" s="1082">
        <f t="shared" si="76"/>
        <v>0</v>
      </c>
      <c r="EM24" s="1081">
        <f t="shared" ref="EM24:ER24" si="77">+EM345</f>
        <v>0</v>
      </c>
      <c r="EN24" s="1081">
        <f t="shared" si="77"/>
        <v>0</v>
      </c>
      <c r="EO24" s="1082">
        <f t="shared" si="77"/>
        <v>0</v>
      </c>
      <c r="EP24" s="1081">
        <f t="shared" si="77"/>
        <v>0</v>
      </c>
      <c r="EQ24" s="1081">
        <f t="shared" si="77"/>
        <v>0</v>
      </c>
      <c r="ER24" s="1082">
        <f t="shared" si="77"/>
        <v>0</v>
      </c>
      <c r="ES24" s="1081">
        <f t="shared" ref="ES24:FA24" si="78">+ES345</f>
        <v>0</v>
      </c>
      <c r="ET24" s="1081">
        <f t="shared" si="78"/>
        <v>0</v>
      </c>
      <c r="EU24" s="1082">
        <f t="shared" si="78"/>
        <v>0</v>
      </c>
      <c r="EV24" s="1081">
        <f t="shared" si="78"/>
        <v>0</v>
      </c>
      <c r="EW24" s="1081">
        <f t="shared" si="78"/>
        <v>0</v>
      </c>
      <c r="EX24" s="1082">
        <f t="shared" si="78"/>
        <v>0</v>
      </c>
      <c r="EY24" s="1081">
        <f t="shared" si="78"/>
        <v>0</v>
      </c>
      <c r="EZ24" s="1081">
        <f t="shared" si="78"/>
        <v>0</v>
      </c>
      <c r="FA24" s="1082">
        <f t="shared" si="78"/>
        <v>0</v>
      </c>
      <c r="FD24"/>
      <c r="FE24"/>
      <c r="FF24"/>
      <c r="FG24"/>
      <c r="FH24"/>
      <c r="FI24"/>
    </row>
    <row r="25" spans="1:169" s="33" customFormat="1">
      <c r="B25" s="54" t="s">
        <v>577</v>
      </c>
      <c r="C25" s="54"/>
      <c r="D25" s="2" t="s">
        <v>504</v>
      </c>
      <c r="E25" s="1083"/>
      <c r="F25" s="1083"/>
      <c r="G25" s="1083"/>
      <c r="H25" s="1083"/>
      <c r="I25" s="1083"/>
      <c r="J25" s="1083"/>
      <c r="K25" s="1083"/>
      <c r="L25" s="1083"/>
      <c r="M25" s="1083"/>
      <c r="N25" s="1083"/>
      <c r="O25" s="1083"/>
      <c r="P25" s="1083"/>
      <c r="Q25" s="1083"/>
      <c r="R25" s="1083"/>
      <c r="S25" s="1083"/>
      <c r="T25" s="1083"/>
      <c r="U25" s="1083"/>
      <c r="V25" s="1083"/>
      <c r="W25" s="1083"/>
      <c r="X25" s="1083"/>
      <c r="Y25" s="1083"/>
      <c r="Z25" s="1083"/>
      <c r="AA25" s="1083"/>
      <c r="AB25" s="1083"/>
      <c r="AC25" s="1083"/>
      <c r="AD25" s="1083"/>
      <c r="AE25" s="1083"/>
      <c r="AF25" s="1083"/>
      <c r="AG25" s="1083"/>
      <c r="AH25" s="1083"/>
      <c r="AI25" s="1083"/>
      <c r="AJ25" s="1083"/>
      <c r="AK25" s="1083"/>
      <c r="AL25" s="1083"/>
      <c r="AM25" s="1083"/>
      <c r="AN25" s="1083"/>
      <c r="AO25" s="1083"/>
      <c r="AP25" s="1083"/>
      <c r="AQ25" s="1083"/>
      <c r="AR25" s="1083"/>
      <c r="AS25" s="1083"/>
      <c r="AT25" s="1083">
        <f t="shared" ref="AT25:BP25" si="79">+((AT315-AT250+AT399)/(AT378+AT390))*AT392</f>
        <v>0</v>
      </c>
      <c r="AU25" s="1083">
        <f t="shared" si="79"/>
        <v>1.6852543985139801E-2</v>
      </c>
      <c r="AV25" s="1083">
        <f t="shared" si="79"/>
        <v>4.9129649365471685E-3</v>
      </c>
      <c r="AW25" s="1083">
        <f t="shared" si="79"/>
        <v>4.9129649365471685E-3</v>
      </c>
      <c r="AX25" s="1083">
        <f t="shared" si="79"/>
        <v>8.7254608511363116E-3</v>
      </c>
      <c r="AY25" s="1083">
        <f t="shared" si="79"/>
        <v>7.7144449092668441E-3</v>
      </c>
      <c r="AZ25" s="1083">
        <f t="shared" si="79"/>
        <v>7.7144449092668441E-3</v>
      </c>
      <c r="BA25" s="1083">
        <f t="shared" si="79"/>
        <v>7.6854745851006479E-3</v>
      </c>
      <c r="BB25" s="1083">
        <f t="shared" si="79"/>
        <v>7.675871181712323E-3</v>
      </c>
      <c r="BC25" s="1083">
        <f t="shared" si="79"/>
        <v>7.675871181712323E-3</v>
      </c>
      <c r="BD25" s="1083">
        <f t="shared" si="79"/>
        <v>7.28071666102568E-3</v>
      </c>
      <c r="BE25" s="1083">
        <f t="shared" si="79"/>
        <v>7.28071666102568E-3</v>
      </c>
      <c r="BF25" s="1083">
        <f t="shared" si="79"/>
        <v>7.28071666102568E-3</v>
      </c>
      <c r="BG25" s="1083">
        <f t="shared" si="79"/>
        <v>7.28071666102568E-3</v>
      </c>
      <c r="BH25" s="1083">
        <f t="shared" si="79"/>
        <v>7.211771830864239E-3</v>
      </c>
      <c r="BI25" s="1083">
        <f t="shared" si="79"/>
        <v>7.211771830864239E-3</v>
      </c>
      <c r="BJ25" s="1083">
        <f t="shared" si="79"/>
        <v>6.1457563106048314E-3</v>
      </c>
      <c r="BK25" s="1083">
        <f t="shared" si="79"/>
        <v>5.9229567862676153E-3</v>
      </c>
      <c r="BL25" s="1083">
        <f t="shared" si="79"/>
        <v>5.9229567862676153E-3</v>
      </c>
      <c r="BM25" s="1083">
        <f t="shared" si="79"/>
        <v>5.8793165305886354E-3</v>
      </c>
      <c r="BN25" s="1083">
        <f t="shared" si="79"/>
        <v>0</v>
      </c>
      <c r="BO25" s="1083">
        <f t="shared" si="79"/>
        <v>0</v>
      </c>
      <c r="BP25" s="1083">
        <f t="shared" si="79"/>
        <v>0</v>
      </c>
      <c r="BQ25" s="1083">
        <f t="shared" ref="BQ25:CV25" si="80">+((BQ315-BQ250+BQ399)/(BQ378+BQ390))*BQ392</f>
        <v>0</v>
      </c>
      <c r="BR25" s="1083">
        <f t="shared" si="80"/>
        <v>0</v>
      </c>
      <c r="BS25" s="1083">
        <f t="shared" si="80"/>
        <v>0</v>
      </c>
      <c r="BT25" s="1083">
        <f t="shared" si="80"/>
        <v>0</v>
      </c>
      <c r="BU25" s="1083">
        <f t="shared" si="80"/>
        <v>0</v>
      </c>
      <c r="BV25" s="1083">
        <f t="shared" si="80"/>
        <v>0</v>
      </c>
      <c r="BW25" s="1083">
        <f t="shared" si="80"/>
        <v>3.3111368682180999</v>
      </c>
      <c r="BX25" s="1083">
        <f t="shared" si="80"/>
        <v>3.2967856707526288</v>
      </c>
      <c r="BY25" s="1083">
        <f t="shared" si="80"/>
        <v>0</v>
      </c>
      <c r="BZ25" s="1083">
        <f t="shared" si="80"/>
        <v>6.0253257531304305</v>
      </c>
      <c r="CA25" s="1083">
        <f t="shared" si="80"/>
        <v>6.0253257531304305</v>
      </c>
      <c r="CB25" s="1083">
        <f t="shared" si="80"/>
        <v>0</v>
      </c>
      <c r="CC25" s="1083">
        <f t="shared" si="80"/>
        <v>5.0337855954511221</v>
      </c>
      <c r="CD25" s="1083">
        <f t="shared" si="80"/>
        <v>5.033785595451123</v>
      </c>
      <c r="CE25" s="1083">
        <f t="shared" si="80"/>
        <v>0</v>
      </c>
      <c r="CF25" s="1083">
        <f t="shared" si="80"/>
        <v>5.575229029779206</v>
      </c>
      <c r="CG25" s="1083">
        <f t="shared" si="80"/>
        <v>5.575229029779206</v>
      </c>
      <c r="CH25" s="1083">
        <f t="shared" si="80"/>
        <v>4.8114386637830595</v>
      </c>
      <c r="CI25" s="1083">
        <f t="shared" si="80"/>
        <v>5.0383296455271331</v>
      </c>
      <c r="CJ25" s="1083">
        <f t="shared" si="80"/>
        <v>5.0369049329848803</v>
      </c>
      <c r="CK25" s="1083">
        <f t="shared" si="80"/>
        <v>4.29968455554447</v>
      </c>
      <c r="CL25" s="1083">
        <f t="shared" si="80"/>
        <v>4.415479523211987</v>
      </c>
      <c r="CM25" s="1083">
        <f t="shared" si="80"/>
        <v>4.4154795232119879</v>
      </c>
      <c r="CN25" s="1083">
        <f t="shared" si="80"/>
        <v>4.9105636889094004</v>
      </c>
      <c r="CO25" s="1083">
        <f t="shared" si="80"/>
        <v>4.5800547172847503</v>
      </c>
      <c r="CP25" s="1083">
        <f t="shared" si="80"/>
        <v>4.5800547172847503</v>
      </c>
      <c r="CQ25" s="1083">
        <f t="shared" si="80"/>
        <v>4.499409951287868</v>
      </c>
      <c r="CR25" s="1083">
        <f t="shared" si="80"/>
        <v>3.8807835124616981</v>
      </c>
      <c r="CS25" s="1083">
        <f t="shared" si="80"/>
        <v>3.8807835124616981</v>
      </c>
      <c r="CT25" s="1083">
        <f t="shared" si="80"/>
        <v>4.1330771663755357</v>
      </c>
      <c r="CU25" s="1083">
        <f t="shared" si="80"/>
        <v>3.5526327666255999</v>
      </c>
      <c r="CV25" s="1083">
        <f t="shared" si="80"/>
        <v>3.5388734067304628</v>
      </c>
      <c r="CW25" s="1083">
        <f t="shared" ref="CW25:DQ25" si="81">+((CW315-CW250+CW399)/(CW378+CW390))*CW392</f>
        <v>4.2594572589856172</v>
      </c>
      <c r="CX25" s="1083">
        <f t="shared" si="81"/>
        <v>4.6293855141723492</v>
      </c>
      <c r="CY25" s="1083">
        <f t="shared" si="81"/>
        <v>4.6293855141723492</v>
      </c>
      <c r="CZ25" s="1083">
        <f t="shared" si="81"/>
        <v>4.7236730153247031</v>
      </c>
      <c r="DA25" s="1083">
        <f t="shared" si="81"/>
        <v>5.0097291505239649</v>
      </c>
      <c r="DB25" s="1083">
        <f t="shared" si="81"/>
        <v>5.0097291505239649</v>
      </c>
      <c r="DC25" s="1083">
        <f t="shared" si="81"/>
        <v>6.6422570960312655</v>
      </c>
      <c r="DD25" s="1083">
        <f t="shared" si="81"/>
        <v>7.4221738402206121</v>
      </c>
      <c r="DE25" s="1084">
        <f t="shared" si="81"/>
        <v>7.4221738402206121</v>
      </c>
      <c r="DF25" s="1083">
        <f t="shared" si="81"/>
        <v>9.2088651011514742</v>
      </c>
      <c r="DG25" s="1083">
        <f t="shared" si="81"/>
        <v>9.6247278173901432</v>
      </c>
      <c r="DH25" s="1084">
        <f t="shared" si="81"/>
        <v>9.6247278173901432</v>
      </c>
      <c r="DI25" s="1083">
        <f t="shared" si="81"/>
        <v>13.146531171136875</v>
      </c>
      <c r="DJ25" s="1083">
        <f t="shared" si="81"/>
        <v>12.513355893010072</v>
      </c>
      <c r="DK25" s="1084">
        <f t="shared" si="81"/>
        <v>12.513355893010072</v>
      </c>
      <c r="DL25" s="1083">
        <f t="shared" si="81"/>
        <v>23.650599318858827</v>
      </c>
      <c r="DM25" s="1083">
        <f t="shared" si="81"/>
        <v>24.715744459787352</v>
      </c>
      <c r="DN25" s="1084">
        <f t="shared" si="81"/>
        <v>24.715744459787352</v>
      </c>
      <c r="DO25" s="1083">
        <f t="shared" si="81"/>
        <v>-1.2017221944540499</v>
      </c>
      <c r="DP25" s="1083">
        <f t="shared" si="81"/>
        <v>-1.3634037877955956</v>
      </c>
      <c r="DQ25" s="1084">
        <f t="shared" si="81"/>
        <v>-1.3634037877955956</v>
      </c>
      <c r="DR25" s="1083">
        <f t="shared" ref="DR25:DZ25" si="82">+((DR315-DR250+DR399)/(DR378+DR390))*DR392</f>
        <v>1.4632571321847283</v>
      </c>
      <c r="DS25" s="1083">
        <f t="shared" si="82"/>
        <v>2.095001477882434</v>
      </c>
      <c r="DT25" s="1084">
        <f t="shared" si="82"/>
        <v>2.095001477882434</v>
      </c>
      <c r="DU25" s="1083">
        <f>+((DU315-DU250+DU399)/(DU378+DU390))*DU392</f>
        <v>4.688858008183991</v>
      </c>
      <c r="DV25" s="1083">
        <f>+((DV315-DV250+DV399)/(DV378+DV390))*DV392</f>
        <v>6.475895235672362</v>
      </c>
      <c r="DW25" s="1084">
        <f>+((DW315-DW250+DW399)/(DW378+DW390))*DW392</f>
        <v>6.4762656623550745</v>
      </c>
      <c r="DX25" s="1083">
        <f t="shared" ref="DX25" si="83">+((DX315-DX250+DX399)/(DX378+DX390))*DX392</f>
        <v>7.3406995621908626</v>
      </c>
      <c r="DY25" s="1083">
        <f t="shared" si="82"/>
        <v>7.8215372027997772</v>
      </c>
      <c r="DZ25" s="1084">
        <f t="shared" si="82"/>
        <v>7.8215372027997772</v>
      </c>
      <c r="EA25" s="1083">
        <f t="shared" ref="EA25:EF25" si="84">+((EA315-EA250+EA399)/(EA378+EA390))*EA392</f>
        <v>9.2959551908970024</v>
      </c>
      <c r="EB25" s="1083">
        <f t="shared" si="84"/>
        <v>9.6564255049550223</v>
      </c>
      <c r="EC25" s="1084">
        <f t="shared" si="84"/>
        <v>9.6564255049550223</v>
      </c>
      <c r="ED25" s="1083">
        <f t="shared" si="84"/>
        <v>11.632540439069295</v>
      </c>
      <c r="EE25" s="1083">
        <f t="shared" si="84"/>
        <v>12.126581623880934</v>
      </c>
      <c r="EF25" s="1084">
        <f t="shared" si="84"/>
        <v>12.126581623880934</v>
      </c>
      <c r="EG25" s="1083">
        <f t="shared" ref="EG25:EL25" si="85">+((EG315-EG250+EG399)/(EG378+EG390))*EG392</f>
        <v>15.116938161043111</v>
      </c>
      <c r="EH25" s="1083">
        <f t="shared" si="85"/>
        <v>16.593339193697766</v>
      </c>
      <c r="EI25" s="1084">
        <f t="shared" si="85"/>
        <v>16.593339193697766</v>
      </c>
      <c r="EJ25" s="1083">
        <f t="shared" si="85"/>
        <v>19.826352874025396</v>
      </c>
      <c r="EK25" s="1083">
        <f t="shared" si="85"/>
        <v>21.573900539286782</v>
      </c>
      <c r="EL25" s="1084">
        <f t="shared" si="85"/>
        <v>21.573900539286782</v>
      </c>
      <c r="EM25" s="1083">
        <f t="shared" ref="EM25:ER25" si="86">+((EM315-EM250+EM399)/(EM378+EM390))*EM392</f>
        <v>25.110617484395174</v>
      </c>
      <c r="EN25" s="1083">
        <f t="shared" si="86"/>
        <v>27.086074584225241</v>
      </c>
      <c r="EO25" s="1084">
        <f t="shared" si="86"/>
        <v>27.086074584225241</v>
      </c>
      <c r="EP25" s="1083">
        <f t="shared" si="86"/>
        <v>30.908395250475309</v>
      </c>
      <c r="EQ25" s="1083">
        <f t="shared" si="86"/>
        <v>33.176197019971383</v>
      </c>
      <c r="ER25" s="1084">
        <f t="shared" si="86"/>
        <v>33.176197019971383</v>
      </c>
      <c r="ES25" s="1083">
        <f t="shared" ref="ES25:FA25" si="87">+((ES315-ES250+ES399)/(ES378+ES390))*ES392</f>
        <v>37.23051133094561</v>
      </c>
      <c r="ET25" s="1083">
        <f t="shared" si="87"/>
        <v>39.760341363898945</v>
      </c>
      <c r="EU25" s="1084">
        <f t="shared" si="87"/>
        <v>39.760341363898945</v>
      </c>
      <c r="EV25" s="1083">
        <f t="shared" si="87"/>
        <v>44.021967994131792</v>
      </c>
      <c r="EW25" s="1083">
        <f t="shared" si="87"/>
        <v>46.777317811696626</v>
      </c>
      <c r="EX25" s="1084">
        <f t="shared" si="87"/>
        <v>46.777317811696626</v>
      </c>
      <c r="EY25" s="1083">
        <f t="shared" si="87"/>
        <v>51.299222279518034</v>
      </c>
      <c r="EZ25" s="1083">
        <f t="shared" si="87"/>
        <v>54.296164251113858</v>
      </c>
      <c r="FA25" s="1084">
        <f t="shared" si="87"/>
        <v>54.296164251113858</v>
      </c>
      <c r="FD25"/>
      <c r="FE25"/>
      <c r="FF25"/>
      <c r="FG25"/>
      <c r="FH25"/>
      <c r="FI25"/>
    </row>
    <row r="26" spans="1:169" s="33" customFormat="1">
      <c r="B26" s="54" t="s">
        <v>251</v>
      </c>
      <c r="C26" s="54"/>
      <c r="D26" s="2" t="s">
        <v>367</v>
      </c>
      <c r="E26" s="32"/>
      <c r="F26" s="32"/>
      <c r="G26" s="1064">
        <v>1</v>
      </c>
      <c r="H26" s="32"/>
      <c r="I26" s="32"/>
      <c r="J26" s="32"/>
      <c r="K26" s="32"/>
      <c r="L26" s="32"/>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v>10169.977906666667</v>
      </c>
      <c r="AV26" s="32">
        <v>34885.247953846148</v>
      </c>
      <c r="AW26" s="32">
        <v>34885.247953846148</v>
      </c>
      <c r="AX26" s="32">
        <v>19642.515498499997</v>
      </c>
      <c r="AY26" s="32">
        <v>22216.763748499998</v>
      </c>
      <c r="AZ26" s="32">
        <v>22216.763748499998</v>
      </c>
      <c r="BA26" s="32">
        <v>22300.509630500001</v>
      </c>
      <c r="BB26" s="32">
        <v>22328.4101495</v>
      </c>
      <c r="BC26" s="32">
        <v>22328.4101495</v>
      </c>
      <c r="BD26" s="32">
        <v>23540.265056249998</v>
      </c>
      <c r="BE26" s="32">
        <v>23540.265056249998</v>
      </c>
      <c r="BF26" s="32">
        <v>23540.265056249998</v>
      </c>
      <c r="BG26" s="32">
        <v>23540.265056249998</v>
      </c>
      <c r="BH26" s="32">
        <v>23765.31094155</v>
      </c>
      <c r="BI26" s="32">
        <v>23765.31094155</v>
      </c>
      <c r="BJ26" s="32">
        <v>27887.535941550002</v>
      </c>
      <c r="BK26" s="32">
        <v>28936.56094155</v>
      </c>
      <c r="BL26" s="32">
        <v>28936.56094155</v>
      </c>
      <c r="BM26" s="32">
        <v>29151.347628299998</v>
      </c>
      <c r="BN26" s="32"/>
      <c r="BO26" s="32"/>
      <c r="BP26" s="32"/>
      <c r="BQ26" s="32"/>
      <c r="BR26" s="32"/>
      <c r="BS26" s="32"/>
      <c r="BT26" s="32"/>
      <c r="BU26" s="32"/>
      <c r="BV26" s="32"/>
      <c r="BW26" s="32">
        <v>51.761677883232331</v>
      </c>
      <c r="BX26" s="32">
        <v>51.987001011464926</v>
      </c>
      <c r="BY26" s="32"/>
      <c r="BZ26" s="32">
        <v>28.444935099310623</v>
      </c>
      <c r="CA26" s="32">
        <v>28.444935099310623</v>
      </c>
      <c r="CB26" s="32"/>
      <c r="CC26" s="32">
        <v>34.047934054815499</v>
      </c>
      <c r="CD26" s="32">
        <v>34.047934054815492</v>
      </c>
      <c r="CE26" s="32"/>
      <c r="CF26" s="32">
        <v>30.741337994286397</v>
      </c>
      <c r="CG26" s="32">
        <v>30.741337994286397</v>
      </c>
      <c r="CH26" s="32">
        <v>35.621362335988351</v>
      </c>
      <c r="CI26" s="32">
        <v>34.017226354403888</v>
      </c>
      <c r="CJ26" s="32">
        <v>34.026848288842714</v>
      </c>
      <c r="CK26" s="32">
        <v>39.861063709660172</v>
      </c>
      <c r="CL26" s="32">
        <v>38.815716186432319</v>
      </c>
      <c r="CM26" s="32">
        <v>38.815716186432311</v>
      </c>
      <c r="CN26" s="32">
        <v>34.902306712177975</v>
      </c>
      <c r="CO26" s="32">
        <v>37.420950311617062</v>
      </c>
      <c r="CP26" s="32">
        <v>37.420950311617062</v>
      </c>
      <c r="CQ26" s="32">
        <v>38.091661319045393</v>
      </c>
      <c r="CR26" s="32">
        <v>44.163762149999997</v>
      </c>
      <c r="CS26" s="32">
        <v>44.163762149999997</v>
      </c>
      <c r="CT26" s="32">
        <v>41.467892589651036</v>
      </c>
      <c r="CU26" s="32">
        <v>48.243094982989611</v>
      </c>
      <c r="CV26" s="32">
        <v>48.430667136620144</v>
      </c>
      <c r="CW26" s="32">
        <v>40.237520787053569</v>
      </c>
      <c r="CX26" s="32">
        <v>37.022192140902618</v>
      </c>
      <c r="CY26" s="32">
        <v>37.022192140902618</v>
      </c>
      <c r="CZ26" s="32">
        <v>36.283205768894383</v>
      </c>
      <c r="DA26" s="32">
        <v>34.211430368860242</v>
      </c>
      <c r="DB26" s="32">
        <v>34.211430368860242</v>
      </c>
      <c r="DC26" s="32">
        <v>25.802975934551696</v>
      </c>
      <c r="DD26" s="32">
        <v>23.091617589343031</v>
      </c>
      <c r="DE26" s="1061">
        <v>23.091617589343031</v>
      </c>
      <c r="DF26" s="32">
        <v>18.611413905777535</v>
      </c>
      <c r="DG26" s="32">
        <v>17.807256813052856</v>
      </c>
      <c r="DH26" s="1061">
        <v>17.807256813052856</v>
      </c>
      <c r="DI26" s="32">
        <v>13.036899070097338</v>
      </c>
      <c r="DJ26" s="32">
        <v>13.696565610807729</v>
      </c>
      <c r="DK26" s="1061">
        <v>13.696565610807729</v>
      </c>
      <c r="DL26" s="32">
        <v>7.2467508196857731</v>
      </c>
      <c r="DM26" s="32">
        <v>6.9344461899115535</v>
      </c>
      <c r="DN26" s="1061">
        <v>6.9344461899115535</v>
      </c>
      <c r="DO26" s="32">
        <v>-101.06788745395353</v>
      </c>
      <c r="DP26" s="32">
        <v>-89.082577433919269</v>
      </c>
      <c r="DQ26" s="1061">
        <v>-89.082577433919269</v>
      </c>
      <c r="DR26" s="32">
        <v>83.003541092370966</v>
      </c>
      <c r="DS26" s="32">
        <v>57.973956000624717</v>
      </c>
      <c r="DT26" s="1061">
        <v>57.973956000624717</v>
      </c>
      <c r="DU26" s="32">
        <v>25.903007360856311</v>
      </c>
      <c r="DV26" s="32">
        <v>18.755016732044126</v>
      </c>
      <c r="DW26" s="1061">
        <v>18.7539439905918</v>
      </c>
      <c r="DX26" s="32">
        <v>16.545497124766005</v>
      </c>
      <c r="DY26" s="32">
        <v>15.528344409910124</v>
      </c>
      <c r="DZ26" s="1061">
        <v>15.528344409910124</v>
      </c>
      <c r="EA26" s="32">
        <v>13.06541619509251</v>
      </c>
      <c r="EB26" s="32">
        <v>12.577689688350752</v>
      </c>
      <c r="EC26" s="1061">
        <v>12.577689688350752</v>
      </c>
      <c r="ED26" s="32">
        <v>10.441014508926777</v>
      </c>
      <c r="EE26" s="32">
        <v>10.01564391904286</v>
      </c>
      <c r="EF26" s="1061">
        <v>10.01564391904286</v>
      </c>
      <c r="EG26" s="32">
        <v>8.03439970489495</v>
      </c>
      <c r="EH26" s="32">
        <v>7.3195347893647238</v>
      </c>
      <c r="EI26" s="1061">
        <v>7.3195347893647238</v>
      </c>
      <c r="EJ26" s="32">
        <v>6.1259639769208123</v>
      </c>
      <c r="EK26" s="32">
        <v>5.629743368790705</v>
      </c>
      <c r="EL26" s="1061">
        <v>5.629743368790705</v>
      </c>
      <c r="EM26" s="32">
        <v>4.8368194679194056</v>
      </c>
      <c r="EN26" s="32">
        <v>4.484057781142452</v>
      </c>
      <c r="EO26" s="1061">
        <v>4.484057781142452</v>
      </c>
      <c r="EP26" s="32">
        <v>3.9295318477633434</v>
      </c>
      <c r="EQ26" s="32">
        <v>3.6609236262639229</v>
      </c>
      <c r="ER26" s="1061">
        <v>3.6609236262639229</v>
      </c>
      <c r="ES26" s="32">
        <v>3.2622577331901277</v>
      </c>
      <c r="ET26" s="32">
        <v>3.0546901594330254</v>
      </c>
      <c r="EU26" s="1061">
        <v>3.0546901594330254</v>
      </c>
      <c r="EV26" s="32">
        <v>2.758975326050626</v>
      </c>
      <c r="EW26" s="32">
        <v>2.5964619003792078</v>
      </c>
      <c r="EX26" s="1061">
        <v>2.5964619003792078</v>
      </c>
      <c r="EY26" s="32">
        <v>2.3675899575673078</v>
      </c>
      <c r="EZ26" s="32">
        <v>2.2369079874276458</v>
      </c>
      <c r="FA26" s="1061">
        <v>2.2369079874276458</v>
      </c>
      <c r="FD26"/>
      <c r="FE26"/>
      <c r="FF26"/>
      <c r="FG26"/>
      <c r="FH26"/>
      <c r="FI26"/>
    </row>
    <row r="27" spans="1:169" s="33" customFormat="1">
      <c r="B27" s="54" t="s">
        <v>252</v>
      </c>
      <c r="C27" s="54"/>
      <c r="D27" s="2" t="s">
        <v>507</v>
      </c>
      <c r="E27" s="51"/>
      <c r="F27" s="51"/>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f t="shared" ref="AQ27:BM27" si="88">+(AQ12-AN12)/AN12</f>
        <v>0.17302807376373161</v>
      </c>
      <c r="AR27" s="51"/>
      <c r="AS27" s="51"/>
      <c r="AT27" s="51">
        <f t="shared" si="88"/>
        <v>0.15034591371843198</v>
      </c>
      <c r="AU27" s="51"/>
      <c r="AV27" s="51"/>
      <c r="AW27" s="51">
        <f t="shared" si="88"/>
        <v>2.2943610062585562</v>
      </c>
      <c r="AX27" s="51">
        <f t="shared" si="88"/>
        <v>0.14566008896634733</v>
      </c>
      <c r="AY27" s="51">
        <f t="shared" si="88"/>
        <v>0.24650750714643868</v>
      </c>
      <c r="AZ27" s="51">
        <f t="shared" si="88"/>
        <v>0.21011104617182927</v>
      </c>
      <c r="BA27" s="51">
        <f t="shared" si="88"/>
        <v>0.76517285954327363</v>
      </c>
      <c r="BB27" s="51">
        <f t="shared" si="88"/>
        <v>0.59585971283042161</v>
      </c>
      <c r="BC27" s="51">
        <f t="shared" si="88"/>
        <v>0.65249939628109177</v>
      </c>
      <c r="BD27" s="51">
        <f t="shared" si="88"/>
        <v>0.96011862027937767</v>
      </c>
      <c r="BE27" s="51">
        <f t="shared" si="88"/>
        <v>0.37841805325835515</v>
      </c>
      <c r="BF27" s="51">
        <f t="shared" si="88"/>
        <v>0.58658483121437943</v>
      </c>
      <c r="BG27" s="51">
        <f t="shared" si="88"/>
        <v>-0.48294669938695906</v>
      </c>
      <c r="BH27" s="51">
        <f t="shared" si="88"/>
        <v>-0.6385063896173564</v>
      </c>
      <c r="BI27" s="51">
        <f t="shared" si="88"/>
        <v>-0.85522896106562385</v>
      </c>
      <c r="BJ27" s="51">
        <f t="shared" si="88"/>
        <v>-0.30927879046554774</v>
      </c>
      <c r="BK27" s="51"/>
      <c r="BL27" s="51"/>
      <c r="BM27" s="51">
        <f t="shared" si="88"/>
        <v>3.689856970549251</v>
      </c>
      <c r="BN27" s="51"/>
      <c r="BO27" s="51"/>
      <c r="BP27" s="51">
        <f>+(BP14-BM14)/BM14</f>
        <v>0.18327107514464533</v>
      </c>
      <c r="BQ27" s="51">
        <f>+(BQ14-BN14)/BN14</f>
        <v>-0.53722529714887624</v>
      </c>
      <c r="BR27" s="51">
        <f>+(BR14-BO14)/BO14</f>
        <v>-0.5591228159237176</v>
      </c>
      <c r="BS27" s="51">
        <f t="shared" ref="BS27:ED27" si="89">+(BS14-BP14)/BP14</f>
        <v>0.4577699641224337</v>
      </c>
      <c r="BT27" s="51">
        <f t="shared" si="89"/>
        <v>0.65437279075242605</v>
      </c>
      <c r="BU27" s="51">
        <f t="shared" si="89"/>
        <v>0.55468253092786435</v>
      </c>
      <c r="BV27" s="51">
        <f t="shared" si="89"/>
        <v>0.34447548436396347</v>
      </c>
      <c r="BW27" s="51">
        <f t="shared" si="89"/>
        <v>0.24397543182331968</v>
      </c>
      <c r="BX27" s="51">
        <f t="shared" si="89"/>
        <v>0.29191381008542044</v>
      </c>
      <c r="BY27" s="51">
        <f t="shared" si="89"/>
        <v>0.34025531070288323</v>
      </c>
      <c r="BZ27" s="51">
        <f t="shared" si="89"/>
        <v>0.33752565009223379</v>
      </c>
      <c r="CA27" s="51">
        <f t="shared" si="89"/>
        <v>0.33896816663825158</v>
      </c>
      <c r="CB27" s="51">
        <f t="shared" si="89"/>
        <v>0.2514855496626438</v>
      </c>
      <c r="CC27" s="51">
        <f t="shared" si="89"/>
        <v>-8.4550692327263519E-2</v>
      </c>
      <c r="CD27" s="51">
        <f t="shared" si="89"/>
        <v>8.6296297423164581E-2</v>
      </c>
      <c r="CE27" s="51">
        <f t="shared" si="89"/>
        <v>-0.13937789495377687</v>
      </c>
      <c r="CF27" s="51">
        <f t="shared" si="89"/>
        <v>3.5692092332277048E-2</v>
      </c>
      <c r="CG27" s="51">
        <f t="shared" si="89"/>
        <v>-6.2355442669706967E-2</v>
      </c>
      <c r="CH27" s="51">
        <f t="shared" si="89"/>
        <v>5.2950508221168424E-2</v>
      </c>
      <c r="CI27" s="51">
        <f t="shared" si="89"/>
        <v>0.24069748706044455</v>
      </c>
      <c r="CJ27" s="51">
        <f t="shared" si="89"/>
        <v>0.13396045643851948</v>
      </c>
      <c r="CK27" s="51">
        <f t="shared" si="89"/>
        <v>0.28924295994905747</v>
      </c>
      <c r="CL27" s="51">
        <f t="shared" si="89"/>
        <v>0.20394641702732336</v>
      </c>
      <c r="CM27" s="51">
        <f t="shared" si="89"/>
        <v>0.23492701969815249</v>
      </c>
      <c r="CN27" s="51">
        <f t="shared" si="89"/>
        <v>7.0789642049267409E-2</v>
      </c>
      <c r="CO27" s="51">
        <f t="shared" si="89"/>
        <v>0.11807782340176641</v>
      </c>
      <c r="CP27" s="51">
        <f t="shared" si="89"/>
        <v>0.10707865156299184</v>
      </c>
      <c r="CQ27" s="51">
        <f t="shared" si="89"/>
        <v>9.7127739919939934E-2</v>
      </c>
      <c r="CR27" s="51">
        <f t="shared" si="89"/>
        <v>0.10700056737627692</v>
      </c>
      <c r="CS27" s="51">
        <f t="shared" si="89"/>
        <v>0.10014546307795057</v>
      </c>
      <c r="CT27" s="51">
        <f t="shared" si="89"/>
        <v>-0.10340281584875613</v>
      </c>
      <c r="CU27" s="51">
        <f t="shared" si="89"/>
        <v>-0.20998582402757776</v>
      </c>
      <c r="CV27" s="51">
        <f t="shared" si="89"/>
        <v>-0.15826010859082096</v>
      </c>
      <c r="CW27" s="51">
        <f t="shared" si="89"/>
        <v>0.34964200586303645</v>
      </c>
      <c r="CX27" s="51">
        <f t="shared" si="89"/>
        <v>-2.6840299457222766E-3</v>
      </c>
      <c r="CY27" s="51">
        <f t="shared" si="89"/>
        <v>0.18276673348006203</v>
      </c>
      <c r="CZ27" s="51">
        <f t="shared" si="89"/>
        <v>0.35738976291733543</v>
      </c>
      <c r="DA27" s="51">
        <f t="shared" si="89"/>
        <v>0.19399321959769003</v>
      </c>
      <c r="DB27" s="51">
        <f t="shared" si="89"/>
        <v>0.29025299491279599</v>
      </c>
      <c r="DC27" s="51">
        <f t="shared" si="89"/>
        <v>6.8580514914974647E-2</v>
      </c>
      <c r="DD27" s="51">
        <f t="shared" si="89"/>
        <v>0.18083390289876641</v>
      </c>
      <c r="DE27" s="1080">
        <f t="shared" si="89"/>
        <v>0.11041632300032096</v>
      </c>
      <c r="DF27" s="51">
        <f t="shared" si="89"/>
        <v>7.3115245812575808E-2</v>
      </c>
      <c r="DG27" s="51">
        <f t="shared" si="89"/>
        <v>0.12339476466445279</v>
      </c>
      <c r="DH27" s="1080">
        <f t="shared" si="89"/>
        <v>9.2822462511953377E-2</v>
      </c>
      <c r="DI27" s="51">
        <f t="shared" si="89"/>
        <v>0.4482516238012067</v>
      </c>
      <c r="DJ27" s="51">
        <f t="shared" si="89"/>
        <v>-0.32095437447351699</v>
      </c>
      <c r="DK27" s="1080">
        <f t="shared" si="89"/>
        <v>0.13556659366538951</v>
      </c>
      <c r="DL27" s="51">
        <f t="shared" si="89"/>
        <v>-2.2628296232588063E-2</v>
      </c>
      <c r="DM27" s="51">
        <f t="shared" si="89"/>
        <v>-1.2558089770694721E-2</v>
      </c>
      <c r="DN27" s="1080">
        <f t="shared" si="89"/>
        <v>-3.1715790842932474E-2</v>
      </c>
      <c r="DO27" s="51">
        <f t="shared" si="89"/>
        <v>-3.0687600029451197E-2</v>
      </c>
      <c r="DP27" s="51">
        <f t="shared" si="89"/>
        <v>0.30101574840956974</v>
      </c>
      <c r="DQ27" s="1080">
        <f t="shared" si="89"/>
        <v>6.3126829603626436E-2</v>
      </c>
      <c r="DR27" s="51">
        <f t="shared" si="89"/>
        <v>0.10618281318384555</v>
      </c>
      <c r="DS27" s="51">
        <f t="shared" si="89"/>
        <v>0.12106624736875897</v>
      </c>
      <c r="DT27" s="1080">
        <f t="shared" si="89"/>
        <v>0.11066721266287852</v>
      </c>
      <c r="DU27" s="51">
        <f t="shared" si="89"/>
        <v>2.7188761809366566E-2</v>
      </c>
      <c r="DV27" s="51">
        <f>+(DV14-DS14)/DS14</f>
        <v>0.28562981501074958</v>
      </c>
      <c r="DW27" s="1080">
        <f>+(DW14-DT14)/DT14</f>
        <v>0.10636696973163075</v>
      </c>
      <c r="DX27" s="51">
        <f t="shared" si="89"/>
        <v>-5.9132925744722807E-2</v>
      </c>
      <c r="DY27" s="51">
        <f t="shared" si="89"/>
        <v>0.29938944147767238</v>
      </c>
      <c r="DZ27" s="1080">
        <f t="shared" si="89"/>
        <v>6.8727649516002645E-2</v>
      </c>
      <c r="EA27" s="51">
        <f t="shared" si="89"/>
        <v>0.10056272065980798</v>
      </c>
      <c r="EB27" s="51">
        <f t="shared" si="89"/>
        <v>3.7774905082647754E-2</v>
      </c>
      <c r="EC27" s="1080">
        <f t="shared" si="89"/>
        <v>7.34298184026594E-2</v>
      </c>
      <c r="ED27" s="51">
        <f t="shared" si="89"/>
        <v>9.6705565361761475E-2</v>
      </c>
      <c r="EE27" s="51">
        <f t="shared" ref="EE27:ER27" si="90">+(EE14-EB14)/EB14</f>
        <v>9.5299835191408E-2</v>
      </c>
      <c r="EF27" s="1080">
        <f t="shared" si="90"/>
        <v>9.6086495282206585E-2</v>
      </c>
      <c r="EG27" s="51">
        <f t="shared" si="90"/>
        <v>8.8515196483462052E-2</v>
      </c>
      <c r="EH27" s="51">
        <f t="shared" si="90"/>
        <v>0.11415561937720188</v>
      </c>
      <c r="EI27" s="1080">
        <f t="shared" si="90"/>
        <v>9.888815883567717E-2</v>
      </c>
      <c r="EJ27" s="51">
        <f t="shared" si="90"/>
        <v>8.8045385449357333E-2</v>
      </c>
      <c r="EK27" s="51">
        <f t="shared" si="90"/>
        <v>0.11628174898822707</v>
      </c>
      <c r="EL27" s="1080">
        <f t="shared" si="90"/>
        <v>0.10000667001096337</v>
      </c>
      <c r="EM27" s="51">
        <f t="shared" si="90"/>
        <v>9.5182872588539622E-2</v>
      </c>
      <c r="EN27" s="51">
        <f t="shared" si="90"/>
        <v>0.10092974147893666</v>
      </c>
      <c r="EO27" s="1080">
        <f t="shared" si="90"/>
        <v>9.7653351566382343E-2</v>
      </c>
      <c r="EP27" s="51">
        <f t="shared" si="90"/>
        <v>8.3031975367651251E-2</v>
      </c>
      <c r="EQ27" s="51">
        <f t="shared" si="90"/>
        <v>0.10355059042633431</v>
      </c>
      <c r="ER27" s="1080">
        <f t="shared" si="90"/>
        <v>9.1878853581191161E-2</v>
      </c>
      <c r="ES27" s="51">
        <f t="shared" ref="ES27:FA27" si="91">+(ES14-EP14)/EP14</f>
        <v>7.30346641355165E-2</v>
      </c>
      <c r="ET27" s="51">
        <f t="shared" si="91"/>
        <v>8.6561672027406708E-2</v>
      </c>
      <c r="EU27" s="1080">
        <f t="shared" si="91"/>
        <v>7.8929365518798283E-2</v>
      </c>
      <c r="EV27" s="51">
        <f t="shared" si="91"/>
        <v>6.2176885001930804E-2</v>
      </c>
      <c r="EW27" s="51">
        <f t="shared" si="91"/>
        <v>7.0773499160574169E-2</v>
      </c>
      <c r="EX27" s="1080">
        <f t="shared" si="91"/>
        <v>6.5949559673589273E-2</v>
      </c>
      <c r="EY27" s="51">
        <f t="shared" si="91"/>
        <v>6.2187491042108071E-2</v>
      </c>
      <c r="EZ27" s="51">
        <f t="shared" si="91"/>
        <v>7.0449572904078869E-2</v>
      </c>
      <c r="FA27" s="1080">
        <f t="shared" si="91"/>
        <v>6.5829762645479836E-2</v>
      </c>
      <c r="FD27"/>
      <c r="FE27"/>
      <c r="FF27"/>
      <c r="FG27"/>
      <c r="FH27"/>
      <c r="FI27"/>
    </row>
    <row r="28" spans="1:169" s="33" customFormat="1">
      <c r="E28" s="1085"/>
      <c r="F28" s="1085"/>
      <c r="G28" s="1078"/>
      <c r="H28" s="1085"/>
      <c r="I28" s="1085"/>
      <c r="J28" s="1078"/>
      <c r="K28" s="1085"/>
      <c r="L28" s="1085"/>
      <c r="M28" s="1078"/>
      <c r="N28" s="1085"/>
      <c r="O28" s="1085"/>
      <c r="P28" s="1078"/>
      <c r="Q28" s="1085"/>
      <c r="R28" s="1085"/>
      <c r="S28" s="1078"/>
      <c r="T28" s="1085"/>
      <c r="U28" s="1085"/>
      <c r="V28" s="1078"/>
      <c r="W28" s="1085"/>
      <c r="X28" s="1085"/>
      <c r="Y28" s="1078"/>
      <c r="Z28" s="1085"/>
      <c r="AA28" s="1085"/>
      <c r="AB28" s="1078"/>
      <c r="AC28" s="1085"/>
      <c r="AD28" s="1085"/>
      <c r="AE28" s="1078"/>
      <c r="AF28" s="1085"/>
      <c r="AG28" s="1085"/>
      <c r="AH28" s="1078"/>
      <c r="AI28" s="1085"/>
      <c r="AJ28" s="1085"/>
      <c r="AK28" s="1078"/>
      <c r="AL28" s="1085"/>
      <c r="AM28" s="1085"/>
      <c r="AN28" s="1085"/>
      <c r="AO28" s="1085"/>
      <c r="AP28" s="1085"/>
      <c r="AQ28" s="1085"/>
      <c r="AR28" s="1085"/>
      <c r="AS28" s="1085"/>
      <c r="AT28" s="1085"/>
      <c r="AU28" s="1085"/>
      <c r="AV28" s="1085"/>
      <c r="AW28" s="1085"/>
      <c r="AX28" s="1085"/>
      <c r="AY28" s="1085"/>
      <c r="AZ28" s="1086"/>
      <c r="BA28" s="1085"/>
      <c r="BB28" s="1085"/>
      <c r="BC28" s="1085"/>
      <c r="BD28" s="1085"/>
      <c r="BE28" s="1085"/>
      <c r="BF28" s="1085"/>
      <c r="BG28" s="1085"/>
      <c r="BH28" s="1085"/>
      <c r="BI28" s="1085"/>
      <c r="BJ28" s="1085"/>
      <c r="BK28" s="1085"/>
      <c r="BL28" s="1085"/>
      <c r="BM28" s="1085"/>
      <c r="BN28" s="1085"/>
      <c r="BO28" s="1085"/>
      <c r="BP28" s="1085"/>
      <c r="BQ28" s="1085"/>
      <c r="BR28" s="1085"/>
      <c r="BS28" s="1085"/>
      <c r="BT28" s="1085"/>
      <c r="BU28" s="1085"/>
      <c r="BV28" s="1085"/>
      <c r="BW28" s="1085"/>
      <c r="BX28" s="1085"/>
      <c r="BY28" s="1085"/>
      <c r="BZ28" s="1085"/>
      <c r="CA28" s="1085"/>
      <c r="CB28" s="1085"/>
      <c r="CC28" s="1085"/>
      <c r="CD28" s="1085"/>
      <c r="CE28" s="1085"/>
      <c r="CF28" s="1085"/>
      <c r="CG28" s="1085"/>
      <c r="CH28" s="1085"/>
      <c r="CI28" s="1085"/>
      <c r="CJ28" s="1085"/>
      <c r="CK28" s="1085"/>
      <c r="CL28" s="1085"/>
      <c r="CM28" s="1085"/>
      <c r="CN28" s="1085"/>
      <c r="CO28" s="1085"/>
      <c r="CP28" s="1085"/>
      <c r="CQ28" s="1085"/>
      <c r="CR28" s="1085"/>
      <c r="CS28" s="983"/>
      <c r="CT28" s="1085"/>
      <c r="CU28" s="1085"/>
      <c r="CV28" s="1085" t="s">
        <v>309</v>
      </c>
      <c r="CW28" s="1085"/>
      <c r="CX28" s="1085"/>
      <c r="CY28" s="1085"/>
      <c r="CZ28" s="1085"/>
      <c r="DA28" s="1085"/>
      <c r="DB28" s="1085"/>
      <c r="DC28" s="1085"/>
      <c r="DD28" s="1085"/>
      <c r="DE28" s="1087"/>
      <c r="DF28" s="1085"/>
      <c r="DG28" s="1085"/>
      <c r="DH28" s="1072"/>
      <c r="DI28" s="1085"/>
      <c r="DJ28" s="1085"/>
      <c r="DK28" s="1072"/>
      <c r="DL28" s="1085"/>
      <c r="DM28" s="1085"/>
      <c r="DN28" s="1072"/>
      <c r="DO28" s="1085"/>
      <c r="DP28" s="1085"/>
      <c r="DQ28" s="1072"/>
      <c r="DR28" s="1085"/>
      <c r="DS28" s="1085"/>
      <c r="DT28" s="1072"/>
      <c r="DU28" s="1085"/>
      <c r="DV28" s="1085"/>
      <c r="DW28" s="1072"/>
      <c r="DX28" s="1085"/>
      <c r="DY28" s="1085"/>
      <c r="DZ28" s="1072"/>
      <c r="EA28" s="1085"/>
      <c r="EB28" s="1085"/>
      <c r="EC28" s="1072"/>
      <c r="ED28" s="1085"/>
      <c r="EE28" s="1085"/>
      <c r="EF28" s="1072">
        <f>+(EF14/DW14)^(0.333333333333333)-1</f>
        <v>7.9348873250985719E-2</v>
      </c>
      <c r="EG28" s="1085"/>
      <c r="EH28" s="1085"/>
      <c r="EI28" s="1072"/>
      <c r="EJ28" s="1085"/>
      <c r="EK28" s="1085"/>
      <c r="EL28" s="1072"/>
      <c r="EM28" s="1085"/>
      <c r="EN28" s="1085"/>
      <c r="EO28" s="1072"/>
      <c r="EP28" s="1085"/>
      <c r="EQ28" s="1085"/>
      <c r="ER28" s="1072"/>
      <c r="ES28" s="1085"/>
      <c r="ET28" s="1085"/>
      <c r="EU28" s="1072"/>
      <c r="EV28" s="1085"/>
      <c r="EW28" s="1085"/>
      <c r="EX28" s="1072"/>
      <c r="EY28" s="1085"/>
      <c r="EZ28" s="1085"/>
      <c r="FA28" s="1072"/>
      <c r="FD28"/>
      <c r="FE28"/>
      <c r="FF28"/>
      <c r="FG28"/>
      <c r="FH28"/>
      <c r="FI28"/>
    </row>
    <row r="29" spans="1:169" s="1059" customFormat="1">
      <c r="A29" s="48" t="s">
        <v>6</v>
      </c>
      <c r="B29" s="48"/>
      <c r="C29" s="48"/>
      <c r="D29" s="49" t="str">
        <f t="shared" ref="D29:AI29" si="92">+D4</f>
        <v xml:space="preserve">Year ending Jun </v>
      </c>
      <c r="E29" s="50" t="str">
        <f t="shared" si="92"/>
        <v>1h85</v>
      </c>
      <c r="F29" s="50" t="str">
        <f t="shared" si="92"/>
        <v>2h85</v>
      </c>
      <c r="G29" s="50" t="str">
        <f t="shared" si="92"/>
        <v>1985</v>
      </c>
      <c r="H29" s="50" t="str">
        <f t="shared" si="92"/>
        <v>1h86</v>
      </c>
      <c r="I29" s="50" t="str">
        <f t="shared" si="92"/>
        <v>2h86</v>
      </c>
      <c r="J29" s="50" t="str">
        <f t="shared" si="92"/>
        <v>1986</v>
      </c>
      <c r="K29" s="50" t="str">
        <f t="shared" si="92"/>
        <v>1h87</v>
      </c>
      <c r="L29" s="50" t="str">
        <f t="shared" si="92"/>
        <v>2h87</v>
      </c>
      <c r="M29" s="50" t="str">
        <f t="shared" si="92"/>
        <v>1987</v>
      </c>
      <c r="N29" s="50" t="str">
        <f t="shared" si="92"/>
        <v>1h88</v>
      </c>
      <c r="O29" s="50" t="str">
        <f t="shared" si="92"/>
        <v>2h88</v>
      </c>
      <c r="P29" s="50" t="str">
        <f t="shared" si="92"/>
        <v>1988</v>
      </c>
      <c r="Q29" s="50" t="str">
        <f t="shared" si="92"/>
        <v>1h89</v>
      </c>
      <c r="R29" s="50" t="str">
        <f t="shared" si="92"/>
        <v>2h89</v>
      </c>
      <c r="S29" s="50" t="str">
        <f t="shared" si="92"/>
        <v>1989</v>
      </c>
      <c r="T29" s="50" t="str">
        <f t="shared" si="92"/>
        <v>1h90</v>
      </c>
      <c r="U29" s="50" t="str">
        <f t="shared" si="92"/>
        <v>2h90</v>
      </c>
      <c r="V29" s="50" t="str">
        <f t="shared" si="92"/>
        <v>1990</v>
      </c>
      <c r="W29" s="50" t="str">
        <f t="shared" si="92"/>
        <v>1h91</v>
      </c>
      <c r="X29" s="50" t="str">
        <f t="shared" si="92"/>
        <v>2h91</v>
      </c>
      <c r="Y29" s="50" t="str">
        <f t="shared" si="92"/>
        <v>1991</v>
      </c>
      <c r="Z29" s="50" t="str">
        <f t="shared" si="92"/>
        <v>1h92</v>
      </c>
      <c r="AA29" s="50" t="str">
        <f t="shared" si="92"/>
        <v>2h92</v>
      </c>
      <c r="AB29" s="50" t="str">
        <f t="shared" si="92"/>
        <v>1992</v>
      </c>
      <c r="AC29" s="50" t="str">
        <f t="shared" si="92"/>
        <v>1h93</v>
      </c>
      <c r="AD29" s="50" t="str">
        <f t="shared" si="92"/>
        <v>2h93</v>
      </c>
      <c r="AE29" s="50" t="str">
        <f t="shared" si="92"/>
        <v>1993</v>
      </c>
      <c r="AF29" s="50" t="str">
        <f t="shared" si="92"/>
        <v>1h94</v>
      </c>
      <c r="AG29" s="50" t="str">
        <f t="shared" si="92"/>
        <v>2h94</v>
      </c>
      <c r="AH29" s="50" t="str">
        <f t="shared" si="92"/>
        <v>1994</v>
      </c>
      <c r="AI29" s="50" t="str">
        <f t="shared" si="92"/>
        <v>1h95</v>
      </c>
      <c r="AJ29" s="50" t="str">
        <f t="shared" ref="AJ29:BO29" si="93">+AJ4</f>
        <v>2h95</v>
      </c>
      <c r="AK29" s="50" t="str">
        <f t="shared" si="93"/>
        <v>1995</v>
      </c>
      <c r="AL29" s="50" t="str">
        <f t="shared" si="93"/>
        <v>1h96</v>
      </c>
      <c r="AM29" s="50" t="str">
        <f t="shared" si="93"/>
        <v>2h96</v>
      </c>
      <c r="AN29" s="50" t="str">
        <f t="shared" si="93"/>
        <v>1996</v>
      </c>
      <c r="AO29" s="50" t="str">
        <f t="shared" si="93"/>
        <v>1h97</v>
      </c>
      <c r="AP29" s="50" t="str">
        <f t="shared" si="93"/>
        <v>2h97</v>
      </c>
      <c r="AQ29" s="50" t="str">
        <f t="shared" si="93"/>
        <v>1997</v>
      </c>
      <c r="AR29" s="50" t="str">
        <f t="shared" si="93"/>
        <v>1h98</v>
      </c>
      <c r="AS29" s="50" t="str">
        <f t="shared" si="93"/>
        <v>2h98</v>
      </c>
      <c r="AT29" s="50" t="str">
        <f t="shared" si="93"/>
        <v>1998a</v>
      </c>
      <c r="AU29" s="50" t="str">
        <f t="shared" si="93"/>
        <v>1h99</v>
      </c>
      <c r="AV29" s="50" t="str">
        <f t="shared" si="93"/>
        <v>2h99</v>
      </c>
      <c r="AW29" s="50" t="str">
        <f t="shared" si="93"/>
        <v>1999a</v>
      </c>
      <c r="AX29" s="50" t="str">
        <f t="shared" si="93"/>
        <v>1h00</v>
      </c>
      <c r="AY29" s="50" t="str">
        <f t="shared" si="93"/>
        <v>2h00</v>
      </c>
      <c r="AZ29" s="50" t="str">
        <f t="shared" si="93"/>
        <v>2000a</v>
      </c>
      <c r="BA29" s="50" t="str">
        <f t="shared" si="93"/>
        <v>1h01</v>
      </c>
      <c r="BB29" s="50" t="str">
        <f t="shared" si="93"/>
        <v>2h01</v>
      </c>
      <c r="BC29" s="50" t="str">
        <f t="shared" si="93"/>
        <v>2001a</v>
      </c>
      <c r="BD29" s="50" t="str">
        <f t="shared" si="93"/>
        <v>1h02</v>
      </c>
      <c r="BE29" s="50" t="str">
        <f t="shared" si="93"/>
        <v>2h02f</v>
      </c>
      <c r="BF29" s="50" t="str">
        <f t="shared" si="93"/>
        <v>2002</v>
      </c>
      <c r="BG29" s="50" t="str">
        <f t="shared" si="93"/>
        <v>1h03</v>
      </c>
      <c r="BH29" s="50" t="str">
        <f t="shared" si="93"/>
        <v>2h03</v>
      </c>
      <c r="BI29" s="50" t="str">
        <f t="shared" si="93"/>
        <v>2003</v>
      </c>
      <c r="BJ29" s="50" t="str">
        <f t="shared" si="93"/>
        <v>1h04</v>
      </c>
      <c r="BK29" s="50" t="str">
        <f t="shared" si="93"/>
        <v>2h04</v>
      </c>
      <c r="BL29" s="50" t="str">
        <f t="shared" si="93"/>
        <v>2004</v>
      </c>
      <c r="BM29" s="50" t="str">
        <f t="shared" si="93"/>
        <v>1h05</v>
      </c>
      <c r="BN29" s="50" t="str">
        <f t="shared" si="93"/>
        <v>2h05</v>
      </c>
      <c r="BO29" s="50" t="str">
        <f t="shared" si="93"/>
        <v>2005</v>
      </c>
      <c r="BP29" s="50" t="str">
        <f t="shared" ref="BP29:CU29" si="94">+BP4</f>
        <v>1h06</v>
      </c>
      <c r="BQ29" s="50" t="str">
        <f t="shared" si="94"/>
        <v>2h06</v>
      </c>
      <c r="BR29" s="50" t="str">
        <f t="shared" si="94"/>
        <v>2006</v>
      </c>
      <c r="BS29" s="50" t="str">
        <f t="shared" si="94"/>
        <v>1h07</v>
      </c>
      <c r="BT29" s="50" t="str">
        <f t="shared" si="94"/>
        <v>2h07</v>
      </c>
      <c r="BU29" s="50" t="str">
        <f t="shared" si="94"/>
        <v>2007</v>
      </c>
      <c r="BV29" s="50" t="str">
        <f t="shared" si="94"/>
        <v>1h08</v>
      </c>
      <c r="BW29" s="50" t="str">
        <f t="shared" si="94"/>
        <v>2h08</v>
      </c>
      <c r="BX29" s="50" t="str">
        <f t="shared" si="94"/>
        <v>2008</v>
      </c>
      <c r="BY29" s="50" t="str">
        <f t="shared" si="94"/>
        <v>1h09</v>
      </c>
      <c r="BZ29" s="50" t="str">
        <f t="shared" si="94"/>
        <v>2h09</v>
      </c>
      <c r="CA29" s="50" t="str">
        <f t="shared" si="94"/>
        <v>2009</v>
      </c>
      <c r="CB29" s="50" t="str">
        <f t="shared" si="94"/>
        <v>1h10</v>
      </c>
      <c r="CC29" s="50" t="str">
        <f t="shared" si="94"/>
        <v>2h10</v>
      </c>
      <c r="CD29" s="50" t="str">
        <f t="shared" si="94"/>
        <v>2010</v>
      </c>
      <c r="CE29" s="50" t="str">
        <f t="shared" si="94"/>
        <v>1h11</v>
      </c>
      <c r="CF29" s="50" t="str">
        <f t="shared" si="94"/>
        <v>2h11</v>
      </c>
      <c r="CG29" s="50" t="str">
        <f t="shared" si="94"/>
        <v>2011</v>
      </c>
      <c r="CH29" s="50" t="str">
        <f t="shared" si="94"/>
        <v>1h12</v>
      </c>
      <c r="CI29" s="50" t="str">
        <f t="shared" si="94"/>
        <v>2h12</v>
      </c>
      <c r="CJ29" s="50" t="str">
        <f t="shared" si="94"/>
        <v>2012</v>
      </c>
      <c r="CK29" s="50" t="str">
        <f t="shared" si="94"/>
        <v>1h13</v>
      </c>
      <c r="CL29" s="50" t="str">
        <f t="shared" si="94"/>
        <v>2h13</v>
      </c>
      <c r="CM29" s="50" t="str">
        <f t="shared" si="94"/>
        <v>2013</v>
      </c>
      <c r="CN29" s="50" t="str">
        <f t="shared" si="94"/>
        <v>1h14</v>
      </c>
      <c r="CO29" s="50" t="str">
        <f t="shared" si="94"/>
        <v>2h14</v>
      </c>
      <c r="CP29" s="50" t="str">
        <f t="shared" si="94"/>
        <v>2014</v>
      </c>
      <c r="CQ29" s="50" t="str">
        <f t="shared" si="94"/>
        <v>1h15</v>
      </c>
      <c r="CR29" s="50" t="str">
        <f t="shared" si="94"/>
        <v>2h15</v>
      </c>
      <c r="CS29" s="50" t="str">
        <f t="shared" si="94"/>
        <v>2015</v>
      </c>
      <c r="CT29" s="50" t="str">
        <f t="shared" si="94"/>
        <v>1h16</v>
      </c>
      <c r="CU29" s="50" t="str">
        <f t="shared" si="94"/>
        <v>2h16</v>
      </c>
      <c r="CV29" s="50" t="str">
        <f t="shared" ref="CV29:DQ29" si="95">+CV4</f>
        <v>2016</v>
      </c>
      <c r="CW29" s="50" t="str">
        <f t="shared" si="95"/>
        <v>1h17</v>
      </c>
      <c r="CX29" s="50" t="str">
        <f t="shared" si="95"/>
        <v>2h17</v>
      </c>
      <c r="CY29" s="50" t="str">
        <f t="shared" si="95"/>
        <v>2017</v>
      </c>
      <c r="CZ29" s="50" t="str">
        <f t="shared" si="95"/>
        <v>1h18</v>
      </c>
      <c r="DA29" s="50" t="str">
        <f t="shared" si="95"/>
        <v>2h18</v>
      </c>
      <c r="DB29" s="50" t="str">
        <f t="shared" si="95"/>
        <v>2018</v>
      </c>
      <c r="DC29" s="50" t="str">
        <f t="shared" si="95"/>
        <v>1h19</v>
      </c>
      <c r="DD29" s="50" t="str">
        <f t="shared" si="95"/>
        <v>2h19</v>
      </c>
      <c r="DE29" s="64" t="str">
        <f t="shared" si="95"/>
        <v>2019</v>
      </c>
      <c r="DF29" s="50" t="str">
        <f t="shared" si="95"/>
        <v>1h20</v>
      </c>
      <c r="DG29" s="50" t="str">
        <f t="shared" si="95"/>
        <v>2h20</v>
      </c>
      <c r="DH29" s="64" t="str">
        <f t="shared" si="95"/>
        <v>2020</v>
      </c>
      <c r="DI29" s="50" t="str">
        <f t="shared" si="95"/>
        <v>1h21</v>
      </c>
      <c r="DJ29" s="50" t="str">
        <f t="shared" si="95"/>
        <v>2h21</v>
      </c>
      <c r="DK29" s="64" t="str">
        <f t="shared" si="95"/>
        <v>2021</v>
      </c>
      <c r="DL29" s="50" t="str">
        <f t="shared" si="95"/>
        <v>1h22</v>
      </c>
      <c r="DM29" s="50" t="str">
        <f t="shared" si="95"/>
        <v>2h22</v>
      </c>
      <c r="DN29" s="64" t="str">
        <f t="shared" si="95"/>
        <v>2022</v>
      </c>
      <c r="DO29" s="50" t="str">
        <f t="shared" si="95"/>
        <v>1h23</v>
      </c>
      <c r="DP29" s="50" t="str">
        <f t="shared" si="95"/>
        <v>2h23</v>
      </c>
      <c r="DQ29" s="64" t="str">
        <f t="shared" si="95"/>
        <v>2023</v>
      </c>
      <c r="DR29" s="50" t="str">
        <f t="shared" ref="DR29:DZ29" si="96">+DR4</f>
        <v>1h24</v>
      </c>
      <c r="DS29" s="50" t="str">
        <f t="shared" si="96"/>
        <v>2h24</v>
      </c>
      <c r="DT29" s="64" t="str">
        <f t="shared" si="96"/>
        <v>2024</v>
      </c>
      <c r="DU29" s="50" t="str">
        <f t="shared" si="96"/>
        <v>1h25</v>
      </c>
      <c r="DV29" s="50" t="str">
        <f>+DV4</f>
        <v>2h25</v>
      </c>
      <c r="DW29" s="64" t="str">
        <f>+DW4</f>
        <v>2025</v>
      </c>
      <c r="DX29" s="50" t="str">
        <f t="shared" ref="DX29" si="97">+DX4</f>
        <v>1h26</v>
      </c>
      <c r="DY29" s="50" t="str">
        <f t="shared" si="96"/>
        <v>2h26E</v>
      </c>
      <c r="DZ29" s="64" t="str">
        <f t="shared" si="96"/>
        <v>2026E</v>
      </c>
      <c r="EA29" s="50" t="str">
        <f t="shared" ref="EA29:EF29" si="98">+EA4</f>
        <v>1h27E</v>
      </c>
      <c r="EB29" s="50" t="str">
        <f t="shared" si="98"/>
        <v>2h27E</v>
      </c>
      <c r="EC29" s="64" t="str">
        <f t="shared" si="98"/>
        <v>2027E</v>
      </c>
      <c r="ED29" s="50" t="str">
        <f t="shared" si="98"/>
        <v>1h28E</v>
      </c>
      <c r="EE29" s="50" t="str">
        <f t="shared" si="98"/>
        <v>2h28E</v>
      </c>
      <c r="EF29" s="64" t="str">
        <f t="shared" si="98"/>
        <v>2028E</v>
      </c>
      <c r="EG29" s="50" t="str">
        <f t="shared" ref="EG29:EL29" si="99">+EG4</f>
        <v>1h29E</v>
      </c>
      <c r="EH29" s="50" t="str">
        <f t="shared" si="99"/>
        <v>2h29E</v>
      </c>
      <c r="EI29" s="64" t="str">
        <f t="shared" si="99"/>
        <v>2029E</v>
      </c>
      <c r="EJ29" s="50" t="str">
        <f t="shared" si="99"/>
        <v>1h30E</v>
      </c>
      <c r="EK29" s="50" t="str">
        <f t="shared" si="99"/>
        <v>2h30E</v>
      </c>
      <c r="EL29" s="64" t="str">
        <f t="shared" si="99"/>
        <v>2030E</v>
      </c>
      <c r="EM29" s="50" t="str">
        <f t="shared" ref="EM29:ER29" si="100">+EM4</f>
        <v>1h31E</v>
      </c>
      <c r="EN29" s="50" t="str">
        <f t="shared" si="100"/>
        <v>2h31E</v>
      </c>
      <c r="EO29" s="64" t="str">
        <f t="shared" si="100"/>
        <v>2031E</v>
      </c>
      <c r="EP29" s="50" t="str">
        <f t="shared" si="100"/>
        <v>1h32E</v>
      </c>
      <c r="EQ29" s="50" t="str">
        <f t="shared" si="100"/>
        <v>2h32E</v>
      </c>
      <c r="ER29" s="64" t="str">
        <f t="shared" si="100"/>
        <v>2032E</v>
      </c>
      <c r="ES29" s="50" t="str">
        <f t="shared" ref="ES29:FA29" si="101">+ES4</f>
        <v>1h33E</v>
      </c>
      <c r="ET29" s="50" t="str">
        <f t="shared" si="101"/>
        <v>2h33E</v>
      </c>
      <c r="EU29" s="64" t="str">
        <f t="shared" si="101"/>
        <v>2033E</v>
      </c>
      <c r="EV29" s="50" t="str">
        <f t="shared" si="101"/>
        <v>1h34E</v>
      </c>
      <c r="EW29" s="50" t="str">
        <f t="shared" si="101"/>
        <v>2h34E</v>
      </c>
      <c r="EX29" s="64" t="str">
        <f t="shared" si="101"/>
        <v>2034E</v>
      </c>
      <c r="EY29" s="50" t="str">
        <f t="shared" si="101"/>
        <v>1h35E</v>
      </c>
      <c r="EZ29" s="50" t="str">
        <f t="shared" si="101"/>
        <v>2h35E</v>
      </c>
      <c r="FA29" s="64" t="str">
        <f t="shared" si="101"/>
        <v>2035E</v>
      </c>
      <c r="FB29" s="1057"/>
      <c r="FC29" s="1057"/>
      <c r="FD29"/>
      <c r="FE29"/>
      <c r="FF29"/>
      <c r="FG29"/>
      <c r="FH29"/>
      <c r="FI29"/>
      <c r="FJ29" s="1171"/>
      <c r="FK29" s="1171"/>
      <c r="FL29" s="1171"/>
      <c r="FM29" s="1171"/>
    </row>
    <row r="30" spans="1:169" s="61" customFormat="1">
      <c r="B30" s="61" t="s">
        <v>787</v>
      </c>
      <c r="D30" s="1658" t="s">
        <v>506</v>
      </c>
      <c r="E30" s="1495"/>
      <c r="F30" s="1272">
        <f>+G30-E30</f>
        <v>0</v>
      </c>
      <c r="G30" s="1495"/>
      <c r="H30" s="1495"/>
      <c r="I30" s="1272">
        <f>+J30-H30</f>
        <v>0</v>
      </c>
      <c r="J30" s="1495"/>
      <c r="K30" s="1495"/>
      <c r="L30" s="1272">
        <f>+M30-K30</f>
        <v>0</v>
      </c>
      <c r="M30" s="1495"/>
      <c r="N30" s="1495"/>
      <c r="O30" s="1272">
        <f>+P30-N30</f>
        <v>0</v>
      </c>
      <c r="P30" s="1495"/>
      <c r="Q30" s="1495"/>
      <c r="R30" s="1272">
        <f>+S30-Q30</f>
        <v>0</v>
      </c>
      <c r="S30" s="1495"/>
      <c r="T30" s="1495"/>
      <c r="U30" s="1272">
        <f>+V30-T30</f>
        <v>0</v>
      </c>
      <c r="V30" s="1495"/>
      <c r="W30" s="1495"/>
      <c r="X30" s="1272">
        <f>+Y30-W30</f>
        <v>0</v>
      </c>
      <c r="Y30" s="1495"/>
      <c r="Z30" s="1495"/>
      <c r="AA30" s="1272">
        <f>+AB30-Z30</f>
        <v>0</v>
      </c>
      <c r="AB30" s="1495"/>
      <c r="AC30" s="1495"/>
      <c r="AD30" s="1272">
        <f>+AE30-AC30</f>
        <v>0</v>
      </c>
      <c r="AE30" s="1495"/>
      <c r="AF30" s="1495"/>
      <c r="AG30" s="1272">
        <f>+AH30-AF30</f>
        <v>0</v>
      </c>
      <c r="AH30" s="1495"/>
      <c r="AI30" s="1495"/>
      <c r="AJ30" s="1272">
        <f>+AK30-AI30</f>
        <v>0</v>
      </c>
      <c r="AK30" s="1495"/>
      <c r="AL30" s="1495"/>
      <c r="AM30" s="1272">
        <f>+AN30-AL30</f>
        <v>281.10199999999998</v>
      </c>
      <c r="AN30" s="1706">
        <v>281.10199999999998</v>
      </c>
      <c r="AO30" s="1706">
        <v>131.49700000000001</v>
      </c>
      <c r="AP30" s="1272">
        <f>+AQ30-AO30</f>
        <v>173.50599999999997</v>
      </c>
      <c r="AQ30" s="1706">
        <v>305.00299999999999</v>
      </c>
      <c r="AR30" s="1706">
        <v>156.31399999999999</v>
      </c>
      <c r="AS30" s="1272">
        <f>+AT30-AR30</f>
        <v>197.17699999999999</v>
      </c>
      <c r="AT30" s="1706">
        <v>353.49099999999999</v>
      </c>
      <c r="AU30" s="1706">
        <v>189.518</v>
      </c>
      <c r="AV30" s="1272">
        <f>+AW30-AU30</f>
        <v>223.953</v>
      </c>
      <c r="AW30" s="1706">
        <v>413.471</v>
      </c>
      <c r="AX30" s="1706">
        <v>209.054</v>
      </c>
      <c r="AY30" s="1272">
        <f>+AZ30-AX30</f>
        <v>241.54400000000001</v>
      </c>
      <c r="AZ30" s="1706">
        <v>450.59800000000001</v>
      </c>
      <c r="BA30" s="1495"/>
      <c r="BB30" s="1272"/>
      <c r="BC30" s="1706">
        <v>854.82399999999996</v>
      </c>
      <c r="BD30" s="1706">
        <v>589.80499999999995</v>
      </c>
      <c r="BE30" s="1272">
        <f>+BF30-BD30</f>
        <v>760.37700000000007</v>
      </c>
      <c r="BF30" s="1706">
        <v>1350.182</v>
      </c>
      <c r="BG30" s="1706">
        <v>639.85199999999998</v>
      </c>
      <c r="BH30" s="1272">
        <f>+BI30-BG30</f>
        <v>660.49200000000008</v>
      </c>
      <c r="BI30" s="1706">
        <v>1300.3440000000001</v>
      </c>
      <c r="BJ30" s="1706">
        <v>636.13800000000003</v>
      </c>
      <c r="BK30" s="1272">
        <f>+BL30-BJ30</f>
        <v>1014.0579999999999</v>
      </c>
      <c r="BL30" s="1495">
        <f>1650.196</f>
        <v>1650.1959999999999</v>
      </c>
      <c r="BM30" s="1495">
        <f>1414.146</f>
        <v>1414.146</v>
      </c>
      <c r="BN30" s="1272">
        <f>+BO30-BM30</f>
        <v>1335.7880000000002</v>
      </c>
      <c r="BO30" s="1706">
        <v>2749.9340000000002</v>
      </c>
      <c r="BP30" s="1495">
        <f>Segment!BP9</f>
        <v>0</v>
      </c>
      <c r="BQ30" s="1495">
        <f>Segment!BQ9</f>
        <v>0</v>
      </c>
      <c r="BR30" s="1495">
        <f>SUM(BP30:BQ30)</f>
        <v>0</v>
      </c>
      <c r="BS30" s="1495">
        <f>Segment!BS9</f>
        <v>0</v>
      </c>
      <c r="BT30" s="1495">
        <f>Segment!BT9</f>
        <v>0</v>
      </c>
      <c r="BU30" s="1495">
        <f>SUM(BS30:BT30)</f>
        <v>0</v>
      </c>
      <c r="BV30" s="1495">
        <f>Segment!BV9</f>
        <v>1545.1211760446827</v>
      </c>
      <c r="BW30" s="1495">
        <f>Segment!BW9</f>
        <v>1702.8788239553173</v>
      </c>
      <c r="BX30" s="1495">
        <f>SUM(BV30:BW30)</f>
        <v>3248</v>
      </c>
      <c r="BY30" s="1495">
        <f>Segment!BY9</f>
        <v>1798.7322741303665</v>
      </c>
      <c r="BZ30" s="1495">
        <f>Segment!BZ9</f>
        <v>1707.6549375205275</v>
      </c>
      <c r="CA30" s="1495">
        <f>SUM(BY30:BZ30)</f>
        <v>3506.3872116508937</v>
      </c>
      <c r="CB30" s="1495">
        <f>Segment!CB9</f>
        <v>2091.5294867772782</v>
      </c>
      <c r="CC30" s="1495">
        <f>Segment!CC9</f>
        <v>1971.0683056253647</v>
      </c>
      <c r="CD30" s="1495">
        <f>SUM(CB30:CC30)</f>
        <v>4062.5977924026429</v>
      </c>
      <c r="CE30" s="1495">
        <f>Segment!CE9</f>
        <v>2044.6881430770125</v>
      </c>
      <c r="CF30" s="1495">
        <f>Segment!CF9</f>
        <v>2196.6079782602687</v>
      </c>
      <c r="CG30" s="1495">
        <f>SUM(CE30:CF30)</f>
        <v>4241.296121337281</v>
      </c>
      <c r="CH30" s="1495">
        <f>Segment!CH9</f>
        <v>2306.111722858941</v>
      </c>
      <c r="CI30" s="1495">
        <f>Segment!CI9</f>
        <v>2318.1882771410592</v>
      </c>
      <c r="CJ30" s="1495">
        <f>SUM(CH30:CI30)</f>
        <v>4624.3</v>
      </c>
      <c r="CK30" s="1495">
        <f>Segment!CK9</f>
        <v>2492.2999999999997</v>
      </c>
      <c r="CL30" s="1495">
        <f>Segment!CL9</f>
        <v>2468.2000000000016</v>
      </c>
      <c r="CM30" s="1495">
        <f>SUM(CK30:CL30)</f>
        <v>4960.5000000000018</v>
      </c>
      <c r="CN30" s="1495">
        <f>Segment!CN9</f>
        <v>2574.1999999999998</v>
      </c>
      <c r="CO30" s="1495">
        <f>Segment!CO9</f>
        <v>2760.599999999999</v>
      </c>
      <c r="CP30" s="1495">
        <f>SUM(CN30:CO30)</f>
        <v>5334.7999999999993</v>
      </c>
      <c r="CQ30" s="1495">
        <f>Segment!CQ9</f>
        <v>2835.7000000000003</v>
      </c>
      <c r="CR30" s="1495">
        <f>Segment!CR9</f>
        <v>2759.800000000002</v>
      </c>
      <c r="CS30" s="1495">
        <f>SUM(CQ30:CR30)</f>
        <v>5595.5000000000018</v>
      </c>
      <c r="CT30" s="1495">
        <f>Segment!CT9</f>
        <v>3135.7077200000003</v>
      </c>
      <c r="CU30" s="1495">
        <f>Segment!CU9</f>
        <v>2919.692280000002</v>
      </c>
      <c r="CV30" s="1495">
        <f>SUM(CT30:CU30)</f>
        <v>6055.4000000000024</v>
      </c>
      <c r="CW30" s="1495">
        <f>Segment!CW9</f>
        <v>3596.3999999999996</v>
      </c>
      <c r="CX30" s="1495">
        <f>Segment!CX9</f>
        <v>3138.2</v>
      </c>
      <c r="CY30" s="1495">
        <f>SUM(CW30:CX30)</f>
        <v>6734.5999999999995</v>
      </c>
      <c r="CZ30" s="1495">
        <f>Segment!CZ9</f>
        <v>4079.5304625474068</v>
      </c>
      <c r="DA30" s="1495">
        <f>Segment!DA9</f>
        <v>3685.9695374525927</v>
      </c>
      <c r="DB30" s="1495">
        <f>SUM(CZ30:DA30)</f>
        <v>7765.5</v>
      </c>
      <c r="DC30" s="1495">
        <f>Segment!DC9</f>
        <v>4416.6000000000004</v>
      </c>
      <c r="DD30" s="1495">
        <f>Segment!DD9</f>
        <v>3965.7000000000012</v>
      </c>
      <c r="DE30" s="1496">
        <f>SUM(DC30:DD30)</f>
        <v>8382.3000000000011</v>
      </c>
      <c r="DF30" s="1495">
        <f>Segment!DF9</f>
        <v>4785.7324151647254</v>
      </c>
      <c r="DG30" s="1495">
        <f>Segment!DG9</f>
        <v>4172.4710689872554</v>
      </c>
      <c r="DH30" s="1496">
        <f>SUM(DF30:DG30)</f>
        <v>8958.2034841519817</v>
      </c>
      <c r="DI30" s="1495">
        <f>Segment!DI9</f>
        <v>5681.3448291452833</v>
      </c>
      <c r="DJ30" s="1495">
        <f>Segment!DJ9</f>
        <v>4484.9558953579226</v>
      </c>
      <c r="DK30" s="1496">
        <f>SUM(DI30:DJ30)</f>
        <v>10166.300724503206</v>
      </c>
      <c r="DL30" s="1495">
        <f>Segment!DL9</f>
        <v>5901.1</v>
      </c>
      <c r="DM30" s="1495">
        <f>Segment!DM9</f>
        <v>4422.5</v>
      </c>
      <c r="DN30" s="1496">
        <f>SUM(DL30:DM30)</f>
        <v>10323.6</v>
      </c>
      <c r="DO30" s="1495">
        <f>Segment!DO9</f>
        <v>6956.2</v>
      </c>
      <c r="DP30" s="1495">
        <f>Segment!DP9</f>
        <v>5851.8</v>
      </c>
      <c r="DQ30" s="1496">
        <f>SUM(DO30:DP30)</f>
        <v>12808</v>
      </c>
      <c r="DR30" s="1707">
        <f>Segment!DR9</f>
        <v>7805</v>
      </c>
      <c r="DS30" s="1707">
        <f>Segment!DS9</f>
        <v>6478</v>
      </c>
      <c r="DT30" s="1708">
        <f>SUM(DR30:DS30)</f>
        <v>14283</v>
      </c>
      <c r="DU30" s="1495">
        <f>Segment!DU9</f>
        <v>8229</v>
      </c>
      <c r="DV30" s="1707">
        <f>Segment!DV9</f>
        <v>6832</v>
      </c>
      <c r="DW30" s="1708">
        <f>SUM(DU30:DV30)</f>
        <v>15061</v>
      </c>
      <c r="DX30" s="1495">
        <f>Segment!DX9</f>
        <v>8092</v>
      </c>
      <c r="DY30" s="1495">
        <f>Segment!DY9</f>
        <v>7385.1872548682686</v>
      </c>
      <c r="DZ30" s="1496">
        <f>SUM(DX30:DY30)</f>
        <v>15477.18725486827</v>
      </c>
      <c r="EA30" s="1495">
        <f>Segment!EA9</f>
        <v>8643.9500801872127</v>
      </c>
      <c r="EB30" s="1495">
        <f>Segment!EB9</f>
        <v>7691.1679945721125</v>
      </c>
      <c r="EC30" s="1496">
        <f>SUM(EA30:EB30)</f>
        <v>16335.118074759324</v>
      </c>
      <c r="ED30" s="1495">
        <f>Segment!ED9</f>
        <v>9042.4370280353432</v>
      </c>
      <c r="EE30" s="1495">
        <f>Segment!EE9</f>
        <v>8183.6787836254753</v>
      </c>
      <c r="EF30" s="1496">
        <f>SUM(ED30:EE30)</f>
        <v>17226.11581166082</v>
      </c>
      <c r="EG30" s="1495">
        <f>Segment!EG9</f>
        <v>9570.8753568838911</v>
      </c>
      <c r="EH30" s="1495">
        <f>Segment!EH9</f>
        <v>8729.476797521238</v>
      </c>
      <c r="EI30" s="1496">
        <f>SUM(EG30:EH30)</f>
        <v>18300.352154405129</v>
      </c>
      <c r="EJ30" s="1495">
        <f>Segment!EJ9</f>
        <v>10137.387398154884</v>
      </c>
      <c r="EK30" s="1495">
        <f>Segment!EK9</f>
        <v>9323.6199281595054</v>
      </c>
      <c r="EL30" s="1496">
        <f>SUM(EJ30:EK30)</f>
        <v>19461.00732631439</v>
      </c>
      <c r="EM30" s="1495">
        <f>Segment!EM9</f>
        <v>10693.33119298682</v>
      </c>
      <c r="EN30" s="1495">
        <f>Segment!EN9</f>
        <v>9846.2653531632204</v>
      </c>
      <c r="EO30" s="1496">
        <f>SUM(EM30:EN30)</f>
        <v>20539.596546150038</v>
      </c>
      <c r="EP30" s="1495">
        <f>Segment!EP9</f>
        <v>11271.924085924722</v>
      </c>
      <c r="EQ30" s="1495">
        <f>Segment!EQ9</f>
        <v>10429.241523614164</v>
      </c>
      <c r="ER30" s="1496">
        <f>SUM(EP30:EQ30)</f>
        <v>21701.165609538886</v>
      </c>
      <c r="ES30" s="1495">
        <f>Segment!ES9</f>
        <v>11897.826114330675</v>
      </c>
      <c r="ET30" s="1495">
        <f>Segment!ET9</f>
        <v>11049.846040893557</v>
      </c>
      <c r="EU30" s="1496">
        <f>SUM(ES30:ET30)</f>
        <v>22947.672155224231</v>
      </c>
      <c r="EV30" s="1495">
        <f>Segment!EV9</f>
        <v>12562.561406332763</v>
      </c>
      <c r="EW30" s="1495">
        <f>Segment!EW9</f>
        <v>11710.590561992467</v>
      </c>
      <c r="EX30" s="1496">
        <f>SUM(EV30:EW30)</f>
        <v>24273.15196832523</v>
      </c>
      <c r="EY30" s="1495">
        <f>Segment!EY9</f>
        <v>13268.674419129587</v>
      </c>
      <c r="EZ30" s="1495">
        <f>Segment!EZ9</f>
        <v>12414.158434084942</v>
      </c>
      <c r="FA30" s="1496">
        <f>SUM(EY30:EZ30)</f>
        <v>25682.832853214531</v>
      </c>
      <c r="FD30"/>
      <c r="FE30"/>
      <c r="FF30"/>
      <c r="FG30"/>
      <c r="FH30"/>
      <c r="FI30"/>
      <c r="FJ30" s="33"/>
      <c r="FK30" s="33"/>
      <c r="FL30" s="33"/>
      <c r="FM30" s="33"/>
    </row>
    <row r="31" spans="1:169" s="33" customFormat="1">
      <c r="B31" s="33" t="s">
        <v>660</v>
      </c>
      <c r="D31" s="2" t="s">
        <v>507</v>
      </c>
      <c r="E31" s="51"/>
      <c r="F31" s="51"/>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f t="shared" ref="AP31:BR31" si="102">+(AP30-AM30)/AM30</f>
        <v>-0.38276497499128437</v>
      </c>
      <c r="AQ31" s="51">
        <f t="shared" si="102"/>
        <v>8.5026075943963442E-2</v>
      </c>
      <c r="AR31" s="51">
        <f t="shared" si="102"/>
        <v>0.18872673901305714</v>
      </c>
      <c r="AS31" s="51">
        <f t="shared" si="102"/>
        <v>0.13642755870114015</v>
      </c>
      <c r="AT31" s="51">
        <f t="shared" si="102"/>
        <v>0.158975485487028</v>
      </c>
      <c r="AU31" s="51">
        <f t="shared" si="102"/>
        <v>0.2124185933441663</v>
      </c>
      <c r="AV31" s="51">
        <f t="shared" si="102"/>
        <v>0.13579677142871638</v>
      </c>
      <c r="AW31" s="51">
        <f t="shared" si="102"/>
        <v>0.16967900172847405</v>
      </c>
      <c r="AX31" s="51">
        <f t="shared" si="102"/>
        <v>0.10308255680199244</v>
      </c>
      <c r="AY31" s="51">
        <f t="shared" si="102"/>
        <v>7.8547730997128903E-2</v>
      </c>
      <c r="AZ31" s="51">
        <f t="shared" si="102"/>
        <v>8.9793480074781565E-2</v>
      </c>
      <c r="BA31" s="51"/>
      <c r="BB31" s="51"/>
      <c r="BC31" s="51">
        <f t="shared" si="102"/>
        <v>0.89708786989733624</v>
      </c>
      <c r="BD31" s="51"/>
      <c r="BE31" s="51"/>
      <c r="BF31" s="51">
        <f t="shared" si="102"/>
        <v>0.57948536774821491</v>
      </c>
      <c r="BG31" s="51">
        <f t="shared" si="102"/>
        <v>8.4853468519256417E-2</v>
      </c>
      <c r="BH31" s="51">
        <f t="shared" si="102"/>
        <v>-0.13136246888056843</v>
      </c>
      <c r="BI31" s="51">
        <f t="shared" si="102"/>
        <v>-3.691206074440332E-2</v>
      </c>
      <c r="BJ31" s="51">
        <f t="shared" si="102"/>
        <v>-5.8044672830591167E-3</v>
      </c>
      <c r="BK31" s="51">
        <f t="shared" si="102"/>
        <v>0.53530701355958854</v>
      </c>
      <c r="BL31" s="51">
        <f t="shared" si="102"/>
        <v>0.26904572943774868</v>
      </c>
      <c r="BM31" s="51">
        <f t="shared" si="102"/>
        <v>1.2230176471143053</v>
      </c>
      <c r="BN31" s="51">
        <f t="shared" si="102"/>
        <v>0.31726982085837341</v>
      </c>
      <c r="BO31" s="51">
        <f t="shared" si="102"/>
        <v>0.66642871513444479</v>
      </c>
      <c r="BP31" s="51">
        <f t="shared" si="102"/>
        <v>-1</v>
      </c>
      <c r="BQ31" s="51">
        <f t="shared" si="102"/>
        <v>-1</v>
      </c>
      <c r="BR31" s="51">
        <f t="shared" si="102"/>
        <v>-1</v>
      </c>
      <c r="BS31" s="51"/>
      <c r="BT31" s="51"/>
      <c r="BU31" s="51"/>
      <c r="BV31" s="51"/>
      <c r="BW31" s="51"/>
      <c r="BX31" s="51"/>
      <c r="BY31" s="51">
        <f t="shared" ref="BY31:CY31" si="103">+(BY30-BV30)/BV30</f>
        <v>0.16413670462720378</v>
      </c>
      <c r="BZ31" s="51">
        <f t="shared" si="103"/>
        <v>2.8047289672183248E-3</v>
      </c>
      <c r="CA31" s="51">
        <f t="shared" si="103"/>
        <v>7.9552712946703741E-2</v>
      </c>
      <c r="CB31" s="51">
        <f t="shared" si="103"/>
        <v>0.16277976264615057</v>
      </c>
      <c r="CC31" s="51">
        <f t="shared" si="103"/>
        <v>0.15425444702974178</v>
      </c>
      <c r="CD31" s="51">
        <f t="shared" si="103"/>
        <v>0.15862782607225842</v>
      </c>
      <c r="CE31" s="51">
        <f t="shared" si="103"/>
        <v>-2.2395736706748971E-2</v>
      </c>
      <c r="CF31" s="51">
        <f t="shared" si="103"/>
        <v>0.1144250922158411</v>
      </c>
      <c r="CG31" s="51">
        <f t="shared" si="103"/>
        <v>4.3986222133241229E-2</v>
      </c>
      <c r="CH31" s="51">
        <f t="shared" si="103"/>
        <v>0.12785498887303037</v>
      </c>
      <c r="CI31" s="51">
        <f t="shared" si="103"/>
        <v>5.534911103121961E-2</v>
      </c>
      <c r="CJ31" s="51">
        <f t="shared" si="103"/>
        <v>9.0303498672466676E-2</v>
      </c>
      <c r="CK31" s="51">
        <f t="shared" si="103"/>
        <v>8.0736885076078083E-2</v>
      </c>
      <c r="CL31" s="51">
        <f t="shared" si="103"/>
        <v>6.4710758974222182E-2</v>
      </c>
      <c r="CM31" s="51">
        <f t="shared" si="103"/>
        <v>7.2702895573384427E-2</v>
      </c>
      <c r="CN31" s="51">
        <f t="shared" si="103"/>
        <v>3.2861212534606631E-2</v>
      </c>
      <c r="CO31" s="51">
        <f t="shared" si="103"/>
        <v>0.11846689895470268</v>
      </c>
      <c r="CP31" s="51">
        <f t="shared" si="103"/>
        <v>7.5456103215401138E-2</v>
      </c>
      <c r="CQ31" s="51">
        <f t="shared" si="103"/>
        <v>0.10158495843368832</v>
      </c>
      <c r="CR31" s="51">
        <f t="shared" si="103"/>
        <v>-2.8979207418568389E-4</v>
      </c>
      <c r="CS31" s="51">
        <f t="shared" si="103"/>
        <v>4.8867811351878718E-2</v>
      </c>
      <c r="CT31" s="51">
        <f t="shared" si="103"/>
        <v>0.10579670628063619</v>
      </c>
      <c r="CU31" s="51">
        <f t="shared" si="103"/>
        <v>5.7936183781433406E-2</v>
      </c>
      <c r="CV31" s="51">
        <f t="shared" si="103"/>
        <v>8.2191046376552654E-2</v>
      </c>
      <c r="CW31" s="51">
        <f t="shared" si="103"/>
        <v>0.1469181190139747</v>
      </c>
      <c r="CX31" s="51">
        <f t="shared" si="103"/>
        <v>7.4839297790655401E-2</v>
      </c>
      <c r="CY31" s="51">
        <f t="shared" si="103"/>
        <v>0.11216434917594161</v>
      </c>
      <c r="CZ31" s="51">
        <f t="shared" ref="CZ31:DQ31" si="104">+(CZ30-CW30)/CW30</f>
        <v>0.13433724350667536</v>
      </c>
      <c r="DA31" s="51">
        <f t="shared" si="104"/>
        <v>0.1745489571896606</v>
      </c>
      <c r="DB31" s="51">
        <f t="shared" si="104"/>
        <v>0.15307516407804481</v>
      </c>
      <c r="DC31" s="51">
        <f t="shared" si="104"/>
        <v>8.2624591370771397E-2</v>
      </c>
      <c r="DD31" s="51">
        <f t="shared" si="104"/>
        <v>7.5890606177047459E-2</v>
      </c>
      <c r="DE31" s="1080">
        <f t="shared" si="104"/>
        <v>7.942824029360647E-2</v>
      </c>
      <c r="DF31" s="51">
        <f t="shared" si="104"/>
        <v>8.3578412164272281E-2</v>
      </c>
      <c r="DG31" s="51">
        <f t="shared" si="104"/>
        <v>5.2139866602933703E-2</v>
      </c>
      <c r="DH31" s="1080">
        <f t="shared" si="104"/>
        <v>6.8704709226820856E-2</v>
      </c>
      <c r="DI31" s="51">
        <f t="shared" si="104"/>
        <v>0.18714218353341239</v>
      </c>
      <c r="DJ31" s="51">
        <f t="shared" si="104"/>
        <v>7.4892029496207796E-2</v>
      </c>
      <c r="DK31" s="1080">
        <f t="shared" si="104"/>
        <v>0.13485932112264218</v>
      </c>
      <c r="DL31" s="51">
        <f t="shared" si="104"/>
        <v>3.8680132514994282E-2</v>
      </c>
      <c r="DM31" s="51">
        <f t="shared" si="104"/>
        <v>-1.3925643153496006E-2</v>
      </c>
      <c r="DN31" s="1080">
        <f t="shared" si="104"/>
        <v>1.5472616811114568E-2</v>
      </c>
      <c r="DO31" s="51">
        <f t="shared" si="104"/>
        <v>0.1787971734083475</v>
      </c>
      <c r="DP31" s="51">
        <f t="shared" si="104"/>
        <v>0.3231882419446015</v>
      </c>
      <c r="DQ31" s="1080">
        <f t="shared" si="104"/>
        <v>0.24065248556705021</v>
      </c>
      <c r="DR31" s="51">
        <f t="shared" ref="DR31:DZ31" si="105">+(DR30-DO30)/DO30</f>
        <v>0.12202064345475981</v>
      </c>
      <c r="DS31" s="51">
        <f t="shared" si="105"/>
        <v>0.10700980894767419</v>
      </c>
      <c r="DT31" s="1080">
        <f t="shared" si="105"/>
        <v>0.11516239850093692</v>
      </c>
      <c r="DU31" s="51">
        <f t="shared" si="105"/>
        <v>5.4324151185137733E-2</v>
      </c>
      <c r="DV31" s="51">
        <f>+(DV30-DS30)/DS30</f>
        <v>5.4646495832046928E-2</v>
      </c>
      <c r="DW31" s="1080">
        <f>+(DW30-DT30)/DT30</f>
        <v>5.4470349366379615E-2</v>
      </c>
      <c r="DX31" s="51">
        <f t="shared" si="105"/>
        <v>-1.6648438449386318E-2</v>
      </c>
      <c r="DY31" s="51">
        <f t="shared" si="105"/>
        <v>8.0970031450273511E-2</v>
      </c>
      <c r="DZ31" s="1080">
        <f t="shared" si="105"/>
        <v>2.7633440997826806E-2</v>
      </c>
      <c r="EA31" s="51">
        <f t="shared" ref="EA31:EF31" si="106">+(EA30-DX30)/DX30</f>
        <v>6.8209352469996626E-2</v>
      </c>
      <c r="EB31" s="51">
        <f t="shared" si="106"/>
        <v>4.1431683333708752E-2</v>
      </c>
      <c r="EC31" s="1080">
        <f t="shared" si="106"/>
        <v>5.543195968125262E-2</v>
      </c>
      <c r="ED31" s="51">
        <f t="shared" si="106"/>
        <v>4.610009823651133E-2</v>
      </c>
      <c r="EE31" s="51">
        <f t="shared" si="106"/>
        <v>6.4035890179611518E-2</v>
      </c>
      <c r="EF31" s="1080">
        <f t="shared" si="106"/>
        <v>5.4544921733883679E-2</v>
      </c>
      <c r="EG31" s="51">
        <f t="shared" ref="EG31:EL31" si="107">+(EG30-ED30)/ED30</f>
        <v>5.8439812985168448E-2</v>
      </c>
      <c r="EH31" s="51">
        <f t="shared" si="107"/>
        <v>6.6693479586202337E-2</v>
      </c>
      <c r="EI31" s="1080">
        <f t="shared" si="107"/>
        <v>6.2360914932264033E-2</v>
      </c>
      <c r="EJ31" s="51">
        <f t="shared" si="107"/>
        <v>5.9191246374713978E-2</v>
      </c>
      <c r="EK31" s="51">
        <f t="shared" si="107"/>
        <v>6.8061711419746956E-2</v>
      </c>
      <c r="EL31" s="1080">
        <f t="shared" si="107"/>
        <v>6.3422559419430397E-2</v>
      </c>
      <c r="EM31" s="51">
        <f t="shared" ref="EM31:FA31" si="108">+(EM30-EJ30)/EJ30</f>
        <v>5.4840934157564442E-2</v>
      </c>
      <c r="EN31" s="51">
        <f t="shared" si="108"/>
        <v>5.6056062884460141E-2</v>
      </c>
      <c r="EO31" s="1080">
        <f t="shared" si="108"/>
        <v>5.5423093047050231E-2</v>
      </c>
      <c r="EP31" s="51">
        <f t="shared" si="108"/>
        <v>5.4107825007549598E-2</v>
      </c>
      <c r="EQ31" s="51">
        <f t="shared" si="108"/>
        <v>5.9207846786665796E-2</v>
      </c>
      <c r="ER31" s="1080">
        <f t="shared" si="108"/>
        <v>5.6552671849173862E-2</v>
      </c>
      <c r="ES31" s="51">
        <f t="shared" si="108"/>
        <v>5.5527523396606153E-2</v>
      </c>
      <c r="ET31" s="51">
        <f t="shared" si="108"/>
        <v>5.9506198593081171E-2</v>
      </c>
      <c r="EU31" s="1080">
        <f t="shared" si="108"/>
        <v>5.7439612604837896E-2</v>
      </c>
      <c r="EV31" s="51">
        <f t="shared" si="108"/>
        <v>5.5870314931013174E-2</v>
      </c>
      <c r="EW31" s="51">
        <f t="shared" si="108"/>
        <v>5.9796717407066977E-2</v>
      </c>
      <c r="EX31" s="1080">
        <f t="shared" si="108"/>
        <v>5.776097044332415E-2</v>
      </c>
      <c r="EY31" s="51">
        <f t="shared" si="108"/>
        <v>5.620772627156069E-2</v>
      </c>
      <c r="EZ31" s="51">
        <f t="shared" si="108"/>
        <v>6.0079623514116658E-2</v>
      </c>
      <c r="FA31" s="1080">
        <f t="shared" si="108"/>
        <v>5.8075724435328248E-2</v>
      </c>
      <c r="FD31"/>
      <c r="FE31"/>
      <c r="FF31"/>
      <c r="FG31"/>
      <c r="FH31"/>
      <c r="FI31"/>
    </row>
    <row r="32" spans="1:169" s="33" customFormat="1">
      <c r="B32" s="33" t="s">
        <v>542</v>
      </c>
      <c r="D32" s="2" t="s">
        <v>506</v>
      </c>
      <c r="E32" s="32"/>
      <c r="F32" s="32">
        <f t="shared" ref="F32:F49" si="109">+G32-E32</f>
        <v>0</v>
      </c>
      <c r="G32" s="32"/>
      <c r="H32" s="32"/>
      <c r="I32" s="32">
        <f t="shared" ref="I32:I49" si="110">+J32-H32</f>
        <v>0</v>
      </c>
      <c r="J32" s="32"/>
      <c r="K32" s="32"/>
      <c r="L32" s="32">
        <f t="shared" ref="L32:L49" si="111">+M32-K32</f>
        <v>0</v>
      </c>
      <c r="M32" s="32"/>
      <c r="N32" s="32"/>
      <c r="O32" s="32">
        <f t="shared" ref="O32:O49" si="112">+P32-N32</f>
        <v>0</v>
      </c>
      <c r="P32" s="32"/>
      <c r="Q32" s="32"/>
      <c r="R32" s="32">
        <f t="shared" ref="R32:R49" si="113">+S32-Q32</f>
        <v>0</v>
      </c>
      <c r="S32" s="32"/>
      <c r="T32" s="32"/>
      <c r="U32" s="32">
        <f t="shared" ref="U32:U49" si="114">+V32-T32</f>
        <v>0</v>
      </c>
      <c r="V32" s="32"/>
      <c r="W32" s="32"/>
      <c r="X32" s="32">
        <f t="shared" ref="X32:X49" si="115">+Y32-W32</f>
        <v>0</v>
      </c>
      <c r="Y32" s="32"/>
      <c r="Z32" s="32"/>
      <c r="AA32" s="32">
        <f t="shared" ref="AA32:AA49" si="116">+AB32-Z32</f>
        <v>0</v>
      </c>
      <c r="AB32" s="32"/>
      <c r="AC32" s="32"/>
      <c r="AD32" s="32">
        <f t="shared" ref="AD32:AD49" si="117">+AE32-AC32</f>
        <v>0</v>
      </c>
      <c r="AE32" s="32"/>
      <c r="AF32" s="32"/>
      <c r="AG32" s="32">
        <f t="shared" ref="AG32:AG49" si="118">+AH32-AF32</f>
        <v>0</v>
      </c>
      <c r="AH32" s="32"/>
      <c r="AI32" s="1064">
        <v>0</v>
      </c>
      <c r="AJ32" s="32">
        <f t="shared" ref="AJ32:AJ49" si="119">+AK32-AI32</f>
        <v>2.4E-2</v>
      </c>
      <c r="AK32" s="1064">
        <v>2.4E-2</v>
      </c>
      <c r="AL32" s="1064">
        <v>0</v>
      </c>
      <c r="AM32" s="32">
        <f t="shared" ref="AM32:AM49" si="120">+AN32-AL32</f>
        <v>0</v>
      </c>
      <c r="AN32" s="32"/>
      <c r="AO32" s="1064">
        <v>0</v>
      </c>
      <c r="AP32" s="32">
        <f t="shared" ref="AP32:AP49" si="121">+AQ32-AO32</f>
        <v>0</v>
      </c>
      <c r="AQ32" s="1064">
        <v>0</v>
      </c>
      <c r="AR32" s="1064">
        <v>0</v>
      </c>
      <c r="AS32" s="32">
        <f t="shared" ref="AS32:AS49" si="122">+AT32-AR32</f>
        <v>0</v>
      </c>
      <c r="AT32" s="1064">
        <v>0</v>
      </c>
      <c r="AU32" s="1064">
        <v>0</v>
      </c>
      <c r="AV32" s="32">
        <f t="shared" ref="AV32:AV49" si="123">+AW32-AU32</f>
        <v>0</v>
      </c>
      <c r="AW32" s="1064">
        <v>0</v>
      </c>
      <c r="AX32" s="1064">
        <v>0</v>
      </c>
      <c r="AY32" s="32">
        <f t="shared" ref="AY32:AY49" si="124">+AZ32-AX32</f>
        <v>0</v>
      </c>
      <c r="AZ32" s="1064">
        <v>0</v>
      </c>
      <c r="BA32" s="1064">
        <v>0</v>
      </c>
      <c r="BB32" s="32">
        <f t="shared" ref="BB32:BB49" si="125">+BC32-BA32</f>
        <v>11.5</v>
      </c>
      <c r="BC32" s="1064">
        <v>11.5</v>
      </c>
      <c r="BD32" s="1064">
        <v>2.0099999999999998</v>
      </c>
      <c r="BE32" s="32">
        <f t="shared" ref="BE32:BE49" si="126">+BF32-BD32</f>
        <v>-2.0099999999999998</v>
      </c>
      <c r="BF32" s="1064">
        <v>0</v>
      </c>
      <c r="BG32" s="1064">
        <v>0</v>
      </c>
      <c r="BH32" s="32">
        <f t="shared" ref="BH32:BH49" si="127">+BI32-BG32</f>
        <v>0</v>
      </c>
      <c r="BI32" s="1064">
        <v>0</v>
      </c>
      <c r="BJ32" s="1064">
        <v>2.6230000000000002</v>
      </c>
      <c r="BK32" s="32">
        <f t="shared" ref="BK32:BK49" si="128">+BL32-BJ32</f>
        <v>11.725000000000001</v>
      </c>
      <c r="BL32" s="32">
        <f>0.413+0.389+9.393+1.149+3.004</f>
        <v>14.348000000000001</v>
      </c>
      <c r="BM32" s="1064">
        <v>0</v>
      </c>
      <c r="BN32" s="32">
        <f t="shared" ref="BN32:BN49" si="129">+BO32-BM32</f>
        <v>485.77199999999999</v>
      </c>
      <c r="BO32" s="32">
        <f>502.976-BO35</f>
        <v>485.77199999999999</v>
      </c>
      <c r="BP32" s="32">
        <f>BP33-BP30</f>
        <v>0</v>
      </c>
      <c r="BQ32" s="32">
        <f t="shared" ref="BQ32:DQ32" si="130">BQ33-BQ30</f>
        <v>0</v>
      </c>
      <c r="BR32" s="32">
        <f t="shared" si="130"/>
        <v>0</v>
      </c>
      <c r="BS32" s="32">
        <f t="shared" si="130"/>
        <v>0</v>
      </c>
      <c r="BT32" s="32">
        <f t="shared" si="130"/>
        <v>0</v>
      </c>
      <c r="BU32" s="32">
        <f t="shared" si="130"/>
        <v>0</v>
      </c>
      <c r="BV32" s="32">
        <f t="shared" si="130"/>
        <v>84.405999999999949</v>
      </c>
      <c r="BW32" s="32">
        <f t="shared" si="130"/>
        <v>97.594000000000278</v>
      </c>
      <c r="BX32" s="32">
        <f t="shared" si="130"/>
        <v>182</v>
      </c>
      <c r="BY32" s="32">
        <f t="shared" si="130"/>
        <v>84.516999999999825</v>
      </c>
      <c r="BZ32" s="32">
        <f t="shared" si="130"/>
        <v>71.476100913848995</v>
      </c>
      <c r="CA32" s="32">
        <f t="shared" si="130"/>
        <v>155.99310091384905</v>
      </c>
      <c r="CB32" s="32">
        <f t="shared" si="130"/>
        <v>44.604723595510222</v>
      </c>
      <c r="CC32" s="32">
        <f t="shared" si="130"/>
        <v>53.701328838957124</v>
      </c>
      <c r="CD32" s="32">
        <f t="shared" si="130"/>
        <v>98.306052434467347</v>
      </c>
      <c r="CE32" s="32">
        <f t="shared" si="130"/>
        <v>54.32739551222835</v>
      </c>
      <c r="CF32" s="32">
        <f t="shared" si="130"/>
        <v>43.682306702238293</v>
      </c>
      <c r="CG32" s="32">
        <f t="shared" si="130"/>
        <v>98.009702214466415</v>
      </c>
      <c r="CH32" s="32">
        <f t="shared" si="130"/>
        <v>83.750384615384974</v>
      </c>
      <c r="CI32" s="32">
        <f t="shared" si="130"/>
        <v>62.700384615384792</v>
      </c>
      <c r="CJ32" s="32">
        <f t="shared" si="130"/>
        <v>146.45076923076977</v>
      </c>
      <c r="CK32" s="32">
        <f t="shared" si="130"/>
        <v>73.947926267281218</v>
      </c>
      <c r="CL32" s="32">
        <f t="shared" si="130"/>
        <v>63.852073732718964</v>
      </c>
      <c r="CM32" s="32">
        <f t="shared" si="130"/>
        <v>137.79999999999927</v>
      </c>
      <c r="CN32" s="32">
        <f t="shared" si="130"/>
        <v>116.79999999999973</v>
      </c>
      <c r="CO32" s="32">
        <f t="shared" si="130"/>
        <v>50.300000000000182</v>
      </c>
      <c r="CP32" s="32">
        <f t="shared" si="130"/>
        <v>167.09999999999945</v>
      </c>
      <c r="CQ32" s="32">
        <f t="shared" si="130"/>
        <v>4.1999999999998181</v>
      </c>
      <c r="CR32" s="32">
        <f t="shared" si="130"/>
        <v>11.499999999999545</v>
      </c>
      <c r="CS32" s="32">
        <f t="shared" si="130"/>
        <v>15.699999999999818</v>
      </c>
      <c r="CT32" s="32">
        <f t="shared" si="130"/>
        <v>0</v>
      </c>
      <c r="CU32" s="32">
        <f t="shared" si="130"/>
        <v>59.900000000000091</v>
      </c>
      <c r="CV32" s="32">
        <f t="shared" si="130"/>
        <v>59.900000000000546</v>
      </c>
      <c r="CW32" s="32">
        <f t="shared" si="130"/>
        <v>80.100000000000364</v>
      </c>
      <c r="CX32" s="32">
        <f t="shared" si="130"/>
        <v>108.09999999999991</v>
      </c>
      <c r="CY32" s="32">
        <f t="shared" si="130"/>
        <v>188.19999999999982</v>
      </c>
      <c r="CZ32" s="32">
        <f t="shared" si="130"/>
        <v>67.099999999999909</v>
      </c>
      <c r="DA32" s="32">
        <f t="shared" si="130"/>
        <v>82.400000000000091</v>
      </c>
      <c r="DB32" s="32">
        <f t="shared" si="130"/>
        <v>149.5</v>
      </c>
      <c r="DC32" s="32">
        <f t="shared" si="130"/>
        <v>88.199999999999818</v>
      </c>
      <c r="DD32" s="32">
        <f t="shared" si="130"/>
        <v>67.399999999999636</v>
      </c>
      <c r="DE32" s="1061">
        <f t="shared" si="130"/>
        <v>155.60000000000036</v>
      </c>
      <c r="DF32" s="32">
        <f t="shared" si="130"/>
        <v>124.89999999999964</v>
      </c>
      <c r="DG32" s="32">
        <f t="shared" si="130"/>
        <v>67.799999999999272</v>
      </c>
      <c r="DH32" s="1061">
        <f t="shared" si="130"/>
        <v>192.69999999999709</v>
      </c>
      <c r="DI32" s="32">
        <f t="shared" si="130"/>
        <v>58.400000000000546</v>
      </c>
      <c r="DJ32" s="32">
        <f t="shared" si="130"/>
        <v>87.600000000000364</v>
      </c>
      <c r="DK32" s="1061">
        <f t="shared" si="130"/>
        <v>146</v>
      </c>
      <c r="DL32" s="32">
        <f t="shared" si="130"/>
        <v>140.10000000000036</v>
      </c>
      <c r="DM32" s="32">
        <f t="shared" si="130"/>
        <v>98.699999999999818</v>
      </c>
      <c r="DN32" s="1061">
        <f t="shared" si="130"/>
        <v>238.80000000000109</v>
      </c>
      <c r="DO32" s="32">
        <f t="shared" si="130"/>
        <v>227.80000000000018</v>
      </c>
      <c r="DP32" s="32">
        <f t="shared" si="130"/>
        <v>274.19999999999982</v>
      </c>
      <c r="DQ32" s="1061">
        <f t="shared" si="130"/>
        <v>502</v>
      </c>
      <c r="DR32" s="1062">
        <f t="shared" ref="DR32:DZ32" si="131">DR33-DR30</f>
        <v>248</v>
      </c>
      <c r="DS32" s="1062">
        <f t="shared" si="131"/>
        <v>269</v>
      </c>
      <c r="DT32" s="1063">
        <f t="shared" si="131"/>
        <v>517</v>
      </c>
      <c r="DU32" s="32">
        <f t="shared" si="131"/>
        <v>254</v>
      </c>
      <c r="DV32" s="1062">
        <f>DV33-DV30</f>
        <v>243</v>
      </c>
      <c r="DW32" s="1063">
        <f>DW33-DW30</f>
        <v>497</v>
      </c>
      <c r="DX32" s="32">
        <f t="shared" ref="DX32" si="132">DX33-DX30</f>
        <v>240</v>
      </c>
      <c r="DY32" s="32">
        <f t="shared" si="131"/>
        <v>206.19999999999982</v>
      </c>
      <c r="DZ32" s="1061">
        <f t="shared" si="131"/>
        <v>446.19999999999891</v>
      </c>
      <c r="EA32" s="32">
        <f>EA33-EA30</f>
        <v>229.01000000000204</v>
      </c>
      <c r="EB32" s="32">
        <f t="shared" ref="EB32:EF32" si="133">EB33-EB30</f>
        <v>207.15999999999985</v>
      </c>
      <c r="EC32" s="1061">
        <f t="shared" si="133"/>
        <v>436.17000000000189</v>
      </c>
      <c r="ED32" s="32">
        <f t="shared" si="133"/>
        <v>230.03210000000036</v>
      </c>
      <c r="EE32" s="32">
        <f t="shared" si="133"/>
        <v>208.13799999999901</v>
      </c>
      <c r="EF32" s="1061">
        <f t="shared" si="133"/>
        <v>438.17009999999573</v>
      </c>
      <c r="EG32" s="32">
        <f t="shared" ref="EG32:EL32" si="134">EG33-EG30</f>
        <v>231.06652100000065</v>
      </c>
      <c r="EH32" s="32">
        <f t="shared" si="134"/>
        <v>209.13459999999941</v>
      </c>
      <c r="EI32" s="1061">
        <f t="shared" si="134"/>
        <v>440.20112100000188</v>
      </c>
      <c r="EJ32" s="32">
        <f t="shared" si="134"/>
        <v>232.11349121000057</v>
      </c>
      <c r="EK32" s="32">
        <f t="shared" si="134"/>
        <v>210.15042700000049</v>
      </c>
      <c r="EL32" s="1061">
        <f t="shared" si="134"/>
        <v>442.26391820999925</v>
      </c>
      <c r="EM32" s="32">
        <f t="shared" ref="EM32:ER32" si="135">EM33-EM30</f>
        <v>233.17324637210004</v>
      </c>
      <c r="EN32" s="32">
        <f t="shared" si="135"/>
        <v>211.1861363199987</v>
      </c>
      <c r="EO32" s="1061">
        <f t="shared" si="135"/>
        <v>444.35938269209873</v>
      </c>
      <c r="EP32" s="32">
        <f t="shared" si="135"/>
        <v>234.24603009832208</v>
      </c>
      <c r="EQ32" s="32">
        <f t="shared" si="135"/>
        <v>212.24241298569905</v>
      </c>
      <c r="ER32" s="1061">
        <f t="shared" si="135"/>
        <v>446.48844308402113</v>
      </c>
      <c r="ES32" s="32">
        <f t="shared" ref="ES32:FA32" si="136">ES33-ES30</f>
        <v>235.33209422492837</v>
      </c>
      <c r="ET32" s="32">
        <f t="shared" si="136"/>
        <v>213.31997318318281</v>
      </c>
      <c r="EU32" s="1061">
        <f t="shared" si="136"/>
        <v>448.65206740811118</v>
      </c>
      <c r="EV32" s="32">
        <f t="shared" si="136"/>
        <v>236.43169918408603</v>
      </c>
      <c r="EW32" s="32">
        <f t="shared" si="136"/>
        <v>214.41956578602003</v>
      </c>
      <c r="EX32" s="1061">
        <f t="shared" si="136"/>
        <v>450.85126497010424</v>
      </c>
      <c r="EY32" s="32">
        <f t="shared" si="136"/>
        <v>237.54511439367707</v>
      </c>
      <c r="EZ32" s="32">
        <f t="shared" si="136"/>
        <v>215.54197395843585</v>
      </c>
      <c r="FA32" s="1061">
        <f t="shared" si="136"/>
        <v>453.08708835211291</v>
      </c>
      <c r="FD32"/>
      <c r="FE32"/>
      <c r="FF32"/>
      <c r="FG32"/>
      <c r="FH32"/>
      <c r="FI32"/>
    </row>
    <row r="33" spans="2:165" s="33" customFormat="1">
      <c r="B33" s="33" t="s">
        <v>76</v>
      </c>
      <c r="D33" s="2" t="s">
        <v>506</v>
      </c>
      <c r="E33" s="32">
        <f>+E30+E32</f>
        <v>0</v>
      </c>
      <c r="F33" s="32">
        <f t="shared" si="109"/>
        <v>0</v>
      </c>
      <c r="G33" s="32">
        <f>+G30+G32</f>
        <v>0</v>
      </c>
      <c r="H33" s="32">
        <f>+H30+H32</f>
        <v>0</v>
      </c>
      <c r="I33" s="32">
        <f t="shared" si="110"/>
        <v>0</v>
      </c>
      <c r="J33" s="32">
        <f>+J30+J32</f>
        <v>0</v>
      </c>
      <c r="K33" s="32">
        <f>+K30+K32</f>
        <v>0</v>
      </c>
      <c r="L33" s="32">
        <f t="shared" si="111"/>
        <v>0</v>
      </c>
      <c r="M33" s="32">
        <f>+M30+M32</f>
        <v>0</v>
      </c>
      <c r="N33" s="32">
        <f>+N30+N32</f>
        <v>0</v>
      </c>
      <c r="O33" s="32">
        <f t="shared" si="112"/>
        <v>0</v>
      </c>
      <c r="P33" s="32">
        <f>+P30+P32</f>
        <v>0</v>
      </c>
      <c r="Q33" s="32">
        <f>+Q30+Q32</f>
        <v>0</v>
      </c>
      <c r="R33" s="32">
        <f t="shared" si="113"/>
        <v>0</v>
      </c>
      <c r="S33" s="32">
        <f>+S30+S32</f>
        <v>0</v>
      </c>
      <c r="T33" s="32">
        <f>+T30+T32</f>
        <v>0</v>
      </c>
      <c r="U33" s="32">
        <f t="shared" si="114"/>
        <v>0</v>
      </c>
      <c r="V33" s="32">
        <f>+V30+V32</f>
        <v>0</v>
      </c>
      <c r="W33" s="32">
        <f>+W30+W32</f>
        <v>0</v>
      </c>
      <c r="X33" s="32">
        <f t="shared" si="115"/>
        <v>0</v>
      </c>
      <c r="Y33" s="32">
        <f>+Y30+Y32</f>
        <v>0</v>
      </c>
      <c r="Z33" s="32">
        <f>+Z30+Z32</f>
        <v>0</v>
      </c>
      <c r="AA33" s="32">
        <f t="shared" si="116"/>
        <v>0</v>
      </c>
      <c r="AB33" s="32">
        <f>+AB30+AB32</f>
        <v>0</v>
      </c>
      <c r="AC33" s="32">
        <f>+AC30+AC32</f>
        <v>0</v>
      </c>
      <c r="AD33" s="32">
        <f t="shared" si="117"/>
        <v>0</v>
      </c>
      <c r="AE33" s="32">
        <f>+AE30+AE32</f>
        <v>0</v>
      </c>
      <c r="AF33" s="32">
        <f>+AF30+AF32</f>
        <v>0</v>
      </c>
      <c r="AG33" s="32">
        <f t="shared" si="118"/>
        <v>0</v>
      </c>
      <c r="AH33" s="32">
        <f>+AH30+AH32</f>
        <v>0</v>
      </c>
      <c r="AI33" s="32">
        <f>+AI30+AI32</f>
        <v>0</v>
      </c>
      <c r="AJ33" s="32">
        <f t="shared" si="119"/>
        <v>2.4E-2</v>
      </c>
      <c r="AK33" s="32">
        <f>+AK30+AK32</f>
        <v>2.4E-2</v>
      </c>
      <c r="AL33" s="32">
        <f>+AL30+AL32</f>
        <v>0</v>
      </c>
      <c r="AM33" s="32">
        <f t="shared" si="120"/>
        <v>281.10199999999998</v>
      </c>
      <c r="AN33" s="32">
        <f>+AN30+AN32</f>
        <v>281.10199999999998</v>
      </c>
      <c r="AO33" s="32">
        <f>+AO30+AO32</f>
        <v>131.49700000000001</v>
      </c>
      <c r="AP33" s="32">
        <f t="shared" si="121"/>
        <v>173.50599999999997</v>
      </c>
      <c r="AQ33" s="32">
        <f>+AQ30+AQ32</f>
        <v>305.00299999999999</v>
      </c>
      <c r="AR33" s="32">
        <f>+AR30+AR32</f>
        <v>156.31399999999999</v>
      </c>
      <c r="AS33" s="32">
        <f t="shared" si="122"/>
        <v>197.17699999999999</v>
      </c>
      <c r="AT33" s="32">
        <f>+AT30+AT32</f>
        <v>353.49099999999999</v>
      </c>
      <c r="AU33" s="32">
        <f>+AU30+AU32</f>
        <v>189.518</v>
      </c>
      <c r="AV33" s="32">
        <f t="shared" si="123"/>
        <v>223.953</v>
      </c>
      <c r="AW33" s="32">
        <f>+AW30+AW32</f>
        <v>413.471</v>
      </c>
      <c r="AX33" s="32">
        <f>+AX30+AX32</f>
        <v>209.054</v>
      </c>
      <c r="AY33" s="32">
        <f t="shared" si="124"/>
        <v>241.54400000000001</v>
      </c>
      <c r="AZ33" s="32">
        <f>+AZ30+AZ32</f>
        <v>450.59800000000001</v>
      </c>
      <c r="BA33" s="32"/>
      <c r="BB33" s="32"/>
      <c r="BC33" s="32">
        <f>+BC30+BC32</f>
        <v>866.32399999999996</v>
      </c>
      <c r="BD33" s="32">
        <f>+BD30+BD32</f>
        <v>591.81499999999994</v>
      </c>
      <c r="BE33" s="32">
        <f t="shared" si="126"/>
        <v>758.36700000000008</v>
      </c>
      <c r="BF33" s="32">
        <f>+BF30+BF32</f>
        <v>1350.182</v>
      </c>
      <c r="BG33" s="32">
        <f>+BG30+BG32</f>
        <v>639.85199999999998</v>
      </c>
      <c r="BH33" s="32">
        <f t="shared" si="127"/>
        <v>660.49200000000008</v>
      </c>
      <c r="BI33" s="32">
        <f>+BI30+BI32</f>
        <v>1300.3440000000001</v>
      </c>
      <c r="BJ33" s="32">
        <f>+BJ30+BJ32</f>
        <v>638.76100000000008</v>
      </c>
      <c r="BK33" s="32">
        <f t="shared" si="128"/>
        <v>1025.7829999999999</v>
      </c>
      <c r="BL33" s="32">
        <f>+BL30+BL32</f>
        <v>1664.5439999999999</v>
      </c>
      <c r="BM33" s="32">
        <f>+BM30+BM32</f>
        <v>1414.146</v>
      </c>
      <c r="BN33" s="32">
        <f t="shared" si="129"/>
        <v>1821.5600000000002</v>
      </c>
      <c r="BO33" s="32">
        <f>+BO30+BO32</f>
        <v>3235.7060000000001</v>
      </c>
      <c r="BP33" s="32">
        <f>Segment!BP20</f>
        <v>0</v>
      </c>
      <c r="BQ33" s="32">
        <f>Segment!BQ20</f>
        <v>0</v>
      </c>
      <c r="BR33" s="53">
        <f>SUM(BP33:BQ33)</f>
        <v>0</v>
      </c>
      <c r="BS33" s="32">
        <f>Segment!BS20</f>
        <v>0</v>
      </c>
      <c r="BT33" s="32">
        <f>Segment!BT20</f>
        <v>0</v>
      </c>
      <c r="BU33" s="53">
        <f>SUM(BS33:BT33)</f>
        <v>0</v>
      </c>
      <c r="BV33" s="32">
        <f>Segment!BV20</f>
        <v>1629.5271760446826</v>
      </c>
      <c r="BW33" s="32">
        <f>Segment!BW20</f>
        <v>1800.4728239553176</v>
      </c>
      <c r="BX33" s="53">
        <f>SUM(BV33:BW33)</f>
        <v>3430</v>
      </c>
      <c r="BY33" s="32">
        <f>Segment!BY20</f>
        <v>1883.2492741303663</v>
      </c>
      <c r="BZ33" s="32">
        <f>Segment!BZ20</f>
        <v>1779.1310384343765</v>
      </c>
      <c r="CA33" s="53">
        <f>SUM(BY33:BZ33)</f>
        <v>3662.3803125647428</v>
      </c>
      <c r="CB33" s="32">
        <f>Segment!CB20</f>
        <v>2136.1342103727884</v>
      </c>
      <c r="CC33" s="32">
        <f>Segment!CC20</f>
        <v>2024.7696344643218</v>
      </c>
      <c r="CD33" s="53">
        <f>SUM(CB33:CC33)</f>
        <v>4160.9038448371102</v>
      </c>
      <c r="CE33" s="32">
        <f>Segment!CE20</f>
        <v>2099.0155385892408</v>
      </c>
      <c r="CF33" s="32">
        <f>Segment!CF20</f>
        <v>2240.290284962507</v>
      </c>
      <c r="CG33" s="53">
        <f>SUM(CE33:CF33)</f>
        <v>4339.3058235517474</v>
      </c>
      <c r="CH33" s="32">
        <f>Segment!CH20</f>
        <v>2389.862107474326</v>
      </c>
      <c r="CI33" s="32">
        <f>Segment!CI20</f>
        <v>2380.888661756444</v>
      </c>
      <c r="CJ33" s="53">
        <f>SUM(CH33:CI33)</f>
        <v>4770.7507692307699</v>
      </c>
      <c r="CK33" s="32">
        <f>Segment!CK20</f>
        <v>2566.2479262672809</v>
      </c>
      <c r="CL33" s="32">
        <f>Segment!CL20</f>
        <v>2532.0520737327206</v>
      </c>
      <c r="CM33" s="53">
        <f>SUM(CK33:CL33)</f>
        <v>5098.3000000000011</v>
      </c>
      <c r="CN33" s="32">
        <f>Segment!CN20</f>
        <v>2690.9999999999995</v>
      </c>
      <c r="CO33" s="32">
        <f>Segment!CO20</f>
        <v>2810.8999999999992</v>
      </c>
      <c r="CP33" s="53">
        <f>SUM(CN33:CO33)</f>
        <v>5501.8999999999987</v>
      </c>
      <c r="CQ33" s="32">
        <f>Segment!CQ20</f>
        <v>2839.9</v>
      </c>
      <c r="CR33" s="32">
        <f>Segment!CR20</f>
        <v>2771.3000000000015</v>
      </c>
      <c r="CS33" s="53">
        <f>SUM(CQ33:CR33)</f>
        <v>5611.2000000000016</v>
      </c>
      <c r="CT33" s="32">
        <f>Segment!CT20</f>
        <v>3135.7077200000003</v>
      </c>
      <c r="CU33" s="32">
        <f>Segment!CU20</f>
        <v>2979.5922800000021</v>
      </c>
      <c r="CV33" s="53">
        <f>SUM(CT33:CU33)</f>
        <v>6115.3000000000029</v>
      </c>
      <c r="CW33" s="32">
        <f>Segment!CW20</f>
        <v>3676.5</v>
      </c>
      <c r="CX33" s="32">
        <f>Segment!CX20</f>
        <v>3246.2999999999997</v>
      </c>
      <c r="CY33" s="53">
        <f>SUM(CW33:CX33)</f>
        <v>6922.7999999999993</v>
      </c>
      <c r="CZ33" s="32">
        <f>Segment!CZ20</f>
        <v>4146.6304625474068</v>
      </c>
      <c r="DA33" s="32">
        <f>Segment!DA20</f>
        <v>3768.3695374525928</v>
      </c>
      <c r="DB33" s="53">
        <f>SUM(CZ33:DA33)</f>
        <v>7915</v>
      </c>
      <c r="DC33" s="32">
        <f>Segment!DC20</f>
        <v>4504.8</v>
      </c>
      <c r="DD33" s="32">
        <f>Segment!DD20</f>
        <v>4033.1000000000008</v>
      </c>
      <c r="DE33" s="1088">
        <f>SUM(DC33:DD33)</f>
        <v>8537.9000000000015</v>
      </c>
      <c r="DF33" s="32">
        <f>Segment!DF20</f>
        <v>4910.632415164725</v>
      </c>
      <c r="DG33" s="32">
        <f>Segment!DG20</f>
        <v>4240.2710689872547</v>
      </c>
      <c r="DH33" s="1088">
        <f>SUM(DF33:DG33)</f>
        <v>9150.9034841519788</v>
      </c>
      <c r="DI33" s="32">
        <f>Segment!DI20</f>
        <v>5739.7448291452838</v>
      </c>
      <c r="DJ33" s="32">
        <f>Segment!DJ20</f>
        <v>4572.555895357923</v>
      </c>
      <c r="DK33" s="1088">
        <f>SUM(DI33:DJ33)</f>
        <v>10312.300724503206</v>
      </c>
      <c r="DL33" s="32">
        <f>Segment!DL20</f>
        <v>6041.2000000000007</v>
      </c>
      <c r="DM33" s="32">
        <f>Segment!DM20</f>
        <v>4521.2</v>
      </c>
      <c r="DN33" s="1088">
        <f>SUM(DL33:DM33)</f>
        <v>10562.400000000001</v>
      </c>
      <c r="DO33" s="32">
        <f>Segment!DO20</f>
        <v>7184</v>
      </c>
      <c r="DP33" s="32">
        <f>Segment!DP20</f>
        <v>6126</v>
      </c>
      <c r="DQ33" s="1088">
        <f>SUM(DO33:DP33)</f>
        <v>13310</v>
      </c>
      <c r="DR33" s="1829">
        <f>Segment!DR20</f>
        <v>8053</v>
      </c>
      <c r="DS33" s="1829">
        <f>Segment!DS20</f>
        <v>6747</v>
      </c>
      <c r="DT33" s="1830">
        <f>SUM(DR33:DS33)</f>
        <v>14800</v>
      </c>
      <c r="DU33" s="1831">
        <f>Segment!DU20</f>
        <v>8483</v>
      </c>
      <c r="DV33" s="1829">
        <f>Segment!DV20</f>
        <v>7075</v>
      </c>
      <c r="DW33" s="1830">
        <f>SUM(DU33:DV33)</f>
        <v>15558</v>
      </c>
      <c r="DX33" s="1831">
        <f>Segment!DX20</f>
        <v>8332</v>
      </c>
      <c r="DY33" s="1831">
        <f>Segment!DY20</f>
        <v>7591.3872548682684</v>
      </c>
      <c r="DZ33" s="1832">
        <f>SUM(DX33:DY33)</f>
        <v>15923.387254868268</v>
      </c>
      <c r="EA33" s="32">
        <f>Segment!EA20</f>
        <v>8872.9600801872148</v>
      </c>
      <c r="EB33" s="32">
        <f>Segment!EB20</f>
        <v>7898.3279945721124</v>
      </c>
      <c r="EC33" s="1088">
        <f>SUM(EA33:EB33)</f>
        <v>16771.288074759326</v>
      </c>
      <c r="ED33" s="32">
        <f>Segment!ED20</f>
        <v>9272.4691280353436</v>
      </c>
      <c r="EE33" s="32">
        <f>Segment!EE20</f>
        <v>8391.8167836254743</v>
      </c>
      <c r="EF33" s="1088">
        <f>SUM(ED33:EE33)</f>
        <v>17664.285911660816</v>
      </c>
      <c r="EG33" s="32">
        <f>Segment!EG20</f>
        <v>9801.9418778838917</v>
      </c>
      <c r="EH33" s="32">
        <f>Segment!EH20</f>
        <v>8938.6113975212374</v>
      </c>
      <c r="EI33" s="1088">
        <f>SUM(EG33:EH33)</f>
        <v>18740.553275405131</v>
      </c>
      <c r="EJ33" s="32">
        <f>Segment!EJ20</f>
        <v>10369.500889364885</v>
      </c>
      <c r="EK33" s="32">
        <f>Segment!EK20</f>
        <v>9533.7703551595059</v>
      </c>
      <c r="EL33" s="1088">
        <f>SUM(EJ33:EK33)</f>
        <v>19903.271244524389</v>
      </c>
      <c r="EM33" s="32">
        <f>Segment!EM20</f>
        <v>10926.50443935892</v>
      </c>
      <c r="EN33" s="32">
        <f>Segment!EN20</f>
        <v>10057.451489483219</v>
      </c>
      <c r="EO33" s="1088">
        <f>SUM(EM33:EN33)</f>
        <v>20983.955928842137</v>
      </c>
      <c r="EP33" s="32">
        <f>Segment!EP20</f>
        <v>11506.170116023044</v>
      </c>
      <c r="EQ33" s="32">
        <f>Segment!EQ20</f>
        <v>10641.483936599863</v>
      </c>
      <c r="ER33" s="1088">
        <f>SUM(EP33:EQ33)</f>
        <v>22147.654052622907</v>
      </c>
      <c r="ES33" s="32">
        <f>Segment!ES20</f>
        <v>12133.158208555604</v>
      </c>
      <c r="ET33" s="32">
        <f>Segment!ET20</f>
        <v>11263.16601407674</v>
      </c>
      <c r="EU33" s="1088">
        <f>SUM(ES33:ET33)</f>
        <v>23396.324222632342</v>
      </c>
      <c r="EV33" s="32">
        <f>Segment!EV20</f>
        <v>12798.993105516849</v>
      </c>
      <c r="EW33" s="32">
        <f>Segment!EW20</f>
        <v>11925.010127778487</v>
      </c>
      <c r="EX33" s="1088">
        <f>SUM(EV33:EW33)</f>
        <v>24724.003233295334</v>
      </c>
      <c r="EY33" s="32">
        <f>Segment!EY20</f>
        <v>13506.219533523265</v>
      </c>
      <c r="EZ33" s="32">
        <f>Segment!EZ20</f>
        <v>12629.700408043378</v>
      </c>
      <c r="FA33" s="1088">
        <f>SUM(EY33:EZ33)</f>
        <v>26135.919941566644</v>
      </c>
      <c r="FD33"/>
      <c r="FE33"/>
      <c r="FF33"/>
      <c r="FG33"/>
      <c r="FH33"/>
      <c r="FI33"/>
    </row>
    <row r="34" spans="2:165" s="33" customFormat="1">
      <c r="B34" s="54" t="s">
        <v>77</v>
      </c>
      <c r="D34" s="2" t="s">
        <v>506</v>
      </c>
      <c r="E34" s="32">
        <f>+SUM(E35:E41)</f>
        <v>0</v>
      </c>
      <c r="F34" s="32">
        <f t="shared" si="109"/>
        <v>0</v>
      </c>
      <c r="G34" s="32">
        <f>+SUM(G35:G41)</f>
        <v>0</v>
      </c>
      <c r="H34" s="32">
        <f>+SUM(H35:H41)</f>
        <v>0</v>
      </c>
      <c r="I34" s="32">
        <f t="shared" si="110"/>
        <v>0</v>
      </c>
      <c r="J34" s="32">
        <f>+SUM(J35:J41)</f>
        <v>0</v>
      </c>
      <c r="K34" s="32">
        <f>+SUM(K35:K41)</f>
        <v>0</v>
      </c>
      <c r="L34" s="32">
        <f t="shared" si="111"/>
        <v>0</v>
      </c>
      <c r="M34" s="32">
        <f>+SUM(M35:M41)</f>
        <v>0</v>
      </c>
      <c r="N34" s="32">
        <f>+SUM(N35:N41)</f>
        <v>0</v>
      </c>
      <c r="O34" s="32">
        <f t="shared" si="112"/>
        <v>0</v>
      </c>
      <c r="P34" s="32">
        <f>+SUM(P35:P41)</f>
        <v>0</v>
      </c>
      <c r="Q34" s="32">
        <f>+SUM(Q35:Q41)</f>
        <v>0</v>
      </c>
      <c r="R34" s="32">
        <f t="shared" si="113"/>
        <v>0</v>
      </c>
      <c r="S34" s="32">
        <f>+SUM(S35:S41)</f>
        <v>0</v>
      </c>
      <c r="T34" s="32">
        <f>+SUM(T35:T41)</f>
        <v>0</v>
      </c>
      <c r="U34" s="32">
        <f t="shared" si="114"/>
        <v>0</v>
      </c>
      <c r="V34" s="32">
        <f>+SUM(V35:V41)</f>
        <v>0</v>
      </c>
      <c r="W34" s="32">
        <f>+SUM(W35:W41)</f>
        <v>0</v>
      </c>
      <c r="X34" s="32">
        <f t="shared" si="115"/>
        <v>0</v>
      </c>
      <c r="Y34" s="32">
        <f>+SUM(Y35:Y41)</f>
        <v>0</v>
      </c>
      <c r="Z34" s="32">
        <f>+SUM(Z35:Z41)</f>
        <v>0</v>
      </c>
      <c r="AA34" s="32">
        <f t="shared" si="116"/>
        <v>0</v>
      </c>
      <c r="AB34" s="32">
        <f>+SUM(AB35:AB41)</f>
        <v>0</v>
      </c>
      <c r="AC34" s="32">
        <f>+SUM(AC35:AC41)</f>
        <v>0</v>
      </c>
      <c r="AD34" s="32">
        <f t="shared" si="117"/>
        <v>0</v>
      </c>
      <c r="AE34" s="32">
        <f>+SUM(AE35:AE41)</f>
        <v>0</v>
      </c>
      <c r="AF34" s="32">
        <f>+SUM(AF35:AF41)</f>
        <v>0</v>
      </c>
      <c r="AG34" s="32">
        <f t="shared" si="118"/>
        <v>0</v>
      </c>
      <c r="AH34" s="32">
        <f>+SUM(AH35:AH41)</f>
        <v>0</v>
      </c>
      <c r="AI34" s="32">
        <f>+SUM(AI35:AI41)</f>
        <v>0</v>
      </c>
      <c r="AJ34" s="32">
        <f t="shared" si="119"/>
        <v>0</v>
      </c>
      <c r="AK34" s="32"/>
      <c r="AL34" s="32">
        <f>+SUM(AL35:AL41)</f>
        <v>0</v>
      </c>
      <c r="AM34" s="32">
        <f t="shared" si="120"/>
        <v>9.5240000000000009</v>
      </c>
      <c r="AN34" s="32">
        <f>+SUM(AN35:AN41)</f>
        <v>9.5240000000000009</v>
      </c>
      <c r="AO34" s="32">
        <f>+SUM(AO35:AO41)</f>
        <v>5.3029999999999999</v>
      </c>
      <c r="AP34" s="32">
        <f t="shared" si="121"/>
        <v>7.7920000000000007</v>
      </c>
      <c r="AQ34" s="32">
        <f>+SUM(AQ35:AQ41)</f>
        <v>13.095000000000001</v>
      </c>
      <c r="AR34" s="32">
        <f>+SUM(AR35:AR41)</f>
        <v>5.6639999999999997</v>
      </c>
      <c r="AS34" s="32">
        <f t="shared" si="122"/>
        <v>7.5660000000000007</v>
      </c>
      <c r="AT34" s="32">
        <f>+SUM(AT35:AT41)</f>
        <v>13.23</v>
      </c>
      <c r="AU34" s="32">
        <f>+SUM(AU35:AU41)</f>
        <v>7.26</v>
      </c>
      <c r="AV34" s="32">
        <f t="shared" si="123"/>
        <v>4.6160000000000014</v>
      </c>
      <c r="AW34" s="32">
        <f>+SUM(AW35:AW41)</f>
        <v>11.876000000000001</v>
      </c>
      <c r="AX34" s="32">
        <f>+SUM(AX35:AX41)</f>
        <v>6.4570000000000007</v>
      </c>
      <c r="AY34" s="32">
        <f t="shared" si="124"/>
        <v>47.300999999999995</v>
      </c>
      <c r="AZ34" s="32">
        <f>+SUM(AZ35:AZ41)</f>
        <v>53.757999999999996</v>
      </c>
      <c r="BA34" s="1089">
        <f>+SUM(BA35:BA41)</f>
        <v>7.407</v>
      </c>
      <c r="BB34" s="32">
        <f t="shared" si="125"/>
        <v>4.3260000000000005</v>
      </c>
      <c r="BC34" s="32">
        <f>+SUM(BC35:BC41)</f>
        <v>11.733000000000001</v>
      </c>
      <c r="BD34" s="32">
        <f>+SUM(BD35:BD41)</f>
        <v>3.7759999999999998</v>
      </c>
      <c r="BE34" s="32">
        <f t="shared" si="126"/>
        <v>3.1513640000000001</v>
      </c>
      <c r="BF34" s="32">
        <f>+SUM(BF35:BF41)</f>
        <v>6.9273639999999999</v>
      </c>
      <c r="BG34" s="32">
        <f>+SUM(BG35:BG41)</f>
        <v>0.307</v>
      </c>
      <c r="BH34" s="32">
        <f t="shared" si="127"/>
        <v>0.38399999999999995</v>
      </c>
      <c r="BI34" s="32">
        <f>+SUM(BI35:BI41)</f>
        <v>0.69099999999999995</v>
      </c>
      <c r="BJ34" s="32">
        <f>+SUM(BJ35:BJ41)</f>
        <v>1.992</v>
      </c>
      <c r="BK34" s="32">
        <f t="shared" si="128"/>
        <v>7.5480000000000009</v>
      </c>
      <c r="BL34" s="32">
        <f>+SUM(BL35:BL41)</f>
        <v>9.5400000000000009</v>
      </c>
      <c r="BM34" s="32">
        <f>+SUM(BM35:BM41)</f>
        <v>5.8740000000000006</v>
      </c>
      <c r="BN34" s="32">
        <f t="shared" si="129"/>
        <v>11.33</v>
      </c>
      <c r="BO34" s="32">
        <f>+SUM(BO35:BO41)</f>
        <v>17.204000000000001</v>
      </c>
      <c r="BP34" s="32">
        <f>+SUM(BP35:BP41)</f>
        <v>10.983000000000001</v>
      </c>
      <c r="BQ34" s="32">
        <f t="shared" ref="BQ34:BQ49" si="137">+BR34-BP34</f>
        <v>17.222000000000001</v>
      </c>
      <c r="BR34" s="32">
        <f>+SUM(BR35:BR41)</f>
        <v>28.205000000000002</v>
      </c>
      <c r="BS34" s="32">
        <f>+SUM(BS35:BS41)</f>
        <v>19.887</v>
      </c>
      <c r="BT34" s="32">
        <f t="shared" ref="BT34:BT49" si="138">+BU34-BS34</f>
        <v>13.295000000000002</v>
      </c>
      <c r="BU34" s="32">
        <f>+SUM(BU35:BU41)</f>
        <v>33.182000000000002</v>
      </c>
      <c r="BV34" s="32">
        <f>+SUM(BV35:BV41)</f>
        <v>16.882000000000001</v>
      </c>
      <c r="BW34" s="32">
        <f t="shared" ref="BW34:BW49" si="139">+BX34-BV34</f>
        <v>19.137999999999995</v>
      </c>
      <c r="BX34" s="32">
        <f>+SUM(BX35:BX41)</f>
        <v>36.019999999999996</v>
      </c>
      <c r="BY34" s="32">
        <f>+SUM(BY35:BY41)</f>
        <v>44.177</v>
      </c>
      <c r="BZ34" s="32">
        <f t="shared" ref="BZ34:BZ49" si="140">+CA34-BY34</f>
        <v>8.7138949000000068</v>
      </c>
      <c r="CA34" s="32">
        <f>+SUM(CA35:CA41)</f>
        <v>52.890894900000006</v>
      </c>
      <c r="CB34" s="32">
        <f>+SUM(CB35:CB41)</f>
        <v>25.061</v>
      </c>
      <c r="CC34" s="32">
        <f t="shared" ref="CC34:CC49" si="141">+CD34-CB34</f>
        <v>15.423999999999999</v>
      </c>
      <c r="CD34" s="32">
        <f>+SUM(CD35:CD41)</f>
        <v>40.484999999999999</v>
      </c>
      <c r="CE34" s="32">
        <f>+SUM(CE35:CE41)</f>
        <v>18.635999999999999</v>
      </c>
      <c r="CF34" s="32">
        <f t="shared" ref="CF34:CF49" si="142">+CG34-CE34</f>
        <v>11.823362999397169</v>
      </c>
      <c r="CG34" s="32">
        <f>+SUM(CG35:CG41)</f>
        <v>30.459362999397168</v>
      </c>
      <c r="CH34" s="32">
        <f>+SUM(CH35:CH41)</f>
        <v>14.9</v>
      </c>
      <c r="CI34" s="32">
        <f t="shared" ref="CI34:CI49" si="143">+CJ34-CH34</f>
        <v>45.164407500000003</v>
      </c>
      <c r="CJ34" s="32">
        <f>+SUM(CJ35:CJ41)</f>
        <v>60.064407500000002</v>
      </c>
      <c r="CK34" s="32">
        <f>+SUM(CK35:CK41)</f>
        <v>17.016037499999999</v>
      </c>
      <c r="CL34" s="32">
        <f t="shared" ref="CL34:CL49" si="144">+CM34-CK34</f>
        <v>12.336171120547757</v>
      </c>
      <c r="CM34" s="32">
        <f>+SUM(CM35:CM41)</f>
        <v>29.352208620547756</v>
      </c>
      <c r="CN34" s="32">
        <f>+SUM(CN35:CN41)</f>
        <v>11.8</v>
      </c>
      <c r="CO34" s="32">
        <f t="shared" ref="CO34:CO49" si="145">+CP34-CN34</f>
        <v>9.3000000000000007</v>
      </c>
      <c r="CP34" s="32">
        <f>+SUM(CP35:CP41)</f>
        <v>21.1</v>
      </c>
      <c r="CQ34" s="32">
        <f>+SUM(CQ35:CQ41)</f>
        <v>7.2999999999999989</v>
      </c>
      <c r="CR34" s="32">
        <f t="shared" ref="CR34:CR49" si="146">+CS34-CQ34</f>
        <v>8.2999999999999989</v>
      </c>
      <c r="CS34" s="32">
        <f>+SUM(CS35:CS41)</f>
        <v>15.599999999999998</v>
      </c>
      <c r="CT34" s="32">
        <f>+SUM(CT35:CT41)</f>
        <v>6.6000000000000032</v>
      </c>
      <c r="CU34" s="32">
        <f t="shared" ref="CU34:CU49" si="147">+CV34-CT34</f>
        <v>7.2999999999999901</v>
      </c>
      <c r="CV34" s="32">
        <f>+SUM(CV35:CV41)</f>
        <v>13.899999999999993</v>
      </c>
      <c r="CW34" s="32">
        <f>+SUM(CW35:CW41)</f>
        <v>3.0000000000000009</v>
      </c>
      <c r="CX34" s="32">
        <f t="shared" ref="CX34:CX49" si="148">+CY34-CW34</f>
        <v>7.9000000000000012</v>
      </c>
      <c r="CY34" s="32">
        <f>+SUM(CY35:CY41)</f>
        <v>10.900000000000002</v>
      </c>
      <c r="CZ34" s="32">
        <f>+SUM(CZ35:CZ41)</f>
        <v>0</v>
      </c>
      <c r="DA34" s="32">
        <f t="shared" ref="DA34:DA49" si="149">+DB34-CZ34</f>
        <v>0</v>
      </c>
      <c r="DB34" s="32">
        <f>+SUM(DB35:DB41)</f>
        <v>0</v>
      </c>
      <c r="DC34" s="32">
        <f>+SUM(DC35:DC41)</f>
        <v>0</v>
      </c>
      <c r="DD34" s="32">
        <f t="shared" ref="DD34:DD49" si="150">+DE34-DC34</f>
        <v>0</v>
      </c>
      <c r="DE34" s="1061">
        <f>+SUM(DE35:DE41)</f>
        <v>0</v>
      </c>
      <c r="DF34" s="32">
        <f>+SUM(DF35:DF41)</f>
        <v>3.9809999999999999</v>
      </c>
      <c r="DG34" s="32">
        <f t="shared" ref="DG34:DG49" si="151">+DH34-DF34</f>
        <v>3.0283499999999997</v>
      </c>
      <c r="DH34" s="1061">
        <f>+SUM(DH35:DH41)</f>
        <v>7.0093499999999995</v>
      </c>
      <c r="DI34" s="32">
        <f>+SUM(DI35:DI41)</f>
        <v>1.7184550000000001</v>
      </c>
      <c r="DJ34" s="32">
        <f t="shared" ref="DJ34:DJ49" si="152">+DK34-DI34</f>
        <v>2.2219049999999996</v>
      </c>
      <c r="DK34" s="1061">
        <f>+SUM(DK35:DK41)</f>
        <v>3.9403599999999996</v>
      </c>
      <c r="DL34" s="32">
        <f>+SUM(DL35:DL41)</f>
        <v>0.91609874999999996</v>
      </c>
      <c r="DM34" s="32">
        <f t="shared" ref="DM34:DM49" si="153">+DN34-DL34</f>
        <v>16.483901249999999</v>
      </c>
      <c r="DN34" s="1061">
        <f>+SUM(DN35:DN41)</f>
        <v>17.399999999999999</v>
      </c>
      <c r="DO34" s="32">
        <f>+SUM(DO35:DO41)</f>
        <v>34.6981915</v>
      </c>
      <c r="DP34" s="32">
        <f t="shared" ref="DP34:DP49" si="154">+DQ34-DO34</f>
        <v>3.0036405057555768</v>
      </c>
      <c r="DQ34" s="1061">
        <f>+SUM(DQ35:DQ41)</f>
        <v>37.701832005755577</v>
      </c>
      <c r="DR34" s="1062">
        <f>+SUM(DR35:DR41)</f>
        <v>20.006999999999998</v>
      </c>
      <c r="DS34" s="1062">
        <f t="shared" ref="DS34:DS49" si="155">+DT34-DR34</f>
        <v>18.985400000000006</v>
      </c>
      <c r="DT34" s="1063">
        <f>+SUM(DT35:DT41)</f>
        <v>38.992400000000004</v>
      </c>
      <c r="DU34" s="32">
        <f>+SUM(DU35:DU41)</f>
        <v>18</v>
      </c>
      <c r="DV34" s="1062">
        <f t="shared" ref="DV34:DV49" si="156">+DW34-DU34</f>
        <v>20</v>
      </c>
      <c r="DW34" s="1063">
        <f>+SUM(DW35:DW41)</f>
        <v>38</v>
      </c>
      <c r="DX34" s="32">
        <f>+SUM(DX35:DX41)</f>
        <v>18</v>
      </c>
      <c r="DY34" s="32">
        <f t="shared" ref="DY34:DY49" si="157">+DZ34-DX34</f>
        <v>18</v>
      </c>
      <c r="DZ34" s="1061">
        <f>+SUM(DZ35:DZ41)</f>
        <v>36</v>
      </c>
      <c r="EA34" s="32">
        <f>+SUM(EA35:EA41)</f>
        <v>18.467114766207693</v>
      </c>
      <c r="EB34" s="32">
        <f t="shared" ref="EB34:EB49" si="158">+EC34-EA34</f>
        <v>18.547546893431921</v>
      </c>
      <c r="EC34" s="1061">
        <f>+SUM(EC35:EC41)</f>
        <v>37.014661659639614</v>
      </c>
      <c r="ED34" s="32">
        <f>+SUM(ED35:ED41)</f>
        <v>22.233072894428638</v>
      </c>
      <c r="EE34" s="32">
        <f t="shared" ref="EE34:EE49" si="159">+EF34-ED34</f>
        <v>23.589746794291038</v>
      </c>
      <c r="EF34" s="1061">
        <f>+SUM(EF35:EF41)</f>
        <v>45.822819688719676</v>
      </c>
      <c r="EG34" s="32">
        <f>+SUM(EG35:EG41)</f>
        <v>27.432674090981735</v>
      </c>
      <c r="EH34" s="32">
        <f t="shared" ref="EH34:EH49" si="160">+EI34-EG34</f>
        <v>31.487852046842775</v>
      </c>
      <c r="EI34" s="1061">
        <f>+SUM(EI35:EI41)</f>
        <v>58.92052613782451</v>
      </c>
      <c r="EJ34" s="32">
        <f>+SUM(EJ35:EJ41)</f>
        <v>42.722299373677963</v>
      </c>
      <c r="EK34" s="32">
        <f t="shared" ref="EK34:EK49" si="161">+EL34-EJ34</f>
        <v>48.125037115063186</v>
      </c>
      <c r="EL34" s="1061">
        <f>+SUM(EL35:EL41)</f>
        <v>90.847336488741149</v>
      </c>
      <c r="EM34" s="32">
        <f>+SUM(EM35:EM41)</f>
        <v>62.14828124898041</v>
      </c>
      <c r="EN34" s="32">
        <f t="shared" ref="EN34:EN49" si="162">+EO34-EM34</f>
        <v>69.417915449032833</v>
      </c>
      <c r="EO34" s="1061">
        <f>+SUM(EO35:EO41)</f>
        <v>131.56619669801324</v>
      </c>
      <c r="EP34" s="32">
        <f>+SUM(EP35:EP41)</f>
        <v>87.13412720343959</v>
      </c>
      <c r="EQ34" s="32">
        <f t="shared" ref="EQ34:EQ49" si="163">+ER34-EP34</f>
        <v>95.277710749857164</v>
      </c>
      <c r="ER34" s="1061">
        <f>+SUM(ER35:ER41)</f>
        <v>182.41183795329675</v>
      </c>
      <c r="ES34" s="32">
        <f>+SUM(ES35:ES41)</f>
        <v>114.778419546837</v>
      </c>
      <c r="ET34" s="32">
        <f t="shared" ref="ET34:ET49" si="164">+EU34-ES34</f>
        <v>123.65898552663251</v>
      </c>
      <c r="EU34" s="1061">
        <f>+SUM(EU35:EU41)</f>
        <v>238.43740507346951</v>
      </c>
      <c r="EV34" s="32">
        <f>+SUM(EV35:EV41)</f>
        <v>144.65070262810323</v>
      </c>
      <c r="EW34" s="32">
        <f t="shared" ref="EW34:EW49" si="165">+EX34-EV34</f>
        <v>154.24849907077791</v>
      </c>
      <c r="EX34" s="1061">
        <f>+SUM(EX35:EX41)</f>
        <v>298.89920169888114</v>
      </c>
      <c r="EY34" s="32">
        <f>+SUM(EY35:EY41)</f>
        <v>176.45629854396722</v>
      </c>
      <c r="EZ34" s="32">
        <f t="shared" ref="EZ34:EZ49" si="166">+FA34-EY34</f>
        <v>186.93357011951989</v>
      </c>
      <c r="FA34" s="1061">
        <f>+SUM(FA35:FA41)</f>
        <v>363.38986866348711</v>
      </c>
      <c r="FD34"/>
      <c r="FE34"/>
      <c r="FF34"/>
      <c r="FG34"/>
      <c r="FH34"/>
      <c r="FI34"/>
    </row>
    <row r="35" spans="2:165" s="33" customFormat="1" outlineLevel="1">
      <c r="B35" s="54" t="s">
        <v>78</v>
      </c>
      <c r="D35" s="2" t="s">
        <v>506</v>
      </c>
      <c r="E35" s="32">
        <f>+E76</f>
        <v>0</v>
      </c>
      <c r="F35" s="32">
        <f t="shared" si="109"/>
        <v>0</v>
      </c>
      <c r="G35" s="32">
        <f>+G76</f>
        <v>0</v>
      </c>
      <c r="H35" s="32">
        <f>+H76</f>
        <v>0</v>
      </c>
      <c r="I35" s="32">
        <f t="shared" si="110"/>
        <v>0</v>
      </c>
      <c r="J35" s="32">
        <f>+J76</f>
        <v>0</v>
      </c>
      <c r="K35" s="32">
        <f>+K76</f>
        <v>0</v>
      </c>
      <c r="L35" s="32">
        <f t="shared" si="111"/>
        <v>0</v>
      </c>
      <c r="M35" s="32">
        <f>+M76</f>
        <v>0</v>
      </c>
      <c r="N35" s="32">
        <f>+N76</f>
        <v>0</v>
      </c>
      <c r="O35" s="32">
        <f t="shared" si="112"/>
        <v>0</v>
      </c>
      <c r="P35" s="32">
        <f>+P76</f>
        <v>0</v>
      </c>
      <c r="Q35" s="32">
        <f>+Q76</f>
        <v>0</v>
      </c>
      <c r="R35" s="32">
        <f t="shared" si="113"/>
        <v>0</v>
      </c>
      <c r="S35" s="32">
        <f>+S76</f>
        <v>0</v>
      </c>
      <c r="T35" s="32">
        <f>+T76</f>
        <v>0</v>
      </c>
      <c r="U35" s="32">
        <f t="shared" si="114"/>
        <v>0</v>
      </c>
      <c r="V35" s="32">
        <f>+V76</f>
        <v>0</v>
      </c>
      <c r="W35" s="32">
        <f>+W76</f>
        <v>0</v>
      </c>
      <c r="X35" s="32">
        <f t="shared" si="115"/>
        <v>0</v>
      </c>
      <c r="Y35" s="32">
        <f>+Y76</f>
        <v>0</v>
      </c>
      <c r="Z35" s="32">
        <f>+Z76</f>
        <v>0</v>
      </c>
      <c r="AA35" s="32">
        <f t="shared" si="116"/>
        <v>0</v>
      </c>
      <c r="AB35" s="32">
        <f>+AB76</f>
        <v>0</v>
      </c>
      <c r="AC35" s="32">
        <f>+AC76</f>
        <v>0</v>
      </c>
      <c r="AD35" s="32">
        <f t="shared" si="117"/>
        <v>0</v>
      </c>
      <c r="AE35" s="32">
        <f>+AE76</f>
        <v>0</v>
      </c>
      <c r="AF35" s="32">
        <f>+AF76</f>
        <v>0</v>
      </c>
      <c r="AG35" s="32">
        <f t="shared" si="118"/>
        <v>0</v>
      </c>
      <c r="AH35" s="32">
        <f>+AH76</f>
        <v>0</v>
      </c>
      <c r="AI35" s="32">
        <f>+AI76</f>
        <v>0</v>
      </c>
      <c r="AJ35" s="32">
        <f t="shared" si="119"/>
        <v>0</v>
      </c>
      <c r="AK35" s="32">
        <f>+AK76</f>
        <v>0</v>
      </c>
      <c r="AL35" s="32">
        <f>+AL76</f>
        <v>0</v>
      </c>
      <c r="AM35" s="32">
        <f t="shared" si="120"/>
        <v>3.1970000000000001</v>
      </c>
      <c r="AN35" s="32">
        <f>+AN76</f>
        <v>3.1970000000000001</v>
      </c>
      <c r="AO35" s="32">
        <f>+AO76</f>
        <v>0</v>
      </c>
      <c r="AP35" s="32">
        <f t="shared" si="121"/>
        <v>4.556</v>
      </c>
      <c r="AQ35" s="32">
        <f>+AQ76</f>
        <v>4.556</v>
      </c>
      <c r="AR35" s="32">
        <f>+AR76</f>
        <v>0</v>
      </c>
      <c r="AS35" s="32">
        <f t="shared" si="122"/>
        <v>3.1760000000000002</v>
      </c>
      <c r="AT35" s="32">
        <f>+AT76</f>
        <v>3.1760000000000002</v>
      </c>
      <c r="AU35" s="32">
        <f>+AU76</f>
        <v>1.1839999999999999</v>
      </c>
      <c r="AV35" s="32">
        <f t="shared" si="123"/>
        <v>1.083</v>
      </c>
      <c r="AW35" s="32">
        <f>+AW76</f>
        <v>2.2669999999999999</v>
      </c>
      <c r="AX35" s="32">
        <f>+AX76</f>
        <v>1.85</v>
      </c>
      <c r="AY35" s="32">
        <f t="shared" si="124"/>
        <v>1.895</v>
      </c>
      <c r="AZ35" s="32">
        <f>+AZ76</f>
        <v>3.7450000000000001</v>
      </c>
      <c r="BA35" s="32">
        <f>+BA76</f>
        <v>5.3129999999999997</v>
      </c>
      <c r="BB35" s="32">
        <f t="shared" si="125"/>
        <v>1.2300000000000004</v>
      </c>
      <c r="BC35" s="32">
        <f>+BC76</f>
        <v>6.5430000000000001</v>
      </c>
      <c r="BD35" s="32">
        <f>+BD76</f>
        <v>3.4119999999999999</v>
      </c>
      <c r="BE35" s="32">
        <f t="shared" si="126"/>
        <v>0.41700000000000026</v>
      </c>
      <c r="BF35" s="1090">
        <f>+BF76</f>
        <v>3.8290000000000002</v>
      </c>
      <c r="BG35" s="1091">
        <f>+BG76</f>
        <v>0.307</v>
      </c>
      <c r="BH35" s="32">
        <f t="shared" si="127"/>
        <v>0.38399999999999995</v>
      </c>
      <c r="BI35" s="1092">
        <v>0.69099999999999995</v>
      </c>
      <c r="BJ35" s="1091">
        <f>+BJ76</f>
        <v>1.59</v>
      </c>
      <c r="BK35" s="32">
        <f t="shared" si="128"/>
        <v>7.9500000000000011</v>
      </c>
      <c r="BL35" s="1090">
        <f>+BL76</f>
        <v>9.5400000000000009</v>
      </c>
      <c r="BM35" s="1091">
        <f>+BM76</f>
        <v>4.7770000000000001</v>
      </c>
      <c r="BN35" s="32">
        <f t="shared" si="129"/>
        <v>12.427</v>
      </c>
      <c r="BO35" s="1090">
        <f>+BO76</f>
        <v>17.204000000000001</v>
      </c>
      <c r="BP35" s="1091">
        <f>+BP76</f>
        <v>10.983000000000001</v>
      </c>
      <c r="BQ35" s="32">
        <f t="shared" si="137"/>
        <v>14.483000000000001</v>
      </c>
      <c r="BR35" s="1090">
        <f>+BR76</f>
        <v>25.466000000000001</v>
      </c>
      <c r="BS35" s="1091">
        <f>+BS76</f>
        <v>19.887</v>
      </c>
      <c r="BT35" s="32">
        <f t="shared" si="138"/>
        <v>13.295000000000002</v>
      </c>
      <c r="BU35" s="1090">
        <f>+BU76</f>
        <v>33.182000000000002</v>
      </c>
      <c r="BV35" s="1091">
        <f>+BV76</f>
        <v>16.882000000000001</v>
      </c>
      <c r="BW35" s="32">
        <f t="shared" si="139"/>
        <v>18.292999999999996</v>
      </c>
      <c r="BX35" s="1090">
        <f>+BX76</f>
        <v>35.174999999999997</v>
      </c>
      <c r="BY35" s="1091">
        <f>+BY76</f>
        <v>43.86</v>
      </c>
      <c r="BZ35" s="32">
        <f t="shared" si="140"/>
        <v>7.6198949000000056</v>
      </c>
      <c r="CA35" s="1090">
        <f>+CA76</f>
        <v>51.479894900000005</v>
      </c>
      <c r="CB35" s="1091">
        <f>+CB76</f>
        <v>25.061</v>
      </c>
      <c r="CC35" s="32">
        <f t="shared" si="141"/>
        <v>15.423999999999999</v>
      </c>
      <c r="CD35" s="1090">
        <f>+CD76</f>
        <v>40.484999999999999</v>
      </c>
      <c r="CE35" s="1091">
        <f>+CE76</f>
        <v>18.635999999999999</v>
      </c>
      <c r="CF35" s="32">
        <f t="shared" si="142"/>
        <v>11.823362999397169</v>
      </c>
      <c r="CG35" s="1090">
        <f>+CG76</f>
        <v>30.459362999397168</v>
      </c>
      <c r="CH35" s="1091">
        <f>+CH76</f>
        <v>14.9</v>
      </c>
      <c r="CI35" s="32">
        <f t="shared" si="143"/>
        <v>45.164407500000003</v>
      </c>
      <c r="CJ35" s="1090">
        <f>+CJ76</f>
        <v>60.064407500000002</v>
      </c>
      <c r="CK35" s="1091">
        <f>+CK76</f>
        <v>17.016037499999999</v>
      </c>
      <c r="CL35" s="32">
        <f t="shared" si="144"/>
        <v>12.336171120547757</v>
      </c>
      <c r="CM35" s="1090">
        <f>+CM76</f>
        <v>29.352208620547756</v>
      </c>
      <c r="CN35" s="1091">
        <f>+CN76</f>
        <v>10.700000000000001</v>
      </c>
      <c r="CO35" s="32">
        <f t="shared" si="145"/>
        <v>9.4</v>
      </c>
      <c r="CP35" s="1090">
        <f>+CP76</f>
        <v>20.100000000000001</v>
      </c>
      <c r="CQ35" s="1091">
        <f>+CQ76</f>
        <v>7.2999999999999989</v>
      </c>
      <c r="CR35" s="32">
        <f t="shared" si="146"/>
        <v>8.2999999999999989</v>
      </c>
      <c r="CS35" s="1090">
        <f>+CS76</f>
        <v>15.599999999999998</v>
      </c>
      <c r="CT35" s="1091">
        <f>+CT76</f>
        <v>6.6000000000000032</v>
      </c>
      <c r="CU35" s="32">
        <f t="shared" si="147"/>
        <v>7.2999999999999901</v>
      </c>
      <c r="CV35" s="1090">
        <f>+CV76</f>
        <v>13.899999999999993</v>
      </c>
      <c r="CW35" s="1091">
        <f>+CW76</f>
        <v>3.0000000000000009</v>
      </c>
      <c r="CX35" s="32">
        <f t="shared" si="148"/>
        <v>7.9000000000000012</v>
      </c>
      <c r="CY35" s="1090">
        <f>+CY76</f>
        <v>10.900000000000002</v>
      </c>
      <c r="CZ35" s="1091">
        <v>0</v>
      </c>
      <c r="DA35" s="32"/>
      <c r="DB35" s="1090">
        <v>0</v>
      </c>
      <c r="DC35" s="1091">
        <v>0</v>
      </c>
      <c r="DD35" s="32"/>
      <c r="DE35" s="1093">
        <v>0</v>
      </c>
      <c r="DF35" s="1091">
        <f>+DF76</f>
        <v>3.9809999999999999</v>
      </c>
      <c r="DG35" s="32">
        <f t="shared" si="151"/>
        <v>3.0283499999999997</v>
      </c>
      <c r="DH35" s="1093">
        <f>+DH76</f>
        <v>7.0093499999999995</v>
      </c>
      <c r="DI35" s="1091">
        <f>+DI76</f>
        <v>1.7184550000000001</v>
      </c>
      <c r="DJ35" s="32">
        <f t="shared" si="152"/>
        <v>2.2219049999999996</v>
      </c>
      <c r="DK35" s="1093">
        <f>+DK76</f>
        <v>3.9403599999999996</v>
      </c>
      <c r="DL35" s="32">
        <f>+DL76</f>
        <v>0.91609874999999996</v>
      </c>
      <c r="DM35" s="32">
        <f t="shared" si="153"/>
        <v>16.483901249999999</v>
      </c>
      <c r="DN35" s="1061">
        <f>+DN76</f>
        <v>17.399999999999999</v>
      </c>
      <c r="DO35" s="32">
        <f>+DO76</f>
        <v>34.6981915</v>
      </c>
      <c r="DP35" s="32">
        <f t="shared" si="154"/>
        <v>3.0036405057555768</v>
      </c>
      <c r="DQ35" s="1061">
        <f>+DQ76</f>
        <v>37.701832005755577</v>
      </c>
      <c r="DR35" s="1062">
        <f>+DR76</f>
        <v>20.006999999999998</v>
      </c>
      <c r="DS35" s="1062">
        <f t="shared" si="155"/>
        <v>18.985400000000006</v>
      </c>
      <c r="DT35" s="1063">
        <f>+DT76</f>
        <v>38.992400000000004</v>
      </c>
      <c r="DU35" s="32">
        <f>+DU76</f>
        <v>18</v>
      </c>
      <c r="DV35" s="1062">
        <f t="shared" si="156"/>
        <v>20</v>
      </c>
      <c r="DW35" s="1063">
        <f>+DW76</f>
        <v>38</v>
      </c>
      <c r="DX35" s="32">
        <f>+DX76</f>
        <v>18</v>
      </c>
      <c r="DY35" s="32">
        <f t="shared" si="157"/>
        <v>18</v>
      </c>
      <c r="DZ35" s="1061">
        <f>+DZ76</f>
        <v>36</v>
      </c>
      <c r="EA35" s="32">
        <f>+EA76</f>
        <v>18.467114766207693</v>
      </c>
      <c r="EB35" s="32">
        <f t="shared" si="158"/>
        <v>18.547546893431921</v>
      </c>
      <c r="EC35" s="1061">
        <f>+EC76</f>
        <v>37.014661659639614</v>
      </c>
      <c r="ED35" s="32">
        <f>+ED76</f>
        <v>22.233072894428638</v>
      </c>
      <c r="EE35" s="32">
        <f t="shared" si="159"/>
        <v>23.589746794291038</v>
      </c>
      <c r="EF35" s="1061">
        <f>+EF76</f>
        <v>45.822819688719676</v>
      </c>
      <c r="EG35" s="32">
        <f>+EG76</f>
        <v>27.432674090981735</v>
      </c>
      <c r="EH35" s="32">
        <f t="shared" si="160"/>
        <v>31.487852046842775</v>
      </c>
      <c r="EI35" s="1061">
        <f>+EI76</f>
        <v>58.92052613782451</v>
      </c>
      <c r="EJ35" s="32">
        <f>+EJ76</f>
        <v>42.722299373677963</v>
      </c>
      <c r="EK35" s="32">
        <f t="shared" si="161"/>
        <v>48.125037115063186</v>
      </c>
      <c r="EL35" s="1061">
        <f>+EL76</f>
        <v>90.847336488741149</v>
      </c>
      <c r="EM35" s="32">
        <f>+EM76</f>
        <v>62.14828124898041</v>
      </c>
      <c r="EN35" s="32">
        <f t="shared" si="162"/>
        <v>69.417915449032833</v>
      </c>
      <c r="EO35" s="1061">
        <f>+EO76</f>
        <v>131.56619669801324</v>
      </c>
      <c r="EP35" s="32">
        <f>+EP76</f>
        <v>87.13412720343959</v>
      </c>
      <c r="EQ35" s="32">
        <f t="shared" si="163"/>
        <v>95.277710749857164</v>
      </c>
      <c r="ER35" s="1061">
        <f>+ER76</f>
        <v>182.41183795329675</v>
      </c>
      <c r="ES35" s="32">
        <f>+ES76</f>
        <v>114.778419546837</v>
      </c>
      <c r="ET35" s="32">
        <f t="shared" si="164"/>
        <v>123.65898552663251</v>
      </c>
      <c r="EU35" s="1061">
        <f>+EU76</f>
        <v>238.43740507346951</v>
      </c>
      <c r="EV35" s="32">
        <f>+EV76</f>
        <v>144.65070262810323</v>
      </c>
      <c r="EW35" s="32">
        <f t="shared" si="165"/>
        <v>154.24849907077791</v>
      </c>
      <c r="EX35" s="1061">
        <f>+EX76</f>
        <v>298.89920169888114</v>
      </c>
      <c r="EY35" s="32">
        <f>+EY76</f>
        <v>176.45629854396722</v>
      </c>
      <c r="EZ35" s="32">
        <f t="shared" si="166"/>
        <v>186.93357011951989</v>
      </c>
      <c r="FA35" s="1061">
        <f>+FA76</f>
        <v>363.38986866348711</v>
      </c>
      <c r="FD35"/>
      <c r="FE35"/>
      <c r="FF35"/>
      <c r="FG35"/>
      <c r="FH35"/>
      <c r="FI35"/>
    </row>
    <row r="36" spans="2:165" s="33" customFormat="1" outlineLevel="1">
      <c r="B36" s="33" t="s">
        <v>79</v>
      </c>
      <c r="D36" s="2" t="s">
        <v>506</v>
      </c>
      <c r="E36" s="32"/>
      <c r="F36" s="32">
        <f t="shared" si="109"/>
        <v>0</v>
      </c>
      <c r="G36" s="32"/>
      <c r="H36" s="32"/>
      <c r="I36" s="32">
        <f t="shared" si="110"/>
        <v>0</v>
      </c>
      <c r="J36" s="32"/>
      <c r="K36" s="32"/>
      <c r="L36" s="32">
        <f t="shared" si="111"/>
        <v>0</v>
      </c>
      <c r="M36" s="32"/>
      <c r="N36" s="32"/>
      <c r="O36" s="32">
        <f t="shared" si="112"/>
        <v>0</v>
      </c>
      <c r="P36" s="32"/>
      <c r="Q36" s="32"/>
      <c r="R36" s="32">
        <f t="shared" si="113"/>
        <v>0</v>
      </c>
      <c r="S36" s="32"/>
      <c r="T36" s="32"/>
      <c r="U36" s="32">
        <f t="shared" si="114"/>
        <v>0</v>
      </c>
      <c r="V36" s="32"/>
      <c r="W36" s="32"/>
      <c r="X36" s="32">
        <f t="shared" si="115"/>
        <v>0</v>
      </c>
      <c r="Y36" s="32"/>
      <c r="Z36" s="32"/>
      <c r="AA36" s="32">
        <f t="shared" si="116"/>
        <v>0</v>
      </c>
      <c r="AB36" s="32"/>
      <c r="AC36" s="32"/>
      <c r="AD36" s="32">
        <f t="shared" si="117"/>
        <v>0</v>
      </c>
      <c r="AE36" s="32"/>
      <c r="AF36" s="32"/>
      <c r="AG36" s="32">
        <f t="shared" si="118"/>
        <v>0</v>
      </c>
      <c r="AH36" s="32"/>
      <c r="AI36" s="32"/>
      <c r="AJ36" s="32">
        <f t="shared" si="119"/>
        <v>0</v>
      </c>
      <c r="AK36" s="32"/>
      <c r="AL36" s="32"/>
      <c r="AM36" s="32">
        <f t="shared" si="120"/>
        <v>0</v>
      </c>
      <c r="AN36" s="32"/>
      <c r="AO36" s="32"/>
      <c r="AP36" s="32">
        <f t="shared" si="121"/>
        <v>0</v>
      </c>
      <c r="AQ36" s="32"/>
      <c r="AR36" s="32"/>
      <c r="AS36" s="32">
        <f t="shared" si="122"/>
        <v>0</v>
      </c>
      <c r="AT36" s="32"/>
      <c r="AU36" s="32"/>
      <c r="AV36" s="32">
        <f t="shared" si="123"/>
        <v>0</v>
      </c>
      <c r="AW36" s="1064">
        <v>0</v>
      </c>
      <c r="AX36" s="32"/>
      <c r="AY36" s="32">
        <f t="shared" si="124"/>
        <v>0</v>
      </c>
      <c r="AZ36" s="1064">
        <v>0</v>
      </c>
      <c r="BA36" s="32">
        <f>IF(Assumptions!BA94&lt;&gt;"0",Assumptions!BA94,0)</f>
        <v>0</v>
      </c>
      <c r="BB36" s="32">
        <f t="shared" si="125"/>
        <v>0.15</v>
      </c>
      <c r="BC36" s="1064">
        <v>0.15</v>
      </c>
      <c r="BD36" s="1064">
        <v>0</v>
      </c>
      <c r="BE36" s="32">
        <f t="shared" si="126"/>
        <v>0</v>
      </c>
      <c r="BF36" s="1094">
        <f>IF(Assumptions!BF94&lt;&gt;"0",Assumptions!BF94,0)</f>
        <v>0</v>
      </c>
      <c r="BG36" s="1061">
        <f>IF(Assumptions!BG94&lt;&gt;"0",Assumptions!BG94,0)</f>
        <v>0</v>
      </c>
      <c r="BH36" s="32">
        <f t="shared" si="127"/>
        <v>0</v>
      </c>
      <c r="BI36" s="1094">
        <f>IF(Assumptions!BI94&lt;&gt;"0",Assumptions!BI94,0)</f>
        <v>0</v>
      </c>
      <c r="BJ36" s="1095">
        <v>0</v>
      </c>
      <c r="BK36" s="32">
        <f t="shared" si="128"/>
        <v>0</v>
      </c>
      <c r="BL36" s="1094">
        <f>IF(Assumptions!BL94&lt;&gt;"0",Assumptions!BL94,0)</f>
        <v>0</v>
      </c>
      <c r="BM36" s="1061">
        <f>IF(Assumptions!BM94&lt;&gt;"0",Assumptions!BM94,0)</f>
        <v>0</v>
      </c>
      <c r="BN36" s="32">
        <f t="shared" si="129"/>
        <v>0</v>
      </c>
      <c r="BO36" s="1094">
        <f>IF(Assumptions!BO94&lt;&gt;"0",Assumptions!BO94,0)</f>
        <v>0</v>
      </c>
      <c r="BP36" s="1061">
        <f>IF(Assumptions!BP94&lt;&gt;"0",Assumptions!BP94,0)</f>
        <v>0</v>
      </c>
      <c r="BQ36" s="32">
        <f t="shared" si="137"/>
        <v>0</v>
      </c>
      <c r="BR36" s="1094">
        <f>IF(Assumptions!BR94&lt;&gt;"0",Assumptions!BR94,0)</f>
        <v>0</v>
      </c>
      <c r="BS36" s="1061">
        <f>IF(Assumptions!BS94&lt;&gt;"0",Assumptions!BS94,0)</f>
        <v>0</v>
      </c>
      <c r="BT36" s="32">
        <f t="shared" si="138"/>
        <v>0</v>
      </c>
      <c r="BU36" s="1094">
        <f>IF(Assumptions!BU94&lt;&gt;"0",Assumptions!BU94,0)</f>
        <v>0</v>
      </c>
      <c r="BV36" s="1061">
        <f>IF(Assumptions!BV94&lt;&gt;"0",Assumptions!BV94,0)</f>
        <v>0</v>
      </c>
      <c r="BW36" s="32">
        <f t="shared" si="139"/>
        <v>0</v>
      </c>
      <c r="BX36" s="1094">
        <f>IF(Assumptions!BX94&lt;&gt;"0",Assumptions!BX94,0)</f>
        <v>0</v>
      </c>
      <c r="BY36" s="1061">
        <f>IF(Assumptions!BY94&lt;&gt;"0",Assumptions!BY94,0)</f>
        <v>0</v>
      </c>
      <c r="BZ36" s="32">
        <f t="shared" si="140"/>
        <v>0</v>
      </c>
      <c r="CA36" s="1094">
        <f>IF(Assumptions!CA94&lt;&gt;"0",Assumptions!CA94,0)</f>
        <v>0</v>
      </c>
      <c r="CB36" s="1061">
        <f>IF(Assumptions!CB94&lt;&gt;"0",Assumptions!CB94,0)</f>
        <v>0</v>
      </c>
      <c r="CC36" s="32">
        <f t="shared" si="141"/>
        <v>0</v>
      </c>
      <c r="CD36" s="1094">
        <f>IF(Assumptions!CD94&lt;&gt;"0",Assumptions!CD94,0)</f>
        <v>0</v>
      </c>
      <c r="CE36" s="1061">
        <f>IF(Assumptions!CE94&lt;&gt;"0",Assumptions!CE94,0)</f>
        <v>0</v>
      </c>
      <c r="CF36" s="32">
        <f t="shared" si="142"/>
        <v>0</v>
      </c>
      <c r="CG36" s="1094">
        <f>IF(Assumptions!CG94&lt;&gt;"0",Assumptions!CG94,0)</f>
        <v>0</v>
      </c>
      <c r="CH36" s="1061">
        <f>IF(Assumptions!CH94&lt;&gt;"0",Assumptions!CH94,0)</f>
        <v>0</v>
      </c>
      <c r="CI36" s="32">
        <f t="shared" si="143"/>
        <v>0</v>
      </c>
      <c r="CJ36" s="1094">
        <f>IF(Assumptions!CJ94&lt;&gt;"0",Assumptions!CJ94,0)</f>
        <v>0</v>
      </c>
      <c r="CK36" s="1061">
        <f>IF(Assumptions!CK94&lt;&gt;"0",Assumptions!CK94,0)</f>
        <v>0</v>
      </c>
      <c r="CL36" s="32">
        <f t="shared" si="144"/>
        <v>0</v>
      </c>
      <c r="CM36" s="1094">
        <f>IF(Assumptions!CM94&lt;&gt;"0",Assumptions!CM94,0)</f>
        <v>0</v>
      </c>
      <c r="CN36" s="1061">
        <f>IF(Assumptions!CN94&lt;&gt;"0",Assumptions!CN94,0)</f>
        <v>0</v>
      </c>
      <c r="CO36" s="32">
        <f t="shared" si="145"/>
        <v>0</v>
      </c>
      <c r="CP36" s="1094">
        <f>IF(Assumptions!CP94&lt;&gt;"0",Assumptions!CP94,0)</f>
        <v>0</v>
      </c>
      <c r="CQ36" s="1061">
        <f>IF(Assumptions!CQ94&lt;&gt;"0",Assumptions!CQ94,0)</f>
        <v>0</v>
      </c>
      <c r="CR36" s="32">
        <f t="shared" si="146"/>
        <v>0</v>
      </c>
      <c r="CS36" s="1094">
        <f>IF(Assumptions!CS94&lt;&gt;"0",Assumptions!CS94,0)</f>
        <v>0</v>
      </c>
      <c r="CT36" s="1061">
        <f>IF(Assumptions!CT94&lt;&gt;"0",Assumptions!CT94,0)</f>
        <v>0</v>
      </c>
      <c r="CU36" s="32">
        <f t="shared" si="147"/>
        <v>0</v>
      </c>
      <c r="CV36" s="1094">
        <f>IF(Assumptions!CV94&lt;&gt;"0",Assumptions!CV94,0)</f>
        <v>0</v>
      </c>
      <c r="CW36" s="1061">
        <f>IF(Assumptions!CW94&lt;&gt;"0",Assumptions!CW94,0)</f>
        <v>0</v>
      </c>
      <c r="CX36" s="32">
        <f t="shared" si="148"/>
        <v>0</v>
      </c>
      <c r="CY36" s="1094">
        <f>IF(Assumptions!CY94&lt;&gt;"0",Assumptions!CY94,0)</f>
        <v>0</v>
      </c>
      <c r="CZ36" s="1061">
        <f>IF(Assumptions!CZ94&lt;&gt;"0",Assumptions!CZ94,0)</f>
        <v>0</v>
      </c>
      <c r="DA36" s="32">
        <f t="shared" si="149"/>
        <v>0</v>
      </c>
      <c r="DB36" s="1094" t="s">
        <v>309</v>
      </c>
      <c r="DC36" s="1061">
        <f>IF(Assumptions!DC94&lt;&gt;"0",Assumptions!DC94,0)</f>
        <v>0</v>
      </c>
      <c r="DD36" s="32">
        <f t="shared" si="150"/>
        <v>0</v>
      </c>
      <c r="DE36" s="1096">
        <f>IF(Assumptions!DE94&lt;&gt;"0",Assumptions!DE94,0)</f>
        <v>0</v>
      </c>
      <c r="DF36" s="1061">
        <f>IF(Assumptions!DF94&lt;&gt;"0",Assumptions!DF94,0)</f>
        <v>0</v>
      </c>
      <c r="DG36" s="32">
        <f t="shared" si="151"/>
        <v>0</v>
      </c>
      <c r="DH36" s="1096">
        <f>IF(Assumptions!DH94&lt;&gt;"0",Assumptions!DH94,0)</f>
        <v>0</v>
      </c>
      <c r="DI36" s="1061">
        <f>IF(Assumptions!DI94&lt;&gt;"0",Assumptions!DI94,0)</f>
        <v>0</v>
      </c>
      <c r="DJ36" s="32">
        <f t="shared" si="152"/>
        <v>0</v>
      </c>
      <c r="DK36" s="1096">
        <f>IF(Assumptions!DK94&lt;&gt;"0",Assumptions!DK94,0)</f>
        <v>0</v>
      </c>
      <c r="DL36" s="32">
        <f>IF(Assumptions!DL94&lt;&gt;"0",Assumptions!DL94,0)</f>
        <v>0</v>
      </c>
      <c r="DM36" s="32">
        <f t="shared" si="153"/>
        <v>0</v>
      </c>
      <c r="DN36" s="1061">
        <f>IF(Assumptions!DN94&lt;&gt;"0",Assumptions!DN94,0)</f>
        <v>0</v>
      </c>
      <c r="DO36" s="32">
        <f>IF(Assumptions!DO94&lt;&gt;"0",Assumptions!DO94,0)</f>
        <v>0</v>
      </c>
      <c r="DP36" s="32">
        <f t="shared" si="154"/>
        <v>0</v>
      </c>
      <c r="DQ36" s="1061">
        <f>IF(Assumptions!DQ94&lt;&gt;"0",Assumptions!DQ94,0)</f>
        <v>0</v>
      </c>
      <c r="DR36" s="1062">
        <f>IF(Assumptions!DR94&lt;&gt;"0",Assumptions!DR94,0)</f>
        <v>0</v>
      </c>
      <c r="DS36" s="1062">
        <f t="shared" si="155"/>
        <v>0</v>
      </c>
      <c r="DT36" s="1063">
        <f>IF(Assumptions!DT94&lt;&gt;"0",Assumptions!DT94,0)</f>
        <v>0</v>
      </c>
      <c r="DU36" s="32">
        <f>IF(Assumptions!DU94&lt;&gt;"0",Assumptions!DU94,0)</f>
        <v>0</v>
      </c>
      <c r="DV36" s="1062">
        <f t="shared" si="156"/>
        <v>0</v>
      </c>
      <c r="DW36" s="1063">
        <f>IF(Assumptions!DW94&lt;&gt;"0",Assumptions!DW94,0)</f>
        <v>0</v>
      </c>
      <c r="DX36" s="32">
        <f>IF(Assumptions!DX94&lt;&gt;"0",Assumptions!DX94,0)</f>
        <v>0</v>
      </c>
      <c r="DY36" s="32">
        <f t="shared" si="157"/>
        <v>0</v>
      </c>
      <c r="DZ36" s="1061">
        <f>IF(Assumptions!DZ94&lt;&gt;"0",Assumptions!DZ94,0)</f>
        <v>0</v>
      </c>
      <c r="EA36" s="32">
        <f>IF(Assumptions!EA94&lt;&gt;"0",Assumptions!EA94,0)</f>
        <v>0</v>
      </c>
      <c r="EB36" s="32">
        <f t="shared" si="158"/>
        <v>0</v>
      </c>
      <c r="EC36" s="1061">
        <f>IF(Assumptions!EC94&lt;&gt;"0",Assumptions!EC94,0)</f>
        <v>0</v>
      </c>
      <c r="ED36" s="32">
        <f>IF(Assumptions!ED94&lt;&gt;"0",Assumptions!ED94,0)</f>
        <v>0</v>
      </c>
      <c r="EE36" s="32">
        <f t="shared" si="159"/>
        <v>0</v>
      </c>
      <c r="EF36" s="1061">
        <f>IF(Assumptions!EF94&lt;&gt;"0",Assumptions!EF94,0)</f>
        <v>0</v>
      </c>
      <c r="EG36" s="32">
        <f>IF(Assumptions!EG94&lt;&gt;"0",Assumptions!EG94,0)</f>
        <v>0</v>
      </c>
      <c r="EH36" s="32">
        <f t="shared" si="160"/>
        <v>0</v>
      </c>
      <c r="EI36" s="1061">
        <f>IF(Assumptions!EI94&lt;&gt;"0",Assumptions!EI94,0)</f>
        <v>0</v>
      </c>
      <c r="EJ36" s="32">
        <f>IF(Assumptions!EJ94&lt;&gt;"0",Assumptions!EJ94,0)</f>
        <v>0</v>
      </c>
      <c r="EK36" s="32">
        <f t="shared" si="161"/>
        <v>0</v>
      </c>
      <c r="EL36" s="1061">
        <f>IF(Assumptions!EL94&lt;&gt;"0",Assumptions!EL94,0)</f>
        <v>0</v>
      </c>
      <c r="EM36" s="32">
        <f>IF(Assumptions!EM94&lt;&gt;"0",Assumptions!EM94,0)</f>
        <v>0</v>
      </c>
      <c r="EN36" s="32">
        <f t="shared" si="162"/>
        <v>0</v>
      </c>
      <c r="EO36" s="1061">
        <f>IF(Assumptions!EO94&lt;&gt;"0",Assumptions!EO94,0)</f>
        <v>0</v>
      </c>
      <c r="EP36" s="32">
        <f>IF(Assumptions!EP94&lt;&gt;"0",Assumptions!EP94,0)</f>
        <v>0</v>
      </c>
      <c r="EQ36" s="32">
        <f t="shared" si="163"/>
        <v>0</v>
      </c>
      <c r="ER36" s="1061">
        <f>IF(Assumptions!ER94&lt;&gt;"0",Assumptions!ER94,0)</f>
        <v>0</v>
      </c>
      <c r="ES36" s="32">
        <f>IF(Assumptions!ES94&lt;&gt;"0",Assumptions!ES94,0)</f>
        <v>0</v>
      </c>
      <c r="ET36" s="32">
        <f t="shared" si="164"/>
        <v>0</v>
      </c>
      <c r="EU36" s="1061">
        <f>IF(Assumptions!EU94&lt;&gt;"0",Assumptions!EU94,0)</f>
        <v>0</v>
      </c>
      <c r="EV36" s="32">
        <f>IF(Assumptions!EV94&lt;&gt;"0",Assumptions!EV94,0)</f>
        <v>0</v>
      </c>
      <c r="EW36" s="32">
        <f t="shared" si="165"/>
        <v>0</v>
      </c>
      <c r="EX36" s="1061">
        <f>IF(Assumptions!EX94&lt;&gt;"0",Assumptions!EX94,0)</f>
        <v>0</v>
      </c>
      <c r="EY36" s="32">
        <f>IF(Assumptions!EY94&lt;&gt;"0",Assumptions!EY94,0)</f>
        <v>0</v>
      </c>
      <c r="EZ36" s="32">
        <f t="shared" si="166"/>
        <v>0</v>
      </c>
      <c r="FA36" s="1061">
        <f>IF(Assumptions!FA94&lt;&gt;"0",Assumptions!FA94,0)</f>
        <v>0</v>
      </c>
      <c r="FD36"/>
      <c r="FE36"/>
      <c r="FF36"/>
      <c r="FG36"/>
      <c r="FH36"/>
      <c r="FI36"/>
    </row>
    <row r="37" spans="2:165" s="33" customFormat="1" outlineLevel="1">
      <c r="B37" s="33" t="s">
        <v>80</v>
      </c>
      <c r="D37" s="2" t="s">
        <v>506</v>
      </c>
      <c r="E37" s="32"/>
      <c r="F37" s="32">
        <f t="shared" si="109"/>
        <v>0</v>
      </c>
      <c r="G37" s="32"/>
      <c r="H37" s="32"/>
      <c r="I37" s="32">
        <f t="shared" si="110"/>
        <v>0</v>
      </c>
      <c r="J37" s="32"/>
      <c r="K37" s="32"/>
      <c r="L37" s="32">
        <f t="shared" si="111"/>
        <v>0</v>
      </c>
      <c r="M37" s="32"/>
      <c r="N37" s="32"/>
      <c r="O37" s="32">
        <f t="shared" si="112"/>
        <v>0</v>
      </c>
      <c r="P37" s="32"/>
      <c r="Q37" s="32"/>
      <c r="R37" s="32">
        <f t="shared" si="113"/>
        <v>0</v>
      </c>
      <c r="S37" s="32"/>
      <c r="T37" s="32"/>
      <c r="U37" s="32">
        <f t="shared" si="114"/>
        <v>0</v>
      </c>
      <c r="V37" s="32"/>
      <c r="W37" s="32"/>
      <c r="X37" s="32">
        <f t="shared" si="115"/>
        <v>0</v>
      </c>
      <c r="Y37" s="32"/>
      <c r="Z37" s="32"/>
      <c r="AA37" s="32">
        <f t="shared" si="116"/>
        <v>0</v>
      </c>
      <c r="AB37" s="32"/>
      <c r="AC37" s="32"/>
      <c r="AD37" s="32">
        <f t="shared" si="117"/>
        <v>0</v>
      </c>
      <c r="AE37" s="32"/>
      <c r="AF37" s="32"/>
      <c r="AG37" s="32">
        <f t="shared" si="118"/>
        <v>0</v>
      </c>
      <c r="AH37" s="32"/>
      <c r="AI37" s="32"/>
      <c r="AJ37" s="32">
        <f t="shared" si="119"/>
        <v>0</v>
      </c>
      <c r="AK37" s="32"/>
      <c r="AL37" s="32"/>
      <c r="AM37" s="32">
        <f t="shared" si="120"/>
        <v>0.42099999999999999</v>
      </c>
      <c r="AN37" s="1064">
        <v>0.42099999999999999</v>
      </c>
      <c r="AO37" s="32"/>
      <c r="AP37" s="32">
        <f t="shared" si="121"/>
        <v>1.35</v>
      </c>
      <c r="AQ37" s="1064">
        <v>1.35</v>
      </c>
      <c r="AR37" s="32"/>
      <c r="AS37" s="32">
        <f t="shared" si="122"/>
        <v>1.6060000000000001</v>
      </c>
      <c r="AT37" s="1064">
        <v>1.6060000000000001</v>
      </c>
      <c r="AU37" s="32"/>
      <c r="AV37" s="32">
        <f t="shared" si="123"/>
        <v>1.25</v>
      </c>
      <c r="AW37" s="1064">
        <v>1.25</v>
      </c>
      <c r="AX37" s="32"/>
      <c r="AY37" s="32">
        <f t="shared" si="124"/>
        <v>1.1990000000000001</v>
      </c>
      <c r="AZ37" s="1064">
        <v>1.1990000000000001</v>
      </c>
      <c r="BA37" s="32">
        <f>IF(Assumptions!BA22&lt;&gt;"0",Assumptions!BA22,0)</f>
        <v>0</v>
      </c>
      <c r="BB37" s="32">
        <f t="shared" si="125"/>
        <v>0.94599999999999995</v>
      </c>
      <c r="BC37" s="1064">
        <v>0.94599999999999995</v>
      </c>
      <c r="BD37" s="1064">
        <v>0</v>
      </c>
      <c r="BE37" s="32">
        <f t="shared" si="126"/>
        <v>2.700364</v>
      </c>
      <c r="BF37" s="1094">
        <f>IF(Assumptions!BF22&lt;&gt;"0",Assumptions!BF22,0)</f>
        <v>2.700364</v>
      </c>
      <c r="BG37" s="1061">
        <f>IF(Assumptions!BG22&lt;&gt;"0",Assumptions!BG22,0)</f>
        <v>0</v>
      </c>
      <c r="BH37" s="32">
        <f t="shared" si="127"/>
        <v>0</v>
      </c>
      <c r="BI37" s="1094">
        <f>IF(Assumptions!BI22&lt;&gt;"0",Assumptions!BI22,0)</f>
        <v>0</v>
      </c>
      <c r="BJ37" s="1061">
        <f>IF(Assumptions!BJ22&lt;&gt;"0",Assumptions!BJ22,0)</f>
        <v>0</v>
      </c>
      <c r="BK37" s="32">
        <f t="shared" si="128"/>
        <v>0</v>
      </c>
      <c r="BL37" s="1094">
        <f>IF(Assumptions!BL22&lt;&gt;"0",Assumptions!BL22,0)</f>
        <v>0</v>
      </c>
      <c r="BM37" s="1061">
        <f>IF(Assumptions!BM22&lt;&gt;"0",Assumptions!BM22,0)</f>
        <v>0</v>
      </c>
      <c r="BN37" s="32">
        <f t="shared" si="129"/>
        <v>0</v>
      </c>
      <c r="BO37" s="1094">
        <f>IF(Assumptions!BO22&lt;&gt;"0",Assumptions!BO22,0)</f>
        <v>0</v>
      </c>
      <c r="BP37" s="1061">
        <f>IF(Assumptions!BP22&lt;&gt;"0",Assumptions!BP22,0)</f>
        <v>0</v>
      </c>
      <c r="BQ37" s="32">
        <f t="shared" si="137"/>
        <v>0</v>
      </c>
      <c r="BR37" s="1094">
        <f>IF(Assumptions!BR22&lt;&gt;"0",Assumptions!BR22,0)</f>
        <v>0</v>
      </c>
      <c r="BS37" s="1061">
        <f>IF(Assumptions!BS22&lt;&gt;"0",Assumptions!BS22,0)</f>
        <v>0</v>
      </c>
      <c r="BT37" s="32">
        <f t="shared" si="138"/>
        <v>0</v>
      </c>
      <c r="BU37" s="1094">
        <f>IF(Assumptions!BU22&lt;&gt;"0",Assumptions!BU22,0)</f>
        <v>0</v>
      </c>
      <c r="BV37" s="1061">
        <f>IF(Assumptions!BV22&lt;&gt;"0",Assumptions!BV22,0)</f>
        <v>0</v>
      </c>
      <c r="BW37" s="32">
        <f t="shared" si="139"/>
        <v>0</v>
      </c>
      <c r="BX37" s="1094">
        <f>IF(Assumptions!BX22&lt;&gt;"0",Assumptions!BX22,0)</f>
        <v>0</v>
      </c>
      <c r="BY37" s="1061">
        <f>IF(Assumptions!BY22&lt;&gt;"0",Assumptions!BY22,0)</f>
        <v>0</v>
      </c>
      <c r="BZ37" s="32">
        <f t="shared" si="140"/>
        <v>0</v>
      </c>
      <c r="CA37" s="1094">
        <f>IF(Assumptions!CA22&lt;&gt;"0",Assumptions!CA22,0)</f>
        <v>0</v>
      </c>
      <c r="CB37" s="1061">
        <f>IF(Assumptions!CB22&lt;&gt;"0",Assumptions!CB22,0)</f>
        <v>0</v>
      </c>
      <c r="CC37" s="32">
        <f t="shared" si="141"/>
        <v>0</v>
      </c>
      <c r="CD37" s="1094">
        <f>IF(Assumptions!CD22&lt;&gt;"0",Assumptions!CD22,0)</f>
        <v>0</v>
      </c>
      <c r="CE37" s="1061">
        <f>IF(Assumptions!CE22&lt;&gt;"0",Assumptions!CE22,0)</f>
        <v>0</v>
      </c>
      <c r="CF37" s="32">
        <f t="shared" si="142"/>
        <v>0</v>
      </c>
      <c r="CG37" s="1094">
        <f>IF(Assumptions!CG22&lt;&gt;"0",Assumptions!CG22,0)</f>
        <v>0</v>
      </c>
      <c r="CH37" s="1061">
        <f>IF(Assumptions!CH22&lt;&gt;"0",Assumptions!CH22,0)</f>
        <v>0</v>
      </c>
      <c r="CI37" s="32">
        <f t="shared" si="143"/>
        <v>0</v>
      </c>
      <c r="CJ37" s="1094">
        <f>IF(Assumptions!CJ22&lt;&gt;"0",Assumptions!CJ22,0)</f>
        <v>0</v>
      </c>
      <c r="CK37" s="1061">
        <f>IF(Assumptions!CK22&lt;&gt;"0",Assumptions!CK22,0)</f>
        <v>0</v>
      </c>
      <c r="CL37" s="32">
        <f t="shared" si="144"/>
        <v>0</v>
      </c>
      <c r="CM37" s="1094">
        <f>IF(Assumptions!CM22&lt;&gt;"0",Assumptions!CM22,0)</f>
        <v>0</v>
      </c>
      <c r="CN37" s="1061">
        <f>IF(Assumptions!CN22&lt;&gt;"0",Assumptions!CN22,0)</f>
        <v>1</v>
      </c>
      <c r="CO37" s="32">
        <f t="shared" si="145"/>
        <v>0</v>
      </c>
      <c r="CP37" s="1094">
        <f>IF(Assumptions!CP22&lt;&gt;"0",Assumptions!CP22,0)</f>
        <v>1</v>
      </c>
      <c r="CQ37" s="1061">
        <f>IF(Assumptions!CQ22&lt;&gt;"0",Assumptions!CQ22,0)</f>
        <v>0</v>
      </c>
      <c r="CR37" s="32">
        <f t="shared" si="146"/>
        <v>0</v>
      </c>
      <c r="CS37" s="1094">
        <f>IF(Assumptions!CS22&lt;&gt;"0",Assumptions!CS22,0)</f>
        <v>0</v>
      </c>
      <c r="CT37" s="1061">
        <f>IF(Assumptions!CT22&lt;&gt;"0",Assumptions!CT22,0)</f>
        <v>0</v>
      </c>
      <c r="CU37" s="32">
        <f t="shared" si="147"/>
        <v>0</v>
      </c>
      <c r="CV37" s="1094">
        <f>IF(Assumptions!CV22&lt;&gt;"0",Assumptions!CV22,0)</f>
        <v>0</v>
      </c>
      <c r="CW37" s="1061">
        <f>IF(Assumptions!CW22&lt;&gt;"0",Assumptions!CW22,0)</f>
        <v>0</v>
      </c>
      <c r="CX37" s="32">
        <f t="shared" si="148"/>
        <v>0</v>
      </c>
      <c r="CY37" s="1094">
        <f>IF(Assumptions!CY22&lt;&gt;"0",Assumptions!CY22,0)</f>
        <v>0</v>
      </c>
      <c r="CZ37" s="1061">
        <f>IF(Assumptions!CZ22&lt;&gt;"0",Assumptions!CZ22,0)</f>
        <v>0</v>
      </c>
      <c r="DA37" s="32">
        <f t="shared" si="149"/>
        <v>0</v>
      </c>
      <c r="DB37" s="1094">
        <f>IF(Assumptions!DB22&lt;&gt;"0",Assumptions!DB22,0)</f>
        <v>0</v>
      </c>
      <c r="DC37" s="1061">
        <f>IF(Assumptions!DC22&lt;&gt;"0",Assumptions!DC22,0)</f>
        <v>0</v>
      </c>
      <c r="DD37" s="32">
        <f t="shared" si="150"/>
        <v>0</v>
      </c>
      <c r="DE37" s="1096">
        <f>IF(Assumptions!DE22&lt;&gt;"0",Assumptions!DE22,0)</f>
        <v>0</v>
      </c>
      <c r="DF37" s="1061">
        <f>IF(Assumptions!DF22&lt;&gt;"0",Assumptions!DF22,0)</f>
        <v>0</v>
      </c>
      <c r="DG37" s="32">
        <f t="shared" si="151"/>
        <v>0</v>
      </c>
      <c r="DH37" s="1096">
        <f>IF(Assumptions!DH22&lt;&gt;"0",Assumptions!DH22,0)</f>
        <v>0</v>
      </c>
      <c r="DI37" s="1061">
        <f>IF(Assumptions!DI22&lt;&gt;"0",Assumptions!DI22,0)</f>
        <v>0</v>
      </c>
      <c r="DJ37" s="32">
        <f t="shared" si="152"/>
        <v>0</v>
      </c>
      <c r="DK37" s="1096">
        <f>IF(Assumptions!DK22&lt;&gt;"0",Assumptions!DK22,0)</f>
        <v>0</v>
      </c>
      <c r="DL37" s="32">
        <f>IF(Assumptions!DL22&lt;&gt;"0",Assumptions!DL22,0)</f>
        <v>0</v>
      </c>
      <c r="DM37" s="32">
        <f t="shared" si="153"/>
        <v>0</v>
      </c>
      <c r="DN37" s="1061">
        <f>IF(Assumptions!DN22&lt;&gt;"0",Assumptions!DN22,0)</f>
        <v>0</v>
      </c>
      <c r="DO37" s="32">
        <f>IF(Assumptions!DO22&lt;&gt;"0",Assumptions!DO22,0)</f>
        <v>0</v>
      </c>
      <c r="DP37" s="32">
        <f t="shared" si="154"/>
        <v>0</v>
      </c>
      <c r="DQ37" s="1061">
        <f>IF(Assumptions!DQ22&lt;&gt;"0",Assumptions!DQ22,0)</f>
        <v>0</v>
      </c>
      <c r="DR37" s="1062">
        <f>IF(Assumptions!DR22&lt;&gt;"0",Assumptions!DR22,0)</f>
        <v>0</v>
      </c>
      <c r="DS37" s="1062">
        <f t="shared" si="155"/>
        <v>0</v>
      </c>
      <c r="DT37" s="1063">
        <f>IF(Assumptions!DT22&lt;&gt;"0",Assumptions!DT22,0)</f>
        <v>0</v>
      </c>
      <c r="DU37" s="32">
        <f>IF(Assumptions!DU22&lt;&gt;"0",Assumptions!DU22,0)</f>
        <v>0</v>
      </c>
      <c r="DV37" s="1062">
        <f t="shared" si="156"/>
        <v>0</v>
      </c>
      <c r="DW37" s="1063">
        <f>IF(Assumptions!DW22&lt;&gt;"0",Assumptions!DW22,0)</f>
        <v>0</v>
      </c>
      <c r="DX37" s="32">
        <f>IF(Assumptions!DX22&lt;&gt;"0",Assumptions!DX22,0)</f>
        <v>0</v>
      </c>
      <c r="DY37" s="32">
        <f t="shared" si="157"/>
        <v>0</v>
      </c>
      <c r="DZ37" s="1061">
        <f>IF(Assumptions!DZ22&lt;&gt;"0",Assumptions!DZ22,0)</f>
        <v>0</v>
      </c>
      <c r="EA37" s="32">
        <f>IF(Assumptions!EA22&lt;&gt;"0",Assumptions!EA22,0)</f>
        <v>0</v>
      </c>
      <c r="EB37" s="32">
        <f t="shared" si="158"/>
        <v>0</v>
      </c>
      <c r="EC37" s="1061">
        <f>IF(Assumptions!EC22&lt;&gt;"0",Assumptions!EC22,0)</f>
        <v>0</v>
      </c>
      <c r="ED37" s="32">
        <f>IF(Assumptions!ED22&lt;&gt;"0",Assumptions!ED22,0)</f>
        <v>0</v>
      </c>
      <c r="EE37" s="32">
        <f t="shared" si="159"/>
        <v>0</v>
      </c>
      <c r="EF37" s="1061">
        <f>IF(Assumptions!EF22&lt;&gt;"0",Assumptions!EF22,0)</f>
        <v>0</v>
      </c>
      <c r="EG37" s="32">
        <f>IF(Assumptions!EG22&lt;&gt;"0",Assumptions!EG22,0)</f>
        <v>0</v>
      </c>
      <c r="EH37" s="32">
        <f t="shared" si="160"/>
        <v>0</v>
      </c>
      <c r="EI37" s="1061">
        <f>IF(Assumptions!EI22&lt;&gt;"0",Assumptions!EI22,0)</f>
        <v>0</v>
      </c>
      <c r="EJ37" s="32">
        <f>IF(Assumptions!EJ22&lt;&gt;"0",Assumptions!EJ22,0)</f>
        <v>0</v>
      </c>
      <c r="EK37" s="32">
        <f t="shared" si="161"/>
        <v>0</v>
      </c>
      <c r="EL37" s="1061">
        <f>IF(Assumptions!EL22&lt;&gt;"0",Assumptions!EL22,0)</f>
        <v>0</v>
      </c>
      <c r="EM37" s="32">
        <f>IF(Assumptions!EM22&lt;&gt;"0",Assumptions!EM22,0)</f>
        <v>0</v>
      </c>
      <c r="EN37" s="32">
        <f t="shared" si="162"/>
        <v>0</v>
      </c>
      <c r="EO37" s="1061">
        <f>IF(Assumptions!EO22&lt;&gt;"0",Assumptions!EO22,0)</f>
        <v>0</v>
      </c>
      <c r="EP37" s="32">
        <f>IF(Assumptions!EP22&lt;&gt;"0",Assumptions!EP22,0)</f>
        <v>0</v>
      </c>
      <c r="EQ37" s="32">
        <f t="shared" si="163"/>
        <v>0</v>
      </c>
      <c r="ER37" s="1061">
        <f>IF(Assumptions!ER22&lt;&gt;"0",Assumptions!ER22,0)</f>
        <v>0</v>
      </c>
      <c r="ES37" s="32">
        <f>IF(Assumptions!ES22&lt;&gt;"0",Assumptions!ES22,0)</f>
        <v>0</v>
      </c>
      <c r="ET37" s="32">
        <f t="shared" si="164"/>
        <v>0</v>
      </c>
      <c r="EU37" s="1061">
        <f>IF(Assumptions!EU22&lt;&gt;"0",Assumptions!EU22,0)</f>
        <v>0</v>
      </c>
      <c r="EV37" s="32">
        <f>IF(Assumptions!EV22&lt;&gt;"0",Assumptions!EV22,0)</f>
        <v>0</v>
      </c>
      <c r="EW37" s="32">
        <f t="shared" si="165"/>
        <v>0</v>
      </c>
      <c r="EX37" s="1061">
        <f>IF(Assumptions!EX22&lt;&gt;"0",Assumptions!EX22,0)</f>
        <v>0</v>
      </c>
      <c r="EY37" s="32">
        <f>IF(Assumptions!EY22&lt;&gt;"0",Assumptions!EY22,0)</f>
        <v>0</v>
      </c>
      <c r="EZ37" s="32">
        <f t="shared" si="166"/>
        <v>0</v>
      </c>
      <c r="FA37" s="1061">
        <f>IF(Assumptions!FA22&lt;&gt;"0",Assumptions!FA22,0)</f>
        <v>0</v>
      </c>
      <c r="FD37"/>
      <c r="FE37"/>
      <c r="FF37"/>
      <c r="FG37"/>
      <c r="FH37"/>
      <c r="FI37"/>
    </row>
    <row r="38" spans="2:165" s="33" customFormat="1" outlineLevel="1">
      <c r="B38" s="54" t="s">
        <v>81</v>
      </c>
      <c r="D38" s="2" t="s">
        <v>506</v>
      </c>
      <c r="E38" s="32"/>
      <c r="F38" s="32">
        <f t="shared" si="109"/>
        <v>0</v>
      </c>
      <c r="G38" s="32"/>
      <c r="H38" s="32"/>
      <c r="I38" s="32">
        <f t="shared" si="110"/>
        <v>0</v>
      </c>
      <c r="J38" s="32"/>
      <c r="K38" s="32"/>
      <c r="L38" s="32">
        <f t="shared" si="111"/>
        <v>0</v>
      </c>
      <c r="M38" s="32"/>
      <c r="N38" s="32"/>
      <c r="O38" s="32">
        <f t="shared" si="112"/>
        <v>0</v>
      </c>
      <c r="P38" s="32"/>
      <c r="Q38" s="32"/>
      <c r="R38" s="32">
        <f t="shared" si="113"/>
        <v>0</v>
      </c>
      <c r="S38" s="32"/>
      <c r="T38" s="32"/>
      <c r="U38" s="32">
        <f t="shared" si="114"/>
        <v>0</v>
      </c>
      <c r="V38" s="32"/>
      <c r="W38" s="32"/>
      <c r="X38" s="32">
        <f t="shared" si="115"/>
        <v>0</v>
      </c>
      <c r="Y38" s="32"/>
      <c r="Z38" s="32"/>
      <c r="AA38" s="32">
        <f t="shared" si="116"/>
        <v>0</v>
      </c>
      <c r="AB38" s="32"/>
      <c r="AC38" s="32"/>
      <c r="AD38" s="32">
        <f t="shared" si="117"/>
        <v>0</v>
      </c>
      <c r="AE38" s="32"/>
      <c r="AF38" s="32"/>
      <c r="AG38" s="32">
        <f t="shared" si="118"/>
        <v>0</v>
      </c>
      <c r="AH38" s="32"/>
      <c r="AI38" s="32"/>
      <c r="AJ38" s="32">
        <f t="shared" si="119"/>
        <v>0</v>
      </c>
      <c r="AK38" s="32"/>
      <c r="AL38" s="32"/>
      <c r="AM38" s="32">
        <f t="shared" si="120"/>
        <v>0</v>
      </c>
      <c r="AN38" s="32"/>
      <c r="AO38" s="32"/>
      <c r="AP38" s="32">
        <f t="shared" si="121"/>
        <v>0</v>
      </c>
      <c r="AQ38" s="32"/>
      <c r="AR38" s="32"/>
      <c r="AS38" s="32">
        <f t="shared" si="122"/>
        <v>0</v>
      </c>
      <c r="AT38" s="32"/>
      <c r="AU38" s="32"/>
      <c r="AV38" s="32">
        <f t="shared" si="123"/>
        <v>0.42799999999999999</v>
      </c>
      <c r="AW38" s="1064">
        <v>0.42799999999999999</v>
      </c>
      <c r="AX38" s="32"/>
      <c r="AY38" s="32">
        <f t="shared" si="124"/>
        <v>0</v>
      </c>
      <c r="AZ38" s="32">
        <f>IF(Assumptions!AZ23&lt;&gt;"0",Assumptions!AZ23,0)</f>
        <v>0</v>
      </c>
      <c r="BA38" s="32">
        <f>IF(Assumptions!BA23&lt;&gt;"0",Assumptions!BA23,0)</f>
        <v>0</v>
      </c>
      <c r="BB38" s="32">
        <f t="shared" si="125"/>
        <v>6.7000000000000004E-2</v>
      </c>
      <c r="BC38" s="1064">
        <v>6.7000000000000004E-2</v>
      </c>
      <c r="BD38" s="1064">
        <v>0</v>
      </c>
      <c r="BE38" s="32">
        <f t="shared" si="126"/>
        <v>0</v>
      </c>
      <c r="BF38" s="1094">
        <f>IF(Assumptions!BF23&lt;&gt;"0",Assumptions!BF23,0)</f>
        <v>0</v>
      </c>
      <c r="BG38" s="1061">
        <f>IF(Assumptions!BG23&lt;&gt;"0",Assumptions!BG23,0)</f>
        <v>0</v>
      </c>
      <c r="BH38" s="32">
        <f t="shared" si="127"/>
        <v>0</v>
      </c>
      <c r="BI38" s="1094">
        <f>IF(Assumptions!BI23&lt;&gt;"0",Assumptions!BI23,0)</f>
        <v>0</v>
      </c>
      <c r="BJ38" s="1061">
        <f>IF(Assumptions!BJ23&lt;&gt;"0",Assumptions!BJ23,0)</f>
        <v>0</v>
      </c>
      <c r="BK38" s="32">
        <f t="shared" si="128"/>
        <v>0</v>
      </c>
      <c r="BL38" s="1094">
        <f>IF(Assumptions!BL23&lt;&gt;"0",Assumptions!BL23,0)</f>
        <v>0</v>
      </c>
      <c r="BM38" s="1061">
        <f>IF(Assumptions!BM23&lt;&gt;"0",Assumptions!BM23,0)</f>
        <v>0</v>
      </c>
      <c r="BN38" s="32">
        <f t="shared" si="129"/>
        <v>0</v>
      </c>
      <c r="BO38" s="1094">
        <f>IF(Assumptions!BO23&lt;&gt;"0",Assumptions!BO23,0)</f>
        <v>0</v>
      </c>
      <c r="BP38" s="1061">
        <f>IF(Assumptions!BP23&lt;&gt;"0",Assumptions!BP23,0)</f>
        <v>0</v>
      </c>
      <c r="BQ38" s="32">
        <f t="shared" si="137"/>
        <v>0</v>
      </c>
      <c r="BR38" s="1094">
        <f>IF(Assumptions!BR23&lt;&gt;"0",Assumptions!BR23,0)</f>
        <v>0</v>
      </c>
      <c r="BS38" s="1061">
        <f>IF(Assumptions!BS23&lt;&gt;"0",Assumptions!BS23,0)</f>
        <v>0</v>
      </c>
      <c r="BT38" s="32">
        <f t="shared" si="138"/>
        <v>0</v>
      </c>
      <c r="BU38" s="1094">
        <f>IF(Assumptions!BU23&lt;&gt;"0",Assumptions!BU23,0)</f>
        <v>0</v>
      </c>
      <c r="BV38" s="1061">
        <f>IF(Assumptions!BV23&lt;&gt;"0",Assumptions!BV23,0)</f>
        <v>0</v>
      </c>
      <c r="BW38" s="32">
        <f t="shared" si="139"/>
        <v>0</v>
      </c>
      <c r="BX38" s="1094">
        <f>IF(Assumptions!BX23&lt;&gt;"0",Assumptions!BX23,0)</f>
        <v>0</v>
      </c>
      <c r="BY38" s="1061">
        <f>IF(Assumptions!BY23&lt;&gt;"0",Assumptions!BY23,0)</f>
        <v>0</v>
      </c>
      <c r="BZ38" s="32">
        <f t="shared" si="140"/>
        <v>0</v>
      </c>
      <c r="CA38" s="1094">
        <f>IF(Assumptions!CA23&lt;&gt;"0",Assumptions!CA23,0)</f>
        <v>0</v>
      </c>
      <c r="CB38" s="1061">
        <f>IF(Assumptions!CB23&lt;&gt;"0",Assumptions!CB23,0)</f>
        <v>0</v>
      </c>
      <c r="CC38" s="32">
        <f t="shared" si="141"/>
        <v>0</v>
      </c>
      <c r="CD38" s="1094">
        <f>IF(Assumptions!CD23&lt;&gt;"0",Assumptions!CD23,0)</f>
        <v>0</v>
      </c>
      <c r="CE38" s="1061">
        <f>IF(Assumptions!CE23&lt;&gt;"0",Assumptions!CE23,0)</f>
        <v>0</v>
      </c>
      <c r="CF38" s="32">
        <f t="shared" si="142"/>
        <v>0</v>
      </c>
      <c r="CG38" s="1094">
        <f>IF(Assumptions!CG23&lt;&gt;"0",Assumptions!CG23,0)</f>
        <v>0</v>
      </c>
      <c r="CH38" s="1061">
        <f>IF(Assumptions!CH23&lt;&gt;"0",Assumptions!CH23,0)</f>
        <v>0</v>
      </c>
      <c r="CI38" s="32">
        <f t="shared" si="143"/>
        <v>0</v>
      </c>
      <c r="CJ38" s="1094">
        <f>IF(Assumptions!CJ23&lt;&gt;"0",Assumptions!CJ23,0)</f>
        <v>0</v>
      </c>
      <c r="CK38" s="1061">
        <f>IF(Assumptions!CK23&lt;&gt;"0",Assumptions!CK23,0)</f>
        <v>0</v>
      </c>
      <c r="CL38" s="32">
        <f t="shared" si="144"/>
        <v>0</v>
      </c>
      <c r="CM38" s="1094">
        <f>IF(Assumptions!CM23&lt;&gt;"0",Assumptions!CM23,0)</f>
        <v>0</v>
      </c>
      <c r="CN38" s="1061">
        <f>IF(Assumptions!CN23&lt;&gt;"0",Assumptions!CN23,0)</f>
        <v>0</v>
      </c>
      <c r="CO38" s="32">
        <f t="shared" si="145"/>
        <v>0</v>
      </c>
      <c r="CP38" s="1094">
        <f>IF(Assumptions!CP23&lt;&gt;"0",Assumptions!CP23,0)</f>
        <v>0</v>
      </c>
      <c r="CQ38" s="1061">
        <f>IF(Assumptions!CQ23&lt;&gt;"0",Assumptions!CQ23,0)</f>
        <v>0</v>
      </c>
      <c r="CR38" s="32">
        <f t="shared" si="146"/>
        <v>0</v>
      </c>
      <c r="CS38" s="1094">
        <f>IF(Assumptions!CS23&lt;&gt;"0",Assumptions!CS23,0)</f>
        <v>0</v>
      </c>
      <c r="CT38" s="1061">
        <f>IF(Assumptions!CT23&lt;&gt;"0",Assumptions!CT23,0)</f>
        <v>0</v>
      </c>
      <c r="CU38" s="32">
        <f t="shared" si="147"/>
        <v>0</v>
      </c>
      <c r="CV38" s="1094">
        <f>IF(Assumptions!CV23&lt;&gt;"0",Assumptions!CV23,0)</f>
        <v>0</v>
      </c>
      <c r="CW38" s="1061">
        <f>IF(Assumptions!CW23&lt;&gt;"0",Assumptions!CW23,0)</f>
        <v>0</v>
      </c>
      <c r="CX38" s="32">
        <f t="shared" si="148"/>
        <v>0</v>
      </c>
      <c r="CY38" s="1094">
        <f>IF(Assumptions!CY23&lt;&gt;"0",Assumptions!CY23,0)</f>
        <v>0</v>
      </c>
      <c r="CZ38" s="1061">
        <f>IF(Assumptions!CZ23&lt;&gt;"0",Assumptions!CZ23,0)</f>
        <v>0</v>
      </c>
      <c r="DA38" s="32">
        <f t="shared" si="149"/>
        <v>0</v>
      </c>
      <c r="DB38" s="1094">
        <f>IF(Assumptions!DB23&lt;&gt;"0",Assumptions!DB23,0)</f>
        <v>0</v>
      </c>
      <c r="DC38" s="1061">
        <f>IF(Assumptions!DC23&lt;&gt;"0",Assumptions!DC23,0)</f>
        <v>0</v>
      </c>
      <c r="DD38" s="32">
        <f t="shared" si="150"/>
        <v>0</v>
      </c>
      <c r="DE38" s="1096">
        <f>IF(Assumptions!DE23&lt;&gt;"0",Assumptions!DE23,0)</f>
        <v>0</v>
      </c>
      <c r="DF38" s="1061">
        <f>IF(Assumptions!DF23&lt;&gt;"0",Assumptions!DF23,0)</f>
        <v>0</v>
      </c>
      <c r="DG38" s="32">
        <f t="shared" si="151"/>
        <v>0</v>
      </c>
      <c r="DH38" s="1096">
        <f>IF(Assumptions!DH23&lt;&gt;"0",Assumptions!DH23,0)</f>
        <v>0</v>
      </c>
      <c r="DI38" s="1061">
        <f>IF(Assumptions!DI23&lt;&gt;"0",Assumptions!DI23,0)</f>
        <v>0</v>
      </c>
      <c r="DJ38" s="32">
        <f t="shared" si="152"/>
        <v>0</v>
      </c>
      <c r="DK38" s="1096">
        <f>IF(Assumptions!DK23&lt;&gt;"0",Assumptions!DK23,0)</f>
        <v>0</v>
      </c>
      <c r="DL38" s="32">
        <f>IF(Assumptions!DL23&lt;&gt;"0",Assumptions!DL23,0)</f>
        <v>0</v>
      </c>
      <c r="DM38" s="32">
        <f t="shared" si="153"/>
        <v>0</v>
      </c>
      <c r="DN38" s="1061">
        <f>IF(Assumptions!DN23&lt;&gt;"0",Assumptions!DN23,0)</f>
        <v>0</v>
      </c>
      <c r="DO38" s="32">
        <f>IF(Assumptions!DO23&lt;&gt;"0",Assumptions!DO23,0)</f>
        <v>0</v>
      </c>
      <c r="DP38" s="32">
        <f t="shared" si="154"/>
        <v>0</v>
      </c>
      <c r="DQ38" s="1061">
        <f>IF(Assumptions!DQ23&lt;&gt;"0",Assumptions!DQ23,0)</f>
        <v>0</v>
      </c>
      <c r="DR38" s="1062">
        <f>IF(Assumptions!DR23&lt;&gt;"0",Assumptions!DR23,0)</f>
        <v>0</v>
      </c>
      <c r="DS38" s="1062">
        <f t="shared" si="155"/>
        <v>0</v>
      </c>
      <c r="DT38" s="1063">
        <f>IF(Assumptions!DT23&lt;&gt;"0",Assumptions!DT23,0)</f>
        <v>0</v>
      </c>
      <c r="DU38" s="32">
        <f>IF(Assumptions!DU23&lt;&gt;"0",Assumptions!DU23,0)</f>
        <v>0</v>
      </c>
      <c r="DV38" s="1062">
        <f t="shared" si="156"/>
        <v>0</v>
      </c>
      <c r="DW38" s="1063">
        <f>IF(Assumptions!DW23&lt;&gt;"0",Assumptions!DW23,0)</f>
        <v>0</v>
      </c>
      <c r="DX38" s="32">
        <f>IF(Assumptions!DX23&lt;&gt;"0",Assumptions!DX23,0)</f>
        <v>0</v>
      </c>
      <c r="DY38" s="32">
        <f t="shared" si="157"/>
        <v>0</v>
      </c>
      <c r="DZ38" s="1061">
        <f>IF(Assumptions!DZ23&lt;&gt;"0",Assumptions!DZ23,0)</f>
        <v>0</v>
      </c>
      <c r="EA38" s="32">
        <f>IF(Assumptions!EA23&lt;&gt;"0",Assumptions!EA23,0)</f>
        <v>0</v>
      </c>
      <c r="EB38" s="32">
        <f t="shared" si="158"/>
        <v>0</v>
      </c>
      <c r="EC38" s="1061">
        <f>IF(Assumptions!EC23&lt;&gt;"0",Assumptions!EC23,0)</f>
        <v>0</v>
      </c>
      <c r="ED38" s="32">
        <f>IF(Assumptions!ED23&lt;&gt;"0",Assumptions!ED23,0)</f>
        <v>0</v>
      </c>
      <c r="EE38" s="32">
        <f t="shared" si="159"/>
        <v>0</v>
      </c>
      <c r="EF38" s="1061">
        <f>IF(Assumptions!EF23&lt;&gt;"0",Assumptions!EF23,0)</f>
        <v>0</v>
      </c>
      <c r="EG38" s="32">
        <f>IF(Assumptions!EG23&lt;&gt;"0",Assumptions!EG23,0)</f>
        <v>0</v>
      </c>
      <c r="EH38" s="32">
        <f t="shared" si="160"/>
        <v>0</v>
      </c>
      <c r="EI38" s="1061">
        <f>IF(Assumptions!EI23&lt;&gt;"0",Assumptions!EI23,0)</f>
        <v>0</v>
      </c>
      <c r="EJ38" s="32">
        <f>IF(Assumptions!EJ23&lt;&gt;"0",Assumptions!EJ23,0)</f>
        <v>0</v>
      </c>
      <c r="EK38" s="32">
        <f t="shared" si="161"/>
        <v>0</v>
      </c>
      <c r="EL38" s="1061">
        <f>IF(Assumptions!EL23&lt;&gt;"0",Assumptions!EL23,0)</f>
        <v>0</v>
      </c>
      <c r="EM38" s="32">
        <f>IF(Assumptions!EM23&lt;&gt;"0",Assumptions!EM23,0)</f>
        <v>0</v>
      </c>
      <c r="EN38" s="32">
        <f t="shared" si="162"/>
        <v>0</v>
      </c>
      <c r="EO38" s="1061">
        <f>IF(Assumptions!EO23&lt;&gt;"0",Assumptions!EO23,0)</f>
        <v>0</v>
      </c>
      <c r="EP38" s="32">
        <f>IF(Assumptions!EP23&lt;&gt;"0",Assumptions!EP23,0)</f>
        <v>0</v>
      </c>
      <c r="EQ38" s="32">
        <f t="shared" si="163"/>
        <v>0</v>
      </c>
      <c r="ER38" s="1061">
        <f>IF(Assumptions!ER23&lt;&gt;"0",Assumptions!ER23,0)</f>
        <v>0</v>
      </c>
      <c r="ES38" s="32">
        <f>IF(Assumptions!ES23&lt;&gt;"0",Assumptions!ES23,0)</f>
        <v>0</v>
      </c>
      <c r="ET38" s="32">
        <f t="shared" si="164"/>
        <v>0</v>
      </c>
      <c r="EU38" s="1061">
        <f>IF(Assumptions!EU23&lt;&gt;"0",Assumptions!EU23,0)</f>
        <v>0</v>
      </c>
      <c r="EV38" s="32">
        <f>IF(Assumptions!EV23&lt;&gt;"0",Assumptions!EV23,0)</f>
        <v>0</v>
      </c>
      <c r="EW38" s="32">
        <f t="shared" si="165"/>
        <v>0</v>
      </c>
      <c r="EX38" s="1061">
        <f>IF(Assumptions!EX23&lt;&gt;"0",Assumptions!EX23,0)</f>
        <v>0</v>
      </c>
      <c r="EY38" s="32">
        <f>IF(Assumptions!EY23&lt;&gt;"0",Assumptions!EY23,0)</f>
        <v>0</v>
      </c>
      <c r="EZ38" s="32">
        <f t="shared" si="166"/>
        <v>0</v>
      </c>
      <c r="FA38" s="1061">
        <f>IF(Assumptions!FA23&lt;&gt;"0",Assumptions!FA23,0)</f>
        <v>0</v>
      </c>
      <c r="FD38"/>
      <c r="FE38"/>
      <c r="FF38"/>
      <c r="FG38"/>
      <c r="FH38"/>
      <c r="FI38"/>
    </row>
    <row r="39" spans="2:165" s="33" customFormat="1" outlineLevel="1">
      <c r="B39" s="54" t="s">
        <v>82</v>
      </c>
      <c r="D39" s="2" t="s">
        <v>506</v>
      </c>
      <c r="E39" s="53"/>
      <c r="F39" s="32">
        <f t="shared" si="109"/>
        <v>0</v>
      </c>
      <c r="G39" s="53"/>
      <c r="H39" s="53"/>
      <c r="I39" s="32">
        <f t="shared" si="110"/>
        <v>0</v>
      </c>
      <c r="J39" s="53"/>
      <c r="K39" s="53"/>
      <c r="L39" s="32">
        <f t="shared" si="111"/>
        <v>0</v>
      </c>
      <c r="M39" s="53"/>
      <c r="N39" s="53"/>
      <c r="O39" s="32">
        <f t="shared" si="112"/>
        <v>0</v>
      </c>
      <c r="P39" s="53"/>
      <c r="Q39" s="53"/>
      <c r="R39" s="32">
        <f t="shared" si="113"/>
        <v>0</v>
      </c>
      <c r="S39" s="53"/>
      <c r="T39" s="53"/>
      <c r="U39" s="32">
        <f t="shared" si="114"/>
        <v>0</v>
      </c>
      <c r="V39" s="53"/>
      <c r="W39" s="53"/>
      <c r="X39" s="32">
        <f t="shared" si="115"/>
        <v>0</v>
      </c>
      <c r="Y39" s="53"/>
      <c r="Z39" s="53"/>
      <c r="AA39" s="32">
        <f t="shared" si="116"/>
        <v>0</v>
      </c>
      <c r="AB39" s="53"/>
      <c r="AC39" s="53"/>
      <c r="AD39" s="32">
        <f t="shared" si="117"/>
        <v>0</v>
      </c>
      <c r="AE39" s="53"/>
      <c r="AF39" s="53"/>
      <c r="AG39" s="32">
        <f t="shared" si="118"/>
        <v>0</v>
      </c>
      <c r="AH39" s="53"/>
      <c r="AI39" s="53"/>
      <c r="AJ39" s="32">
        <f t="shared" si="119"/>
        <v>0</v>
      </c>
      <c r="AK39" s="53"/>
      <c r="AL39" s="53"/>
      <c r="AM39" s="32">
        <f t="shared" si="120"/>
        <v>0</v>
      </c>
      <c r="AN39" s="53"/>
      <c r="AO39" s="53"/>
      <c r="AP39" s="32">
        <f t="shared" si="121"/>
        <v>0</v>
      </c>
      <c r="AQ39" s="53"/>
      <c r="AR39" s="53"/>
      <c r="AS39" s="32">
        <f t="shared" si="122"/>
        <v>0</v>
      </c>
      <c r="AT39" s="53"/>
      <c r="AU39" s="53"/>
      <c r="AV39" s="32">
        <f t="shared" si="123"/>
        <v>0.65700000000000003</v>
      </c>
      <c r="AW39" s="1097">
        <v>0.65700000000000003</v>
      </c>
      <c r="AX39" s="53"/>
      <c r="AY39" s="32">
        <f t="shared" si="124"/>
        <v>9.6000000000000002E-2</v>
      </c>
      <c r="AZ39" s="1097">
        <v>9.6000000000000002E-2</v>
      </c>
      <c r="BA39" s="53">
        <f>IF(BA191&lt;&gt;"0",BA191,0)</f>
        <v>6.5000000000000002E-2</v>
      </c>
      <c r="BB39" s="32">
        <f t="shared" si="125"/>
        <v>0.20400000000000001</v>
      </c>
      <c r="BC39" s="1097">
        <v>0.26900000000000002</v>
      </c>
      <c r="BD39" s="1097">
        <v>0.36399999999999999</v>
      </c>
      <c r="BE39" s="32">
        <f t="shared" si="126"/>
        <v>3.400000000000003E-2</v>
      </c>
      <c r="BF39" s="1098">
        <f>IF(BF191&lt;&gt;"0",BF191,0)</f>
        <v>0.39800000000000002</v>
      </c>
      <c r="BG39" s="1099">
        <v>0</v>
      </c>
      <c r="BH39" s="32">
        <f t="shared" si="127"/>
        <v>0</v>
      </c>
      <c r="BI39" s="1100">
        <v>0</v>
      </c>
      <c r="BJ39" s="1099">
        <v>0</v>
      </c>
      <c r="BK39" s="32">
        <f t="shared" si="128"/>
        <v>0</v>
      </c>
      <c r="BL39" s="1100">
        <v>0</v>
      </c>
      <c r="BM39" s="1088">
        <f>IF(BM191&lt;&gt;"0",BM191,0)</f>
        <v>1.097</v>
      </c>
      <c r="BN39" s="32">
        <f t="shared" si="129"/>
        <v>-1.097</v>
      </c>
      <c r="BO39" s="1100">
        <v>0</v>
      </c>
      <c r="BP39" s="1088">
        <f>IF(BP191&lt;&gt;"0",BP191,0)</f>
        <v>0</v>
      </c>
      <c r="BQ39" s="32">
        <f t="shared" si="137"/>
        <v>2.7389999999999999</v>
      </c>
      <c r="BR39" s="1098">
        <f>IF(BR191&lt;&gt;"0",BR191,0)</f>
        <v>2.7389999999999999</v>
      </c>
      <c r="BS39" s="1088">
        <f>IF(BS191&lt;&gt;"0",BS191,0)</f>
        <v>0</v>
      </c>
      <c r="BT39" s="32">
        <f t="shared" si="138"/>
        <v>0</v>
      </c>
      <c r="BU39" s="1100">
        <v>0</v>
      </c>
      <c r="BV39" s="1099">
        <v>0</v>
      </c>
      <c r="BW39" s="32">
        <f t="shared" si="139"/>
        <v>0.84499999999999997</v>
      </c>
      <c r="BX39" s="1098">
        <f>IF(BX191&lt;&gt;"0",BX191,0)</f>
        <v>0.84499999999999997</v>
      </c>
      <c r="BY39" s="1088">
        <f>IF(BY191&lt;&gt;"0",BY191,0)</f>
        <v>0.317</v>
      </c>
      <c r="BZ39" s="32">
        <f t="shared" si="140"/>
        <v>1.0940000000000001</v>
      </c>
      <c r="CA39" s="1098">
        <f>IF(CA191&lt;&gt;"0",CA191,0)</f>
        <v>1.411</v>
      </c>
      <c r="CB39" s="1099">
        <v>0</v>
      </c>
      <c r="CC39" s="32">
        <f t="shared" si="141"/>
        <v>0</v>
      </c>
      <c r="CD39" s="1098">
        <f>IF(CD191&lt;&gt;"0",CD191,0)</f>
        <v>0</v>
      </c>
      <c r="CE39" s="1088">
        <f>IF(CE191&lt;&gt;"0",CE191,0)</f>
        <v>0</v>
      </c>
      <c r="CF39" s="32">
        <f t="shared" si="142"/>
        <v>0</v>
      </c>
      <c r="CG39" s="1098">
        <f>IF(CG191&lt;&gt;"0",CG191,0)</f>
        <v>0</v>
      </c>
      <c r="CH39" s="1088">
        <f>IF(CH191&lt;&gt;"0",CH191,0)</f>
        <v>0</v>
      </c>
      <c r="CI39" s="32">
        <f t="shared" si="143"/>
        <v>0</v>
      </c>
      <c r="CJ39" s="1098">
        <f>IF(CJ191&lt;&gt;"0",CJ191,0)</f>
        <v>0</v>
      </c>
      <c r="CK39" s="1088">
        <f>IF(CK191&lt;&gt;"0",CK191,0)</f>
        <v>0</v>
      </c>
      <c r="CL39" s="32">
        <f t="shared" si="144"/>
        <v>0</v>
      </c>
      <c r="CM39" s="1098">
        <f>IF(CM191&lt;&gt;"0",CM191,0)</f>
        <v>0</v>
      </c>
      <c r="CN39" s="1088">
        <f>IF(CN191&lt;&gt;"0",CN191,0)</f>
        <v>0.1</v>
      </c>
      <c r="CO39" s="32">
        <f t="shared" si="145"/>
        <v>-0.1</v>
      </c>
      <c r="CP39" s="1098">
        <f>IF(CP191&lt;&gt;"0",CP191,0)</f>
        <v>0</v>
      </c>
      <c r="CQ39" s="1088">
        <f>IF(CQ191&lt;&gt;"0",CQ191,0)</f>
        <v>0</v>
      </c>
      <c r="CR39" s="32">
        <f t="shared" si="146"/>
        <v>0</v>
      </c>
      <c r="CS39" s="1098">
        <f>IF(CS191&lt;&gt;"0",CS191,0)</f>
        <v>0</v>
      </c>
      <c r="CT39" s="1088">
        <f>IF(CT191&lt;&gt;"0",CT191,0)</f>
        <v>0</v>
      </c>
      <c r="CU39" s="32">
        <f t="shared" si="147"/>
        <v>0</v>
      </c>
      <c r="CV39" s="1098">
        <f>IF(CV191&lt;&gt;"0",CV191,0)</f>
        <v>0</v>
      </c>
      <c r="CW39" s="1088">
        <f>IF(CW191&lt;&gt;"0",CW191,0)</f>
        <v>0</v>
      </c>
      <c r="CX39" s="32">
        <f t="shared" si="148"/>
        <v>0</v>
      </c>
      <c r="CY39" s="1098">
        <f>IF(CY191&lt;&gt;"0",CY191,0)</f>
        <v>0</v>
      </c>
      <c r="CZ39" s="1088">
        <f>IF(CZ191&lt;&gt;"0",CZ191,0)</f>
        <v>0</v>
      </c>
      <c r="DA39" s="32">
        <f t="shared" si="149"/>
        <v>0</v>
      </c>
      <c r="DB39" s="1098">
        <f>IF(DB191&lt;&gt;"0",DB191,0)</f>
        <v>0</v>
      </c>
      <c r="DC39" s="1088">
        <f>IF(DC191&lt;&gt;"0",DC191,0)</f>
        <v>0</v>
      </c>
      <c r="DD39" s="32">
        <f t="shared" si="150"/>
        <v>0</v>
      </c>
      <c r="DE39" s="1101">
        <f>IF(DE191&lt;&gt;"0",DE191,0)</f>
        <v>0</v>
      </c>
      <c r="DF39" s="1088">
        <f>IF(DF191&lt;&gt;"0",DF191,0)</f>
        <v>0</v>
      </c>
      <c r="DG39" s="32">
        <f t="shared" si="151"/>
        <v>0</v>
      </c>
      <c r="DH39" s="1101">
        <f>IF(DH191&lt;&gt;"0",DH191,0)</f>
        <v>0</v>
      </c>
      <c r="DI39" s="1088">
        <f>IF(DI191&lt;&gt;"0",DI191,0)</f>
        <v>0</v>
      </c>
      <c r="DJ39" s="32">
        <f t="shared" si="152"/>
        <v>0</v>
      </c>
      <c r="DK39" s="1101">
        <f>IF(DK191&lt;&gt;"0",DK191,0)</f>
        <v>0</v>
      </c>
      <c r="DL39" s="53">
        <f>IF(DL191&lt;&gt;"0",DL191,0)</f>
        <v>0</v>
      </c>
      <c r="DM39" s="32">
        <f t="shared" si="153"/>
        <v>0</v>
      </c>
      <c r="DN39" s="1088">
        <f>IF(DN191&lt;&gt;"0",DN191,0)</f>
        <v>0</v>
      </c>
      <c r="DO39" s="53">
        <f>IF(DO191&lt;&gt;"0",DO191,0)</f>
        <v>0</v>
      </c>
      <c r="DP39" s="32">
        <f t="shared" si="154"/>
        <v>0</v>
      </c>
      <c r="DQ39" s="1088">
        <f>IF(DQ191&lt;&gt;"0",DQ191,0)</f>
        <v>0</v>
      </c>
      <c r="DR39" s="1682">
        <f>IF(DR191&lt;&gt;"0",DR191,0)</f>
        <v>0</v>
      </c>
      <c r="DS39" s="1062">
        <f t="shared" si="155"/>
        <v>0</v>
      </c>
      <c r="DT39" s="1102">
        <f>IF(DT191&lt;&gt;"0",DT191,0)</f>
        <v>0</v>
      </c>
      <c r="DU39" s="53">
        <v>0</v>
      </c>
      <c r="DV39" s="1062">
        <f t="shared" si="156"/>
        <v>0</v>
      </c>
      <c r="DW39" s="1102">
        <f>IF(DW191&lt;&gt;"0",DW191,0)</f>
        <v>0</v>
      </c>
      <c r="DX39" s="53">
        <v>0</v>
      </c>
      <c r="DY39" s="32">
        <f t="shared" si="157"/>
        <v>0</v>
      </c>
      <c r="DZ39" s="1088">
        <f>IF(DZ191&lt;&gt;"0",DZ191,0)</f>
        <v>0</v>
      </c>
      <c r="EA39" s="53">
        <f>IF(EA191&lt;&gt;"0",EA191,0)</f>
        <v>0</v>
      </c>
      <c r="EB39" s="32">
        <f t="shared" si="158"/>
        <v>0</v>
      </c>
      <c r="EC39" s="1088">
        <f>IF(EC191&lt;&gt;"0",EC191,0)</f>
        <v>0</v>
      </c>
      <c r="ED39" s="53">
        <f>IF(ED191&lt;&gt;"0",ED191,0)</f>
        <v>0</v>
      </c>
      <c r="EE39" s="32">
        <f t="shared" si="159"/>
        <v>0</v>
      </c>
      <c r="EF39" s="1088">
        <f>IF(EF191&lt;&gt;"0",EF191,0)</f>
        <v>0</v>
      </c>
      <c r="EG39" s="53">
        <f>IF(EG191&lt;&gt;"0",EG191,0)</f>
        <v>0</v>
      </c>
      <c r="EH39" s="32">
        <f t="shared" si="160"/>
        <v>0</v>
      </c>
      <c r="EI39" s="1088">
        <f>IF(EI191&lt;&gt;"0",EI191,0)</f>
        <v>0</v>
      </c>
      <c r="EJ39" s="53">
        <f>IF(EJ191&lt;&gt;"0",EJ191,0)</f>
        <v>0</v>
      </c>
      <c r="EK39" s="32">
        <f t="shared" si="161"/>
        <v>0</v>
      </c>
      <c r="EL39" s="1088">
        <f>IF(EL191&lt;&gt;"0",EL191,0)</f>
        <v>0</v>
      </c>
      <c r="EM39" s="53">
        <f>IF(EM191&lt;&gt;"0",EM191,0)</f>
        <v>0</v>
      </c>
      <c r="EN39" s="32">
        <f t="shared" si="162"/>
        <v>0</v>
      </c>
      <c r="EO39" s="1088">
        <f>IF(EO191&lt;&gt;"0",EO191,0)</f>
        <v>0</v>
      </c>
      <c r="EP39" s="53">
        <f>IF(EP191&lt;&gt;"0",EP191,0)</f>
        <v>0</v>
      </c>
      <c r="EQ39" s="32">
        <f t="shared" si="163"/>
        <v>0</v>
      </c>
      <c r="ER39" s="1088">
        <f>IF(ER191&lt;&gt;"0",ER191,0)</f>
        <v>0</v>
      </c>
      <c r="ES39" s="53">
        <f>IF(ES191&lt;&gt;"0",ES191,0)</f>
        <v>0</v>
      </c>
      <c r="ET39" s="32">
        <f t="shared" si="164"/>
        <v>0</v>
      </c>
      <c r="EU39" s="1088">
        <f>IF(EU191&lt;&gt;"0",EU191,0)</f>
        <v>0</v>
      </c>
      <c r="EV39" s="53">
        <f>IF(EV191&lt;&gt;"0",EV191,0)</f>
        <v>0</v>
      </c>
      <c r="EW39" s="32">
        <f t="shared" si="165"/>
        <v>0</v>
      </c>
      <c r="EX39" s="1088">
        <f>IF(EX191&lt;&gt;"0",EX191,0)</f>
        <v>0</v>
      </c>
      <c r="EY39" s="53">
        <f>IF(EY191&lt;&gt;"0",EY191,0)</f>
        <v>0</v>
      </c>
      <c r="EZ39" s="32">
        <f t="shared" si="166"/>
        <v>0</v>
      </c>
      <c r="FA39" s="1088">
        <f>IF(FA191&lt;&gt;"0",FA191,0)</f>
        <v>0</v>
      </c>
      <c r="FD39"/>
      <c r="FE39"/>
      <c r="FF39"/>
      <c r="FG39"/>
      <c r="FH39"/>
      <c r="FI39"/>
    </row>
    <row r="40" spans="2:165" s="33" customFormat="1" outlineLevel="1">
      <c r="B40" s="54" t="s">
        <v>83</v>
      </c>
      <c r="D40" s="2" t="s">
        <v>506</v>
      </c>
      <c r="E40" s="53"/>
      <c r="F40" s="32">
        <f t="shared" si="109"/>
        <v>0</v>
      </c>
      <c r="G40" s="53"/>
      <c r="H40" s="53"/>
      <c r="I40" s="32">
        <f t="shared" si="110"/>
        <v>0</v>
      </c>
      <c r="J40" s="53"/>
      <c r="K40" s="53"/>
      <c r="L40" s="32">
        <f t="shared" si="111"/>
        <v>0</v>
      </c>
      <c r="M40" s="53"/>
      <c r="N40" s="53"/>
      <c r="O40" s="32">
        <f t="shared" si="112"/>
        <v>0</v>
      </c>
      <c r="P40" s="53"/>
      <c r="Q40" s="53"/>
      <c r="R40" s="32">
        <f t="shared" si="113"/>
        <v>0</v>
      </c>
      <c r="S40" s="53"/>
      <c r="T40" s="53"/>
      <c r="U40" s="32">
        <f t="shared" si="114"/>
        <v>0</v>
      </c>
      <c r="V40" s="53"/>
      <c r="W40" s="53"/>
      <c r="X40" s="32">
        <f t="shared" si="115"/>
        <v>0</v>
      </c>
      <c r="Y40" s="53"/>
      <c r="Z40" s="53"/>
      <c r="AA40" s="32">
        <f t="shared" si="116"/>
        <v>0</v>
      </c>
      <c r="AB40" s="53"/>
      <c r="AC40" s="53"/>
      <c r="AD40" s="32">
        <f t="shared" si="117"/>
        <v>0</v>
      </c>
      <c r="AE40" s="53"/>
      <c r="AF40" s="53"/>
      <c r="AG40" s="32">
        <f t="shared" si="118"/>
        <v>0</v>
      </c>
      <c r="AH40" s="53"/>
      <c r="AI40" s="53"/>
      <c r="AJ40" s="32">
        <f t="shared" si="119"/>
        <v>0</v>
      </c>
      <c r="AK40" s="53"/>
      <c r="AL40" s="53"/>
      <c r="AM40" s="32">
        <f t="shared" si="120"/>
        <v>0.252</v>
      </c>
      <c r="AN40" s="1097">
        <v>0.252</v>
      </c>
      <c r="AO40" s="53"/>
      <c r="AP40" s="32">
        <f t="shared" si="121"/>
        <v>0.11</v>
      </c>
      <c r="AQ40" s="1097">
        <v>0.11</v>
      </c>
      <c r="AR40" s="53"/>
      <c r="AS40" s="32">
        <f t="shared" si="122"/>
        <v>0.47599999999999998</v>
      </c>
      <c r="AT40" s="1097">
        <v>0.47599999999999998</v>
      </c>
      <c r="AU40" s="53"/>
      <c r="AV40" s="32">
        <f t="shared" si="123"/>
        <v>0</v>
      </c>
      <c r="AW40" s="1097">
        <v>0</v>
      </c>
      <c r="AX40" s="53"/>
      <c r="AY40" s="32">
        <f t="shared" si="124"/>
        <v>38.82</v>
      </c>
      <c r="AZ40" s="53">
        <f>IF(OR(AZ196&lt;&gt;"0",AZ197&lt;&gt;"0"),SUM(AZ196:AZ197),0)</f>
        <v>38.82</v>
      </c>
      <c r="BA40" s="53">
        <f>IF(OR(BA196&lt;&gt;"0",BA197&lt;&gt;"0"),SUM(BA196:BA197),0)</f>
        <v>0</v>
      </c>
      <c r="BB40" s="32">
        <f t="shared" si="125"/>
        <v>0.20100000000000001</v>
      </c>
      <c r="BC40" s="1097">
        <v>0.20100000000000001</v>
      </c>
      <c r="BD40" s="53">
        <f>IF(OR(BD196&lt;&gt;"0",BD197&lt;&gt;"0"),SUM(BD196:BD197),0)</f>
        <v>0</v>
      </c>
      <c r="BE40" s="32">
        <f t="shared" si="126"/>
        <v>0</v>
      </c>
      <c r="BF40" s="1098">
        <f>IF(OR(BF196&lt;&gt;"0",BF197&lt;&gt;"0"),SUM(BF196:BF197),0)</f>
        <v>0</v>
      </c>
      <c r="BG40" s="1088">
        <f>IF(OR(BG196&lt;&gt;"0",BG197&lt;&gt;"0"),SUM(BG196:BG197),0)</f>
        <v>0</v>
      </c>
      <c r="BH40" s="32">
        <f t="shared" si="127"/>
        <v>0</v>
      </c>
      <c r="BI40" s="1098">
        <f>IF(OR(BI196&lt;&gt;"0",BI197&lt;&gt;"0"),SUM(BI196:BI197),0)</f>
        <v>0</v>
      </c>
      <c r="BJ40" s="1088">
        <f>IF(OR(BJ196&lt;&gt;"0",BJ197&lt;&gt;"0"),SUM(BJ196:BJ197),0)</f>
        <v>0.40200000000000002</v>
      </c>
      <c r="BK40" s="32">
        <f t="shared" si="128"/>
        <v>-0.40200000000000002</v>
      </c>
      <c r="BL40" s="1100">
        <v>0</v>
      </c>
      <c r="BM40" s="1088">
        <f>IF(OR(BM196&lt;&gt;"0",BM197&lt;&gt;"0"),SUM(BM196:BM197),0)</f>
        <v>0</v>
      </c>
      <c r="BN40" s="32">
        <f t="shared" si="129"/>
        <v>0</v>
      </c>
      <c r="BO40" s="1100">
        <v>0</v>
      </c>
      <c r="BP40" s="1088">
        <f>IF(OR(BP196&lt;&gt;"0",BP197&lt;&gt;"0"),SUM(BP196:BP197),0)</f>
        <v>0</v>
      </c>
      <c r="BQ40" s="32">
        <f t="shared" si="137"/>
        <v>0</v>
      </c>
      <c r="BR40" s="1098">
        <f>IF(OR(BR196&lt;&gt;"0",BR197&lt;&gt;"0"),SUM(BR196:BR197),0)</f>
        <v>0</v>
      </c>
      <c r="BS40" s="1099">
        <v>0</v>
      </c>
      <c r="BT40" s="32">
        <f t="shared" si="138"/>
        <v>0</v>
      </c>
      <c r="BU40" s="1100">
        <v>0</v>
      </c>
      <c r="BV40" s="1088">
        <f>IF(OR(BV196&lt;&gt;"0",BV197&lt;&gt;"0"),SUM(BV196:BV197),0)</f>
        <v>0</v>
      </c>
      <c r="BW40" s="32">
        <f t="shared" si="139"/>
        <v>0</v>
      </c>
      <c r="BX40" s="1098">
        <f>IF(OR(BX196&lt;&gt;"0",BX197&lt;&gt;"0"),SUM(BX196:BX197),0)</f>
        <v>0</v>
      </c>
      <c r="BY40" s="1088">
        <f>IF(OR(BY196&lt;&gt;"0",BY197&lt;&gt;"0"),SUM(BY196:BY197),0)</f>
        <v>0</v>
      </c>
      <c r="BZ40" s="32">
        <f t="shared" si="140"/>
        <v>0</v>
      </c>
      <c r="CA40" s="1098">
        <f>IF(OR(CA196&lt;&gt;"0",CA197&lt;&gt;"0"),SUM(CA196:CA197),0)</f>
        <v>0</v>
      </c>
      <c r="CB40" s="1088">
        <f>IF(OR(CB196&lt;&gt;"0",CB197&lt;&gt;"0"),SUM(CB196:CB197),0)</f>
        <v>0</v>
      </c>
      <c r="CC40" s="32">
        <f t="shared" si="141"/>
        <v>0</v>
      </c>
      <c r="CD40" s="1098">
        <f>IF(OR(CD196&lt;&gt;"0",CD197&lt;&gt;"0"),SUM(CD196:CD197),0)</f>
        <v>0</v>
      </c>
      <c r="CE40" s="1088">
        <f>IF(OR(CE196&lt;&gt;"0",CE197&lt;&gt;"0"),SUM(CE196:CE197),0)</f>
        <v>0</v>
      </c>
      <c r="CF40" s="32">
        <f t="shared" si="142"/>
        <v>0</v>
      </c>
      <c r="CG40" s="1098">
        <f>IF(OR(CG196&lt;&gt;"0",CG197&lt;&gt;"0"),SUM(CG196:CG197),0)</f>
        <v>0</v>
      </c>
      <c r="CH40" s="1088">
        <f>IF(OR(CH196&lt;&gt;"0",CH197&lt;&gt;"0"),SUM(CH196:CH197),0)</f>
        <v>0</v>
      </c>
      <c r="CI40" s="32">
        <f t="shared" si="143"/>
        <v>0</v>
      </c>
      <c r="CJ40" s="1098">
        <f>IF(OR(CJ196&lt;&gt;"0",CJ197&lt;&gt;"0"),SUM(CJ196:CJ197),0)</f>
        <v>0</v>
      </c>
      <c r="CK40" s="1088">
        <f>IF(OR(CK196&lt;&gt;"0",CK197&lt;&gt;"0"),SUM(CK196:CK197),0)</f>
        <v>0</v>
      </c>
      <c r="CL40" s="32">
        <f t="shared" si="144"/>
        <v>0</v>
      </c>
      <c r="CM40" s="1098">
        <f>IF(OR(CM196&lt;&gt;"0",CM197&lt;&gt;"0"),SUM(CM196:CM197),0)</f>
        <v>0</v>
      </c>
      <c r="CN40" s="1088">
        <f>IF(OR(CN196&lt;&gt;"0",CN197&lt;&gt;"0"),SUM(CN196:CN197),0)</f>
        <v>0</v>
      </c>
      <c r="CO40" s="32">
        <f t="shared" si="145"/>
        <v>0</v>
      </c>
      <c r="CP40" s="1098">
        <f>IF(OR(CP196&lt;&gt;"0",CP197&lt;&gt;"0"),SUM(CP196:CP197),0)</f>
        <v>0</v>
      </c>
      <c r="CQ40" s="1088">
        <f>IF(OR(CQ196&lt;&gt;"0",CQ197&lt;&gt;"0"),SUM(CQ196:CQ197),0)</f>
        <v>0</v>
      </c>
      <c r="CR40" s="32">
        <f t="shared" si="146"/>
        <v>0</v>
      </c>
      <c r="CS40" s="1098">
        <f>IF(OR(CS196&lt;&gt;"0",CS197&lt;&gt;"0"),SUM(CS196:CS197),0)</f>
        <v>0</v>
      </c>
      <c r="CT40" s="1088">
        <f>IF(OR(CT196&lt;&gt;"0",CT197&lt;&gt;"0"),SUM(CT196:CT197),0)</f>
        <v>0</v>
      </c>
      <c r="CU40" s="32">
        <f t="shared" si="147"/>
        <v>0</v>
      </c>
      <c r="CV40" s="1098">
        <f>IF(OR(CV196&lt;&gt;"0",CV197&lt;&gt;"0"),SUM(CV196:CV197),0)</f>
        <v>0</v>
      </c>
      <c r="CW40" s="1088">
        <f>IF(OR(CW196&lt;&gt;"0",CW197&lt;&gt;"0"),SUM(CW196:CW197),0)</f>
        <v>0</v>
      </c>
      <c r="CX40" s="32">
        <f t="shared" si="148"/>
        <v>0</v>
      </c>
      <c r="CY40" s="1098">
        <f>IF(OR(CY196&lt;&gt;"0",CY197&lt;&gt;"0"),SUM(CY196:CY197),0)</f>
        <v>0</v>
      </c>
      <c r="CZ40" s="1088">
        <f>IF(OR(CZ196&lt;&gt;"0",CZ197&lt;&gt;"0"),SUM(CZ196:CZ197),0)</f>
        <v>0</v>
      </c>
      <c r="DA40" s="32">
        <f t="shared" si="149"/>
        <v>0</v>
      </c>
      <c r="DB40" s="1098">
        <f>IF(OR(DB196&lt;&gt;"0",DB197&lt;&gt;"0"),SUM(DB196:DB197),0)</f>
        <v>0</v>
      </c>
      <c r="DC40" s="1088">
        <f>IF(OR(DC196&lt;&gt;"0",DC197&lt;&gt;"0"),SUM(DC196:DC197),0)</f>
        <v>0</v>
      </c>
      <c r="DD40" s="32">
        <f t="shared" si="150"/>
        <v>0</v>
      </c>
      <c r="DE40" s="1101">
        <f>IF(OR(DE196&lt;&gt;"0",DE197&lt;&gt;"0"),SUM(DE196:DE197),0)</f>
        <v>0</v>
      </c>
      <c r="DF40" s="1088">
        <f>IF(OR(DF196&lt;&gt;"0",DF197&lt;&gt;"0"),SUM(DF196:DF197),0)</f>
        <v>0</v>
      </c>
      <c r="DG40" s="32">
        <f t="shared" si="151"/>
        <v>0</v>
      </c>
      <c r="DH40" s="1101">
        <f>IF(OR(DH196&lt;&gt;"0",DH197&lt;&gt;"0"),SUM(DH196:DH197),0)</f>
        <v>0</v>
      </c>
      <c r="DI40" s="1088">
        <f>IF(OR(DI196&lt;&gt;"0",DI197&lt;&gt;"0"),SUM(DI196:DI197),0)</f>
        <v>0</v>
      </c>
      <c r="DJ40" s="32">
        <f t="shared" si="152"/>
        <v>0</v>
      </c>
      <c r="DK40" s="1101">
        <f>IF(OR(DK196&lt;&gt;"0",DK197&lt;&gt;"0"),SUM(DK196:DK197),0)</f>
        <v>0</v>
      </c>
      <c r="DL40" s="53">
        <f>IF(OR(DL196&lt;&gt;"0",DL197&lt;&gt;"0"),SUM(DL196:DL197),0)</f>
        <v>0</v>
      </c>
      <c r="DM40" s="32">
        <f t="shared" si="153"/>
        <v>0</v>
      </c>
      <c r="DN40" s="1088">
        <f>IF(OR(DN196&lt;&gt;"0",DN197&lt;&gt;"0"),SUM(DN196:DN197),0)</f>
        <v>0</v>
      </c>
      <c r="DO40" s="53">
        <f>IF(OR(DO196&lt;&gt;"0",DO197&lt;&gt;"0"),SUM(DO196:DO197),0)</f>
        <v>0</v>
      </c>
      <c r="DP40" s="32">
        <f t="shared" si="154"/>
        <v>0</v>
      </c>
      <c r="DQ40" s="1088">
        <f>IF(OR(DQ196&lt;&gt;"0",DQ197&lt;&gt;"0"),SUM(DQ196:DQ197),0)</f>
        <v>0</v>
      </c>
      <c r="DR40" s="1682">
        <f>IF(OR(DR196&lt;&gt;"0",DR197&lt;&gt;"0"),SUM(DR196:DR197),0)</f>
        <v>0</v>
      </c>
      <c r="DS40" s="1062">
        <f t="shared" si="155"/>
        <v>0</v>
      </c>
      <c r="DT40" s="1102">
        <f>IF(OR(DT196&lt;&gt;"0",DT197&lt;&gt;"0"),SUM(DT196:DT197),0)</f>
        <v>0</v>
      </c>
      <c r="DU40" s="53">
        <f>IF(OR(DU196&lt;&gt;"0",DU197&lt;&gt;"0"),SUM(DU196:DU197),0)</f>
        <v>0</v>
      </c>
      <c r="DV40" s="1062">
        <f t="shared" si="156"/>
        <v>0</v>
      </c>
      <c r="DW40" s="1102">
        <v>0</v>
      </c>
      <c r="DX40" s="53">
        <f>IF(OR(DX196&lt;&gt;"0",DX197&lt;&gt;"0"),SUM(DX196:DX197),0)</f>
        <v>0</v>
      </c>
      <c r="DY40" s="32">
        <f t="shared" si="157"/>
        <v>0</v>
      </c>
      <c r="DZ40" s="1088">
        <f>IF(OR(DZ196&lt;&gt;"0",DZ197&lt;&gt;"0"),SUM(DZ196:DZ197),0)</f>
        <v>0</v>
      </c>
      <c r="EA40" s="53">
        <f>IF(OR(EA196&lt;&gt;"0",EA197&lt;&gt;"0"),SUM(EA196:EA197),0)</f>
        <v>0</v>
      </c>
      <c r="EB40" s="32">
        <f t="shared" si="158"/>
        <v>0</v>
      </c>
      <c r="EC40" s="1088">
        <f>IF(OR(EC196&lt;&gt;"0",EC197&lt;&gt;"0"),SUM(EC196:EC197),0)</f>
        <v>0</v>
      </c>
      <c r="ED40" s="53">
        <f>IF(OR(ED196&lt;&gt;"0",ED197&lt;&gt;"0"),SUM(ED196:ED197),0)</f>
        <v>0</v>
      </c>
      <c r="EE40" s="32">
        <f t="shared" si="159"/>
        <v>0</v>
      </c>
      <c r="EF40" s="1088">
        <f>IF(OR(EF196&lt;&gt;"0",EF197&lt;&gt;"0"),SUM(EF196:EF197),0)</f>
        <v>0</v>
      </c>
      <c r="EG40" s="53">
        <f>IF(OR(EG196&lt;&gt;"0",EG197&lt;&gt;"0"),SUM(EG196:EG197),0)</f>
        <v>0</v>
      </c>
      <c r="EH40" s="32">
        <f t="shared" si="160"/>
        <v>0</v>
      </c>
      <c r="EI40" s="1088">
        <f>IF(OR(EI196&lt;&gt;"0",EI197&lt;&gt;"0"),SUM(EI196:EI197),0)</f>
        <v>0</v>
      </c>
      <c r="EJ40" s="53">
        <f>IF(OR(EJ196&lt;&gt;"0",EJ197&lt;&gt;"0"),SUM(EJ196:EJ197),0)</f>
        <v>0</v>
      </c>
      <c r="EK40" s="32">
        <f t="shared" si="161"/>
        <v>0</v>
      </c>
      <c r="EL40" s="1088">
        <f>IF(OR(EL196&lt;&gt;"0",EL197&lt;&gt;"0"),SUM(EL196:EL197),0)</f>
        <v>0</v>
      </c>
      <c r="EM40" s="53">
        <f>IF(OR(EM196&lt;&gt;"0",EM197&lt;&gt;"0"),SUM(EM196:EM197),0)</f>
        <v>0</v>
      </c>
      <c r="EN40" s="32">
        <f t="shared" si="162"/>
        <v>0</v>
      </c>
      <c r="EO40" s="1088">
        <f>IF(OR(EO196&lt;&gt;"0",EO197&lt;&gt;"0"),SUM(EO196:EO197),0)</f>
        <v>0</v>
      </c>
      <c r="EP40" s="53">
        <f>IF(OR(EP196&lt;&gt;"0",EP197&lt;&gt;"0"),SUM(EP196:EP197),0)</f>
        <v>0</v>
      </c>
      <c r="EQ40" s="32">
        <f t="shared" si="163"/>
        <v>0</v>
      </c>
      <c r="ER40" s="1088">
        <f>IF(OR(ER196&lt;&gt;"0",ER197&lt;&gt;"0"),SUM(ER196:ER197),0)</f>
        <v>0</v>
      </c>
      <c r="ES40" s="53">
        <f>IF(OR(ES196&lt;&gt;"0",ES197&lt;&gt;"0"),SUM(ES196:ES197),0)</f>
        <v>0</v>
      </c>
      <c r="ET40" s="32">
        <f t="shared" si="164"/>
        <v>0</v>
      </c>
      <c r="EU40" s="1088">
        <f>IF(OR(EU196&lt;&gt;"0",EU197&lt;&gt;"0"),SUM(EU196:EU197),0)</f>
        <v>0</v>
      </c>
      <c r="EV40" s="53">
        <f>IF(OR(EV196&lt;&gt;"0",EV197&lt;&gt;"0"),SUM(EV196:EV197),0)</f>
        <v>0</v>
      </c>
      <c r="EW40" s="32">
        <f t="shared" si="165"/>
        <v>0</v>
      </c>
      <c r="EX40" s="1088">
        <f>IF(OR(EX196&lt;&gt;"0",EX197&lt;&gt;"0"),SUM(EX196:EX197),0)</f>
        <v>0</v>
      </c>
      <c r="EY40" s="53">
        <f>IF(OR(EY196&lt;&gt;"0",EY197&lt;&gt;"0"),SUM(EY196:EY197),0)</f>
        <v>0</v>
      </c>
      <c r="EZ40" s="32">
        <f t="shared" si="166"/>
        <v>0</v>
      </c>
      <c r="FA40" s="1088">
        <f>IF(OR(FA196&lt;&gt;"0",FA197&lt;&gt;"0"),SUM(FA196:FA197),0)</f>
        <v>0</v>
      </c>
      <c r="FD40"/>
      <c r="FE40"/>
      <c r="FF40"/>
      <c r="FG40"/>
      <c r="FH40"/>
      <c r="FI40"/>
    </row>
    <row r="41" spans="2:165" s="33" customFormat="1" outlineLevel="1">
      <c r="B41" s="33" t="s">
        <v>701</v>
      </c>
      <c r="D41" s="2" t="s">
        <v>506</v>
      </c>
      <c r="E41" s="32"/>
      <c r="F41" s="32">
        <f t="shared" si="109"/>
        <v>0</v>
      </c>
      <c r="G41" s="32"/>
      <c r="H41" s="32"/>
      <c r="I41" s="32">
        <f t="shared" si="110"/>
        <v>0</v>
      </c>
      <c r="J41" s="32"/>
      <c r="K41" s="32"/>
      <c r="L41" s="32">
        <f t="shared" si="111"/>
        <v>0</v>
      </c>
      <c r="M41" s="32"/>
      <c r="N41" s="32"/>
      <c r="O41" s="32">
        <f t="shared" si="112"/>
        <v>0</v>
      </c>
      <c r="P41" s="32"/>
      <c r="Q41" s="32"/>
      <c r="R41" s="32">
        <f t="shared" si="113"/>
        <v>0</v>
      </c>
      <c r="S41" s="32"/>
      <c r="T41" s="32"/>
      <c r="U41" s="32">
        <f t="shared" si="114"/>
        <v>0</v>
      </c>
      <c r="V41" s="32"/>
      <c r="W41" s="32"/>
      <c r="X41" s="32">
        <f t="shared" si="115"/>
        <v>0</v>
      </c>
      <c r="Y41" s="32"/>
      <c r="Z41" s="32"/>
      <c r="AA41" s="32">
        <f t="shared" si="116"/>
        <v>0</v>
      </c>
      <c r="AB41" s="32"/>
      <c r="AC41" s="32"/>
      <c r="AD41" s="32">
        <f t="shared" si="117"/>
        <v>0</v>
      </c>
      <c r="AE41" s="32"/>
      <c r="AF41" s="32"/>
      <c r="AG41" s="32">
        <f t="shared" si="118"/>
        <v>0</v>
      </c>
      <c r="AH41" s="32"/>
      <c r="AI41" s="32"/>
      <c r="AJ41" s="32">
        <f t="shared" si="119"/>
        <v>0</v>
      </c>
      <c r="AK41" s="32"/>
      <c r="AL41" s="32"/>
      <c r="AM41" s="32">
        <f t="shared" si="120"/>
        <v>5.6539999999999999</v>
      </c>
      <c r="AN41" s="1064">
        <v>5.6539999999999999</v>
      </c>
      <c r="AO41" s="1064">
        <v>5.3029999999999999</v>
      </c>
      <c r="AP41" s="32">
        <f t="shared" si="121"/>
        <v>1.7759999999999998</v>
      </c>
      <c r="AQ41" s="1064">
        <v>7.0789999999999997</v>
      </c>
      <c r="AR41" s="1064">
        <v>5.6639999999999997</v>
      </c>
      <c r="AS41" s="32">
        <f t="shared" si="122"/>
        <v>2.3080000000000007</v>
      </c>
      <c r="AT41" s="1064">
        <v>7.9720000000000004</v>
      </c>
      <c r="AU41" s="1064">
        <v>6.0759999999999996</v>
      </c>
      <c r="AV41" s="32">
        <f t="shared" si="123"/>
        <v>1.1980000000000004</v>
      </c>
      <c r="AW41" s="1064">
        <v>7.274</v>
      </c>
      <c r="AX41" s="1064">
        <v>4.6070000000000002</v>
      </c>
      <c r="AY41" s="32">
        <f t="shared" si="124"/>
        <v>5.2909999999999995</v>
      </c>
      <c r="AZ41" s="1064">
        <v>9.8979999999999997</v>
      </c>
      <c r="BA41" s="32">
        <f>IF(Assumptions!BA24&lt;&gt;"0",Assumptions!BA24,0)</f>
        <v>2.0289999999999999</v>
      </c>
      <c r="BB41" s="32">
        <f t="shared" si="125"/>
        <v>1.528</v>
      </c>
      <c r="BC41" s="1064">
        <v>3.5569999999999999</v>
      </c>
      <c r="BD41" s="1064">
        <v>0</v>
      </c>
      <c r="BE41" s="32">
        <f t="shared" si="126"/>
        <v>0</v>
      </c>
      <c r="BF41" s="1103">
        <f>IF(Assumptions!BF24&lt;&gt;"0",Assumptions!BF24,0)</f>
        <v>0</v>
      </c>
      <c r="BG41" s="1104">
        <f>IF(Assumptions!BG24&lt;&gt;"0",Assumptions!BG24,0)</f>
        <v>0</v>
      </c>
      <c r="BH41" s="32">
        <f t="shared" si="127"/>
        <v>0</v>
      </c>
      <c r="BI41" s="1105">
        <v>0</v>
      </c>
      <c r="BJ41" s="1106">
        <v>0</v>
      </c>
      <c r="BK41" s="32">
        <f t="shared" si="128"/>
        <v>0</v>
      </c>
      <c r="BL41" s="1105">
        <v>0</v>
      </c>
      <c r="BM41" s="1104">
        <f>IF(Assumptions!BM24&lt;&gt;"0",Assumptions!BM24,0)</f>
        <v>0</v>
      </c>
      <c r="BN41" s="32">
        <f t="shared" si="129"/>
        <v>0</v>
      </c>
      <c r="BO41" s="1105">
        <v>0</v>
      </c>
      <c r="BP41" s="1104">
        <f>IF(Assumptions!BP24&lt;&gt;"0",Assumptions!BP24,0)</f>
        <v>0</v>
      </c>
      <c r="BQ41" s="32">
        <f t="shared" si="137"/>
        <v>0</v>
      </c>
      <c r="BR41" s="1103">
        <f>IF(Assumptions!BR24&lt;&gt;"0",Assumptions!BR24,0)</f>
        <v>0</v>
      </c>
      <c r="BS41" s="1104">
        <f>IF(Assumptions!BS24&lt;&gt;"0",Assumptions!BS24,0)</f>
        <v>0</v>
      </c>
      <c r="BT41" s="32">
        <f t="shared" si="138"/>
        <v>0</v>
      </c>
      <c r="BU41" s="1103">
        <f>IF(Assumptions!BU24&lt;&gt;"0",Assumptions!BU24,0)</f>
        <v>0</v>
      </c>
      <c r="BV41" s="1104">
        <f>IF(Assumptions!BV24&lt;&gt;"0",Assumptions!BV24,0)</f>
        <v>0</v>
      </c>
      <c r="BW41" s="32">
        <f t="shared" si="139"/>
        <v>0</v>
      </c>
      <c r="BX41" s="1103">
        <f>IF(Assumptions!BX24&lt;&gt;"0",Assumptions!BX24,0)</f>
        <v>0</v>
      </c>
      <c r="BY41" s="1104">
        <f>IF(Assumptions!BY24&lt;&gt;"0",Assumptions!BY24,0)</f>
        <v>0</v>
      </c>
      <c r="BZ41" s="32">
        <f t="shared" si="140"/>
        <v>0</v>
      </c>
      <c r="CA41" s="1103">
        <f>IF(Assumptions!CA24&lt;&gt;"0",Assumptions!CA24,0)</f>
        <v>0</v>
      </c>
      <c r="CB41" s="1104">
        <f>IF(Assumptions!CB24&lt;&gt;"0",Assumptions!CB24,0)</f>
        <v>0</v>
      </c>
      <c r="CC41" s="32">
        <f t="shared" si="141"/>
        <v>0</v>
      </c>
      <c r="CD41" s="1103">
        <f>IF(Assumptions!CD24&lt;&gt;"0",Assumptions!CD24,0)</f>
        <v>0</v>
      </c>
      <c r="CE41" s="1104">
        <f>IF(Assumptions!CE24&lt;&gt;"0",Assumptions!CE24,0)</f>
        <v>0</v>
      </c>
      <c r="CF41" s="32">
        <f t="shared" si="142"/>
        <v>0</v>
      </c>
      <c r="CG41" s="1103">
        <f>IF(Assumptions!CG24&lt;&gt;"0",Assumptions!CG24,0)</f>
        <v>0</v>
      </c>
      <c r="CH41" s="1104">
        <f>IF(Assumptions!CH24&lt;&gt;"0",Assumptions!CH24,0)</f>
        <v>0</v>
      </c>
      <c r="CI41" s="32">
        <f t="shared" si="143"/>
        <v>0</v>
      </c>
      <c r="CJ41" s="1103">
        <f>IF(Assumptions!CJ24&lt;&gt;"0",Assumptions!CJ24,0)</f>
        <v>0</v>
      </c>
      <c r="CK41" s="1104">
        <f>IF(Assumptions!CK24&lt;&gt;"0",Assumptions!CK24,0)</f>
        <v>0</v>
      </c>
      <c r="CL41" s="32">
        <f t="shared" si="144"/>
        <v>0</v>
      </c>
      <c r="CM41" s="1103">
        <f>IF(Assumptions!CM24&lt;&gt;"0",Assumptions!CM24,0)</f>
        <v>0</v>
      </c>
      <c r="CN41" s="1104">
        <f>IF(Assumptions!CN24&lt;&gt;"0",Assumptions!CN24,0)</f>
        <v>0</v>
      </c>
      <c r="CO41" s="32">
        <f t="shared" si="145"/>
        <v>0</v>
      </c>
      <c r="CP41" s="1103">
        <f>IF(Assumptions!CP24&lt;&gt;"0",Assumptions!CP24,0)</f>
        <v>0</v>
      </c>
      <c r="CQ41" s="1104">
        <f>IF(Assumptions!CQ24&lt;&gt;"0",Assumptions!CQ24,0)</f>
        <v>0</v>
      </c>
      <c r="CR41" s="32">
        <f t="shared" si="146"/>
        <v>0</v>
      </c>
      <c r="CS41" s="1105">
        <v>0</v>
      </c>
      <c r="CT41" s="1104">
        <f>IF(Assumptions!CT24&lt;&gt;"0",Assumptions!CT24,0)</f>
        <v>0</v>
      </c>
      <c r="CU41" s="32">
        <f t="shared" si="147"/>
        <v>0</v>
      </c>
      <c r="CV41" s="1103">
        <f>IF(Assumptions!CV24&lt;&gt;"0",Assumptions!CV24,0)</f>
        <v>0</v>
      </c>
      <c r="CW41" s="1104">
        <f>IF(Assumptions!CW24&lt;&gt;"0",Assumptions!CW24,0)</f>
        <v>0</v>
      </c>
      <c r="CX41" s="32">
        <f t="shared" si="148"/>
        <v>0</v>
      </c>
      <c r="CY41" s="1103">
        <f>IF(Assumptions!CY24&lt;&gt;"0",Assumptions!CY24,0)</f>
        <v>0</v>
      </c>
      <c r="CZ41" s="1104">
        <f>IF(Assumptions!CZ24&lt;&gt;"0",Assumptions!CZ24,0)</f>
        <v>0</v>
      </c>
      <c r="DA41" s="32">
        <f t="shared" si="149"/>
        <v>0</v>
      </c>
      <c r="DB41" s="1103">
        <f>IF(Assumptions!DB24&lt;&gt;"0",Assumptions!DB24,0)</f>
        <v>0</v>
      </c>
      <c r="DC41" s="1104">
        <f>IF(Assumptions!DC24&lt;&gt;"0",Assumptions!DC24,0)</f>
        <v>0</v>
      </c>
      <c r="DD41" s="32">
        <f t="shared" si="150"/>
        <v>0</v>
      </c>
      <c r="DE41" s="1107">
        <f>IF(Assumptions!DE24&lt;&gt;"0",Assumptions!DE24,0)</f>
        <v>0</v>
      </c>
      <c r="DF41" s="1104">
        <f>IF(Assumptions!DF24&lt;&gt;"0",Assumptions!DF24,0)</f>
        <v>0</v>
      </c>
      <c r="DG41" s="32">
        <f t="shared" si="151"/>
        <v>0</v>
      </c>
      <c r="DH41" s="1107">
        <f>IF(Assumptions!DH24&lt;&gt;"0",Assumptions!DH24,0)</f>
        <v>0</v>
      </c>
      <c r="DI41" s="1104">
        <f>IF(Assumptions!DI24&lt;&gt;"0",Assumptions!DI24,0)</f>
        <v>0</v>
      </c>
      <c r="DJ41" s="32">
        <f t="shared" si="152"/>
        <v>0</v>
      </c>
      <c r="DK41" s="1107">
        <f>IF(Assumptions!DK24&lt;&gt;"0",Assumptions!DK24,0)</f>
        <v>0</v>
      </c>
      <c r="DL41" s="32">
        <f>IF(Assumptions!DL24&lt;&gt;"0",Assumptions!DL24,0)</f>
        <v>0</v>
      </c>
      <c r="DM41" s="32">
        <f t="shared" si="153"/>
        <v>0</v>
      </c>
      <c r="DN41" s="1061">
        <f>IF(Assumptions!DN24&lt;&gt;"0",Assumptions!DN24,0)</f>
        <v>0</v>
      </c>
      <c r="DO41" s="32">
        <f>IF(Assumptions!DO24&lt;&gt;"0",Assumptions!DO24,0)</f>
        <v>0</v>
      </c>
      <c r="DP41" s="32">
        <f t="shared" si="154"/>
        <v>0</v>
      </c>
      <c r="DQ41" s="1061">
        <f>IF(Assumptions!DQ24&lt;&gt;"0",Assumptions!DQ24,0)</f>
        <v>0</v>
      </c>
      <c r="DR41" s="1062">
        <f>IF(Assumptions!DR24&lt;&gt;"0",Assumptions!DR24,0)</f>
        <v>0</v>
      </c>
      <c r="DS41" s="1062">
        <f t="shared" si="155"/>
        <v>0</v>
      </c>
      <c r="DT41" s="1063">
        <f>IF(Assumptions!DT24&lt;&gt;"0",Assumptions!DT24,0)</f>
        <v>0</v>
      </c>
      <c r="DU41" s="32">
        <f>IF(Assumptions!DU24&lt;&gt;"0",Assumptions!DU24,0)</f>
        <v>0</v>
      </c>
      <c r="DV41" s="1062">
        <f t="shared" si="156"/>
        <v>0</v>
      </c>
      <c r="DW41" s="1063">
        <f>IF(Assumptions!DW24&lt;&gt;"0",Assumptions!DW24,0)</f>
        <v>0</v>
      </c>
      <c r="DX41" s="32">
        <f>IF(Assumptions!DX24&lt;&gt;"0",Assumptions!DX24,0)</f>
        <v>0</v>
      </c>
      <c r="DY41" s="32">
        <f t="shared" si="157"/>
        <v>0</v>
      </c>
      <c r="DZ41" s="1061">
        <f>IF(Assumptions!DZ24&lt;&gt;"0",Assumptions!DZ24,0)</f>
        <v>0</v>
      </c>
      <c r="EA41" s="32">
        <f>IF(Assumptions!EA24&lt;&gt;"0",Assumptions!EA24,0)</f>
        <v>0</v>
      </c>
      <c r="EB41" s="32">
        <f t="shared" si="158"/>
        <v>0</v>
      </c>
      <c r="EC41" s="1061">
        <f>IF(Assumptions!EC24&lt;&gt;"0",Assumptions!EC24,0)</f>
        <v>0</v>
      </c>
      <c r="ED41" s="32">
        <f>IF(Assumptions!ED24&lt;&gt;"0",Assumptions!ED24,0)</f>
        <v>0</v>
      </c>
      <c r="EE41" s="32">
        <f t="shared" si="159"/>
        <v>0</v>
      </c>
      <c r="EF41" s="1061">
        <f>IF(Assumptions!EF24&lt;&gt;"0",Assumptions!EF24,0)</f>
        <v>0</v>
      </c>
      <c r="EG41" s="32">
        <f>IF(Assumptions!EG24&lt;&gt;"0",Assumptions!EG24,0)</f>
        <v>0</v>
      </c>
      <c r="EH41" s="32">
        <f t="shared" si="160"/>
        <v>0</v>
      </c>
      <c r="EI41" s="1061">
        <f>IF(Assumptions!EI24&lt;&gt;"0",Assumptions!EI24,0)</f>
        <v>0</v>
      </c>
      <c r="EJ41" s="32">
        <f>IF(Assumptions!EJ24&lt;&gt;"0",Assumptions!EJ24,0)</f>
        <v>0</v>
      </c>
      <c r="EK41" s="32">
        <f t="shared" si="161"/>
        <v>0</v>
      </c>
      <c r="EL41" s="1061">
        <f>IF(Assumptions!EL24&lt;&gt;"0",Assumptions!EL24,0)</f>
        <v>0</v>
      </c>
      <c r="EM41" s="32">
        <f>IF(Assumptions!EM24&lt;&gt;"0",Assumptions!EM24,0)</f>
        <v>0</v>
      </c>
      <c r="EN41" s="32">
        <f t="shared" si="162"/>
        <v>0</v>
      </c>
      <c r="EO41" s="1061">
        <f>IF(Assumptions!EO24&lt;&gt;"0",Assumptions!EO24,0)</f>
        <v>0</v>
      </c>
      <c r="EP41" s="32">
        <f>IF(Assumptions!EP24&lt;&gt;"0",Assumptions!EP24,0)</f>
        <v>0</v>
      </c>
      <c r="EQ41" s="32">
        <f t="shared" si="163"/>
        <v>0</v>
      </c>
      <c r="ER41" s="1061">
        <f>IF(Assumptions!ER24&lt;&gt;"0",Assumptions!ER24,0)</f>
        <v>0</v>
      </c>
      <c r="ES41" s="32">
        <f>IF(Assumptions!ES24&lt;&gt;"0",Assumptions!ES24,0)</f>
        <v>0</v>
      </c>
      <c r="ET41" s="32">
        <f t="shared" si="164"/>
        <v>0</v>
      </c>
      <c r="EU41" s="1061">
        <f>IF(Assumptions!EU24&lt;&gt;"0",Assumptions!EU24,0)</f>
        <v>0</v>
      </c>
      <c r="EV41" s="32">
        <f>IF(Assumptions!EV24&lt;&gt;"0",Assumptions!EV24,0)</f>
        <v>0</v>
      </c>
      <c r="EW41" s="32">
        <f t="shared" si="165"/>
        <v>0</v>
      </c>
      <c r="EX41" s="1061">
        <f>IF(Assumptions!EX24&lt;&gt;"0",Assumptions!EX24,0)</f>
        <v>0</v>
      </c>
      <c r="EY41" s="32">
        <f>IF(Assumptions!EY24&lt;&gt;"0",Assumptions!EY24,0)</f>
        <v>0</v>
      </c>
      <c r="EZ41" s="32">
        <f t="shared" si="166"/>
        <v>0</v>
      </c>
      <c r="FA41" s="1061">
        <f>IF(Assumptions!FA24&lt;&gt;"0",Assumptions!FA24,0)</f>
        <v>0</v>
      </c>
      <c r="FD41"/>
      <c r="FE41"/>
      <c r="FF41"/>
      <c r="FG41"/>
      <c r="FH41"/>
      <c r="FI41"/>
    </row>
    <row r="42" spans="2:165" s="33" customFormat="1">
      <c r="B42" s="54" t="s">
        <v>788</v>
      </c>
      <c r="D42" s="2" t="s">
        <v>506</v>
      </c>
      <c r="E42" s="53">
        <f>SUM(E33:E34)</f>
        <v>0</v>
      </c>
      <c r="F42" s="32">
        <f t="shared" si="109"/>
        <v>0</v>
      </c>
      <c r="G42" s="53">
        <f>SUM(G33:G34)</f>
        <v>0</v>
      </c>
      <c r="H42" s="53">
        <f>SUM(H33:H34)</f>
        <v>0</v>
      </c>
      <c r="I42" s="32">
        <f t="shared" si="110"/>
        <v>0</v>
      </c>
      <c r="J42" s="53">
        <f>SUM(J33:J34)</f>
        <v>0</v>
      </c>
      <c r="K42" s="53">
        <f>SUM(K33:K34)</f>
        <v>0</v>
      </c>
      <c r="L42" s="32">
        <f t="shared" si="111"/>
        <v>0</v>
      </c>
      <c r="M42" s="53">
        <f>SUM(M33:M34)</f>
        <v>0</v>
      </c>
      <c r="N42" s="53">
        <f>SUM(N33:N34)</f>
        <v>0</v>
      </c>
      <c r="O42" s="32">
        <f t="shared" si="112"/>
        <v>0</v>
      </c>
      <c r="P42" s="53">
        <f>SUM(P33:P34)</f>
        <v>0</v>
      </c>
      <c r="Q42" s="53">
        <f>SUM(Q33:Q34)</f>
        <v>0</v>
      </c>
      <c r="R42" s="32">
        <f t="shared" si="113"/>
        <v>0</v>
      </c>
      <c r="S42" s="53">
        <f>SUM(S33:S34)</f>
        <v>0</v>
      </c>
      <c r="T42" s="53">
        <f>SUM(T33:T34)</f>
        <v>0</v>
      </c>
      <c r="U42" s="32">
        <f t="shared" si="114"/>
        <v>0</v>
      </c>
      <c r="V42" s="53">
        <f>SUM(V33:V34)</f>
        <v>0</v>
      </c>
      <c r="W42" s="53">
        <f>SUM(W33:W34)</f>
        <v>0</v>
      </c>
      <c r="X42" s="32">
        <f t="shared" si="115"/>
        <v>0</v>
      </c>
      <c r="Y42" s="53">
        <f>SUM(Y33:Y34)</f>
        <v>0</v>
      </c>
      <c r="Z42" s="53">
        <f>SUM(Z33:Z34)</f>
        <v>0</v>
      </c>
      <c r="AA42" s="32">
        <f t="shared" si="116"/>
        <v>0</v>
      </c>
      <c r="AB42" s="53">
        <f>SUM(AB33:AB34)</f>
        <v>0</v>
      </c>
      <c r="AC42" s="53">
        <f>SUM(AC33:AC34)</f>
        <v>0</v>
      </c>
      <c r="AD42" s="32">
        <f t="shared" si="117"/>
        <v>0</v>
      </c>
      <c r="AE42" s="53">
        <f>SUM(AE33:AE34)</f>
        <v>0</v>
      </c>
      <c r="AF42" s="53">
        <f>SUM(AF33:AF34)</f>
        <v>0</v>
      </c>
      <c r="AG42" s="32">
        <f t="shared" si="118"/>
        <v>0</v>
      </c>
      <c r="AH42" s="53">
        <f>SUM(AH33:AH34)</f>
        <v>0</v>
      </c>
      <c r="AI42" s="53">
        <f>SUM(AI33:AI34)</f>
        <v>0</v>
      </c>
      <c r="AJ42" s="32">
        <f t="shared" si="119"/>
        <v>2.4E-2</v>
      </c>
      <c r="AK42" s="53">
        <f>SUM(AK33:AK34)</f>
        <v>2.4E-2</v>
      </c>
      <c r="AL42" s="53">
        <f>SUM(AL33:AL34)</f>
        <v>0</v>
      </c>
      <c r="AM42" s="32">
        <f t="shared" si="120"/>
        <v>290.62599999999998</v>
      </c>
      <c r="AN42" s="53">
        <f>SUM(AN33:AN34)</f>
        <v>290.62599999999998</v>
      </c>
      <c r="AO42" s="53">
        <f>SUM(AO33:AO34)</f>
        <v>136.80000000000001</v>
      </c>
      <c r="AP42" s="32">
        <f t="shared" si="121"/>
        <v>181.298</v>
      </c>
      <c r="AQ42" s="53">
        <f>SUM(AQ33:AQ34)</f>
        <v>318.09800000000001</v>
      </c>
      <c r="AR42" s="53">
        <f>SUM(AR33:AR34)</f>
        <v>161.97799999999998</v>
      </c>
      <c r="AS42" s="32">
        <f t="shared" si="122"/>
        <v>204.74300000000002</v>
      </c>
      <c r="AT42" s="53">
        <f>SUM(AT33:AT34)</f>
        <v>366.721</v>
      </c>
      <c r="AU42" s="53">
        <f>SUM(AU33:AU34)</f>
        <v>196.77799999999999</v>
      </c>
      <c r="AV42" s="32">
        <f t="shared" si="123"/>
        <v>228.56899999999999</v>
      </c>
      <c r="AW42" s="53">
        <f>SUM(AW33:AW34)</f>
        <v>425.34699999999998</v>
      </c>
      <c r="AX42" s="53">
        <f>SUM(AX33:AX34)</f>
        <v>215.511</v>
      </c>
      <c r="AY42" s="32">
        <f t="shared" si="124"/>
        <v>288.84500000000003</v>
      </c>
      <c r="AZ42" s="53">
        <f>SUM(AZ33:AZ34)</f>
        <v>504.35599999999999</v>
      </c>
      <c r="BA42" s="53"/>
      <c r="BB42" s="32"/>
      <c r="BC42" s="53">
        <f>SUM(BC33:BC34)</f>
        <v>878.0569999999999</v>
      </c>
      <c r="BD42" s="53">
        <f>SUM(BD33:BD34)</f>
        <v>595.59099999999989</v>
      </c>
      <c r="BE42" s="32">
        <f t="shared" si="126"/>
        <v>761.51836400000002</v>
      </c>
      <c r="BF42" s="53">
        <f>SUM(BF33:BF34)</f>
        <v>1357.1093639999999</v>
      </c>
      <c r="BG42" s="53">
        <f>SUM(BG33:BG34)</f>
        <v>640.15899999999999</v>
      </c>
      <c r="BH42" s="32">
        <f t="shared" si="127"/>
        <v>660.87600000000009</v>
      </c>
      <c r="BI42" s="53">
        <f>SUM(BI33:BI34)</f>
        <v>1301.0350000000001</v>
      </c>
      <c r="BJ42" s="53">
        <f>SUM(BJ33:BJ34)</f>
        <v>640.75300000000004</v>
      </c>
      <c r="BK42" s="32">
        <f t="shared" si="128"/>
        <v>1033.3309999999997</v>
      </c>
      <c r="BL42" s="53">
        <f>SUM(BL33:BL34)</f>
        <v>1674.0839999999998</v>
      </c>
      <c r="BM42" s="53">
        <f>SUM(BM33:BM34)</f>
        <v>1420.02</v>
      </c>
      <c r="BN42" s="32">
        <f t="shared" si="129"/>
        <v>1832.8900000000003</v>
      </c>
      <c r="BO42" s="53">
        <f>SUM(BO33:BO34)</f>
        <v>3252.9100000000003</v>
      </c>
      <c r="BP42" s="53">
        <f>SUM(BP33:BP34)</f>
        <v>10.983000000000001</v>
      </c>
      <c r="BQ42" s="32">
        <f t="shared" si="137"/>
        <v>17.222000000000001</v>
      </c>
      <c r="BR42" s="53">
        <f>SUM(BR33:BR34)</f>
        <v>28.205000000000002</v>
      </c>
      <c r="BS42" s="53">
        <f>SUM(BS33:BS34)</f>
        <v>19.887</v>
      </c>
      <c r="BT42" s="32">
        <f t="shared" si="138"/>
        <v>13.295000000000002</v>
      </c>
      <c r="BU42" s="53">
        <f>SUM(BU33:BU34)</f>
        <v>33.182000000000002</v>
      </c>
      <c r="BV42" s="53">
        <f>SUM(BV33:BV34)</f>
        <v>1646.4091760446827</v>
      </c>
      <c r="BW42" s="32">
        <f t="shared" si="139"/>
        <v>1819.6108239553173</v>
      </c>
      <c r="BX42" s="53">
        <f>SUM(BX33:BX34)</f>
        <v>3466.02</v>
      </c>
      <c r="BY42" s="53">
        <f>SUM(BY33:BY34)</f>
        <v>1927.4262741303662</v>
      </c>
      <c r="BZ42" s="32">
        <f t="shared" si="140"/>
        <v>1787.8449333343767</v>
      </c>
      <c r="CA42" s="53">
        <f>SUM(CA33:CA34)</f>
        <v>3715.2712074647429</v>
      </c>
      <c r="CB42" s="53">
        <f>SUM(CB33:CB34)</f>
        <v>2161.1952103727886</v>
      </c>
      <c r="CC42" s="32">
        <f t="shared" si="141"/>
        <v>2040.1936344643213</v>
      </c>
      <c r="CD42" s="53">
        <f>SUM(CD33:CD34)</f>
        <v>4201.3888448371099</v>
      </c>
      <c r="CE42" s="53">
        <f>SUM(CE33:CE34)</f>
        <v>2117.6515385892408</v>
      </c>
      <c r="CF42" s="32">
        <f t="shared" si="142"/>
        <v>2252.1136479619036</v>
      </c>
      <c r="CG42" s="53">
        <f>SUM(CG33:CG34)</f>
        <v>4369.7651865511443</v>
      </c>
      <c r="CH42" s="53">
        <f>SUM(CH33:CH34)</f>
        <v>2404.7621074743261</v>
      </c>
      <c r="CI42" s="32">
        <f t="shared" si="143"/>
        <v>2426.0530692564439</v>
      </c>
      <c r="CJ42" s="53">
        <f>SUM(CJ33:CJ34)</f>
        <v>4830.81517673077</v>
      </c>
      <c r="CK42" s="53">
        <f>SUM(CK33:CK34)</f>
        <v>2583.263963767281</v>
      </c>
      <c r="CL42" s="32">
        <f t="shared" si="144"/>
        <v>2544.3882448532677</v>
      </c>
      <c r="CM42" s="53">
        <f>SUM(CM33:CM34)</f>
        <v>5127.6522086205487</v>
      </c>
      <c r="CN42" s="53">
        <f>SUM(CN33:CN34)</f>
        <v>2702.7999999999997</v>
      </c>
      <c r="CO42" s="32">
        <f t="shared" si="145"/>
        <v>2820.1999999999994</v>
      </c>
      <c r="CP42" s="53">
        <f>SUM(CP33:CP34)</f>
        <v>5522.9999999999991</v>
      </c>
      <c r="CQ42" s="53">
        <f>SUM(CQ33:CQ34)</f>
        <v>2847.2000000000003</v>
      </c>
      <c r="CR42" s="32">
        <f t="shared" si="146"/>
        <v>2779.6000000000017</v>
      </c>
      <c r="CS42" s="53">
        <f>SUM(CS33:CS34)</f>
        <v>5626.800000000002</v>
      </c>
      <c r="CT42" s="53">
        <f>SUM(CT33:CT34)</f>
        <v>3142.3077200000002</v>
      </c>
      <c r="CU42" s="32">
        <f t="shared" si="147"/>
        <v>2986.8922800000023</v>
      </c>
      <c r="CV42" s="53">
        <f>SUM(CV33:CV34)</f>
        <v>6129.2000000000025</v>
      </c>
      <c r="CW42" s="53">
        <f>SUM(CW33:CW34)</f>
        <v>3679.5</v>
      </c>
      <c r="CX42" s="32">
        <f t="shared" si="148"/>
        <v>3254.1999999999989</v>
      </c>
      <c r="CY42" s="53">
        <f>SUM(CY33:CY34)</f>
        <v>6933.6999999999989</v>
      </c>
      <c r="CZ42" s="53">
        <f>SUM(CZ33:CZ34)</f>
        <v>4146.6304625474068</v>
      </c>
      <c r="DA42" s="32">
        <f t="shared" si="149"/>
        <v>3768.3695374525932</v>
      </c>
      <c r="DB42" s="53">
        <f>SUM(DB33:DB34)</f>
        <v>7915</v>
      </c>
      <c r="DC42" s="53">
        <f>SUM(DC33:DC34)</f>
        <v>4504.8</v>
      </c>
      <c r="DD42" s="32">
        <f t="shared" si="150"/>
        <v>4033.1000000000013</v>
      </c>
      <c r="DE42" s="1088">
        <f>SUM(DE33:DE34)</f>
        <v>8537.9000000000015</v>
      </c>
      <c r="DF42" s="53">
        <f>SUM(DF33:DF34)</f>
        <v>4914.6134151647248</v>
      </c>
      <c r="DG42" s="32">
        <f t="shared" si="151"/>
        <v>4243.2994189872543</v>
      </c>
      <c r="DH42" s="1088">
        <f>SUM(DH33:DH34)</f>
        <v>9157.912834151979</v>
      </c>
      <c r="DI42" s="53">
        <f>SUM(DI33:DI34)</f>
        <v>5741.463284145284</v>
      </c>
      <c r="DJ42" s="32">
        <f t="shared" si="152"/>
        <v>4574.7778003579224</v>
      </c>
      <c r="DK42" s="1088">
        <f>SUM(DK33:DK34)</f>
        <v>10316.241084503206</v>
      </c>
      <c r="DL42" s="53">
        <f>SUM(DL33:DL34)</f>
        <v>6042.1160987500007</v>
      </c>
      <c r="DM42" s="32">
        <f t="shared" si="153"/>
        <v>4537.6839012500004</v>
      </c>
      <c r="DN42" s="1088">
        <f>SUM(DN33:DN34)</f>
        <v>10579.800000000001</v>
      </c>
      <c r="DO42" s="53">
        <f>SUM(DO33:DO34)</f>
        <v>7218.6981914999997</v>
      </c>
      <c r="DP42" s="32">
        <f t="shared" si="154"/>
        <v>6129.0036405057563</v>
      </c>
      <c r="DQ42" s="1088">
        <f>SUM(DQ33:DQ34)</f>
        <v>13347.701832005756</v>
      </c>
      <c r="DR42" s="1682">
        <f>SUM(DR33:DR34)</f>
        <v>8073.0069999999996</v>
      </c>
      <c r="DS42" s="1062">
        <f t="shared" si="155"/>
        <v>6765.9853999999996</v>
      </c>
      <c r="DT42" s="1102">
        <f>SUM(DT33:DT34)</f>
        <v>14838.992399999999</v>
      </c>
      <c r="DU42" s="53">
        <f>SUM(DU33:DU34)</f>
        <v>8501</v>
      </c>
      <c r="DV42" s="1062">
        <f t="shared" si="156"/>
        <v>7095</v>
      </c>
      <c r="DW42" s="1102">
        <f>SUM(DW33:DW34)</f>
        <v>15596</v>
      </c>
      <c r="DX42" s="53">
        <f>SUM(DX33:DX34)</f>
        <v>8350</v>
      </c>
      <c r="DY42" s="32">
        <f t="shared" si="157"/>
        <v>7609.3872548682684</v>
      </c>
      <c r="DZ42" s="1088">
        <f>SUM(DZ33:DZ34)</f>
        <v>15959.387254868268</v>
      </c>
      <c r="EA42" s="53">
        <f>SUM(EA33:EA34)</f>
        <v>8891.4271949534232</v>
      </c>
      <c r="EB42" s="32">
        <f t="shared" si="158"/>
        <v>7916.8755414655425</v>
      </c>
      <c r="EC42" s="1088">
        <f>SUM(EC33:EC34)</f>
        <v>16808.302736418966</v>
      </c>
      <c r="ED42" s="53">
        <f>SUM(ED33:ED34)</f>
        <v>9294.7022009297725</v>
      </c>
      <c r="EE42" s="32">
        <f t="shared" si="159"/>
        <v>8415.4065304197647</v>
      </c>
      <c r="EF42" s="1088">
        <f>SUM(EF33:EF34)</f>
        <v>17710.108731349537</v>
      </c>
      <c r="EG42" s="53">
        <f>SUM(EG33:EG34)</f>
        <v>9829.3745519748736</v>
      </c>
      <c r="EH42" s="32">
        <f t="shared" si="160"/>
        <v>8970.0992495680803</v>
      </c>
      <c r="EI42" s="1088">
        <f>SUM(EI33:EI34)</f>
        <v>18799.473801542954</v>
      </c>
      <c r="EJ42" s="53">
        <f>SUM(EJ33:EJ34)</f>
        <v>10412.223188738562</v>
      </c>
      <c r="EK42" s="32">
        <f t="shared" si="161"/>
        <v>9581.8953922745659</v>
      </c>
      <c r="EL42" s="1088">
        <f>SUM(EL33:EL34)</f>
        <v>19994.118581013128</v>
      </c>
      <c r="EM42" s="53">
        <f>SUM(EM33:EM34)</f>
        <v>10988.652720607901</v>
      </c>
      <c r="EN42" s="32">
        <f t="shared" si="162"/>
        <v>10126.869404932248</v>
      </c>
      <c r="EO42" s="1088">
        <f>SUM(EO33:EO34)</f>
        <v>21115.522125540148</v>
      </c>
      <c r="EP42" s="53">
        <f>SUM(EP33:EP34)</f>
        <v>11593.304243226483</v>
      </c>
      <c r="EQ42" s="32">
        <f t="shared" si="163"/>
        <v>10736.76164734972</v>
      </c>
      <c r="ER42" s="1088">
        <f>SUM(ER33:ER34)</f>
        <v>22330.065890576203</v>
      </c>
      <c r="ES42" s="53">
        <f>SUM(ES33:ES34)</f>
        <v>12247.936628102441</v>
      </c>
      <c r="ET42" s="32">
        <f t="shared" si="164"/>
        <v>11386.82499960337</v>
      </c>
      <c r="EU42" s="1088">
        <f>SUM(EU33:EU34)</f>
        <v>23634.761627705811</v>
      </c>
      <c r="EV42" s="53">
        <f>SUM(EV33:EV34)</f>
        <v>12943.643808144952</v>
      </c>
      <c r="EW42" s="32">
        <f t="shared" si="165"/>
        <v>12079.258626849263</v>
      </c>
      <c r="EX42" s="1088">
        <f>SUM(EX33:EX34)</f>
        <v>25022.902434994216</v>
      </c>
      <c r="EY42" s="53">
        <f>SUM(EY33:EY34)</f>
        <v>13682.675832067232</v>
      </c>
      <c r="EZ42" s="32">
        <f t="shared" si="166"/>
        <v>12816.633978162898</v>
      </c>
      <c r="FA42" s="1088">
        <f>SUM(FA33:FA34)</f>
        <v>26499.30981023013</v>
      </c>
      <c r="FD42"/>
      <c r="FE42"/>
      <c r="FF42"/>
      <c r="FG42"/>
      <c r="FH42"/>
      <c r="FI42"/>
    </row>
    <row r="43" spans="2:165" s="33" customFormat="1">
      <c r="B43" s="54" t="s">
        <v>702</v>
      </c>
      <c r="D43" s="2" t="s">
        <v>506</v>
      </c>
      <c r="E43" s="53">
        <f>+SUM(E44:E53)</f>
        <v>0</v>
      </c>
      <c r="F43" s="32">
        <f t="shared" si="109"/>
        <v>0</v>
      </c>
      <c r="G43" s="53">
        <f>+SUM(G44:G53)</f>
        <v>0</v>
      </c>
      <c r="H43" s="53">
        <f>+SUM(H44:H53)</f>
        <v>0</v>
      </c>
      <c r="I43" s="32">
        <f t="shared" si="110"/>
        <v>0</v>
      </c>
      <c r="J43" s="53">
        <f>+SUM(J44:J53)</f>
        <v>0</v>
      </c>
      <c r="K43" s="53">
        <f>+SUM(K44:K53)</f>
        <v>0</v>
      </c>
      <c r="L43" s="32">
        <f t="shared" si="111"/>
        <v>0</v>
      </c>
      <c r="M43" s="53">
        <f>+SUM(M44:M53)</f>
        <v>0</v>
      </c>
      <c r="N43" s="53">
        <f>+SUM(N44:N53)</f>
        <v>0</v>
      </c>
      <c r="O43" s="32">
        <f t="shared" si="112"/>
        <v>0</v>
      </c>
      <c r="P43" s="53">
        <f>+SUM(P44:P53)</f>
        <v>0</v>
      </c>
      <c r="Q43" s="53">
        <f>+SUM(Q44:Q53)</f>
        <v>0</v>
      </c>
      <c r="R43" s="32">
        <f t="shared" si="113"/>
        <v>0</v>
      </c>
      <c r="S43" s="53">
        <f>+SUM(S44:S53)</f>
        <v>0</v>
      </c>
      <c r="T43" s="53">
        <f>+SUM(T44:T53)</f>
        <v>0</v>
      </c>
      <c r="U43" s="32">
        <f t="shared" si="114"/>
        <v>0</v>
      </c>
      <c r="V43" s="53">
        <f>+SUM(V44:V53)</f>
        <v>0</v>
      </c>
      <c r="W43" s="53">
        <f>+SUM(W44:W53)</f>
        <v>0</v>
      </c>
      <c r="X43" s="32">
        <f t="shared" si="115"/>
        <v>0</v>
      </c>
      <c r="Y43" s="53">
        <f>+SUM(Y44:Y53)</f>
        <v>0</v>
      </c>
      <c r="Z43" s="53">
        <f>+SUM(Z44:Z53)</f>
        <v>0</v>
      </c>
      <c r="AA43" s="32">
        <f t="shared" si="116"/>
        <v>0</v>
      </c>
      <c r="AB43" s="53">
        <f>+SUM(AB44:AB53)</f>
        <v>0</v>
      </c>
      <c r="AC43" s="53">
        <f>+SUM(AC44:AC53)</f>
        <v>0</v>
      </c>
      <c r="AD43" s="32">
        <f t="shared" si="117"/>
        <v>0</v>
      </c>
      <c r="AE43" s="53">
        <f>+SUM(AE44:AE53)</f>
        <v>0</v>
      </c>
      <c r="AF43" s="53">
        <f>+SUM(AF44:AF53)</f>
        <v>0</v>
      </c>
      <c r="AG43" s="32">
        <f t="shared" si="118"/>
        <v>0</v>
      </c>
      <c r="AH43" s="53">
        <f>+SUM(AH44:AH53)</f>
        <v>0</v>
      </c>
      <c r="AI43" s="53">
        <f>+SUM(AI44:AI53)</f>
        <v>0</v>
      </c>
      <c r="AJ43" s="32">
        <f t="shared" si="119"/>
        <v>-2.4000000000000021E-2</v>
      </c>
      <c r="AK43" s="53">
        <f>+SUM(AK44:AK53)</f>
        <v>-2.4000000000000021E-2</v>
      </c>
      <c r="AL43" s="53">
        <f>+SUM(AL44:AL53)</f>
        <v>0</v>
      </c>
      <c r="AM43" s="32">
        <f t="shared" si="120"/>
        <v>214.98099999999997</v>
      </c>
      <c r="AN43" s="53">
        <f>+SUM(AN44:AN53)</f>
        <v>214.98099999999997</v>
      </c>
      <c r="AO43" s="53">
        <f>+SUM(AO44:AO53)</f>
        <v>120.11900000000001</v>
      </c>
      <c r="AP43" s="32">
        <f t="shared" si="121"/>
        <v>114.30300000000001</v>
      </c>
      <c r="AQ43" s="53">
        <f>+SUM(AQ44:AQ53)</f>
        <v>234.42200000000003</v>
      </c>
      <c r="AR43" s="53">
        <f>+SUM(AR44:AR53)</f>
        <v>141.77299999999997</v>
      </c>
      <c r="AS43" s="32">
        <f t="shared" si="122"/>
        <v>131.69400000000002</v>
      </c>
      <c r="AT43" s="53">
        <f>+SUM(AT44:AT53)</f>
        <v>273.46699999999998</v>
      </c>
      <c r="AU43" s="53">
        <f>+SUM(AU44:AU53)</f>
        <v>155.12099999999998</v>
      </c>
      <c r="AV43" s="32">
        <f t="shared" si="123"/>
        <v>165.56200000000001</v>
      </c>
      <c r="AW43" s="53">
        <f>+SUM(AW44:AW53)</f>
        <v>320.68299999999999</v>
      </c>
      <c r="AX43" s="53">
        <f>+SUM(AX44:AX53)</f>
        <v>185.84899999999999</v>
      </c>
      <c r="AY43" s="32">
        <f t="shared" si="124"/>
        <v>203.92199999999997</v>
      </c>
      <c r="AZ43" s="53">
        <f>+SUM(AZ44:AZ53)</f>
        <v>389.77099999999996</v>
      </c>
      <c r="BA43" s="53"/>
      <c r="BB43" s="32"/>
      <c r="BC43" s="53">
        <f>+SUM(BC44:BC53)</f>
        <v>668.61699999999996</v>
      </c>
      <c r="BD43" s="53">
        <f>+SUM(BD44:BD53)</f>
        <v>453.91134666666653</v>
      </c>
      <c r="BE43" s="32">
        <f t="shared" si="126"/>
        <v>606.58801733333326</v>
      </c>
      <c r="BF43" s="53">
        <f>+SUM(BF44:BF53)</f>
        <v>1060.4993639999998</v>
      </c>
      <c r="BG43" s="53">
        <f>+SUM(BG44:BG53)</f>
        <v>507.82299999999998</v>
      </c>
      <c r="BH43" s="32">
        <f t="shared" si="127"/>
        <v>537.45600000000002</v>
      </c>
      <c r="BI43" s="53">
        <f>+SUM(BI44:BI53)</f>
        <v>1045.279</v>
      </c>
      <c r="BJ43" s="53">
        <f>+SUM(BJ44:BJ53)</f>
        <v>550.06899999999996</v>
      </c>
      <c r="BK43" s="32"/>
      <c r="BL43" s="53"/>
      <c r="BM43" s="53"/>
      <c r="BN43" s="32"/>
      <c r="BO43" s="53">
        <f>+SUM(BO44:BO53)</f>
        <v>2449.9949999999999</v>
      </c>
      <c r="BP43" s="53">
        <f>+SUM(BP44:BP53)</f>
        <v>-319.97800000000001</v>
      </c>
      <c r="BQ43" s="32">
        <f t="shared" si="137"/>
        <v>-308.37799999999999</v>
      </c>
      <c r="BR43" s="53">
        <f>+SUM(BR44:BR53)</f>
        <v>-628.35599999999999</v>
      </c>
      <c r="BS43" s="53">
        <f>+SUM(BS44:BS53)</f>
        <v>-390.71299999999997</v>
      </c>
      <c r="BT43" s="32">
        <f t="shared" si="138"/>
        <v>-527.92099999999994</v>
      </c>
      <c r="BU43" s="53">
        <f>+SUM(BU44:BU53)</f>
        <v>-918.6339999999999</v>
      </c>
      <c r="BV43" s="53">
        <f>+SUM(BV44:BV53)</f>
        <v>1061.262217126512</v>
      </c>
      <c r="BW43" s="32">
        <f t="shared" si="139"/>
        <v>1259.6428704198679</v>
      </c>
      <c r="BX43" s="53">
        <f>+SUM(BX44:BX53)</f>
        <v>2320.9050875463799</v>
      </c>
      <c r="BY43" s="53">
        <f>+SUM(BY44:BY53)</f>
        <v>1182.352214154937</v>
      </c>
      <c r="BZ43" s="32">
        <f t="shared" si="140"/>
        <v>1094.3809130981604</v>
      </c>
      <c r="CA43" s="53">
        <f>+SUM(CA44:CA53)</f>
        <v>2276.7331272530973</v>
      </c>
      <c r="CB43" s="53">
        <f>+SUM(CB44:CB53)</f>
        <v>1272.9547508255337</v>
      </c>
      <c r="CC43" s="32">
        <f t="shared" si="141"/>
        <v>1396.1907934285437</v>
      </c>
      <c r="CD43" s="53">
        <f>+SUM(CD44:CD53)</f>
        <v>2669.1455442540773</v>
      </c>
      <c r="CE43" s="53">
        <f>+SUM(CE44:CE53)</f>
        <v>1382.9735587829518</v>
      </c>
      <c r="CF43" s="32">
        <f t="shared" si="142"/>
        <v>1608.1246360421856</v>
      </c>
      <c r="CG43" s="53">
        <f>+SUM(CG44:CG53)</f>
        <v>2991.0981948251374</v>
      </c>
      <c r="CH43" s="53">
        <f>+SUM(CH44:CH53)</f>
        <v>1664.699320281205</v>
      </c>
      <c r="CI43" s="32">
        <f t="shared" si="143"/>
        <v>1690.2139681143003</v>
      </c>
      <c r="CJ43" s="53">
        <f>+SUM(CJ44:CJ53)</f>
        <v>3354.9132883955053</v>
      </c>
      <c r="CK43" s="53">
        <f>+SUM(CK44:CK53)</f>
        <v>1687.7361408915626</v>
      </c>
      <c r="CL43" s="32">
        <f t="shared" si="144"/>
        <v>1738.6607595387454</v>
      </c>
      <c r="CM43" s="53">
        <f>+SUM(CM44:CM53)</f>
        <v>3426.3969004303081</v>
      </c>
      <c r="CN43" s="53">
        <f>+SUM(CN44:CN53)</f>
        <v>1786.1</v>
      </c>
      <c r="CO43" s="32">
        <f t="shared" si="145"/>
        <v>1897.1999999999989</v>
      </c>
      <c r="CP43" s="53">
        <f>+SUM(CP44:CP53)</f>
        <v>3683.2999999999988</v>
      </c>
      <c r="CQ43" s="53">
        <f>+SUM(CQ44:CQ53)</f>
        <v>1877.1000000000004</v>
      </c>
      <c r="CR43" s="32">
        <f t="shared" si="146"/>
        <v>1784.0000000000014</v>
      </c>
      <c r="CS43" s="53">
        <f>+SUM(CS44:CS53)</f>
        <v>3661.1000000000017</v>
      </c>
      <c r="CT43" s="53">
        <f>+SUM(CT44:CT53)</f>
        <v>2223.6583551127387</v>
      </c>
      <c r="CU43" s="32">
        <f t="shared" si="147"/>
        <v>2151.4416448872635</v>
      </c>
      <c r="CV43" s="53">
        <f>+SUM(CV44:CV53)</f>
        <v>4375.1000000000022</v>
      </c>
      <c r="CW43" s="53">
        <f>+SUM(CW44:CW53)</f>
        <v>2450.8000000000002</v>
      </c>
      <c r="CX43" s="32">
        <f t="shared" si="148"/>
        <v>2414.4427131675648</v>
      </c>
      <c r="CY43" s="53">
        <f>+SUM(CY44:CY53)</f>
        <v>4865.2427131675649</v>
      </c>
      <c r="CZ43" s="53">
        <f>+SUM(CZ44:CZ53)</f>
        <v>2530.1213694753551</v>
      </c>
      <c r="DA43" s="32">
        <f t="shared" si="149"/>
        <v>2707.8786305246449</v>
      </c>
      <c r="DB43" s="53">
        <f>+SUM(DB44:DB53)</f>
        <v>5238</v>
      </c>
      <c r="DC43" s="53">
        <f>+SUM(DC44:DC53)</f>
        <v>2785.9</v>
      </c>
      <c r="DD43" s="32">
        <f t="shared" si="150"/>
        <v>2872.6000000000017</v>
      </c>
      <c r="DE43" s="1088">
        <f>+SUM(DE44:DE53)</f>
        <v>5658.5000000000018</v>
      </c>
      <c r="DF43" s="53">
        <f>+SUM(DF44:DF53)</f>
        <v>3073.8997946410082</v>
      </c>
      <c r="DG43" s="32">
        <f t="shared" si="151"/>
        <v>2940.2662165007196</v>
      </c>
      <c r="DH43" s="1088">
        <f>+SUM(DH44:DH53)</f>
        <v>6014.1660111417277</v>
      </c>
      <c r="DI43" s="53">
        <f>+SUM(DI44:DI53)</f>
        <v>3134.213284145284</v>
      </c>
      <c r="DJ43" s="32">
        <f t="shared" si="152"/>
        <v>3532.0016191079212</v>
      </c>
      <c r="DK43" s="1088">
        <f>+SUM(DK44:DK53)</f>
        <v>6666.2149032532052</v>
      </c>
      <c r="DL43" s="53">
        <f>+SUM(DL44:DL53)</f>
        <v>3545.5764037500012</v>
      </c>
      <c r="DM43" s="32">
        <f t="shared" si="153"/>
        <v>3392.0235962500001</v>
      </c>
      <c r="DN43" s="1088">
        <f>+SUM(DN44:DN53)</f>
        <v>6937.6000000000013</v>
      </c>
      <c r="DO43" s="53">
        <f>+SUM(DO44:DO53)</f>
        <v>4484.7981915</v>
      </c>
      <c r="DP43" s="32">
        <f t="shared" si="154"/>
        <v>4571.9036405057559</v>
      </c>
      <c r="DQ43" s="1088">
        <f>+SUM(DQ44:DQ53)</f>
        <v>9056.7018320057559</v>
      </c>
      <c r="DR43" s="1833">
        <f>+SUM(DR44:DR53)</f>
        <v>4961.0208750000002</v>
      </c>
      <c r="DS43" s="1829">
        <f t="shared" si="155"/>
        <v>5004.971524999999</v>
      </c>
      <c r="DT43" s="1830">
        <f>+SUM(DT44:DT53)</f>
        <v>9965.9923999999992</v>
      </c>
      <c r="DU43" s="1834">
        <f>+SUM(DU44:DU53)</f>
        <v>5284</v>
      </c>
      <c r="DV43" s="1829">
        <f t="shared" si="156"/>
        <v>5153</v>
      </c>
      <c r="DW43" s="1830">
        <f>+SUM(DW44:DW53)</f>
        <v>10437</v>
      </c>
      <c r="DX43" s="1834">
        <f>+SUM(DX44:DX53)</f>
        <v>5202</v>
      </c>
      <c r="DY43" s="1831">
        <f t="shared" si="157"/>
        <v>5186.4778559756305</v>
      </c>
      <c r="DZ43" s="1832">
        <f>+SUM(DZ44:DZ53)</f>
        <v>10388.477855975631</v>
      </c>
      <c r="EA43" s="53">
        <f>+SUM(EA44:EA53)</f>
        <v>5551.7460893039133</v>
      </c>
      <c r="EB43" s="32">
        <f t="shared" si="158"/>
        <v>5382.3358975167685</v>
      </c>
      <c r="EC43" s="1088">
        <f>+SUM(EC44:EC53)</f>
        <v>10934.081986820682</v>
      </c>
      <c r="ED43" s="53">
        <f>+SUM(ED44:ED53)</f>
        <v>5683.869008672842</v>
      </c>
      <c r="EE43" s="32">
        <f t="shared" si="159"/>
        <v>5670.5449603387206</v>
      </c>
      <c r="EF43" s="1088">
        <f>+SUM(EF44:EF53)</f>
        <v>11354.413969011563</v>
      </c>
      <c r="EG43" s="53">
        <f>+SUM(EG44:EG53)</f>
        <v>5922.4346928199257</v>
      </c>
      <c r="EH43" s="32">
        <f t="shared" si="160"/>
        <v>5939.4508408427255</v>
      </c>
      <c r="EI43" s="1088">
        <f>+SUM(EI44:EI53)</f>
        <v>11861.885533662651</v>
      </c>
      <c r="EJ43" s="53">
        <f>+SUM(EJ44:EJ53)</f>
        <v>6197.6921480444025</v>
      </c>
      <c r="EK43" s="32">
        <f t="shared" si="161"/>
        <v>6251.5968591832871</v>
      </c>
      <c r="EL43" s="1088">
        <f>+SUM(EL44:EL53)</f>
        <v>12449.28900722769</v>
      </c>
      <c r="EM43" s="53">
        <f>+SUM(EM44:EM53)</f>
        <v>6418.2736580027749</v>
      </c>
      <c r="EN43" s="32">
        <f t="shared" si="162"/>
        <v>6507.9881869927967</v>
      </c>
      <c r="EO43" s="1088">
        <f>+SUM(EO44:EO53)</f>
        <v>12926.261844995572</v>
      </c>
      <c r="EP43" s="53">
        <f>+SUM(EP44:EP53)</f>
        <v>6679.6280489254632</v>
      </c>
      <c r="EQ43" s="32">
        <f t="shared" si="163"/>
        <v>6792.5511418055694</v>
      </c>
      <c r="ER43" s="1088">
        <f>+SUM(ER44:ER53)</f>
        <v>13472.179190731033</v>
      </c>
      <c r="ES43" s="53">
        <f>+SUM(ES44:ES53)</f>
        <v>7002.5536597188129</v>
      </c>
      <c r="ET43" s="32">
        <f t="shared" si="164"/>
        <v>7137.3588831341622</v>
      </c>
      <c r="EU43" s="1088">
        <f>+SUM(EU44:EU53)</f>
        <v>14139.912542852975</v>
      </c>
      <c r="EV43" s="53">
        <f>+SUM(EV44:EV53)</f>
        <v>7389.3309998073473</v>
      </c>
      <c r="EW43" s="32">
        <f t="shared" si="165"/>
        <v>7551.9243318229219</v>
      </c>
      <c r="EX43" s="1088">
        <f>+SUM(EX44:EX53)</f>
        <v>14941.255331630269</v>
      </c>
      <c r="EY43" s="53">
        <f>+SUM(EY44:EY53)</f>
        <v>7800.075015103942</v>
      </c>
      <c r="EZ43" s="32">
        <f t="shared" si="166"/>
        <v>7993.0878252063803</v>
      </c>
      <c r="FA43" s="1088">
        <f>+SUM(FA44:FA53)</f>
        <v>15793.162840310322</v>
      </c>
      <c r="FD43"/>
      <c r="FE43"/>
      <c r="FF43"/>
      <c r="FG43"/>
      <c r="FH43"/>
      <c r="FI43"/>
    </row>
    <row r="44" spans="2:165" s="33" customFormat="1" outlineLevel="1">
      <c r="B44" s="54" t="s">
        <v>703</v>
      </c>
      <c r="D44" s="2" t="s">
        <v>506</v>
      </c>
      <c r="E44" s="53"/>
      <c r="F44" s="32">
        <f t="shared" si="109"/>
        <v>0</v>
      </c>
      <c r="G44" s="53"/>
      <c r="H44" s="53"/>
      <c r="I44" s="32">
        <f t="shared" si="110"/>
        <v>0</v>
      </c>
      <c r="J44" s="53"/>
      <c r="K44" s="53"/>
      <c r="L44" s="32">
        <f t="shared" si="111"/>
        <v>0</v>
      </c>
      <c r="M44" s="53"/>
      <c r="N44" s="53"/>
      <c r="O44" s="32">
        <f t="shared" si="112"/>
        <v>0</v>
      </c>
      <c r="P44" s="53"/>
      <c r="Q44" s="53"/>
      <c r="R44" s="32">
        <f t="shared" si="113"/>
        <v>0</v>
      </c>
      <c r="S44" s="53"/>
      <c r="T44" s="53"/>
      <c r="U44" s="32">
        <f t="shared" si="114"/>
        <v>0</v>
      </c>
      <c r="V44" s="53"/>
      <c r="W44" s="53"/>
      <c r="X44" s="32">
        <f t="shared" si="115"/>
        <v>0</v>
      </c>
      <c r="Y44" s="53"/>
      <c r="Z44" s="53"/>
      <c r="AA44" s="32">
        <f t="shared" si="116"/>
        <v>0</v>
      </c>
      <c r="AB44" s="53"/>
      <c r="AC44" s="53"/>
      <c r="AD44" s="32">
        <f t="shared" si="117"/>
        <v>0</v>
      </c>
      <c r="AE44" s="53"/>
      <c r="AF44" s="53"/>
      <c r="AG44" s="32">
        <f t="shared" si="118"/>
        <v>0</v>
      </c>
      <c r="AH44" s="53"/>
      <c r="AI44" s="53"/>
      <c r="AJ44" s="32">
        <f t="shared" si="119"/>
        <v>0</v>
      </c>
      <c r="AK44" s="53"/>
      <c r="AL44" s="53"/>
      <c r="AM44" s="32">
        <f t="shared" si="120"/>
        <v>2.359</v>
      </c>
      <c r="AN44" s="1097">
        <v>2.359</v>
      </c>
      <c r="AO44" s="53"/>
      <c r="AP44" s="32">
        <f t="shared" si="121"/>
        <v>2.6509999999999998</v>
      </c>
      <c r="AQ44" s="1097">
        <v>2.6509999999999998</v>
      </c>
      <c r="AR44" s="53"/>
      <c r="AS44" s="32">
        <f t="shared" si="122"/>
        <v>2.7839999999999998</v>
      </c>
      <c r="AT44" s="1097">
        <v>2.7839999999999998</v>
      </c>
      <c r="AU44" s="53"/>
      <c r="AV44" s="32">
        <f t="shared" si="123"/>
        <v>2.5169999999999999</v>
      </c>
      <c r="AW44" s="1097">
        <v>2.5169999999999999</v>
      </c>
      <c r="AX44" s="53"/>
      <c r="AY44" s="32">
        <f t="shared" si="124"/>
        <v>4.1760000000000002</v>
      </c>
      <c r="AZ44" s="1097">
        <v>4.1760000000000002</v>
      </c>
      <c r="BA44" s="53">
        <f>BC44/2</f>
        <v>2.0880000000000001</v>
      </c>
      <c r="BB44" s="32">
        <f t="shared" si="125"/>
        <v>2.0880000000000001</v>
      </c>
      <c r="BC44" s="53">
        <f>AZ44</f>
        <v>4.1760000000000002</v>
      </c>
      <c r="BD44" s="1097">
        <v>0</v>
      </c>
      <c r="BE44" s="32">
        <f t="shared" si="126"/>
        <v>4.1760000000000002</v>
      </c>
      <c r="BF44" s="1108">
        <f>BC44</f>
        <v>4.1760000000000002</v>
      </c>
      <c r="BG44" s="1109">
        <f>BI44/2</f>
        <v>0</v>
      </c>
      <c r="BH44" s="32">
        <f t="shared" si="127"/>
        <v>0</v>
      </c>
      <c r="BI44" s="1110">
        <v>0</v>
      </c>
      <c r="BJ44" s="1111">
        <v>0</v>
      </c>
      <c r="BK44" s="32">
        <f t="shared" si="128"/>
        <v>0</v>
      </c>
      <c r="BL44" s="1110">
        <v>0</v>
      </c>
      <c r="BM44" s="1111">
        <v>0</v>
      </c>
      <c r="BN44" s="32">
        <f t="shared" si="129"/>
        <v>0</v>
      </c>
      <c r="BO44" s="1110">
        <v>0</v>
      </c>
      <c r="BP44" s="1111">
        <v>0</v>
      </c>
      <c r="BQ44" s="32">
        <f t="shared" si="137"/>
        <v>0</v>
      </c>
      <c r="BR44" s="1110">
        <v>0</v>
      </c>
      <c r="BS44" s="1111">
        <v>0</v>
      </c>
      <c r="BT44" s="32">
        <f t="shared" si="138"/>
        <v>0</v>
      </c>
      <c r="BU44" s="1110">
        <v>0</v>
      </c>
      <c r="BV44" s="1111">
        <v>0</v>
      </c>
      <c r="BW44" s="32">
        <f t="shared" si="139"/>
        <v>0</v>
      </c>
      <c r="BX44" s="1110">
        <v>0</v>
      </c>
      <c r="BY44" s="1111">
        <v>0</v>
      </c>
      <c r="BZ44" s="32">
        <f t="shared" si="140"/>
        <v>0</v>
      </c>
      <c r="CA44" s="1110">
        <v>0</v>
      </c>
      <c r="CB44" s="1111">
        <v>0</v>
      </c>
      <c r="CC44" s="32">
        <f t="shared" si="141"/>
        <v>0</v>
      </c>
      <c r="CD44" s="1110">
        <v>0</v>
      </c>
      <c r="CE44" s="1111">
        <v>0</v>
      </c>
      <c r="CF44" s="32">
        <f t="shared" si="142"/>
        <v>0</v>
      </c>
      <c r="CG44" s="1110">
        <v>0</v>
      </c>
      <c r="CH44" s="1111">
        <v>0</v>
      </c>
      <c r="CI44" s="32">
        <f t="shared" si="143"/>
        <v>0</v>
      </c>
      <c r="CJ44" s="1110">
        <v>0</v>
      </c>
      <c r="CK44" s="1111">
        <v>0</v>
      </c>
      <c r="CL44" s="32">
        <f t="shared" si="144"/>
        <v>0</v>
      </c>
      <c r="CM44" s="1110">
        <v>0</v>
      </c>
      <c r="CN44" s="1111">
        <v>0</v>
      </c>
      <c r="CO44" s="32">
        <f t="shared" si="145"/>
        <v>0</v>
      </c>
      <c r="CP44" s="1110">
        <v>0</v>
      </c>
      <c r="CQ44" s="1111">
        <v>0</v>
      </c>
      <c r="CR44" s="32">
        <f t="shared" si="146"/>
        <v>0</v>
      </c>
      <c r="CS44" s="1110">
        <v>0</v>
      </c>
      <c r="CT44" s="1111">
        <v>0</v>
      </c>
      <c r="CU44" s="32">
        <f t="shared" si="147"/>
        <v>0</v>
      </c>
      <c r="CV44" s="1110">
        <v>0</v>
      </c>
      <c r="CW44" s="1111">
        <v>0</v>
      </c>
      <c r="CX44" s="32">
        <f t="shared" si="148"/>
        <v>0</v>
      </c>
      <c r="CY44" s="1110">
        <v>0</v>
      </c>
      <c r="CZ44" s="1111">
        <v>0</v>
      </c>
      <c r="DA44" s="32">
        <f t="shared" si="149"/>
        <v>0</v>
      </c>
      <c r="DB44" s="1110">
        <v>0</v>
      </c>
      <c r="DC44" s="1111">
        <v>0</v>
      </c>
      <c r="DD44" s="32">
        <f t="shared" si="150"/>
        <v>0</v>
      </c>
      <c r="DE44" s="1112">
        <v>0</v>
      </c>
      <c r="DF44" s="1111">
        <v>0</v>
      </c>
      <c r="DG44" s="32">
        <f t="shared" si="151"/>
        <v>0</v>
      </c>
      <c r="DH44" s="1112">
        <v>0</v>
      </c>
      <c r="DI44" s="1111">
        <v>0</v>
      </c>
      <c r="DJ44" s="32">
        <f t="shared" si="152"/>
        <v>0</v>
      </c>
      <c r="DK44" s="1112">
        <v>0</v>
      </c>
      <c r="DL44" s="1097">
        <v>0</v>
      </c>
      <c r="DM44" s="32">
        <f t="shared" si="153"/>
        <v>0</v>
      </c>
      <c r="DN44" s="1099">
        <v>0</v>
      </c>
      <c r="DO44" s="1097">
        <v>0</v>
      </c>
      <c r="DP44" s="32">
        <f t="shared" si="154"/>
        <v>0</v>
      </c>
      <c r="DQ44" s="1099">
        <v>0</v>
      </c>
      <c r="DR44" s="1683">
        <v>0</v>
      </c>
      <c r="DS44" s="1062">
        <f t="shared" si="155"/>
        <v>0</v>
      </c>
      <c r="DT44" s="1115">
        <v>0</v>
      </c>
      <c r="DU44" s="1097">
        <v>0</v>
      </c>
      <c r="DV44" s="1062">
        <f t="shared" si="156"/>
        <v>0</v>
      </c>
      <c r="DW44" s="1115">
        <v>0</v>
      </c>
      <c r="DX44" s="1097">
        <v>0</v>
      </c>
      <c r="DY44" s="32">
        <f t="shared" si="157"/>
        <v>0</v>
      </c>
      <c r="DZ44" s="1099">
        <v>0</v>
      </c>
      <c r="EA44" s="1097">
        <v>0</v>
      </c>
      <c r="EB44" s="32">
        <f t="shared" si="158"/>
        <v>0</v>
      </c>
      <c r="EC44" s="1099">
        <v>0</v>
      </c>
      <c r="ED44" s="1097">
        <v>0</v>
      </c>
      <c r="EE44" s="32">
        <f t="shared" si="159"/>
        <v>0</v>
      </c>
      <c r="EF44" s="1099">
        <v>0</v>
      </c>
      <c r="EG44" s="1097">
        <v>0</v>
      </c>
      <c r="EH44" s="32">
        <f t="shared" si="160"/>
        <v>0</v>
      </c>
      <c r="EI44" s="1099">
        <v>0</v>
      </c>
      <c r="EJ44" s="1097">
        <v>0</v>
      </c>
      <c r="EK44" s="32">
        <f t="shared" si="161"/>
        <v>0</v>
      </c>
      <c r="EL44" s="1099">
        <v>0</v>
      </c>
      <c r="EM44" s="1097">
        <v>0</v>
      </c>
      <c r="EN44" s="32">
        <f t="shared" si="162"/>
        <v>0</v>
      </c>
      <c r="EO44" s="1099">
        <v>0</v>
      </c>
      <c r="EP44" s="1097">
        <v>0</v>
      </c>
      <c r="EQ44" s="32">
        <f t="shared" si="163"/>
        <v>0</v>
      </c>
      <c r="ER44" s="1099">
        <v>0</v>
      </c>
      <c r="ES44" s="1097">
        <v>0</v>
      </c>
      <c r="ET44" s="32">
        <f t="shared" si="164"/>
        <v>0</v>
      </c>
      <c r="EU44" s="1099">
        <v>0</v>
      </c>
      <c r="EV44" s="1097">
        <v>0</v>
      </c>
      <c r="EW44" s="32">
        <f t="shared" si="165"/>
        <v>0</v>
      </c>
      <c r="EX44" s="1099">
        <v>0</v>
      </c>
      <c r="EY44" s="1097">
        <v>0</v>
      </c>
      <c r="EZ44" s="32">
        <f t="shared" si="166"/>
        <v>0</v>
      </c>
      <c r="FA44" s="1099">
        <v>0</v>
      </c>
      <c r="FD44"/>
      <c r="FE44"/>
      <c r="FF44"/>
      <c r="FG44"/>
      <c r="FH44"/>
      <c r="FI44"/>
    </row>
    <row r="45" spans="2:165" s="33" customFormat="1" outlineLevel="1">
      <c r="B45" s="54" t="s">
        <v>704</v>
      </c>
      <c r="D45" s="2" t="s">
        <v>506</v>
      </c>
      <c r="E45" s="53"/>
      <c r="F45" s="32">
        <f t="shared" si="109"/>
        <v>0</v>
      </c>
      <c r="G45" s="53"/>
      <c r="H45" s="53"/>
      <c r="I45" s="32">
        <f t="shared" si="110"/>
        <v>0</v>
      </c>
      <c r="J45" s="53"/>
      <c r="K45" s="53"/>
      <c r="L45" s="32">
        <f t="shared" si="111"/>
        <v>0</v>
      </c>
      <c r="M45" s="53"/>
      <c r="N45" s="53"/>
      <c r="O45" s="32">
        <f t="shared" si="112"/>
        <v>0</v>
      </c>
      <c r="P45" s="53"/>
      <c r="Q45" s="53"/>
      <c r="R45" s="32">
        <f t="shared" si="113"/>
        <v>0</v>
      </c>
      <c r="S45" s="53"/>
      <c r="T45" s="53"/>
      <c r="U45" s="32">
        <f t="shared" si="114"/>
        <v>0</v>
      </c>
      <c r="V45" s="53"/>
      <c r="W45" s="53"/>
      <c r="X45" s="32">
        <f t="shared" si="115"/>
        <v>0</v>
      </c>
      <c r="Y45" s="53"/>
      <c r="Z45" s="53"/>
      <c r="AA45" s="32">
        <f t="shared" si="116"/>
        <v>0</v>
      </c>
      <c r="AB45" s="53"/>
      <c r="AC45" s="53"/>
      <c r="AD45" s="32">
        <f t="shared" si="117"/>
        <v>0</v>
      </c>
      <c r="AE45" s="53"/>
      <c r="AF45" s="53"/>
      <c r="AG45" s="32">
        <f t="shared" si="118"/>
        <v>0</v>
      </c>
      <c r="AH45" s="53"/>
      <c r="AI45" s="53"/>
      <c r="AJ45" s="32">
        <f t="shared" si="119"/>
        <v>1.5329999999999999</v>
      </c>
      <c r="AK45" s="1097">
        <v>1.5329999999999999</v>
      </c>
      <c r="AL45" s="53"/>
      <c r="AM45" s="32">
        <f t="shared" si="120"/>
        <v>30.196999999999999</v>
      </c>
      <c r="AN45" s="1097">
        <v>30.196999999999999</v>
      </c>
      <c r="AO45" s="1097">
        <v>15.78</v>
      </c>
      <c r="AP45" s="32">
        <f t="shared" si="121"/>
        <v>20.786000000000001</v>
      </c>
      <c r="AQ45" s="1097">
        <v>36.566000000000003</v>
      </c>
      <c r="AR45" s="1097">
        <v>17.28</v>
      </c>
      <c r="AS45" s="32">
        <f t="shared" si="122"/>
        <v>21.802</v>
      </c>
      <c r="AT45" s="1097">
        <v>39.082000000000001</v>
      </c>
      <c r="AU45" s="1097">
        <v>18.690000000000001</v>
      </c>
      <c r="AV45" s="32">
        <f t="shared" si="123"/>
        <v>22.139999999999997</v>
      </c>
      <c r="AW45" s="1097">
        <v>40.83</v>
      </c>
      <c r="AX45" s="1097">
        <v>16.681999999999999</v>
      </c>
      <c r="AY45" s="32">
        <f t="shared" si="124"/>
        <v>26.912000000000003</v>
      </c>
      <c r="AZ45" s="1097">
        <v>43.594000000000001</v>
      </c>
      <c r="BA45" s="32">
        <f>IF(Assumptions!BA287&lt;&gt;"0",Assumptions!BA287,0)</f>
        <v>0</v>
      </c>
      <c r="BB45" s="32">
        <f t="shared" si="125"/>
        <v>82.063103999999996</v>
      </c>
      <c r="BC45" s="32">
        <f>IF(Assumptions!BC287&lt;&gt;"0",Assumptions!BC287,0)</f>
        <v>82.063103999999996</v>
      </c>
      <c r="BD45" s="1064">
        <v>49.003</v>
      </c>
      <c r="BE45" s="32">
        <f t="shared" si="126"/>
        <v>44.274000000000001</v>
      </c>
      <c r="BF45" s="1113">
        <v>93.277000000000001</v>
      </c>
      <c r="BG45" s="1095">
        <v>50.149000000000001</v>
      </c>
      <c r="BH45" s="32">
        <f t="shared" si="127"/>
        <v>42.379999999999995</v>
      </c>
      <c r="BI45" s="1113">
        <v>92.528999999999996</v>
      </c>
      <c r="BJ45" s="1095">
        <v>42.1</v>
      </c>
      <c r="BK45" s="32">
        <f t="shared" si="128"/>
        <v>59.088000000000001</v>
      </c>
      <c r="BL45" s="1113">
        <v>101.188</v>
      </c>
      <c r="BM45" s="1095">
        <v>75.477999999999994</v>
      </c>
      <c r="BN45" s="32">
        <f t="shared" si="129"/>
        <v>70.243000000000009</v>
      </c>
      <c r="BO45" s="1113">
        <v>145.721</v>
      </c>
      <c r="BP45" s="1095">
        <v>84.745999999999995</v>
      </c>
      <c r="BQ45" s="32">
        <f t="shared" si="137"/>
        <v>60.565000000000012</v>
      </c>
      <c r="BR45" s="1094">
        <f>190.846-45.535</f>
        <v>145.31100000000001</v>
      </c>
      <c r="BS45" s="1095">
        <v>84.745999999999995</v>
      </c>
      <c r="BT45" s="32">
        <f t="shared" si="138"/>
        <v>60.565000000000012</v>
      </c>
      <c r="BU45" s="1094">
        <f>190.846-45.535</f>
        <v>145.31100000000001</v>
      </c>
      <c r="BV45" s="1061">
        <f>IF(Assumptions!BV287&lt;&gt;"0",Assumptions!BV287,0)</f>
        <v>78.80117997827881</v>
      </c>
      <c r="BW45" s="32">
        <f t="shared" si="139"/>
        <v>96.523820021721207</v>
      </c>
      <c r="BX45" s="1094">
        <f>225.121-49.796</f>
        <v>175.32500000000002</v>
      </c>
      <c r="BY45" s="1061">
        <f>IF(Assumptions!BY287&lt;&gt;"0",Assumptions!BY287,0)</f>
        <v>91.735345980648688</v>
      </c>
      <c r="BZ45" s="32">
        <f t="shared" si="140"/>
        <v>87.090401813546876</v>
      </c>
      <c r="CA45" s="1094">
        <f>IF(Assumptions!CA287&lt;&gt;"0",Assumptions!CA287,0)</f>
        <v>178.82574779419556</v>
      </c>
      <c r="CB45" s="1061">
        <f>IF(Assumptions!CB287&lt;&gt;"0",Assumptions!CB287,0)</f>
        <v>106.66800382564118</v>
      </c>
      <c r="CC45" s="32">
        <f t="shared" si="141"/>
        <v>100.5244835868936</v>
      </c>
      <c r="CD45" s="1094">
        <f>IF(Assumptions!CD287&lt;&gt;"0",Assumptions!CD287,0)</f>
        <v>207.19248741253477</v>
      </c>
      <c r="CE45" s="1061">
        <f>IF(Assumptions!CE287&lt;&gt;"0",Assumptions!CE287,0)</f>
        <v>104.27909529692762</v>
      </c>
      <c r="CF45" s="32">
        <f t="shared" si="142"/>
        <v>112.0270068912737</v>
      </c>
      <c r="CG45" s="1094">
        <f>IF(Assumptions!CG287&lt;&gt;"0",Assumptions!CG287,0)</f>
        <v>216.30610218820132</v>
      </c>
      <c r="CH45" s="1061">
        <f>IF(Assumptions!CH287&lt;&gt;"0",Assumptions!CH287,0)</f>
        <v>0</v>
      </c>
      <c r="CI45" s="32">
        <f t="shared" si="143"/>
        <v>0</v>
      </c>
      <c r="CJ45" s="1094">
        <f>IF(Assumptions!CJ287&lt;&gt;"0",Assumptions!CJ287,0)</f>
        <v>0</v>
      </c>
      <c r="CK45" s="1061">
        <f>IF(Assumptions!CK287&lt;&gt;"0",Assumptions!CK287,0)</f>
        <v>0</v>
      </c>
      <c r="CL45" s="32">
        <f t="shared" si="144"/>
        <v>0</v>
      </c>
      <c r="CM45" s="1094">
        <f>IF(Assumptions!CM287&lt;&gt;"0",Assumptions!CM287,0)</f>
        <v>0</v>
      </c>
      <c r="CN45" s="1061">
        <f>IF(Assumptions!CN287&lt;&gt;"0",Assumptions!CN287,0)</f>
        <v>0</v>
      </c>
      <c r="CO45" s="32">
        <f t="shared" si="145"/>
        <v>0</v>
      </c>
      <c r="CP45" s="1094">
        <f>IF(Assumptions!CP287&lt;&gt;"0",Assumptions!CP287,0)</f>
        <v>0</v>
      </c>
      <c r="CQ45" s="1061">
        <f>IF(Assumptions!CQ287&lt;&gt;"0",Assumptions!CQ287,0)</f>
        <v>0</v>
      </c>
      <c r="CR45" s="32">
        <f t="shared" si="146"/>
        <v>0</v>
      </c>
      <c r="CS45" s="1094">
        <f>IF(Assumptions!CS287&lt;&gt;"0",Assumptions!CS287,0)</f>
        <v>0</v>
      </c>
      <c r="CT45" s="1061">
        <f>IF(Assumptions!CT287&lt;&gt;"0",Assumptions!CT287,0)</f>
        <v>0</v>
      </c>
      <c r="CU45" s="32">
        <f t="shared" si="147"/>
        <v>0</v>
      </c>
      <c r="CV45" s="1094">
        <f>IF(Assumptions!CV287&lt;&gt;"0",Assumptions!CV287,0)</f>
        <v>0</v>
      </c>
      <c r="CW45" s="1061">
        <f>IF(Assumptions!CW287&lt;&gt;"0",Assumptions!CW287,0)</f>
        <v>0</v>
      </c>
      <c r="CX45" s="32">
        <f t="shared" si="148"/>
        <v>0</v>
      </c>
      <c r="CY45" s="1094">
        <f>IF(Assumptions!CY287&lt;&gt;"0",Assumptions!CY287,0)</f>
        <v>0</v>
      </c>
      <c r="CZ45" s="1061">
        <f>IF(Assumptions!CZ287&lt;&gt;"0",Assumptions!CZ287,0)</f>
        <v>0</v>
      </c>
      <c r="DA45" s="32">
        <f t="shared" si="149"/>
        <v>0</v>
      </c>
      <c r="DB45" s="1094">
        <f>IF(Assumptions!DB287&lt;&gt;"0",Assumptions!DB287,0)</f>
        <v>0</v>
      </c>
      <c r="DC45" s="1061">
        <f>IF(Assumptions!DC287&lt;&gt;"0",Assumptions!DC287,0)</f>
        <v>0</v>
      </c>
      <c r="DD45" s="32">
        <f t="shared" si="150"/>
        <v>0</v>
      </c>
      <c r="DE45" s="1096">
        <f>IF(Assumptions!DE287&lt;&gt;"0",Assumptions!DE287,0)</f>
        <v>0</v>
      </c>
      <c r="DF45" s="1061">
        <f>IF(Assumptions!DF287&lt;&gt;"0",Assumptions!DF287,0)</f>
        <v>0</v>
      </c>
      <c r="DG45" s="32">
        <f t="shared" si="151"/>
        <v>0</v>
      </c>
      <c r="DH45" s="1096">
        <f>IF(Assumptions!DH287&lt;&gt;"0",Assumptions!DH287,0)</f>
        <v>0</v>
      </c>
      <c r="DI45" s="1061">
        <f>IF(Assumptions!DI287&lt;&gt;"0",Assumptions!DI287,0)</f>
        <v>0</v>
      </c>
      <c r="DJ45" s="32">
        <f t="shared" si="152"/>
        <v>0</v>
      </c>
      <c r="DK45" s="1096">
        <f>IF(Assumptions!DK287&lt;&gt;"0",Assumptions!DK287,0)</f>
        <v>0</v>
      </c>
      <c r="DL45" s="32">
        <f>IF(Assumptions!DL287&lt;&gt;"0",Assumptions!DL287,0)</f>
        <v>0</v>
      </c>
      <c r="DM45" s="32">
        <f t="shared" si="153"/>
        <v>0</v>
      </c>
      <c r="DN45" s="1061">
        <f>IF(Assumptions!DN287&lt;&gt;"0",Assumptions!DN287,0)</f>
        <v>0</v>
      </c>
      <c r="DO45" s="32">
        <f>IF(Assumptions!DO287&lt;&gt;"0",Assumptions!DO287,0)</f>
        <v>0</v>
      </c>
      <c r="DP45" s="32">
        <f t="shared" si="154"/>
        <v>0</v>
      </c>
      <c r="DQ45" s="1061">
        <f>IF(Assumptions!DQ287&lt;&gt;"0",Assumptions!DQ287,0)</f>
        <v>0</v>
      </c>
      <c r="DR45" s="1062">
        <f>IF(Assumptions!DR287&lt;&gt;"0",Assumptions!DR287,0)</f>
        <v>0</v>
      </c>
      <c r="DS45" s="1062">
        <f t="shared" si="155"/>
        <v>0</v>
      </c>
      <c r="DT45" s="1063">
        <f>IF(Assumptions!DT287&lt;&gt;"0",Assumptions!DT287,0)</f>
        <v>0</v>
      </c>
      <c r="DU45" s="32">
        <f>IF(Assumptions!DU287&lt;&gt;"0",Assumptions!DU287,0)</f>
        <v>0</v>
      </c>
      <c r="DV45" s="1062">
        <f t="shared" si="156"/>
        <v>0</v>
      </c>
      <c r="DW45" s="1063">
        <f>IF(Assumptions!DW287&lt;&gt;"0",Assumptions!DW287,0)</f>
        <v>0</v>
      </c>
      <c r="DX45" s="32">
        <f>IF(Assumptions!DX287&lt;&gt;"0",Assumptions!DX287,0)</f>
        <v>0</v>
      </c>
      <c r="DY45" s="32">
        <f t="shared" si="157"/>
        <v>0</v>
      </c>
      <c r="DZ45" s="1061">
        <f>IF(Assumptions!DZ287&lt;&gt;"0",Assumptions!DZ287,0)</f>
        <v>0</v>
      </c>
      <c r="EA45" s="32">
        <f>IF(Assumptions!EA287&lt;&gt;"0",Assumptions!EA287,0)</f>
        <v>0</v>
      </c>
      <c r="EB45" s="32">
        <f t="shared" si="158"/>
        <v>0</v>
      </c>
      <c r="EC45" s="1061">
        <f>IF(Assumptions!EC287&lt;&gt;"0",Assumptions!EC287,0)</f>
        <v>0</v>
      </c>
      <c r="ED45" s="32">
        <f>IF(Assumptions!ED287&lt;&gt;"0",Assumptions!ED287,0)</f>
        <v>0</v>
      </c>
      <c r="EE45" s="32">
        <f t="shared" si="159"/>
        <v>0</v>
      </c>
      <c r="EF45" s="1061">
        <f>IF(Assumptions!EF287&lt;&gt;"0",Assumptions!EF287,0)</f>
        <v>0</v>
      </c>
      <c r="EG45" s="32">
        <f>IF(Assumptions!EG287&lt;&gt;"0",Assumptions!EG287,0)</f>
        <v>0</v>
      </c>
      <c r="EH45" s="32">
        <f t="shared" si="160"/>
        <v>0</v>
      </c>
      <c r="EI45" s="1061">
        <f>IF(Assumptions!EI287&lt;&gt;"0",Assumptions!EI287,0)</f>
        <v>0</v>
      </c>
      <c r="EJ45" s="32">
        <f>IF(Assumptions!EJ287&lt;&gt;"0",Assumptions!EJ287,0)</f>
        <v>0</v>
      </c>
      <c r="EK45" s="32">
        <f t="shared" si="161"/>
        <v>0</v>
      </c>
      <c r="EL45" s="1061">
        <f>IF(Assumptions!EL287&lt;&gt;"0",Assumptions!EL287,0)</f>
        <v>0</v>
      </c>
      <c r="EM45" s="32">
        <f>IF(Assumptions!EM287&lt;&gt;"0",Assumptions!EM287,0)</f>
        <v>0</v>
      </c>
      <c r="EN45" s="32">
        <f t="shared" si="162"/>
        <v>0</v>
      </c>
      <c r="EO45" s="1061">
        <f>IF(Assumptions!EO287&lt;&gt;"0",Assumptions!EO287,0)</f>
        <v>0</v>
      </c>
      <c r="EP45" s="32">
        <f>IF(Assumptions!EP287&lt;&gt;"0",Assumptions!EP287,0)</f>
        <v>0</v>
      </c>
      <c r="EQ45" s="32">
        <f t="shared" si="163"/>
        <v>0</v>
      </c>
      <c r="ER45" s="1061">
        <f>IF(Assumptions!ER287&lt;&gt;"0",Assumptions!ER287,0)</f>
        <v>0</v>
      </c>
      <c r="ES45" s="32">
        <f>IF(Assumptions!ES287&lt;&gt;"0",Assumptions!ES287,0)</f>
        <v>0</v>
      </c>
      <c r="ET45" s="32">
        <f t="shared" si="164"/>
        <v>0</v>
      </c>
      <c r="EU45" s="1061">
        <f>IF(Assumptions!EU287&lt;&gt;"0",Assumptions!EU287,0)</f>
        <v>0</v>
      </c>
      <c r="EV45" s="32">
        <f>IF(Assumptions!EV287&lt;&gt;"0",Assumptions!EV287,0)</f>
        <v>0</v>
      </c>
      <c r="EW45" s="32">
        <f t="shared" si="165"/>
        <v>0</v>
      </c>
      <c r="EX45" s="1061">
        <f>IF(Assumptions!EX287&lt;&gt;"0",Assumptions!EX287,0)</f>
        <v>0</v>
      </c>
      <c r="EY45" s="32">
        <f>IF(Assumptions!EY287&lt;&gt;"0",Assumptions!EY287,0)</f>
        <v>0</v>
      </c>
      <c r="EZ45" s="32">
        <f t="shared" si="166"/>
        <v>0</v>
      </c>
      <c r="FA45" s="1061">
        <f>IF(Assumptions!FA287&lt;&gt;"0",Assumptions!FA287,0)</f>
        <v>0</v>
      </c>
      <c r="FD45"/>
      <c r="FE45"/>
      <c r="FF45"/>
      <c r="FG45"/>
      <c r="FH45"/>
      <c r="FI45"/>
    </row>
    <row r="46" spans="2:165" s="33" customFormat="1" outlineLevel="1">
      <c r="B46" s="54" t="s">
        <v>218</v>
      </c>
      <c r="D46" s="2" t="s">
        <v>506</v>
      </c>
      <c r="E46" s="53"/>
      <c r="F46" s="32">
        <f t="shared" si="109"/>
        <v>0</v>
      </c>
      <c r="G46" s="53"/>
      <c r="H46" s="53"/>
      <c r="I46" s="32">
        <f t="shared" si="110"/>
        <v>0</v>
      </c>
      <c r="J46" s="53"/>
      <c r="K46" s="53"/>
      <c r="L46" s="32">
        <f t="shared" si="111"/>
        <v>0</v>
      </c>
      <c r="M46" s="53"/>
      <c r="N46" s="53"/>
      <c r="O46" s="32">
        <f t="shared" si="112"/>
        <v>0</v>
      </c>
      <c r="P46" s="53"/>
      <c r="Q46" s="53"/>
      <c r="R46" s="32">
        <f t="shared" si="113"/>
        <v>0</v>
      </c>
      <c r="S46" s="53"/>
      <c r="T46" s="53"/>
      <c r="U46" s="32">
        <f t="shared" si="114"/>
        <v>0</v>
      </c>
      <c r="V46" s="53"/>
      <c r="W46" s="53"/>
      <c r="X46" s="32">
        <f t="shared" si="115"/>
        <v>0</v>
      </c>
      <c r="Y46" s="53"/>
      <c r="Z46" s="53"/>
      <c r="AA46" s="32">
        <f t="shared" si="116"/>
        <v>0</v>
      </c>
      <c r="AB46" s="53"/>
      <c r="AC46" s="53"/>
      <c r="AD46" s="32">
        <f t="shared" si="117"/>
        <v>0</v>
      </c>
      <c r="AE46" s="53"/>
      <c r="AF46" s="53"/>
      <c r="AG46" s="32">
        <f t="shared" si="118"/>
        <v>0</v>
      </c>
      <c r="AH46" s="53"/>
      <c r="AI46" s="53"/>
      <c r="AJ46" s="32">
        <f t="shared" si="119"/>
        <v>0.02</v>
      </c>
      <c r="AK46" s="1097">
        <v>0.02</v>
      </c>
      <c r="AL46" s="53"/>
      <c r="AM46" s="32">
        <f t="shared" si="120"/>
        <v>-0.35</v>
      </c>
      <c r="AN46" s="1097">
        <v>-0.35</v>
      </c>
      <c r="AO46" s="53"/>
      <c r="AP46" s="32">
        <f t="shared" si="121"/>
        <v>0</v>
      </c>
      <c r="AQ46" s="53"/>
      <c r="AR46" s="53"/>
      <c r="AS46" s="32">
        <f t="shared" si="122"/>
        <v>-0.246</v>
      </c>
      <c r="AT46" s="1097">
        <v>-0.246</v>
      </c>
      <c r="AU46" s="53"/>
      <c r="AV46" s="32">
        <f t="shared" si="123"/>
        <v>0.215</v>
      </c>
      <c r="AW46" s="1097">
        <v>0.215</v>
      </c>
      <c r="AX46" s="53"/>
      <c r="AY46" s="32">
        <f t="shared" si="124"/>
        <v>2.3E-2</v>
      </c>
      <c r="AZ46" s="1097">
        <v>2.3E-2</v>
      </c>
      <c r="BA46" s="53"/>
      <c r="BB46" s="32">
        <f t="shared" si="125"/>
        <v>-0.19700000000000001</v>
      </c>
      <c r="BC46" s="1097">
        <v>-0.19700000000000001</v>
      </c>
      <c r="BD46" s="53"/>
      <c r="BE46" s="32">
        <f t="shared" si="126"/>
        <v>0</v>
      </c>
      <c r="BF46" s="1100">
        <v>0</v>
      </c>
      <c r="BG46" s="1088"/>
      <c r="BH46" s="32">
        <f t="shared" si="127"/>
        <v>0</v>
      </c>
      <c r="BI46" s="1100">
        <v>0</v>
      </c>
      <c r="BJ46" s="1099">
        <v>0</v>
      </c>
      <c r="BK46" s="32">
        <f t="shared" si="128"/>
        <v>0</v>
      </c>
      <c r="BL46" s="1098"/>
      <c r="BM46" s="1099">
        <v>0</v>
      </c>
      <c r="BN46" s="32">
        <f t="shared" si="129"/>
        <v>0</v>
      </c>
      <c r="BO46" s="1098"/>
      <c r="BP46" s="1088"/>
      <c r="BQ46" s="32">
        <f t="shared" si="137"/>
        <v>0</v>
      </c>
      <c r="BR46" s="1100">
        <v>0</v>
      </c>
      <c r="BS46" s="1088"/>
      <c r="BT46" s="32">
        <f t="shared" si="138"/>
        <v>0</v>
      </c>
      <c r="BU46" s="1100">
        <v>0</v>
      </c>
      <c r="BV46" s="1088"/>
      <c r="BW46" s="32">
        <f t="shared" si="139"/>
        <v>0</v>
      </c>
      <c r="BX46" s="1100">
        <v>0</v>
      </c>
      <c r="BY46" s="1088"/>
      <c r="BZ46" s="32">
        <f t="shared" si="140"/>
        <v>0</v>
      </c>
      <c r="CA46" s="1100">
        <v>0</v>
      </c>
      <c r="CB46" s="1088"/>
      <c r="CC46" s="32">
        <f t="shared" si="141"/>
        <v>0</v>
      </c>
      <c r="CD46" s="1100">
        <v>0</v>
      </c>
      <c r="CE46" s="1088"/>
      <c r="CF46" s="32">
        <f t="shared" si="142"/>
        <v>0</v>
      </c>
      <c r="CG46" s="1100">
        <v>0</v>
      </c>
      <c r="CH46" s="1088"/>
      <c r="CI46" s="32">
        <f t="shared" si="143"/>
        <v>0</v>
      </c>
      <c r="CJ46" s="1100">
        <v>0</v>
      </c>
      <c r="CK46" s="1088"/>
      <c r="CL46" s="32">
        <f t="shared" si="144"/>
        <v>0</v>
      </c>
      <c r="CM46" s="1100">
        <v>0</v>
      </c>
      <c r="CN46" s="1088"/>
      <c r="CO46" s="32">
        <f t="shared" si="145"/>
        <v>0</v>
      </c>
      <c r="CP46" s="1100">
        <v>0</v>
      </c>
      <c r="CQ46" s="1088"/>
      <c r="CR46" s="32">
        <f t="shared" si="146"/>
        <v>0</v>
      </c>
      <c r="CS46" s="1100">
        <v>0</v>
      </c>
      <c r="CT46" s="1088"/>
      <c r="CU46" s="32">
        <f t="shared" si="147"/>
        <v>0</v>
      </c>
      <c r="CV46" s="1100">
        <v>0</v>
      </c>
      <c r="CW46" s="1088"/>
      <c r="CX46" s="32">
        <f t="shared" si="148"/>
        <v>0</v>
      </c>
      <c r="CY46" s="1100">
        <v>0</v>
      </c>
      <c r="CZ46" s="1088"/>
      <c r="DA46" s="32">
        <f t="shared" si="149"/>
        <v>0</v>
      </c>
      <c r="DB46" s="1100">
        <v>0</v>
      </c>
      <c r="DC46" s="1088"/>
      <c r="DD46" s="32">
        <f t="shared" si="150"/>
        <v>0</v>
      </c>
      <c r="DE46" s="1114">
        <v>0</v>
      </c>
      <c r="DF46" s="1088"/>
      <c r="DG46" s="32">
        <f t="shared" si="151"/>
        <v>0</v>
      </c>
      <c r="DH46" s="1114">
        <v>0</v>
      </c>
      <c r="DI46" s="1088"/>
      <c r="DJ46" s="32">
        <f t="shared" si="152"/>
        <v>0</v>
      </c>
      <c r="DK46" s="1114">
        <v>0</v>
      </c>
      <c r="DL46" s="53"/>
      <c r="DM46" s="32">
        <f t="shared" si="153"/>
        <v>0</v>
      </c>
      <c r="DN46" s="1099">
        <v>0</v>
      </c>
      <c r="DO46" s="53"/>
      <c r="DP46" s="32">
        <f t="shared" si="154"/>
        <v>0</v>
      </c>
      <c r="DQ46" s="1099">
        <v>0</v>
      </c>
      <c r="DR46" s="1682"/>
      <c r="DS46" s="1062">
        <f t="shared" si="155"/>
        <v>0</v>
      </c>
      <c r="DT46" s="1115">
        <v>0</v>
      </c>
      <c r="DU46" s="53"/>
      <c r="DV46" s="1062">
        <f t="shared" si="156"/>
        <v>0</v>
      </c>
      <c r="DW46" s="1115">
        <v>0</v>
      </c>
      <c r="DX46" s="53"/>
      <c r="DY46" s="32">
        <f t="shared" si="157"/>
        <v>0</v>
      </c>
      <c r="DZ46" s="1099">
        <v>0</v>
      </c>
      <c r="EA46" s="53"/>
      <c r="EB46" s="32">
        <f t="shared" si="158"/>
        <v>0</v>
      </c>
      <c r="EC46" s="1099">
        <v>0</v>
      </c>
      <c r="ED46" s="53"/>
      <c r="EE46" s="32">
        <f t="shared" si="159"/>
        <v>0</v>
      </c>
      <c r="EF46" s="1099">
        <v>0</v>
      </c>
      <c r="EG46" s="53"/>
      <c r="EH46" s="32">
        <f t="shared" si="160"/>
        <v>0</v>
      </c>
      <c r="EI46" s="1099">
        <v>0</v>
      </c>
      <c r="EJ46" s="53"/>
      <c r="EK46" s="32">
        <f t="shared" si="161"/>
        <v>0</v>
      </c>
      <c r="EL46" s="1099">
        <v>0</v>
      </c>
      <c r="EM46" s="53"/>
      <c r="EN46" s="32">
        <f t="shared" si="162"/>
        <v>0</v>
      </c>
      <c r="EO46" s="1099">
        <v>0</v>
      </c>
      <c r="EP46" s="53"/>
      <c r="EQ46" s="32">
        <f t="shared" si="163"/>
        <v>0</v>
      </c>
      <c r="ER46" s="1099">
        <v>0</v>
      </c>
      <c r="ES46" s="53"/>
      <c r="ET46" s="32">
        <f t="shared" si="164"/>
        <v>0</v>
      </c>
      <c r="EU46" s="1099">
        <v>0</v>
      </c>
      <c r="EV46" s="53"/>
      <c r="EW46" s="32">
        <f t="shared" si="165"/>
        <v>0</v>
      </c>
      <c r="EX46" s="1099">
        <v>0</v>
      </c>
      <c r="EY46" s="53"/>
      <c r="EZ46" s="32">
        <f t="shared" si="166"/>
        <v>0</v>
      </c>
      <c r="FA46" s="1099">
        <v>0</v>
      </c>
      <c r="FD46"/>
      <c r="FE46"/>
      <c r="FF46"/>
      <c r="FG46"/>
      <c r="FH46"/>
      <c r="FI46"/>
    </row>
    <row r="47" spans="2:165" s="33" customFormat="1" outlineLevel="1">
      <c r="B47" s="54" t="s">
        <v>219</v>
      </c>
      <c r="D47" s="2" t="s">
        <v>506</v>
      </c>
      <c r="E47" s="53"/>
      <c r="F47" s="32">
        <f t="shared" si="109"/>
        <v>0</v>
      </c>
      <c r="G47" s="53"/>
      <c r="H47" s="53"/>
      <c r="I47" s="32">
        <f t="shared" si="110"/>
        <v>0</v>
      </c>
      <c r="J47" s="53"/>
      <c r="K47" s="53"/>
      <c r="L47" s="32">
        <f t="shared" si="111"/>
        <v>0</v>
      </c>
      <c r="M47" s="53"/>
      <c r="N47" s="53"/>
      <c r="O47" s="32">
        <f t="shared" si="112"/>
        <v>0</v>
      </c>
      <c r="P47" s="53"/>
      <c r="Q47" s="53"/>
      <c r="R47" s="32">
        <f t="shared" si="113"/>
        <v>0</v>
      </c>
      <c r="S47" s="53"/>
      <c r="T47" s="53"/>
      <c r="U47" s="32">
        <f t="shared" si="114"/>
        <v>0</v>
      </c>
      <c r="V47" s="53"/>
      <c r="W47" s="53"/>
      <c r="X47" s="32">
        <f t="shared" si="115"/>
        <v>0</v>
      </c>
      <c r="Y47" s="53"/>
      <c r="Z47" s="53"/>
      <c r="AA47" s="32">
        <f t="shared" si="116"/>
        <v>0</v>
      </c>
      <c r="AB47" s="53"/>
      <c r="AC47" s="53"/>
      <c r="AD47" s="32">
        <f t="shared" si="117"/>
        <v>0</v>
      </c>
      <c r="AE47" s="53"/>
      <c r="AF47" s="53"/>
      <c r="AG47" s="32">
        <f t="shared" si="118"/>
        <v>0</v>
      </c>
      <c r="AH47" s="53"/>
      <c r="AI47" s="53"/>
      <c r="AJ47" s="32">
        <f t="shared" si="119"/>
        <v>0</v>
      </c>
      <c r="AK47" s="53"/>
      <c r="AL47" s="53"/>
      <c r="AM47" s="32">
        <f t="shared" si="120"/>
        <v>0.187</v>
      </c>
      <c r="AN47" s="1097">
        <v>0.187</v>
      </c>
      <c r="AO47" s="53"/>
      <c r="AP47" s="32">
        <f t="shared" si="121"/>
        <v>-0.9</v>
      </c>
      <c r="AQ47" s="1097">
        <v>-0.9</v>
      </c>
      <c r="AR47" s="53"/>
      <c r="AS47" s="32">
        <f t="shared" si="122"/>
        <v>0</v>
      </c>
      <c r="AT47" s="53"/>
      <c r="AU47" s="53"/>
      <c r="AV47" s="32">
        <f t="shared" si="123"/>
        <v>0</v>
      </c>
      <c r="AW47" s="1097">
        <v>0</v>
      </c>
      <c r="AX47" s="53"/>
      <c r="AY47" s="32">
        <f t="shared" si="124"/>
        <v>0.03</v>
      </c>
      <c r="AZ47" s="1097">
        <v>0.03</v>
      </c>
      <c r="BA47" s="53"/>
      <c r="BB47" s="32">
        <f t="shared" si="125"/>
        <v>0</v>
      </c>
      <c r="BC47" s="1097">
        <v>0</v>
      </c>
      <c r="BD47" s="53"/>
      <c r="BE47" s="32">
        <f t="shared" si="126"/>
        <v>0</v>
      </c>
      <c r="BF47" s="1100">
        <v>0</v>
      </c>
      <c r="BG47" s="1088"/>
      <c r="BH47" s="32">
        <f t="shared" si="127"/>
        <v>0</v>
      </c>
      <c r="BI47" s="1100">
        <v>0</v>
      </c>
      <c r="BJ47" s="1088"/>
      <c r="BK47" s="32">
        <f t="shared" si="128"/>
        <v>0</v>
      </c>
      <c r="BL47" s="1100">
        <v>0</v>
      </c>
      <c r="BM47" s="1088"/>
      <c r="BN47" s="32">
        <f t="shared" si="129"/>
        <v>0</v>
      </c>
      <c r="BO47" s="1100">
        <v>0</v>
      </c>
      <c r="BP47" s="1088"/>
      <c r="BQ47" s="32">
        <f t="shared" si="137"/>
        <v>0</v>
      </c>
      <c r="BR47" s="1100">
        <v>0</v>
      </c>
      <c r="BS47" s="1088"/>
      <c r="BT47" s="32">
        <f t="shared" si="138"/>
        <v>0</v>
      </c>
      <c r="BU47" s="1100">
        <v>0</v>
      </c>
      <c r="BV47" s="1088"/>
      <c r="BW47" s="32">
        <f t="shared" si="139"/>
        <v>0</v>
      </c>
      <c r="BX47" s="1100">
        <v>0</v>
      </c>
      <c r="BY47" s="1088"/>
      <c r="BZ47" s="32">
        <f t="shared" si="140"/>
        <v>0</v>
      </c>
      <c r="CA47" s="1100">
        <v>0</v>
      </c>
      <c r="CB47" s="1088"/>
      <c r="CC47" s="32">
        <f t="shared" si="141"/>
        <v>0</v>
      </c>
      <c r="CD47" s="1100">
        <v>0</v>
      </c>
      <c r="CE47" s="1088"/>
      <c r="CF47" s="32">
        <f t="shared" si="142"/>
        <v>0</v>
      </c>
      <c r="CG47" s="1100">
        <v>0</v>
      </c>
      <c r="CH47" s="1088"/>
      <c r="CI47" s="32">
        <f t="shared" si="143"/>
        <v>0</v>
      </c>
      <c r="CJ47" s="1100">
        <v>0</v>
      </c>
      <c r="CK47" s="1088"/>
      <c r="CL47" s="32">
        <f t="shared" si="144"/>
        <v>0</v>
      </c>
      <c r="CM47" s="1100">
        <v>0</v>
      </c>
      <c r="CN47" s="1088"/>
      <c r="CO47" s="32">
        <f t="shared" si="145"/>
        <v>0</v>
      </c>
      <c r="CP47" s="1100">
        <v>0</v>
      </c>
      <c r="CQ47" s="1088"/>
      <c r="CR47" s="32">
        <f t="shared" si="146"/>
        <v>0</v>
      </c>
      <c r="CS47" s="1100">
        <v>0</v>
      </c>
      <c r="CT47" s="1088"/>
      <c r="CU47" s="32">
        <f t="shared" si="147"/>
        <v>0</v>
      </c>
      <c r="CV47" s="1100">
        <v>0</v>
      </c>
      <c r="CW47" s="1088"/>
      <c r="CX47" s="32">
        <f t="shared" si="148"/>
        <v>0</v>
      </c>
      <c r="CY47" s="1100">
        <v>0</v>
      </c>
      <c r="CZ47" s="1088"/>
      <c r="DA47" s="32">
        <f t="shared" si="149"/>
        <v>0</v>
      </c>
      <c r="DB47" s="1100">
        <v>0</v>
      </c>
      <c r="DC47" s="1088"/>
      <c r="DD47" s="32">
        <f t="shared" si="150"/>
        <v>0</v>
      </c>
      <c r="DE47" s="1114">
        <v>0</v>
      </c>
      <c r="DF47" s="1088"/>
      <c r="DG47" s="32">
        <f t="shared" si="151"/>
        <v>0</v>
      </c>
      <c r="DH47" s="1114">
        <v>0</v>
      </c>
      <c r="DI47" s="1088"/>
      <c r="DJ47" s="32">
        <f t="shared" si="152"/>
        <v>0</v>
      </c>
      <c r="DK47" s="1114">
        <v>0</v>
      </c>
      <c r="DL47" s="53"/>
      <c r="DM47" s="32">
        <f t="shared" si="153"/>
        <v>0</v>
      </c>
      <c r="DN47" s="1099">
        <v>0</v>
      </c>
      <c r="DO47" s="53"/>
      <c r="DP47" s="32">
        <f t="shared" si="154"/>
        <v>0</v>
      </c>
      <c r="DQ47" s="1099">
        <v>0</v>
      </c>
      <c r="DR47" s="1682"/>
      <c r="DS47" s="1062">
        <f t="shared" si="155"/>
        <v>0</v>
      </c>
      <c r="DT47" s="1115">
        <v>0</v>
      </c>
      <c r="DU47" s="53"/>
      <c r="DV47" s="1062">
        <f t="shared" si="156"/>
        <v>0</v>
      </c>
      <c r="DW47" s="1115">
        <v>0</v>
      </c>
      <c r="DX47" s="53"/>
      <c r="DY47" s="32">
        <f t="shared" si="157"/>
        <v>0</v>
      </c>
      <c r="DZ47" s="1099">
        <v>0</v>
      </c>
      <c r="EA47" s="53"/>
      <c r="EB47" s="32">
        <f t="shared" si="158"/>
        <v>0</v>
      </c>
      <c r="EC47" s="1099">
        <v>0</v>
      </c>
      <c r="ED47" s="53"/>
      <c r="EE47" s="32">
        <f t="shared" si="159"/>
        <v>0</v>
      </c>
      <c r="EF47" s="1099">
        <v>0</v>
      </c>
      <c r="EG47" s="53"/>
      <c r="EH47" s="32">
        <f t="shared" si="160"/>
        <v>0</v>
      </c>
      <c r="EI47" s="1099">
        <v>0</v>
      </c>
      <c r="EJ47" s="53"/>
      <c r="EK47" s="32">
        <f t="shared" si="161"/>
        <v>0</v>
      </c>
      <c r="EL47" s="1099">
        <v>0</v>
      </c>
      <c r="EM47" s="53"/>
      <c r="EN47" s="32">
        <f t="shared" si="162"/>
        <v>0</v>
      </c>
      <c r="EO47" s="1099">
        <v>0</v>
      </c>
      <c r="EP47" s="53"/>
      <c r="EQ47" s="32">
        <f t="shared" si="163"/>
        <v>0</v>
      </c>
      <c r="ER47" s="1099">
        <v>0</v>
      </c>
      <c r="ES47" s="53"/>
      <c r="ET47" s="32">
        <f t="shared" si="164"/>
        <v>0</v>
      </c>
      <c r="EU47" s="1099">
        <v>0</v>
      </c>
      <c r="EV47" s="53"/>
      <c r="EW47" s="32">
        <f t="shared" si="165"/>
        <v>0</v>
      </c>
      <c r="EX47" s="1099">
        <v>0</v>
      </c>
      <c r="EY47" s="53"/>
      <c r="EZ47" s="32">
        <f t="shared" si="166"/>
        <v>0</v>
      </c>
      <c r="FA47" s="1099">
        <v>0</v>
      </c>
      <c r="FD47"/>
      <c r="FE47"/>
      <c r="FF47"/>
      <c r="FG47"/>
      <c r="FH47"/>
      <c r="FI47"/>
    </row>
    <row r="48" spans="2:165" s="33" customFormat="1" outlineLevel="1">
      <c r="B48" s="54" t="s">
        <v>184</v>
      </c>
      <c r="D48" s="2" t="s">
        <v>506</v>
      </c>
      <c r="E48" s="53"/>
      <c r="F48" s="32">
        <f t="shared" si="109"/>
        <v>0</v>
      </c>
      <c r="G48" s="53"/>
      <c r="H48" s="53"/>
      <c r="I48" s="32">
        <f t="shared" si="110"/>
        <v>0</v>
      </c>
      <c r="J48" s="53"/>
      <c r="K48" s="53"/>
      <c r="L48" s="32">
        <f t="shared" si="111"/>
        <v>0</v>
      </c>
      <c r="M48" s="53"/>
      <c r="N48" s="53"/>
      <c r="O48" s="32">
        <f t="shared" si="112"/>
        <v>0</v>
      </c>
      <c r="P48" s="53"/>
      <c r="Q48" s="53"/>
      <c r="R48" s="32">
        <f t="shared" si="113"/>
        <v>0</v>
      </c>
      <c r="S48" s="53"/>
      <c r="T48" s="53"/>
      <c r="U48" s="32">
        <f t="shared" si="114"/>
        <v>0</v>
      </c>
      <c r="V48" s="53"/>
      <c r="W48" s="53"/>
      <c r="X48" s="32">
        <f t="shared" si="115"/>
        <v>0</v>
      </c>
      <c r="Y48" s="53"/>
      <c r="Z48" s="53"/>
      <c r="AA48" s="32">
        <f t="shared" si="116"/>
        <v>0</v>
      </c>
      <c r="AB48" s="53"/>
      <c r="AC48" s="53"/>
      <c r="AD48" s="32">
        <f t="shared" si="117"/>
        <v>0</v>
      </c>
      <c r="AE48" s="53"/>
      <c r="AF48" s="53"/>
      <c r="AG48" s="32">
        <f t="shared" si="118"/>
        <v>0</v>
      </c>
      <c r="AH48" s="53"/>
      <c r="AI48" s="53"/>
      <c r="AJ48" s="32">
        <f t="shared" si="119"/>
        <v>3.4000000000000002E-2</v>
      </c>
      <c r="AK48" s="1097">
        <v>3.4000000000000002E-2</v>
      </c>
      <c r="AL48" s="53"/>
      <c r="AM48" s="32">
        <f t="shared" si="120"/>
        <v>15.747</v>
      </c>
      <c r="AN48" s="1097">
        <v>15.747</v>
      </c>
      <c r="AO48" s="53"/>
      <c r="AP48" s="32">
        <f t="shared" si="121"/>
        <v>19.143999999999998</v>
      </c>
      <c r="AQ48" s="1097">
        <v>19.143999999999998</v>
      </c>
      <c r="AR48" s="53"/>
      <c r="AS48" s="32">
        <f t="shared" si="122"/>
        <v>14.635</v>
      </c>
      <c r="AT48" s="1097">
        <v>14.635</v>
      </c>
      <c r="AU48" s="53"/>
      <c r="AV48" s="32">
        <f t="shared" si="123"/>
        <v>17.032</v>
      </c>
      <c r="AW48" s="1097">
        <v>17.032</v>
      </c>
      <c r="AX48" s="53"/>
      <c r="AY48" s="32">
        <f t="shared" si="124"/>
        <v>18.172000000000001</v>
      </c>
      <c r="AZ48" s="1097">
        <v>18.172000000000001</v>
      </c>
      <c r="BA48" s="53">
        <f>BC48/2</f>
        <v>14.959420000000001</v>
      </c>
      <c r="BB48" s="32">
        <f t="shared" si="125"/>
        <v>14.959420000000001</v>
      </c>
      <c r="BC48" s="53">
        <f>0.035*BC30</f>
        <v>29.918840000000003</v>
      </c>
      <c r="BD48" s="1097">
        <v>0</v>
      </c>
      <c r="BE48" s="32">
        <f t="shared" si="126"/>
        <v>0</v>
      </c>
      <c r="BF48" s="1100">
        <v>0</v>
      </c>
      <c r="BG48" s="1088">
        <f>BI48/2</f>
        <v>0</v>
      </c>
      <c r="BH48" s="32">
        <f t="shared" si="127"/>
        <v>0</v>
      </c>
      <c r="BI48" s="1100">
        <v>0</v>
      </c>
      <c r="BJ48" s="1099">
        <v>0</v>
      </c>
      <c r="BK48" s="32">
        <f t="shared" si="128"/>
        <v>0</v>
      </c>
      <c r="BL48" s="1100">
        <v>0</v>
      </c>
      <c r="BM48" s="1099">
        <v>0</v>
      </c>
      <c r="BN48" s="32">
        <f t="shared" si="129"/>
        <v>0</v>
      </c>
      <c r="BO48" s="1100">
        <v>0</v>
      </c>
      <c r="BP48" s="1099">
        <v>0</v>
      </c>
      <c r="BQ48" s="32">
        <f t="shared" si="137"/>
        <v>0</v>
      </c>
      <c r="BR48" s="1100">
        <v>0</v>
      </c>
      <c r="BS48" s="1099">
        <v>0</v>
      </c>
      <c r="BT48" s="32">
        <f t="shared" si="138"/>
        <v>0</v>
      </c>
      <c r="BU48" s="1100">
        <v>0</v>
      </c>
      <c r="BV48" s="1099">
        <v>0</v>
      </c>
      <c r="BW48" s="32">
        <f t="shared" si="139"/>
        <v>0</v>
      </c>
      <c r="BX48" s="1100">
        <v>0</v>
      </c>
      <c r="BY48" s="1099">
        <v>0</v>
      </c>
      <c r="BZ48" s="32">
        <f t="shared" si="140"/>
        <v>0</v>
      </c>
      <c r="CA48" s="1100">
        <v>0</v>
      </c>
      <c r="CB48" s="1099">
        <v>0</v>
      </c>
      <c r="CC48" s="32">
        <f t="shared" si="141"/>
        <v>0</v>
      </c>
      <c r="CD48" s="1100">
        <v>0</v>
      </c>
      <c r="CE48" s="1099">
        <v>0</v>
      </c>
      <c r="CF48" s="32">
        <f t="shared" si="142"/>
        <v>0</v>
      </c>
      <c r="CG48" s="1100">
        <v>0</v>
      </c>
      <c r="CH48" s="1099">
        <v>0</v>
      </c>
      <c r="CI48" s="32">
        <f t="shared" si="143"/>
        <v>0</v>
      </c>
      <c r="CJ48" s="1100">
        <v>0</v>
      </c>
      <c r="CK48" s="1099">
        <v>0</v>
      </c>
      <c r="CL48" s="32">
        <f t="shared" si="144"/>
        <v>0</v>
      </c>
      <c r="CM48" s="1100">
        <v>0</v>
      </c>
      <c r="CN48" s="1099">
        <v>0</v>
      </c>
      <c r="CO48" s="32">
        <f t="shared" si="145"/>
        <v>0</v>
      </c>
      <c r="CP48" s="1100">
        <v>0</v>
      </c>
      <c r="CQ48" s="1099">
        <v>0</v>
      </c>
      <c r="CR48" s="32">
        <f t="shared" si="146"/>
        <v>0</v>
      </c>
      <c r="CS48" s="1100">
        <v>0</v>
      </c>
      <c r="CT48" s="1099">
        <v>0</v>
      </c>
      <c r="CU48" s="32">
        <f t="shared" si="147"/>
        <v>0</v>
      </c>
      <c r="CV48" s="1100">
        <v>0</v>
      </c>
      <c r="CW48" s="1099">
        <v>0</v>
      </c>
      <c r="CX48" s="32">
        <f t="shared" si="148"/>
        <v>0</v>
      </c>
      <c r="CY48" s="1100">
        <v>0</v>
      </c>
      <c r="CZ48" s="1099">
        <v>0</v>
      </c>
      <c r="DA48" s="32">
        <f t="shared" si="149"/>
        <v>0</v>
      </c>
      <c r="DB48" s="1100">
        <v>0</v>
      </c>
      <c r="DC48" s="1099">
        <v>0</v>
      </c>
      <c r="DD48" s="32">
        <f t="shared" si="150"/>
        <v>0</v>
      </c>
      <c r="DE48" s="1114">
        <v>0</v>
      </c>
      <c r="DF48" s="1099">
        <v>0</v>
      </c>
      <c r="DG48" s="32">
        <f t="shared" si="151"/>
        <v>0</v>
      </c>
      <c r="DH48" s="1114">
        <v>0</v>
      </c>
      <c r="DI48" s="1099">
        <v>0</v>
      </c>
      <c r="DJ48" s="32">
        <f t="shared" si="152"/>
        <v>0</v>
      </c>
      <c r="DK48" s="1114">
        <v>0</v>
      </c>
      <c r="DL48" s="1097">
        <v>0</v>
      </c>
      <c r="DM48" s="32">
        <f t="shared" si="153"/>
        <v>0</v>
      </c>
      <c r="DN48" s="1099">
        <v>0</v>
      </c>
      <c r="DO48" s="1097">
        <v>0</v>
      </c>
      <c r="DP48" s="32">
        <f t="shared" si="154"/>
        <v>0</v>
      </c>
      <c r="DQ48" s="1099">
        <v>0</v>
      </c>
      <c r="DR48" s="1683">
        <v>0</v>
      </c>
      <c r="DS48" s="1062">
        <f t="shared" si="155"/>
        <v>0</v>
      </c>
      <c r="DT48" s="1115">
        <v>0</v>
      </c>
      <c r="DU48" s="1097">
        <v>0</v>
      </c>
      <c r="DV48" s="1062">
        <f t="shared" si="156"/>
        <v>0</v>
      </c>
      <c r="DW48" s="1115">
        <v>0</v>
      </c>
      <c r="DX48" s="1097">
        <v>0</v>
      </c>
      <c r="DY48" s="32">
        <f t="shared" si="157"/>
        <v>0</v>
      </c>
      <c r="DZ48" s="1099">
        <v>0</v>
      </c>
      <c r="EA48" s="1097">
        <v>0</v>
      </c>
      <c r="EB48" s="32">
        <f t="shared" si="158"/>
        <v>0</v>
      </c>
      <c r="EC48" s="1099">
        <v>0</v>
      </c>
      <c r="ED48" s="1097">
        <v>0</v>
      </c>
      <c r="EE48" s="32">
        <f t="shared" si="159"/>
        <v>0</v>
      </c>
      <c r="EF48" s="1099">
        <v>0</v>
      </c>
      <c r="EG48" s="1097">
        <v>0</v>
      </c>
      <c r="EH48" s="32">
        <f t="shared" si="160"/>
        <v>0</v>
      </c>
      <c r="EI48" s="1099">
        <v>0</v>
      </c>
      <c r="EJ48" s="1097">
        <v>0</v>
      </c>
      <c r="EK48" s="32">
        <f t="shared" si="161"/>
        <v>0</v>
      </c>
      <c r="EL48" s="1099">
        <v>0</v>
      </c>
      <c r="EM48" s="1097">
        <v>0</v>
      </c>
      <c r="EN48" s="32">
        <f t="shared" si="162"/>
        <v>0</v>
      </c>
      <c r="EO48" s="1099">
        <v>0</v>
      </c>
      <c r="EP48" s="1097">
        <v>0</v>
      </c>
      <c r="EQ48" s="32">
        <f t="shared" si="163"/>
        <v>0</v>
      </c>
      <c r="ER48" s="1099">
        <v>0</v>
      </c>
      <c r="ES48" s="1097">
        <v>0</v>
      </c>
      <c r="ET48" s="32">
        <f t="shared" si="164"/>
        <v>0</v>
      </c>
      <c r="EU48" s="1099">
        <v>0</v>
      </c>
      <c r="EV48" s="1097">
        <v>0</v>
      </c>
      <c r="EW48" s="32">
        <f t="shared" si="165"/>
        <v>0</v>
      </c>
      <c r="EX48" s="1099">
        <v>0</v>
      </c>
      <c r="EY48" s="1097">
        <v>0</v>
      </c>
      <c r="EZ48" s="32">
        <f t="shared" si="166"/>
        <v>0</v>
      </c>
      <c r="FA48" s="1099">
        <v>0</v>
      </c>
      <c r="FD48"/>
      <c r="FE48"/>
      <c r="FF48"/>
      <c r="FG48"/>
      <c r="FH48"/>
      <c r="FI48"/>
    </row>
    <row r="49" spans="2:169" s="33" customFormat="1" outlineLevel="1">
      <c r="B49" s="54" t="s">
        <v>185</v>
      </c>
      <c r="D49" s="2" t="s">
        <v>506</v>
      </c>
      <c r="E49" s="53"/>
      <c r="F49" s="32">
        <f t="shared" si="109"/>
        <v>0</v>
      </c>
      <c r="G49" s="53"/>
      <c r="H49" s="53"/>
      <c r="I49" s="32">
        <f t="shared" si="110"/>
        <v>0</v>
      </c>
      <c r="J49" s="53"/>
      <c r="K49" s="53"/>
      <c r="L49" s="32">
        <f t="shared" si="111"/>
        <v>0</v>
      </c>
      <c r="M49" s="53"/>
      <c r="N49" s="53"/>
      <c r="O49" s="32">
        <f t="shared" si="112"/>
        <v>0</v>
      </c>
      <c r="P49" s="53"/>
      <c r="Q49" s="53"/>
      <c r="R49" s="32">
        <f t="shared" si="113"/>
        <v>0</v>
      </c>
      <c r="S49" s="53"/>
      <c r="T49" s="53"/>
      <c r="U49" s="32">
        <f t="shared" si="114"/>
        <v>0</v>
      </c>
      <c r="V49" s="53"/>
      <c r="W49" s="53"/>
      <c r="X49" s="32">
        <f t="shared" si="115"/>
        <v>0</v>
      </c>
      <c r="Y49" s="53"/>
      <c r="Z49" s="53"/>
      <c r="AA49" s="32">
        <f t="shared" si="116"/>
        <v>0</v>
      </c>
      <c r="AB49" s="53"/>
      <c r="AC49" s="53"/>
      <c r="AD49" s="32">
        <f t="shared" si="117"/>
        <v>0</v>
      </c>
      <c r="AE49" s="53"/>
      <c r="AF49" s="53"/>
      <c r="AG49" s="32">
        <f t="shared" si="118"/>
        <v>0</v>
      </c>
      <c r="AH49" s="53"/>
      <c r="AI49" s="53"/>
      <c r="AJ49" s="32">
        <f t="shared" si="119"/>
        <v>0</v>
      </c>
      <c r="AK49" s="53"/>
      <c r="AL49" s="53"/>
      <c r="AM49" s="32">
        <f t="shared" si="120"/>
        <v>0</v>
      </c>
      <c r="AN49" s="53"/>
      <c r="AO49" s="53"/>
      <c r="AP49" s="32">
        <f t="shared" si="121"/>
        <v>0</v>
      </c>
      <c r="AQ49" s="53"/>
      <c r="AR49" s="53"/>
      <c r="AS49" s="32">
        <f t="shared" si="122"/>
        <v>0</v>
      </c>
      <c r="AT49" s="53"/>
      <c r="AU49" s="53"/>
      <c r="AV49" s="32">
        <f t="shared" si="123"/>
        <v>0</v>
      </c>
      <c r="AW49" s="1097">
        <v>0</v>
      </c>
      <c r="AX49" s="53"/>
      <c r="AY49" s="32">
        <f t="shared" si="124"/>
        <v>0</v>
      </c>
      <c r="AZ49" s="1097">
        <v>0</v>
      </c>
      <c r="BA49" s="53"/>
      <c r="BB49" s="32">
        <f t="shared" si="125"/>
        <v>0</v>
      </c>
      <c r="BC49" s="1097">
        <v>0</v>
      </c>
      <c r="BD49" s="53"/>
      <c r="BE49" s="32">
        <f t="shared" si="126"/>
        <v>0</v>
      </c>
      <c r="BF49" s="1100">
        <v>0</v>
      </c>
      <c r="BG49" s="1088"/>
      <c r="BH49" s="32">
        <f t="shared" si="127"/>
        <v>0</v>
      </c>
      <c r="BI49" s="1100">
        <v>0</v>
      </c>
      <c r="BJ49" s="1088"/>
      <c r="BK49" s="32">
        <f t="shared" si="128"/>
        <v>0</v>
      </c>
      <c r="BL49" s="1100">
        <v>0</v>
      </c>
      <c r="BM49" s="1088"/>
      <c r="BN49" s="32">
        <f t="shared" si="129"/>
        <v>0</v>
      </c>
      <c r="BO49" s="1100">
        <v>0</v>
      </c>
      <c r="BP49" s="1088"/>
      <c r="BQ49" s="32">
        <f t="shared" si="137"/>
        <v>0</v>
      </c>
      <c r="BR49" s="1100">
        <v>0</v>
      </c>
      <c r="BS49" s="1088"/>
      <c r="BT49" s="32">
        <f t="shared" si="138"/>
        <v>0</v>
      </c>
      <c r="BU49" s="1100">
        <v>0</v>
      </c>
      <c r="BV49" s="1088"/>
      <c r="BW49" s="32">
        <f t="shared" si="139"/>
        <v>0</v>
      </c>
      <c r="BX49" s="1100">
        <v>0</v>
      </c>
      <c r="BY49" s="1088"/>
      <c r="BZ49" s="32">
        <f t="shared" si="140"/>
        <v>0</v>
      </c>
      <c r="CA49" s="1100">
        <v>0</v>
      </c>
      <c r="CB49" s="1088"/>
      <c r="CC49" s="32">
        <f t="shared" si="141"/>
        <v>0</v>
      </c>
      <c r="CD49" s="1100">
        <v>0</v>
      </c>
      <c r="CE49" s="1088"/>
      <c r="CF49" s="32">
        <f t="shared" si="142"/>
        <v>0</v>
      </c>
      <c r="CG49" s="1100">
        <v>0</v>
      </c>
      <c r="CH49" s="1088"/>
      <c r="CI49" s="32">
        <f t="shared" si="143"/>
        <v>0</v>
      </c>
      <c r="CJ49" s="1100">
        <v>0</v>
      </c>
      <c r="CK49" s="1088"/>
      <c r="CL49" s="32">
        <f t="shared" si="144"/>
        <v>0</v>
      </c>
      <c r="CM49" s="1100">
        <v>0</v>
      </c>
      <c r="CN49" s="1088"/>
      <c r="CO49" s="32">
        <f t="shared" si="145"/>
        <v>0</v>
      </c>
      <c r="CP49" s="1100">
        <v>0</v>
      </c>
      <c r="CQ49" s="1088"/>
      <c r="CR49" s="32">
        <f t="shared" si="146"/>
        <v>0</v>
      </c>
      <c r="CS49" s="1100">
        <v>0</v>
      </c>
      <c r="CT49" s="1088"/>
      <c r="CU49" s="32">
        <f t="shared" si="147"/>
        <v>0</v>
      </c>
      <c r="CV49" s="1100">
        <v>0</v>
      </c>
      <c r="CW49" s="1088"/>
      <c r="CX49" s="32">
        <f t="shared" si="148"/>
        <v>0</v>
      </c>
      <c r="CY49" s="1100">
        <v>0</v>
      </c>
      <c r="CZ49" s="1088"/>
      <c r="DA49" s="32">
        <f t="shared" si="149"/>
        <v>0</v>
      </c>
      <c r="DB49" s="1100">
        <v>0</v>
      </c>
      <c r="DC49" s="1088"/>
      <c r="DD49" s="32">
        <f t="shared" si="150"/>
        <v>0</v>
      </c>
      <c r="DE49" s="1114">
        <v>0</v>
      </c>
      <c r="DF49" s="1088"/>
      <c r="DG49" s="32">
        <f t="shared" si="151"/>
        <v>0</v>
      </c>
      <c r="DH49" s="1114">
        <v>0</v>
      </c>
      <c r="DI49" s="1088"/>
      <c r="DJ49" s="32">
        <f t="shared" si="152"/>
        <v>0</v>
      </c>
      <c r="DK49" s="1114">
        <v>0</v>
      </c>
      <c r="DL49" s="53"/>
      <c r="DM49" s="32">
        <f t="shared" si="153"/>
        <v>0</v>
      </c>
      <c r="DN49" s="1099">
        <v>0</v>
      </c>
      <c r="DO49" s="53"/>
      <c r="DP49" s="32">
        <f t="shared" si="154"/>
        <v>0</v>
      </c>
      <c r="DQ49" s="1099">
        <v>0</v>
      </c>
      <c r="DR49" s="1682"/>
      <c r="DS49" s="1062">
        <f t="shared" si="155"/>
        <v>0</v>
      </c>
      <c r="DT49" s="1115">
        <v>0</v>
      </c>
      <c r="DU49" s="53"/>
      <c r="DV49" s="1062">
        <f t="shared" si="156"/>
        <v>0</v>
      </c>
      <c r="DW49" s="1115">
        <v>0</v>
      </c>
      <c r="DX49" s="53"/>
      <c r="DY49" s="32">
        <f t="shared" si="157"/>
        <v>0</v>
      </c>
      <c r="DZ49" s="1099">
        <v>0</v>
      </c>
      <c r="EA49" s="53"/>
      <c r="EB49" s="32">
        <f t="shared" si="158"/>
        <v>0</v>
      </c>
      <c r="EC49" s="1099">
        <v>0</v>
      </c>
      <c r="ED49" s="53"/>
      <c r="EE49" s="32">
        <f t="shared" si="159"/>
        <v>0</v>
      </c>
      <c r="EF49" s="1099">
        <v>0</v>
      </c>
      <c r="EG49" s="53"/>
      <c r="EH49" s="32">
        <f t="shared" si="160"/>
        <v>0</v>
      </c>
      <c r="EI49" s="1099">
        <v>0</v>
      </c>
      <c r="EJ49" s="53"/>
      <c r="EK49" s="32">
        <f t="shared" si="161"/>
        <v>0</v>
      </c>
      <c r="EL49" s="1099">
        <v>0</v>
      </c>
      <c r="EM49" s="53"/>
      <c r="EN49" s="32">
        <f t="shared" si="162"/>
        <v>0</v>
      </c>
      <c r="EO49" s="1099">
        <v>0</v>
      </c>
      <c r="EP49" s="53"/>
      <c r="EQ49" s="32">
        <f t="shared" si="163"/>
        <v>0</v>
      </c>
      <c r="ER49" s="1099">
        <v>0</v>
      </c>
      <c r="ES49" s="53"/>
      <c r="ET49" s="32">
        <f t="shared" si="164"/>
        <v>0</v>
      </c>
      <c r="EU49" s="1099">
        <v>0</v>
      </c>
      <c r="EV49" s="53"/>
      <c r="EW49" s="32">
        <f t="shared" si="165"/>
        <v>0</v>
      </c>
      <c r="EX49" s="1099">
        <v>0</v>
      </c>
      <c r="EY49" s="53"/>
      <c r="EZ49" s="32">
        <f t="shared" si="166"/>
        <v>0</v>
      </c>
      <c r="FA49" s="1099">
        <v>0</v>
      </c>
      <c r="FD49"/>
      <c r="FE49"/>
      <c r="FF49"/>
      <c r="FG49"/>
      <c r="FH49"/>
      <c r="FI49"/>
    </row>
    <row r="50" spans="2:169" s="33" customFormat="1" outlineLevel="1">
      <c r="B50" s="54" t="s">
        <v>471</v>
      </c>
      <c r="D50" s="2"/>
      <c r="E50" s="53"/>
      <c r="F50" s="32"/>
      <c r="G50" s="53"/>
      <c r="H50" s="53"/>
      <c r="I50" s="32"/>
      <c r="J50" s="53"/>
      <c r="K50" s="53"/>
      <c r="L50" s="32"/>
      <c r="M50" s="53"/>
      <c r="N50" s="53"/>
      <c r="O50" s="32"/>
      <c r="P50" s="53"/>
      <c r="Q50" s="53"/>
      <c r="R50" s="32"/>
      <c r="S50" s="53"/>
      <c r="T50" s="53"/>
      <c r="U50" s="32"/>
      <c r="V50" s="53"/>
      <c r="W50" s="53"/>
      <c r="X50" s="32"/>
      <c r="Y50" s="53"/>
      <c r="Z50" s="53"/>
      <c r="AA50" s="32"/>
      <c r="AB50" s="53"/>
      <c r="AC50" s="53"/>
      <c r="AD50" s="32"/>
      <c r="AE50" s="53"/>
      <c r="AF50" s="53"/>
      <c r="AG50" s="32"/>
      <c r="AH50" s="53"/>
      <c r="AI50" s="53"/>
      <c r="AJ50" s="32"/>
      <c r="AK50" s="53"/>
      <c r="AL50" s="53"/>
      <c r="AM50" s="32"/>
      <c r="AN50" s="53"/>
      <c r="AO50" s="53"/>
      <c r="AP50" s="32"/>
      <c r="AQ50" s="53"/>
      <c r="AR50" s="53"/>
      <c r="AS50" s="32"/>
      <c r="AT50" s="53"/>
      <c r="AU50" s="53"/>
      <c r="AV50" s="32"/>
      <c r="AW50" s="53"/>
      <c r="AX50" s="53"/>
      <c r="AY50" s="32"/>
      <c r="AZ50" s="53"/>
      <c r="BA50" s="53"/>
      <c r="BB50" s="32"/>
      <c r="BC50" s="53"/>
      <c r="BD50" s="53"/>
      <c r="BE50" s="32"/>
      <c r="BF50" s="1098"/>
      <c r="BG50" s="1088"/>
      <c r="BH50" s="32"/>
      <c r="BI50" s="1098"/>
      <c r="BJ50" s="1088"/>
      <c r="BK50" s="32"/>
      <c r="BL50" s="1098"/>
      <c r="BM50" s="1088"/>
      <c r="BN50" s="32"/>
      <c r="BO50" s="1098"/>
      <c r="BP50" s="1088"/>
      <c r="BQ50" s="32"/>
      <c r="BR50" s="1098"/>
      <c r="BS50" s="1088"/>
      <c r="BT50" s="32"/>
      <c r="BU50" s="1098"/>
      <c r="BV50" s="1088"/>
      <c r="BW50" s="32"/>
      <c r="BX50" s="1098"/>
      <c r="BY50" s="1088"/>
      <c r="BZ50" s="32"/>
      <c r="CA50" s="1098"/>
      <c r="CB50" s="1088"/>
      <c r="CC50" s="32"/>
      <c r="CD50" s="1098"/>
      <c r="CE50" s="1088"/>
      <c r="CF50" s="32"/>
      <c r="CG50" s="1098"/>
      <c r="CH50" s="1088"/>
      <c r="CI50" s="32"/>
      <c r="CJ50" s="1098"/>
      <c r="CK50" s="1088"/>
      <c r="CL50" s="32"/>
      <c r="CM50" s="1098"/>
      <c r="CN50" s="1088"/>
      <c r="CO50" s="32"/>
      <c r="CP50" s="1098"/>
      <c r="CQ50" s="1088"/>
      <c r="CR50" s="32"/>
      <c r="CS50" s="1098"/>
      <c r="CT50" s="1088"/>
      <c r="CU50" s="32"/>
      <c r="CV50" s="1098"/>
      <c r="CW50" s="1088"/>
      <c r="CX50" s="32"/>
      <c r="CY50" s="1098"/>
      <c r="CZ50" s="1088"/>
      <c r="DA50" s="32"/>
      <c r="DB50" s="1098"/>
      <c r="DC50" s="1088"/>
      <c r="DD50" s="32"/>
      <c r="DE50" s="1101"/>
      <c r="DF50" s="1088"/>
      <c r="DG50" s="32"/>
      <c r="DH50" s="1101"/>
      <c r="DI50" s="1088"/>
      <c r="DJ50" s="32"/>
      <c r="DK50" s="1101"/>
      <c r="DL50" s="53"/>
      <c r="DM50" s="32"/>
      <c r="DN50" s="1088"/>
      <c r="DO50" s="53"/>
      <c r="DP50" s="32"/>
      <c r="DQ50" s="1088"/>
      <c r="DR50" s="1682"/>
      <c r="DS50" s="1062"/>
      <c r="DT50" s="1102"/>
      <c r="DU50" s="53"/>
      <c r="DV50" s="1062"/>
      <c r="DW50" s="1102"/>
      <c r="DX50" s="53"/>
      <c r="DY50" s="32"/>
      <c r="DZ50" s="1088"/>
      <c r="EA50" s="53"/>
      <c r="EB50" s="32"/>
      <c r="EC50" s="1088"/>
      <c r="ED50" s="53"/>
      <c r="EE50" s="32"/>
      <c r="EF50" s="1088"/>
      <c r="EG50" s="53"/>
      <c r="EH50" s="32"/>
      <c r="EI50" s="1088"/>
      <c r="EJ50" s="53"/>
      <c r="EK50" s="32"/>
      <c r="EL50" s="1088"/>
      <c r="EM50" s="53"/>
      <c r="EN50" s="32"/>
      <c r="EO50" s="1088"/>
      <c r="EP50" s="53"/>
      <c r="EQ50" s="32"/>
      <c r="ER50" s="1088"/>
      <c r="ES50" s="53"/>
      <c r="ET50" s="32"/>
      <c r="EU50" s="1088"/>
      <c r="EV50" s="53"/>
      <c r="EW50" s="32"/>
      <c r="EX50" s="1088"/>
      <c r="EY50" s="53"/>
      <c r="EZ50" s="32"/>
      <c r="FA50" s="1088"/>
      <c r="FD50"/>
      <c r="FE50"/>
      <c r="FF50"/>
      <c r="FG50"/>
      <c r="FH50"/>
      <c r="FI50"/>
    </row>
    <row r="51" spans="2:169" s="33" customFormat="1" outlineLevel="1">
      <c r="B51" s="54" t="s">
        <v>658</v>
      </c>
      <c r="D51" s="2"/>
      <c r="E51" s="53"/>
      <c r="F51" s="32"/>
      <c r="G51" s="53"/>
      <c r="H51" s="53"/>
      <c r="I51" s="32"/>
      <c r="J51" s="53"/>
      <c r="K51" s="53"/>
      <c r="L51" s="32"/>
      <c r="M51" s="53"/>
      <c r="N51" s="53"/>
      <c r="O51" s="32"/>
      <c r="P51" s="53"/>
      <c r="Q51" s="53"/>
      <c r="R51" s="32"/>
      <c r="S51" s="53"/>
      <c r="T51" s="53"/>
      <c r="U51" s="32"/>
      <c r="V51" s="53"/>
      <c r="W51" s="53"/>
      <c r="X51" s="32"/>
      <c r="Y51" s="53"/>
      <c r="Z51" s="53"/>
      <c r="AA51" s="32"/>
      <c r="AB51" s="53"/>
      <c r="AC51" s="53"/>
      <c r="AD51" s="32"/>
      <c r="AE51" s="53"/>
      <c r="AF51" s="53"/>
      <c r="AG51" s="32"/>
      <c r="AH51" s="53"/>
      <c r="AI51" s="53"/>
      <c r="AJ51" s="32"/>
      <c r="AK51" s="53"/>
      <c r="AL51" s="53"/>
      <c r="AM51" s="32"/>
      <c r="AN51" s="53"/>
      <c r="AO51" s="53"/>
      <c r="AP51" s="32"/>
      <c r="AQ51" s="53"/>
      <c r="AR51" s="53"/>
      <c r="AS51" s="32"/>
      <c r="AT51" s="53"/>
      <c r="AU51" s="53"/>
      <c r="AV51" s="32"/>
      <c r="AW51" s="53"/>
      <c r="AX51" s="53"/>
      <c r="AY51" s="32"/>
      <c r="AZ51" s="53"/>
      <c r="BA51" s="53"/>
      <c r="BB51" s="32"/>
      <c r="BC51" s="53"/>
      <c r="BD51" s="53"/>
      <c r="BE51" s="32"/>
      <c r="BF51" s="1098"/>
      <c r="BG51" s="1088"/>
      <c r="BH51" s="32"/>
      <c r="BI51" s="1098"/>
      <c r="BJ51" s="1088"/>
      <c r="BK51" s="32"/>
      <c r="BL51" s="1098"/>
      <c r="BM51" s="1088"/>
      <c r="BN51" s="32"/>
      <c r="BO51" s="1098"/>
      <c r="BP51" s="1088"/>
      <c r="BQ51" s="32"/>
      <c r="BR51" s="1098"/>
      <c r="BS51" s="1088"/>
      <c r="BT51" s="32"/>
      <c r="BU51" s="1098"/>
      <c r="BV51" s="1088"/>
      <c r="BW51" s="32"/>
      <c r="BX51" s="1098"/>
      <c r="BY51" s="1088"/>
      <c r="BZ51" s="32"/>
      <c r="CA51" s="1098"/>
      <c r="CB51" s="1088"/>
      <c r="CC51" s="32"/>
      <c r="CD51" s="1098"/>
      <c r="CE51" s="1088"/>
      <c r="CF51" s="32"/>
      <c r="CG51" s="1098"/>
      <c r="CH51" s="1088"/>
      <c r="CI51" s="32"/>
      <c r="CJ51" s="1098"/>
      <c r="CK51" s="1088"/>
      <c r="CL51" s="32"/>
      <c r="CM51" s="1098"/>
      <c r="CN51" s="1088"/>
      <c r="CO51" s="32"/>
      <c r="CP51" s="1098"/>
      <c r="CQ51" s="1088"/>
      <c r="CR51" s="32"/>
      <c r="CS51" s="1098"/>
      <c r="CT51" s="1088"/>
      <c r="CU51" s="32"/>
      <c r="CV51" s="1098"/>
      <c r="CW51" s="1088"/>
      <c r="CX51" s="32"/>
      <c r="CY51" s="1098"/>
      <c r="CZ51" s="1088"/>
      <c r="DA51" s="32"/>
      <c r="DB51" s="1098"/>
      <c r="DC51" s="1088"/>
      <c r="DD51" s="32"/>
      <c r="DE51" s="1101"/>
      <c r="DF51" s="1088"/>
      <c r="DG51" s="32"/>
      <c r="DH51" s="1101"/>
      <c r="DI51" s="1088"/>
      <c r="DJ51" s="32"/>
      <c r="DK51" s="1101"/>
      <c r="DL51" s="53"/>
      <c r="DM51" s="32"/>
      <c r="DN51" s="1088"/>
      <c r="DO51" s="53"/>
      <c r="DP51" s="32"/>
      <c r="DQ51" s="1088"/>
      <c r="DR51" s="1682"/>
      <c r="DS51" s="1062"/>
      <c r="DT51" s="1102"/>
      <c r="DU51" s="53"/>
      <c r="DV51" s="1062"/>
      <c r="DW51" s="1102"/>
      <c r="DX51" s="53"/>
      <c r="DY51" s="32"/>
      <c r="DZ51" s="1088"/>
      <c r="EA51" s="53"/>
      <c r="EB51" s="32"/>
      <c r="EC51" s="1088"/>
      <c r="ED51" s="53"/>
      <c r="EE51" s="32"/>
      <c r="EF51" s="1088"/>
      <c r="EG51" s="53"/>
      <c r="EH51" s="32"/>
      <c r="EI51" s="1088"/>
      <c r="EJ51" s="53"/>
      <c r="EK51" s="32"/>
      <c r="EL51" s="1088"/>
      <c r="EM51" s="53"/>
      <c r="EN51" s="32"/>
      <c r="EO51" s="1088"/>
      <c r="EP51" s="53"/>
      <c r="EQ51" s="32"/>
      <c r="ER51" s="1088"/>
      <c r="ES51" s="53"/>
      <c r="ET51" s="32"/>
      <c r="EU51" s="1088"/>
      <c r="EV51" s="53"/>
      <c r="EW51" s="32"/>
      <c r="EX51" s="1088"/>
      <c r="EY51" s="53"/>
      <c r="EZ51" s="32"/>
      <c r="FA51" s="1088"/>
      <c r="FD51"/>
      <c r="FE51"/>
      <c r="FF51"/>
      <c r="FG51"/>
      <c r="FH51"/>
      <c r="FI51"/>
    </row>
    <row r="52" spans="2:169" s="33" customFormat="1" outlineLevel="1">
      <c r="B52" s="54" t="s">
        <v>659</v>
      </c>
      <c r="D52" s="2" t="s">
        <v>506</v>
      </c>
      <c r="E52" s="53"/>
      <c r="F52" s="32">
        <f>+G52-E52</f>
        <v>0</v>
      </c>
      <c r="G52" s="53"/>
      <c r="H52" s="53"/>
      <c r="I52" s="32">
        <f>+J52-H52</f>
        <v>0</v>
      </c>
      <c r="J52" s="53"/>
      <c r="K52" s="53"/>
      <c r="L52" s="32">
        <f>+M52-K52</f>
        <v>0</v>
      </c>
      <c r="M52" s="53"/>
      <c r="N52" s="53"/>
      <c r="O52" s="32">
        <f>+P52-N52</f>
        <v>0</v>
      </c>
      <c r="P52" s="53"/>
      <c r="Q52" s="53"/>
      <c r="R52" s="32">
        <f>+S52-Q52</f>
        <v>0</v>
      </c>
      <c r="S52" s="53"/>
      <c r="T52" s="53"/>
      <c r="U52" s="32">
        <f>+V52-T52</f>
        <v>0</v>
      </c>
      <c r="V52" s="53"/>
      <c r="W52" s="53"/>
      <c r="X52" s="32">
        <f>+Y52-W52</f>
        <v>0</v>
      </c>
      <c r="Y52" s="53"/>
      <c r="Z52" s="53"/>
      <c r="AA52" s="32">
        <f>+AB52-Z52</f>
        <v>0</v>
      </c>
      <c r="AB52" s="53"/>
      <c r="AC52" s="53"/>
      <c r="AD52" s="32">
        <f>+AE52-AC52</f>
        <v>0</v>
      </c>
      <c r="AE52" s="53"/>
      <c r="AF52" s="53"/>
      <c r="AG52" s="32">
        <f>+AH52-AF52</f>
        <v>0</v>
      </c>
      <c r="AH52" s="53"/>
      <c r="AI52" s="53"/>
      <c r="AJ52" s="32">
        <f>+AK52-AI52</f>
        <v>0</v>
      </c>
      <c r="AK52" s="53"/>
      <c r="AL52" s="53"/>
      <c r="AM52" s="32">
        <f>+AN52-AL52</f>
        <v>0</v>
      </c>
      <c r="AN52" s="53"/>
      <c r="AO52" s="53"/>
      <c r="AP52" s="32">
        <f>+AQ52-AO52</f>
        <v>0</v>
      </c>
      <c r="AQ52" s="53"/>
      <c r="AR52" s="53"/>
      <c r="AS52" s="32">
        <f>+AT52-AR52</f>
        <v>0</v>
      </c>
      <c r="AT52" s="53"/>
      <c r="AU52" s="53"/>
      <c r="AV52" s="32">
        <f>+AW52-AU52</f>
        <v>0</v>
      </c>
      <c r="AW52" s="1097">
        <v>0</v>
      </c>
      <c r="AX52" s="53"/>
      <c r="AY52" s="32">
        <f>+AZ52-AX52</f>
        <v>0</v>
      </c>
      <c r="AZ52" s="1097">
        <v>0</v>
      </c>
      <c r="BA52" s="53"/>
      <c r="BB52" s="32">
        <f>+BC52-BA52</f>
        <v>0</v>
      </c>
      <c r="BC52" s="1097">
        <v>0</v>
      </c>
      <c r="BD52" s="53"/>
      <c r="BE52" s="32">
        <f>+BF52-BD52</f>
        <v>0</v>
      </c>
      <c r="BF52" s="1116">
        <v>0</v>
      </c>
      <c r="BG52" s="1117"/>
      <c r="BH52" s="32">
        <f>+BI52-BG52</f>
        <v>0</v>
      </c>
      <c r="BI52" s="1116">
        <v>0</v>
      </c>
      <c r="BJ52" s="1117"/>
      <c r="BK52" s="32">
        <f>+BL52-BJ52</f>
        <v>0</v>
      </c>
      <c r="BL52" s="1116">
        <v>0</v>
      </c>
      <c r="BM52" s="1117"/>
      <c r="BN52" s="32">
        <f>+BO52-BM52</f>
        <v>0</v>
      </c>
      <c r="BO52" s="1116">
        <v>0</v>
      </c>
      <c r="BP52" s="1117"/>
      <c r="BQ52" s="32">
        <f>+BR52-BP52</f>
        <v>0</v>
      </c>
      <c r="BR52" s="1116">
        <v>0</v>
      </c>
      <c r="BS52" s="1117"/>
      <c r="BT52" s="32">
        <f>+BU52-BS52</f>
        <v>0</v>
      </c>
      <c r="BU52" s="1116">
        <v>0</v>
      </c>
      <c r="BV52" s="1117"/>
      <c r="BW52" s="32">
        <f>+BX52-BV52</f>
        <v>0</v>
      </c>
      <c r="BX52" s="1116">
        <v>0</v>
      </c>
      <c r="BY52" s="1117"/>
      <c r="BZ52" s="32">
        <f>+CA52-BY52</f>
        <v>0</v>
      </c>
      <c r="CA52" s="1116">
        <v>0</v>
      </c>
      <c r="CB52" s="1117"/>
      <c r="CC52" s="32">
        <f>+CD52-CB52</f>
        <v>0</v>
      </c>
      <c r="CD52" s="1116">
        <v>0</v>
      </c>
      <c r="CE52" s="1117"/>
      <c r="CF52" s="32">
        <f>+CG52-CE52</f>
        <v>0</v>
      </c>
      <c r="CG52" s="1116">
        <v>0</v>
      </c>
      <c r="CH52" s="1117"/>
      <c r="CI52" s="32">
        <f>+CJ52-CH52</f>
        <v>0</v>
      </c>
      <c r="CJ52" s="1116">
        <v>0</v>
      </c>
      <c r="CK52" s="1117"/>
      <c r="CL52" s="32">
        <f>+CM52-CK52</f>
        <v>0</v>
      </c>
      <c r="CM52" s="1116">
        <v>0</v>
      </c>
      <c r="CN52" s="1117"/>
      <c r="CO52" s="32">
        <f>+CP52-CN52</f>
        <v>0</v>
      </c>
      <c r="CP52" s="1116">
        <v>0</v>
      </c>
      <c r="CQ52" s="1117"/>
      <c r="CR52" s="32">
        <f>+CS52-CQ52</f>
        <v>0</v>
      </c>
      <c r="CS52" s="1116">
        <v>0</v>
      </c>
      <c r="CT52" s="1117"/>
      <c r="CU52" s="32">
        <f>+CV52-CT52</f>
        <v>0</v>
      </c>
      <c r="CV52" s="1116">
        <v>0</v>
      </c>
      <c r="CW52" s="1117"/>
      <c r="CX52" s="32">
        <f>+CY52-CW52</f>
        <v>0</v>
      </c>
      <c r="CY52" s="1116">
        <v>0</v>
      </c>
      <c r="CZ52" s="1117"/>
      <c r="DA52" s="32">
        <f>+DB52-CZ52</f>
        <v>0</v>
      </c>
      <c r="DB52" s="1116">
        <v>0</v>
      </c>
      <c r="DC52" s="1117"/>
      <c r="DD52" s="32">
        <f>+DE52-DC52</f>
        <v>0</v>
      </c>
      <c r="DE52" s="1118">
        <v>0</v>
      </c>
      <c r="DF52" s="1117"/>
      <c r="DG52" s="32">
        <f>+DH52-DF52</f>
        <v>0</v>
      </c>
      <c r="DH52" s="1118">
        <v>0</v>
      </c>
      <c r="DI52" s="1117"/>
      <c r="DJ52" s="32">
        <f>+DK52-DI52</f>
        <v>0</v>
      </c>
      <c r="DK52" s="1118">
        <v>0</v>
      </c>
      <c r="DL52" s="53"/>
      <c r="DM52" s="32">
        <f>+DN52-DL52</f>
        <v>0</v>
      </c>
      <c r="DN52" s="1099">
        <v>0</v>
      </c>
      <c r="DO52" s="53"/>
      <c r="DP52" s="32">
        <f>+DQ52-DO52</f>
        <v>0</v>
      </c>
      <c r="DQ52" s="1099">
        <v>0</v>
      </c>
      <c r="DR52" s="1682"/>
      <c r="DS52" s="1062">
        <f>+DT52-DR52</f>
        <v>0</v>
      </c>
      <c r="DT52" s="1115">
        <v>0</v>
      </c>
      <c r="DU52" s="53"/>
      <c r="DV52" s="1062">
        <f>+DW52-DU52</f>
        <v>0</v>
      </c>
      <c r="DW52" s="1115">
        <v>0</v>
      </c>
      <c r="DX52" s="53"/>
      <c r="DY52" s="32">
        <f>+DZ52-DX52</f>
        <v>0</v>
      </c>
      <c r="DZ52" s="1099">
        <v>0</v>
      </c>
      <c r="EA52" s="53"/>
      <c r="EB52" s="32">
        <f>+EC52-EA52</f>
        <v>0</v>
      </c>
      <c r="EC52" s="1099">
        <v>0</v>
      </c>
      <c r="ED52" s="53"/>
      <c r="EE52" s="32">
        <f>+EF52-ED52</f>
        <v>0</v>
      </c>
      <c r="EF52" s="1099">
        <v>0</v>
      </c>
      <c r="EG52" s="53"/>
      <c r="EH52" s="32">
        <f>+EI52-EG52</f>
        <v>0</v>
      </c>
      <c r="EI52" s="1099">
        <v>0</v>
      </c>
      <c r="EJ52" s="53"/>
      <c r="EK52" s="32">
        <f>+EL52-EJ52</f>
        <v>0</v>
      </c>
      <c r="EL52" s="1099">
        <v>0</v>
      </c>
      <c r="EM52" s="53"/>
      <c r="EN52" s="32">
        <f>+EO52-EM52</f>
        <v>0</v>
      </c>
      <c r="EO52" s="1099">
        <v>0</v>
      </c>
      <c r="EP52" s="53"/>
      <c r="EQ52" s="32">
        <f>+ER52-EP52</f>
        <v>0</v>
      </c>
      <c r="ER52" s="1099">
        <v>0</v>
      </c>
      <c r="ES52" s="53"/>
      <c r="ET52" s="32">
        <f>+EU52-ES52</f>
        <v>0</v>
      </c>
      <c r="EU52" s="1099">
        <v>0</v>
      </c>
      <c r="EV52" s="53"/>
      <c r="EW52" s="32">
        <f>+EX52-EV52</f>
        <v>0</v>
      </c>
      <c r="EX52" s="1099">
        <v>0</v>
      </c>
      <c r="EY52" s="53"/>
      <c r="EZ52" s="32">
        <f>+FA52-EY52</f>
        <v>0</v>
      </c>
      <c r="FA52" s="1099">
        <v>0</v>
      </c>
      <c r="FD52"/>
      <c r="FE52"/>
      <c r="FF52"/>
      <c r="FG52"/>
      <c r="FH52"/>
      <c r="FI52"/>
    </row>
    <row r="53" spans="2:169" s="33" customFormat="1" outlineLevel="1">
      <c r="B53" s="54" t="s">
        <v>677</v>
      </c>
      <c r="D53" s="2" t="s">
        <v>506</v>
      </c>
      <c r="E53" s="53">
        <f t="shared" ref="E53:AJ53" si="167">+(E42-E35)-E55-SUM(E44:E52)</f>
        <v>0</v>
      </c>
      <c r="F53" s="32">
        <f t="shared" si="167"/>
        <v>0</v>
      </c>
      <c r="G53" s="53">
        <f t="shared" si="167"/>
        <v>0</v>
      </c>
      <c r="H53" s="53">
        <f t="shared" si="167"/>
        <v>0</v>
      </c>
      <c r="I53" s="32">
        <f t="shared" si="167"/>
        <v>0</v>
      </c>
      <c r="J53" s="53">
        <f t="shared" si="167"/>
        <v>0</v>
      </c>
      <c r="K53" s="53">
        <f t="shared" si="167"/>
        <v>0</v>
      </c>
      <c r="L53" s="32">
        <f t="shared" si="167"/>
        <v>0</v>
      </c>
      <c r="M53" s="53">
        <f t="shared" si="167"/>
        <v>0</v>
      </c>
      <c r="N53" s="53">
        <f t="shared" si="167"/>
        <v>0</v>
      </c>
      <c r="O53" s="32">
        <f t="shared" si="167"/>
        <v>0</v>
      </c>
      <c r="P53" s="53">
        <f t="shared" si="167"/>
        <v>0</v>
      </c>
      <c r="Q53" s="53">
        <f t="shared" si="167"/>
        <v>0</v>
      </c>
      <c r="R53" s="32">
        <f t="shared" si="167"/>
        <v>0</v>
      </c>
      <c r="S53" s="53">
        <f t="shared" si="167"/>
        <v>0</v>
      </c>
      <c r="T53" s="53">
        <f t="shared" si="167"/>
        <v>0</v>
      </c>
      <c r="U53" s="32">
        <f t="shared" si="167"/>
        <v>0</v>
      </c>
      <c r="V53" s="53">
        <f t="shared" si="167"/>
        <v>0</v>
      </c>
      <c r="W53" s="53">
        <f t="shared" si="167"/>
        <v>0</v>
      </c>
      <c r="X53" s="32">
        <f t="shared" si="167"/>
        <v>0</v>
      </c>
      <c r="Y53" s="53">
        <f t="shared" si="167"/>
        <v>0</v>
      </c>
      <c r="Z53" s="53">
        <f t="shared" si="167"/>
        <v>0</v>
      </c>
      <c r="AA53" s="32">
        <f t="shared" si="167"/>
        <v>0</v>
      </c>
      <c r="AB53" s="53">
        <f t="shared" si="167"/>
        <v>0</v>
      </c>
      <c r="AC53" s="53">
        <f t="shared" si="167"/>
        <v>0</v>
      </c>
      <c r="AD53" s="32">
        <f t="shared" si="167"/>
        <v>0</v>
      </c>
      <c r="AE53" s="53">
        <f t="shared" si="167"/>
        <v>0</v>
      </c>
      <c r="AF53" s="53">
        <f t="shared" si="167"/>
        <v>0</v>
      </c>
      <c r="AG53" s="32">
        <f t="shared" si="167"/>
        <v>0</v>
      </c>
      <c r="AH53" s="53">
        <f t="shared" si="167"/>
        <v>0</v>
      </c>
      <c r="AI53" s="53">
        <f t="shared" si="167"/>
        <v>0</v>
      </c>
      <c r="AJ53" s="32">
        <f t="shared" si="167"/>
        <v>-1.611</v>
      </c>
      <c r="AK53" s="53">
        <f t="shared" ref="AK53:BP53" si="168">+(AK42-AK35)-AK55-SUM(AK44:AK52)</f>
        <v>-1.611</v>
      </c>
      <c r="AL53" s="53">
        <f t="shared" si="168"/>
        <v>0</v>
      </c>
      <c r="AM53" s="32">
        <f t="shared" si="168"/>
        <v>166.84099999999998</v>
      </c>
      <c r="AN53" s="53">
        <f t="shared" si="168"/>
        <v>166.84099999999998</v>
      </c>
      <c r="AO53" s="53">
        <f t="shared" si="168"/>
        <v>104.33900000000001</v>
      </c>
      <c r="AP53" s="32">
        <f t="shared" si="168"/>
        <v>72.622</v>
      </c>
      <c r="AQ53" s="53">
        <f t="shared" si="168"/>
        <v>176.96100000000001</v>
      </c>
      <c r="AR53" s="53">
        <f t="shared" si="168"/>
        <v>124.49299999999997</v>
      </c>
      <c r="AS53" s="32">
        <f t="shared" si="168"/>
        <v>92.719000000000023</v>
      </c>
      <c r="AT53" s="53">
        <f t="shared" si="168"/>
        <v>217.21199999999999</v>
      </c>
      <c r="AU53" s="53">
        <f t="shared" si="168"/>
        <v>136.43099999999998</v>
      </c>
      <c r="AV53" s="32">
        <f t="shared" si="168"/>
        <v>123.65799999999999</v>
      </c>
      <c r="AW53" s="53">
        <f t="shared" si="168"/>
        <v>260.089</v>
      </c>
      <c r="AX53" s="53">
        <f t="shared" si="168"/>
        <v>169.167</v>
      </c>
      <c r="AY53" s="32">
        <f t="shared" si="168"/>
        <v>154.60900000000004</v>
      </c>
      <c r="AZ53" s="53">
        <f t="shared" si="168"/>
        <v>323.77599999999995</v>
      </c>
      <c r="BA53" s="53"/>
      <c r="BB53" s="32"/>
      <c r="BC53" s="53">
        <f t="shared" si="168"/>
        <v>552.65605599999992</v>
      </c>
      <c r="BD53" s="53">
        <f t="shared" si="168"/>
        <v>404.90834666666655</v>
      </c>
      <c r="BE53" s="32">
        <f t="shared" si="168"/>
        <v>558.13801733333321</v>
      </c>
      <c r="BF53" s="53">
        <f t="shared" si="168"/>
        <v>963.04636399999981</v>
      </c>
      <c r="BG53" s="53">
        <f t="shared" si="168"/>
        <v>457.67399999999998</v>
      </c>
      <c r="BH53" s="32">
        <f t="shared" si="168"/>
        <v>495.07600000000014</v>
      </c>
      <c r="BI53" s="53">
        <f t="shared" si="168"/>
        <v>952.75</v>
      </c>
      <c r="BJ53" s="53">
        <f t="shared" si="168"/>
        <v>507.96899999999994</v>
      </c>
      <c r="BK53" s="32"/>
      <c r="BL53" s="53"/>
      <c r="BM53" s="53"/>
      <c r="BN53" s="32"/>
      <c r="BO53" s="53">
        <f t="shared" si="168"/>
        <v>2304.2739999999999</v>
      </c>
      <c r="BP53" s="53">
        <f t="shared" si="168"/>
        <v>-404.72399999999999</v>
      </c>
      <c r="BQ53" s="32">
        <f t="shared" ref="BQ53:CV53" si="169">+(BQ42-BQ35)-BQ55-SUM(BQ44:BQ52)</f>
        <v>-368.94300000000004</v>
      </c>
      <c r="BR53" s="53">
        <f t="shared" si="169"/>
        <v>-773.66700000000003</v>
      </c>
      <c r="BS53" s="53">
        <f t="shared" si="169"/>
        <v>-475.45899999999995</v>
      </c>
      <c r="BT53" s="32">
        <f t="shared" si="169"/>
        <v>-588.48599999999999</v>
      </c>
      <c r="BU53" s="53">
        <f t="shared" si="169"/>
        <v>-1063.9449999999999</v>
      </c>
      <c r="BV53" s="53">
        <f t="shared" si="169"/>
        <v>982.46103714823323</v>
      </c>
      <c r="BW53" s="32">
        <f t="shared" si="169"/>
        <v>1163.1190503981472</v>
      </c>
      <c r="BX53" s="53">
        <f t="shared" si="169"/>
        <v>2145.5800875463801</v>
      </c>
      <c r="BY53" s="53">
        <f t="shared" si="169"/>
        <v>1090.6168681742884</v>
      </c>
      <c r="BZ53" s="32">
        <f t="shared" si="169"/>
        <v>1007.2905112846134</v>
      </c>
      <c r="CA53" s="53">
        <f t="shared" si="169"/>
        <v>2097.9073794589017</v>
      </c>
      <c r="CB53" s="53">
        <f t="shared" si="169"/>
        <v>1166.2867469998926</v>
      </c>
      <c r="CC53" s="32">
        <f t="shared" si="169"/>
        <v>1295.6663098416493</v>
      </c>
      <c r="CD53" s="53">
        <f t="shared" si="169"/>
        <v>2461.9530568415425</v>
      </c>
      <c r="CE53" s="53">
        <f t="shared" si="169"/>
        <v>1278.6944634860242</v>
      </c>
      <c r="CF53" s="32">
        <f t="shared" si="169"/>
        <v>1496.0976291509123</v>
      </c>
      <c r="CG53" s="53">
        <f t="shared" si="169"/>
        <v>2774.7920926369361</v>
      </c>
      <c r="CH53" s="53">
        <f t="shared" si="169"/>
        <v>1664.699320281205</v>
      </c>
      <c r="CI53" s="32">
        <f t="shared" si="169"/>
        <v>1690.2139681143003</v>
      </c>
      <c r="CJ53" s="53">
        <f t="shared" si="169"/>
        <v>3354.9132883955053</v>
      </c>
      <c r="CK53" s="53">
        <f t="shared" si="169"/>
        <v>1687.7361408915626</v>
      </c>
      <c r="CL53" s="32">
        <f t="shared" si="169"/>
        <v>1738.6607595387452</v>
      </c>
      <c r="CM53" s="53">
        <f t="shared" si="169"/>
        <v>3426.3969004303081</v>
      </c>
      <c r="CN53" s="53">
        <f t="shared" si="169"/>
        <v>1786.1</v>
      </c>
      <c r="CO53" s="32">
        <f t="shared" si="169"/>
        <v>1897.1999999999994</v>
      </c>
      <c r="CP53" s="53">
        <f t="shared" si="169"/>
        <v>3683.2999999999988</v>
      </c>
      <c r="CQ53" s="53">
        <f t="shared" si="169"/>
        <v>1877.1000000000004</v>
      </c>
      <c r="CR53" s="32">
        <f t="shared" si="169"/>
        <v>1784.0000000000014</v>
      </c>
      <c r="CS53" s="53">
        <f t="shared" si="169"/>
        <v>3661.1000000000017</v>
      </c>
      <c r="CT53" s="53">
        <f t="shared" si="169"/>
        <v>2223.6583551127387</v>
      </c>
      <c r="CU53" s="32">
        <f t="shared" si="169"/>
        <v>2151.4416448872635</v>
      </c>
      <c r="CV53" s="53">
        <f t="shared" si="169"/>
        <v>4375.1000000000022</v>
      </c>
      <c r="CW53" s="53">
        <f t="shared" ref="CW53:DQ53" si="170">+(CW42-CW35)-CW55-SUM(CW44:CW52)</f>
        <v>2450.8000000000002</v>
      </c>
      <c r="CX53" s="32">
        <f t="shared" si="170"/>
        <v>2414.4427131675648</v>
      </c>
      <c r="CY53" s="53">
        <f>+(CY42-CY35)-CY55-SUM(CY44:CY52)</f>
        <v>4865.2427131675649</v>
      </c>
      <c r="CZ53" s="53">
        <f t="shared" si="170"/>
        <v>2530.1213694753551</v>
      </c>
      <c r="DA53" s="32">
        <f t="shared" si="170"/>
        <v>2707.8786305246449</v>
      </c>
      <c r="DB53" s="53">
        <f t="shared" si="170"/>
        <v>5238</v>
      </c>
      <c r="DC53" s="53">
        <f t="shared" si="170"/>
        <v>2785.9</v>
      </c>
      <c r="DD53" s="32">
        <f t="shared" si="170"/>
        <v>2872.6000000000013</v>
      </c>
      <c r="DE53" s="1088">
        <f t="shared" si="170"/>
        <v>5658.5000000000018</v>
      </c>
      <c r="DF53" s="53">
        <f t="shared" si="170"/>
        <v>3073.8997946410082</v>
      </c>
      <c r="DG53" s="32">
        <f t="shared" si="170"/>
        <v>2940.2662165007214</v>
      </c>
      <c r="DH53" s="1088">
        <f t="shared" si="170"/>
        <v>6014.1660111417277</v>
      </c>
      <c r="DI53" s="53">
        <f t="shared" si="170"/>
        <v>3134.213284145284</v>
      </c>
      <c r="DJ53" s="32">
        <f t="shared" si="170"/>
        <v>3532.0016191079217</v>
      </c>
      <c r="DK53" s="1088">
        <f t="shared" si="170"/>
        <v>6666.2149032532052</v>
      </c>
      <c r="DL53" s="53">
        <f t="shared" si="170"/>
        <v>3545.5764037500012</v>
      </c>
      <c r="DM53" s="32">
        <f t="shared" si="170"/>
        <v>3392.0235962500001</v>
      </c>
      <c r="DN53" s="1088">
        <f t="shared" si="170"/>
        <v>6937.6000000000013</v>
      </c>
      <c r="DO53" s="53">
        <f t="shared" si="170"/>
        <v>4484.7981915</v>
      </c>
      <c r="DP53" s="32">
        <f t="shared" si="170"/>
        <v>4571.9036405057577</v>
      </c>
      <c r="DQ53" s="1088">
        <f t="shared" si="170"/>
        <v>9056.7018320057559</v>
      </c>
      <c r="DR53" s="1682">
        <f t="shared" ref="DR53:DZ53" si="171">+(DR42-DR35)-DR55-SUM(DR44:DR52)</f>
        <v>4961.0208750000002</v>
      </c>
      <c r="DS53" s="1062">
        <f t="shared" si="171"/>
        <v>5004.9715249999999</v>
      </c>
      <c r="DT53" s="1102">
        <f t="shared" si="171"/>
        <v>9965.9923999999992</v>
      </c>
      <c r="DU53" s="53">
        <f t="shared" si="171"/>
        <v>5284</v>
      </c>
      <c r="DV53" s="1062">
        <f>+(DV42-DV35)-DV55-SUM(DV44:DV52)</f>
        <v>5153</v>
      </c>
      <c r="DW53" s="1102">
        <f>+(DW42-DW35)-DW55-SUM(DW44:DW52)</f>
        <v>10437</v>
      </c>
      <c r="DX53" s="53">
        <f t="shared" ref="DX53" si="172">+(DX42-DX35)-DX55-SUM(DX44:DX52)</f>
        <v>5202</v>
      </c>
      <c r="DY53" s="32">
        <f t="shared" si="171"/>
        <v>5186.4778559756314</v>
      </c>
      <c r="DZ53" s="1088">
        <f t="shared" si="171"/>
        <v>10388.477855975631</v>
      </c>
      <c r="EA53" s="53">
        <f t="shared" ref="EA53:EF53" si="173">+(EA42-EA35)-EA55-SUM(EA44:EA52)</f>
        <v>5551.7460893039133</v>
      </c>
      <c r="EB53" s="32">
        <f t="shared" si="173"/>
        <v>5382.3358975167666</v>
      </c>
      <c r="EC53" s="1088">
        <f t="shared" si="173"/>
        <v>10934.081986820682</v>
      </c>
      <c r="ED53" s="53">
        <f t="shared" si="173"/>
        <v>5683.869008672842</v>
      </c>
      <c r="EE53" s="32">
        <f t="shared" si="173"/>
        <v>5670.5449603387224</v>
      </c>
      <c r="EF53" s="1088">
        <f t="shared" si="173"/>
        <v>11354.413969011563</v>
      </c>
      <c r="EG53" s="53">
        <f t="shared" ref="EG53:EL53" si="174">+(EG42-EG35)-EG55-SUM(EG44:EG52)</f>
        <v>5922.4346928199257</v>
      </c>
      <c r="EH53" s="32">
        <f t="shared" si="174"/>
        <v>5939.4508408427237</v>
      </c>
      <c r="EI53" s="1088">
        <f t="shared" si="174"/>
        <v>11861.885533662651</v>
      </c>
      <c r="EJ53" s="53">
        <f t="shared" si="174"/>
        <v>6197.6921480444025</v>
      </c>
      <c r="EK53" s="32">
        <f t="shared" si="174"/>
        <v>6251.5968591832861</v>
      </c>
      <c r="EL53" s="1088">
        <f t="shared" si="174"/>
        <v>12449.28900722769</v>
      </c>
      <c r="EM53" s="53">
        <f t="shared" ref="EM53:ER53" si="175">+(EM42-EM35)-EM55-SUM(EM44:EM52)</f>
        <v>6418.2736580027749</v>
      </c>
      <c r="EN53" s="32">
        <f t="shared" si="175"/>
        <v>6507.9881869927949</v>
      </c>
      <c r="EO53" s="1088">
        <f t="shared" si="175"/>
        <v>12926.261844995572</v>
      </c>
      <c r="EP53" s="53">
        <f t="shared" si="175"/>
        <v>6679.6280489254632</v>
      </c>
      <c r="EQ53" s="32">
        <f t="shared" si="175"/>
        <v>6792.5511418055694</v>
      </c>
      <c r="ER53" s="1088">
        <f t="shared" si="175"/>
        <v>13472.179190731033</v>
      </c>
      <c r="ES53" s="53">
        <f t="shared" ref="ES53:FA53" si="176">+(ES42-ES35)-ES55-SUM(ES44:ES52)</f>
        <v>7002.5536597188129</v>
      </c>
      <c r="ET53" s="32">
        <f t="shared" si="176"/>
        <v>7137.3588831341622</v>
      </c>
      <c r="EU53" s="1088">
        <f t="shared" si="176"/>
        <v>14139.912542852975</v>
      </c>
      <c r="EV53" s="53">
        <f t="shared" si="176"/>
        <v>7389.3309998073473</v>
      </c>
      <c r="EW53" s="32">
        <f t="shared" si="176"/>
        <v>7551.9243318229219</v>
      </c>
      <c r="EX53" s="1088">
        <f t="shared" si="176"/>
        <v>14941.255331630269</v>
      </c>
      <c r="EY53" s="53">
        <f t="shared" si="176"/>
        <v>7800.075015103942</v>
      </c>
      <c r="EZ53" s="32">
        <f t="shared" si="176"/>
        <v>7993.0878252063785</v>
      </c>
      <c r="FA53" s="1088">
        <f t="shared" si="176"/>
        <v>15793.162840310322</v>
      </c>
      <c r="FD53"/>
      <c r="FE53"/>
      <c r="FF53"/>
      <c r="FG53"/>
      <c r="FH53"/>
      <c r="FI53"/>
    </row>
    <row r="54" spans="2:169" s="1119" customFormat="1">
      <c r="B54" s="1723"/>
      <c r="C54" s="1724"/>
      <c r="D54" s="1725"/>
      <c r="E54" s="1726"/>
      <c r="F54" s="1727"/>
      <c r="G54" s="1726"/>
      <c r="H54" s="1726"/>
      <c r="I54" s="1727"/>
      <c r="J54" s="1726"/>
      <c r="K54" s="1726"/>
      <c r="L54" s="1727"/>
      <c r="M54" s="1726"/>
      <c r="N54" s="1726"/>
      <c r="O54" s="1727"/>
      <c r="P54" s="1726"/>
      <c r="Q54" s="1726"/>
      <c r="R54" s="1727"/>
      <c r="S54" s="1726"/>
      <c r="T54" s="1726"/>
      <c r="U54" s="1727"/>
      <c r="V54" s="1726"/>
      <c r="W54" s="1726"/>
      <c r="X54" s="1727"/>
      <c r="Y54" s="1726"/>
      <c r="Z54" s="1726"/>
      <c r="AA54" s="1727"/>
      <c r="AB54" s="1726"/>
      <c r="AC54" s="1726"/>
      <c r="AD54" s="1727"/>
      <c r="AE54" s="1726"/>
      <c r="AF54" s="1726"/>
      <c r="AG54" s="1727"/>
      <c r="AH54" s="1726"/>
      <c r="AI54" s="1726"/>
      <c r="AJ54" s="1727"/>
      <c r="AK54" s="1726"/>
      <c r="AL54" s="1726"/>
      <c r="AM54" s="1727"/>
      <c r="AN54" s="1726"/>
      <c r="AO54" s="1726"/>
      <c r="AP54" s="1727"/>
      <c r="AQ54" s="1726"/>
      <c r="AR54" s="1726"/>
      <c r="AS54" s="1727"/>
      <c r="AT54" s="1726"/>
      <c r="AU54" s="1726"/>
      <c r="AV54" s="1727"/>
      <c r="AW54" s="1726"/>
      <c r="AX54" s="1726"/>
      <c r="AY54" s="1727"/>
      <c r="AZ54" s="1726"/>
      <c r="BA54" s="1726"/>
      <c r="BB54" s="1727"/>
      <c r="BC54" s="1726"/>
      <c r="BD54" s="1726"/>
      <c r="BE54" s="1727"/>
      <c r="BF54" s="1726"/>
      <c r="BG54" s="1726"/>
      <c r="BH54" s="1727"/>
      <c r="BI54" s="1726"/>
      <c r="BJ54" s="1726"/>
      <c r="BK54" s="1727"/>
      <c r="BL54" s="1726"/>
      <c r="BM54" s="1726"/>
      <c r="BN54" s="1727"/>
      <c r="BO54" s="1726"/>
      <c r="BP54" s="1726"/>
      <c r="BQ54" s="1727"/>
      <c r="BR54" s="1726"/>
      <c r="BS54" s="1726"/>
      <c r="BT54" s="1727"/>
      <c r="BU54" s="1726"/>
      <c r="BV54" s="1726"/>
      <c r="BW54" s="1727"/>
      <c r="BX54" s="1726"/>
      <c r="BY54" s="1726"/>
      <c r="BZ54" s="1727"/>
      <c r="CA54" s="1726"/>
      <c r="CB54" s="1728"/>
      <c r="CC54" s="1727"/>
      <c r="CD54" s="1728"/>
      <c r="CE54" s="1726"/>
      <c r="CF54" s="1727"/>
      <c r="CG54" s="1726"/>
      <c r="CH54" s="1726"/>
      <c r="CI54" s="1727"/>
      <c r="CJ54" s="1726"/>
      <c r="CK54" s="1726"/>
      <c r="CL54" s="1727"/>
      <c r="CM54" s="1726"/>
      <c r="CN54" s="1726"/>
      <c r="CO54" s="1727"/>
      <c r="CP54" s="1726"/>
      <c r="CQ54" s="1726"/>
      <c r="CR54" s="1727"/>
      <c r="CS54" s="1157">
        <f>+CS42-CS43</f>
        <v>1965.7000000000003</v>
      </c>
      <c r="CT54" s="1726"/>
      <c r="CU54" s="1727"/>
      <c r="CV54" s="1726"/>
      <c r="CW54" s="1726"/>
      <c r="CX54" s="1726"/>
      <c r="CY54" s="1157"/>
      <c r="CZ54" s="1726"/>
      <c r="DA54" s="1726"/>
      <c r="DB54" s="1726"/>
      <c r="DC54" s="1726"/>
      <c r="DD54" s="1726"/>
      <c r="DE54" s="1729"/>
      <c r="DF54" s="1726"/>
      <c r="DG54" s="1726"/>
      <c r="DH54" s="1729"/>
      <c r="DI54" s="1726"/>
      <c r="DJ54" s="1726"/>
      <c r="DK54" s="1729"/>
      <c r="DL54" s="1726"/>
      <c r="DM54" s="1726"/>
      <c r="DN54" s="1729"/>
      <c r="DO54" s="1726"/>
      <c r="DP54" s="1726"/>
      <c r="DQ54" s="1729"/>
      <c r="DR54" s="1726"/>
      <c r="DS54" s="1726"/>
      <c r="DT54" s="1729"/>
      <c r="DU54" s="1726"/>
      <c r="DV54" s="1726"/>
      <c r="DW54" s="1729"/>
      <c r="DX54" s="1726"/>
      <c r="DY54" s="1726"/>
      <c r="DZ54" s="1729"/>
      <c r="EA54" s="1726"/>
      <c r="EB54" s="1726"/>
      <c r="EC54" s="1729"/>
      <c r="ED54" s="1726"/>
      <c r="EE54" s="1726"/>
      <c r="EF54" s="1729"/>
      <c r="EG54" s="1726"/>
      <c r="EH54" s="1726"/>
      <c r="EI54" s="1729"/>
      <c r="EJ54" s="1726"/>
      <c r="EK54" s="1726"/>
      <c r="EL54" s="1729"/>
      <c r="EM54" s="1726"/>
      <c r="EN54" s="1726"/>
      <c r="EO54" s="1729"/>
      <c r="EP54" s="1726"/>
      <c r="EQ54" s="1726"/>
      <c r="ER54" s="1729"/>
      <c r="ES54" s="1726"/>
      <c r="ET54" s="1726"/>
      <c r="EU54" s="1729"/>
      <c r="EV54" s="1726"/>
      <c r="EW54" s="1726"/>
      <c r="EX54" s="1729"/>
      <c r="EY54" s="1726"/>
      <c r="EZ54" s="1726"/>
      <c r="FA54" s="1729"/>
      <c r="FD54"/>
      <c r="FE54"/>
      <c r="FF54"/>
      <c r="FG54"/>
      <c r="FH54"/>
      <c r="FI54"/>
    </row>
    <row r="55" spans="2:169" s="61" customFormat="1">
      <c r="B55" s="60" t="s">
        <v>740</v>
      </c>
      <c r="D55" s="1658" t="s">
        <v>506</v>
      </c>
      <c r="E55" s="1495">
        <f>+E61+E57</f>
        <v>0</v>
      </c>
      <c r="F55" s="1272">
        <f>+G55-E55</f>
        <v>0</v>
      </c>
      <c r="G55" s="1495">
        <f>+G61+G57</f>
        <v>0</v>
      </c>
      <c r="H55" s="1495">
        <f>+H61+H57</f>
        <v>0</v>
      </c>
      <c r="I55" s="1272">
        <f>+J55-H55</f>
        <v>0</v>
      </c>
      <c r="J55" s="1495">
        <f>+J61+J57</f>
        <v>0</v>
      </c>
      <c r="K55" s="1495">
        <f>+K61+K57</f>
        <v>0</v>
      </c>
      <c r="L55" s="1272">
        <f>+M55-K55</f>
        <v>0</v>
      </c>
      <c r="M55" s="1495">
        <f>+M61+M57</f>
        <v>0</v>
      </c>
      <c r="N55" s="1495">
        <f>+N61+N57</f>
        <v>0</v>
      </c>
      <c r="O55" s="1272">
        <f>+P55-N55</f>
        <v>0</v>
      </c>
      <c r="P55" s="1495">
        <f>+P61+P57</f>
        <v>0</v>
      </c>
      <c r="Q55" s="1495">
        <f>+Q61+Q57</f>
        <v>0</v>
      </c>
      <c r="R55" s="1272">
        <f>+S55-Q55</f>
        <v>0</v>
      </c>
      <c r="S55" s="1495">
        <f>+S61+S57</f>
        <v>0</v>
      </c>
      <c r="T55" s="1495">
        <f>+T61+T57</f>
        <v>0</v>
      </c>
      <c r="U55" s="1272">
        <f>+V55-T55</f>
        <v>0</v>
      </c>
      <c r="V55" s="1495">
        <f>+V61+V57</f>
        <v>0</v>
      </c>
      <c r="W55" s="1495">
        <f>+W61+W57</f>
        <v>0</v>
      </c>
      <c r="X55" s="1272">
        <f>+Y55-W55</f>
        <v>0</v>
      </c>
      <c r="Y55" s="1495">
        <f>+Y61+Y57</f>
        <v>0</v>
      </c>
      <c r="Z55" s="1495">
        <f>+Z61+Z57</f>
        <v>0</v>
      </c>
      <c r="AA55" s="1272">
        <f>+AB55-Z55</f>
        <v>0</v>
      </c>
      <c r="AB55" s="1495">
        <f>+AB61+AB57</f>
        <v>0</v>
      </c>
      <c r="AC55" s="1495">
        <f>+AC61+AC57</f>
        <v>0</v>
      </c>
      <c r="AD55" s="1272">
        <f>+AE55-AC55</f>
        <v>0</v>
      </c>
      <c r="AE55" s="1495">
        <f>+AE61+AE57</f>
        <v>0</v>
      </c>
      <c r="AF55" s="1495">
        <f>+AF61+AF57</f>
        <v>0</v>
      </c>
      <c r="AG55" s="1272">
        <f>+AH55-AF55</f>
        <v>0</v>
      </c>
      <c r="AH55" s="1495">
        <f>+AH61+AH57</f>
        <v>0</v>
      </c>
      <c r="AI55" s="1495">
        <f>+AI61+AI57</f>
        <v>0</v>
      </c>
      <c r="AJ55" s="1272">
        <f>+AK55-AI55</f>
        <v>4.8000000000000001E-2</v>
      </c>
      <c r="AK55" s="1495">
        <f>+AK61+AK57</f>
        <v>4.8000000000000001E-2</v>
      </c>
      <c r="AL55" s="1495">
        <f>+AL61+AL57</f>
        <v>0</v>
      </c>
      <c r="AM55" s="1272">
        <f>+AN55-AL55</f>
        <v>72.448000000000008</v>
      </c>
      <c r="AN55" s="1495">
        <f>+AN61+AN57</f>
        <v>72.448000000000008</v>
      </c>
      <c r="AO55" s="1495">
        <f>+AO61+AO57</f>
        <v>16.681000000000001</v>
      </c>
      <c r="AP55" s="1272">
        <f>+AQ55-AO55</f>
        <v>62.438999999999993</v>
      </c>
      <c r="AQ55" s="1495">
        <f>+AQ61+AQ57</f>
        <v>79.11999999999999</v>
      </c>
      <c r="AR55" s="1495">
        <f>+AR61+AR57</f>
        <v>20.204999999999998</v>
      </c>
      <c r="AS55" s="1272">
        <f>+AT55-AR55</f>
        <v>69.873000000000005</v>
      </c>
      <c r="AT55" s="1495">
        <f>+AT61+AT57</f>
        <v>90.078000000000003</v>
      </c>
      <c r="AU55" s="1495">
        <f>+AU61+AU57</f>
        <v>40.472999999999999</v>
      </c>
      <c r="AV55" s="1272">
        <f>+AW55-AU55</f>
        <v>61.924000000000007</v>
      </c>
      <c r="AW55" s="1495">
        <f>+AW61+AW57</f>
        <v>102.39700000000001</v>
      </c>
      <c r="AX55" s="1495">
        <f>+AX61+AX57</f>
        <v>27.812000000000001</v>
      </c>
      <c r="AY55" s="1272">
        <f>+AZ55-AX55</f>
        <v>83.028000000000006</v>
      </c>
      <c r="AZ55" s="1495">
        <f>+AZ61+AZ57</f>
        <v>110.84</v>
      </c>
      <c r="BA55" s="1495">
        <f>+BA61+BA57</f>
        <v>76.902000000000001</v>
      </c>
      <c r="BB55" s="1272">
        <f>+BC55-BA55</f>
        <v>125.99499999999999</v>
      </c>
      <c r="BC55" s="1495">
        <f>+BC61+BC57</f>
        <v>202.89699999999999</v>
      </c>
      <c r="BD55" s="1495">
        <f>+BD61+BD57</f>
        <v>138.26765333333333</v>
      </c>
      <c r="BE55" s="1272">
        <f>+BF55-BD55</f>
        <v>154.51334666666673</v>
      </c>
      <c r="BF55" s="1495">
        <f>+BF61+BF57</f>
        <v>292.78100000000006</v>
      </c>
      <c r="BG55" s="1495">
        <f>+BG61+BG57</f>
        <v>132.029</v>
      </c>
      <c r="BH55" s="1272">
        <f>+BI55-BG55</f>
        <v>123.036</v>
      </c>
      <c r="BI55" s="1495">
        <f>+BI61+BI57</f>
        <v>255.065</v>
      </c>
      <c r="BJ55" s="1495">
        <f>+BJ61+BJ57</f>
        <v>89.093999999999994</v>
      </c>
      <c r="BK55" s="1272">
        <f>+BL55-BJ55</f>
        <v>-10.093999999999994</v>
      </c>
      <c r="BL55" s="1495">
        <f>+BL61+BL57</f>
        <v>79</v>
      </c>
      <c r="BM55" s="1495">
        <f>+BM61+BM57</f>
        <v>58.151000000000003</v>
      </c>
      <c r="BN55" s="1272">
        <f>+BO55-BM55</f>
        <v>727.56000000000017</v>
      </c>
      <c r="BO55" s="1495">
        <f>+BO61+BO57</f>
        <v>785.71100000000013</v>
      </c>
      <c r="BP55" s="1495">
        <f>+BP61+BP57</f>
        <v>319.97800000000001</v>
      </c>
      <c r="BQ55" s="1272">
        <f>+BR55-BP55</f>
        <v>311.11700000000002</v>
      </c>
      <c r="BR55" s="1495">
        <f>+BR61+BR57</f>
        <v>631.09500000000003</v>
      </c>
      <c r="BS55" s="1495">
        <f>+BS61+BS57</f>
        <v>390.71299999999997</v>
      </c>
      <c r="BT55" s="1272">
        <f>+BU55-BS55</f>
        <v>527.92099999999994</v>
      </c>
      <c r="BU55" s="1495">
        <f>+BU61+BU57</f>
        <v>918.6339999999999</v>
      </c>
      <c r="BV55" s="1495">
        <f>+BV61+BV57</f>
        <v>568.26495891817069</v>
      </c>
      <c r="BW55" s="1272">
        <f>+BX55-BV55</f>
        <v>541.67495353544916</v>
      </c>
      <c r="BX55" s="1495">
        <f>+BX61+BX57</f>
        <v>1109.9399124536199</v>
      </c>
      <c r="BY55" s="1495">
        <f>+BY61+BY57</f>
        <v>701.21405997542922</v>
      </c>
      <c r="BZ55" s="1272">
        <f>+CA55-BY55</f>
        <v>685.84412533621651</v>
      </c>
      <c r="CA55" s="1495">
        <f>+CA61+CA57</f>
        <v>1387.0581853116457</v>
      </c>
      <c r="CB55" s="1495">
        <f>+CB61+CB57</f>
        <v>863.17945954725474</v>
      </c>
      <c r="CC55" s="1272">
        <f>+CD55-CB55</f>
        <v>628.5788410357784</v>
      </c>
      <c r="CD55" s="1495">
        <f>+CD61+CD57</f>
        <v>1491.7583005830331</v>
      </c>
      <c r="CE55" s="1495">
        <f>+CE61+CE57</f>
        <v>716.04197980628908</v>
      </c>
      <c r="CF55" s="1272">
        <f>+CG55-CE55</f>
        <v>632.16564892032068</v>
      </c>
      <c r="CG55" s="1495">
        <f>+CG61+CG57</f>
        <v>1348.2076287266098</v>
      </c>
      <c r="CH55" s="1495">
        <f>+CH61+CH57</f>
        <v>725.16278719312106</v>
      </c>
      <c r="CI55" s="1272">
        <f>+CJ55-CH55</f>
        <v>690.67469364214355</v>
      </c>
      <c r="CJ55" s="1495">
        <f>+CJ61+CJ57</f>
        <v>1415.8374808352646</v>
      </c>
      <c r="CK55" s="1495">
        <f>+CK61+CK57</f>
        <v>878.51178537571832</v>
      </c>
      <c r="CL55" s="1272">
        <f>+CM55-CK55</f>
        <v>793.39131419397495</v>
      </c>
      <c r="CM55" s="1495">
        <f>+CM61+CM57</f>
        <v>1671.9030995696933</v>
      </c>
      <c r="CN55" s="1495">
        <f>+CN61+CN57</f>
        <v>906</v>
      </c>
      <c r="CO55" s="1272">
        <f>+CP55-CN55</f>
        <v>913.59999999999991</v>
      </c>
      <c r="CP55" s="1495">
        <f>+CP61+CP57</f>
        <v>1819.6</v>
      </c>
      <c r="CQ55" s="1495">
        <f>+CQ61+CQ57</f>
        <v>962.79999999999984</v>
      </c>
      <c r="CR55" s="1272">
        <f>+CS55-CQ55</f>
        <v>987.30000000000007</v>
      </c>
      <c r="CS55" s="1495">
        <f>+CS61+CS57</f>
        <v>1950.1</v>
      </c>
      <c r="CT55" s="1495">
        <f>+CT61+CT57</f>
        <v>912.0493648872615</v>
      </c>
      <c r="CU55" s="1272">
        <f>+CV55-CT55</f>
        <v>828.15063511273877</v>
      </c>
      <c r="CV55" s="1495">
        <f>+CV61+CV57</f>
        <v>1740.2000000000003</v>
      </c>
      <c r="CW55" s="1495">
        <f>+CW61+CW57</f>
        <v>1225.7</v>
      </c>
      <c r="CX55" s="1272">
        <f>+CY55-CW55</f>
        <v>831.85728683243428</v>
      </c>
      <c r="CY55" s="1495">
        <f>+CY61+CY57</f>
        <v>2057.5572868324343</v>
      </c>
      <c r="CZ55" s="1495">
        <f>+CZ61+CZ57</f>
        <v>1616.5090930720517</v>
      </c>
      <c r="DA55" s="1272">
        <f>+DB55-CZ55</f>
        <v>1060.4909069279483</v>
      </c>
      <c r="DB55" s="1495">
        <f>+DB61+DB57</f>
        <v>2677</v>
      </c>
      <c r="DC55" s="1495">
        <f>+DC61+DC57</f>
        <v>1718.9</v>
      </c>
      <c r="DD55" s="1272">
        <f>+DE55-DC55</f>
        <v>1160.5</v>
      </c>
      <c r="DE55" s="1496">
        <f>+DE61+DE57</f>
        <v>2879.4</v>
      </c>
      <c r="DF55" s="1495">
        <f>+DF61+DF57</f>
        <v>1836.7326205237171</v>
      </c>
      <c r="DG55" s="1272">
        <f>+DH55-DF55</f>
        <v>1300.0048524865335</v>
      </c>
      <c r="DH55" s="1496">
        <f>+DH61+DH57</f>
        <v>3136.7374730102506</v>
      </c>
      <c r="DI55" s="1495">
        <f>+DI61+DI57</f>
        <v>2605.5315449999998</v>
      </c>
      <c r="DJ55" s="1272">
        <f>+DK55-DI55</f>
        <v>1040.5542762500004</v>
      </c>
      <c r="DK55" s="1496">
        <f>+DK61+DK57</f>
        <v>3646.0858212500002</v>
      </c>
      <c r="DL55" s="1495">
        <f>+DL61+DL57</f>
        <v>2495.6235962499995</v>
      </c>
      <c r="DM55" s="1272">
        <f>+DN55-DL55</f>
        <v>1129.1764037500006</v>
      </c>
      <c r="DN55" s="1496">
        <f>+DN61+DN57</f>
        <v>3624.8</v>
      </c>
      <c r="DO55" s="1495">
        <f>+DO61+DO57</f>
        <v>2699.2018085000004</v>
      </c>
      <c r="DP55" s="1272">
        <f>+DQ55-DO55</f>
        <v>1554.0963594942436</v>
      </c>
      <c r="DQ55" s="1496">
        <f>+DQ61+DQ57</f>
        <v>4253.2981679942441</v>
      </c>
      <c r="DR55" s="1707">
        <f>+DR61+DR57</f>
        <v>3091.9791249999998</v>
      </c>
      <c r="DS55" s="1709">
        <f>+DT55-DR55</f>
        <v>1742.0284750000001</v>
      </c>
      <c r="DT55" s="1708">
        <f>+DT61+DT57</f>
        <v>4834.0075999999999</v>
      </c>
      <c r="DU55" s="1495">
        <f>+DU61+DU57</f>
        <v>3199</v>
      </c>
      <c r="DV55" s="1709">
        <f>+DW55-DU55</f>
        <v>1922</v>
      </c>
      <c r="DW55" s="1708">
        <f>+DW61+DW57</f>
        <v>5121</v>
      </c>
      <c r="DX55" s="1495">
        <f>+DX61+DX57</f>
        <v>3130</v>
      </c>
      <c r="DY55" s="1272">
        <f>+DZ55-DX55</f>
        <v>2404.909398892637</v>
      </c>
      <c r="DZ55" s="1496">
        <f>+DZ61+DZ57</f>
        <v>5534.909398892637</v>
      </c>
      <c r="EA55" s="1495">
        <f>+EA61+EA57</f>
        <v>3321.213990883301</v>
      </c>
      <c r="EB55" s="1272">
        <f>+EC55-EA55</f>
        <v>2515.9920970553435</v>
      </c>
      <c r="EC55" s="1496">
        <f>+EC61+EC57</f>
        <v>5837.2060879386445</v>
      </c>
      <c r="ED55" s="1495">
        <f>+ED61+ED57</f>
        <v>3588.6001193625016</v>
      </c>
      <c r="EE55" s="1272">
        <f>+EF55-ED55</f>
        <v>2721.2718232867519</v>
      </c>
      <c r="EF55" s="1496">
        <f>+EF61+EF57</f>
        <v>6309.8719426492535</v>
      </c>
      <c r="EG55" s="1495">
        <f>+EG61+EG57</f>
        <v>3879.5071850639661</v>
      </c>
      <c r="EH55" s="1272">
        <f>+EI55-EG55</f>
        <v>2999.1605566785138</v>
      </c>
      <c r="EI55" s="1496">
        <f>+EI61+EI57</f>
        <v>6878.6677417424798</v>
      </c>
      <c r="EJ55" s="1495">
        <f>+EJ61+EJ57</f>
        <v>4171.8087413204821</v>
      </c>
      <c r="EK55" s="1272">
        <f>+EL55-EJ55</f>
        <v>3282.1734959762161</v>
      </c>
      <c r="EL55" s="1496">
        <f>+EL61+EL57</f>
        <v>7453.9822372966983</v>
      </c>
      <c r="EM55" s="1495">
        <f>+EM61+EM57</f>
        <v>4508.2307813561447</v>
      </c>
      <c r="EN55" s="1272">
        <f>+EO55-EM55</f>
        <v>3549.4633024904206</v>
      </c>
      <c r="EO55" s="1496">
        <f>+EO61+EO57</f>
        <v>8057.6940838465653</v>
      </c>
      <c r="EP55" s="1495">
        <f>+EP61+EP57</f>
        <v>4826.5420670975809</v>
      </c>
      <c r="EQ55" s="1272">
        <f>+ER55-EP55</f>
        <v>3848.9327947942938</v>
      </c>
      <c r="ER55" s="1496">
        <f>+ER61+ER57</f>
        <v>8675.4748618918748</v>
      </c>
      <c r="ES55" s="1495">
        <f>+ES61+ES57</f>
        <v>5130.6045488367909</v>
      </c>
      <c r="ET55" s="1272">
        <f>+EU55-ES55</f>
        <v>4125.8071309425759</v>
      </c>
      <c r="EU55" s="1496">
        <f>+EU61+EU57</f>
        <v>9256.4116797793668</v>
      </c>
      <c r="EV55" s="1495">
        <f>+EV61+EV57</f>
        <v>5409.6621057095017</v>
      </c>
      <c r="EW55" s="1272">
        <f>+EX55-EV55</f>
        <v>4373.0857959555633</v>
      </c>
      <c r="EX55" s="1496">
        <f>+EX61+EX57</f>
        <v>9782.747901665065</v>
      </c>
      <c r="EY55" s="1495">
        <f>+EY61+EY57</f>
        <v>5706.1445184193226</v>
      </c>
      <c r="EZ55" s="1272">
        <f>+FA55-EY55</f>
        <v>4636.6125828369995</v>
      </c>
      <c r="FA55" s="1496">
        <f>+FA61+FA57</f>
        <v>10342.757101256322</v>
      </c>
      <c r="FB55" s="1710"/>
      <c r="FD55"/>
      <c r="FE55"/>
      <c r="FF55"/>
      <c r="FG55"/>
      <c r="FH55"/>
      <c r="FI55"/>
      <c r="FJ55" s="33"/>
      <c r="FK55" s="33"/>
      <c r="FL55" s="33"/>
      <c r="FM55" s="33"/>
    </row>
    <row r="56" spans="2:169" s="33" customFormat="1">
      <c r="B56" s="52" t="s">
        <v>539</v>
      </c>
      <c r="D56" s="1121" t="s">
        <v>507</v>
      </c>
      <c r="E56" s="1122"/>
      <c r="F56" s="1122"/>
      <c r="G56" s="1122"/>
      <c r="H56" s="1122"/>
      <c r="I56" s="1122"/>
      <c r="J56" s="1122"/>
      <c r="K56" s="1122"/>
      <c r="L56" s="1122"/>
      <c r="M56" s="1122"/>
      <c r="N56" s="1122"/>
      <c r="O56" s="1122"/>
      <c r="P56" s="1122"/>
      <c r="Q56" s="1122"/>
      <c r="R56" s="1122"/>
      <c r="S56" s="1122"/>
      <c r="T56" s="1122"/>
      <c r="U56" s="1122"/>
      <c r="V56" s="1122"/>
      <c r="W56" s="1122"/>
      <c r="X56" s="1122"/>
      <c r="Y56" s="1122"/>
      <c r="Z56" s="1122"/>
      <c r="AA56" s="1122"/>
      <c r="AB56" s="1122"/>
      <c r="AC56" s="1122"/>
      <c r="AD56" s="1122"/>
      <c r="AE56" s="1122"/>
      <c r="AF56" s="1122"/>
      <c r="AG56" s="1122"/>
      <c r="AH56" s="1122"/>
      <c r="AI56" s="1122"/>
      <c r="AJ56" s="1122"/>
      <c r="AK56" s="1122"/>
      <c r="AL56" s="1122"/>
      <c r="AM56" s="1122">
        <f t="shared" ref="AM56:BI56" si="177">+AM55/AM30</f>
        <v>0.25772851135886621</v>
      </c>
      <c r="AN56" s="1122">
        <f t="shared" si="177"/>
        <v>0.25772851135886621</v>
      </c>
      <c r="AO56" s="1122">
        <f t="shared" si="177"/>
        <v>0.1268546050480239</v>
      </c>
      <c r="AP56" s="1122">
        <f t="shared" si="177"/>
        <v>0.3598665175844063</v>
      </c>
      <c r="AQ56" s="1122">
        <f t="shared" si="177"/>
        <v>0.25940728451851292</v>
      </c>
      <c r="AR56" s="1122">
        <f t="shared" si="177"/>
        <v>0.12925905549087094</v>
      </c>
      <c r="AS56" s="1122">
        <f t="shared" si="177"/>
        <v>0.3543668886330556</v>
      </c>
      <c r="AT56" s="1122">
        <f t="shared" si="177"/>
        <v>0.25482402663717041</v>
      </c>
      <c r="AU56" s="1122">
        <f t="shared" si="177"/>
        <v>0.21355755126162157</v>
      </c>
      <c r="AV56" s="1122">
        <f t="shared" si="177"/>
        <v>0.27650444512911193</v>
      </c>
      <c r="AW56" s="1122">
        <f t="shared" si="177"/>
        <v>0.24765219326143795</v>
      </c>
      <c r="AX56" s="1122">
        <f t="shared" si="177"/>
        <v>0.13303739703617248</v>
      </c>
      <c r="AY56" s="1122">
        <f t="shared" si="177"/>
        <v>0.34373861491074093</v>
      </c>
      <c r="AZ56" s="1122">
        <f t="shared" si="177"/>
        <v>0.24598422540712564</v>
      </c>
      <c r="BA56" s="1122"/>
      <c r="BB56" s="1122"/>
      <c r="BC56" s="1122">
        <f t="shared" si="177"/>
        <v>0.23735529184955032</v>
      </c>
      <c r="BD56" s="1122">
        <f t="shared" si="177"/>
        <v>0.23442943571745464</v>
      </c>
      <c r="BE56" s="1122">
        <f t="shared" si="177"/>
        <v>0.20320623410054056</v>
      </c>
      <c r="BF56" s="1122">
        <f t="shared" si="177"/>
        <v>0.21684558081799346</v>
      </c>
      <c r="BG56" s="1122">
        <f t="shared" si="177"/>
        <v>0.20634302932553153</v>
      </c>
      <c r="BH56" s="1122">
        <f t="shared" si="177"/>
        <v>0.18627931905306952</v>
      </c>
      <c r="BI56" s="1122">
        <f t="shared" si="177"/>
        <v>0.1961519413324474</v>
      </c>
      <c r="BJ56" s="1122">
        <f t="shared" ref="BJ56:BO56" si="178">+BJ55/BJ30</f>
        <v>0.14005451647284078</v>
      </c>
      <c r="BK56" s="1122">
        <f t="shared" si="178"/>
        <v>-9.9540657437740196E-3</v>
      </c>
      <c r="BL56" s="1122">
        <f t="shared" si="178"/>
        <v>4.7873101134653095E-2</v>
      </c>
      <c r="BM56" s="1122">
        <f t="shared" si="178"/>
        <v>4.1120930936409679E-2</v>
      </c>
      <c r="BN56" s="1122">
        <f t="shared" si="178"/>
        <v>0.54466726756042128</v>
      </c>
      <c r="BO56" s="1122">
        <f t="shared" si="178"/>
        <v>0.28571994818784746</v>
      </c>
      <c r="BP56" s="1122"/>
      <c r="BQ56" s="1122"/>
      <c r="BR56" s="1122"/>
      <c r="BS56" s="1122"/>
      <c r="BT56" s="1122"/>
      <c r="BU56" s="1122"/>
      <c r="BV56" s="1122">
        <f t="shared" ref="BV56:CV56" si="179">+BV55/BV30</f>
        <v>0.36778018949481883</v>
      </c>
      <c r="BW56" s="1122">
        <f t="shared" si="179"/>
        <v>0.31809365758468228</v>
      </c>
      <c r="BX56" s="1122">
        <f t="shared" si="179"/>
        <v>0.34173026861256767</v>
      </c>
      <c r="BY56" s="1122">
        <f t="shared" si="179"/>
        <v>0.38983792644430387</v>
      </c>
      <c r="BZ56" s="1122">
        <f t="shared" si="179"/>
        <v>0.40162922278200136</v>
      </c>
      <c r="CA56" s="1122">
        <f t="shared" si="179"/>
        <v>0.39558043695310663</v>
      </c>
      <c r="CB56" s="1122">
        <f t="shared" si="179"/>
        <v>0.41270250551297755</v>
      </c>
      <c r="CC56" s="1122">
        <f t="shared" si="179"/>
        <v>0.31890261704367873</v>
      </c>
      <c r="CD56" s="1122">
        <f t="shared" si="179"/>
        <v>0.36719320415442824</v>
      </c>
      <c r="CE56" s="1122">
        <f t="shared" si="179"/>
        <v>0.35019618137401193</v>
      </c>
      <c r="CF56" s="1122">
        <f t="shared" si="179"/>
        <v>0.28779174762945231</v>
      </c>
      <c r="CG56" s="1122">
        <f t="shared" si="179"/>
        <v>0.31787632604665195</v>
      </c>
      <c r="CH56" s="1122">
        <f t="shared" si="179"/>
        <v>0.31445258267631532</v>
      </c>
      <c r="CI56" s="1122">
        <f t="shared" si="179"/>
        <v>0.29793727302164108</v>
      </c>
      <c r="CJ56" s="1122">
        <f t="shared" si="179"/>
        <v>0.30617336263548312</v>
      </c>
      <c r="CK56" s="1122">
        <f t="shared" si="179"/>
        <v>0.35249038453465409</v>
      </c>
      <c r="CL56" s="1122">
        <f t="shared" si="179"/>
        <v>0.32144531002105764</v>
      </c>
      <c r="CM56" s="1122">
        <f t="shared" si="179"/>
        <v>0.33704326168122017</v>
      </c>
      <c r="CN56" s="1122">
        <f t="shared" si="179"/>
        <v>0.35195400512780672</v>
      </c>
      <c r="CO56" s="1122">
        <f t="shared" si="179"/>
        <v>0.33094254872129258</v>
      </c>
      <c r="CP56" s="1122">
        <f t="shared" si="179"/>
        <v>0.341081202669266</v>
      </c>
      <c r="CQ56" s="1122">
        <f t="shared" si="179"/>
        <v>0.33952815883203435</v>
      </c>
      <c r="CR56" s="1122">
        <f t="shared" si="179"/>
        <v>0.35774331473295146</v>
      </c>
      <c r="CS56" s="1122">
        <f t="shared" si="179"/>
        <v>0.34851219730140276</v>
      </c>
      <c r="CT56" s="1122">
        <f t="shared" si="179"/>
        <v>0.29085917640540215</v>
      </c>
      <c r="CU56" s="1122">
        <f t="shared" si="179"/>
        <v>0.28364312252548007</v>
      </c>
      <c r="CV56" s="1122">
        <f t="shared" si="179"/>
        <v>0.2873798592991379</v>
      </c>
      <c r="CW56" s="1122">
        <f t="shared" ref="CW56:DQ56" si="180">+CW55/CW30</f>
        <v>0.34081303525747975</v>
      </c>
      <c r="CX56" s="1122">
        <f t="shared" si="180"/>
        <v>0.2650746564375866</v>
      </c>
      <c r="CY56" s="1122">
        <f t="shared" si="180"/>
        <v>0.30552034075259621</v>
      </c>
      <c r="CZ56" s="1122">
        <f t="shared" si="180"/>
        <v>0.39624881047282207</v>
      </c>
      <c r="DA56" s="1122">
        <f t="shared" si="180"/>
        <v>0.28771016584712833</v>
      </c>
      <c r="DB56" s="1122">
        <f t="shared" si="180"/>
        <v>0.34472989504861246</v>
      </c>
      <c r="DC56" s="1122">
        <f t="shared" si="180"/>
        <v>0.38919078023819226</v>
      </c>
      <c r="DD56" s="1122">
        <f t="shared" si="180"/>
        <v>0.29263433946087691</v>
      </c>
      <c r="DE56" s="1123">
        <f t="shared" si="180"/>
        <v>0.34350953795497652</v>
      </c>
      <c r="DF56" s="1122">
        <f t="shared" si="180"/>
        <v>0.38379342202744038</v>
      </c>
      <c r="DG56" s="1122">
        <f t="shared" si="180"/>
        <v>0.3115671339578806</v>
      </c>
      <c r="DH56" s="1123">
        <f t="shared" si="180"/>
        <v>0.35015251423563598</v>
      </c>
      <c r="DI56" s="1122">
        <f t="shared" si="180"/>
        <v>0.45861175889793387</v>
      </c>
      <c r="DJ56" s="1122">
        <f t="shared" si="180"/>
        <v>0.23200992396090414</v>
      </c>
      <c r="DK56" s="1123">
        <f t="shared" si="180"/>
        <v>0.35864430140867909</v>
      </c>
      <c r="DL56" s="1122">
        <f t="shared" si="180"/>
        <v>0.42290820291979453</v>
      </c>
      <c r="DM56" s="1122">
        <f t="shared" si="180"/>
        <v>0.25532535980780119</v>
      </c>
      <c r="DN56" s="1123">
        <f t="shared" si="180"/>
        <v>0.35111782711457246</v>
      </c>
      <c r="DO56" s="1122">
        <f t="shared" si="180"/>
        <v>0.38802820627641538</v>
      </c>
      <c r="DP56" s="1122">
        <f t="shared" si="180"/>
        <v>0.26557578172429741</v>
      </c>
      <c r="DQ56" s="1123">
        <f t="shared" si="180"/>
        <v>0.33208136851922582</v>
      </c>
      <c r="DR56" s="1122">
        <f t="shared" ref="DR56:DZ56" si="181">+DR55/DR30</f>
        <v>0.39615363549007043</v>
      </c>
      <c r="DS56" s="1122">
        <f t="shared" si="181"/>
        <v>0.26891455310280954</v>
      </c>
      <c r="DT56" s="1123">
        <f t="shared" si="181"/>
        <v>0.33844483651893859</v>
      </c>
      <c r="DU56" s="1122">
        <f t="shared" si="181"/>
        <v>0.38874711386559729</v>
      </c>
      <c r="DV56" s="1122">
        <f>+DV55/DV30</f>
        <v>0.28132318501170961</v>
      </c>
      <c r="DW56" s="1123">
        <f>+DW55/DW30</f>
        <v>0.34001726312993824</v>
      </c>
      <c r="DX56" s="1122">
        <f t="shared" ref="DX56" si="182">+DX55/DX30</f>
        <v>0.38680177953534356</v>
      </c>
      <c r="DY56" s="1122">
        <f t="shared" si="181"/>
        <v>0.32563959665441605</v>
      </c>
      <c r="DZ56" s="1123">
        <f t="shared" si="181"/>
        <v>0.35761726648048792</v>
      </c>
      <c r="EA56" s="1122">
        <f t="shared" ref="EA56:EF56" si="183">+EA55/EA30</f>
        <v>0.38422410588601746</v>
      </c>
      <c r="EB56" s="1122">
        <f t="shared" si="183"/>
        <v>0.32712744004954181</v>
      </c>
      <c r="EC56" s="1123">
        <f t="shared" si="183"/>
        <v>0.35734091796729467</v>
      </c>
      <c r="ED56" s="1122">
        <f t="shared" si="183"/>
        <v>0.39686205259006369</v>
      </c>
      <c r="EE56" s="1122">
        <f t="shared" si="183"/>
        <v>0.33252427120327338</v>
      </c>
      <c r="EF56" s="1123">
        <f t="shared" si="183"/>
        <v>0.36629684901908832</v>
      </c>
      <c r="EG56" s="1122">
        <f t="shared" ref="EG56:EL56" si="184">+EG55/EG30</f>
        <v>0.40534507455199642</v>
      </c>
      <c r="EH56" s="1122">
        <f t="shared" si="184"/>
        <v>0.34356704602618737</v>
      </c>
      <c r="EI56" s="1123">
        <f t="shared" si="184"/>
        <v>0.37587625001449476</v>
      </c>
      <c r="EJ56" s="1122">
        <f t="shared" si="184"/>
        <v>0.4115270115927302</v>
      </c>
      <c r="EK56" s="1122">
        <f t="shared" si="184"/>
        <v>0.3520278090769538</v>
      </c>
      <c r="EL56" s="1123">
        <f t="shared" si="184"/>
        <v>0.38302139824066167</v>
      </c>
      <c r="EM56" s="1122">
        <f t="shared" ref="EM56:ER56" si="185">+EM55/EM30</f>
        <v>0.42159273850162338</v>
      </c>
      <c r="EN56" s="1122">
        <f t="shared" si="185"/>
        <v>0.3604882841543689</v>
      </c>
      <c r="EO56" s="1123">
        <f t="shared" si="185"/>
        <v>0.39230050433278385</v>
      </c>
      <c r="EP56" s="1122">
        <f t="shared" si="185"/>
        <v>0.42819149865678169</v>
      </c>
      <c r="EQ56" s="1122">
        <f t="shared" si="185"/>
        <v>0.36905203375331164</v>
      </c>
      <c r="ER56" s="1123">
        <f t="shared" si="185"/>
        <v>0.39976999475449898</v>
      </c>
      <c r="ES56" s="1122">
        <f t="shared" ref="ES56:FA56" si="186">+ES55/ES30</f>
        <v>0.4312220148063089</v>
      </c>
      <c r="ET56" s="1122">
        <f t="shared" si="186"/>
        <v>0.37338141324989343</v>
      </c>
      <c r="EU56" s="1123">
        <f t="shared" si="186"/>
        <v>0.40337039927912977</v>
      </c>
      <c r="EV56" s="1122">
        <f t="shared" si="186"/>
        <v>0.43061776422302711</v>
      </c>
      <c r="EW56" s="1122">
        <f t="shared" si="186"/>
        <v>0.37342999678843836</v>
      </c>
      <c r="EX56" s="1123">
        <f t="shared" si="186"/>
        <v>0.40302750604581017</v>
      </c>
      <c r="EY56" s="1122">
        <f t="shared" si="186"/>
        <v>0.43004631345786237</v>
      </c>
      <c r="EZ56" s="1122">
        <f t="shared" si="186"/>
        <v>0.37349391079998473</v>
      </c>
      <c r="FA56" s="1123">
        <f t="shared" si="186"/>
        <v>0.40271091434377321</v>
      </c>
      <c r="FB56" s="18"/>
      <c r="FD56"/>
      <c r="FE56"/>
      <c r="FF56"/>
      <c r="FG56"/>
      <c r="FH56"/>
      <c r="FI56"/>
    </row>
    <row r="57" spans="2:169" s="33" customFormat="1">
      <c r="B57" s="54" t="s">
        <v>540</v>
      </c>
      <c r="D57" s="2" t="s">
        <v>506</v>
      </c>
      <c r="E57" s="32">
        <f>+SUM(E58:E60)</f>
        <v>0</v>
      </c>
      <c r="F57" s="32">
        <f>+G57-E57</f>
        <v>0</v>
      </c>
      <c r="G57" s="32">
        <f>+SUM(G58:G60)</f>
        <v>0</v>
      </c>
      <c r="H57" s="32">
        <f>+SUM(H58:H60)</f>
        <v>0</v>
      </c>
      <c r="I57" s="32">
        <f>+J57-H57</f>
        <v>0</v>
      </c>
      <c r="J57" s="32">
        <f>+SUM(J58:J60)</f>
        <v>0</v>
      </c>
      <c r="K57" s="32">
        <f>+SUM(K58:K60)</f>
        <v>0</v>
      </c>
      <c r="L57" s="32">
        <f>+M57-K57</f>
        <v>0</v>
      </c>
      <c r="M57" s="32">
        <f>+SUM(M58:M60)</f>
        <v>0</v>
      </c>
      <c r="N57" s="32">
        <f>+SUM(N58:N60)</f>
        <v>0</v>
      </c>
      <c r="O57" s="32">
        <f>+P57-N57</f>
        <v>0</v>
      </c>
      <c r="P57" s="32">
        <f>+SUM(P58:P60)</f>
        <v>0</v>
      </c>
      <c r="Q57" s="32">
        <f>+SUM(Q58:Q60)</f>
        <v>0</v>
      </c>
      <c r="R57" s="32">
        <f>+S57-Q57</f>
        <v>0</v>
      </c>
      <c r="S57" s="32">
        <f>+SUM(S58:S60)</f>
        <v>0</v>
      </c>
      <c r="T57" s="32">
        <f>+SUM(T58:T60)</f>
        <v>0</v>
      </c>
      <c r="U57" s="32">
        <f>+V57-T57</f>
        <v>0</v>
      </c>
      <c r="V57" s="32">
        <f>+SUM(V58:V60)</f>
        <v>0</v>
      </c>
      <c r="W57" s="32">
        <f>+SUM(W58:W60)</f>
        <v>0</v>
      </c>
      <c r="X57" s="32">
        <f>+Y57-W57</f>
        <v>0</v>
      </c>
      <c r="Y57" s="32">
        <f>+SUM(Y58:Y60)</f>
        <v>0</v>
      </c>
      <c r="Z57" s="32">
        <f>+SUM(Z58:Z60)</f>
        <v>0</v>
      </c>
      <c r="AA57" s="32">
        <f>+AB57-Z57</f>
        <v>0</v>
      </c>
      <c r="AB57" s="32">
        <f>+SUM(AB58:AB60)</f>
        <v>0</v>
      </c>
      <c r="AC57" s="32">
        <f>+SUM(AC58:AC60)</f>
        <v>0</v>
      </c>
      <c r="AD57" s="32">
        <f>+AE57-AC57</f>
        <v>0</v>
      </c>
      <c r="AE57" s="32">
        <f>+SUM(AE58:AE60)</f>
        <v>0</v>
      </c>
      <c r="AF57" s="32">
        <f>+SUM(AF58:AF60)</f>
        <v>0</v>
      </c>
      <c r="AG57" s="32">
        <f>+AH57-AF57</f>
        <v>0</v>
      </c>
      <c r="AH57" s="32">
        <f>+SUM(AH58:AH60)</f>
        <v>0</v>
      </c>
      <c r="AI57" s="32">
        <f>+SUM(AI58:AI60)</f>
        <v>0</v>
      </c>
      <c r="AJ57" s="32">
        <f>+AK57-AI57</f>
        <v>4.8000000000000001E-2</v>
      </c>
      <c r="AK57" s="32">
        <f>+SUM(AK58:AK60)</f>
        <v>4.8000000000000001E-2</v>
      </c>
      <c r="AL57" s="32">
        <f>+SUM(AL58:AL60)</f>
        <v>0</v>
      </c>
      <c r="AM57" s="32">
        <f>+AN57-AL57</f>
        <v>29.35</v>
      </c>
      <c r="AN57" s="32">
        <f>+SUM(AN58:AN60)</f>
        <v>29.35</v>
      </c>
      <c r="AO57" s="32">
        <f>+SUM(AO58:AO60)</f>
        <v>0</v>
      </c>
      <c r="AP57" s="32">
        <f>+AQ57-AO57</f>
        <v>29.992000000000001</v>
      </c>
      <c r="AQ57" s="32">
        <f>+SUM(AQ58:AQ60)</f>
        <v>29.992000000000001</v>
      </c>
      <c r="AR57" s="32">
        <f>+SUM(AR58:AR60)</f>
        <v>0</v>
      </c>
      <c r="AS57" s="32">
        <f>+AT57-AR57</f>
        <v>31.433999999999997</v>
      </c>
      <c r="AT57" s="32">
        <f>+SUM(AT58:AT60)</f>
        <v>31.433999999999997</v>
      </c>
      <c r="AU57" s="32">
        <f>+SUM(AU58:AU60)</f>
        <v>16.759</v>
      </c>
      <c r="AV57" s="32">
        <f>+AW57-AU57</f>
        <v>16.113</v>
      </c>
      <c r="AW57" s="32">
        <f>+SUM(AW58:AW60)</f>
        <v>32.872</v>
      </c>
      <c r="AX57" s="32">
        <f>+SUM(AX58:AX60)</f>
        <v>2</v>
      </c>
      <c r="AY57" s="32">
        <f>+AZ57-AX57</f>
        <v>31.372</v>
      </c>
      <c r="AZ57" s="32">
        <f>+SUM(AZ58:AZ60)</f>
        <v>33.372</v>
      </c>
      <c r="BA57" s="32">
        <f>+SUM(BA58:BA60)</f>
        <v>22.933</v>
      </c>
      <c r="BB57" s="32">
        <f>+BC57-BA57</f>
        <v>26.759999999999998</v>
      </c>
      <c r="BC57" s="32">
        <f>+SUM(BC58:BC60)</f>
        <v>49.692999999999998</v>
      </c>
      <c r="BD57" s="32">
        <f>+SUM(BD58:BD60)</f>
        <v>29.680653333333336</v>
      </c>
      <c r="BE57" s="32">
        <f>+BF57-BD57</f>
        <v>27.885346666666667</v>
      </c>
      <c r="BF57" s="32">
        <f>+SUM(BF58:BF60)</f>
        <v>57.566000000000003</v>
      </c>
      <c r="BG57" s="32">
        <f>+SUM(BG58:BG60)</f>
        <v>33.088999999999999</v>
      </c>
      <c r="BH57" s="32">
        <f>+BI57-BG57</f>
        <v>30.977999999999994</v>
      </c>
      <c r="BI57" s="32">
        <f>+SUM(BI58:BI60)</f>
        <v>64.066999999999993</v>
      </c>
      <c r="BJ57" s="32">
        <f>+SUM(BJ58:BJ60)</f>
        <v>31.462</v>
      </c>
      <c r="BK57" s="32">
        <f>+BL57-BJ57</f>
        <v>47.537999999999997</v>
      </c>
      <c r="BL57" s="32">
        <f>+SUM(BL58:BL60)</f>
        <v>79</v>
      </c>
      <c r="BM57" s="32">
        <f>+SUM(BM58:BM60)</f>
        <v>58.151000000000003</v>
      </c>
      <c r="BN57" s="32">
        <f>+BO57-BM57</f>
        <v>56.478999999999992</v>
      </c>
      <c r="BO57" s="32">
        <f>+SUM(BO58:BO60)</f>
        <v>114.63</v>
      </c>
      <c r="BP57" s="32">
        <f>+SUM(BP58:BP60)</f>
        <v>47.411000000000001</v>
      </c>
      <c r="BQ57" s="32">
        <f>+BR57-BP57</f>
        <v>57.594999999999999</v>
      </c>
      <c r="BR57" s="32">
        <f>+SUM(BR58:BR60)</f>
        <v>105.006</v>
      </c>
      <c r="BS57" s="32">
        <f>+SUM(BS58:BS60)</f>
        <v>0</v>
      </c>
      <c r="BT57" s="32">
        <f>+BU57-BS57</f>
        <v>98.947999999999993</v>
      </c>
      <c r="BU57" s="32">
        <f>+SUM(BU58:BU60)</f>
        <v>98.947999999999993</v>
      </c>
      <c r="BV57" s="32">
        <f>+SUM(BV58:BV60)</f>
        <v>56.896958918170711</v>
      </c>
      <c r="BW57" s="32">
        <f>+BX57-BV57</f>
        <v>47.364953535449217</v>
      </c>
      <c r="BX57" s="32">
        <f>+SUM(BX58:BX60)</f>
        <v>104.26191245361993</v>
      </c>
      <c r="BY57" s="32">
        <f>+SUM(BY58:BY60)</f>
        <v>63.585059975429189</v>
      </c>
      <c r="BZ57" s="32">
        <f>+CA57-BY57</f>
        <v>45.512020236216358</v>
      </c>
      <c r="CA57" s="32">
        <f>+SUM(CA58:CA60)</f>
        <v>109.09708021164555</v>
      </c>
      <c r="CB57" s="32">
        <f>+SUM(CB58:CB60)</f>
        <v>55.34370954725469</v>
      </c>
      <c r="CC57" s="32">
        <f>+CD57-CB57</f>
        <v>55.874091035778349</v>
      </c>
      <c r="CD57" s="32">
        <f>+SUM(CD58:CD60)</f>
        <v>111.21780058303304</v>
      </c>
      <c r="CE57" s="32">
        <f>+SUM(CE58:CE60)</f>
        <v>66.850979806289061</v>
      </c>
      <c r="CF57" s="32">
        <f>+CG57-CE57</f>
        <v>71.868020193710933</v>
      </c>
      <c r="CG57" s="32">
        <f>+SUM(CG58:CG60)</f>
        <v>138.71899999999999</v>
      </c>
      <c r="CH57" s="32">
        <f>+SUM(CH58:CH60)</f>
        <v>76.462787193121144</v>
      </c>
      <c r="CI57" s="32">
        <f>+CJ57-CH57</f>
        <v>60.502276304628722</v>
      </c>
      <c r="CJ57" s="32">
        <f>+SUM(CJ58:CJ60)</f>
        <v>136.96506349774987</v>
      </c>
      <c r="CK57" s="32">
        <f>+SUM(CK58:CK60)</f>
        <v>75.601535375718413</v>
      </c>
      <c r="CL57" s="32">
        <f>+CM57-CK57</f>
        <v>79.453772814522523</v>
      </c>
      <c r="CM57" s="32">
        <f>+SUM(CM58:CM60)</f>
        <v>155.05530819024094</v>
      </c>
      <c r="CN57" s="32">
        <f>+SUM(CN58:CN60)</f>
        <v>73</v>
      </c>
      <c r="CO57" s="32">
        <f>+CP57-CN57</f>
        <v>79.999999999999858</v>
      </c>
      <c r="CP57" s="32">
        <f>+SUM(CP58:CP60)</f>
        <v>152.99999999999986</v>
      </c>
      <c r="CQ57" s="32">
        <f>+SUM(CQ58:CQ60)</f>
        <v>72.19999999999996</v>
      </c>
      <c r="CR57" s="32">
        <f>+CS57-CQ57</f>
        <v>72.900000000000063</v>
      </c>
      <c r="CS57" s="32">
        <f>+SUM(CS58:CS60)</f>
        <v>145.10000000000002</v>
      </c>
      <c r="CT57" s="32">
        <f>+SUM(CT58:CT60)</f>
        <v>87.699999999999932</v>
      </c>
      <c r="CU57" s="32">
        <f>+CV57-CT57</f>
        <v>87.500000000000085</v>
      </c>
      <c r="CV57" s="32">
        <f>+SUM(CV58:CV60)</f>
        <v>175.20000000000002</v>
      </c>
      <c r="CW57" s="32">
        <f>+SUM(CW58:CW60)</f>
        <v>100.7</v>
      </c>
      <c r="CX57" s="32">
        <f>+CY57-CW57</f>
        <v>106.55728683243414</v>
      </c>
      <c r="CY57" s="32">
        <f>+SUM(CY58:CY60)</f>
        <v>207.25728683243415</v>
      </c>
      <c r="CZ57" s="32">
        <f>+SUM(CZ58:CZ60)</f>
        <v>114.2</v>
      </c>
      <c r="DA57" s="32">
        <f>+DB57-CZ57</f>
        <v>124.69999999999997</v>
      </c>
      <c r="DB57" s="32">
        <f>+SUM(DB58:DB60)</f>
        <v>238.89999999999998</v>
      </c>
      <c r="DC57" s="32">
        <f>+SUM(DC58:DC60)</f>
        <v>129.70000000000002</v>
      </c>
      <c r="DD57" s="32">
        <f>+DE57-DC57</f>
        <v>143.4</v>
      </c>
      <c r="DE57" s="1061">
        <f>+SUM(DE58:DE60)</f>
        <v>273.10000000000002</v>
      </c>
      <c r="DF57" s="32">
        <f>+SUM(DF58:DF60)</f>
        <v>168.31362052371691</v>
      </c>
      <c r="DG57" s="32">
        <f>+DH57-DF57</f>
        <v>179.39376498653399</v>
      </c>
      <c r="DH57" s="1061">
        <f>+SUM(DH58:DH60)</f>
        <v>347.7073855102509</v>
      </c>
      <c r="DI57" s="32">
        <f>+SUM(DI58:DI60)</f>
        <v>199.7</v>
      </c>
      <c r="DJ57" s="32">
        <f>+DK57-DI57</f>
        <v>199.7</v>
      </c>
      <c r="DK57" s="1061">
        <f>+SUM(DK58:DK60)</f>
        <v>399.4</v>
      </c>
      <c r="DL57" s="32">
        <f>+SUM(DL58:DL60)</f>
        <v>217</v>
      </c>
      <c r="DM57" s="32">
        <f>+DN57-DL57</f>
        <v>228.7</v>
      </c>
      <c r="DN57" s="1061">
        <f>+SUM(DN58:DN60)</f>
        <v>445.7</v>
      </c>
      <c r="DO57" s="32">
        <f>+SUM(DO58:DO60)</f>
        <v>239.9</v>
      </c>
      <c r="DP57" s="32">
        <f>+DQ57-DO57</f>
        <v>250.1</v>
      </c>
      <c r="DQ57" s="1061">
        <f>+SUM(DQ58:DQ60)</f>
        <v>490</v>
      </c>
      <c r="DR57" s="1831">
        <f>+SUM(DR58:DR60)</f>
        <v>247</v>
      </c>
      <c r="DS57" s="1831">
        <f>+DT57-DR57</f>
        <v>281</v>
      </c>
      <c r="DT57" s="1835">
        <f>+SUM(DT58:DT60)</f>
        <v>528</v>
      </c>
      <c r="DU57" s="1831">
        <f>+SUM(DU58:DU60)</f>
        <v>267</v>
      </c>
      <c r="DV57" s="1831">
        <f>+DW57-DU57</f>
        <v>282</v>
      </c>
      <c r="DW57" s="1835">
        <f>+SUM(DW58:DW60)</f>
        <v>549</v>
      </c>
      <c r="DX57" s="1831">
        <f>+SUM(DX58:DX60)</f>
        <v>276</v>
      </c>
      <c r="DY57" s="1831">
        <f>+DZ57-DX57</f>
        <v>251.89219999303532</v>
      </c>
      <c r="DZ57" s="1835">
        <f>+SUM(DZ58:DZ60)</f>
        <v>527.89219999303532</v>
      </c>
      <c r="EA57" s="32">
        <f>+SUM(EA58:EA60)</f>
        <v>302.53825280655246</v>
      </c>
      <c r="EB57" s="32">
        <f>+EC57-EA57</f>
        <v>269.19087981002394</v>
      </c>
      <c r="EC57" s="1061">
        <f>+SUM(EC58:EC60)</f>
        <v>571.72913261657641</v>
      </c>
      <c r="ED57" s="32">
        <f>+SUM(ED58:ED60)</f>
        <v>339.09138855132534</v>
      </c>
      <c r="EE57" s="32">
        <f>+EF57-ED57</f>
        <v>306.88795438595531</v>
      </c>
      <c r="EF57" s="1061">
        <f>+SUM(EF58:EF60)</f>
        <v>645.97934293728065</v>
      </c>
      <c r="EG57" s="32">
        <f>+SUM(EG58:EG60)</f>
        <v>382.83501427535566</v>
      </c>
      <c r="EH57" s="32">
        <f>+EI57-EG57</f>
        <v>349.17907190084952</v>
      </c>
      <c r="EI57" s="1061">
        <f>+SUM(EI58:EI60)</f>
        <v>732.01408617620518</v>
      </c>
      <c r="EJ57" s="32">
        <f>+SUM(EJ58:EJ60)</f>
        <v>405.49549592619536</v>
      </c>
      <c r="EK57" s="32">
        <f>+EL57-EJ57</f>
        <v>372.94479712638025</v>
      </c>
      <c r="EL57" s="1061">
        <f>+SUM(EL58:EL60)</f>
        <v>778.44029305257561</v>
      </c>
      <c r="EM57" s="32">
        <f>+SUM(EM58:EM60)</f>
        <v>427.73324771947279</v>
      </c>
      <c r="EN57" s="32">
        <f>+EO57-EM57</f>
        <v>393.8506141265288</v>
      </c>
      <c r="EO57" s="1061">
        <f>+SUM(EO58:EO60)</f>
        <v>821.58386184600158</v>
      </c>
      <c r="EP57" s="32">
        <f>+SUM(EP58:EP60)</f>
        <v>450.87696343698889</v>
      </c>
      <c r="EQ57" s="32">
        <f>+ER57-EP57</f>
        <v>417.1696609445666</v>
      </c>
      <c r="ER57" s="1061">
        <f>+SUM(ER58:ER60)</f>
        <v>868.04662438155549</v>
      </c>
      <c r="ES57" s="32">
        <f>+SUM(ES58:ES60)</f>
        <v>475.91304457322701</v>
      </c>
      <c r="ET57" s="32">
        <f>+EU57-ES57</f>
        <v>441.99384163574234</v>
      </c>
      <c r="EU57" s="1061">
        <f>+SUM(EU58:EU60)</f>
        <v>917.90688620896935</v>
      </c>
      <c r="EV57" s="32">
        <f>+SUM(EV58:EV60)</f>
        <v>502.50245625331064</v>
      </c>
      <c r="EW57" s="32">
        <f>+EX57-EV57</f>
        <v>468.42362247969885</v>
      </c>
      <c r="EX57" s="1061">
        <f>+SUM(EX58:EX60)</f>
        <v>970.92607873300949</v>
      </c>
      <c r="EY57" s="32">
        <f>+SUM(EY58:EY60)</f>
        <v>530.74697676518372</v>
      </c>
      <c r="EZ57" s="32">
        <f>+FA57-EY57</f>
        <v>496.56633736339791</v>
      </c>
      <c r="FA57" s="1061">
        <f>+SUM(FA58:FA60)</f>
        <v>1027.3133141285816</v>
      </c>
      <c r="FB57" s="1120"/>
      <c r="FD57"/>
      <c r="FE57"/>
      <c r="FF57"/>
      <c r="FG57"/>
      <c r="FH57"/>
      <c r="FI57"/>
    </row>
    <row r="58" spans="2:169" s="33" customFormat="1" outlineLevel="1">
      <c r="B58" s="54" t="s">
        <v>541</v>
      </c>
      <c r="D58" s="2" t="s">
        <v>506</v>
      </c>
      <c r="E58" s="32"/>
      <c r="F58" s="32">
        <f>+G58-E58</f>
        <v>0</v>
      </c>
      <c r="G58" s="32"/>
      <c r="H58" s="32"/>
      <c r="I58" s="32">
        <f>+J58-H58</f>
        <v>0</v>
      </c>
      <c r="J58" s="32"/>
      <c r="K58" s="32"/>
      <c r="L58" s="32">
        <f>+M58-K58</f>
        <v>0</v>
      </c>
      <c r="M58" s="32"/>
      <c r="N58" s="32"/>
      <c r="O58" s="32">
        <f>+P58-N58</f>
        <v>0</v>
      </c>
      <c r="P58" s="32"/>
      <c r="Q58" s="32"/>
      <c r="R58" s="32">
        <f>+S58-Q58</f>
        <v>0</v>
      </c>
      <c r="S58" s="32"/>
      <c r="T58" s="32"/>
      <c r="U58" s="32">
        <f>+V58-T58</f>
        <v>0</v>
      </c>
      <c r="V58" s="32"/>
      <c r="W58" s="32"/>
      <c r="X58" s="32">
        <f>+Y58-W58</f>
        <v>0</v>
      </c>
      <c r="Y58" s="32"/>
      <c r="Z58" s="32"/>
      <c r="AA58" s="32">
        <f>+AB58-Z58</f>
        <v>0</v>
      </c>
      <c r="AB58" s="32"/>
      <c r="AC58" s="32"/>
      <c r="AD58" s="32">
        <f>+AE58-AC58</f>
        <v>0</v>
      </c>
      <c r="AE58" s="32"/>
      <c r="AF58" s="32"/>
      <c r="AG58" s="32">
        <f>+AH58-AF58</f>
        <v>0</v>
      </c>
      <c r="AH58" s="32"/>
      <c r="AI58" s="32"/>
      <c r="AJ58" s="32">
        <f>+AK58-AI58</f>
        <v>0</v>
      </c>
      <c r="AK58" s="32"/>
      <c r="AL58" s="32"/>
      <c r="AM58" s="32">
        <f>+AN58-AL58</f>
        <v>6.9160000000000004</v>
      </c>
      <c r="AN58" s="1064">
        <v>6.9160000000000004</v>
      </c>
      <c r="AO58" s="32"/>
      <c r="AP58" s="32">
        <f>+AQ58-AO58</f>
        <v>6.1749999999999998</v>
      </c>
      <c r="AQ58" s="1064">
        <v>6.1749999999999998</v>
      </c>
      <c r="AR58" s="32"/>
      <c r="AS58" s="32">
        <f>+AT58-AR58</f>
        <v>7.01</v>
      </c>
      <c r="AT58" s="1064">
        <v>7.01</v>
      </c>
      <c r="AU58" s="1064">
        <v>16.759</v>
      </c>
      <c r="AV58" s="32">
        <f>+AW58-AU58</f>
        <v>-8.9290000000000003</v>
      </c>
      <c r="AW58" s="1064">
        <v>7.83</v>
      </c>
      <c r="AX58" s="1064">
        <v>2</v>
      </c>
      <c r="AY58" s="32">
        <f>+AZ58-AX58</f>
        <v>2.1239999999999997</v>
      </c>
      <c r="AZ58" s="1064">
        <v>4.1239999999999997</v>
      </c>
      <c r="BA58" s="1064">
        <v>22.933</v>
      </c>
      <c r="BB58" s="32">
        <f>+BC58-BA58</f>
        <v>20.098999999999997</v>
      </c>
      <c r="BC58" s="1064">
        <v>43.031999999999996</v>
      </c>
      <c r="BD58" s="32">
        <f>Assumptions!BD26</f>
        <v>29.680653333333336</v>
      </c>
      <c r="BE58" s="32">
        <f>+BF58-BD58</f>
        <v>26.685346666666664</v>
      </c>
      <c r="BF58" s="1090">
        <f>Assumptions!BF26</f>
        <v>56.366</v>
      </c>
      <c r="BG58" s="1124">
        <v>33.088999999999999</v>
      </c>
      <c r="BH58" s="32">
        <f>+BI58-BG58</f>
        <v>-24.784999999999997</v>
      </c>
      <c r="BI58" s="1092">
        <v>8.3040000000000003</v>
      </c>
      <c r="BJ58" s="1124">
        <v>31.462</v>
      </c>
      <c r="BK58" s="32">
        <f>+BL58-BJ58</f>
        <v>-22.358000000000001</v>
      </c>
      <c r="BL58" s="1092">
        <v>9.1039999999999992</v>
      </c>
      <c r="BM58" s="1124">
        <v>58.151000000000003</v>
      </c>
      <c r="BN58" s="32">
        <f>+BO58-BM58</f>
        <v>-46.276000000000003</v>
      </c>
      <c r="BO58" s="1090">
        <f>11.875</f>
        <v>11.875</v>
      </c>
      <c r="BP58" s="1124">
        <v>47.411000000000001</v>
      </c>
      <c r="BQ58" s="32">
        <f>+BR58-BP58</f>
        <v>57.594999999999999</v>
      </c>
      <c r="BR58" s="1090">
        <f>105.006</f>
        <v>105.006</v>
      </c>
      <c r="BS58" s="1091">
        <f>Assumptions!BS26</f>
        <v>0</v>
      </c>
      <c r="BT58" s="32">
        <f>+BU58-BS58</f>
        <v>98.947999999999993</v>
      </c>
      <c r="BU58" s="1092">
        <v>98.947999999999993</v>
      </c>
      <c r="BV58" s="1091">
        <f>Assumptions!BV26</f>
        <v>56.896958918170711</v>
      </c>
      <c r="BW58" s="32">
        <f>+BX58-BV58</f>
        <v>47.364953535449217</v>
      </c>
      <c r="BX58" s="1090">
        <f>Assumptions!BX26</f>
        <v>104.26191245361993</v>
      </c>
      <c r="BY58" s="1091">
        <f>Assumptions!BY26</f>
        <v>63.585059975429189</v>
      </c>
      <c r="BZ58" s="32">
        <f>+CA58-BY58</f>
        <v>45.512020236216358</v>
      </c>
      <c r="CA58" s="1090">
        <f>Assumptions!CA26</f>
        <v>109.09708021164555</v>
      </c>
      <c r="CB58" s="1091">
        <f>Assumptions!CB26</f>
        <v>55.34370954725469</v>
      </c>
      <c r="CC58" s="32">
        <f>+CD58-CB58</f>
        <v>55.874091035778349</v>
      </c>
      <c r="CD58" s="1090">
        <f>Assumptions!CD26</f>
        <v>111.21780058303304</v>
      </c>
      <c r="CE58" s="1091">
        <f>Assumptions!CE26</f>
        <v>66.850979806289061</v>
      </c>
      <c r="CF58" s="32">
        <f>+CG58-CE58</f>
        <v>71.868020193710933</v>
      </c>
      <c r="CG58" s="1090">
        <f>Assumptions!CG26</f>
        <v>138.71899999999999</v>
      </c>
      <c r="CH58" s="1091">
        <f>Assumptions!CH26</f>
        <v>76.462787193121144</v>
      </c>
      <c r="CI58" s="32">
        <f>+CJ58-CH58</f>
        <v>60.502276304628722</v>
      </c>
      <c r="CJ58" s="1090">
        <f>Assumptions!CJ26</f>
        <v>136.96506349774987</v>
      </c>
      <c r="CK58" s="1091">
        <f>Assumptions!CK26</f>
        <v>75.601535375718413</v>
      </c>
      <c r="CL58" s="32">
        <f>+CM58-CK58</f>
        <v>79.453772814522523</v>
      </c>
      <c r="CM58" s="1090">
        <f>Assumptions!CM26</f>
        <v>155.05530819024094</v>
      </c>
      <c r="CN58" s="1091">
        <f>Assumptions!CN26</f>
        <v>73</v>
      </c>
      <c r="CO58" s="32">
        <f>+CP58-CN58</f>
        <v>79.999999999999858</v>
      </c>
      <c r="CP58" s="1090">
        <f>Assumptions!CP26</f>
        <v>152.99999999999986</v>
      </c>
      <c r="CQ58" s="1091">
        <f>Assumptions!CQ26</f>
        <v>72.19999999999996</v>
      </c>
      <c r="CR58" s="32">
        <f>+CS58-CQ58</f>
        <v>72.900000000000063</v>
      </c>
      <c r="CS58" s="1090">
        <f>Assumptions!CS26</f>
        <v>145.10000000000002</v>
      </c>
      <c r="CT58" s="1091">
        <f>Assumptions!CT26</f>
        <v>87.699999999999932</v>
      </c>
      <c r="CU58" s="32">
        <f>+CV58-CT58</f>
        <v>87.500000000000085</v>
      </c>
      <c r="CV58" s="1090">
        <f>Assumptions!CV26</f>
        <v>175.20000000000002</v>
      </c>
      <c r="CW58" s="1091">
        <f>Assumptions!CW26</f>
        <v>100.7</v>
      </c>
      <c r="CX58" s="32">
        <f>+CY58-CW58</f>
        <v>106.55728683243414</v>
      </c>
      <c r="CY58" s="1090">
        <f>Assumptions!CY26</f>
        <v>207.25728683243415</v>
      </c>
      <c r="CZ58" s="1091">
        <f>Assumptions!CZ26</f>
        <v>114.2</v>
      </c>
      <c r="DA58" s="32">
        <f>+DB58-CZ58</f>
        <v>124.69999999999997</v>
      </c>
      <c r="DB58" s="1090">
        <f>Assumptions!DB26</f>
        <v>238.89999999999998</v>
      </c>
      <c r="DC58" s="1091">
        <f>Assumptions!DC26</f>
        <v>129.70000000000002</v>
      </c>
      <c r="DD58" s="32">
        <f>+DE58-DC58</f>
        <v>143.4</v>
      </c>
      <c r="DE58" s="1093">
        <f>Assumptions!DE26</f>
        <v>273.10000000000002</v>
      </c>
      <c r="DF58" s="1091">
        <f>Assumptions!DF26</f>
        <v>168.31362052371691</v>
      </c>
      <c r="DG58" s="32">
        <f>+DH58-DF58</f>
        <v>179.39376498653399</v>
      </c>
      <c r="DH58" s="1093">
        <f>Assumptions!DH26</f>
        <v>347.7073855102509</v>
      </c>
      <c r="DI58" s="1091">
        <f>Assumptions!DI26</f>
        <v>199.7</v>
      </c>
      <c r="DJ58" s="32">
        <f>+DK58-DI58</f>
        <v>199.7</v>
      </c>
      <c r="DK58" s="1093">
        <f>Assumptions!DK26</f>
        <v>399.4</v>
      </c>
      <c r="DL58" s="32">
        <f>Assumptions!DL26</f>
        <v>217</v>
      </c>
      <c r="DM58" s="32">
        <f>+DN58-DL58</f>
        <v>228.7</v>
      </c>
      <c r="DN58" s="1061">
        <f>Assumptions!DN26</f>
        <v>445.7</v>
      </c>
      <c r="DO58" s="32">
        <f>Assumptions!DO26</f>
        <v>239.9</v>
      </c>
      <c r="DP58" s="32">
        <f>+DQ58-DO58</f>
        <v>250.1</v>
      </c>
      <c r="DQ58" s="1061">
        <f>Assumptions!DQ26</f>
        <v>490</v>
      </c>
      <c r="DR58" s="32">
        <f>Assumptions!DR26</f>
        <v>247</v>
      </c>
      <c r="DS58" s="32">
        <f>+DT58-DR58</f>
        <v>281</v>
      </c>
      <c r="DT58" s="1061">
        <f>Assumptions!DT26</f>
        <v>528</v>
      </c>
      <c r="DU58" s="32">
        <f>Assumptions!DU26</f>
        <v>267</v>
      </c>
      <c r="DV58" s="32">
        <f>+DW58-DU58</f>
        <v>282</v>
      </c>
      <c r="DW58" s="1061">
        <f>Assumptions!DW26</f>
        <v>549</v>
      </c>
      <c r="DX58" s="32">
        <f>Assumptions!DX26</f>
        <v>276</v>
      </c>
      <c r="DY58" s="32">
        <f>+DZ58-DX58</f>
        <v>251.89219999303532</v>
      </c>
      <c r="DZ58" s="1061">
        <f>Assumptions!DZ26</f>
        <v>527.89219999303532</v>
      </c>
      <c r="EA58" s="32">
        <f>Assumptions!EA26</f>
        <v>302.53825280655246</v>
      </c>
      <c r="EB58" s="32">
        <f>+EC58-EA58</f>
        <v>269.19087981002394</v>
      </c>
      <c r="EC58" s="1061">
        <f>Assumptions!EC26</f>
        <v>571.72913261657641</v>
      </c>
      <c r="ED58" s="32">
        <f>Assumptions!ED26</f>
        <v>339.09138855132534</v>
      </c>
      <c r="EE58" s="32">
        <f>+EF58-ED58</f>
        <v>306.88795438595531</v>
      </c>
      <c r="EF58" s="1061">
        <f>Assumptions!EF26</f>
        <v>645.97934293728065</v>
      </c>
      <c r="EG58" s="32">
        <f>Assumptions!EG26</f>
        <v>382.83501427535566</v>
      </c>
      <c r="EH58" s="32">
        <f>+EI58-EG58</f>
        <v>349.17907190084952</v>
      </c>
      <c r="EI58" s="1061">
        <f>Assumptions!EI26</f>
        <v>732.01408617620518</v>
      </c>
      <c r="EJ58" s="32">
        <f>Assumptions!EJ26</f>
        <v>405.49549592619536</v>
      </c>
      <c r="EK58" s="32">
        <f>+EL58-EJ58</f>
        <v>372.94479712638025</v>
      </c>
      <c r="EL58" s="1061">
        <f>Assumptions!EL26</f>
        <v>778.44029305257561</v>
      </c>
      <c r="EM58" s="32">
        <f>Assumptions!EM26</f>
        <v>427.73324771947279</v>
      </c>
      <c r="EN58" s="32">
        <f>+EO58-EM58</f>
        <v>393.8506141265288</v>
      </c>
      <c r="EO58" s="1061">
        <f>Assumptions!EO26</f>
        <v>821.58386184600158</v>
      </c>
      <c r="EP58" s="32">
        <f>Assumptions!EP26</f>
        <v>450.87696343698889</v>
      </c>
      <c r="EQ58" s="32">
        <f>+ER58-EP58</f>
        <v>417.1696609445666</v>
      </c>
      <c r="ER58" s="1061">
        <f>Assumptions!ER26</f>
        <v>868.04662438155549</v>
      </c>
      <c r="ES58" s="32">
        <f>Assumptions!ES26</f>
        <v>475.91304457322701</v>
      </c>
      <c r="ET58" s="32">
        <f>+EU58-ES58</f>
        <v>441.99384163574234</v>
      </c>
      <c r="EU58" s="1061">
        <f>Assumptions!EU26</f>
        <v>917.90688620896935</v>
      </c>
      <c r="EV58" s="32">
        <f>Assumptions!EV26</f>
        <v>502.50245625331064</v>
      </c>
      <c r="EW58" s="32">
        <f>+EX58-EV58</f>
        <v>468.42362247969885</v>
      </c>
      <c r="EX58" s="1061">
        <f>Assumptions!EX26</f>
        <v>970.92607873300949</v>
      </c>
      <c r="EY58" s="32">
        <f>Assumptions!EY26</f>
        <v>530.74697676518372</v>
      </c>
      <c r="EZ58" s="32">
        <f>+FA58-EY58</f>
        <v>496.56633736339791</v>
      </c>
      <c r="FA58" s="1061">
        <f>Assumptions!FA26</f>
        <v>1027.3133141285816</v>
      </c>
      <c r="FB58" s="1120"/>
      <c r="FD58"/>
      <c r="FE58"/>
      <c r="FF58"/>
      <c r="FG58"/>
      <c r="FH58"/>
      <c r="FI58"/>
    </row>
    <row r="59" spans="2:169" s="33" customFormat="1" outlineLevel="1">
      <c r="B59" s="54" t="s">
        <v>778</v>
      </c>
      <c r="D59" s="2" t="s">
        <v>506</v>
      </c>
      <c r="E59" s="32"/>
      <c r="F59" s="32"/>
      <c r="G59" s="32"/>
      <c r="H59" s="32"/>
      <c r="I59" s="32"/>
      <c r="J59" s="32"/>
      <c r="K59" s="32"/>
      <c r="L59" s="32"/>
      <c r="M59" s="32"/>
      <c r="N59" s="32"/>
      <c r="O59" s="32"/>
      <c r="P59" s="32"/>
      <c r="Q59" s="32"/>
      <c r="R59" s="32"/>
      <c r="S59" s="32"/>
      <c r="T59" s="32"/>
      <c r="U59" s="32"/>
      <c r="V59" s="32"/>
      <c r="W59" s="32"/>
      <c r="X59" s="32"/>
      <c r="Y59" s="32"/>
      <c r="Z59" s="32"/>
      <c r="AA59" s="32"/>
      <c r="AB59" s="32"/>
      <c r="AC59" s="32"/>
      <c r="AD59" s="32"/>
      <c r="AE59" s="32"/>
      <c r="AF59" s="32"/>
      <c r="AG59" s="32"/>
      <c r="AH59" s="32"/>
      <c r="AI59" s="32"/>
      <c r="AJ59" s="32"/>
      <c r="AK59" s="32"/>
      <c r="AL59" s="32"/>
      <c r="AM59" s="32"/>
      <c r="AN59" s="1125"/>
      <c r="AO59" s="32"/>
      <c r="AP59" s="32"/>
      <c r="AQ59" s="1125"/>
      <c r="AR59" s="32"/>
      <c r="AS59" s="32"/>
      <c r="AT59" s="1125"/>
      <c r="AU59" s="1125"/>
      <c r="AV59" s="32"/>
      <c r="AW59" s="1125"/>
      <c r="AX59" s="1125"/>
      <c r="AY59" s="32"/>
      <c r="AZ59" s="1125"/>
      <c r="BA59" s="1125"/>
      <c r="BB59" s="32"/>
      <c r="BC59" s="1125"/>
      <c r="BD59" s="32"/>
      <c r="BE59" s="32"/>
      <c r="BF59" s="1094"/>
      <c r="BG59" s="1126"/>
      <c r="BH59" s="32"/>
      <c r="BI59" s="1127"/>
      <c r="BJ59" s="1126"/>
      <c r="BK59" s="32"/>
      <c r="BL59" s="1127"/>
      <c r="BM59" s="1126"/>
      <c r="BN59" s="32"/>
      <c r="BO59" s="1094"/>
      <c r="BP59" s="1126"/>
      <c r="BQ59" s="32"/>
      <c r="BR59" s="1094"/>
      <c r="BS59" s="1061"/>
      <c r="BT59" s="32"/>
      <c r="BU59" s="1127"/>
      <c r="BV59" s="1061"/>
      <c r="BW59" s="32"/>
      <c r="BX59" s="1094"/>
      <c r="BY59" s="1061"/>
      <c r="BZ59" s="32"/>
      <c r="CA59" s="1094"/>
      <c r="CB59" s="1061"/>
      <c r="CC59" s="32"/>
      <c r="CD59" s="1094"/>
      <c r="CE59" s="1061"/>
      <c r="CF59" s="32"/>
      <c r="CG59" s="1094"/>
      <c r="CH59" s="1061"/>
      <c r="CI59" s="32"/>
      <c r="CJ59" s="1094"/>
      <c r="CK59" s="1061"/>
      <c r="CL59" s="32"/>
      <c r="CM59" s="1094"/>
      <c r="CN59" s="1061">
        <f>Assumptions!CN29</f>
        <v>0</v>
      </c>
      <c r="CO59" s="32">
        <f>+CP59-CN59</f>
        <v>0</v>
      </c>
      <c r="CP59" s="1094">
        <f>Assumptions!CP29</f>
        <v>0</v>
      </c>
      <c r="CQ59" s="1061">
        <f>Assumptions!CQ29</f>
        <v>0</v>
      </c>
      <c r="CR59" s="32">
        <f>+CS59-CQ59</f>
        <v>0</v>
      </c>
      <c r="CS59" s="1094">
        <f>Assumptions!CS29</f>
        <v>0</v>
      </c>
      <c r="CT59" s="1061">
        <f>Assumptions!CT29</f>
        <v>0</v>
      </c>
      <c r="CU59" s="32">
        <f>+CV59-CT59</f>
        <v>0</v>
      </c>
      <c r="CV59" s="1094">
        <f>Assumptions!CV29</f>
        <v>0</v>
      </c>
      <c r="CW59" s="1061">
        <f>Assumptions!CW29</f>
        <v>0</v>
      </c>
      <c r="CX59" s="32">
        <f>+CY59-CW59</f>
        <v>0</v>
      </c>
      <c r="CY59" s="1094">
        <f>Assumptions!CY29</f>
        <v>0</v>
      </c>
      <c r="CZ59" s="1061">
        <f>Assumptions!CZ29</f>
        <v>0</v>
      </c>
      <c r="DA59" s="32">
        <f>+DB59-CZ59</f>
        <v>0</v>
      </c>
      <c r="DB59" s="1094">
        <f>Assumptions!DB29</f>
        <v>0</v>
      </c>
      <c r="DC59" s="1061">
        <f>Assumptions!DC29</f>
        <v>0</v>
      </c>
      <c r="DD59" s="32">
        <f>+DE59-DC59</f>
        <v>0</v>
      </c>
      <c r="DE59" s="1096">
        <f>Assumptions!DE29</f>
        <v>0</v>
      </c>
      <c r="DF59" s="1061">
        <f>Assumptions!DF29</f>
        <v>0</v>
      </c>
      <c r="DG59" s="32">
        <f>+DH59-DF59</f>
        <v>0</v>
      </c>
      <c r="DH59" s="1096">
        <f>Assumptions!DH29</f>
        <v>0</v>
      </c>
      <c r="DI59" s="1061">
        <f>Assumptions!DI29</f>
        <v>0</v>
      </c>
      <c r="DJ59" s="32">
        <f>+DK59-DI59</f>
        <v>0</v>
      </c>
      <c r="DK59" s="1096">
        <f>Assumptions!DK29</f>
        <v>0</v>
      </c>
      <c r="DL59" s="32">
        <f>Assumptions!DL29</f>
        <v>0</v>
      </c>
      <c r="DM59" s="32">
        <f>+DN59-DL59</f>
        <v>0</v>
      </c>
      <c r="DN59" s="1061">
        <f>Assumptions!DN29</f>
        <v>0</v>
      </c>
      <c r="DO59" s="32">
        <f>Assumptions!DO29</f>
        <v>0</v>
      </c>
      <c r="DP59" s="32">
        <f>+DQ59-DO59</f>
        <v>0</v>
      </c>
      <c r="DQ59" s="1061">
        <f>Assumptions!DQ29</f>
        <v>0</v>
      </c>
      <c r="DR59" s="32">
        <f>Assumptions!DR29</f>
        <v>0</v>
      </c>
      <c r="DS59" s="32">
        <f>+DT59-DR59</f>
        <v>0</v>
      </c>
      <c r="DT59" s="1061">
        <f>Assumptions!DT29</f>
        <v>0</v>
      </c>
      <c r="DU59" s="32">
        <f>Assumptions!DU29</f>
        <v>0</v>
      </c>
      <c r="DV59" s="32">
        <f>+DW59-DU59</f>
        <v>0</v>
      </c>
      <c r="DW59" s="1061">
        <f>Assumptions!DW29</f>
        <v>0</v>
      </c>
      <c r="DX59" s="32">
        <f>Assumptions!DX29</f>
        <v>0</v>
      </c>
      <c r="DY59" s="32">
        <f>+DZ59-DX59</f>
        <v>0</v>
      </c>
      <c r="DZ59" s="1061">
        <f>Assumptions!DZ29</f>
        <v>0</v>
      </c>
      <c r="EA59" s="32">
        <f>Assumptions!EA29</f>
        <v>0</v>
      </c>
      <c r="EB59" s="32">
        <f>+EC59-EA59</f>
        <v>0</v>
      </c>
      <c r="EC59" s="1061">
        <f>Assumptions!EC29</f>
        <v>0</v>
      </c>
      <c r="ED59" s="32">
        <f>Assumptions!ED29</f>
        <v>0</v>
      </c>
      <c r="EE59" s="32">
        <f>+EF59-ED59</f>
        <v>0</v>
      </c>
      <c r="EF59" s="1061">
        <f>Assumptions!EF29</f>
        <v>0</v>
      </c>
      <c r="EG59" s="32">
        <f>Assumptions!EG29</f>
        <v>0</v>
      </c>
      <c r="EH59" s="32">
        <f>+EI59-EG59</f>
        <v>0</v>
      </c>
      <c r="EI59" s="1061">
        <f>Assumptions!EI29</f>
        <v>0</v>
      </c>
      <c r="EJ59" s="32">
        <f>Assumptions!EJ29</f>
        <v>0</v>
      </c>
      <c r="EK59" s="32">
        <f>+EL59-EJ59</f>
        <v>0</v>
      </c>
      <c r="EL59" s="1061">
        <f>Assumptions!EL29</f>
        <v>0</v>
      </c>
      <c r="EM59" s="32">
        <f>Assumptions!EM29</f>
        <v>0</v>
      </c>
      <c r="EN59" s="32">
        <f>+EO59-EM59</f>
        <v>0</v>
      </c>
      <c r="EO59" s="1061">
        <f>Assumptions!EO29</f>
        <v>0</v>
      </c>
      <c r="EP59" s="32">
        <f>Assumptions!EP29</f>
        <v>0</v>
      </c>
      <c r="EQ59" s="32">
        <f>+ER59-EP59</f>
        <v>0</v>
      </c>
      <c r="ER59" s="1061">
        <f>Assumptions!ER29</f>
        <v>0</v>
      </c>
      <c r="ES59" s="32">
        <f>Assumptions!ES29</f>
        <v>0</v>
      </c>
      <c r="ET59" s="32">
        <f>+EU59-ES59</f>
        <v>0</v>
      </c>
      <c r="EU59" s="1061">
        <f>Assumptions!EU29</f>
        <v>0</v>
      </c>
      <c r="EV59" s="32">
        <f>Assumptions!EV29</f>
        <v>0</v>
      </c>
      <c r="EW59" s="32">
        <f>+EX59-EV59</f>
        <v>0</v>
      </c>
      <c r="EX59" s="1061">
        <f>Assumptions!EX29</f>
        <v>0</v>
      </c>
      <c r="EY59" s="32">
        <f>Assumptions!EY29</f>
        <v>0</v>
      </c>
      <c r="EZ59" s="32">
        <f>+FA59-EY59</f>
        <v>0</v>
      </c>
      <c r="FA59" s="1061">
        <f>Assumptions!FA29</f>
        <v>0</v>
      </c>
      <c r="FB59" s="1120"/>
      <c r="FD59"/>
      <c r="FE59"/>
      <c r="FF59"/>
      <c r="FG59"/>
      <c r="FH59"/>
      <c r="FI59"/>
    </row>
    <row r="60" spans="2:169" s="33" customFormat="1" outlineLevel="1">
      <c r="B60" s="1730" t="s">
        <v>207</v>
      </c>
      <c r="C60" s="1731"/>
      <c r="D60" s="1732" t="s">
        <v>506</v>
      </c>
      <c r="E60" s="1421"/>
      <c r="F60" s="1421">
        <f>+G60-E60</f>
        <v>0</v>
      </c>
      <c r="G60" s="1421"/>
      <c r="H60" s="1421"/>
      <c r="I60" s="1421">
        <f>+J60-H60</f>
        <v>0</v>
      </c>
      <c r="J60" s="1421"/>
      <c r="K60" s="1421"/>
      <c r="L60" s="1421">
        <f>+M60-K60</f>
        <v>0</v>
      </c>
      <c r="M60" s="1421"/>
      <c r="N60" s="1421"/>
      <c r="O60" s="1421">
        <f>+P60-N60</f>
        <v>0</v>
      </c>
      <c r="P60" s="1421"/>
      <c r="Q60" s="1421"/>
      <c r="R60" s="1421">
        <f>+S60-Q60</f>
        <v>0</v>
      </c>
      <c r="S60" s="1421"/>
      <c r="T60" s="1421"/>
      <c r="U60" s="1421">
        <f>+V60-T60</f>
        <v>0</v>
      </c>
      <c r="V60" s="1421"/>
      <c r="W60" s="1421"/>
      <c r="X60" s="1421">
        <f>+Y60-W60</f>
        <v>0</v>
      </c>
      <c r="Y60" s="1421"/>
      <c r="Z60" s="1421"/>
      <c r="AA60" s="1421">
        <f>+AB60-Z60</f>
        <v>0</v>
      </c>
      <c r="AB60" s="1421"/>
      <c r="AC60" s="1421"/>
      <c r="AD60" s="1421">
        <f>+AE60-AC60</f>
        <v>0</v>
      </c>
      <c r="AE60" s="1421"/>
      <c r="AF60" s="1421"/>
      <c r="AG60" s="1421">
        <f>+AH60-AF60</f>
        <v>0</v>
      </c>
      <c r="AH60" s="1421"/>
      <c r="AI60" s="1421"/>
      <c r="AJ60" s="1421">
        <f>+AK60-AI60</f>
        <v>4.8000000000000001E-2</v>
      </c>
      <c r="AK60" s="1733">
        <v>4.8000000000000001E-2</v>
      </c>
      <c r="AL60" s="1421"/>
      <c r="AM60" s="1421">
        <f>+AN60-AL60</f>
        <v>22.434000000000001</v>
      </c>
      <c r="AN60" s="1733">
        <v>22.434000000000001</v>
      </c>
      <c r="AO60" s="1421"/>
      <c r="AP60" s="1421">
        <f>+AQ60-AO60</f>
        <v>23.817</v>
      </c>
      <c r="AQ60" s="1733">
        <v>23.817</v>
      </c>
      <c r="AR60" s="1421"/>
      <c r="AS60" s="1421">
        <f>+AT60-AR60</f>
        <v>24.423999999999999</v>
      </c>
      <c r="AT60" s="1733">
        <v>24.423999999999999</v>
      </c>
      <c r="AU60" s="1421"/>
      <c r="AV60" s="1421">
        <f>+AW60-AU60</f>
        <v>25.042000000000002</v>
      </c>
      <c r="AW60" s="1733">
        <v>25.042000000000002</v>
      </c>
      <c r="AX60" s="1421"/>
      <c r="AY60" s="1421">
        <f>+AZ60-AX60</f>
        <v>29.248000000000001</v>
      </c>
      <c r="AZ60" s="1733">
        <v>29.248000000000001</v>
      </c>
      <c r="BA60" s="1733">
        <v>0</v>
      </c>
      <c r="BB60" s="1421">
        <f>+BC60-BA60</f>
        <v>6.6609999999999996</v>
      </c>
      <c r="BC60" s="1733">
        <v>6.6609999999999996</v>
      </c>
      <c r="BD60" s="1421">
        <f>Assumptions!BD487</f>
        <v>0</v>
      </c>
      <c r="BE60" s="1421">
        <f>+BF60-BD60</f>
        <v>1.2</v>
      </c>
      <c r="BF60" s="1103">
        <f>IF(Assumptions!BF50&lt;&gt;"0",Assumptions!BF50,0)</f>
        <v>1.2</v>
      </c>
      <c r="BG60" s="1104">
        <f>IF(Assumptions!BG50&lt;&gt;"0",Assumptions!BG50,0)</f>
        <v>0</v>
      </c>
      <c r="BH60" s="1421">
        <f>+BI60-BG60</f>
        <v>55.762999999999998</v>
      </c>
      <c r="BI60" s="1105">
        <v>55.762999999999998</v>
      </c>
      <c r="BJ60" s="1104">
        <f>IF(Assumptions!BJ50&lt;&gt;"0",Assumptions!BJ50,0)</f>
        <v>0</v>
      </c>
      <c r="BK60" s="1421">
        <f>+BL60-BJ60</f>
        <v>69.896000000000001</v>
      </c>
      <c r="BL60" s="1105">
        <v>69.896000000000001</v>
      </c>
      <c r="BM60" s="1104">
        <f>IF(Assumptions!BM50&lt;&gt;"0",Assumptions!BM50,0)</f>
        <v>0</v>
      </c>
      <c r="BN60" s="1421">
        <f>+BO60-BM60</f>
        <v>102.755</v>
      </c>
      <c r="BO60" s="1105">
        <v>102.755</v>
      </c>
      <c r="BP60" s="1104">
        <f>IF(Assumptions!BP50&lt;&gt;"0",Assumptions!BP50,0)</f>
        <v>0</v>
      </c>
      <c r="BQ60" s="1421">
        <f>+BR60-BP60</f>
        <v>0</v>
      </c>
      <c r="BR60" s="1103">
        <f>IF(Assumptions!BR50&lt;&gt;"0",Assumptions!BR50,0)</f>
        <v>0</v>
      </c>
      <c r="BS60" s="1104">
        <f>IF(Assumptions!BS50&lt;&gt;"0",Assumptions!BS50,0)</f>
        <v>0</v>
      </c>
      <c r="BT60" s="1421">
        <f>+BU60-BS60</f>
        <v>0</v>
      </c>
      <c r="BU60" s="1103">
        <f>IF(Assumptions!BU50&lt;&gt;"0",Assumptions!BU50,0)</f>
        <v>0</v>
      </c>
      <c r="BV60" s="1104">
        <f>IF(Assumptions!BV50&lt;&gt;"0",Assumptions!BV50,0)</f>
        <v>0</v>
      </c>
      <c r="BW60" s="1421">
        <f>+BX60-BV60</f>
        <v>0</v>
      </c>
      <c r="BX60" s="1103">
        <f>IF(Assumptions!BX50&lt;&gt;"0",Assumptions!BX50,0)</f>
        <v>0</v>
      </c>
      <c r="BY60" s="1104">
        <f>IF(Assumptions!BY50&lt;&gt;"0",Assumptions!BY50,0)</f>
        <v>0</v>
      </c>
      <c r="BZ60" s="1421">
        <f>+CA60-BY60</f>
        <v>0</v>
      </c>
      <c r="CA60" s="1103">
        <f>IF(Assumptions!CA50&lt;&gt;"0",Assumptions!CA50,0)</f>
        <v>0</v>
      </c>
      <c r="CB60" s="1104">
        <f>IF(Assumptions!CB50&lt;&gt;"0",Assumptions!CB50,0)</f>
        <v>0</v>
      </c>
      <c r="CC60" s="1421">
        <f>+CD60-CB60</f>
        <v>0</v>
      </c>
      <c r="CD60" s="1103">
        <f>IF(Assumptions!CD50&lt;&gt;"0",Assumptions!CD50,0)</f>
        <v>0</v>
      </c>
      <c r="CE60" s="1104">
        <f>IF(Assumptions!CE50&lt;&gt;"0",Assumptions!CE50,0)</f>
        <v>0</v>
      </c>
      <c r="CF60" s="1421">
        <f>+CG60-CE60</f>
        <v>0</v>
      </c>
      <c r="CG60" s="1103">
        <f>IF(Assumptions!CG50&lt;&gt;"0",Assumptions!CG50,0)</f>
        <v>0</v>
      </c>
      <c r="CH60" s="1104">
        <f>IF(Assumptions!CH50&lt;&gt;"0",Assumptions!CH50,0)</f>
        <v>0</v>
      </c>
      <c r="CI60" s="1421">
        <f>+CJ60-CH60</f>
        <v>0</v>
      </c>
      <c r="CJ60" s="1103">
        <f>IF(Assumptions!CJ50&lt;&gt;"0",Assumptions!CJ50,0)</f>
        <v>0</v>
      </c>
      <c r="CK60" s="1104">
        <f>IF(Assumptions!CK50&lt;&gt;"0",Assumptions!CK50,0)</f>
        <v>0</v>
      </c>
      <c r="CL60" s="1421">
        <f>+CM60-CK60</f>
        <v>0</v>
      </c>
      <c r="CM60" s="1103">
        <f>IF(Assumptions!CM50&lt;&gt;"0",Assumptions!CM50,0)</f>
        <v>0</v>
      </c>
      <c r="CN60" s="1104">
        <f>IF(Assumptions!CN50&lt;&gt;"0",Assumptions!CN50,0)</f>
        <v>0</v>
      </c>
      <c r="CO60" s="1421">
        <f>+CP60-CN60</f>
        <v>0</v>
      </c>
      <c r="CP60" s="1103">
        <f>IF(Assumptions!CP50&lt;&gt;"0",Assumptions!CP50,0)</f>
        <v>0</v>
      </c>
      <c r="CQ60" s="1104">
        <f>IF(Assumptions!CQ50&lt;&gt;"0",Assumptions!CQ50,0)</f>
        <v>0</v>
      </c>
      <c r="CR60" s="1421">
        <f>+CS60-CQ60</f>
        <v>0</v>
      </c>
      <c r="CS60" s="1103">
        <f>IF(Assumptions!CS50&lt;&gt;"0",Assumptions!CS50,0)</f>
        <v>0</v>
      </c>
      <c r="CT60" s="1104">
        <f>IF(Assumptions!CT50&lt;&gt;"0",Assumptions!CT50,0)</f>
        <v>0</v>
      </c>
      <c r="CU60" s="1421">
        <f>+CV60-CT60</f>
        <v>0</v>
      </c>
      <c r="CV60" s="1103">
        <f>IF(Assumptions!CV50&lt;&gt;"0",Assumptions!CV50,0)</f>
        <v>0</v>
      </c>
      <c r="CW60" s="1104">
        <f>IF(Assumptions!CW50&lt;&gt;"0",Assumptions!CW50,0)</f>
        <v>0</v>
      </c>
      <c r="CX60" s="1421">
        <f>+CY60-CW60</f>
        <v>0</v>
      </c>
      <c r="CY60" s="1103">
        <f>IF(Assumptions!CY50&lt;&gt;"0",Assumptions!CY50,0)</f>
        <v>0</v>
      </c>
      <c r="CZ60" s="1104">
        <f>IF(Assumptions!CZ50&lt;&gt;"0",Assumptions!CZ50,0)</f>
        <v>0</v>
      </c>
      <c r="DA60" s="1421">
        <f>+DB60-CZ60</f>
        <v>0</v>
      </c>
      <c r="DB60" s="1103">
        <f>IF(Assumptions!DB50&lt;&gt;"0",Assumptions!DB50,0)</f>
        <v>0</v>
      </c>
      <c r="DC60" s="1104">
        <f>IF(Assumptions!DC50&lt;&gt;"0",Assumptions!DC50,0)</f>
        <v>0</v>
      </c>
      <c r="DD60" s="1421">
        <f>+DE60-DC60</f>
        <v>0</v>
      </c>
      <c r="DE60" s="1107">
        <f>IF(Assumptions!DE50&lt;&gt;"0",Assumptions!DE50,0)</f>
        <v>0</v>
      </c>
      <c r="DF60" s="1104">
        <f>IF(Assumptions!DF50&lt;&gt;"0",Assumptions!DF50,0)</f>
        <v>0</v>
      </c>
      <c r="DG60" s="1421">
        <f>+DH60-DF60</f>
        <v>0</v>
      </c>
      <c r="DH60" s="1107">
        <f>IF(Assumptions!DH50&lt;&gt;"0",Assumptions!DH50,0)</f>
        <v>0</v>
      </c>
      <c r="DI60" s="1104">
        <f>IF(Assumptions!DI50&lt;&gt;"0",Assumptions!DI50,0)</f>
        <v>0</v>
      </c>
      <c r="DJ60" s="1421">
        <f>+DK60-DI60</f>
        <v>0</v>
      </c>
      <c r="DK60" s="1107">
        <f>IF(Assumptions!DK50&lt;&gt;"0",Assumptions!DK50,0)</f>
        <v>0</v>
      </c>
      <c r="DL60" s="1421">
        <f>IF(Assumptions!DL50&lt;&gt;"0",Assumptions!DL50,0)</f>
        <v>0</v>
      </c>
      <c r="DM60" s="1421">
        <f>+DN60-DL60</f>
        <v>0</v>
      </c>
      <c r="DN60" s="1104">
        <f>IF(Assumptions!DN50&lt;&gt;"0",Assumptions!DN50,0)</f>
        <v>0</v>
      </c>
      <c r="DO60" s="1421">
        <f>IF(Assumptions!DO50&lt;&gt;"0",Assumptions!DO50,0)</f>
        <v>0</v>
      </c>
      <c r="DP60" s="1421">
        <f>+DQ60-DO60</f>
        <v>0</v>
      </c>
      <c r="DQ60" s="1104">
        <f>IF(Assumptions!DQ50&lt;&gt;"0",Assumptions!DQ50,0)</f>
        <v>0</v>
      </c>
      <c r="DR60" s="1421">
        <f>IF(Assumptions!DR50&lt;&gt;"0",Assumptions!DR50,0)</f>
        <v>0</v>
      </c>
      <c r="DS60" s="1421">
        <f>+DT60-DR60</f>
        <v>0</v>
      </c>
      <c r="DT60" s="1104">
        <f>IF(Assumptions!DT50&lt;&gt;"0",Assumptions!DT50,0)</f>
        <v>0</v>
      </c>
      <c r="DU60" s="1421">
        <f>IF(Assumptions!DU50&lt;&gt;"0",Assumptions!DU50,0)</f>
        <v>0</v>
      </c>
      <c r="DV60" s="1421">
        <f>+DW60-DU60</f>
        <v>0</v>
      </c>
      <c r="DW60" s="1104">
        <f>IF(Assumptions!DW50&lt;&gt;"0",Assumptions!DW50,0)</f>
        <v>0</v>
      </c>
      <c r="DX60" s="1421">
        <f>IF(Assumptions!DX50&lt;&gt;"0",Assumptions!DX50,0)</f>
        <v>0</v>
      </c>
      <c r="DY60" s="1421">
        <f>+DZ60-DX60</f>
        <v>0</v>
      </c>
      <c r="DZ60" s="1104">
        <f>IF(Assumptions!DZ50&lt;&gt;"0",Assumptions!DZ50,0)</f>
        <v>0</v>
      </c>
      <c r="EA60" s="1421">
        <f>IF(Assumptions!EA50&lt;&gt;"0",Assumptions!EA50,0)</f>
        <v>0</v>
      </c>
      <c r="EB60" s="1421">
        <f>+EC60-EA60</f>
        <v>0</v>
      </c>
      <c r="EC60" s="1104">
        <f>IF(Assumptions!EC50&lt;&gt;"0",Assumptions!EC50,0)</f>
        <v>0</v>
      </c>
      <c r="ED60" s="1421">
        <f>IF(Assumptions!ED50&lt;&gt;"0",Assumptions!ED50,0)</f>
        <v>0</v>
      </c>
      <c r="EE60" s="1421">
        <f>+EF60-ED60</f>
        <v>0</v>
      </c>
      <c r="EF60" s="1104">
        <f>IF(Assumptions!EF50&lt;&gt;"0",Assumptions!EF50,0)</f>
        <v>0</v>
      </c>
      <c r="EG60" s="1421">
        <f>IF(Assumptions!EG50&lt;&gt;"0",Assumptions!EG50,0)</f>
        <v>0</v>
      </c>
      <c r="EH60" s="1421">
        <f>+EI60-EG60</f>
        <v>0</v>
      </c>
      <c r="EI60" s="1104">
        <f>IF(Assumptions!EI50&lt;&gt;"0",Assumptions!EI50,0)</f>
        <v>0</v>
      </c>
      <c r="EJ60" s="1421">
        <f>IF(Assumptions!EJ50&lt;&gt;"0",Assumptions!EJ50,0)</f>
        <v>0</v>
      </c>
      <c r="EK60" s="1421">
        <f>+EL60-EJ60</f>
        <v>0</v>
      </c>
      <c r="EL60" s="1104">
        <f>IF(Assumptions!EL50&lt;&gt;"0",Assumptions!EL50,0)</f>
        <v>0</v>
      </c>
      <c r="EM60" s="1421">
        <f>IF(Assumptions!EM50&lt;&gt;"0",Assumptions!EM50,0)</f>
        <v>0</v>
      </c>
      <c r="EN60" s="1421">
        <f>+EO60-EM60</f>
        <v>0</v>
      </c>
      <c r="EO60" s="1104">
        <f>IF(Assumptions!EO50&lt;&gt;"0",Assumptions!EO50,0)</f>
        <v>0</v>
      </c>
      <c r="EP60" s="1421">
        <f>IF(Assumptions!EP50&lt;&gt;"0",Assumptions!EP50,0)</f>
        <v>0</v>
      </c>
      <c r="EQ60" s="1421">
        <f>+ER60-EP60</f>
        <v>0</v>
      </c>
      <c r="ER60" s="1104">
        <f>IF(Assumptions!ER50&lt;&gt;"0",Assumptions!ER50,0)</f>
        <v>0</v>
      </c>
      <c r="ES60" s="1421">
        <f>IF(Assumptions!ES50&lt;&gt;"0",Assumptions!ES50,0)</f>
        <v>0</v>
      </c>
      <c r="ET60" s="1421">
        <f>+EU60-ES60</f>
        <v>0</v>
      </c>
      <c r="EU60" s="1104">
        <f>IF(Assumptions!EU50&lt;&gt;"0",Assumptions!EU50,0)</f>
        <v>0</v>
      </c>
      <c r="EV60" s="1421">
        <f>IF(Assumptions!EV50&lt;&gt;"0",Assumptions!EV50,0)</f>
        <v>0</v>
      </c>
      <c r="EW60" s="1421">
        <f>+EX60-EV60</f>
        <v>0</v>
      </c>
      <c r="EX60" s="1104">
        <f>IF(Assumptions!EX50&lt;&gt;"0",Assumptions!EX50,0)</f>
        <v>0</v>
      </c>
      <c r="EY60" s="1421">
        <f>IF(Assumptions!EY50&lt;&gt;"0",Assumptions!EY50,0)</f>
        <v>0</v>
      </c>
      <c r="EZ60" s="1421">
        <f>+FA60-EY60</f>
        <v>0</v>
      </c>
      <c r="FA60" s="1104">
        <f>IF(Assumptions!FA50&lt;&gt;"0",Assumptions!FA50,0)</f>
        <v>0</v>
      </c>
      <c r="FB60" s="1120"/>
      <c r="FD60"/>
      <c r="FE60"/>
      <c r="FF60"/>
      <c r="FG60"/>
      <c r="FH60"/>
      <c r="FI60"/>
    </row>
    <row r="61" spans="2:169" s="61" customFormat="1" outlineLevel="1">
      <c r="B61" s="60" t="s">
        <v>181</v>
      </c>
      <c r="D61" s="1658" t="s">
        <v>506</v>
      </c>
      <c r="E61" s="1495">
        <f>+E69+E63</f>
        <v>0</v>
      </c>
      <c r="F61" s="1272">
        <f>+G61-E61</f>
        <v>0</v>
      </c>
      <c r="G61" s="1495">
        <f>+G69+G63</f>
        <v>0</v>
      </c>
      <c r="H61" s="1495">
        <f>+H69+H63</f>
        <v>0</v>
      </c>
      <c r="I61" s="1272">
        <f>+J61-H61</f>
        <v>0</v>
      </c>
      <c r="J61" s="1495">
        <f>+J69+J63</f>
        <v>0</v>
      </c>
      <c r="K61" s="1495">
        <f>+K69+K63</f>
        <v>0</v>
      </c>
      <c r="L61" s="1272">
        <f>+M61-K61</f>
        <v>0</v>
      </c>
      <c r="M61" s="1495">
        <f>+M69+M63</f>
        <v>0</v>
      </c>
      <c r="N61" s="1495">
        <f>+N69+N63</f>
        <v>0</v>
      </c>
      <c r="O61" s="1272">
        <f>+P61-N61</f>
        <v>0</v>
      </c>
      <c r="P61" s="1495">
        <f>+P69+P63</f>
        <v>0</v>
      </c>
      <c r="Q61" s="1495">
        <f>+Q69+Q63</f>
        <v>0</v>
      </c>
      <c r="R61" s="1272">
        <f>+S61-Q61</f>
        <v>0</v>
      </c>
      <c r="S61" s="1495">
        <f>+S69+S63</f>
        <v>0</v>
      </c>
      <c r="T61" s="1495">
        <f>+T69+T63</f>
        <v>0</v>
      </c>
      <c r="U61" s="1272">
        <f>+V61-T61</f>
        <v>0</v>
      </c>
      <c r="V61" s="1495">
        <f>+V69+V63</f>
        <v>0</v>
      </c>
      <c r="W61" s="1495">
        <f>+W69+W63</f>
        <v>0</v>
      </c>
      <c r="X61" s="1272">
        <f>+Y61-W61</f>
        <v>0</v>
      </c>
      <c r="Y61" s="1495">
        <f>+Y69+Y63</f>
        <v>0</v>
      </c>
      <c r="Z61" s="1495">
        <f>+Z69+Z63</f>
        <v>0</v>
      </c>
      <c r="AA61" s="1272">
        <f>+AB61-Z61</f>
        <v>0</v>
      </c>
      <c r="AB61" s="1495">
        <f>+AB69+AB63</f>
        <v>0</v>
      </c>
      <c r="AC61" s="1495">
        <f>+AC69+AC63</f>
        <v>0</v>
      </c>
      <c r="AD61" s="1272">
        <f>+AE61-AC61</f>
        <v>0</v>
      </c>
      <c r="AE61" s="1495">
        <f>+AE69+AE63</f>
        <v>0</v>
      </c>
      <c r="AF61" s="1495">
        <f>+AF69+AF63</f>
        <v>0</v>
      </c>
      <c r="AG61" s="1272">
        <f>+AH61-AF61</f>
        <v>0</v>
      </c>
      <c r="AH61" s="1495">
        <f>+AH69+AH63</f>
        <v>0</v>
      </c>
      <c r="AI61" s="1495">
        <f>+AI69+AI63</f>
        <v>0</v>
      </c>
      <c r="AJ61" s="1272">
        <f>+AK61-AI61</f>
        <v>0</v>
      </c>
      <c r="AK61" s="1495">
        <f>+AK69+AK63</f>
        <v>0</v>
      </c>
      <c r="AL61" s="1495">
        <f>+AL69+AL63</f>
        <v>0</v>
      </c>
      <c r="AM61" s="1272">
        <f>+AN61-AL61</f>
        <v>43.097999999999999</v>
      </c>
      <c r="AN61" s="1495">
        <f>+AN69+AN63</f>
        <v>43.097999999999999</v>
      </c>
      <c r="AO61" s="1495">
        <f>+AO69+AO63</f>
        <v>16.681000000000001</v>
      </c>
      <c r="AP61" s="1272">
        <f>+AQ61-AO61</f>
        <v>32.446999999999989</v>
      </c>
      <c r="AQ61" s="1495">
        <f>+AQ69+AQ63</f>
        <v>49.127999999999993</v>
      </c>
      <c r="AR61" s="1495">
        <f>+AR69+AR63</f>
        <v>20.204999999999998</v>
      </c>
      <c r="AS61" s="1272">
        <f>+AT61-AR61</f>
        <v>38.439</v>
      </c>
      <c r="AT61" s="1495">
        <f>+AT69+AT63</f>
        <v>58.643999999999998</v>
      </c>
      <c r="AU61" s="1495">
        <f>+AU69+AU63</f>
        <v>23.713999999999999</v>
      </c>
      <c r="AV61" s="1272">
        <f>+AW61-AU61</f>
        <v>45.811000000000007</v>
      </c>
      <c r="AW61" s="1495">
        <f>+AW69+AW63</f>
        <v>69.525000000000006</v>
      </c>
      <c r="AX61" s="1495">
        <f>+AX69+AX63</f>
        <v>25.812000000000001</v>
      </c>
      <c r="AY61" s="1272">
        <f>+AZ61-AX61</f>
        <v>51.656000000000006</v>
      </c>
      <c r="AZ61" s="1495">
        <f>+AZ69+AZ63</f>
        <v>77.468000000000004</v>
      </c>
      <c r="BA61" s="1495">
        <f>+BA69+BA63</f>
        <v>53.969000000000001</v>
      </c>
      <c r="BB61" s="1272">
        <f>+BC61-BA61</f>
        <v>99.234999999999985</v>
      </c>
      <c r="BC61" s="1495">
        <f>+BC69+BC63</f>
        <v>153.20399999999998</v>
      </c>
      <c r="BD61" s="1495">
        <f>+BD69+BD63</f>
        <v>108.587</v>
      </c>
      <c r="BE61" s="1272">
        <f>+BF61-BD61</f>
        <v>126.62800000000003</v>
      </c>
      <c r="BF61" s="1495">
        <f>+BF69+BF63</f>
        <v>235.21500000000003</v>
      </c>
      <c r="BG61" s="1495">
        <f>+BG69+BG63</f>
        <v>98.940000000000012</v>
      </c>
      <c r="BH61" s="1272">
        <f>+BI61-BG61</f>
        <v>92.057999999999979</v>
      </c>
      <c r="BI61" s="1495">
        <f>+BI69+BI63</f>
        <v>190.99799999999999</v>
      </c>
      <c r="BJ61" s="1495">
        <f>+BJ69+BJ63</f>
        <v>57.631999999999998</v>
      </c>
      <c r="BK61" s="1272"/>
      <c r="BL61" s="1495"/>
      <c r="BM61" s="1495"/>
      <c r="BN61" s="1272"/>
      <c r="BO61" s="1495">
        <f>+BO69+BO63</f>
        <v>671.08100000000013</v>
      </c>
      <c r="BP61" s="1495">
        <f>+BP69+BP63</f>
        <v>272.56700000000001</v>
      </c>
      <c r="BQ61" s="1272">
        <f>+BR61-BP61</f>
        <v>253.52200000000005</v>
      </c>
      <c r="BR61" s="1495">
        <f>+BR69+BR63</f>
        <v>526.08900000000006</v>
      </c>
      <c r="BS61" s="1495">
        <f>+BS69+BS63</f>
        <v>390.71299999999997</v>
      </c>
      <c r="BT61" s="1272">
        <f>+BU61-BS61</f>
        <v>428.97299999999996</v>
      </c>
      <c r="BU61" s="1495">
        <f>+BU69+BU63</f>
        <v>819.68599999999992</v>
      </c>
      <c r="BV61" s="1495">
        <f>+BV69+BV63</f>
        <v>511.36799999999999</v>
      </c>
      <c r="BW61" s="1272">
        <f>+BX61-BV61</f>
        <v>494.31</v>
      </c>
      <c r="BX61" s="1495">
        <f>+BX69+BX63</f>
        <v>1005.678</v>
      </c>
      <c r="BY61" s="1495">
        <f>+BY69+BY63</f>
        <v>637.62900000000002</v>
      </c>
      <c r="BZ61" s="1272">
        <f>+CA61-BY61</f>
        <v>640.33210510000015</v>
      </c>
      <c r="CA61" s="1495">
        <f>+CA69+CA63</f>
        <v>1277.9611051000002</v>
      </c>
      <c r="CB61" s="1495">
        <f>+CB69+CB63</f>
        <v>807.83575000000008</v>
      </c>
      <c r="CC61" s="1272">
        <f>+CD61-CB61</f>
        <v>572.70474999999999</v>
      </c>
      <c r="CD61" s="1495">
        <f>+CD69+CD63</f>
        <v>1380.5405000000001</v>
      </c>
      <c r="CE61" s="1495">
        <f>+CE69+CE63</f>
        <v>649.19100000000003</v>
      </c>
      <c r="CF61" s="1272">
        <f>+CG61-CE61</f>
        <v>560.29762872660967</v>
      </c>
      <c r="CG61" s="1495">
        <f>+CG69+CG63</f>
        <v>1209.4886287266097</v>
      </c>
      <c r="CH61" s="1495">
        <f>+CH69+CH63</f>
        <v>648.69999999999993</v>
      </c>
      <c r="CI61" s="1272">
        <f>+CJ61-CH61</f>
        <v>630.17241733751473</v>
      </c>
      <c r="CJ61" s="1495">
        <f>+CJ69+CJ63</f>
        <v>1278.8724173375147</v>
      </c>
      <c r="CK61" s="1495">
        <f>+CK69+CK63</f>
        <v>802.91024999999991</v>
      </c>
      <c r="CL61" s="1272">
        <f>+CM61-CK61</f>
        <v>713.93754137945234</v>
      </c>
      <c r="CM61" s="1495">
        <f>+CM69+CM63</f>
        <v>1516.8477913794522</v>
      </c>
      <c r="CN61" s="1495">
        <f>+CN69+CN63</f>
        <v>833</v>
      </c>
      <c r="CO61" s="1272">
        <f>+CP61-CN61</f>
        <v>833.60000000000014</v>
      </c>
      <c r="CP61" s="1495">
        <f>+CP69+CP63</f>
        <v>1666.6000000000001</v>
      </c>
      <c r="CQ61" s="1495">
        <f>+CQ69+CQ63</f>
        <v>890.59999999999991</v>
      </c>
      <c r="CR61" s="1272">
        <f>+CS61-CQ61</f>
        <v>914.40000000000009</v>
      </c>
      <c r="CS61" s="1495">
        <f>+CS69+CS63</f>
        <v>1805</v>
      </c>
      <c r="CT61" s="1495">
        <f>+CT69+CT63</f>
        <v>824.34936488726157</v>
      </c>
      <c r="CU61" s="1272">
        <f>+CV61-CT61</f>
        <v>740.65063511273866</v>
      </c>
      <c r="CV61" s="1495">
        <f>+CV69+CV63</f>
        <v>1565.0000000000002</v>
      </c>
      <c r="CW61" s="1495">
        <f>+CW69+CW63</f>
        <v>1125</v>
      </c>
      <c r="CX61" s="1272">
        <f>+CY61-CW61</f>
        <v>725.3</v>
      </c>
      <c r="CY61" s="1495">
        <f>+CY69+CY63</f>
        <v>1850.3</v>
      </c>
      <c r="CZ61" s="1495">
        <f>+CZ69+CZ63</f>
        <v>1502.3090930720516</v>
      </c>
      <c r="DA61" s="1272">
        <f>+DB61-CZ61</f>
        <v>935.7909069279483</v>
      </c>
      <c r="DB61" s="1495">
        <f>+DB69+DB63</f>
        <v>2438.1</v>
      </c>
      <c r="DC61" s="1495">
        <f>+DC69+DC63</f>
        <v>1589.2</v>
      </c>
      <c r="DD61" s="1272">
        <f>+DE61-DC61</f>
        <v>1017.1000000000001</v>
      </c>
      <c r="DE61" s="1496">
        <f>+DE69+DE63</f>
        <v>2606.3000000000002</v>
      </c>
      <c r="DF61" s="1495">
        <f>+DF69+DF63</f>
        <v>1668.4190000000001</v>
      </c>
      <c r="DG61" s="1272">
        <f>+DH61-DF61</f>
        <v>1120.6110874999997</v>
      </c>
      <c r="DH61" s="1496">
        <f>+DH69+DH63</f>
        <v>2789.0300874999998</v>
      </c>
      <c r="DI61" s="1495">
        <f>+DI69+DI63</f>
        <v>2405.831545</v>
      </c>
      <c r="DJ61" s="1272">
        <f>+DK61-DI61</f>
        <v>840.85427625000011</v>
      </c>
      <c r="DK61" s="1496">
        <f>+DK69+DK63</f>
        <v>3246.6858212500001</v>
      </c>
      <c r="DL61" s="1495">
        <f>+DL69+DL63</f>
        <v>2278.6235962499995</v>
      </c>
      <c r="DM61" s="1272">
        <f>+DN61-DL61</f>
        <v>900.47640375000083</v>
      </c>
      <c r="DN61" s="1496">
        <f>+DN69+DN63</f>
        <v>3179.1000000000004</v>
      </c>
      <c r="DO61" s="1495">
        <f>+DO69+DO63</f>
        <v>2459.3018085000003</v>
      </c>
      <c r="DP61" s="1272">
        <f>+DQ61-DO61</f>
        <v>1303.9963594942442</v>
      </c>
      <c r="DQ61" s="1496">
        <f>+DQ69+DQ63</f>
        <v>3763.2981679942445</v>
      </c>
      <c r="DR61" s="1495">
        <f>+DR69+DR63</f>
        <v>2844.9791249999998</v>
      </c>
      <c r="DS61" s="1272">
        <f>+DT61-DR61</f>
        <v>1461.0284750000001</v>
      </c>
      <c r="DT61" s="1496">
        <f>+DT69+DT63</f>
        <v>4306.0075999999999</v>
      </c>
      <c r="DU61" s="1495">
        <f>+DU69+DU63</f>
        <v>2932</v>
      </c>
      <c r="DV61" s="1272">
        <f>+DW61-DU61</f>
        <v>1640</v>
      </c>
      <c r="DW61" s="1496">
        <f>+DW69+DW63</f>
        <v>4572</v>
      </c>
      <c r="DX61" s="1495">
        <f>+DX69+DX63</f>
        <v>2854</v>
      </c>
      <c r="DY61" s="1272">
        <f>+DZ61-DX61</f>
        <v>2153.0171988996017</v>
      </c>
      <c r="DZ61" s="1496">
        <f>+DZ69+DZ63</f>
        <v>5007.0171988996017</v>
      </c>
      <c r="EA61" s="1495">
        <f>+EA69+EA63</f>
        <v>3018.6757380767485</v>
      </c>
      <c r="EB61" s="1272">
        <f>+EC61-EA61</f>
        <v>2246.8012172453191</v>
      </c>
      <c r="EC61" s="1496">
        <f>+EC69+EC63</f>
        <v>5265.4769553220676</v>
      </c>
      <c r="ED61" s="1495">
        <f>+ED69+ED63</f>
        <v>3249.5087308111761</v>
      </c>
      <c r="EE61" s="1272">
        <f>+EF61-ED61</f>
        <v>2414.3838689007971</v>
      </c>
      <c r="EF61" s="1496">
        <f>+EF69+EF63</f>
        <v>5663.8925997119732</v>
      </c>
      <c r="EG61" s="1495">
        <f>+EG69+EG63</f>
        <v>3496.6721707886104</v>
      </c>
      <c r="EH61" s="1272">
        <f>+EI61-EG61</f>
        <v>2649.9814847776647</v>
      </c>
      <c r="EI61" s="1496">
        <f>+EI69+EI63</f>
        <v>6146.6536555662751</v>
      </c>
      <c r="EJ61" s="1495">
        <f>+EJ69+EJ63</f>
        <v>3766.3132453942872</v>
      </c>
      <c r="EK61" s="1272">
        <f>+EL61-EJ61</f>
        <v>2909.2286988498354</v>
      </c>
      <c r="EL61" s="1496">
        <f>+EL69+EL63</f>
        <v>6675.5419442441225</v>
      </c>
      <c r="EM61" s="1495">
        <f>+EM69+EM63</f>
        <v>4080.497533636672</v>
      </c>
      <c r="EN61" s="1272">
        <f>+EO61-EM61</f>
        <v>3155.6126883638922</v>
      </c>
      <c r="EO61" s="1496">
        <f>+EO69+EO63</f>
        <v>7236.1102220005641</v>
      </c>
      <c r="EP61" s="1495">
        <f>+EP69+EP63</f>
        <v>4375.6651036605917</v>
      </c>
      <c r="EQ61" s="1272">
        <f>+ER61-EP61</f>
        <v>3431.7631338497276</v>
      </c>
      <c r="ER61" s="1496">
        <f>+ER69+ER63</f>
        <v>7807.4282375103194</v>
      </c>
      <c r="ES61" s="1495">
        <f>+ES69+ES63</f>
        <v>4654.6915042635637</v>
      </c>
      <c r="ET61" s="1272">
        <f>+EU61-ES61</f>
        <v>3683.8132893068332</v>
      </c>
      <c r="EU61" s="1496">
        <f>+EU69+EU63</f>
        <v>8338.5047935703969</v>
      </c>
      <c r="EV61" s="1495">
        <f>+EV69+EV63</f>
        <v>4907.1596494561909</v>
      </c>
      <c r="EW61" s="1272">
        <f>+EX61-EV61</f>
        <v>3904.6621734758646</v>
      </c>
      <c r="EX61" s="1496">
        <f>+EX69+EX63</f>
        <v>8811.8218229320555</v>
      </c>
      <c r="EY61" s="1495">
        <f>+EY69+EY63</f>
        <v>5175.3975416541389</v>
      </c>
      <c r="EZ61" s="1272">
        <f>+FA61-EY61</f>
        <v>4140.0462454736016</v>
      </c>
      <c r="FA61" s="1496">
        <f>+FA69+FA63</f>
        <v>9315.4437871277405</v>
      </c>
      <c r="FB61" s="1710"/>
      <c r="FD61"/>
      <c r="FE61"/>
      <c r="FF61"/>
      <c r="FG61"/>
      <c r="FH61"/>
      <c r="FI61"/>
      <c r="FJ61" s="33"/>
      <c r="FK61" s="33"/>
      <c r="FL61" s="33"/>
      <c r="FM61" s="33"/>
    </row>
    <row r="62" spans="2:169" s="33" customFormat="1" outlineLevel="1">
      <c r="B62" s="52" t="s">
        <v>213</v>
      </c>
      <c r="D62" s="1121" t="s">
        <v>507</v>
      </c>
      <c r="E62" s="1122"/>
      <c r="F62" s="1122"/>
      <c r="G62" s="1122"/>
      <c r="H62" s="1122"/>
      <c r="I62" s="1122"/>
      <c r="J62" s="1122"/>
      <c r="K62" s="1122"/>
      <c r="L62" s="1122"/>
      <c r="M62" s="1122"/>
      <c r="N62" s="1122"/>
      <c r="O62" s="1122"/>
      <c r="P62" s="1122"/>
      <c r="Q62" s="1122"/>
      <c r="R62" s="1122"/>
      <c r="S62" s="1122"/>
      <c r="T62" s="1122"/>
      <c r="U62" s="1122"/>
      <c r="V62" s="1122"/>
      <c r="W62" s="1122"/>
      <c r="X62" s="1122"/>
      <c r="Y62" s="1122"/>
      <c r="Z62" s="1122"/>
      <c r="AA62" s="1122"/>
      <c r="AB62" s="1122"/>
      <c r="AC62" s="1122"/>
      <c r="AD62" s="1122"/>
      <c r="AE62" s="1122"/>
      <c r="AF62" s="1122"/>
      <c r="AG62" s="1122"/>
      <c r="AH62" s="1122"/>
      <c r="AI62" s="1122"/>
      <c r="AJ62" s="1122"/>
      <c r="AK62" s="1122"/>
      <c r="AL62" s="1122"/>
      <c r="AM62" s="1122">
        <f t="shared" ref="AM62:AZ62" si="187">+AM61/AM30</f>
        <v>0.15331801267867182</v>
      </c>
      <c r="AN62" s="1122">
        <f t="shared" si="187"/>
        <v>0.15331801267867182</v>
      </c>
      <c r="AO62" s="1122">
        <f t="shared" si="187"/>
        <v>0.1268546050480239</v>
      </c>
      <c r="AP62" s="1122">
        <f t="shared" si="187"/>
        <v>0.187007942088458</v>
      </c>
      <c r="AQ62" s="1122">
        <f t="shared" si="187"/>
        <v>0.16107382550335569</v>
      </c>
      <c r="AR62" s="1122">
        <f t="shared" si="187"/>
        <v>0.12925905549087094</v>
      </c>
      <c r="AS62" s="1122">
        <f t="shared" si="187"/>
        <v>0.19494667227922122</v>
      </c>
      <c r="AT62" s="1122">
        <f t="shared" si="187"/>
        <v>0.16589955614145763</v>
      </c>
      <c r="AU62" s="1122">
        <f t="shared" si="187"/>
        <v>0.1251279561835815</v>
      </c>
      <c r="AV62" s="1122">
        <f t="shared" si="187"/>
        <v>0.20455631315499237</v>
      </c>
      <c r="AW62" s="1122">
        <f t="shared" si="187"/>
        <v>0.16814964048264572</v>
      </c>
      <c r="AX62" s="1122">
        <f t="shared" si="187"/>
        <v>0.12347049087795499</v>
      </c>
      <c r="AY62" s="1122">
        <f t="shared" si="187"/>
        <v>0.21385751664293048</v>
      </c>
      <c r="AZ62" s="1122">
        <f t="shared" si="187"/>
        <v>0.17192264501839777</v>
      </c>
      <c r="BA62" s="1122"/>
      <c r="BB62" s="1122"/>
      <c r="BC62" s="1122">
        <f t="shared" ref="BC62:BJ62" si="188">+BC61/BC30</f>
        <v>0.17922285757068121</v>
      </c>
      <c r="BD62" s="1122">
        <f t="shared" si="188"/>
        <v>0.18410661150719307</v>
      </c>
      <c r="BE62" s="1122">
        <f t="shared" si="188"/>
        <v>0.16653318025137534</v>
      </c>
      <c r="BF62" s="1122">
        <f t="shared" si="188"/>
        <v>0.17420984726503541</v>
      </c>
      <c r="BG62" s="1122">
        <f t="shared" si="188"/>
        <v>0.15462950807374207</v>
      </c>
      <c r="BH62" s="1122">
        <f t="shared" si="188"/>
        <v>0.13937791827910098</v>
      </c>
      <c r="BI62" s="1122">
        <f t="shared" si="188"/>
        <v>0.146882671047046</v>
      </c>
      <c r="BJ62" s="1122">
        <f t="shared" si="188"/>
        <v>9.0596694427938579E-2</v>
      </c>
      <c r="BK62" s="1122"/>
      <c r="BL62" s="1122"/>
      <c r="BM62" s="1122"/>
      <c r="BN62" s="1122"/>
      <c r="BO62" s="1122">
        <f>+BO61/BO30</f>
        <v>0.244035311392928</v>
      </c>
      <c r="BP62" s="1122"/>
      <c r="BQ62" s="1122"/>
      <c r="BR62" s="1122"/>
      <c r="BS62" s="1122"/>
      <c r="BT62" s="1122"/>
      <c r="BU62" s="1122"/>
      <c r="BV62" s="1122">
        <f t="shared" ref="BV62:DA62" si="189">+BV61/BV30</f>
        <v>0.3309565669852757</v>
      </c>
      <c r="BW62" s="1122">
        <f t="shared" si="189"/>
        <v>0.29027902223356938</v>
      </c>
      <c r="BX62" s="1122">
        <f t="shared" si="189"/>
        <v>0.30962992610837436</v>
      </c>
      <c r="BY62" s="1122">
        <f t="shared" si="189"/>
        <v>0.35448799644642764</v>
      </c>
      <c r="BZ62" s="1122">
        <f t="shared" si="189"/>
        <v>0.37497745652862774</v>
      </c>
      <c r="CA62" s="1122">
        <f t="shared" si="189"/>
        <v>0.36446662275450875</v>
      </c>
      <c r="CB62" s="1122">
        <f t="shared" si="189"/>
        <v>0.38624162609571877</v>
      </c>
      <c r="CC62" s="1122">
        <f t="shared" si="189"/>
        <v>0.29055550655729145</v>
      </c>
      <c r="CD62" s="1122">
        <f t="shared" si="189"/>
        <v>0.33981717377529042</v>
      </c>
      <c r="CE62" s="1122">
        <f t="shared" si="189"/>
        <v>0.31750122980761497</v>
      </c>
      <c r="CF62" s="1122">
        <f t="shared" si="189"/>
        <v>0.25507402061353246</v>
      </c>
      <c r="CG62" s="1122">
        <f t="shared" si="189"/>
        <v>0.28516957885629968</v>
      </c>
      <c r="CH62" s="1122">
        <f t="shared" si="189"/>
        <v>0.28129599861527577</v>
      </c>
      <c r="CI62" s="1122">
        <f t="shared" si="189"/>
        <v>0.27183832458797713</v>
      </c>
      <c r="CJ62" s="1122">
        <f t="shared" si="189"/>
        <v>0.27655481204452881</v>
      </c>
      <c r="CK62" s="1122">
        <f t="shared" si="189"/>
        <v>0.3221563415319183</v>
      </c>
      <c r="CL62" s="1122">
        <f t="shared" si="189"/>
        <v>0.28925433165037351</v>
      </c>
      <c r="CM62" s="1122">
        <f t="shared" si="189"/>
        <v>0.30578526184446159</v>
      </c>
      <c r="CN62" s="1122">
        <f t="shared" si="189"/>
        <v>0.32359568021132784</v>
      </c>
      <c r="CO62" s="1122">
        <f t="shared" si="189"/>
        <v>0.30196334130261554</v>
      </c>
      <c r="CP62" s="1122">
        <f t="shared" si="189"/>
        <v>0.31240158956287029</v>
      </c>
      <c r="CQ62" s="1122">
        <f t="shared" si="189"/>
        <v>0.31406707338576006</v>
      </c>
      <c r="CR62" s="1122">
        <f t="shared" si="189"/>
        <v>0.33132835712732783</v>
      </c>
      <c r="CS62" s="1122">
        <f t="shared" si="189"/>
        <v>0.3225806451612902</v>
      </c>
      <c r="CT62" s="1122">
        <f t="shared" si="189"/>
        <v>0.26289100850485564</v>
      </c>
      <c r="CU62" s="1122">
        <f t="shared" si="189"/>
        <v>0.25367421087017367</v>
      </c>
      <c r="CV62" s="1122">
        <f t="shared" si="189"/>
        <v>0.25844700597813514</v>
      </c>
      <c r="CW62" s="1122">
        <f t="shared" si="189"/>
        <v>0.31281281281281287</v>
      </c>
      <c r="CX62" s="1122">
        <f t="shared" si="189"/>
        <v>0.23111975017525971</v>
      </c>
      <c r="CY62" s="1122">
        <f t="shared" si="189"/>
        <v>0.27474534493511121</v>
      </c>
      <c r="CZ62" s="1122">
        <f t="shared" si="189"/>
        <v>0.36825539283605579</v>
      </c>
      <c r="DA62" s="1122">
        <f t="shared" si="189"/>
        <v>0.2538791754569632</v>
      </c>
      <c r="DB62" s="1122">
        <f t="shared" ref="DB62:EC62" si="190">+DB61/DB30</f>
        <v>0.3139656171527912</v>
      </c>
      <c r="DC62" s="1122">
        <f t="shared" si="190"/>
        <v>0.35982429923470544</v>
      </c>
      <c r="DD62" s="1122">
        <f t="shared" si="190"/>
        <v>0.25647426683813701</v>
      </c>
      <c r="DE62" s="1123">
        <f t="shared" si="190"/>
        <v>0.31092898130584684</v>
      </c>
      <c r="DF62" s="1122">
        <f t="shared" si="190"/>
        <v>0.34862354500080694</v>
      </c>
      <c r="DG62" s="1122">
        <f t="shared" si="190"/>
        <v>0.26857252428403178</v>
      </c>
      <c r="DH62" s="1123">
        <f t="shared" si="190"/>
        <v>0.31133810394395389</v>
      </c>
      <c r="DI62" s="1122">
        <f t="shared" si="190"/>
        <v>0.42346163053826463</v>
      </c>
      <c r="DJ62" s="1122">
        <f t="shared" si="190"/>
        <v>0.18748328765513883</v>
      </c>
      <c r="DK62" s="1123">
        <f t="shared" si="190"/>
        <v>0.31935764141077533</v>
      </c>
      <c r="DL62" s="1122">
        <f t="shared" si="190"/>
        <v>0.38613539784955336</v>
      </c>
      <c r="DM62" s="1122">
        <f t="shared" si="190"/>
        <v>0.2036125276992653</v>
      </c>
      <c r="DN62" s="1123">
        <f t="shared" si="190"/>
        <v>0.3079449029408346</v>
      </c>
      <c r="DO62" s="1122">
        <f t="shared" si="190"/>
        <v>0.35354098624248875</v>
      </c>
      <c r="DP62" s="1122">
        <f t="shared" si="190"/>
        <v>0.22283679542948223</v>
      </c>
      <c r="DQ62" s="1123">
        <f t="shared" si="190"/>
        <v>0.29382402935620272</v>
      </c>
      <c r="DR62" s="1122">
        <f t="shared" si="190"/>
        <v>0.36450725496476616</v>
      </c>
      <c r="DS62" s="1122">
        <f t="shared" si="190"/>
        <v>0.2255369674282186</v>
      </c>
      <c r="DT62" s="1123">
        <f t="shared" si="190"/>
        <v>0.30147781278442903</v>
      </c>
      <c r="DU62" s="1122">
        <f t="shared" si="190"/>
        <v>0.35630088710657432</v>
      </c>
      <c r="DV62" s="1122">
        <f>+DV61/DV30</f>
        <v>0.24004683840749413</v>
      </c>
      <c r="DW62" s="1123">
        <f>+DW61/DW30</f>
        <v>0.30356550029878493</v>
      </c>
      <c r="DX62" s="1122">
        <f t="shared" ref="DX62" si="191">+DX61/DX30</f>
        <v>0.35269401878398421</v>
      </c>
      <c r="DY62" s="1122">
        <f t="shared" si="190"/>
        <v>0.2915318359030567</v>
      </c>
      <c r="DZ62" s="1123">
        <f t="shared" si="190"/>
        <v>0.32350950572912857</v>
      </c>
      <c r="EA62" s="1122">
        <f t="shared" si="190"/>
        <v>0.34922410588601749</v>
      </c>
      <c r="EB62" s="1122">
        <f t="shared" si="190"/>
        <v>0.29212744004954178</v>
      </c>
      <c r="EC62" s="1123">
        <f t="shared" si="190"/>
        <v>0.32234091796729464</v>
      </c>
      <c r="ED62" s="1122">
        <f t="shared" ref="ED62:EL62" si="192">+ED61/ED30</f>
        <v>0.35936205259006365</v>
      </c>
      <c r="EE62" s="1122">
        <f t="shared" si="192"/>
        <v>0.29502427120327346</v>
      </c>
      <c r="EF62" s="1123">
        <f t="shared" si="192"/>
        <v>0.32879684901908834</v>
      </c>
      <c r="EG62" s="1122">
        <f t="shared" si="192"/>
        <v>0.36534507455199638</v>
      </c>
      <c r="EH62" s="1122">
        <f t="shared" si="192"/>
        <v>0.30356704602618739</v>
      </c>
      <c r="EI62" s="1123">
        <f t="shared" si="192"/>
        <v>0.33587625001449478</v>
      </c>
      <c r="EJ62" s="1122">
        <f t="shared" si="192"/>
        <v>0.37152701159273027</v>
      </c>
      <c r="EK62" s="1122">
        <f t="shared" si="192"/>
        <v>0.31202780907695377</v>
      </c>
      <c r="EL62" s="1123">
        <f t="shared" si="192"/>
        <v>0.34302139824066169</v>
      </c>
      <c r="EM62" s="1122">
        <f t="shared" ref="EM62:ER62" si="193">+EM61/EM30</f>
        <v>0.3815927385016234</v>
      </c>
      <c r="EN62" s="1122">
        <f t="shared" si="193"/>
        <v>0.32048828415436897</v>
      </c>
      <c r="EO62" s="1123">
        <f t="shared" si="193"/>
        <v>0.35230050433278387</v>
      </c>
      <c r="EP62" s="1122">
        <f t="shared" si="193"/>
        <v>0.38819149865678165</v>
      </c>
      <c r="EQ62" s="1122">
        <f t="shared" si="193"/>
        <v>0.32905203375331166</v>
      </c>
      <c r="ER62" s="1123">
        <f t="shared" si="193"/>
        <v>0.359769994754499</v>
      </c>
      <c r="ES62" s="1122">
        <f t="shared" ref="ES62:FA62" si="194">+ES61/ES30</f>
        <v>0.39122201480630886</v>
      </c>
      <c r="ET62" s="1122">
        <f t="shared" si="194"/>
        <v>0.3333814132498934</v>
      </c>
      <c r="EU62" s="1123">
        <f t="shared" si="194"/>
        <v>0.36337039927912979</v>
      </c>
      <c r="EV62" s="1122">
        <f t="shared" si="194"/>
        <v>0.39061776422302708</v>
      </c>
      <c r="EW62" s="1122">
        <f t="shared" si="194"/>
        <v>0.33342999678843832</v>
      </c>
      <c r="EX62" s="1123">
        <f t="shared" si="194"/>
        <v>0.36302750604581013</v>
      </c>
      <c r="EY62" s="1122">
        <f t="shared" si="194"/>
        <v>0.39004631345786234</v>
      </c>
      <c r="EZ62" s="1122">
        <f t="shared" si="194"/>
        <v>0.33349391079998469</v>
      </c>
      <c r="FA62" s="1123">
        <f t="shared" si="194"/>
        <v>0.36271091434377323</v>
      </c>
      <c r="FB62" s="18"/>
      <c r="FD62"/>
      <c r="FE62"/>
      <c r="FF62"/>
      <c r="FG62"/>
      <c r="FH62"/>
      <c r="FI62"/>
    </row>
    <row r="63" spans="2:169" s="33" customFormat="1">
      <c r="B63" s="54" t="s">
        <v>214</v>
      </c>
      <c r="D63" s="2" t="s">
        <v>506</v>
      </c>
      <c r="E63" s="53">
        <f>+SUM(E64:E65)</f>
        <v>0</v>
      </c>
      <c r="F63" s="32">
        <f t="shared" ref="F63:F69" si="195">+G63-E63</f>
        <v>0</v>
      </c>
      <c r="G63" s="53">
        <f>+SUM(G64:G65)</f>
        <v>0</v>
      </c>
      <c r="H63" s="53">
        <f>+SUM(H64:H65)</f>
        <v>0</v>
      </c>
      <c r="I63" s="32">
        <f t="shared" ref="I63:I69" si="196">+J63-H63</f>
        <v>0</v>
      </c>
      <c r="J63" s="53">
        <f>+SUM(J64:J65)</f>
        <v>0</v>
      </c>
      <c r="K63" s="53">
        <f>+SUM(K64:K65)</f>
        <v>0</v>
      </c>
      <c r="L63" s="32">
        <f t="shared" ref="L63:L69" si="197">+M63-K63</f>
        <v>0</v>
      </c>
      <c r="M63" s="53">
        <f>+SUM(M64:M65)</f>
        <v>0</v>
      </c>
      <c r="N63" s="53">
        <f>+SUM(N64:N65)</f>
        <v>0</v>
      </c>
      <c r="O63" s="32">
        <f t="shared" ref="O63:O69" si="198">+P63-N63</f>
        <v>0</v>
      </c>
      <c r="P63" s="53">
        <f>+SUM(P64:P65)</f>
        <v>0</v>
      </c>
      <c r="Q63" s="53">
        <f>+SUM(Q64:Q65)</f>
        <v>0</v>
      </c>
      <c r="R63" s="32">
        <f t="shared" ref="R63:R69" si="199">+S63-Q63</f>
        <v>0</v>
      </c>
      <c r="S63" s="53">
        <f>+SUM(S64:S65)</f>
        <v>0</v>
      </c>
      <c r="T63" s="53">
        <f>+SUM(T64:T65)</f>
        <v>0</v>
      </c>
      <c r="U63" s="32">
        <f t="shared" ref="U63:U69" si="200">+V63-T63</f>
        <v>0</v>
      </c>
      <c r="V63" s="53">
        <f>+SUM(V64:V65)</f>
        <v>0</v>
      </c>
      <c r="W63" s="53">
        <f>+SUM(W64:W65)</f>
        <v>0</v>
      </c>
      <c r="X63" s="32">
        <f t="shared" ref="X63:X69" si="201">+Y63-W63</f>
        <v>0</v>
      </c>
      <c r="Y63" s="53">
        <f>+SUM(Y64:Y65)</f>
        <v>0</v>
      </c>
      <c r="Z63" s="53">
        <f>+SUM(Z64:Z65)</f>
        <v>0</v>
      </c>
      <c r="AA63" s="32">
        <f t="shared" ref="AA63:AA69" si="202">+AB63-Z63</f>
        <v>0</v>
      </c>
      <c r="AB63" s="53">
        <f>+SUM(AB64:AB65)</f>
        <v>0</v>
      </c>
      <c r="AC63" s="53">
        <f>+SUM(AC64:AC65)</f>
        <v>0</v>
      </c>
      <c r="AD63" s="32">
        <f t="shared" ref="AD63:AD69" si="203">+AE63-AC63</f>
        <v>0</v>
      </c>
      <c r="AE63" s="53">
        <f>+SUM(AE64:AE65)</f>
        <v>0</v>
      </c>
      <c r="AF63" s="53">
        <f>+SUM(AF64:AF65)</f>
        <v>0</v>
      </c>
      <c r="AG63" s="32">
        <f t="shared" ref="AG63:AG69" si="204">+AH63-AF63</f>
        <v>0</v>
      </c>
      <c r="AH63" s="53">
        <f>+SUM(AH64:AH65)</f>
        <v>0</v>
      </c>
      <c r="AI63" s="53">
        <f>+SUM(AI64:AI65)</f>
        <v>0</v>
      </c>
      <c r="AJ63" s="32">
        <f t="shared" ref="AJ63:AJ69" si="205">+AK63-AI63</f>
        <v>0</v>
      </c>
      <c r="AK63" s="53">
        <f>+SUM(AK64:AK65)</f>
        <v>0</v>
      </c>
      <c r="AL63" s="53">
        <f>+SUM(AL64:AL65)</f>
        <v>0</v>
      </c>
      <c r="AM63" s="32">
        <f t="shared" ref="AM63:AM69" si="206">+AN63-AL63</f>
        <v>0.221</v>
      </c>
      <c r="AN63" s="53">
        <f>+SUM(AN64:AN65)</f>
        <v>0.221</v>
      </c>
      <c r="AO63" s="53">
        <f>+SUM(AO64:AO65)</f>
        <v>0</v>
      </c>
      <c r="AP63" s="32">
        <f t="shared" ref="AP63:AP69" si="207">+AQ63-AO63</f>
        <v>0.64399999999999991</v>
      </c>
      <c r="AQ63" s="53">
        <f>+SUM(AQ64:AQ65)</f>
        <v>0.64399999999999991</v>
      </c>
      <c r="AR63" s="53">
        <f>+SUM(AR64:AR65)</f>
        <v>0</v>
      </c>
      <c r="AS63" s="32">
        <f t="shared" ref="AS63:AS69" si="208">+AT63-AR63</f>
        <v>0.192</v>
      </c>
      <c r="AT63" s="53">
        <f>+SUM(AT64:AT65)</f>
        <v>0.192</v>
      </c>
      <c r="AU63" s="53">
        <f>+SUM(AU64:AU65)</f>
        <v>0</v>
      </c>
      <c r="AV63" s="32">
        <f t="shared" ref="AV63:AV69" si="209">+AW63-AU63</f>
        <v>0.27500000000000002</v>
      </c>
      <c r="AW63" s="53">
        <f>+SUM(AW64:AW65)</f>
        <v>0.27500000000000002</v>
      </c>
      <c r="AX63" s="53">
        <f>+SUM(AX64:AX65)</f>
        <v>0</v>
      </c>
      <c r="AY63" s="32">
        <f t="shared" ref="AY63:AY69" si="210">+AZ63-AX63</f>
        <v>0.312</v>
      </c>
      <c r="AZ63" s="53">
        <f>+SUM(AZ64:AZ65)</f>
        <v>0.312</v>
      </c>
      <c r="BA63" s="53">
        <f>+SUM(BA64:BA65)</f>
        <v>0</v>
      </c>
      <c r="BB63" s="32">
        <f t="shared" ref="BB63:BB69" si="211">+BC63-BA63</f>
        <v>0.40300000000000002</v>
      </c>
      <c r="BC63" s="53">
        <f>+SUM(BC64:BC65)</f>
        <v>0.40300000000000002</v>
      </c>
      <c r="BD63" s="53">
        <f>+SUM(BD64:BD65)</f>
        <v>0</v>
      </c>
      <c r="BE63" s="32">
        <f t="shared" ref="BE63:BE69" si="212">+BF63-BD63</f>
        <v>0</v>
      </c>
      <c r="BF63" s="53">
        <f>+SUM(BF64:BF65)</f>
        <v>0</v>
      </c>
      <c r="BG63" s="53">
        <f>+SUM(BG64:BG65)</f>
        <v>0</v>
      </c>
      <c r="BH63" s="32">
        <f t="shared" ref="BH63:BH69" si="213">+BI63-BG63</f>
        <v>4.242</v>
      </c>
      <c r="BI63" s="53">
        <f>+SUM(BI64:BI65)</f>
        <v>4.242</v>
      </c>
      <c r="BJ63" s="53">
        <f>+SUM(BJ64:BJ65)</f>
        <v>3.0010000000000003</v>
      </c>
      <c r="BK63" s="32">
        <f t="shared" ref="BK63:BK68" si="214">+BL63-BJ63</f>
        <v>2.9259999999999993</v>
      </c>
      <c r="BL63" s="53">
        <f>+SUM(BL64:BL65)</f>
        <v>5.9269999999999996</v>
      </c>
      <c r="BM63" s="53">
        <f>+SUM(BM64:BM65)</f>
        <v>0</v>
      </c>
      <c r="BN63" s="32">
        <f t="shared" ref="BN63:BN68" si="215">+BO63-BM63</f>
        <v>4.7050000000000001</v>
      </c>
      <c r="BO63" s="53">
        <f>+SUM(BO64:BO65)</f>
        <v>4.7050000000000001</v>
      </c>
      <c r="BP63" s="53">
        <f>+SUM(BP64:BP65)</f>
        <v>0</v>
      </c>
      <c r="BQ63" s="32">
        <f t="shared" ref="BQ63:BQ69" si="216">+BR63-BP63</f>
        <v>11.058</v>
      </c>
      <c r="BR63" s="53">
        <f>+SUM(BR64:BR65)</f>
        <v>11.058</v>
      </c>
      <c r="BS63" s="53">
        <f>+SUM(BS64:BS65)</f>
        <v>0</v>
      </c>
      <c r="BT63" s="32">
        <f t="shared" ref="BT63:BT69" si="217">+BU63-BS63</f>
        <v>33.621000000000002</v>
      </c>
      <c r="BU63" s="53">
        <f>+SUM(BU64:BU65)</f>
        <v>33.621000000000002</v>
      </c>
      <c r="BV63" s="53">
        <f>+SUM(BV64:BV65)</f>
        <v>11.423</v>
      </c>
      <c r="BW63" s="32">
        <f t="shared" ref="BW63:BW69" si="218">+BX63-BV63</f>
        <v>27.61</v>
      </c>
      <c r="BX63" s="53">
        <f>+SUM(BX64:BX65)</f>
        <v>39.033000000000001</v>
      </c>
      <c r="BY63" s="53">
        <f>+SUM(BY64:BY65)</f>
        <v>11.423</v>
      </c>
      <c r="BZ63" s="32">
        <f t="shared" ref="BZ63:BZ69" si="219">+CA63-BY63</f>
        <v>12.4</v>
      </c>
      <c r="CA63" s="53">
        <f>+SUM(CA64:CA65)</f>
        <v>23.823</v>
      </c>
      <c r="CB63" s="53">
        <f>+SUM(CB64:CB65)</f>
        <v>11.706750000000012</v>
      </c>
      <c r="CC63" s="32">
        <f t="shared" ref="CC63:CC69" si="220">+CD63-CB63</f>
        <v>11.706750000000012</v>
      </c>
      <c r="CD63" s="53">
        <f>+SUM(CD64:CD65)</f>
        <v>23.413500000000024</v>
      </c>
      <c r="CE63" s="53">
        <f>+SUM(CE64:CE65)</f>
        <v>13.138999999999999</v>
      </c>
      <c r="CF63" s="32">
        <f t="shared" ref="CF63:CF69" si="221">+CG63-CE63</f>
        <v>13.138999999999999</v>
      </c>
      <c r="CG63" s="53">
        <f>+SUM(CG64:CG65)</f>
        <v>26.277999999999999</v>
      </c>
      <c r="CH63" s="53">
        <f>+SUM(CH64:CH65)</f>
        <v>14.8</v>
      </c>
      <c r="CI63" s="32">
        <f t="shared" ref="CI63:CI69" si="222">+CJ63-CH63</f>
        <v>14.899999999999999</v>
      </c>
      <c r="CJ63" s="53">
        <f>+SUM(CJ64:CJ65)</f>
        <v>29.7</v>
      </c>
      <c r="CK63" s="53">
        <f>+SUM(CK64:CK65)</f>
        <v>14.8</v>
      </c>
      <c r="CL63" s="32">
        <f t="shared" ref="CL63:CL69" si="223">+CM63-CK63</f>
        <v>16.3</v>
      </c>
      <c r="CM63" s="53">
        <f>+SUM(CM64:CM65)</f>
        <v>31.1</v>
      </c>
      <c r="CN63" s="53">
        <f>+SUM(CN64:CN65)</f>
        <v>15</v>
      </c>
      <c r="CO63" s="32">
        <f t="shared" ref="CO63:CO69" si="224">+CP63-CN63</f>
        <v>14.399999999999999</v>
      </c>
      <c r="CP63" s="53">
        <f>+SUM(CP64:CP65)</f>
        <v>29.4</v>
      </c>
      <c r="CQ63" s="53">
        <f>+SUM(CQ64:CQ65)</f>
        <v>12.3</v>
      </c>
      <c r="CR63" s="32">
        <f t="shared" ref="CR63:CR69" si="225">+CS63-CQ63</f>
        <v>12.7</v>
      </c>
      <c r="CS63" s="53">
        <f>+SUM(CS64:CS65)</f>
        <v>25</v>
      </c>
      <c r="CT63" s="53">
        <f>+SUM(CT64:CT65)</f>
        <v>14.549364887261516</v>
      </c>
      <c r="CU63" s="32">
        <f t="shared" ref="CU63:CU69" si="226">+CV63-CT63</f>
        <v>21.950635112738482</v>
      </c>
      <c r="CV63" s="53">
        <f>+SUM(CV64:CV65)</f>
        <v>36.5</v>
      </c>
      <c r="CW63" s="53">
        <f>+SUM(CW64:CW65)</f>
        <v>30.3</v>
      </c>
      <c r="CX63" s="32">
        <f t="shared" ref="CX63:CX69" si="227">+CY63-CW63</f>
        <v>41.100000000000009</v>
      </c>
      <c r="CY63" s="53">
        <f>+SUM(CY64:CY65)</f>
        <v>71.400000000000006</v>
      </c>
      <c r="CZ63" s="53">
        <f>+SUM(CZ64:CZ65)</f>
        <v>27.099999999999998</v>
      </c>
      <c r="DA63" s="32">
        <f t="shared" ref="DA63:DA69" si="228">+DB63-CZ63</f>
        <v>30.7</v>
      </c>
      <c r="DB63" s="53">
        <f>+SUM(DB64:DB65)</f>
        <v>57.8</v>
      </c>
      <c r="DC63" s="53">
        <f>+SUM(DC64:DC65)</f>
        <v>36.200000000000003</v>
      </c>
      <c r="DD63" s="32">
        <f t="shared" ref="DD63:DD69" si="229">+DE63-DC63</f>
        <v>66.100000000000009</v>
      </c>
      <c r="DE63" s="1088">
        <f>+SUM(DE64:DE65)</f>
        <v>102.30000000000001</v>
      </c>
      <c r="DF63" s="53">
        <f>+SUM(DF64:DF65)</f>
        <v>36.400000000000006</v>
      </c>
      <c r="DG63" s="32">
        <f t="shared" ref="DG63:DG69" si="230">+DH63-DF63</f>
        <v>36.099999999999994</v>
      </c>
      <c r="DH63" s="1088">
        <f>+SUM(DH64:DH65)</f>
        <v>72.5</v>
      </c>
      <c r="DI63" s="53">
        <f>+SUM(DI64:DI65)</f>
        <v>47.95</v>
      </c>
      <c r="DJ63" s="32">
        <f t="shared" ref="DJ63:DJ69" si="231">+DK63-DI63</f>
        <v>47.95</v>
      </c>
      <c r="DK63" s="1088">
        <f>+SUM(DK64:DK65)</f>
        <v>95.9</v>
      </c>
      <c r="DL63" s="53">
        <f>+SUM(DL64:DL65)</f>
        <v>47.2</v>
      </c>
      <c r="DM63" s="32">
        <f t="shared" ref="DM63:DM69" si="232">+DN63-DL63</f>
        <v>49.599999999999994</v>
      </c>
      <c r="DN63" s="1088">
        <f>+SUM(DN64:DN65)</f>
        <v>96.8</v>
      </c>
      <c r="DO63" s="53">
        <f>+SUM(DO64:DO65)</f>
        <v>53.3</v>
      </c>
      <c r="DP63" s="32">
        <f t="shared" ref="DP63:DP69" si="233">+DQ63-DO63</f>
        <v>52.7</v>
      </c>
      <c r="DQ63" s="1088">
        <f>+SUM(DQ64:DQ65)</f>
        <v>106</v>
      </c>
      <c r="DR63" s="1834">
        <f>+SUM(DR64:DR65)</f>
        <v>50</v>
      </c>
      <c r="DS63" s="1831">
        <f t="shared" ref="DS63:DS69" si="234">+DT63-DR63</f>
        <v>59</v>
      </c>
      <c r="DT63" s="1832">
        <f>+SUM(DT64:DT65)</f>
        <v>109</v>
      </c>
      <c r="DU63" s="1834">
        <f>+SUM(DU64:DU65)</f>
        <v>54</v>
      </c>
      <c r="DV63" s="1831">
        <f t="shared" ref="DV63:DV69" si="235">+DW63-DU63</f>
        <v>50</v>
      </c>
      <c r="DW63" s="1832">
        <f>+SUM(DW64:DW65)</f>
        <v>104</v>
      </c>
      <c r="DX63" s="1834">
        <f>+SUM(DX64:DX65)</f>
        <v>49</v>
      </c>
      <c r="DY63" s="1831">
        <f t="shared" ref="DY63:DY69" si="236">+DZ63-DX63</f>
        <v>58.453681862485666</v>
      </c>
      <c r="DZ63" s="1832">
        <f>+SUM(DZ64:DZ65)</f>
        <v>107.45368186248567</v>
      </c>
      <c r="EA63" s="53">
        <f>+SUM(EA64:EA65)</f>
        <v>68.32179261744156</v>
      </c>
      <c r="EB63" s="32">
        <f t="shared" ref="EB63:EB69" si="237">+EC63-EA63</f>
        <v>60.817125558205277</v>
      </c>
      <c r="EC63" s="1088">
        <f>+SUM(EC64:EC65)</f>
        <v>129.13891817564684</v>
      </c>
      <c r="ED63" s="53">
        <f>+SUM(ED64:ED65)</f>
        <v>71.398012285872142</v>
      </c>
      <c r="EE63" s="32">
        <f t="shared" ref="EE63:EE69" si="238">+EF63-ED63</f>
        <v>64.616989233916172</v>
      </c>
      <c r="EF63" s="1088">
        <f>+SUM(EF64:EF65)</f>
        <v>136.01500151978831</v>
      </c>
      <c r="EG63" s="53">
        <f>+SUM(EG64:EG65)</f>
        <v>75.474952459705975</v>
      </c>
      <c r="EH63" s="32">
        <f t="shared" ref="EH63:EH69" si="239">+EI63-EG63</f>
        <v>68.827307760913527</v>
      </c>
      <c r="EI63" s="1088">
        <f>+SUM(EI64:EI65)</f>
        <v>144.3022602206195</v>
      </c>
      <c r="EJ63" s="53">
        <f>+SUM(EJ64:EJ65)</f>
        <v>79.84515684810961</v>
      </c>
      <c r="EK63" s="32">
        <f t="shared" ref="EK63:EK69" si="240">+EL63-EJ63</f>
        <v>73.410031734728193</v>
      </c>
      <c r="EL63" s="1088">
        <f>+SUM(EL64:EL65)</f>
        <v>153.2551885828378</v>
      </c>
      <c r="EM63" s="53">
        <f>+SUM(EM64:EM65)</f>
        <v>84.134084183063678</v>
      </c>
      <c r="EN63" s="32">
        <f t="shared" ref="EN63:EN69" si="241">+EO63-EM63</f>
        <v>77.442376469020772</v>
      </c>
      <c r="EO63" s="1088">
        <f>+SUM(EO64:EO65)</f>
        <v>161.57646065208445</v>
      </c>
      <c r="EP63" s="53">
        <f>+SUM(EP64:EP65)</f>
        <v>88.597509893377449</v>
      </c>
      <c r="EQ63" s="32">
        <f t="shared" ref="EQ63:EQ69" si="242">+ER63-EP63</f>
        <v>81.939426311818963</v>
      </c>
      <c r="ER63" s="1088">
        <f>+SUM(ER64:ER65)</f>
        <v>170.53693620519641</v>
      </c>
      <c r="ES63" s="53">
        <f>+SUM(ES64:ES65)</f>
        <v>93.425318205878156</v>
      </c>
      <c r="ET63" s="32">
        <f t="shared" ref="ET63:ET69" si="243">+EU63-ES63</f>
        <v>86.72637830839092</v>
      </c>
      <c r="EU63" s="1088">
        <f>+SUM(EU64:EU65)</f>
        <v>180.15169651426908</v>
      </c>
      <c r="EV63" s="53">
        <f>+SUM(EV64:EV65)</f>
        <v>98.552246912479745</v>
      </c>
      <c r="EW63" s="32">
        <f t="shared" ref="EW63:EW69" si="244">+EX63-EV63</f>
        <v>91.822577983894348</v>
      </c>
      <c r="EX63" s="1088">
        <f>+SUM(EX64:EX65)</f>
        <v>190.37482489637409</v>
      </c>
      <c r="EY63" s="53">
        <f>+SUM(EY64:EY65)</f>
        <v>103.99789040812914</v>
      </c>
      <c r="EZ63" s="32">
        <f t="shared" ref="EZ63:EZ69" si="245">+FA63-EY63</f>
        <v>97.248693141934012</v>
      </c>
      <c r="FA63" s="1088">
        <f>+SUM(FA64:FA65)</f>
        <v>201.24658355006315</v>
      </c>
      <c r="FB63" s="1120"/>
      <c r="FD63"/>
      <c r="FE63"/>
      <c r="FF63"/>
      <c r="FG63"/>
      <c r="FH63"/>
      <c r="FI63"/>
    </row>
    <row r="64" spans="2:169" s="33" customFormat="1" outlineLevel="1">
      <c r="B64" s="54" t="s">
        <v>215</v>
      </c>
      <c r="D64" s="2" t="s">
        <v>506</v>
      </c>
      <c r="E64" s="53"/>
      <c r="F64" s="32">
        <f t="shared" si="195"/>
        <v>0</v>
      </c>
      <c r="G64" s="53"/>
      <c r="H64" s="53"/>
      <c r="I64" s="32">
        <f t="shared" si="196"/>
        <v>0</v>
      </c>
      <c r="J64" s="53"/>
      <c r="K64" s="53"/>
      <c r="L64" s="32">
        <f t="shared" si="197"/>
        <v>0</v>
      </c>
      <c r="M64" s="53"/>
      <c r="N64" s="53"/>
      <c r="O64" s="32">
        <f t="shared" si="198"/>
        <v>0</v>
      </c>
      <c r="P64" s="53"/>
      <c r="Q64" s="53"/>
      <c r="R64" s="32">
        <f t="shared" si="199"/>
        <v>0</v>
      </c>
      <c r="S64" s="53"/>
      <c r="T64" s="53"/>
      <c r="U64" s="32">
        <f t="shared" si="200"/>
        <v>0</v>
      </c>
      <c r="V64" s="53"/>
      <c r="W64" s="53"/>
      <c r="X64" s="32">
        <f t="shared" si="201"/>
        <v>0</v>
      </c>
      <c r="Y64" s="53"/>
      <c r="Z64" s="53"/>
      <c r="AA64" s="32">
        <f t="shared" si="202"/>
        <v>0</v>
      </c>
      <c r="AB64" s="53"/>
      <c r="AC64" s="53"/>
      <c r="AD64" s="32">
        <f t="shared" si="203"/>
        <v>0</v>
      </c>
      <c r="AE64" s="53"/>
      <c r="AF64" s="53"/>
      <c r="AG64" s="32">
        <f t="shared" si="204"/>
        <v>0</v>
      </c>
      <c r="AH64" s="53"/>
      <c r="AI64" s="53"/>
      <c r="AJ64" s="32">
        <f t="shared" si="205"/>
        <v>0</v>
      </c>
      <c r="AK64" s="53"/>
      <c r="AL64" s="53"/>
      <c r="AM64" s="32">
        <f t="shared" si="206"/>
        <v>0</v>
      </c>
      <c r="AN64" s="53"/>
      <c r="AO64" s="53"/>
      <c r="AP64" s="32">
        <f t="shared" si="207"/>
        <v>0</v>
      </c>
      <c r="AQ64" s="53"/>
      <c r="AR64" s="53"/>
      <c r="AS64" s="32">
        <f t="shared" si="208"/>
        <v>0</v>
      </c>
      <c r="AT64" s="1064">
        <v>0</v>
      </c>
      <c r="AU64" s="1064">
        <v>0</v>
      </c>
      <c r="AV64" s="32">
        <f t="shared" si="209"/>
        <v>0</v>
      </c>
      <c r="AW64" s="1064">
        <v>0</v>
      </c>
      <c r="AX64" s="1064">
        <v>0</v>
      </c>
      <c r="AY64" s="32">
        <f t="shared" si="210"/>
        <v>0</v>
      </c>
      <c r="AZ64" s="1064">
        <v>0</v>
      </c>
      <c r="BA64" s="32">
        <f>IF(Assumptions!BA73&lt;&gt;"0",Assumptions!BA73,0)</f>
        <v>0</v>
      </c>
      <c r="BB64" s="32">
        <f t="shared" si="211"/>
        <v>0</v>
      </c>
      <c r="BC64" s="32">
        <f>IF(Assumptions!BC73&lt;&gt;"0",Assumptions!BC73,0)</f>
        <v>0</v>
      </c>
      <c r="BD64" s="32">
        <f>Assumptions!BD73</f>
        <v>0</v>
      </c>
      <c r="BE64" s="32">
        <f t="shared" si="212"/>
        <v>0</v>
      </c>
      <c r="BF64" s="1090">
        <f>IF(Assumptions!BF73&lt;&gt;"0",Assumptions!BF73,0)</f>
        <v>0</v>
      </c>
      <c r="BG64" s="1091">
        <f>IF(Assumptions!BG73&lt;&gt;"0",Assumptions!BG73,0)</f>
        <v>0</v>
      </c>
      <c r="BH64" s="32">
        <f t="shared" si="213"/>
        <v>0</v>
      </c>
      <c r="BI64" s="1090">
        <f>IF(Assumptions!BI73&lt;&gt;"0",Assumptions!BI73,0)</f>
        <v>0</v>
      </c>
      <c r="BJ64" s="1091">
        <f>IF(Assumptions!BJ73&lt;&gt;"0",Assumptions!BJ73,0)</f>
        <v>0</v>
      </c>
      <c r="BK64" s="32">
        <f t="shared" si="214"/>
        <v>0</v>
      </c>
      <c r="BL64" s="1090">
        <f>IF(Assumptions!BL73&lt;&gt;"0",Assumptions!BL73,0)</f>
        <v>0</v>
      </c>
      <c r="BM64" s="1091">
        <f>IF(Assumptions!BM73&lt;&gt;"0",Assumptions!BM73,0)</f>
        <v>0</v>
      </c>
      <c r="BN64" s="32">
        <f t="shared" si="215"/>
        <v>0</v>
      </c>
      <c r="BO64" s="1090">
        <f>IF(Assumptions!BO73&lt;&gt;"0",Assumptions!BO73,0)</f>
        <v>0</v>
      </c>
      <c r="BP64" s="1091">
        <f>IF(Assumptions!BP73&lt;&gt;"0",Assumptions!BP73,0)</f>
        <v>0</v>
      </c>
      <c r="BQ64" s="32">
        <f t="shared" si="216"/>
        <v>0</v>
      </c>
      <c r="BR64" s="1090">
        <f>IF(Assumptions!BR73&lt;&gt;"0",Assumptions!BR73,0)</f>
        <v>0</v>
      </c>
      <c r="BS64" s="1091">
        <f>IF(Assumptions!BS73&lt;&gt;"0",Assumptions!BS73,0)</f>
        <v>0</v>
      </c>
      <c r="BT64" s="32">
        <f t="shared" si="217"/>
        <v>0</v>
      </c>
      <c r="BU64" s="1090">
        <f>IF(Assumptions!BU73&lt;&gt;"0",Assumptions!BU73,0)</f>
        <v>0</v>
      </c>
      <c r="BV64" s="1091">
        <f>IF(Assumptions!BV73&lt;&gt;"0",Assumptions!BV73,0)</f>
        <v>0</v>
      </c>
      <c r="BW64" s="32">
        <f t="shared" si="218"/>
        <v>0</v>
      </c>
      <c r="BX64" s="1090">
        <f>IF(Assumptions!BX73&lt;&gt;"0",Assumptions!BX73,0)</f>
        <v>0</v>
      </c>
      <c r="BY64" s="1091">
        <f>IF(Assumptions!BY73&lt;&gt;"0",Assumptions!BY73,0)</f>
        <v>0</v>
      </c>
      <c r="BZ64" s="32">
        <f t="shared" si="219"/>
        <v>0</v>
      </c>
      <c r="CA64" s="1090">
        <f>IF(Assumptions!CA73&lt;&gt;"0",Assumptions!CA73,0)</f>
        <v>0</v>
      </c>
      <c r="CB64" s="1091">
        <f>IF(Assumptions!CB73&lt;&gt;"0",Assumptions!CB73,0)</f>
        <v>0</v>
      </c>
      <c r="CC64" s="32">
        <f t="shared" si="220"/>
        <v>0</v>
      </c>
      <c r="CD64" s="1090">
        <f>IF(Assumptions!CD73&lt;&gt;"0",Assumptions!CD73,0)</f>
        <v>0</v>
      </c>
      <c r="CE64" s="1091">
        <f>IF(Assumptions!CE73&lt;&gt;"0",Assumptions!CE73,0)</f>
        <v>0</v>
      </c>
      <c r="CF64" s="32">
        <f t="shared" si="221"/>
        <v>0</v>
      </c>
      <c r="CG64" s="1090">
        <f>IF(Assumptions!CG73&lt;&gt;"0",Assumptions!CG73,0)</f>
        <v>0</v>
      </c>
      <c r="CH64" s="1091">
        <f>IF(Assumptions!CH73&lt;&gt;"0",Assumptions!CH73,0)</f>
        <v>0</v>
      </c>
      <c r="CI64" s="32">
        <f t="shared" si="222"/>
        <v>0</v>
      </c>
      <c r="CJ64" s="1090">
        <f>IF(Assumptions!CJ73&lt;&gt;"0",Assumptions!CJ73,0)</f>
        <v>0</v>
      </c>
      <c r="CK64" s="1091">
        <f>IF(Assumptions!CK73&lt;&gt;"0",Assumptions!CK73,0)</f>
        <v>0</v>
      </c>
      <c r="CL64" s="32">
        <f t="shared" si="223"/>
        <v>0</v>
      </c>
      <c r="CM64" s="1090">
        <f>IF(Assumptions!CM73&lt;&gt;"0",Assumptions!CM73,0)</f>
        <v>0</v>
      </c>
      <c r="CN64" s="1091">
        <f>IF(Assumptions!CN73&lt;&gt;"0",Assumptions!CN73,0)</f>
        <v>0</v>
      </c>
      <c r="CO64" s="32">
        <f t="shared" si="224"/>
        <v>0</v>
      </c>
      <c r="CP64" s="1090">
        <f>IF(Assumptions!CP73&lt;&gt;"0",Assumptions!CP73,0)</f>
        <v>0</v>
      </c>
      <c r="CQ64" s="1091">
        <f>IF(Assumptions!CQ73&lt;&gt;"0",Assumptions!CQ73,0)</f>
        <v>0</v>
      </c>
      <c r="CR64" s="32">
        <f t="shared" si="225"/>
        <v>0</v>
      </c>
      <c r="CS64" s="1090">
        <f>IF(Assumptions!CS73&lt;&gt;"0",Assumptions!CS73,0)</f>
        <v>0</v>
      </c>
      <c r="CT64" s="1091">
        <f>IF(Assumptions!CT73&lt;&gt;"0",Assumptions!CT73,0)</f>
        <v>0</v>
      </c>
      <c r="CU64" s="32">
        <f t="shared" si="226"/>
        <v>0</v>
      </c>
      <c r="CV64" s="1090">
        <f>IF(Assumptions!CV73&lt;&gt;"0",Assumptions!CV73,0)</f>
        <v>0</v>
      </c>
      <c r="CW64" s="1091">
        <f>IF(Assumptions!CW73&lt;&gt;"0",Assumptions!CW73,0)</f>
        <v>0</v>
      </c>
      <c r="CX64" s="32">
        <f t="shared" si="227"/>
        <v>0</v>
      </c>
      <c r="CY64" s="1090">
        <f>IF(Assumptions!CY73&lt;&gt;"0",Assumptions!CY73,0)</f>
        <v>0</v>
      </c>
      <c r="CZ64" s="1091">
        <f>IF(Assumptions!CZ73&lt;&gt;"0",Assumptions!CZ73,0)</f>
        <v>0</v>
      </c>
      <c r="DA64" s="32">
        <f t="shared" si="228"/>
        <v>0</v>
      </c>
      <c r="DB64" s="1090">
        <f>IF(Assumptions!DB73&lt;&gt;"0",Assumptions!DB73,0)</f>
        <v>0</v>
      </c>
      <c r="DC64" s="1091">
        <f>IF(Assumptions!DC73&lt;&gt;"0",Assumptions!DC73,0)</f>
        <v>0</v>
      </c>
      <c r="DD64" s="32">
        <f t="shared" si="229"/>
        <v>0</v>
      </c>
      <c r="DE64" s="1093">
        <f>IF(Assumptions!DE73&lt;&gt;"0",Assumptions!DE73,0)</f>
        <v>0</v>
      </c>
      <c r="DF64" s="1091">
        <f>IF(Assumptions!DF73&lt;&gt;"0",Assumptions!DF73,0)</f>
        <v>0</v>
      </c>
      <c r="DG64" s="32">
        <f t="shared" si="230"/>
        <v>0</v>
      </c>
      <c r="DH64" s="1093">
        <f>IF(Assumptions!DH73&lt;&gt;"0",Assumptions!DH73,0)</f>
        <v>0</v>
      </c>
      <c r="DI64" s="1091">
        <f>IF(Assumptions!DI73&lt;&gt;"0",Assumptions!DI73,0)</f>
        <v>0</v>
      </c>
      <c r="DJ64" s="32">
        <f t="shared" si="231"/>
        <v>0</v>
      </c>
      <c r="DK64" s="1093">
        <f>IF(Assumptions!DK73&lt;&gt;"0",Assumptions!DK73,0)</f>
        <v>0</v>
      </c>
      <c r="DL64" s="32">
        <f>IF(Assumptions!DL73&lt;&gt;"0",Assumptions!DL73,0)</f>
        <v>0</v>
      </c>
      <c r="DM64" s="32">
        <f t="shared" si="232"/>
        <v>0</v>
      </c>
      <c r="DN64" s="1061">
        <f>IF(Assumptions!DN73&lt;&gt;"0",Assumptions!DN73,0)</f>
        <v>0</v>
      </c>
      <c r="DO64" s="32">
        <f>IF(Assumptions!DO73&lt;&gt;"0",Assumptions!DO73,0)</f>
        <v>0</v>
      </c>
      <c r="DP64" s="32">
        <f t="shared" si="233"/>
        <v>0</v>
      </c>
      <c r="DQ64" s="1061">
        <f>IF(Assumptions!DQ73&lt;&gt;"0",Assumptions!DQ73,0)</f>
        <v>0</v>
      </c>
      <c r="DR64" s="32">
        <f>IF(Assumptions!DR73&lt;&gt;"0",Assumptions!DR73,0)</f>
        <v>0</v>
      </c>
      <c r="DS64" s="32">
        <f t="shared" si="234"/>
        <v>0</v>
      </c>
      <c r="DT64" s="1061">
        <f>IF(Assumptions!DT73&lt;&gt;"0",Assumptions!DT73,0)</f>
        <v>0</v>
      </c>
      <c r="DU64" s="32">
        <f>IF(Assumptions!DU73&lt;&gt;"0",Assumptions!DU73,0)</f>
        <v>0</v>
      </c>
      <c r="DV64" s="32">
        <f t="shared" si="235"/>
        <v>0</v>
      </c>
      <c r="DW64" s="1061">
        <f>IF(Assumptions!DW73&lt;&gt;"0",Assumptions!DW73,0)</f>
        <v>0</v>
      </c>
      <c r="DX64" s="32">
        <f>IF(Assumptions!DX73&lt;&gt;"0",Assumptions!DX73,0)</f>
        <v>0</v>
      </c>
      <c r="DY64" s="32">
        <f t="shared" si="236"/>
        <v>0</v>
      </c>
      <c r="DZ64" s="1061">
        <f>IF(Assumptions!DZ73&lt;&gt;"0",Assumptions!DZ73,0)</f>
        <v>0</v>
      </c>
      <c r="EA64" s="32">
        <f>IF(Assumptions!EA73&lt;&gt;"0",Assumptions!EA73,0)</f>
        <v>0</v>
      </c>
      <c r="EB64" s="32">
        <f t="shared" si="237"/>
        <v>0</v>
      </c>
      <c r="EC64" s="1061">
        <f>IF(Assumptions!EC73&lt;&gt;"0",Assumptions!EC73,0)</f>
        <v>0</v>
      </c>
      <c r="ED64" s="32">
        <f>IF(Assumptions!ED73&lt;&gt;"0",Assumptions!ED73,0)</f>
        <v>0</v>
      </c>
      <c r="EE64" s="32">
        <f t="shared" si="238"/>
        <v>0</v>
      </c>
      <c r="EF64" s="1061">
        <f>IF(Assumptions!EF73&lt;&gt;"0",Assumptions!EF73,0)</f>
        <v>0</v>
      </c>
      <c r="EG64" s="32">
        <f>IF(Assumptions!EG73&lt;&gt;"0",Assumptions!EG73,0)</f>
        <v>0</v>
      </c>
      <c r="EH64" s="32">
        <f t="shared" si="239"/>
        <v>0</v>
      </c>
      <c r="EI64" s="1061">
        <f>IF(Assumptions!EI73&lt;&gt;"0",Assumptions!EI73,0)</f>
        <v>0</v>
      </c>
      <c r="EJ64" s="32">
        <f>IF(Assumptions!EJ73&lt;&gt;"0",Assumptions!EJ73,0)</f>
        <v>0</v>
      </c>
      <c r="EK64" s="32">
        <f t="shared" si="240"/>
        <v>0</v>
      </c>
      <c r="EL64" s="1061">
        <f>IF(Assumptions!EL73&lt;&gt;"0",Assumptions!EL73,0)</f>
        <v>0</v>
      </c>
      <c r="EM64" s="32">
        <f>IF(Assumptions!EM73&lt;&gt;"0",Assumptions!EM73,0)</f>
        <v>0</v>
      </c>
      <c r="EN64" s="32">
        <f t="shared" si="241"/>
        <v>0</v>
      </c>
      <c r="EO64" s="1061">
        <f>IF(Assumptions!EO73&lt;&gt;"0",Assumptions!EO73,0)</f>
        <v>0</v>
      </c>
      <c r="EP64" s="32">
        <f>IF(Assumptions!EP73&lt;&gt;"0",Assumptions!EP73,0)</f>
        <v>0</v>
      </c>
      <c r="EQ64" s="32">
        <f t="shared" si="242"/>
        <v>0</v>
      </c>
      <c r="ER64" s="1061">
        <f>IF(Assumptions!ER73&lt;&gt;"0",Assumptions!ER73,0)</f>
        <v>0</v>
      </c>
      <c r="ES64" s="32">
        <f>IF(Assumptions!ES73&lt;&gt;"0",Assumptions!ES73,0)</f>
        <v>0</v>
      </c>
      <c r="ET64" s="32">
        <f t="shared" si="243"/>
        <v>0</v>
      </c>
      <c r="EU64" s="1061">
        <f>IF(Assumptions!EU73&lt;&gt;"0",Assumptions!EU73,0)</f>
        <v>0</v>
      </c>
      <c r="EV64" s="32">
        <f>IF(Assumptions!EV73&lt;&gt;"0",Assumptions!EV73,0)</f>
        <v>0</v>
      </c>
      <c r="EW64" s="32">
        <f t="shared" si="244"/>
        <v>0</v>
      </c>
      <c r="EX64" s="1061">
        <f>IF(Assumptions!EX73&lt;&gt;"0",Assumptions!EX73,0)</f>
        <v>0</v>
      </c>
      <c r="EY64" s="32">
        <f>IF(Assumptions!EY73&lt;&gt;"0",Assumptions!EY73,0)</f>
        <v>0</v>
      </c>
      <c r="EZ64" s="32">
        <f t="shared" si="245"/>
        <v>0</v>
      </c>
      <c r="FA64" s="1061">
        <f>IF(Assumptions!FA73&lt;&gt;"0",Assumptions!FA73,0)</f>
        <v>0</v>
      </c>
      <c r="FB64" s="1120"/>
      <c r="FD64"/>
      <c r="FE64"/>
      <c r="FF64"/>
      <c r="FG64"/>
      <c r="FH64"/>
      <c r="FI64"/>
    </row>
    <row r="65" spans="2:169" s="33" customFormat="1" outlineLevel="1">
      <c r="B65" s="54" t="s">
        <v>216</v>
      </c>
      <c r="D65" s="2" t="s">
        <v>506</v>
      </c>
      <c r="E65" s="53">
        <f>+SUM(E66:E68)</f>
        <v>0</v>
      </c>
      <c r="F65" s="32">
        <f t="shared" si="195"/>
        <v>0</v>
      </c>
      <c r="G65" s="53">
        <f>+SUM(G66:G68)</f>
        <v>0</v>
      </c>
      <c r="H65" s="53">
        <f>+SUM(H66:H68)</f>
        <v>0</v>
      </c>
      <c r="I65" s="32">
        <f t="shared" si="196"/>
        <v>0</v>
      </c>
      <c r="J65" s="53">
        <f>+SUM(J66:J68)</f>
        <v>0</v>
      </c>
      <c r="K65" s="53">
        <f>+SUM(K66:K68)</f>
        <v>0</v>
      </c>
      <c r="L65" s="32">
        <f t="shared" si="197"/>
        <v>0</v>
      </c>
      <c r="M65" s="53">
        <f>+SUM(M66:M68)</f>
        <v>0</v>
      </c>
      <c r="N65" s="53">
        <f>+SUM(N66:N68)</f>
        <v>0</v>
      </c>
      <c r="O65" s="32">
        <f t="shared" si="198"/>
        <v>0</v>
      </c>
      <c r="P65" s="53">
        <f>+SUM(P66:P68)</f>
        <v>0</v>
      </c>
      <c r="Q65" s="53">
        <f>+SUM(Q66:Q68)</f>
        <v>0</v>
      </c>
      <c r="R65" s="32">
        <f t="shared" si="199"/>
        <v>0</v>
      </c>
      <c r="S65" s="53">
        <f>+SUM(S66:S68)</f>
        <v>0</v>
      </c>
      <c r="T65" s="53">
        <f>+SUM(T66:T68)</f>
        <v>0</v>
      </c>
      <c r="U65" s="32">
        <f t="shared" si="200"/>
        <v>0</v>
      </c>
      <c r="V65" s="53">
        <f>+SUM(V66:V68)</f>
        <v>0</v>
      </c>
      <c r="W65" s="53">
        <f>+SUM(W66:W68)</f>
        <v>0</v>
      </c>
      <c r="X65" s="32">
        <f t="shared" si="201"/>
        <v>0</v>
      </c>
      <c r="Y65" s="53">
        <f>+SUM(Y66:Y68)</f>
        <v>0</v>
      </c>
      <c r="Z65" s="53">
        <f>+SUM(Z66:Z68)</f>
        <v>0</v>
      </c>
      <c r="AA65" s="32">
        <f t="shared" si="202"/>
        <v>0</v>
      </c>
      <c r="AB65" s="53">
        <f>+SUM(AB66:AB68)</f>
        <v>0</v>
      </c>
      <c r="AC65" s="53">
        <f>+SUM(AC66:AC68)</f>
        <v>0</v>
      </c>
      <c r="AD65" s="32">
        <f t="shared" si="203"/>
        <v>0</v>
      </c>
      <c r="AE65" s="53">
        <f>+SUM(AE66:AE68)</f>
        <v>0</v>
      </c>
      <c r="AF65" s="53">
        <f>+SUM(AF66:AF68)</f>
        <v>0</v>
      </c>
      <c r="AG65" s="32">
        <f t="shared" si="204"/>
        <v>0</v>
      </c>
      <c r="AH65" s="53">
        <f>+SUM(AH66:AH68)</f>
        <v>0</v>
      </c>
      <c r="AI65" s="53">
        <f>+SUM(AI66:AI68)</f>
        <v>0</v>
      </c>
      <c r="AJ65" s="32">
        <f t="shared" si="205"/>
        <v>0</v>
      </c>
      <c r="AK65" s="53">
        <f>+SUM(AK66:AK68)</f>
        <v>0</v>
      </c>
      <c r="AL65" s="53">
        <f>+SUM(AL66:AL68)</f>
        <v>0</v>
      </c>
      <c r="AM65" s="32">
        <f t="shared" si="206"/>
        <v>0.221</v>
      </c>
      <c r="AN65" s="53">
        <f>+SUM(AN66:AN68)</f>
        <v>0.221</v>
      </c>
      <c r="AO65" s="53">
        <f>+SUM(AO66:AO68)</f>
        <v>0</v>
      </c>
      <c r="AP65" s="32">
        <f t="shared" si="207"/>
        <v>0.64399999999999991</v>
      </c>
      <c r="AQ65" s="53">
        <f>+SUM(AQ66:AQ68)</f>
        <v>0.64399999999999991</v>
      </c>
      <c r="AR65" s="53">
        <f>+SUM(AR66:AR68)</f>
        <v>0</v>
      </c>
      <c r="AS65" s="32">
        <f t="shared" si="208"/>
        <v>0.192</v>
      </c>
      <c r="AT65" s="53">
        <f>+SUM(AT66:AT68)</f>
        <v>0.192</v>
      </c>
      <c r="AU65" s="53">
        <f>+SUM(AU66:AU68)</f>
        <v>0</v>
      </c>
      <c r="AV65" s="32">
        <f t="shared" si="209"/>
        <v>0.27500000000000002</v>
      </c>
      <c r="AW65" s="53">
        <f>+SUM(AW66:AW68)</f>
        <v>0.27500000000000002</v>
      </c>
      <c r="AX65" s="53">
        <f>+SUM(AX66:AX68)</f>
        <v>0</v>
      </c>
      <c r="AY65" s="32">
        <f t="shared" si="210"/>
        <v>0.312</v>
      </c>
      <c r="AZ65" s="53">
        <f>+SUM(AZ66:AZ68)</f>
        <v>0.312</v>
      </c>
      <c r="BA65" s="53">
        <f>+SUM(BA66:BA68)</f>
        <v>0</v>
      </c>
      <c r="BB65" s="32">
        <f t="shared" si="211"/>
        <v>0.40300000000000002</v>
      </c>
      <c r="BC65" s="53">
        <f>+SUM(BC66:BC68)</f>
        <v>0.40300000000000002</v>
      </c>
      <c r="BD65" s="53">
        <f>+SUM(BD66:BD68)</f>
        <v>0</v>
      </c>
      <c r="BE65" s="32">
        <f t="shared" si="212"/>
        <v>0</v>
      </c>
      <c r="BF65" s="1098">
        <f>+SUM(BF66:BF68)</f>
        <v>0</v>
      </c>
      <c r="BG65" s="1088">
        <f>+SUM(BG66:BG68)</f>
        <v>0</v>
      </c>
      <c r="BH65" s="32">
        <f t="shared" si="213"/>
        <v>4.242</v>
      </c>
      <c r="BI65" s="1098">
        <f>+SUM(BI66:BI68)</f>
        <v>4.242</v>
      </c>
      <c r="BJ65" s="1088">
        <f>+SUM(BJ66:BJ68)</f>
        <v>3.0010000000000003</v>
      </c>
      <c r="BK65" s="32">
        <f t="shared" si="214"/>
        <v>2.9259999999999993</v>
      </c>
      <c r="BL65" s="1098">
        <f>+SUM(BL66:BL68)</f>
        <v>5.9269999999999996</v>
      </c>
      <c r="BM65" s="1088">
        <f>+SUM(BM66:BM68)</f>
        <v>0</v>
      </c>
      <c r="BN65" s="32">
        <f t="shared" si="215"/>
        <v>4.7050000000000001</v>
      </c>
      <c r="BO65" s="1098">
        <f>+SUM(BO66:BO68)</f>
        <v>4.7050000000000001</v>
      </c>
      <c r="BP65" s="1088">
        <f>+SUM(BP66:BP68)</f>
        <v>0</v>
      </c>
      <c r="BQ65" s="32">
        <f t="shared" si="216"/>
        <v>11.058</v>
      </c>
      <c r="BR65" s="1098">
        <f>+SUM(BR66:BR68)</f>
        <v>11.058</v>
      </c>
      <c r="BS65" s="1088">
        <f>+SUM(BS66:BS68)</f>
        <v>0</v>
      </c>
      <c r="BT65" s="32">
        <f t="shared" si="217"/>
        <v>33.621000000000002</v>
      </c>
      <c r="BU65" s="1098">
        <f>+SUM(BU66:BU68)</f>
        <v>33.621000000000002</v>
      </c>
      <c r="BV65" s="1088">
        <f>+SUM(BV66:BV68)</f>
        <v>11.423</v>
      </c>
      <c r="BW65" s="32">
        <f t="shared" si="218"/>
        <v>27.61</v>
      </c>
      <c r="BX65" s="1098">
        <f>+SUM(BX66:BX68)</f>
        <v>39.033000000000001</v>
      </c>
      <c r="BY65" s="1088">
        <f>+SUM(BY66:BY68)</f>
        <v>11.423</v>
      </c>
      <c r="BZ65" s="32">
        <f t="shared" si="219"/>
        <v>12.4</v>
      </c>
      <c r="CA65" s="1098">
        <f>+SUM(CA66:CA68)</f>
        <v>23.823</v>
      </c>
      <c r="CB65" s="1088">
        <f>+SUM(CB66:CB68)</f>
        <v>11.706750000000012</v>
      </c>
      <c r="CC65" s="32">
        <f t="shared" si="220"/>
        <v>11.706750000000012</v>
      </c>
      <c r="CD65" s="1098">
        <f>+SUM(CD66:CD68)</f>
        <v>23.413500000000024</v>
      </c>
      <c r="CE65" s="1088">
        <f>+SUM(CE66:CE68)</f>
        <v>13.138999999999999</v>
      </c>
      <c r="CF65" s="32">
        <f t="shared" si="221"/>
        <v>13.138999999999999</v>
      </c>
      <c r="CG65" s="1098">
        <f>+SUM(CG66:CG68)</f>
        <v>26.277999999999999</v>
      </c>
      <c r="CH65" s="1088">
        <f>+SUM(CH66:CH68)</f>
        <v>14.8</v>
      </c>
      <c r="CI65" s="32">
        <f t="shared" si="222"/>
        <v>14.899999999999999</v>
      </c>
      <c r="CJ65" s="1098">
        <f>+SUM(CJ66:CJ68)</f>
        <v>29.7</v>
      </c>
      <c r="CK65" s="1088">
        <f>+SUM(CK66:CK68)</f>
        <v>14.8</v>
      </c>
      <c r="CL65" s="32">
        <f t="shared" si="223"/>
        <v>16.3</v>
      </c>
      <c r="CM65" s="1098">
        <f>+SUM(CM66:CM68)</f>
        <v>31.1</v>
      </c>
      <c r="CN65" s="1088">
        <f>+SUM(CN66:CN68)</f>
        <v>15</v>
      </c>
      <c r="CO65" s="32">
        <f t="shared" si="224"/>
        <v>14.399999999999999</v>
      </c>
      <c r="CP65" s="1098">
        <f>+SUM(CP66:CP68)</f>
        <v>29.4</v>
      </c>
      <c r="CQ65" s="1088">
        <f>+SUM(CQ66:CQ68)</f>
        <v>12.3</v>
      </c>
      <c r="CR65" s="32">
        <f t="shared" si="225"/>
        <v>12.7</v>
      </c>
      <c r="CS65" s="1098">
        <f>+SUM(CS66:CS68)</f>
        <v>25</v>
      </c>
      <c r="CT65" s="1088">
        <f>+SUM(CT66:CT68)</f>
        <v>14.549364887261516</v>
      </c>
      <c r="CU65" s="32">
        <f t="shared" si="226"/>
        <v>21.950635112738482</v>
      </c>
      <c r="CV65" s="1098">
        <f>+SUM(CV66:CV68)</f>
        <v>36.5</v>
      </c>
      <c r="CW65" s="1088">
        <f>+SUM(CW66:CW68)</f>
        <v>30.3</v>
      </c>
      <c r="CX65" s="32">
        <f t="shared" si="227"/>
        <v>41.100000000000009</v>
      </c>
      <c r="CY65" s="1098">
        <f>+SUM(CY66:CY68)</f>
        <v>71.400000000000006</v>
      </c>
      <c r="CZ65" s="1088">
        <f>+SUM(CZ66:CZ68)</f>
        <v>27.099999999999998</v>
      </c>
      <c r="DA65" s="32">
        <f t="shared" si="228"/>
        <v>30.7</v>
      </c>
      <c r="DB65" s="1098">
        <f>+SUM(DB66:DB68)</f>
        <v>57.8</v>
      </c>
      <c r="DC65" s="1088">
        <f>+SUM(DC66:DC68)</f>
        <v>36.200000000000003</v>
      </c>
      <c r="DD65" s="32">
        <f t="shared" si="229"/>
        <v>66.100000000000009</v>
      </c>
      <c r="DE65" s="1101">
        <f>+SUM(DE66:DE68)</f>
        <v>102.30000000000001</v>
      </c>
      <c r="DF65" s="1088">
        <f>+SUM(DF66:DF68)</f>
        <v>36.400000000000006</v>
      </c>
      <c r="DG65" s="32">
        <f t="shared" si="230"/>
        <v>36.099999999999994</v>
      </c>
      <c r="DH65" s="1101">
        <f>+SUM(DH66:DH68)</f>
        <v>72.5</v>
      </c>
      <c r="DI65" s="1088">
        <f>+SUM(DI66:DI68)</f>
        <v>47.95</v>
      </c>
      <c r="DJ65" s="32">
        <f t="shared" si="231"/>
        <v>47.95</v>
      </c>
      <c r="DK65" s="1101">
        <f>+SUM(DK66:DK68)</f>
        <v>95.9</v>
      </c>
      <c r="DL65" s="53">
        <f>+SUM(DL66:DL68)</f>
        <v>47.2</v>
      </c>
      <c r="DM65" s="32">
        <f t="shared" si="232"/>
        <v>49.599999999999994</v>
      </c>
      <c r="DN65" s="1088">
        <f>+SUM(DN66:DN68)</f>
        <v>96.8</v>
      </c>
      <c r="DO65" s="53">
        <f>+SUM(DO66:DO68)</f>
        <v>53.3</v>
      </c>
      <c r="DP65" s="32">
        <f t="shared" si="233"/>
        <v>52.7</v>
      </c>
      <c r="DQ65" s="1088">
        <f>+SUM(DQ66:DQ68)</f>
        <v>106</v>
      </c>
      <c r="DR65" s="53">
        <f>+SUM(DR66:DR68)</f>
        <v>50</v>
      </c>
      <c r="DS65" s="32">
        <f t="shared" si="234"/>
        <v>59</v>
      </c>
      <c r="DT65" s="1088">
        <f>+SUM(DT66:DT68)</f>
        <v>109</v>
      </c>
      <c r="DU65" s="53">
        <f>+SUM(DU66:DU68)</f>
        <v>54</v>
      </c>
      <c r="DV65" s="32">
        <f t="shared" si="235"/>
        <v>50</v>
      </c>
      <c r="DW65" s="1088">
        <f>+SUM(DW66:DW68)</f>
        <v>104</v>
      </c>
      <c r="DX65" s="53">
        <f>+SUM(DX66:DX68)</f>
        <v>49</v>
      </c>
      <c r="DY65" s="32">
        <f t="shared" si="236"/>
        <v>58.453681862485666</v>
      </c>
      <c r="DZ65" s="1088">
        <f>+SUM(DZ66:DZ68)</f>
        <v>107.45368186248567</v>
      </c>
      <c r="EA65" s="53">
        <f>+SUM(EA66:EA68)</f>
        <v>68.32179261744156</v>
      </c>
      <c r="EB65" s="32">
        <f t="shared" si="237"/>
        <v>60.817125558205277</v>
      </c>
      <c r="EC65" s="1088">
        <f>+SUM(EC66:EC68)</f>
        <v>129.13891817564684</v>
      </c>
      <c r="ED65" s="53">
        <f>+SUM(ED66:ED68)</f>
        <v>71.398012285872142</v>
      </c>
      <c r="EE65" s="32">
        <f t="shared" si="238"/>
        <v>64.616989233916172</v>
      </c>
      <c r="EF65" s="1088">
        <f>+SUM(EF66:EF68)</f>
        <v>136.01500151978831</v>
      </c>
      <c r="EG65" s="53">
        <f>+SUM(EG66:EG68)</f>
        <v>75.474952459705975</v>
      </c>
      <c r="EH65" s="32">
        <f t="shared" si="239"/>
        <v>68.827307760913527</v>
      </c>
      <c r="EI65" s="1088">
        <f>+SUM(EI66:EI68)</f>
        <v>144.3022602206195</v>
      </c>
      <c r="EJ65" s="53">
        <f>+SUM(EJ66:EJ68)</f>
        <v>79.84515684810961</v>
      </c>
      <c r="EK65" s="32">
        <f t="shared" si="240"/>
        <v>73.410031734728193</v>
      </c>
      <c r="EL65" s="1088">
        <f>+SUM(EL66:EL68)</f>
        <v>153.2551885828378</v>
      </c>
      <c r="EM65" s="53">
        <f>+SUM(EM66:EM68)</f>
        <v>84.134084183063678</v>
      </c>
      <c r="EN65" s="32">
        <f t="shared" si="241"/>
        <v>77.442376469020772</v>
      </c>
      <c r="EO65" s="1088">
        <f>+SUM(EO66:EO68)</f>
        <v>161.57646065208445</v>
      </c>
      <c r="EP65" s="53">
        <f>+SUM(EP66:EP68)</f>
        <v>88.597509893377449</v>
      </c>
      <c r="EQ65" s="32">
        <f t="shared" si="242"/>
        <v>81.939426311818963</v>
      </c>
      <c r="ER65" s="1088">
        <f>+SUM(ER66:ER68)</f>
        <v>170.53693620519641</v>
      </c>
      <c r="ES65" s="53">
        <f>+SUM(ES66:ES68)</f>
        <v>93.425318205878156</v>
      </c>
      <c r="ET65" s="32">
        <f t="shared" si="243"/>
        <v>86.72637830839092</v>
      </c>
      <c r="EU65" s="1088">
        <f>+SUM(EU66:EU68)</f>
        <v>180.15169651426908</v>
      </c>
      <c r="EV65" s="53">
        <f>+SUM(EV66:EV68)</f>
        <v>98.552246912479745</v>
      </c>
      <c r="EW65" s="32">
        <f t="shared" si="244"/>
        <v>91.822577983894348</v>
      </c>
      <c r="EX65" s="1088">
        <f>+SUM(EX66:EX68)</f>
        <v>190.37482489637409</v>
      </c>
      <c r="EY65" s="53">
        <f>+SUM(EY66:EY68)</f>
        <v>103.99789040812914</v>
      </c>
      <c r="EZ65" s="32">
        <f t="shared" si="245"/>
        <v>97.248693141934012</v>
      </c>
      <c r="FA65" s="1088">
        <f>+SUM(FA66:FA68)</f>
        <v>201.24658355006315</v>
      </c>
      <c r="FB65" s="1120"/>
      <c r="FD65"/>
      <c r="FE65"/>
      <c r="FF65"/>
      <c r="FG65"/>
      <c r="FH65"/>
      <c r="FI65"/>
    </row>
    <row r="66" spans="2:169" s="33" customFormat="1" outlineLevel="1">
      <c r="B66" s="54" t="s">
        <v>217</v>
      </c>
      <c r="D66" s="2" t="s">
        <v>506</v>
      </c>
      <c r="E66" s="53"/>
      <c r="F66" s="32">
        <f t="shared" si="195"/>
        <v>0</v>
      </c>
      <c r="G66" s="53"/>
      <c r="H66" s="53"/>
      <c r="I66" s="32">
        <f t="shared" si="196"/>
        <v>0</v>
      </c>
      <c r="J66" s="53"/>
      <c r="K66" s="53"/>
      <c r="L66" s="32">
        <f t="shared" si="197"/>
        <v>0</v>
      </c>
      <c r="M66" s="53"/>
      <c r="N66" s="53"/>
      <c r="O66" s="32">
        <f t="shared" si="198"/>
        <v>0</v>
      </c>
      <c r="P66" s="53"/>
      <c r="Q66" s="53"/>
      <c r="R66" s="32">
        <f t="shared" si="199"/>
        <v>0</v>
      </c>
      <c r="S66" s="53"/>
      <c r="T66" s="53"/>
      <c r="U66" s="32">
        <f t="shared" si="200"/>
        <v>0</v>
      </c>
      <c r="V66" s="53"/>
      <c r="W66" s="53"/>
      <c r="X66" s="32">
        <f t="shared" si="201"/>
        <v>0</v>
      </c>
      <c r="Y66" s="53"/>
      <c r="Z66" s="53"/>
      <c r="AA66" s="32">
        <f t="shared" si="202"/>
        <v>0</v>
      </c>
      <c r="AB66" s="53"/>
      <c r="AC66" s="53"/>
      <c r="AD66" s="32">
        <f t="shared" si="203"/>
        <v>0</v>
      </c>
      <c r="AE66" s="53"/>
      <c r="AF66" s="53"/>
      <c r="AG66" s="32">
        <f t="shared" si="204"/>
        <v>0</v>
      </c>
      <c r="AH66" s="53"/>
      <c r="AI66" s="53"/>
      <c r="AJ66" s="32">
        <f t="shared" si="205"/>
        <v>0</v>
      </c>
      <c r="AK66" s="53"/>
      <c r="AL66" s="53"/>
      <c r="AM66" s="32">
        <f t="shared" si="206"/>
        <v>0.03</v>
      </c>
      <c r="AN66" s="1097">
        <v>0.03</v>
      </c>
      <c r="AO66" s="53"/>
      <c r="AP66" s="32">
        <f t="shared" si="207"/>
        <v>7.0000000000000007E-2</v>
      </c>
      <c r="AQ66" s="1097">
        <v>7.0000000000000007E-2</v>
      </c>
      <c r="AR66" s="53"/>
      <c r="AS66" s="32">
        <f t="shared" si="208"/>
        <v>0.192</v>
      </c>
      <c r="AT66" s="1064">
        <v>0.192</v>
      </c>
      <c r="AU66" s="1064">
        <v>0</v>
      </c>
      <c r="AV66" s="32">
        <f t="shared" si="209"/>
        <v>0.27500000000000002</v>
      </c>
      <c r="AW66" s="1064">
        <v>0.27500000000000002</v>
      </c>
      <c r="AX66" s="1064">
        <v>0</v>
      </c>
      <c r="AY66" s="32">
        <f t="shared" si="210"/>
        <v>0.312</v>
      </c>
      <c r="AZ66" s="1064">
        <v>0.312</v>
      </c>
      <c r="BA66" s="32">
        <f>IF(Assumptions!BA55&lt;&gt;"0",Assumptions!BA55,0)</f>
        <v>0</v>
      </c>
      <c r="BB66" s="32">
        <f t="shared" si="211"/>
        <v>0.40300000000000002</v>
      </c>
      <c r="BC66" s="1064">
        <v>0.40300000000000002</v>
      </c>
      <c r="BD66" s="32">
        <f>Assumptions!BD55</f>
        <v>0</v>
      </c>
      <c r="BE66" s="32">
        <f t="shared" si="212"/>
        <v>0</v>
      </c>
      <c r="BF66" s="1094">
        <f>IF(Assumptions!BF55&lt;&gt;"0",Assumptions!BF55,0)</f>
        <v>0</v>
      </c>
      <c r="BG66" s="1061">
        <f>IF(Assumptions!BG55&lt;&gt;"0",Assumptions!BG55,0)</f>
        <v>0</v>
      </c>
      <c r="BH66" s="32">
        <f t="shared" si="213"/>
        <v>2.4350000000000001</v>
      </c>
      <c r="BI66" s="1113">
        <v>2.4350000000000001</v>
      </c>
      <c r="BJ66" s="1095">
        <v>1.028</v>
      </c>
      <c r="BK66" s="32">
        <f t="shared" si="214"/>
        <v>0.97599999999999998</v>
      </c>
      <c r="BL66" s="1113">
        <v>2.004</v>
      </c>
      <c r="BM66" s="1095">
        <v>0</v>
      </c>
      <c r="BN66" s="32">
        <f t="shared" si="215"/>
        <v>4.7050000000000001</v>
      </c>
      <c r="BO66" s="1094">
        <f>3.907+0.798</f>
        <v>4.7050000000000001</v>
      </c>
      <c r="BP66" s="1061">
        <f>IF(Assumptions!BP55&lt;&gt;"0",Assumptions!BP55,0)</f>
        <v>0</v>
      </c>
      <c r="BQ66" s="32">
        <f t="shared" si="216"/>
        <v>11.058</v>
      </c>
      <c r="BR66" s="1113">
        <v>11.058</v>
      </c>
      <c r="BS66" s="1061">
        <f>IF(Assumptions!BS55&lt;&gt;"0",Assumptions!BS55,0)</f>
        <v>0</v>
      </c>
      <c r="BT66" s="32">
        <f t="shared" si="217"/>
        <v>33.621000000000002</v>
      </c>
      <c r="BU66" s="1113">
        <v>33.621000000000002</v>
      </c>
      <c r="BV66" s="1061">
        <f>IF(Assumptions!BV55&lt;&gt;"0",Assumptions!BV55,0)</f>
        <v>11.423</v>
      </c>
      <c r="BW66" s="32">
        <f t="shared" si="218"/>
        <v>27.61</v>
      </c>
      <c r="BX66" s="1113">
        <v>39.033000000000001</v>
      </c>
      <c r="BY66" s="1061">
        <f>IF(Assumptions!BY55&lt;&gt;"0",Assumptions!BY55,0)</f>
        <v>11.423</v>
      </c>
      <c r="BZ66" s="32">
        <f t="shared" si="219"/>
        <v>12.4</v>
      </c>
      <c r="CA66" s="1094">
        <f>IF(Assumptions!CA55&lt;&gt;"0",Assumptions!CA55,0)</f>
        <v>23.823</v>
      </c>
      <c r="CB66" s="1061">
        <f>IF(Assumptions!CB55&lt;&gt;"0",Assumptions!CB55,0)</f>
        <v>11.706750000000012</v>
      </c>
      <c r="CC66" s="32">
        <f t="shared" si="220"/>
        <v>11.706750000000012</v>
      </c>
      <c r="CD66" s="1094">
        <f>IF(Assumptions!CD55&lt;&gt;"0",Assumptions!CD55,0)</f>
        <v>23.413500000000024</v>
      </c>
      <c r="CE66" s="1061">
        <f>IF(Assumptions!CE55&lt;&gt;"0",Assumptions!CE55,0)</f>
        <v>13.138999999999999</v>
      </c>
      <c r="CF66" s="32">
        <f t="shared" si="221"/>
        <v>13.138999999999999</v>
      </c>
      <c r="CG66" s="1094">
        <f>IF(Assumptions!CG55&lt;&gt;"0",Assumptions!CG55,0)</f>
        <v>26.277999999999999</v>
      </c>
      <c r="CH66" s="1061">
        <f>IF(Assumptions!CH55&lt;&gt;"0",Assumptions!CH55,0)</f>
        <v>14.8</v>
      </c>
      <c r="CI66" s="32">
        <f t="shared" si="222"/>
        <v>14.899999999999999</v>
      </c>
      <c r="CJ66" s="1094">
        <f>IF(Assumptions!CJ55&lt;&gt;"0",Assumptions!CJ55,0)</f>
        <v>29.7</v>
      </c>
      <c r="CK66" s="1061">
        <f>IF(Assumptions!CK55&lt;&gt;"0",Assumptions!CK55,0)</f>
        <v>14.8</v>
      </c>
      <c r="CL66" s="32">
        <f t="shared" si="223"/>
        <v>16.3</v>
      </c>
      <c r="CM66" s="1094">
        <f>IF(Assumptions!CM55&lt;&gt;"0",Assumptions!CM55,0)</f>
        <v>31.1</v>
      </c>
      <c r="CN66" s="1061">
        <f>IF(Assumptions!CN55&lt;&gt;"0",Assumptions!CN55,0)</f>
        <v>15</v>
      </c>
      <c r="CO66" s="32">
        <f t="shared" si="224"/>
        <v>14.399999999999999</v>
      </c>
      <c r="CP66" s="1094">
        <f>IF(Assumptions!CP55&lt;&gt;"0",Assumptions!CP55,0)</f>
        <v>29.4</v>
      </c>
      <c r="CQ66" s="1061">
        <f>IF(Assumptions!CQ55&lt;&gt;"0",Assumptions!CQ55,0)</f>
        <v>12.3</v>
      </c>
      <c r="CR66" s="32">
        <f t="shared" si="225"/>
        <v>12.7</v>
      </c>
      <c r="CS66" s="1094">
        <f>IF(Assumptions!CS55&lt;&gt;"0",Assumptions!CS55,0)</f>
        <v>25</v>
      </c>
      <c r="CT66" s="1061">
        <f>IF(Assumptions!CT55&lt;&gt;"0",Assumptions!CT55,0)</f>
        <v>14.549364887261516</v>
      </c>
      <c r="CU66" s="32">
        <f t="shared" si="226"/>
        <v>21.950635112738482</v>
      </c>
      <c r="CV66" s="1094">
        <f>IF(Assumptions!CV55&lt;&gt;"0",Assumptions!CV55,0)</f>
        <v>36.5</v>
      </c>
      <c r="CW66" s="1061">
        <f>IF(Assumptions!CW55&lt;&gt;"0",Assumptions!CW55,0)</f>
        <v>30.3</v>
      </c>
      <c r="CX66" s="32">
        <f t="shared" si="227"/>
        <v>41.100000000000009</v>
      </c>
      <c r="CY66" s="1094">
        <f>IF(Assumptions!CY55&lt;&gt;"0",Assumptions!CY55,0)</f>
        <v>71.400000000000006</v>
      </c>
      <c r="CZ66" s="1061">
        <f>IF(Assumptions!CZ55&lt;&gt;"0",Assumptions!CZ55,0)</f>
        <v>27.099999999999998</v>
      </c>
      <c r="DA66" s="32">
        <f t="shared" si="228"/>
        <v>30.7</v>
      </c>
      <c r="DB66" s="1094">
        <f>IF(Assumptions!DB55&lt;&gt;"0",Assumptions!DB55,0)</f>
        <v>57.8</v>
      </c>
      <c r="DC66" s="1061">
        <f>IF(Assumptions!DC55&lt;&gt;"0",Assumptions!DC55,0)</f>
        <v>36.200000000000003</v>
      </c>
      <c r="DD66" s="32">
        <f t="shared" si="229"/>
        <v>66.100000000000009</v>
      </c>
      <c r="DE66" s="1096">
        <f>IF(Assumptions!DE55&lt;&gt;"0",Assumptions!DE55,0)</f>
        <v>102.30000000000001</v>
      </c>
      <c r="DF66" s="1061">
        <f>IF(Assumptions!DF55&lt;&gt;"0",Assumptions!DF55,0)</f>
        <v>36.400000000000006</v>
      </c>
      <c r="DG66" s="32">
        <f t="shared" si="230"/>
        <v>36.099999999999994</v>
      </c>
      <c r="DH66" s="1096">
        <f>IF(Assumptions!DH55&lt;&gt;"0",Assumptions!DH55,0)</f>
        <v>72.5</v>
      </c>
      <c r="DI66" s="1061">
        <f>IF(Assumptions!DI55&lt;&gt;"0",Assumptions!DI55,0)</f>
        <v>47.95</v>
      </c>
      <c r="DJ66" s="32">
        <f t="shared" si="231"/>
        <v>47.95</v>
      </c>
      <c r="DK66" s="1096">
        <f>IF(Assumptions!DK55&lt;&gt;"0",Assumptions!DK55,0)</f>
        <v>95.9</v>
      </c>
      <c r="DL66" s="32">
        <f>IF(Assumptions!DL55&lt;&gt;"0",Assumptions!DL55,0)</f>
        <v>47.2</v>
      </c>
      <c r="DM66" s="32">
        <f t="shared" si="232"/>
        <v>49.599999999999994</v>
      </c>
      <c r="DN66" s="1061">
        <f>IF(Assumptions!DN55&lt;&gt;"0",Assumptions!DN55,0)</f>
        <v>96.8</v>
      </c>
      <c r="DO66" s="32">
        <f>IF(Assumptions!DO55&lt;&gt;"0",Assumptions!DO55,0)</f>
        <v>53.3</v>
      </c>
      <c r="DP66" s="32">
        <f t="shared" si="233"/>
        <v>52.7</v>
      </c>
      <c r="DQ66" s="1061">
        <f>IF(Assumptions!DQ55&lt;&gt;"0",Assumptions!DQ55,0)</f>
        <v>106</v>
      </c>
      <c r="DR66" s="32">
        <f>IF(Assumptions!DR55&lt;&gt;"0",Assumptions!DR55,0)</f>
        <v>50</v>
      </c>
      <c r="DS66" s="32">
        <f t="shared" si="234"/>
        <v>59</v>
      </c>
      <c r="DT66" s="1061">
        <f>IF(Assumptions!DT55&lt;&gt;"0",Assumptions!DT55,0)</f>
        <v>109</v>
      </c>
      <c r="DU66" s="32">
        <f>IF(Assumptions!DU55&lt;&gt;"0",Assumptions!DU55,0)</f>
        <v>54</v>
      </c>
      <c r="DV66" s="32">
        <f t="shared" si="235"/>
        <v>50</v>
      </c>
      <c r="DW66" s="1061">
        <f>IF(Assumptions!DW55&lt;&gt;"0",Assumptions!DW55,0)</f>
        <v>104</v>
      </c>
      <c r="DX66" s="32">
        <f>IF(Assumptions!DX55&lt;&gt;"0",Assumptions!DX55,0)</f>
        <v>49</v>
      </c>
      <c r="DY66" s="32">
        <f t="shared" si="236"/>
        <v>58.453681862485666</v>
      </c>
      <c r="DZ66" s="1061">
        <f>IF(Assumptions!DZ55&lt;&gt;"0",Assumptions!DZ55,0)</f>
        <v>107.45368186248567</v>
      </c>
      <c r="EA66" s="32">
        <f>IF(Assumptions!EA55&lt;&gt;"0",Assumptions!EA55,0)</f>
        <v>68.32179261744156</v>
      </c>
      <c r="EB66" s="32">
        <f t="shared" si="237"/>
        <v>60.817125558205277</v>
      </c>
      <c r="EC66" s="1061">
        <f>IF(Assumptions!EC55&lt;&gt;"0",Assumptions!EC55,0)</f>
        <v>129.13891817564684</v>
      </c>
      <c r="ED66" s="32">
        <f>IF(Assumptions!ED55&lt;&gt;"0",Assumptions!ED55,0)</f>
        <v>71.398012285872142</v>
      </c>
      <c r="EE66" s="32">
        <f t="shared" si="238"/>
        <v>64.616989233916172</v>
      </c>
      <c r="EF66" s="1061">
        <f>IF(Assumptions!EF55&lt;&gt;"0",Assumptions!EF55,0)</f>
        <v>136.01500151978831</v>
      </c>
      <c r="EG66" s="32">
        <f>IF(Assumptions!EG55&lt;&gt;"0",Assumptions!EG55,0)</f>
        <v>75.474952459705975</v>
      </c>
      <c r="EH66" s="32">
        <f t="shared" si="239"/>
        <v>68.827307760913527</v>
      </c>
      <c r="EI66" s="1061">
        <f>IF(Assumptions!EI55&lt;&gt;"0",Assumptions!EI55,0)</f>
        <v>144.3022602206195</v>
      </c>
      <c r="EJ66" s="32">
        <f>IF(Assumptions!EJ55&lt;&gt;"0",Assumptions!EJ55,0)</f>
        <v>79.84515684810961</v>
      </c>
      <c r="EK66" s="32">
        <f t="shared" si="240"/>
        <v>73.410031734728193</v>
      </c>
      <c r="EL66" s="1061">
        <f>IF(Assumptions!EL55&lt;&gt;"0",Assumptions!EL55,0)</f>
        <v>153.2551885828378</v>
      </c>
      <c r="EM66" s="32">
        <f>IF(Assumptions!EM55&lt;&gt;"0",Assumptions!EM55,0)</f>
        <v>84.134084183063678</v>
      </c>
      <c r="EN66" s="32">
        <f t="shared" si="241"/>
        <v>77.442376469020772</v>
      </c>
      <c r="EO66" s="1061">
        <f>IF(Assumptions!EO55&lt;&gt;"0",Assumptions!EO55,0)</f>
        <v>161.57646065208445</v>
      </c>
      <c r="EP66" s="32">
        <f>IF(Assumptions!EP55&lt;&gt;"0",Assumptions!EP55,0)</f>
        <v>88.597509893377449</v>
      </c>
      <c r="EQ66" s="32">
        <f t="shared" si="242"/>
        <v>81.939426311818963</v>
      </c>
      <c r="ER66" s="1061">
        <f>IF(Assumptions!ER55&lt;&gt;"0",Assumptions!ER55,0)</f>
        <v>170.53693620519641</v>
      </c>
      <c r="ES66" s="32">
        <f>IF(Assumptions!ES55&lt;&gt;"0",Assumptions!ES55,0)</f>
        <v>93.425318205878156</v>
      </c>
      <c r="ET66" s="32">
        <f t="shared" si="243"/>
        <v>86.72637830839092</v>
      </c>
      <c r="EU66" s="1061">
        <f>IF(Assumptions!EU55&lt;&gt;"0",Assumptions!EU55,0)</f>
        <v>180.15169651426908</v>
      </c>
      <c r="EV66" s="32">
        <f>IF(Assumptions!EV55&lt;&gt;"0",Assumptions!EV55,0)</f>
        <v>98.552246912479745</v>
      </c>
      <c r="EW66" s="32">
        <f t="shared" si="244"/>
        <v>91.822577983894348</v>
      </c>
      <c r="EX66" s="1061">
        <f>IF(Assumptions!EX55&lt;&gt;"0",Assumptions!EX55,0)</f>
        <v>190.37482489637409</v>
      </c>
      <c r="EY66" s="32">
        <f>IF(Assumptions!EY55&lt;&gt;"0",Assumptions!EY55,0)</f>
        <v>103.99789040812914</v>
      </c>
      <c r="EZ66" s="32">
        <f t="shared" si="245"/>
        <v>97.248693141934012</v>
      </c>
      <c r="FA66" s="1061">
        <f>IF(Assumptions!FA55&lt;&gt;"0",Assumptions!FA55,0)</f>
        <v>201.24658355006315</v>
      </c>
      <c r="FB66" s="18"/>
      <c r="FD66"/>
      <c r="FE66"/>
      <c r="FF66"/>
      <c r="FG66"/>
      <c r="FH66"/>
      <c r="FI66"/>
    </row>
    <row r="67" spans="2:169" s="33" customFormat="1" outlineLevel="1">
      <c r="B67" s="54" t="s">
        <v>696</v>
      </c>
      <c r="D67" s="2" t="s">
        <v>506</v>
      </c>
      <c r="E67" s="53"/>
      <c r="F67" s="32">
        <f t="shared" si="195"/>
        <v>0</v>
      </c>
      <c r="G67" s="53"/>
      <c r="H67" s="53"/>
      <c r="I67" s="32">
        <f t="shared" si="196"/>
        <v>0</v>
      </c>
      <c r="J67" s="53"/>
      <c r="K67" s="53"/>
      <c r="L67" s="32">
        <f t="shared" si="197"/>
        <v>0</v>
      </c>
      <c r="M67" s="53"/>
      <c r="N67" s="53"/>
      <c r="O67" s="32">
        <f t="shared" si="198"/>
        <v>0</v>
      </c>
      <c r="P67" s="53"/>
      <c r="Q67" s="53"/>
      <c r="R67" s="32">
        <f t="shared" si="199"/>
        <v>0</v>
      </c>
      <c r="S67" s="53"/>
      <c r="T67" s="53"/>
      <c r="U67" s="32">
        <f t="shared" si="200"/>
        <v>0</v>
      </c>
      <c r="V67" s="53"/>
      <c r="W67" s="53"/>
      <c r="X67" s="32">
        <f t="shared" si="201"/>
        <v>0</v>
      </c>
      <c r="Y67" s="53"/>
      <c r="Z67" s="53"/>
      <c r="AA67" s="32">
        <f t="shared" si="202"/>
        <v>0</v>
      </c>
      <c r="AB67" s="53"/>
      <c r="AC67" s="53"/>
      <c r="AD67" s="32">
        <f t="shared" si="203"/>
        <v>0</v>
      </c>
      <c r="AE67" s="53"/>
      <c r="AF67" s="53"/>
      <c r="AG67" s="32">
        <f t="shared" si="204"/>
        <v>0</v>
      </c>
      <c r="AH67" s="53"/>
      <c r="AI67" s="53"/>
      <c r="AJ67" s="32">
        <f t="shared" si="205"/>
        <v>0</v>
      </c>
      <c r="AK67" s="53"/>
      <c r="AL67" s="53"/>
      <c r="AM67" s="32">
        <f t="shared" si="206"/>
        <v>0</v>
      </c>
      <c r="AN67" s="53"/>
      <c r="AO67" s="53"/>
      <c r="AP67" s="32">
        <f t="shared" si="207"/>
        <v>0</v>
      </c>
      <c r="AQ67" s="53"/>
      <c r="AR67" s="53"/>
      <c r="AS67" s="32">
        <f t="shared" si="208"/>
        <v>0</v>
      </c>
      <c r="AT67" s="1064">
        <v>0</v>
      </c>
      <c r="AU67" s="1064">
        <v>0</v>
      </c>
      <c r="AV67" s="32">
        <f t="shared" si="209"/>
        <v>0</v>
      </c>
      <c r="AW67" s="1064">
        <v>0</v>
      </c>
      <c r="AX67" s="1064">
        <v>0</v>
      </c>
      <c r="AY67" s="32">
        <f t="shared" si="210"/>
        <v>0</v>
      </c>
      <c r="AZ67" s="1064">
        <v>0</v>
      </c>
      <c r="BA67" s="32">
        <f>IF(Assumptions!BA82&lt;&gt;"0",Assumptions!BA82,0)</f>
        <v>0</v>
      </c>
      <c r="BB67" s="32">
        <f t="shared" si="211"/>
        <v>0</v>
      </c>
      <c r="BC67" s="32">
        <f>IF(Assumptions!BC82&lt;&gt;"0",Assumptions!BC82,0)</f>
        <v>0</v>
      </c>
      <c r="BD67" s="32">
        <f>IF(Assumptions!BD82&lt;&gt;"0",Assumptions!BD82,0)</f>
        <v>0</v>
      </c>
      <c r="BE67" s="32">
        <f t="shared" si="212"/>
        <v>0</v>
      </c>
      <c r="BF67" s="1094">
        <f>IF(Assumptions!BF82&lt;&gt;"0",Assumptions!BF82,0)</f>
        <v>0</v>
      </c>
      <c r="BG67" s="1061">
        <f>IF(Assumptions!BG82&lt;&gt;"0",Assumptions!BG82,0)</f>
        <v>0</v>
      </c>
      <c r="BH67" s="32">
        <f t="shared" si="213"/>
        <v>1.8069999999999999</v>
      </c>
      <c r="BI67" s="1113">
        <v>1.8069999999999999</v>
      </c>
      <c r="BJ67" s="1095">
        <v>1.3979999999999999</v>
      </c>
      <c r="BK67" s="32">
        <f t="shared" si="214"/>
        <v>1.5509999999999999</v>
      </c>
      <c r="BL67" s="1113">
        <v>2.9489999999999998</v>
      </c>
      <c r="BM67" s="1095">
        <v>0</v>
      </c>
      <c r="BN67" s="32">
        <f t="shared" si="215"/>
        <v>0</v>
      </c>
      <c r="BO67" s="1094">
        <f>BM67</f>
        <v>0</v>
      </c>
      <c r="BP67" s="1061">
        <f>IF(Assumptions!BP82&lt;&gt;"0",Assumptions!BP82,0)</f>
        <v>0</v>
      </c>
      <c r="BQ67" s="32">
        <f t="shared" si="216"/>
        <v>0</v>
      </c>
      <c r="BR67" s="1094">
        <f>IF(Assumptions!BR82&lt;&gt;"0",Assumptions!BR82,0)</f>
        <v>0</v>
      </c>
      <c r="BS67" s="1061">
        <f>IF(Assumptions!BS82&lt;&gt;"0",Assumptions!BS82,0)</f>
        <v>0</v>
      </c>
      <c r="BT67" s="32">
        <f t="shared" si="217"/>
        <v>0</v>
      </c>
      <c r="BU67" s="1094">
        <f>IF(Assumptions!BU82&lt;&gt;"0",Assumptions!BU82,0)</f>
        <v>0</v>
      </c>
      <c r="BV67" s="1061">
        <f>IF(Assumptions!BV82&lt;&gt;"0",Assumptions!BV82,0)</f>
        <v>0</v>
      </c>
      <c r="BW67" s="32">
        <f t="shared" si="218"/>
        <v>0</v>
      </c>
      <c r="BX67" s="1094">
        <f>IF(Assumptions!BX82&lt;&gt;"0",Assumptions!BX82,0)</f>
        <v>0</v>
      </c>
      <c r="BY67" s="1061">
        <f>IF(Assumptions!BY82&lt;&gt;"0",Assumptions!BY82,0)</f>
        <v>0</v>
      </c>
      <c r="BZ67" s="32">
        <f t="shared" si="219"/>
        <v>0</v>
      </c>
      <c r="CA67" s="1094">
        <f>IF(Assumptions!CA82&lt;&gt;"0",Assumptions!CA82,0)</f>
        <v>0</v>
      </c>
      <c r="CB67" s="1061">
        <f>IF(Assumptions!CB82&lt;&gt;"0",Assumptions!CB82,0)</f>
        <v>0</v>
      </c>
      <c r="CC67" s="32">
        <f t="shared" si="220"/>
        <v>0</v>
      </c>
      <c r="CD67" s="1094">
        <f>IF(Assumptions!CD82&lt;&gt;"0",Assumptions!CD82,0)</f>
        <v>0</v>
      </c>
      <c r="CE67" s="1061">
        <f>IF(Assumptions!CE82&lt;&gt;"0",Assumptions!CE82,0)</f>
        <v>0</v>
      </c>
      <c r="CF67" s="32">
        <f t="shared" si="221"/>
        <v>0</v>
      </c>
      <c r="CG67" s="1094">
        <f>IF(Assumptions!CG82&lt;&gt;"0",Assumptions!CG82,0)</f>
        <v>0</v>
      </c>
      <c r="CH67" s="1061">
        <f>IF(Assumptions!CH82&lt;&gt;"0",Assumptions!CH82,0)</f>
        <v>0</v>
      </c>
      <c r="CI67" s="32">
        <f t="shared" si="222"/>
        <v>0</v>
      </c>
      <c r="CJ67" s="1094">
        <f>IF(Assumptions!CJ82&lt;&gt;"0",Assumptions!CJ82,0)</f>
        <v>0</v>
      </c>
      <c r="CK67" s="1061">
        <f>IF(Assumptions!CK82&lt;&gt;"0",Assumptions!CK82,0)</f>
        <v>0</v>
      </c>
      <c r="CL67" s="32">
        <f t="shared" si="223"/>
        <v>0</v>
      </c>
      <c r="CM67" s="1094">
        <f>IF(Assumptions!CM82&lt;&gt;"0",Assumptions!CM82,0)</f>
        <v>0</v>
      </c>
      <c r="CN67" s="1061">
        <f>IF(Assumptions!CN82&lt;&gt;"0",Assumptions!CN82,0)</f>
        <v>0</v>
      </c>
      <c r="CO67" s="32">
        <f t="shared" si="224"/>
        <v>0</v>
      </c>
      <c r="CP67" s="1094">
        <f>IF(Assumptions!CP82&lt;&gt;"0",Assumptions!CP82,0)</f>
        <v>0</v>
      </c>
      <c r="CQ67" s="1061">
        <f>IF(Assumptions!CQ82&lt;&gt;"0",Assumptions!CQ82,0)</f>
        <v>0</v>
      </c>
      <c r="CR67" s="32">
        <f t="shared" si="225"/>
        <v>0</v>
      </c>
      <c r="CS67" s="1094">
        <f>IF(Assumptions!CS82&lt;&gt;"0",Assumptions!CS82,0)</f>
        <v>0</v>
      </c>
      <c r="CT67" s="1061">
        <f>IF(Assumptions!CT82&lt;&gt;"0",Assumptions!CT82,0)</f>
        <v>0</v>
      </c>
      <c r="CU67" s="32">
        <f t="shared" si="226"/>
        <v>0</v>
      </c>
      <c r="CV67" s="1094">
        <f>IF(Assumptions!CV82&lt;&gt;"0",Assumptions!CV82,0)</f>
        <v>0</v>
      </c>
      <c r="CW67" s="1061">
        <f>IF(Assumptions!CW82&lt;&gt;"0",Assumptions!CW82,0)</f>
        <v>0</v>
      </c>
      <c r="CX67" s="32">
        <f t="shared" si="227"/>
        <v>0</v>
      </c>
      <c r="CY67" s="1094">
        <f>IF(Assumptions!CY82&lt;&gt;"0",Assumptions!CY82,0)</f>
        <v>0</v>
      </c>
      <c r="CZ67" s="1061">
        <f>IF(Assumptions!CZ82&lt;&gt;"0",Assumptions!CZ82,0)</f>
        <v>0</v>
      </c>
      <c r="DA67" s="32">
        <f t="shared" si="228"/>
        <v>0</v>
      </c>
      <c r="DB67" s="1094">
        <f>IF(Assumptions!DB82&lt;&gt;"0",Assumptions!DB82,0)</f>
        <v>0</v>
      </c>
      <c r="DC67" s="1061">
        <f>IF(Assumptions!DC82&lt;&gt;"0",Assumptions!DC82,0)</f>
        <v>0</v>
      </c>
      <c r="DD67" s="32">
        <f t="shared" si="229"/>
        <v>0</v>
      </c>
      <c r="DE67" s="1096">
        <f>IF(Assumptions!DE82&lt;&gt;"0",Assumptions!DE82,0)</f>
        <v>0</v>
      </c>
      <c r="DF67" s="1061">
        <f>IF(Assumptions!DF82&lt;&gt;"0",Assumptions!DF82,0)</f>
        <v>0</v>
      </c>
      <c r="DG67" s="32">
        <f t="shared" si="230"/>
        <v>0</v>
      </c>
      <c r="DH67" s="1096">
        <f>IF(Assumptions!DH82&lt;&gt;"0",Assumptions!DH82,0)</f>
        <v>0</v>
      </c>
      <c r="DI67" s="1061">
        <f>IF(Assumptions!DI82&lt;&gt;"0",Assumptions!DI82,0)</f>
        <v>0</v>
      </c>
      <c r="DJ67" s="32">
        <f t="shared" si="231"/>
        <v>0</v>
      </c>
      <c r="DK67" s="1096">
        <f>IF(Assumptions!DK82&lt;&gt;"0",Assumptions!DK82,0)</f>
        <v>0</v>
      </c>
      <c r="DL67" s="32">
        <f>IF(Assumptions!DL82&lt;&gt;"0",Assumptions!DL82,0)</f>
        <v>0</v>
      </c>
      <c r="DM67" s="32">
        <f t="shared" si="232"/>
        <v>0</v>
      </c>
      <c r="DN67" s="1061">
        <f>IF(Assumptions!DN82&lt;&gt;"0",Assumptions!DN82,0)</f>
        <v>0</v>
      </c>
      <c r="DO67" s="32">
        <f>IF(Assumptions!DO82&lt;&gt;"0",Assumptions!DO82,0)</f>
        <v>0</v>
      </c>
      <c r="DP67" s="32">
        <f t="shared" si="233"/>
        <v>0</v>
      </c>
      <c r="DQ67" s="1061">
        <f>IF(Assumptions!DQ82&lt;&gt;"0",Assumptions!DQ82,0)</f>
        <v>0</v>
      </c>
      <c r="DR67" s="32">
        <f>IF(Assumptions!DR82&lt;&gt;"0",Assumptions!DR82,0)</f>
        <v>0</v>
      </c>
      <c r="DS67" s="32">
        <f t="shared" si="234"/>
        <v>0</v>
      </c>
      <c r="DT67" s="1061">
        <f>IF(Assumptions!DT82&lt;&gt;"0",Assumptions!DT82,0)</f>
        <v>0</v>
      </c>
      <c r="DU67" s="32">
        <f>IF(Assumptions!DU82&lt;&gt;"0",Assumptions!DU82,0)</f>
        <v>0</v>
      </c>
      <c r="DV67" s="32">
        <f t="shared" si="235"/>
        <v>0</v>
      </c>
      <c r="DW67" s="1061">
        <f>IF(Assumptions!DW82&lt;&gt;"0",Assumptions!DW82,0)</f>
        <v>0</v>
      </c>
      <c r="DX67" s="32">
        <f>IF(Assumptions!DX82&lt;&gt;"0",Assumptions!DX82,0)</f>
        <v>0</v>
      </c>
      <c r="DY67" s="32">
        <f t="shared" si="236"/>
        <v>0</v>
      </c>
      <c r="DZ67" s="1061">
        <f>IF(Assumptions!DZ82&lt;&gt;"0",Assumptions!DZ82,0)</f>
        <v>0</v>
      </c>
      <c r="EA67" s="32">
        <f>IF(Assumptions!EA82&lt;&gt;"0",Assumptions!EA82,0)</f>
        <v>0</v>
      </c>
      <c r="EB67" s="32">
        <f t="shared" si="237"/>
        <v>0</v>
      </c>
      <c r="EC67" s="1061">
        <f>IF(Assumptions!EC82&lt;&gt;"0",Assumptions!EC82,0)</f>
        <v>0</v>
      </c>
      <c r="ED67" s="32">
        <f>IF(Assumptions!ED82&lt;&gt;"0",Assumptions!ED82,0)</f>
        <v>0</v>
      </c>
      <c r="EE67" s="32">
        <f t="shared" si="238"/>
        <v>0</v>
      </c>
      <c r="EF67" s="1061">
        <f>IF(Assumptions!EF82&lt;&gt;"0",Assumptions!EF82,0)</f>
        <v>0</v>
      </c>
      <c r="EG67" s="32">
        <f>IF(Assumptions!EG82&lt;&gt;"0",Assumptions!EG82,0)</f>
        <v>0</v>
      </c>
      <c r="EH67" s="32">
        <f t="shared" si="239"/>
        <v>0</v>
      </c>
      <c r="EI67" s="1061">
        <f>IF(Assumptions!EI82&lt;&gt;"0",Assumptions!EI82,0)</f>
        <v>0</v>
      </c>
      <c r="EJ67" s="32">
        <f>IF(Assumptions!EJ82&lt;&gt;"0",Assumptions!EJ82,0)</f>
        <v>0</v>
      </c>
      <c r="EK67" s="32">
        <f t="shared" si="240"/>
        <v>0</v>
      </c>
      <c r="EL67" s="1061">
        <f>IF(Assumptions!EL82&lt;&gt;"0",Assumptions!EL82,0)</f>
        <v>0</v>
      </c>
      <c r="EM67" s="32">
        <f>IF(Assumptions!EM82&lt;&gt;"0",Assumptions!EM82,0)</f>
        <v>0</v>
      </c>
      <c r="EN67" s="32">
        <f t="shared" si="241"/>
        <v>0</v>
      </c>
      <c r="EO67" s="1061">
        <f>IF(Assumptions!EO82&lt;&gt;"0",Assumptions!EO82,0)</f>
        <v>0</v>
      </c>
      <c r="EP67" s="32">
        <f>IF(Assumptions!EP82&lt;&gt;"0",Assumptions!EP82,0)</f>
        <v>0</v>
      </c>
      <c r="EQ67" s="32">
        <f t="shared" si="242"/>
        <v>0</v>
      </c>
      <c r="ER67" s="1061">
        <f>IF(Assumptions!ER82&lt;&gt;"0",Assumptions!ER82,0)</f>
        <v>0</v>
      </c>
      <c r="ES67" s="32">
        <f>IF(Assumptions!ES82&lt;&gt;"0",Assumptions!ES82,0)</f>
        <v>0</v>
      </c>
      <c r="ET67" s="32">
        <f t="shared" si="243"/>
        <v>0</v>
      </c>
      <c r="EU67" s="1061">
        <f>IF(Assumptions!EU82&lt;&gt;"0",Assumptions!EU82,0)</f>
        <v>0</v>
      </c>
      <c r="EV67" s="32">
        <f>IF(Assumptions!EV82&lt;&gt;"0",Assumptions!EV82,0)</f>
        <v>0</v>
      </c>
      <c r="EW67" s="32">
        <f t="shared" si="244"/>
        <v>0</v>
      </c>
      <c r="EX67" s="1061">
        <f>IF(Assumptions!EX82&lt;&gt;"0",Assumptions!EX82,0)</f>
        <v>0</v>
      </c>
      <c r="EY67" s="32">
        <f>IF(Assumptions!EY82&lt;&gt;"0",Assumptions!EY82,0)</f>
        <v>0</v>
      </c>
      <c r="EZ67" s="32">
        <f t="shared" si="245"/>
        <v>0</v>
      </c>
      <c r="FA67" s="1061">
        <f>IF(Assumptions!FA82&lt;&gt;"0",Assumptions!FA82,0)</f>
        <v>0</v>
      </c>
      <c r="FB67" s="1120"/>
      <c r="FD67"/>
      <c r="FE67"/>
      <c r="FF67"/>
      <c r="FG67"/>
      <c r="FH67"/>
      <c r="FI67"/>
    </row>
    <row r="68" spans="2:169" s="33" customFormat="1" outlineLevel="1">
      <c r="B68" s="1730" t="s">
        <v>413</v>
      </c>
      <c r="C68" s="1731"/>
      <c r="D68" s="1732" t="s">
        <v>506</v>
      </c>
      <c r="E68" s="1157"/>
      <c r="F68" s="1421">
        <f t="shared" si="195"/>
        <v>0</v>
      </c>
      <c r="G68" s="1157"/>
      <c r="H68" s="1157"/>
      <c r="I68" s="1421">
        <f t="shared" si="196"/>
        <v>0</v>
      </c>
      <c r="J68" s="1157"/>
      <c r="K68" s="1157"/>
      <c r="L68" s="1421">
        <f t="shared" si="197"/>
        <v>0</v>
      </c>
      <c r="M68" s="1157"/>
      <c r="N68" s="1157"/>
      <c r="O68" s="1421">
        <f t="shared" si="198"/>
        <v>0</v>
      </c>
      <c r="P68" s="1157"/>
      <c r="Q68" s="1157"/>
      <c r="R68" s="1421">
        <f t="shared" si="199"/>
        <v>0</v>
      </c>
      <c r="S68" s="1157"/>
      <c r="T68" s="1157"/>
      <c r="U68" s="1421">
        <f t="shared" si="200"/>
        <v>0</v>
      </c>
      <c r="V68" s="1157"/>
      <c r="W68" s="1157"/>
      <c r="X68" s="1421">
        <f t="shared" si="201"/>
        <v>0</v>
      </c>
      <c r="Y68" s="1157"/>
      <c r="Z68" s="1157"/>
      <c r="AA68" s="1421">
        <f t="shared" si="202"/>
        <v>0</v>
      </c>
      <c r="AB68" s="1157"/>
      <c r="AC68" s="1157"/>
      <c r="AD68" s="1421">
        <f t="shared" si="203"/>
        <v>0</v>
      </c>
      <c r="AE68" s="1157"/>
      <c r="AF68" s="1157"/>
      <c r="AG68" s="1421">
        <f t="shared" si="204"/>
        <v>0</v>
      </c>
      <c r="AH68" s="1157"/>
      <c r="AI68" s="1157"/>
      <c r="AJ68" s="1421">
        <f t="shared" si="205"/>
        <v>0</v>
      </c>
      <c r="AK68" s="1157"/>
      <c r="AL68" s="1157"/>
      <c r="AM68" s="1421">
        <f t="shared" si="206"/>
        <v>0.191</v>
      </c>
      <c r="AN68" s="1734">
        <v>0.191</v>
      </c>
      <c r="AO68" s="1157"/>
      <c r="AP68" s="1421">
        <f t="shared" si="207"/>
        <v>0.57399999999999995</v>
      </c>
      <c r="AQ68" s="1734">
        <v>0.57399999999999995</v>
      </c>
      <c r="AR68" s="1157"/>
      <c r="AS68" s="1421">
        <f t="shared" si="208"/>
        <v>0</v>
      </c>
      <c r="AT68" s="1733">
        <v>0</v>
      </c>
      <c r="AU68" s="1733">
        <v>0</v>
      </c>
      <c r="AV68" s="1421">
        <f t="shared" si="209"/>
        <v>0</v>
      </c>
      <c r="AW68" s="1733">
        <v>0</v>
      </c>
      <c r="AX68" s="1733">
        <v>0</v>
      </c>
      <c r="AY68" s="1421">
        <f t="shared" si="210"/>
        <v>0</v>
      </c>
      <c r="AZ68" s="1733">
        <v>0</v>
      </c>
      <c r="BA68" s="1421">
        <f>IF(Assumptions!BA91&lt;&gt;"0",Assumptions!BA91,0)</f>
        <v>0</v>
      </c>
      <c r="BB68" s="1421">
        <f t="shared" si="211"/>
        <v>0</v>
      </c>
      <c r="BC68" s="1421">
        <f>IF(Assumptions!BC91&lt;&gt;"0",Assumptions!BC91,0)</f>
        <v>0</v>
      </c>
      <c r="BD68" s="1421">
        <f>Assumptions!BD91</f>
        <v>0</v>
      </c>
      <c r="BE68" s="1421">
        <f t="shared" si="212"/>
        <v>0</v>
      </c>
      <c r="BF68" s="1103">
        <f>IF(Assumptions!BF91&lt;&gt;"0",Assumptions!BF91,0)</f>
        <v>0</v>
      </c>
      <c r="BG68" s="1104">
        <f>IF(Assumptions!BG91&lt;&gt;"0",Assumptions!BG91,0)</f>
        <v>0</v>
      </c>
      <c r="BH68" s="1421">
        <f t="shared" si="213"/>
        <v>0</v>
      </c>
      <c r="BI68" s="1103">
        <f>IF(Assumptions!BI91&lt;&gt;"0",Assumptions!BI91,0)</f>
        <v>0</v>
      </c>
      <c r="BJ68" s="1106">
        <v>0.57499999999999996</v>
      </c>
      <c r="BK68" s="1421">
        <f t="shared" si="214"/>
        <v>0.39900000000000002</v>
      </c>
      <c r="BL68" s="1105">
        <v>0.97399999999999998</v>
      </c>
      <c r="BM68" s="1104">
        <f>IF(Assumptions!BM91&lt;&gt;"0",Assumptions!BM91,0)</f>
        <v>0</v>
      </c>
      <c r="BN68" s="1421">
        <f t="shared" si="215"/>
        <v>0</v>
      </c>
      <c r="BO68" s="1103">
        <f>IF(Assumptions!BO91&lt;&gt;"0",Assumptions!BO91,0)</f>
        <v>0</v>
      </c>
      <c r="BP68" s="1104">
        <f>IF(Assumptions!BP91&lt;&gt;"0",Assumptions!BP91,0)</f>
        <v>0</v>
      </c>
      <c r="BQ68" s="1421">
        <f t="shared" si="216"/>
        <v>0</v>
      </c>
      <c r="BR68" s="1103">
        <f>IF(Assumptions!BR91&lt;&gt;"0",Assumptions!BR91,0)</f>
        <v>0</v>
      </c>
      <c r="BS68" s="1104">
        <f>IF(Assumptions!BS91&lt;&gt;"0",Assumptions!BS91,0)</f>
        <v>0</v>
      </c>
      <c r="BT68" s="1421">
        <f t="shared" si="217"/>
        <v>0</v>
      </c>
      <c r="BU68" s="1103">
        <f>IF(Assumptions!BU91&lt;&gt;"0",Assumptions!BU91,0)</f>
        <v>0</v>
      </c>
      <c r="BV68" s="1104">
        <f>IF(Assumptions!BV91&lt;&gt;"0",Assumptions!BV91,0)</f>
        <v>0</v>
      </c>
      <c r="BW68" s="1421">
        <f t="shared" si="218"/>
        <v>0</v>
      </c>
      <c r="BX68" s="1103">
        <f>IF(Assumptions!BX91&lt;&gt;"0",Assumptions!BX91,0)</f>
        <v>0</v>
      </c>
      <c r="BY68" s="1104">
        <f>IF(Assumptions!BY91&lt;&gt;"0",Assumptions!BY91,0)</f>
        <v>0</v>
      </c>
      <c r="BZ68" s="1421">
        <f t="shared" si="219"/>
        <v>0</v>
      </c>
      <c r="CA68" s="1103">
        <f>IF(Assumptions!CA91&lt;&gt;"0",Assumptions!CA91,0)</f>
        <v>0</v>
      </c>
      <c r="CB68" s="1104">
        <f>IF(Assumptions!CB91&lt;&gt;"0",Assumptions!CB91,0)</f>
        <v>0</v>
      </c>
      <c r="CC68" s="1421">
        <f t="shared" si="220"/>
        <v>0</v>
      </c>
      <c r="CD68" s="1103">
        <f>IF(Assumptions!CD91&lt;&gt;"0",Assumptions!CD91,0)</f>
        <v>0</v>
      </c>
      <c r="CE68" s="1104">
        <f>IF(Assumptions!CE91&lt;&gt;"0",Assumptions!CE91,0)</f>
        <v>0</v>
      </c>
      <c r="CF68" s="1421">
        <f t="shared" si="221"/>
        <v>0</v>
      </c>
      <c r="CG68" s="1103">
        <f>IF(Assumptions!CG91&lt;&gt;"0",Assumptions!CG91,0)</f>
        <v>0</v>
      </c>
      <c r="CH68" s="1104">
        <f>IF(Assumptions!CH91&lt;&gt;"0",Assumptions!CH91,0)</f>
        <v>0</v>
      </c>
      <c r="CI68" s="1421">
        <f t="shared" si="222"/>
        <v>0</v>
      </c>
      <c r="CJ68" s="1103">
        <f>IF(Assumptions!CJ91&lt;&gt;"0",Assumptions!CJ91,0)</f>
        <v>0</v>
      </c>
      <c r="CK68" s="1104">
        <f>IF(Assumptions!CK91&lt;&gt;"0",Assumptions!CK91,0)</f>
        <v>0</v>
      </c>
      <c r="CL68" s="1421">
        <f t="shared" si="223"/>
        <v>0</v>
      </c>
      <c r="CM68" s="1103">
        <f>IF(Assumptions!CM91&lt;&gt;"0",Assumptions!CM91,0)</f>
        <v>0</v>
      </c>
      <c r="CN68" s="1104">
        <f>IF(Assumptions!CN91&lt;&gt;"0",Assumptions!CN91,0)</f>
        <v>0</v>
      </c>
      <c r="CO68" s="1421">
        <f t="shared" si="224"/>
        <v>0</v>
      </c>
      <c r="CP68" s="1103">
        <f>IF(Assumptions!CP91&lt;&gt;"0",Assumptions!CP91,0)</f>
        <v>0</v>
      </c>
      <c r="CQ68" s="1104">
        <f>IF(Assumptions!CQ91&lt;&gt;"0",Assumptions!CQ91,0)</f>
        <v>0</v>
      </c>
      <c r="CR68" s="1421">
        <f t="shared" si="225"/>
        <v>0</v>
      </c>
      <c r="CS68" s="1103">
        <f>IF(Assumptions!CS91&lt;&gt;"0",Assumptions!CS91,0)</f>
        <v>0</v>
      </c>
      <c r="CT68" s="1104">
        <f>IF(Assumptions!CT91&lt;&gt;"0",Assumptions!CT91,0)</f>
        <v>0</v>
      </c>
      <c r="CU68" s="1421">
        <f t="shared" si="226"/>
        <v>0</v>
      </c>
      <c r="CV68" s="1103">
        <f>IF(Assumptions!CV91&lt;&gt;"0",Assumptions!CV91,0)</f>
        <v>0</v>
      </c>
      <c r="CW68" s="1104">
        <f>IF(Assumptions!CW91&lt;&gt;"0",Assumptions!CW91,0)</f>
        <v>0</v>
      </c>
      <c r="CX68" s="1421">
        <f t="shared" si="227"/>
        <v>0</v>
      </c>
      <c r="CY68" s="1103">
        <f>IF(Assumptions!CY91&lt;&gt;"0",Assumptions!CY91,0)</f>
        <v>0</v>
      </c>
      <c r="CZ68" s="1104">
        <f>IF(Assumptions!CZ91&lt;&gt;"0",Assumptions!CZ91,0)</f>
        <v>0</v>
      </c>
      <c r="DA68" s="1421">
        <f t="shared" si="228"/>
        <v>0</v>
      </c>
      <c r="DB68" s="1103">
        <f>IF(Assumptions!DB91&lt;&gt;"0",Assumptions!DB91,0)</f>
        <v>0</v>
      </c>
      <c r="DC68" s="1104">
        <f>IF(Assumptions!DC91&lt;&gt;"0",Assumptions!DC91,0)</f>
        <v>0</v>
      </c>
      <c r="DD68" s="1421">
        <f t="shared" si="229"/>
        <v>0</v>
      </c>
      <c r="DE68" s="1107">
        <f>IF(Assumptions!DE91&lt;&gt;"0",Assumptions!DE91,0)</f>
        <v>0</v>
      </c>
      <c r="DF68" s="1104">
        <f>IF(Assumptions!DF91&lt;&gt;"0",Assumptions!DF91,0)</f>
        <v>0</v>
      </c>
      <c r="DG68" s="1421">
        <f t="shared" si="230"/>
        <v>0</v>
      </c>
      <c r="DH68" s="1107">
        <f>IF(Assumptions!DH91&lt;&gt;"0",Assumptions!DH91,0)</f>
        <v>0</v>
      </c>
      <c r="DI68" s="1104">
        <f>IF(Assumptions!DI91&lt;&gt;"0",Assumptions!DI91,0)</f>
        <v>0</v>
      </c>
      <c r="DJ68" s="1421">
        <f t="shared" si="231"/>
        <v>0</v>
      </c>
      <c r="DK68" s="1107">
        <f>IF(Assumptions!DK91&lt;&gt;"0",Assumptions!DK91,0)</f>
        <v>0</v>
      </c>
      <c r="DL68" s="1421">
        <f>IF(Assumptions!DL91&lt;&gt;"0",Assumptions!DL91,0)</f>
        <v>0</v>
      </c>
      <c r="DM68" s="1421">
        <f t="shared" si="232"/>
        <v>0</v>
      </c>
      <c r="DN68" s="1104">
        <f>IF(Assumptions!DN91&lt;&gt;"0",Assumptions!DN91,0)</f>
        <v>0</v>
      </c>
      <c r="DO68" s="1421">
        <f>IF(Assumptions!DO91&lt;&gt;"0",Assumptions!DO91,0)</f>
        <v>0</v>
      </c>
      <c r="DP68" s="1421">
        <f t="shared" si="233"/>
        <v>0</v>
      </c>
      <c r="DQ68" s="1104">
        <f>IF(Assumptions!DQ91&lt;&gt;"0",Assumptions!DQ91,0)</f>
        <v>0</v>
      </c>
      <c r="DR68" s="1421">
        <f>IF(Assumptions!DR91&lt;&gt;"0",Assumptions!DR91,0)</f>
        <v>0</v>
      </c>
      <c r="DS68" s="1421">
        <f t="shared" si="234"/>
        <v>0</v>
      </c>
      <c r="DT68" s="1104">
        <f>IF(Assumptions!DT91&lt;&gt;"0",Assumptions!DT91,0)</f>
        <v>0</v>
      </c>
      <c r="DU68" s="1421">
        <f>IF(Assumptions!DU91&lt;&gt;"0",Assumptions!DU91,0)</f>
        <v>0</v>
      </c>
      <c r="DV68" s="1421">
        <f t="shared" si="235"/>
        <v>0</v>
      </c>
      <c r="DW68" s="1104">
        <f>IF(Assumptions!DW91&lt;&gt;"0",Assumptions!DW91,0)</f>
        <v>0</v>
      </c>
      <c r="DX68" s="1421">
        <f>IF(Assumptions!DX91&lt;&gt;"0",Assumptions!DX91,0)</f>
        <v>0</v>
      </c>
      <c r="DY68" s="1421">
        <f t="shared" si="236"/>
        <v>0</v>
      </c>
      <c r="DZ68" s="1104">
        <f>IF(Assumptions!DZ91&lt;&gt;"0",Assumptions!DZ91,0)</f>
        <v>0</v>
      </c>
      <c r="EA68" s="1421">
        <f>IF(Assumptions!EA91&lt;&gt;"0",Assumptions!EA91,0)</f>
        <v>0</v>
      </c>
      <c r="EB68" s="1421">
        <f t="shared" si="237"/>
        <v>0</v>
      </c>
      <c r="EC68" s="1104">
        <f>IF(Assumptions!EC91&lt;&gt;"0",Assumptions!EC91,0)</f>
        <v>0</v>
      </c>
      <c r="ED68" s="1421">
        <f>IF(Assumptions!ED91&lt;&gt;"0",Assumptions!ED91,0)</f>
        <v>0</v>
      </c>
      <c r="EE68" s="1421">
        <f t="shared" si="238"/>
        <v>0</v>
      </c>
      <c r="EF68" s="1104">
        <f>IF(Assumptions!EF91&lt;&gt;"0",Assumptions!EF91,0)</f>
        <v>0</v>
      </c>
      <c r="EG68" s="1421">
        <f>IF(Assumptions!EG91&lt;&gt;"0",Assumptions!EG91,0)</f>
        <v>0</v>
      </c>
      <c r="EH68" s="1421">
        <f t="shared" si="239"/>
        <v>0</v>
      </c>
      <c r="EI68" s="1104">
        <f>IF(Assumptions!EI91&lt;&gt;"0",Assumptions!EI91,0)</f>
        <v>0</v>
      </c>
      <c r="EJ68" s="1421">
        <f>IF(Assumptions!EJ91&lt;&gt;"0",Assumptions!EJ91,0)</f>
        <v>0</v>
      </c>
      <c r="EK68" s="1421">
        <f t="shared" si="240"/>
        <v>0</v>
      </c>
      <c r="EL68" s="1104">
        <f>IF(Assumptions!EL91&lt;&gt;"0",Assumptions!EL91,0)</f>
        <v>0</v>
      </c>
      <c r="EM68" s="1421">
        <f>IF(Assumptions!EM91&lt;&gt;"0",Assumptions!EM91,0)</f>
        <v>0</v>
      </c>
      <c r="EN68" s="1421">
        <f t="shared" si="241"/>
        <v>0</v>
      </c>
      <c r="EO68" s="1104">
        <f>IF(Assumptions!EO91&lt;&gt;"0",Assumptions!EO91,0)</f>
        <v>0</v>
      </c>
      <c r="EP68" s="1421">
        <f>IF(Assumptions!EP91&lt;&gt;"0",Assumptions!EP91,0)</f>
        <v>0</v>
      </c>
      <c r="EQ68" s="1421">
        <f t="shared" si="242"/>
        <v>0</v>
      </c>
      <c r="ER68" s="1104">
        <f>IF(Assumptions!ER91&lt;&gt;"0",Assumptions!ER91,0)</f>
        <v>0</v>
      </c>
      <c r="ES68" s="1421">
        <f>IF(Assumptions!ES91&lt;&gt;"0",Assumptions!ES91,0)</f>
        <v>0</v>
      </c>
      <c r="ET68" s="1421">
        <f t="shared" si="243"/>
        <v>0</v>
      </c>
      <c r="EU68" s="1104">
        <f>IF(Assumptions!EU91&lt;&gt;"0",Assumptions!EU91,0)</f>
        <v>0</v>
      </c>
      <c r="EV68" s="1421">
        <f>IF(Assumptions!EV91&lt;&gt;"0",Assumptions!EV91,0)</f>
        <v>0</v>
      </c>
      <c r="EW68" s="1421">
        <f t="shared" si="244"/>
        <v>0</v>
      </c>
      <c r="EX68" s="1104">
        <f>IF(Assumptions!EX91&lt;&gt;"0",Assumptions!EX91,0)</f>
        <v>0</v>
      </c>
      <c r="EY68" s="1421">
        <f>IF(Assumptions!EY91&lt;&gt;"0",Assumptions!EY91,0)</f>
        <v>0</v>
      </c>
      <c r="EZ68" s="1421">
        <f t="shared" si="245"/>
        <v>0</v>
      </c>
      <c r="FA68" s="1104">
        <f>IF(Assumptions!FA91&lt;&gt;"0",Assumptions!FA91,0)</f>
        <v>0</v>
      </c>
      <c r="FB68" s="1120"/>
      <c r="FD68"/>
      <c r="FE68"/>
      <c r="FF68"/>
      <c r="FG68"/>
      <c r="FH68"/>
      <c r="FI68"/>
    </row>
    <row r="69" spans="2:169" s="61" customFormat="1" outlineLevel="1">
      <c r="B69" s="60" t="s">
        <v>414</v>
      </c>
      <c r="D69" s="1658" t="s">
        <v>506</v>
      </c>
      <c r="E69" s="1495">
        <f>+E73+E71</f>
        <v>0</v>
      </c>
      <c r="F69" s="1272">
        <f t="shared" si="195"/>
        <v>0</v>
      </c>
      <c r="G69" s="1495">
        <f>+G73+G71</f>
        <v>0</v>
      </c>
      <c r="H69" s="1495">
        <f>+H73+H71</f>
        <v>0</v>
      </c>
      <c r="I69" s="1272">
        <f t="shared" si="196"/>
        <v>0</v>
      </c>
      <c r="J69" s="1495">
        <f>+J73+J71</f>
        <v>0</v>
      </c>
      <c r="K69" s="1495">
        <f>+K73+K71</f>
        <v>0</v>
      </c>
      <c r="L69" s="1272">
        <f t="shared" si="197"/>
        <v>0</v>
      </c>
      <c r="M69" s="1495">
        <f>+M73+M71</f>
        <v>0</v>
      </c>
      <c r="N69" s="1495">
        <f>+N73+N71</f>
        <v>0</v>
      </c>
      <c r="O69" s="1272">
        <f t="shared" si="198"/>
        <v>0</v>
      </c>
      <c r="P69" s="1495">
        <f>+P73+P71</f>
        <v>0</v>
      </c>
      <c r="Q69" s="1495">
        <f>+Q73+Q71</f>
        <v>0</v>
      </c>
      <c r="R69" s="1272">
        <f t="shared" si="199"/>
        <v>0</v>
      </c>
      <c r="S69" s="1495">
        <f>+S73+S71</f>
        <v>0</v>
      </c>
      <c r="T69" s="1495">
        <f>+T73+T71</f>
        <v>0</v>
      </c>
      <c r="U69" s="1272">
        <f t="shared" si="200"/>
        <v>0</v>
      </c>
      <c r="V69" s="1495">
        <f>+V73+V71</f>
        <v>0</v>
      </c>
      <c r="W69" s="1495">
        <f>+W73+W71</f>
        <v>0</v>
      </c>
      <c r="X69" s="1272">
        <f t="shared" si="201"/>
        <v>0</v>
      </c>
      <c r="Y69" s="1495">
        <f>+Y73+Y71</f>
        <v>0</v>
      </c>
      <c r="Z69" s="1495">
        <f>+Z73+Z71</f>
        <v>0</v>
      </c>
      <c r="AA69" s="1272">
        <f t="shared" si="202"/>
        <v>0</v>
      </c>
      <c r="AB69" s="1495">
        <f>+AB73+AB71</f>
        <v>0</v>
      </c>
      <c r="AC69" s="1495">
        <f>+AC73+AC71</f>
        <v>0</v>
      </c>
      <c r="AD69" s="1272">
        <f t="shared" si="203"/>
        <v>0</v>
      </c>
      <c r="AE69" s="1495">
        <f>+AE73+AE71</f>
        <v>0</v>
      </c>
      <c r="AF69" s="1495">
        <f>+AF73+AF71</f>
        <v>0</v>
      </c>
      <c r="AG69" s="1272">
        <f t="shared" si="204"/>
        <v>0</v>
      </c>
      <c r="AH69" s="1495">
        <f>+AH73+AH71</f>
        <v>0</v>
      </c>
      <c r="AI69" s="1495">
        <f>+AI73+AI71</f>
        <v>0</v>
      </c>
      <c r="AJ69" s="1272">
        <f t="shared" si="205"/>
        <v>0</v>
      </c>
      <c r="AK69" s="1495">
        <f>+AK73+AK71</f>
        <v>0</v>
      </c>
      <c r="AL69" s="1495">
        <f>+AL73+AL71</f>
        <v>0</v>
      </c>
      <c r="AM69" s="1272">
        <f t="shared" si="206"/>
        <v>42.877000000000002</v>
      </c>
      <c r="AN69" s="1495">
        <f>+AN73+AN71</f>
        <v>42.877000000000002</v>
      </c>
      <c r="AO69" s="1495">
        <f>+AO73+AO71</f>
        <v>16.681000000000001</v>
      </c>
      <c r="AP69" s="1272">
        <f t="shared" si="207"/>
        <v>31.802999999999994</v>
      </c>
      <c r="AQ69" s="1495">
        <f>+AQ73+AQ71</f>
        <v>48.483999999999995</v>
      </c>
      <c r="AR69" s="1495">
        <f>+AR73+AR71</f>
        <v>20.204999999999998</v>
      </c>
      <c r="AS69" s="1272">
        <f t="shared" si="208"/>
        <v>38.247</v>
      </c>
      <c r="AT69" s="1495">
        <f>+AT73+AT71</f>
        <v>58.451999999999998</v>
      </c>
      <c r="AU69" s="1495">
        <f>+AU73+AU71</f>
        <v>23.713999999999999</v>
      </c>
      <c r="AV69" s="1272">
        <f t="shared" si="209"/>
        <v>45.536000000000001</v>
      </c>
      <c r="AW69" s="1495">
        <f>+AW73+AW71</f>
        <v>69.25</v>
      </c>
      <c r="AX69" s="1495">
        <f>+AX73+AX71</f>
        <v>25.812000000000001</v>
      </c>
      <c r="AY69" s="1272">
        <f t="shared" si="210"/>
        <v>51.344000000000008</v>
      </c>
      <c r="AZ69" s="1495">
        <f>+AZ73+AZ71</f>
        <v>77.156000000000006</v>
      </c>
      <c r="BA69" s="1495">
        <f>+BA73+BA71</f>
        <v>53.969000000000001</v>
      </c>
      <c r="BB69" s="1272">
        <f t="shared" si="211"/>
        <v>98.831999999999994</v>
      </c>
      <c r="BC69" s="1495">
        <f>+BC73+BC71</f>
        <v>152.80099999999999</v>
      </c>
      <c r="BD69" s="1495">
        <f>+BD73+BD71</f>
        <v>108.587</v>
      </c>
      <c r="BE69" s="1272">
        <f t="shared" si="212"/>
        <v>126.62800000000003</v>
      </c>
      <c r="BF69" s="1495">
        <f>+BF73+BF71</f>
        <v>235.21500000000003</v>
      </c>
      <c r="BG69" s="1495">
        <f>+BG73+BG71</f>
        <v>98.940000000000012</v>
      </c>
      <c r="BH69" s="1272">
        <f t="shared" si="213"/>
        <v>87.815999999999988</v>
      </c>
      <c r="BI69" s="1495">
        <f>+BI73+BI71</f>
        <v>186.756</v>
      </c>
      <c r="BJ69" s="1495">
        <f>+BJ73+BJ71</f>
        <v>54.631</v>
      </c>
      <c r="BK69" s="1272"/>
      <c r="BL69" s="1495"/>
      <c r="BM69" s="1495"/>
      <c r="BN69" s="1272"/>
      <c r="BO69" s="1495">
        <f>+BO73+BO71</f>
        <v>666.37600000000009</v>
      </c>
      <c r="BP69" s="1495">
        <f>+BP73+BP71</f>
        <v>272.56700000000001</v>
      </c>
      <c r="BQ69" s="1272">
        <f t="shared" si="216"/>
        <v>242.46400000000006</v>
      </c>
      <c r="BR69" s="1495">
        <f>+BR73+BR71</f>
        <v>515.03100000000006</v>
      </c>
      <c r="BS69" s="1495">
        <f>+BS73+BS71</f>
        <v>390.71299999999997</v>
      </c>
      <c r="BT69" s="1272">
        <f t="shared" si="217"/>
        <v>395.35199999999998</v>
      </c>
      <c r="BU69" s="1495">
        <f>+BU73+BU71</f>
        <v>786.06499999999994</v>
      </c>
      <c r="BV69" s="1495">
        <f>+BV73+BV71</f>
        <v>499.94499999999999</v>
      </c>
      <c r="BW69" s="1272">
        <f t="shared" si="218"/>
        <v>466.7</v>
      </c>
      <c r="BX69" s="1495">
        <f>+BX73+BX71</f>
        <v>966.64499999999998</v>
      </c>
      <c r="BY69" s="1495">
        <f>+BY73+BY71</f>
        <v>626.20600000000002</v>
      </c>
      <c r="BZ69" s="1272">
        <f t="shared" si="219"/>
        <v>627.93210510000006</v>
      </c>
      <c r="CA69" s="1495">
        <f>+CA73+CA71</f>
        <v>1254.1381051000001</v>
      </c>
      <c r="CB69" s="1495">
        <f>+CB73+CB71</f>
        <v>796.12900000000002</v>
      </c>
      <c r="CC69" s="1272">
        <f t="shared" si="220"/>
        <v>560.99799999999993</v>
      </c>
      <c r="CD69" s="1495">
        <f>+CD73+CD71</f>
        <v>1357.127</v>
      </c>
      <c r="CE69" s="1495">
        <f>+CE73+CE71</f>
        <v>636.05200000000002</v>
      </c>
      <c r="CF69" s="1272">
        <f t="shared" si="221"/>
        <v>547.15862872660966</v>
      </c>
      <c r="CG69" s="1495">
        <f>+CG73+CG71</f>
        <v>1183.2106287266097</v>
      </c>
      <c r="CH69" s="1495">
        <f>+CH73+CH71</f>
        <v>633.9</v>
      </c>
      <c r="CI69" s="1272">
        <f t="shared" si="222"/>
        <v>615.27241733751464</v>
      </c>
      <c r="CJ69" s="1495">
        <f>+CJ73+CJ71</f>
        <v>1249.1724173375146</v>
      </c>
      <c r="CK69" s="1495">
        <f>+CK73+CK71</f>
        <v>788.11024999999995</v>
      </c>
      <c r="CL69" s="1272">
        <f t="shared" si="223"/>
        <v>697.63754137945239</v>
      </c>
      <c r="CM69" s="1495">
        <f>+CM73+CM71</f>
        <v>1485.7477913794523</v>
      </c>
      <c r="CN69" s="1495">
        <f>+CN73+CN71</f>
        <v>818</v>
      </c>
      <c r="CO69" s="1272">
        <f t="shared" si="224"/>
        <v>819.2</v>
      </c>
      <c r="CP69" s="1495">
        <f>+CP73+CP71</f>
        <v>1637.2</v>
      </c>
      <c r="CQ69" s="1495">
        <f>+CQ73+CQ71</f>
        <v>878.3</v>
      </c>
      <c r="CR69" s="1272">
        <f t="shared" si="225"/>
        <v>901.7</v>
      </c>
      <c r="CS69" s="1495">
        <f>+CS73+CS71</f>
        <v>1780</v>
      </c>
      <c r="CT69" s="1495">
        <f>+CT73+CT71</f>
        <v>809.80000000000007</v>
      </c>
      <c r="CU69" s="1272">
        <f t="shared" si="226"/>
        <v>718.70000000000016</v>
      </c>
      <c r="CV69" s="1495">
        <f>+CV73+CV71</f>
        <v>1528.5000000000002</v>
      </c>
      <c r="CW69" s="1495">
        <f>+CW73+CW71</f>
        <v>1094.7</v>
      </c>
      <c r="CX69" s="1272">
        <f t="shared" si="227"/>
        <v>684.19999999999982</v>
      </c>
      <c r="CY69" s="1495">
        <f>+CY73+CY71</f>
        <v>1778.8999999999999</v>
      </c>
      <c r="CZ69" s="1495">
        <f>+CZ73+CZ71</f>
        <v>1475.2090930720517</v>
      </c>
      <c r="DA69" s="1272">
        <f t="shared" si="228"/>
        <v>905.09090692794803</v>
      </c>
      <c r="DB69" s="1495">
        <f>+DB73+DB71</f>
        <v>2380.2999999999997</v>
      </c>
      <c r="DC69" s="1495">
        <f>+DC73+DC71</f>
        <v>1553</v>
      </c>
      <c r="DD69" s="1272">
        <f t="shared" si="229"/>
        <v>951</v>
      </c>
      <c r="DE69" s="1496">
        <f>+DE73+DE71</f>
        <v>2504</v>
      </c>
      <c r="DF69" s="1495">
        <f>+DF73+DF71</f>
        <v>1632.019</v>
      </c>
      <c r="DG69" s="1272">
        <f t="shared" si="230"/>
        <v>1084.5110874999998</v>
      </c>
      <c r="DH69" s="1496">
        <f>+DH73+DH71</f>
        <v>2716.5300874999998</v>
      </c>
      <c r="DI69" s="1495">
        <f>+DI73+DI71</f>
        <v>2357.8815450000002</v>
      </c>
      <c r="DJ69" s="1272">
        <f t="shared" si="231"/>
        <v>792.90427624999984</v>
      </c>
      <c r="DK69" s="1496">
        <f>+DK73+DK71</f>
        <v>3150.78582125</v>
      </c>
      <c r="DL69" s="1495">
        <f>+DL73+DL71</f>
        <v>2231.4235962499997</v>
      </c>
      <c r="DM69" s="1272">
        <f t="shared" si="232"/>
        <v>850.87640375000046</v>
      </c>
      <c r="DN69" s="1496">
        <f>+DN73+DN71</f>
        <v>3082.3</v>
      </c>
      <c r="DO69" s="1495">
        <f>+DO73+DO71</f>
        <v>2406.0018085000002</v>
      </c>
      <c r="DP69" s="1272">
        <f t="shared" si="233"/>
        <v>1251.2963594942444</v>
      </c>
      <c r="DQ69" s="1496">
        <f>+DQ73+DQ71</f>
        <v>3657.2981679942445</v>
      </c>
      <c r="DR69" s="1495">
        <f>+DR73+DR71</f>
        <v>2794.9791249999998</v>
      </c>
      <c r="DS69" s="1272">
        <f t="shared" si="234"/>
        <v>1402.0284750000001</v>
      </c>
      <c r="DT69" s="1496">
        <f>+DT73+DT71</f>
        <v>4197.0075999999999</v>
      </c>
      <c r="DU69" s="1495">
        <f>+DU73+DU71</f>
        <v>2878</v>
      </c>
      <c r="DV69" s="1272">
        <f t="shared" si="235"/>
        <v>1590</v>
      </c>
      <c r="DW69" s="1496">
        <f>+DW73+DW71</f>
        <v>4468</v>
      </c>
      <c r="DX69" s="1495">
        <f>+DX73+DX71</f>
        <v>2805</v>
      </c>
      <c r="DY69" s="1272">
        <f t="shared" si="236"/>
        <v>2094.5635170371161</v>
      </c>
      <c r="DZ69" s="1496">
        <f>+DZ73+DZ71</f>
        <v>4899.5635170371161</v>
      </c>
      <c r="EA69" s="1495">
        <f>+EA73+EA71</f>
        <v>2950.3539454593069</v>
      </c>
      <c r="EB69" s="1272">
        <f t="shared" si="237"/>
        <v>2185.984091687114</v>
      </c>
      <c r="EC69" s="1496">
        <f>+EC73+EC71</f>
        <v>5136.3380371464209</v>
      </c>
      <c r="ED69" s="1495">
        <f>+ED73+ED71</f>
        <v>3178.110718525304</v>
      </c>
      <c r="EE69" s="1272">
        <f t="shared" si="238"/>
        <v>2349.7668796668804</v>
      </c>
      <c r="EF69" s="1496">
        <f>+EF73+EF71</f>
        <v>5527.8775981921845</v>
      </c>
      <c r="EG69" s="1495">
        <f>+EG73+EG71</f>
        <v>3421.1972183289045</v>
      </c>
      <c r="EH69" s="1272">
        <f t="shared" si="239"/>
        <v>2581.1541770167514</v>
      </c>
      <c r="EI69" s="1496">
        <f>+EI73+EI71</f>
        <v>6002.3513953456559</v>
      </c>
      <c r="EJ69" s="1495">
        <f>+EJ73+EJ71</f>
        <v>3686.4680885461776</v>
      </c>
      <c r="EK69" s="1272">
        <f t="shared" si="240"/>
        <v>2835.818667115107</v>
      </c>
      <c r="EL69" s="1496">
        <f>+EL73+EL71</f>
        <v>6522.2867556612846</v>
      </c>
      <c r="EM69" s="1495">
        <f>+EM73+EM71</f>
        <v>3996.3634494536082</v>
      </c>
      <c r="EN69" s="1272">
        <f t="shared" si="241"/>
        <v>3078.1703118948717</v>
      </c>
      <c r="EO69" s="1496">
        <f>+EO73+EO71</f>
        <v>7074.5337613484799</v>
      </c>
      <c r="EP69" s="1495">
        <f>+EP73+EP71</f>
        <v>4287.067593767214</v>
      </c>
      <c r="EQ69" s="1272">
        <f t="shared" si="242"/>
        <v>3349.8237075379093</v>
      </c>
      <c r="ER69" s="1496">
        <f>+ER73+ER71</f>
        <v>7636.8913013051233</v>
      </c>
      <c r="ES69" s="1495">
        <f>+ES73+ES71</f>
        <v>4561.2661860576854</v>
      </c>
      <c r="ET69" s="1272">
        <f t="shared" si="243"/>
        <v>3597.0869109984424</v>
      </c>
      <c r="EU69" s="1496">
        <f>+EU73+EU71</f>
        <v>8158.3530970561278</v>
      </c>
      <c r="EV69" s="1495">
        <f>+EV73+EV71</f>
        <v>4808.607402543711</v>
      </c>
      <c r="EW69" s="1272">
        <f t="shared" si="244"/>
        <v>3812.8395954919697</v>
      </c>
      <c r="EX69" s="1496">
        <f>+EX73+EX71</f>
        <v>8621.4469980356807</v>
      </c>
      <c r="EY69" s="1495">
        <f>+EY73+EY71</f>
        <v>5071.3996512460099</v>
      </c>
      <c r="EZ69" s="1272">
        <f t="shared" si="245"/>
        <v>4042.7975523316682</v>
      </c>
      <c r="FA69" s="1496">
        <f>+FA73+FA71</f>
        <v>9114.197203577678</v>
      </c>
      <c r="FB69" s="1710"/>
      <c r="FD69"/>
      <c r="FE69"/>
      <c r="FF69"/>
      <c r="FG69"/>
      <c r="FH69"/>
      <c r="FI69"/>
      <c r="FJ69" s="33"/>
      <c r="FK69" s="33"/>
      <c r="FL69" s="33"/>
      <c r="FM69" s="33"/>
    </row>
    <row r="70" spans="2:169" s="33" customFormat="1" outlineLevel="1">
      <c r="B70" s="52" t="s">
        <v>415</v>
      </c>
      <c r="D70" s="1121" t="s">
        <v>507</v>
      </c>
      <c r="E70" s="1122"/>
      <c r="F70" s="1122"/>
      <c r="G70" s="1122"/>
      <c r="H70" s="1122"/>
      <c r="I70" s="1122"/>
      <c r="J70" s="1122"/>
      <c r="K70" s="1122"/>
      <c r="L70" s="1122"/>
      <c r="M70" s="1122"/>
      <c r="N70" s="1122"/>
      <c r="O70" s="1122"/>
      <c r="P70" s="1122"/>
      <c r="Q70" s="1122"/>
      <c r="R70" s="1122"/>
      <c r="S70" s="1122"/>
      <c r="T70" s="1122"/>
      <c r="U70" s="1122"/>
      <c r="V70" s="1122"/>
      <c r="W70" s="1122"/>
      <c r="X70" s="1122"/>
      <c r="Y70" s="1122"/>
      <c r="Z70" s="1122"/>
      <c r="AA70" s="1122"/>
      <c r="AB70" s="1122"/>
      <c r="AC70" s="1122"/>
      <c r="AD70" s="1122"/>
      <c r="AE70" s="1122"/>
      <c r="AF70" s="1122"/>
      <c r="AG70" s="1122"/>
      <c r="AH70" s="1122"/>
      <c r="AI70" s="1122"/>
      <c r="AJ70" s="1122"/>
      <c r="AK70" s="1122"/>
      <c r="AL70" s="1122"/>
      <c r="AM70" s="1122">
        <f t="shared" ref="AM70:AZ70" si="246">+AM69/AM30</f>
        <v>0.15253182118946149</v>
      </c>
      <c r="AN70" s="1122">
        <f t="shared" si="246"/>
        <v>0.15253182118946149</v>
      </c>
      <c r="AO70" s="1122">
        <f t="shared" si="246"/>
        <v>0.1268546050480239</v>
      </c>
      <c r="AP70" s="1122">
        <f t="shared" si="246"/>
        <v>0.18329625488455731</v>
      </c>
      <c r="AQ70" s="1122">
        <f t="shared" si="246"/>
        <v>0.15896237086192594</v>
      </c>
      <c r="AR70" s="1122">
        <f t="shared" si="246"/>
        <v>0.12925905549087094</v>
      </c>
      <c r="AS70" s="1122">
        <f t="shared" si="246"/>
        <v>0.19397292787698364</v>
      </c>
      <c r="AT70" s="1122">
        <f t="shared" si="246"/>
        <v>0.16535640228464091</v>
      </c>
      <c r="AU70" s="1122">
        <f t="shared" si="246"/>
        <v>0.1251279561835815</v>
      </c>
      <c r="AV70" s="1122">
        <f t="shared" si="246"/>
        <v>0.20332837693623215</v>
      </c>
      <c r="AW70" s="1122">
        <f t="shared" si="246"/>
        <v>0.16748453942356295</v>
      </c>
      <c r="AX70" s="1122">
        <f t="shared" si="246"/>
        <v>0.12347049087795499</v>
      </c>
      <c r="AY70" s="1122">
        <f t="shared" si="246"/>
        <v>0.21256582651607991</v>
      </c>
      <c r="AZ70" s="1122">
        <f t="shared" si="246"/>
        <v>0.17123023182526331</v>
      </c>
      <c r="BA70" s="1122"/>
      <c r="BB70" s="1122"/>
      <c r="BC70" s="1122">
        <f t="shared" ref="BC70:BJ70" si="247">+BC69/BC30</f>
        <v>0.17875141549605533</v>
      </c>
      <c r="BD70" s="1122">
        <f t="shared" si="247"/>
        <v>0.18410661150719307</v>
      </c>
      <c r="BE70" s="1122">
        <f t="shared" si="247"/>
        <v>0.16653318025137534</v>
      </c>
      <c r="BF70" s="1122">
        <f t="shared" si="247"/>
        <v>0.17420984726503541</v>
      </c>
      <c r="BG70" s="1122">
        <f t="shared" si="247"/>
        <v>0.15462950807374207</v>
      </c>
      <c r="BH70" s="1122">
        <f t="shared" si="247"/>
        <v>0.13295543322250683</v>
      </c>
      <c r="BI70" s="1122">
        <f t="shared" si="247"/>
        <v>0.14362045735589968</v>
      </c>
      <c r="BJ70" s="1122">
        <f t="shared" si="247"/>
        <v>8.5879164583785278E-2</v>
      </c>
      <c r="BK70" s="1122"/>
      <c r="BL70" s="1122"/>
      <c r="BM70" s="1122"/>
      <c r="BN70" s="1122"/>
      <c r="BO70" s="1122">
        <f>+BO69/BO30</f>
        <v>0.24232436123921522</v>
      </c>
      <c r="BP70" s="1122"/>
      <c r="BQ70" s="1122"/>
      <c r="BR70" s="1122"/>
      <c r="BS70" s="1122"/>
      <c r="BT70" s="1122"/>
      <c r="BU70" s="1122"/>
      <c r="BV70" s="1122">
        <f t="shared" ref="BV70:DA70" si="248">+BV69/BV30</f>
        <v>0.32356361931418015</v>
      </c>
      <c r="BW70" s="1122">
        <f t="shared" si="248"/>
        <v>0.27406530249520911</v>
      </c>
      <c r="BX70" s="1122">
        <f t="shared" si="248"/>
        <v>0.29761237684729064</v>
      </c>
      <c r="BY70" s="1122">
        <f t="shared" si="248"/>
        <v>0.34813741266901543</v>
      </c>
      <c r="BZ70" s="1122">
        <f t="shared" si="248"/>
        <v>0.36771603636255806</v>
      </c>
      <c r="CA70" s="1122">
        <f t="shared" si="248"/>
        <v>0.35767245013123378</v>
      </c>
      <c r="CB70" s="1122">
        <f t="shared" si="248"/>
        <v>0.38064440641796116</v>
      </c>
      <c r="CC70" s="1122">
        <f t="shared" si="248"/>
        <v>0.28461621466842624</v>
      </c>
      <c r="CD70" s="1122">
        <f t="shared" si="248"/>
        <v>0.33405398942960274</v>
      </c>
      <c r="CE70" s="1122">
        <f t="shared" si="248"/>
        <v>0.31107531099721514</v>
      </c>
      <c r="CF70" s="1122">
        <f t="shared" si="248"/>
        <v>0.24909252544915353</v>
      </c>
      <c r="CG70" s="1122">
        <f t="shared" si="248"/>
        <v>0.27897383131870152</v>
      </c>
      <c r="CH70" s="1122">
        <f t="shared" si="248"/>
        <v>0.27487826965041368</v>
      </c>
      <c r="CI70" s="1122">
        <f t="shared" si="248"/>
        <v>0.26541089151581282</v>
      </c>
      <c r="CJ70" s="1122">
        <f t="shared" si="248"/>
        <v>0.27013221835467305</v>
      </c>
      <c r="CK70" s="1122">
        <f t="shared" si="248"/>
        <v>0.31621805159892469</v>
      </c>
      <c r="CL70" s="1122">
        <f t="shared" si="248"/>
        <v>0.28265032873326795</v>
      </c>
      <c r="CM70" s="1122">
        <f t="shared" si="248"/>
        <v>0.29951573256313918</v>
      </c>
      <c r="CN70" s="1122">
        <f t="shared" si="248"/>
        <v>0.31776862714629789</v>
      </c>
      <c r="CO70" s="1122">
        <f t="shared" si="248"/>
        <v>0.29674708396725363</v>
      </c>
      <c r="CP70" s="1122">
        <f t="shared" si="248"/>
        <v>0.30689060508360205</v>
      </c>
      <c r="CQ70" s="1122">
        <f t="shared" si="248"/>
        <v>0.30972952004795989</v>
      </c>
      <c r="CR70" s="1122">
        <f t="shared" si="248"/>
        <v>0.3267265743894483</v>
      </c>
      <c r="CS70" s="1122">
        <f t="shared" si="248"/>
        <v>0.31811276918952719</v>
      </c>
      <c r="CT70" s="1122">
        <f t="shared" si="248"/>
        <v>0.2582511102150809</v>
      </c>
      <c r="CU70" s="1122">
        <f t="shared" si="248"/>
        <v>0.24615607779049908</v>
      </c>
      <c r="CV70" s="1122">
        <f t="shared" si="248"/>
        <v>0.25241932820292623</v>
      </c>
      <c r="CW70" s="1122">
        <f t="shared" si="248"/>
        <v>0.30438772105438777</v>
      </c>
      <c r="CX70" s="1122">
        <f t="shared" si="248"/>
        <v>0.21802307054999676</v>
      </c>
      <c r="CY70" s="1122">
        <f t="shared" si="248"/>
        <v>0.26414337896831291</v>
      </c>
      <c r="CZ70" s="1122">
        <f t="shared" si="248"/>
        <v>0.36161247148792647</v>
      </c>
      <c r="DA70" s="1122">
        <f t="shared" si="248"/>
        <v>0.24555029490381103</v>
      </c>
      <c r="DB70" s="1122">
        <f t="shared" ref="DB70:EC70" si="249">+DB69/DB30</f>
        <v>0.30652243899298176</v>
      </c>
      <c r="DC70" s="1122">
        <f t="shared" si="249"/>
        <v>0.3516279491011185</v>
      </c>
      <c r="DD70" s="1122">
        <f t="shared" si="249"/>
        <v>0.23980633936001203</v>
      </c>
      <c r="DE70" s="1123">
        <f t="shared" si="249"/>
        <v>0.2987246936998198</v>
      </c>
      <c r="DF70" s="1122">
        <f t="shared" si="249"/>
        <v>0.34101760366471007</v>
      </c>
      <c r="DG70" s="1122">
        <f t="shared" si="249"/>
        <v>0.25992057693601528</v>
      </c>
      <c r="DH70" s="1123">
        <f t="shared" si="249"/>
        <v>0.30324496337974816</v>
      </c>
      <c r="DI70" s="1122">
        <f t="shared" si="249"/>
        <v>0.41502172740934057</v>
      </c>
      <c r="DJ70" s="1122">
        <f t="shared" si="249"/>
        <v>0.17679198965382958</v>
      </c>
      <c r="DK70" s="1123">
        <f t="shared" si="249"/>
        <v>0.3099245149866417</v>
      </c>
      <c r="DL70" s="1122">
        <f t="shared" si="249"/>
        <v>0.37813688909694798</v>
      </c>
      <c r="DM70" s="1122">
        <f t="shared" si="249"/>
        <v>0.19239715178066716</v>
      </c>
      <c r="DN70" s="1123">
        <f t="shared" si="249"/>
        <v>0.29856832887752333</v>
      </c>
      <c r="DO70" s="1122">
        <f t="shared" si="249"/>
        <v>0.34587875686438002</v>
      </c>
      <c r="DP70" s="1122">
        <f t="shared" si="249"/>
        <v>0.21383101942893543</v>
      </c>
      <c r="DQ70" s="1123">
        <f t="shared" si="249"/>
        <v>0.28554795190460996</v>
      </c>
      <c r="DR70" s="1122">
        <f t="shared" si="249"/>
        <v>0.3581011050608584</v>
      </c>
      <c r="DS70" s="1122">
        <f t="shared" si="249"/>
        <v>0.21642921812287744</v>
      </c>
      <c r="DT70" s="1123">
        <f t="shared" si="249"/>
        <v>0.29384636280893367</v>
      </c>
      <c r="DU70" s="1122">
        <f t="shared" si="249"/>
        <v>0.34973872888564833</v>
      </c>
      <c r="DV70" s="1122">
        <f>+DV69/DV30</f>
        <v>0.23272833723653397</v>
      </c>
      <c r="DW70" s="1123">
        <f>+DW69/DW30</f>
        <v>0.29666024832348448</v>
      </c>
      <c r="DX70" s="1122">
        <f t="shared" ref="DX70" si="250">+DX69/DX30</f>
        <v>0.34663865546218486</v>
      </c>
      <c r="DY70" s="1122">
        <f t="shared" si="249"/>
        <v>0.2836168460936983</v>
      </c>
      <c r="DZ70" s="1123">
        <f t="shared" si="249"/>
        <v>0.31656679190826381</v>
      </c>
      <c r="EA70" s="1122">
        <f t="shared" si="249"/>
        <v>0.34132010459220602</v>
      </c>
      <c r="EB70" s="1122">
        <f t="shared" si="249"/>
        <v>0.28422004216132429</v>
      </c>
      <c r="EC70" s="1123">
        <f t="shared" si="249"/>
        <v>0.31443531743324099</v>
      </c>
      <c r="ED70" s="1122">
        <f t="shared" ref="ED70:EL70" si="251">+ED69/ED30</f>
        <v>0.35146617097490745</v>
      </c>
      <c r="EE70" s="1122">
        <f t="shared" si="251"/>
        <v>0.28712843475338645</v>
      </c>
      <c r="EF70" s="1123">
        <f t="shared" si="251"/>
        <v>0.32090098886077473</v>
      </c>
      <c r="EG70" s="1122">
        <f t="shared" si="251"/>
        <v>0.35745917596431703</v>
      </c>
      <c r="EH70" s="1122">
        <f t="shared" si="251"/>
        <v>0.29568257489952643</v>
      </c>
      <c r="EI70" s="1123">
        <f t="shared" si="251"/>
        <v>0.32799103234200949</v>
      </c>
      <c r="EJ70" s="1122">
        <f t="shared" si="251"/>
        <v>0.36365070641545721</v>
      </c>
      <c r="EK70" s="1122">
        <f t="shared" si="251"/>
        <v>0.30415425435246174</v>
      </c>
      <c r="EL70" s="1123">
        <f t="shared" si="251"/>
        <v>0.33514641078430257</v>
      </c>
      <c r="EM70" s="1122">
        <f t="shared" ref="EM70:ER70" si="252">+EM69/EM30</f>
        <v>0.37372483628624614</v>
      </c>
      <c r="EN70" s="1122">
        <f t="shared" si="252"/>
        <v>0.31262313186653817</v>
      </c>
      <c r="EO70" s="1123">
        <f t="shared" si="252"/>
        <v>0.34443392037681175</v>
      </c>
      <c r="EP70" s="1122">
        <f t="shared" si="252"/>
        <v>0.38033148210432727</v>
      </c>
      <c r="EQ70" s="1122">
        <f t="shared" si="252"/>
        <v>0.32119533332823391</v>
      </c>
      <c r="ER70" s="1123">
        <f t="shared" si="252"/>
        <v>0.35191157188111033</v>
      </c>
      <c r="ES70" s="1122">
        <f t="shared" ref="ES70:FA70" si="253">+ES69/ES30</f>
        <v>0.3833697132759184</v>
      </c>
      <c r="ET70" s="1122">
        <f t="shared" si="253"/>
        <v>0.32553276287164995</v>
      </c>
      <c r="EU70" s="1123">
        <f t="shared" si="253"/>
        <v>0.35551985586471829</v>
      </c>
      <c r="EV70" s="1122">
        <f t="shared" si="253"/>
        <v>0.3827728475913918</v>
      </c>
      <c r="EW70" s="1122">
        <f t="shared" si="253"/>
        <v>0.32558901067438945</v>
      </c>
      <c r="EX70" s="1123">
        <f t="shared" si="253"/>
        <v>0.35518448569374378</v>
      </c>
      <c r="EY70" s="1122">
        <f t="shared" si="253"/>
        <v>0.38220846265807229</v>
      </c>
      <c r="EZ70" s="1122">
        <f t="shared" si="253"/>
        <v>0.32566021883783586</v>
      </c>
      <c r="FA70" s="1123">
        <f t="shared" si="253"/>
        <v>0.35487507377664224</v>
      </c>
      <c r="FB70" s="1120"/>
      <c r="FD70"/>
      <c r="FE70"/>
      <c r="FF70"/>
      <c r="FG70"/>
      <c r="FH70"/>
      <c r="FI70"/>
    </row>
    <row r="71" spans="2:169" s="33" customFormat="1" outlineLevel="1">
      <c r="B71" s="54" t="s">
        <v>416</v>
      </c>
      <c r="D71" s="2" t="s">
        <v>506</v>
      </c>
      <c r="E71" s="53"/>
      <c r="F71" s="32">
        <f>+G71-E71</f>
        <v>0</v>
      </c>
      <c r="G71" s="53"/>
      <c r="H71" s="53"/>
      <c r="I71" s="32">
        <f>+J71-H71</f>
        <v>0</v>
      </c>
      <c r="J71" s="53"/>
      <c r="K71" s="53"/>
      <c r="L71" s="32">
        <f>+M71-K71</f>
        <v>0</v>
      </c>
      <c r="M71" s="53"/>
      <c r="N71" s="53"/>
      <c r="O71" s="32">
        <f>+P71-N71</f>
        <v>0</v>
      </c>
      <c r="P71" s="53"/>
      <c r="Q71" s="53"/>
      <c r="R71" s="32">
        <f>+S71-Q71</f>
        <v>0</v>
      </c>
      <c r="S71" s="53"/>
      <c r="T71" s="53"/>
      <c r="U71" s="32">
        <f>+V71-T71</f>
        <v>0</v>
      </c>
      <c r="V71" s="53"/>
      <c r="W71" s="53"/>
      <c r="X71" s="32">
        <f>+Y71-W71</f>
        <v>0</v>
      </c>
      <c r="Y71" s="53"/>
      <c r="Z71" s="53"/>
      <c r="AA71" s="32">
        <f>+AB71-Z71</f>
        <v>0</v>
      </c>
      <c r="AB71" s="53"/>
      <c r="AC71" s="53"/>
      <c r="AD71" s="32">
        <f>+AE71-AC71</f>
        <v>0</v>
      </c>
      <c r="AE71" s="53"/>
      <c r="AF71" s="53"/>
      <c r="AG71" s="32">
        <f>+AH71-AF71</f>
        <v>0</v>
      </c>
      <c r="AH71" s="53"/>
      <c r="AI71" s="53"/>
      <c r="AJ71" s="32">
        <f>+AK71-AI71</f>
        <v>0</v>
      </c>
      <c r="AK71" s="53"/>
      <c r="AL71" s="53"/>
      <c r="AM71" s="32">
        <f>+AN71-AL71</f>
        <v>1.3180000000000001</v>
      </c>
      <c r="AN71" s="1097">
        <v>1.3180000000000001</v>
      </c>
      <c r="AO71" s="53"/>
      <c r="AP71" s="32">
        <f>+AQ71-AO71</f>
        <v>0.40600000000000003</v>
      </c>
      <c r="AQ71" s="1097">
        <v>0.40600000000000003</v>
      </c>
      <c r="AR71" s="53"/>
      <c r="AS71" s="32">
        <f>+AT71-AR71</f>
        <v>0</v>
      </c>
      <c r="AT71" s="1064">
        <v>0</v>
      </c>
      <c r="AU71" s="1064">
        <v>0</v>
      </c>
      <c r="AV71" s="32">
        <f>+AW71-AU71</f>
        <v>0.51700000000000002</v>
      </c>
      <c r="AW71" s="1064">
        <v>0.51700000000000002</v>
      </c>
      <c r="AX71" s="1064">
        <v>0</v>
      </c>
      <c r="AY71" s="32">
        <f>+AZ71-AX71</f>
        <v>0</v>
      </c>
      <c r="AZ71" s="1064">
        <v>0</v>
      </c>
      <c r="BA71" s="1064">
        <v>10.076000000000001</v>
      </c>
      <c r="BB71" s="32">
        <f>+BC71-BA71</f>
        <v>14.123999999999999</v>
      </c>
      <c r="BC71" s="1064">
        <v>24.2</v>
      </c>
      <c r="BD71" s="1064">
        <v>20.018000000000001</v>
      </c>
      <c r="BE71" s="32">
        <f>+BF71-BD71</f>
        <v>29.116</v>
      </c>
      <c r="BF71" s="1092">
        <v>49.134</v>
      </c>
      <c r="BG71" s="1124">
        <v>26.364000000000001</v>
      </c>
      <c r="BH71" s="32">
        <f>+BI71-BG71</f>
        <v>25.123000000000001</v>
      </c>
      <c r="BI71" s="1092">
        <v>51.487000000000002</v>
      </c>
      <c r="BJ71" s="1124">
        <v>0</v>
      </c>
      <c r="BK71" s="32">
        <f>+BL71-BJ71</f>
        <v>0</v>
      </c>
      <c r="BL71" s="1092">
        <v>0</v>
      </c>
      <c r="BM71" s="1124">
        <v>0</v>
      </c>
      <c r="BN71" s="32">
        <f>+BO71-BM71</f>
        <v>0</v>
      </c>
      <c r="BO71" s="1092">
        <v>0</v>
      </c>
      <c r="BP71" s="1124">
        <v>0</v>
      </c>
      <c r="BQ71" s="32">
        <f>+BR71-BP71</f>
        <v>0</v>
      </c>
      <c r="BR71" s="1090">
        <f>IF(Assumptions!BR64&lt;&gt;"0",Assumptions!BR64,0)</f>
        <v>0</v>
      </c>
      <c r="BS71" s="1091">
        <f>IF(Assumptions!BS64&lt;&gt;"0",Assumptions!BS64,0)</f>
        <v>0</v>
      </c>
      <c r="BT71" s="32">
        <f>+BU71-BS71</f>
        <v>0</v>
      </c>
      <c r="BU71" s="1090">
        <f>IF(Assumptions!BU64&lt;&gt;"0",Assumptions!BU64,0)</f>
        <v>0</v>
      </c>
      <c r="BV71" s="1091">
        <f>IF(Assumptions!BV64&lt;&gt;"0",Assumptions!BV64,0)</f>
        <v>0</v>
      </c>
      <c r="BW71" s="32">
        <f>+BX71-BV71</f>
        <v>0</v>
      </c>
      <c r="BX71" s="1090">
        <f>IF(Assumptions!BX64&lt;&gt;"0",Assumptions!BX64,0)</f>
        <v>0</v>
      </c>
      <c r="BY71" s="1091">
        <f>IF(Assumptions!BY64&lt;&gt;"0",Assumptions!BY64,0)</f>
        <v>0</v>
      </c>
      <c r="BZ71" s="32">
        <f>+CA71-BY71</f>
        <v>0</v>
      </c>
      <c r="CA71" s="1090">
        <f>IF(Assumptions!CA64&lt;&gt;"0",Assumptions!CA64,0)</f>
        <v>0</v>
      </c>
      <c r="CB71" s="1091">
        <f>IF(Assumptions!CB64&lt;&gt;"0",Assumptions!CB64,0)</f>
        <v>0</v>
      </c>
      <c r="CC71" s="32">
        <f>+CD71-CB71</f>
        <v>0</v>
      </c>
      <c r="CD71" s="1090">
        <f>IF(Assumptions!CD64&lt;&gt;"0",Assumptions!CD64,0)</f>
        <v>0</v>
      </c>
      <c r="CE71" s="1091">
        <f>IF(Assumptions!CE64&lt;&gt;"0",Assumptions!CE64,0)</f>
        <v>0</v>
      </c>
      <c r="CF71" s="32">
        <f>+CG71-CE71</f>
        <v>0</v>
      </c>
      <c r="CG71" s="1090">
        <f>IF(Assumptions!CG64&lt;&gt;"0",Assumptions!CG64,0)</f>
        <v>0</v>
      </c>
      <c r="CH71" s="1091">
        <f>IF(Assumptions!CH64&lt;&gt;"0",Assumptions!CH64,0)</f>
        <v>0</v>
      </c>
      <c r="CI71" s="32">
        <f>+CJ71-CH71</f>
        <v>0</v>
      </c>
      <c r="CJ71" s="1090">
        <f>IF(Assumptions!CJ64&lt;&gt;"0",Assumptions!CJ64,0)</f>
        <v>0</v>
      </c>
      <c r="CK71" s="1091">
        <f>IF(Assumptions!CK64&lt;&gt;"0",Assumptions!CK64,0)</f>
        <v>0</v>
      </c>
      <c r="CL71" s="32">
        <f>+CM71-CK71</f>
        <v>0</v>
      </c>
      <c r="CM71" s="1090">
        <f>IF(Assumptions!CM64&lt;&gt;"0",Assumptions!CM64,0)</f>
        <v>0</v>
      </c>
      <c r="CN71" s="1091">
        <f>IF(Assumptions!CN64&lt;&gt;"0",Assumptions!CN64,0)</f>
        <v>0</v>
      </c>
      <c r="CO71" s="32">
        <f>+CP71-CN71</f>
        <v>0</v>
      </c>
      <c r="CP71" s="1090">
        <f>IF(Assumptions!CP64&lt;&gt;"0",Assumptions!CP64,0)</f>
        <v>0</v>
      </c>
      <c r="CQ71" s="1091">
        <f>IF(Assumptions!CQ64&lt;&gt;"0",Assumptions!CQ64,0)</f>
        <v>0</v>
      </c>
      <c r="CR71" s="32">
        <f>+CS71-CQ71</f>
        <v>0</v>
      </c>
      <c r="CS71" s="1090">
        <f>IF(Assumptions!CS64&lt;&gt;"0",Assumptions!CS64,0)</f>
        <v>0</v>
      </c>
      <c r="CT71" s="1091">
        <f>IF(Assumptions!CT64&lt;&gt;"0",Assumptions!CT64,0)</f>
        <v>0</v>
      </c>
      <c r="CU71" s="32">
        <f>+CV71-CT71</f>
        <v>0</v>
      </c>
      <c r="CV71" s="1090">
        <f>IF(Assumptions!CV64&lt;&gt;"0",Assumptions!CV64,0)</f>
        <v>0</v>
      </c>
      <c r="CW71" s="1091">
        <f>IF(Assumptions!CW64&lt;&gt;"0",Assumptions!CW64,0)</f>
        <v>0</v>
      </c>
      <c r="CX71" s="32">
        <f>+CY71-CW71</f>
        <v>0</v>
      </c>
      <c r="CY71" s="1090">
        <f>IF(Assumptions!CY64&lt;&gt;"0",Assumptions!CY64,0)</f>
        <v>0</v>
      </c>
      <c r="CZ71" s="1091">
        <f>IF(Assumptions!CZ64&lt;&gt;"0",Assumptions!CZ64,0)</f>
        <v>0</v>
      </c>
      <c r="DA71" s="32">
        <f>+DB71-CZ71</f>
        <v>0</v>
      </c>
      <c r="DB71" s="1090">
        <f>IF(Assumptions!DB64&lt;&gt;"0",Assumptions!DB64,0)</f>
        <v>0</v>
      </c>
      <c r="DC71" s="1091">
        <f>IF(Assumptions!DC64&lt;&gt;"0",Assumptions!DC64,0)</f>
        <v>0</v>
      </c>
      <c r="DD71" s="32">
        <f>+DE71-DC71</f>
        <v>0</v>
      </c>
      <c r="DE71" s="1093">
        <f>IF(Assumptions!DE64&lt;&gt;"0",Assumptions!DE64,0)</f>
        <v>0</v>
      </c>
      <c r="DF71" s="1091">
        <f>IF(Assumptions!DF64&lt;&gt;"0",Assumptions!DF64,0)</f>
        <v>0</v>
      </c>
      <c r="DG71" s="32">
        <f>+DH71-DF71</f>
        <v>0</v>
      </c>
      <c r="DH71" s="1093">
        <f>IF(Assumptions!DH64&lt;&gt;"0",Assumptions!DH64,0)</f>
        <v>0</v>
      </c>
      <c r="DI71" s="1091">
        <f>IF(Assumptions!DI64&lt;&gt;"0",Assumptions!DI64,0)</f>
        <v>0</v>
      </c>
      <c r="DJ71" s="32">
        <f>+DK71-DI71</f>
        <v>0</v>
      </c>
      <c r="DK71" s="1093">
        <f>IF(Assumptions!DK64&lt;&gt;"0",Assumptions!DK64,0)</f>
        <v>0</v>
      </c>
      <c r="DL71" s="32">
        <f>IF(Assumptions!DL64&lt;&gt;"0",Assumptions!DL64,0)</f>
        <v>0</v>
      </c>
      <c r="DM71" s="32">
        <f>+DN71-DL71</f>
        <v>0</v>
      </c>
      <c r="DN71" s="1061">
        <f>IF(Assumptions!DN64&lt;&gt;"0",Assumptions!DN64,0)</f>
        <v>0</v>
      </c>
      <c r="DO71" s="32">
        <f>IF(Assumptions!DO64&lt;&gt;"0",Assumptions!DO64,0)</f>
        <v>0</v>
      </c>
      <c r="DP71" s="32">
        <f>+DQ71-DO71</f>
        <v>0</v>
      </c>
      <c r="DQ71" s="1061">
        <f>IF(Assumptions!DQ64&lt;&gt;"0",Assumptions!DQ64,0)</f>
        <v>0</v>
      </c>
      <c r="DR71" s="32">
        <f>IF(Assumptions!DR64&lt;&gt;"0",Assumptions!DR64,0)</f>
        <v>0</v>
      </c>
      <c r="DS71" s="32">
        <f>+DT71-DR71</f>
        <v>0</v>
      </c>
      <c r="DT71" s="1061">
        <f>IF(Assumptions!DT64&lt;&gt;"0",Assumptions!DT64,0)</f>
        <v>0</v>
      </c>
      <c r="DU71" s="32">
        <f>IF(Assumptions!DU64&lt;&gt;"0",Assumptions!DU64,0)</f>
        <v>0</v>
      </c>
      <c r="DV71" s="32">
        <f>+DW71-DU71</f>
        <v>0</v>
      </c>
      <c r="DW71" s="1061">
        <f>IF(Assumptions!DW64&lt;&gt;"0",Assumptions!DW64,0)</f>
        <v>0</v>
      </c>
      <c r="DX71" s="32">
        <f>IF(Assumptions!DX64&lt;&gt;"0",Assumptions!DX64,0)</f>
        <v>0</v>
      </c>
      <c r="DY71" s="32">
        <f>+DZ71-DX71</f>
        <v>0</v>
      </c>
      <c r="DZ71" s="1061">
        <f>IF(Assumptions!DZ64&lt;&gt;"0",Assumptions!DZ64,0)</f>
        <v>0</v>
      </c>
      <c r="EA71" s="32">
        <f>IF(Assumptions!EA64&lt;&gt;"0",Assumptions!EA64,0)</f>
        <v>0</v>
      </c>
      <c r="EB71" s="32">
        <f>+EC71-EA71</f>
        <v>0</v>
      </c>
      <c r="EC71" s="1061">
        <f>IF(Assumptions!EC64&lt;&gt;"0",Assumptions!EC64,0)</f>
        <v>0</v>
      </c>
      <c r="ED71" s="32">
        <f>IF(Assumptions!ED64&lt;&gt;"0",Assumptions!ED64,0)</f>
        <v>0</v>
      </c>
      <c r="EE71" s="32">
        <f>+EF71-ED71</f>
        <v>0</v>
      </c>
      <c r="EF71" s="1061">
        <f>IF(Assumptions!EF64&lt;&gt;"0",Assumptions!EF64,0)</f>
        <v>0</v>
      </c>
      <c r="EG71" s="32">
        <f>IF(Assumptions!EG64&lt;&gt;"0",Assumptions!EG4,0)</f>
        <v>0</v>
      </c>
      <c r="EH71" s="32">
        <f>+EI71-EG71</f>
        <v>0</v>
      </c>
      <c r="EI71" s="1061">
        <f>IF(Assumptions!EI64&lt;&gt;"0",Assumptions!EI64,0)</f>
        <v>0</v>
      </c>
      <c r="EJ71" s="32">
        <f>IF(Assumptions!EJ64&lt;&gt;"0",Assumptions!EJ64,0)</f>
        <v>0</v>
      </c>
      <c r="EK71" s="32">
        <f>+EL71-EJ71</f>
        <v>0</v>
      </c>
      <c r="EL71" s="1061">
        <f>IF(Assumptions!EL64&lt;&gt;"0",Assumptions!EL64,0)</f>
        <v>0</v>
      </c>
      <c r="EM71" s="32">
        <f>IF(Assumptions!EM64&lt;&gt;"0",Assumptions!EM64,0)</f>
        <v>0</v>
      </c>
      <c r="EN71" s="32">
        <f>+EO71-EM71</f>
        <v>0</v>
      </c>
      <c r="EO71" s="1061">
        <f>IF(Assumptions!EO64&lt;&gt;"0",Assumptions!EO64,0)</f>
        <v>0</v>
      </c>
      <c r="EP71" s="32">
        <f>IF(Assumptions!EP64&lt;&gt;"0",Assumptions!EP64,0)</f>
        <v>0</v>
      </c>
      <c r="EQ71" s="32">
        <f>+ER71-EP71</f>
        <v>0</v>
      </c>
      <c r="ER71" s="1061">
        <f>IF(Assumptions!ER64&lt;&gt;"0",Assumptions!ER64,0)</f>
        <v>0</v>
      </c>
      <c r="ES71" s="32">
        <f>IF(Assumptions!ES64&lt;&gt;"0",Assumptions!ES64,0)</f>
        <v>0</v>
      </c>
      <c r="ET71" s="32">
        <f>+EU71-ES71</f>
        <v>0</v>
      </c>
      <c r="EU71" s="1061">
        <f>IF(Assumptions!EU64&lt;&gt;"0",Assumptions!EU64,0)</f>
        <v>0</v>
      </c>
      <c r="EV71" s="32">
        <f>IF(Assumptions!EV64&lt;&gt;"0",Assumptions!EV64,0)</f>
        <v>0</v>
      </c>
      <c r="EW71" s="32">
        <f>+EX71-EV71</f>
        <v>0</v>
      </c>
      <c r="EX71" s="1061">
        <f>IF(Assumptions!EX64&lt;&gt;"0",Assumptions!EX64,0)</f>
        <v>0</v>
      </c>
      <c r="EY71" s="32">
        <f>IF(Assumptions!EY64&lt;&gt;"0",Assumptions!EY64,0)</f>
        <v>0</v>
      </c>
      <c r="EZ71" s="32">
        <f>+FA71-EY71</f>
        <v>0</v>
      </c>
      <c r="FA71" s="1061">
        <f>IF(Assumptions!FA64&lt;&gt;"0",Assumptions!FA64,0)</f>
        <v>0</v>
      </c>
      <c r="FD71"/>
      <c r="FE71"/>
      <c r="FF71"/>
      <c r="FG71"/>
      <c r="FH71"/>
      <c r="FI71"/>
    </row>
    <row r="72" spans="2:169" s="33" customFormat="1">
      <c r="B72" s="1730"/>
      <c r="C72" s="1731"/>
      <c r="D72" s="1732"/>
      <c r="E72" s="1157"/>
      <c r="F72" s="1421"/>
      <c r="G72" s="1157"/>
      <c r="H72" s="1157"/>
      <c r="I72" s="1421"/>
      <c r="J72" s="1157"/>
      <c r="K72" s="1157"/>
      <c r="L72" s="1421"/>
      <c r="M72" s="1157"/>
      <c r="N72" s="1157"/>
      <c r="O72" s="1421"/>
      <c r="P72" s="1157"/>
      <c r="Q72" s="1157"/>
      <c r="R72" s="1421"/>
      <c r="S72" s="1157"/>
      <c r="T72" s="1157"/>
      <c r="U72" s="1421"/>
      <c r="V72" s="1157"/>
      <c r="W72" s="1157"/>
      <c r="X72" s="1421"/>
      <c r="Y72" s="1157"/>
      <c r="Z72" s="1157"/>
      <c r="AA72" s="1421"/>
      <c r="AB72" s="1157"/>
      <c r="AC72" s="1157"/>
      <c r="AD72" s="1421"/>
      <c r="AE72" s="1157"/>
      <c r="AF72" s="1157"/>
      <c r="AG72" s="1421"/>
      <c r="AH72" s="1157"/>
      <c r="AI72" s="1157"/>
      <c r="AJ72" s="1421"/>
      <c r="AK72" s="1157"/>
      <c r="AL72" s="1157"/>
      <c r="AM72" s="1421"/>
      <c r="AN72" s="1157"/>
      <c r="AO72" s="1157"/>
      <c r="AP72" s="1421"/>
      <c r="AQ72" s="1157"/>
      <c r="AR72" s="1157"/>
      <c r="AS72" s="1421"/>
      <c r="AT72" s="1157"/>
      <c r="AU72" s="1157"/>
      <c r="AV72" s="1421"/>
      <c r="AW72" s="1157"/>
      <c r="AX72" s="1157"/>
      <c r="AY72" s="1421"/>
      <c r="AZ72" s="1157"/>
      <c r="BA72" s="1157"/>
      <c r="BB72" s="1421"/>
      <c r="BC72" s="1157"/>
      <c r="BD72" s="1157"/>
      <c r="BE72" s="1421"/>
      <c r="BF72" s="1157"/>
      <c r="BG72" s="1157"/>
      <c r="BH72" s="1421"/>
      <c r="BI72" s="1157"/>
      <c r="BJ72" s="1157"/>
      <c r="BK72" s="1421"/>
      <c r="BL72" s="1157"/>
      <c r="BM72" s="1157"/>
      <c r="BN72" s="1421" t="str">
        <f>IF(Assumptions!BN61&lt;&gt;"0",Assumptions!BN61,0)</f>
        <v/>
      </c>
      <c r="BO72" s="1157"/>
      <c r="BP72" s="1157" t="s">
        <v>417</v>
      </c>
      <c r="BQ72" s="1421"/>
      <c r="BR72" s="1157"/>
      <c r="BS72" s="1157"/>
      <c r="BT72" s="1421"/>
      <c r="BU72" s="1157"/>
      <c r="BV72" s="1157"/>
      <c r="BW72" s="1421"/>
      <c r="BX72" s="1157"/>
      <c r="BY72" s="1157"/>
      <c r="BZ72" s="1421"/>
      <c r="CA72" s="1157"/>
      <c r="CB72" s="1157"/>
      <c r="CC72" s="1421"/>
      <c r="CD72" s="1157"/>
      <c r="CE72" s="1157"/>
      <c r="CF72" s="1421"/>
      <c r="CG72" s="1735"/>
      <c r="CH72" s="1157"/>
      <c r="CI72" s="1421"/>
      <c r="CJ72" s="1157"/>
      <c r="CK72" s="1157"/>
      <c r="CL72" s="1421"/>
      <c r="CM72" s="1157"/>
      <c r="CN72" s="1157"/>
      <c r="CO72" s="1421"/>
      <c r="CP72" s="1157"/>
      <c r="CQ72" s="1157"/>
      <c r="CR72" s="1421"/>
      <c r="CS72" s="1157"/>
      <c r="CT72" s="1157"/>
      <c r="CU72" s="1421"/>
      <c r="CV72" s="1157"/>
      <c r="CW72" s="1157"/>
      <c r="CX72" s="1421"/>
      <c r="CY72" s="1157">
        <f>+CY80-CY81</f>
        <v>1345.3145461001302</v>
      </c>
      <c r="CZ72" s="1157"/>
      <c r="DA72" s="1421"/>
      <c r="DB72" s="1157"/>
      <c r="DC72" s="1157"/>
      <c r="DD72" s="1421"/>
      <c r="DE72" s="1117"/>
      <c r="DF72" s="1157"/>
      <c r="DG72" s="1421"/>
      <c r="DH72" s="1117"/>
      <c r="DI72" s="1157"/>
      <c r="DJ72" s="1421"/>
      <c r="DK72" s="1117"/>
      <c r="DL72" s="1157"/>
      <c r="DM72" s="1421"/>
      <c r="DN72" s="1117"/>
      <c r="DO72" s="1157"/>
      <c r="DP72" s="1421"/>
      <c r="DQ72" s="1117"/>
      <c r="DR72" s="1157"/>
      <c r="DS72" s="1421"/>
      <c r="DT72" s="1117"/>
      <c r="DU72" s="1157"/>
      <c r="DV72" s="1421"/>
      <c r="DW72" s="1117"/>
      <c r="DX72" s="1157"/>
      <c r="DY72" s="1421"/>
      <c r="DZ72" s="1117"/>
      <c r="EA72" s="1157"/>
      <c r="EB72" s="1421"/>
      <c r="EC72" s="1117"/>
      <c r="ED72" s="1157"/>
      <c r="EE72" s="1421"/>
      <c r="EF72" s="1117"/>
      <c r="EG72" s="1157"/>
      <c r="EH72" s="1421"/>
      <c r="EI72" s="1117"/>
      <c r="EJ72" s="1157"/>
      <c r="EK72" s="1421"/>
      <c r="EL72" s="1117"/>
      <c r="EM72" s="1157"/>
      <c r="EN72" s="1421"/>
      <c r="EO72" s="1117"/>
      <c r="EP72" s="1157"/>
      <c r="EQ72" s="1421"/>
      <c r="ER72" s="1117"/>
      <c r="ES72" s="1157"/>
      <c r="ET72" s="1421"/>
      <c r="EU72" s="1117"/>
      <c r="EV72" s="1157"/>
      <c r="EW72" s="1421"/>
      <c r="EX72" s="1117"/>
      <c r="EY72" s="1157"/>
      <c r="EZ72" s="1421"/>
      <c r="FA72" s="1117"/>
      <c r="FD72"/>
      <c r="FE72"/>
      <c r="FF72"/>
      <c r="FG72"/>
      <c r="FH72"/>
      <c r="FI72"/>
    </row>
    <row r="73" spans="2:169" s="61" customFormat="1">
      <c r="B73" s="1711" t="s">
        <v>331</v>
      </c>
      <c r="D73" s="1658" t="s">
        <v>506</v>
      </c>
      <c r="E73" s="1495">
        <f>+E80+E75</f>
        <v>0</v>
      </c>
      <c r="F73" s="1272">
        <f>+G73-E73</f>
        <v>0</v>
      </c>
      <c r="G73" s="1495">
        <f>+G80+G75</f>
        <v>0</v>
      </c>
      <c r="H73" s="1495">
        <f>+H80+H75</f>
        <v>0</v>
      </c>
      <c r="I73" s="1272">
        <f>+J73-H73</f>
        <v>0</v>
      </c>
      <c r="J73" s="1495">
        <f>+J80+J75</f>
        <v>0</v>
      </c>
      <c r="K73" s="1495">
        <f>+K80+K75</f>
        <v>0</v>
      </c>
      <c r="L73" s="1272">
        <f>+M73-K73</f>
        <v>0</v>
      </c>
      <c r="M73" s="1495">
        <f>+M80+M75</f>
        <v>0</v>
      </c>
      <c r="N73" s="1495">
        <f>+N80+N75</f>
        <v>0</v>
      </c>
      <c r="O73" s="1272">
        <f>+P73-N73</f>
        <v>0</v>
      </c>
      <c r="P73" s="1495">
        <f>+P80+P75</f>
        <v>0</v>
      </c>
      <c r="Q73" s="1495">
        <f>+Q80+Q75</f>
        <v>0</v>
      </c>
      <c r="R73" s="1272">
        <f>+S73-Q73</f>
        <v>0</v>
      </c>
      <c r="S73" s="1495">
        <f>+S80+S75</f>
        <v>0</v>
      </c>
      <c r="T73" s="1495">
        <f>+T80+T75</f>
        <v>0</v>
      </c>
      <c r="U73" s="1272">
        <f>+V73-T73</f>
        <v>0</v>
      </c>
      <c r="V73" s="1495">
        <f>+V80+V75</f>
        <v>0</v>
      </c>
      <c r="W73" s="1495">
        <f>+W80+W75</f>
        <v>0</v>
      </c>
      <c r="X73" s="1272">
        <f>+Y73-W73</f>
        <v>0</v>
      </c>
      <c r="Y73" s="1495">
        <f>+Y80+Y75</f>
        <v>0</v>
      </c>
      <c r="Z73" s="1495">
        <f>+Z80+Z75</f>
        <v>0</v>
      </c>
      <c r="AA73" s="1272">
        <f>+AB73-Z73</f>
        <v>0</v>
      </c>
      <c r="AB73" s="1495">
        <f>+AB80+AB75</f>
        <v>0</v>
      </c>
      <c r="AC73" s="1495">
        <f>+AC80+AC75</f>
        <v>0</v>
      </c>
      <c r="AD73" s="1272">
        <f>+AE73-AC73</f>
        <v>0</v>
      </c>
      <c r="AE73" s="1495">
        <f>+AE80+AE75</f>
        <v>0</v>
      </c>
      <c r="AF73" s="1495">
        <f>+AF80+AF75</f>
        <v>0</v>
      </c>
      <c r="AG73" s="1272">
        <f>+AH73-AF73</f>
        <v>0</v>
      </c>
      <c r="AH73" s="1495">
        <f>+AH80+AH75</f>
        <v>0</v>
      </c>
      <c r="AI73" s="1495">
        <f>+AI80+AI75</f>
        <v>0</v>
      </c>
      <c r="AJ73" s="1272">
        <f>+AK73-AI73</f>
        <v>0</v>
      </c>
      <c r="AK73" s="1495">
        <f>+AK80+AK75</f>
        <v>0</v>
      </c>
      <c r="AL73" s="1495">
        <f>+AL80+AL75</f>
        <v>0</v>
      </c>
      <c r="AM73" s="1495">
        <f>+AN73-AL73</f>
        <v>41.559000000000005</v>
      </c>
      <c r="AN73" s="1495">
        <f>+AN80+AN75</f>
        <v>41.559000000000005</v>
      </c>
      <c r="AO73" s="1495">
        <f>+AO80+AO75</f>
        <v>16.681000000000001</v>
      </c>
      <c r="AP73" s="1495">
        <f>+AQ73-AO73</f>
        <v>31.396999999999995</v>
      </c>
      <c r="AQ73" s="1495">
        <v>48.077999999999996</v>
      </c>
      <c r="AR73" s="1495">
        <v>20.204999999999998</v>
      </c>
      <c r="AS73" s="1495">
        <v>38.247</v>
      </c>
      <c r="AT73" s="1495">
        <v>58.451999999999998</v>
      </c>
      <c r="AU73" s="1495">
        <v>23.713999999999999</v>
      </c>
      <c r="AV73" s="1495">
        <v>45.019000000000005</v>
      </c>
      <c r="AW73" s="1495">
        <v>68.733000000000004</v>
      </c>
      <c r="AX73" s="1495">
        <v>25.812000000000001</v>
      </c>
      <c r="AY73" s="1495">
        <v>51.344000000000008</v>
      </c>
      <c r="AZ73" s="1495">
        <v>77.156000000000006</v>
      </c>
      <c r="BA73" s="1495">
        <v>43.893000000000001</v>
      </c>
      <c r="BB73" s="1495">
        <v>84.707999999999998</v>
      </c>
      <c r="BC73" s="1495">
        <v>128.601</v>
      </c>
      <c r="BD73" s="1495">
        <v>88.569000000000003</v>
      </c>
      <c r="BE73" s="1495">
        <f>+BF73-BD73</f>
        <v>97.512000000000015</v>
      </c>
      <c r="BF73" s="1495">
        <v>186.08100000000002</v>
      </c>
      <c r="BG73" s="1495">
        <v>72.576000000000008</v>
      </c>
      <c r="BH73" s="1495">
        <v>62.692999999999998</v>
      </c>
      <c r="BI73" s="1495">
        <v>135.26900000000001</v>
      </c>
      <c r="BJ73" s="1495">
        <v>54.631</v>
      </c>
      <c r="BK73" s="1495"/>
      <c r="BL73" s="1495"/>
      <c r="BM73" s="1495"/>
      <c r="BN73" s="1272">
        <v>0</v>
      </c>
      <c r="BO73" s="1495">
        <v>666.37600000000009</v>
      </c>
      <c r="BP73" s="1495">
        <v>272.56700000000001</v>
      </c>
      <c r="BQ73" s="1495">
        <v>242.46400000000006</v>
      </c>
      <c r="BR73" s="1495">
        <v>515.03100000000006</v>
      </c>
      <c r="BS73" s="1495">
        <v>390.71299999999997</v>
      </c>
      <c r="BT73" s="1495">
        <v>395.35199999999998</v>
      </c>
      <c r="BU73" s="1495">
        <v>786.06499999999994</v>
      </c>
      <c r="BV73" s="1495">
        <v>499.94499999999999</v>
      </c>
      <c r="BW73" s="1495">
        <v>466.7</v>
      </c>
      <c r="BX73" s="1495">
        <v>966.64499999999998</v>
      </c>
      <c r="BY73" s="1495">
        <v>626.20600000000002</v>
      </c>
      <c r="BZ73" s="1495">
        <v>627.93210510000006</v>
      </c>
      <c r="CA73" s="1495">
        <v>1254.1381051000001</v>
      </c>
      <c r="CB73" s="1495">
        <v>796.12900000000002</v>
      </c>
      <c r="CC73" s="1495">
        <v>560.99799999999993</v>
      </c>
      <c r="CD73" s="1495">
        <v>1357.127</v>
      </c>
      <c r="CE73" s="1495">
        <v>636.05200000000002</v>
      </c>
      <c r="CF73" s="1495">
        <v>547.15862872660966</v>
      </c>
      <c r="CG73" s="1495">
        <v>1183.2106287266097</v>
      </c>
      <c r="CH73" s="1495">
        <v>633.9</v>
      </c>
      <c r="CI73" s="1495">
        <v>615.27241733751464</v>
      </c>
      <c r="CJ73" s="1495">
        <v>1249.1724173375146</v>
      </c>
      <c r="CK73" s="1495">
        <v>788.11024999999995</v>
      </c>
      <c r="CL73" s="1495">
        <v>697.63754137945239</v>
      </c>
      <c r="CM73" s="1495">
        <v>1485.7477913794523</v>
      </c>
      <c r="CN73" s="1495">
        <v>818</v>
      </c>
      <c r="CO73" s="1495">
        <v>819.2</v>
      </c>
      <c r="CP73" s="1495">
        <v>1637.2</v>
      </c>
      <c r="CQ73" s="1495">
        <v>878.3</v>
      </c>
      <c r="CR73" s="1495">
        <v>901.7</v>
      </c>
      <c r="CS73" s="1495">
        <v>1780</v>
      </c>
      <c r="CT73" s="1495">
        <v>809.80000000000007</v>
      </c>
      <c r="CU73" s="1495">
        <v>718.70000000000016</v>
      </c>
      <c r="CV73" s="1495">
        <v>1528.5000000000002</v>
      </c>
      <c r="CW73" s="1495">
        <v>1094.7</v>
      </c>
      <c r="CX73" s="1495">
        <v>684.19999999999982</v>
      </c>
      <c r="CY73" s="1495">
        <v>1778.8999999999999</v>
      </c>
      <c r="CZ73" s="1495">
        <v>1475.2090930720517</v>
      </c>
      <c r="DA73" s="1495">
        <v>905.09090692794803</v>
      </c>
      <c r="DB73" s="1495">
        <v>2380.2999999999997</v>
      </c>
      <c r="DC73" s="1495">
        <v>1553</v>
      </c>
      <c r="DD73" s="1495">
        <v>951</v>
      </c>
      <c r="DE73" s="1496">
        <v>2504</v>
      </c>
      <c r="DF73" s="1495">
        <v>1632.019</v>
      </c>
      <c r="DG73" s="1495">
        <v>1084.5110874999998</v>
      </c>
      <c r="DH73" s="1496">
        <v>2716.5300874999998</v>
      </c>
      <c r="DI73" s="1495">
        <f>IF(DI5="E",Segment!DI82,DI80+DI75)</f>
        <v>2357.8815450000002</v>
      </c>
      <c r="DJ73" s="1495">
        <f>+DK73-DI73</f>
        <v>792.90427624999984</v>
      </c>
      <c r="DK73" s="1496">
        <f>IF(DK5="E",Segment!DK82,DK80+DK75)</f>
        <v>3150.78582125</v>
      </c>
      <c r="DL73" s="1495">
        <f>IF(DL5="E",Segment!DL82,DL80+DL75)</f>
        <v>2231.4235962499997</v>
      </c>
      <c r="DM73" s="1495">
        <f>+DN73-DL73</f>
        <v>850.87640375000046</v>
      </c>
      <c r="DN73" s="1496">
        <f>IF(DN5="E",Segment!DN82,DN80+DN75)</f>
        <v>3082.3</v>
      </c>
      <c r="DO73" s="1495">
        <f>IF(DO5="E",Segment!DO82,DO80+DO75)</f>
        <v>2406.0018085000002</v>
      </c>
      <c r="DP73" s="1495">
        <f>+DQ73-DO73</f>
        <v>1251.2963594942444</v>
      </c>
      <c r="DQ73" s="1496">
        <f>IF(DQ5="E",Segment!DQ82,DQ80+DQ75)</f>
        <v>3657.2981679942445</v>
      </c>
      <c r="DR73" s="1495">
        <f>IF(DR5="E",Segment!DR82,DR80+DR75)</f>
        <v>2794.9791249999998</v>
      </c>
      <c r="DS73" s="1495">
        <f>+DT73-DR73</f>
        <v>1402.0284750000001</v>
      </c>
      <c r="DT73" s="1496">
        <f>IF(DT5="E",Segment!DT82,DT80+DT75)</f>
        <v>4197.0075999999999</v>
      </c>
      <c r="DU73" s="1495">
        <f>IF(DU5="E",Segment!DU82,DU80+DU75)</f>
        <v>2878</v>
      </c>
      <c r="DV73" s="1495">
        <f>+DW73-DU73</f>
        <v>1590</v>
      </c>
      <c r="DW73" s="1496">
        <f>IF(DW5="E",Segment!DW82,DW80+DW75)</f>
        <v>4468</v>
      </c>
      <c r="DX73" s="1495">
        <f>IF(DX5="E",Segment!DX82,DX80+DX75)</f>
        <v>2805</v>
      </c>
      <c r="DY73" s="1495">
        <f>+DZ73-DX73</f>
        <v>2094.5635170371161</v>
      </c>
      <c r="DZ73" s="1496">
        <f>IF(DZ5="E",Segment!DZ82,DZ80+DZ75)</f>
        <v>4899.5635170371161</v>
      </c>
      <c r="EA73" s="1495">
        <f>IF(EA5="E",Segment!EA82,EA80+EA75)</f>
        <v>2950.3539454593069</v>
      </c>
      <c r="EB73" s="1495">
        <f>+EC73-EA73</f>
        <v>2185.984091687114</v>
      </c>
      <c r="EC73" s="1496">
        <f>IF(EC5="E",Segment!EC82,EC80+EC75)</f>
        <v>5136.3380371464209</v>
      </c>
      <c r="ED73" s="1495">
        <f>IF(ED5="E",Segment!ED82,ED80+ED75)</f>
        <v>3178.110718525304</v>
      </c>
      <c r="EE73" s="1495">
        <f>+EF73-ED73</f>
        <v>2349.7668796668804</v>
      </c>
      <c r="EF73" s="1496">
        <f>IF(EF5="E",Segment!EF82,EF80+EF75)</f>
        <v>5527.8775981921845</v>
      </c>
      <c r="EG73" s="1495">
        <f>IF(EG5="E",Segment!EG82,EG80+EG75)</f>
        <v>3421.1972183289045</v>
      </c>
      <c r="EH73" s="1495">
        <f>+EI73-EG73</f>
        <v>2581.1541770167514</v>
      </c>
      <c r="EI73" s="1496">
        <f>IF(EI5="E",Segment!EI82,EI80+EI75)</f>
        <v>6002.3513953456559</v>
      </c>
      <c r="EJ73" s="1495">
        <f>IF(EJ5="E",Segment!EJ82,EJ80+EJ75)</f>
        <v>3686.4680885461776</v>
      </c>
      <c r="EK73" s="1495">
        <f>+EL73-EJ73</f>
        <v>2835.818667115107</v>
      </c>
      <c r="EL73" s="1496">
        <f>IF(EL5="E",Segment!EL82,EL80+EL75)</f>
        <v>6522.2867556612846</v>
      </c>
      <c r="EM73" s="1495">
        <f>IF(EM5="E",Segment!EM82,EM80+EM75)</f>
        <v>3996.3634494536082</v>
      </c>
      <c r="EN73" s="1495">
        <f>+EO73-EM73</f>
        <v>3078.1703118948717</v>
      </c>
      <c r="EO73" s="1496">
        <f>IF(EO5="E",Segment!EO82,EO80+EO75)</f>
        <v>7074.5337613484799</v>
      </c>
      <c r="EP73" s="1495">
        <f>IF(EP5="E",Segment!EP82,EP80+EP75)</f>
        <v>4287.067593767214</v>
      </c>
      <c r="EQ73" s="1495">
        <f>+ER73-EP73</f>
        <v>3349.8237075379093</v>
      </c>
      <c r="ER73" s="1496">
        <f>IF(ER5="E",Segment!ER82,ER80+ER75)</f>
        <v>7636.8913013051233</v>
      </c>
      <c r="ES73" s="1495">
        <f>IF(ES5="E",Segment!ES82,ES80+ES75)</f>
        <v>4561.2661860576854</v>
      </c>
      <c r="ET73" s="1495">
        <f>+EU73-ES73</f>
        <v>3597.0869109984424</v>
      </c>
      <c r="EU73" s="1496">
        <f>IF(EU5="E",Segment!EU82,EU80+EU75)</f>
        <v>8158.3530970561278</v>
      </c>
      <c r="EV73" s="1495">
        <f>IF(EV5="E",Segment!EV82,EV80+EV75)</f>
        <v>4808.607402543711</v>
      </c>
      <c r="EW73" s="1495">
        <f>+EX73-EV73</f>
        <v>3812.8395954919697</v>
      </c>
      <c r="EX73" s="1496">
        <f>IF(EX5="E",Segment!EX82,EX80+EX75)</f>
        <v>8621.4469980356807</v>
      </c>
      <c r="EY73" s="1495">
        <f>IF(EY5="E",Segment!EY82,EY80+EY75)</f>
        <v>5071.3996512460099</v>
      </c>
      <c r="EZ73" s="1495">
        <f>+FA73-EY73</f>
        <v>4042.7975523316682</v>
      </c>
      <c r="FA73" s="1496">
        <f>IF(FA5="E",Segment!FA82,FA80+FA75)</f>
        <v>9114.197203577678</v>
      </c>
      <c r="FD73"/>
      <c r="FE73"/>
      <c r="FF73"/>
      <c r="FG73"/>
      <c r="FH73"/>
      <c r="FI73"/>
      <c r="FJ73" s="33"/>
      <c r="FK73" s="33"/>
      <c r="FL73" s="33"/>
      <c r="FM73" s="33"/>
    </row>
    <row r="74" spans="2:169" s="52" customFormat="1">
      <c r="B74" s="52" t="s">
        <v>133</v>
      </c>
      <c r="D74" s="1121" t="s">
        <v>507</v>
      </c>
      <c r="E74" s="1122"/>
      <c r="F74" s="1122"/>
      <c r="G74" s="1122"/>
      <c r="H74" s="1122"/>
      <c r="I74" s="1122"/>
      <c r="J74" s="1122"/>
      <c r="K74" s="1122"/>
      <c r="L74" s="1122"/>
      <c r="M74" s="1122"/>
      <c r="N74" s="1122"/>
      <c r="O74" s="1122"/>
      <c r="P74" s="1122"/>
      <c r="Q74" s="1122"/>
      <c r="R74" s="1122"/>
      <c r="S74" s="1122"/>
      <c r="T74" s="1122"/>
      <c r="U74" s="1122"/>
      <c r="V74" s="1122"/>
      <c r="W74" s="1122"/>
      <c r="X74" s="1122"/>
      <c r="Y74" s="1122"/>
      <c r="Z74" s="1122"/>
      <c r="AA74" s="1122"/>
      <c r="AB74" s="1122"/>
      <c r="AC74" s="1122"/>
      <c r="AD74" s="1122"/>
      <c r="AE74" s="1122"/>
      <c r="AF74" s="1122"/>
      <c r="AG74" s="1122"/>
      <c r="AH74" s="1122"/>
      <c r="AI74" s="1122"/>
      <c r="AJ74" s="1122"/>
      <c r="AK74" s="1122"/>
      <c r="AL74" s="1122"/>
      <c r="AM74" s="1122">
        <f t="shared" ref="AM74:AZ74" si="254">+AM73/AM30</f>
        <v>0.14784313167462348</v>
      </c>
      <c r="AN74" s="1122">
        <f t="shared" si="254"/>
        <v>0.14784313167462348</v>
      </c>
      <c r="AO74" s="1122">
        <f t="shared" si="254"/>
        <v>0.1268546050480239</v>
      </c>
      <c r="AP74" s="1122">
        <f t="shared" si="254"/>
        <v>0.18095627816905469</v>
      </c>
      <c r="AQ74" s="1122">
        <f t="shared" si="254"/>
        <v>0.15763123641406807</v>
      </c>
      <c r="AR74" s="1122">
        <f t="shared" si="254"/>
        <v>0.12925905549087094</v>
      </c>
      <c r="AS74" s="1122">
        <f t="shared" si="254"/>
        <v>0.19397292787698364</v>
      </c>
      <c r="AT74" s="1122">
        <f t="shared" si="254"/>
        <v>0.16535640228464091</v>
      </c>
      <c r="AU74" s="1122">
        <f t="shared" si="254"/>
        <v>0.1251279561835815</v>
      </c>
      <c r="AV74" s="1122">
        <f t="shared" si="254"/>
        <v>0.20101985684496304</v>
      </c>
      <c r="AW74" s="1122">
        <f t="shared" si="254"/>
        <v>0.1662341494324874</v>
      </c>
      <c r="AX74" s="1122">
        <f t="shared" si="254"/>
        <v>0.12347049087795499</v>
      </c>
      <c r="AY74" s="1122">
        <f t="shared" si="254"/>
        <v>0.21256582651607991</v>
      </c>
      <c r="AZ74" s="1122">
        <f t="shared" si="254"/>
        <v>0.17123023182526331</v>
      </c>
      <c r="BA74" s="1122"/>
      <c r="BB74" s="1122"/>
      <c r="BC74" s="1122">
        <f t="shared" ref="BC74:BJ74" si="255">+BC73/BC30</f>
        <v>0.15044149438948837</v>
      </c>
      <c r="BD74" s="1122">
        <f t="shared" si="255"/>
        <v>0.15016658047998915</v>
      </c>
      <c r="BE74" s="1122">
        <f t="shared" si="255"/>
        <v>0.12824164855065318</v>
      </c>
      <c r="BF74" s="1122">
        <f t="shared" si="255"/>
        <v>0.13781919770816084</v>
      </c>
      <c r="BG74" s="1122">
        <f t="shared" si="255"/>
        <v>0.11342622981564489</v>
      </c>
      <c r="BH74" s="1122">
        <f t="shared" si="255"/>
        <v>9.4918636410433424E-2</v>
      </c>
      <c r="BI74" s="1122">
        <f t="shared" si="255"/>
        <v>0.10402555016211094</v>
      </c>
      <c r="BJ74" s="1122">
        <f t="shared" si="255"/>
        <v>8.5879164583785278E-2</v>
      </c>
      <c r="BK74" s="1122"/>
      <c r="BL74" s="1122"/>
      <c r="BM74" s="1122"/>
      <c r="BN74" s="1122">
        <f>+BN73/BN30</f>
        <v>0</v>
      </c>
      <c r="BO74" s="1122">
        <f>+BO73/BO30</f>
        <v>0.24232436123921522</v>
      </c>
      <c r="BP74" s="1122"/>
      <c r="BQ74" s="1122"/>
      <c r="BR74" s="1122"/>
      <c r="BS74" s="1122"/>
      <c r="BT74" s="1122"/>
      <c r="BU74" s="1122"/>
      <c r="BV74" s="1122">
        <f t="shared" ref="BV74:DA74" si="256">+BV73/BV30</f>
        <v>0.32356361931418015</v>
      </c>
      <c r="BW74" s="1122">
        <f t="shared" si="256"/>
        <v>0.27406530249520911</v>
      </c>
      <c r="BX74" s="1122">
        <f t="shared" si="256"/>
        <v>0.29761237684729064</v>
      </c>
      <c r="BY74" s="1122">
        <f t="shared" si="256"/>
        <v>0.34813741266901543</v>
      </c>
      <c r="BZ74" s="1122">
        <f t="shared" si="256"/>
        <v>0.36771603636255806</v>
      </c>
      <c r="CA74" s="1122">
        <f t="shared" si="256"/>
        <v>0.35767245013123378</v>
      </c>
      <c r="CB74" s="1122">
        <f t="shared" si="256"/>
        <v>0.38064440641796116</v>
      </c>
      <c r="CC74" s="1122">
        <f t="shared" si="256"/>
        <v>0.28461621466842624</v>
      </c>
      <c r="CD74" s="1122">
        <f t="shared" si="256"/>
        <v>0.33405398942960274</v>
      </c>
      <c r="CE74" s="1122">
        <f t="shared" si="256"/>
        <v>0.31107531099721514</v>
      </c>
      <c r="CF74" s="1122">
        <f t="shared" si="256"/>
        <v>0.24909252544915353</v>
      </c>
      <c r="CG74" s="1122">
        <f t="shared" si="256"/>
        <v>0.27897383131870152</v>
      </c>
      <c r="CH74" s="1122">
        <f t="shared" si="256"/>
        <v>0.27487826965041368</v>
      </c>
      <c r="CI74" s="1122">
        <f t="shared" si="256"/>
        <v>0.26541089151581282</v>
      </c>
      <c r="CJ74" s="1122">
        <f t="shared" si="256"/>
        <v>0.27013221835467305</v>
      </c>
      <c r="CK74" s="1122">
        <f t="shared" si="256"/>
        <v>0.31621805159892469</v>
      </c>
      <c r="CL74" s="1122">
        <f t="shared" si="256"/>
        <v>0.28265032873326795</v>
      </c>
      <c r="CM74" s="1122">
        <f t="shared" si="256"/>
        <v>0.29951573256313918</v>
      </c>
      <c r="CN74" s="1122">
        <f t="shared" si="256"/>
        <v>0.31776862714629789</v>
      </c>
      <c r="CO74" s="1122">
        <f t="shared" si="256"/>
        <v>0.29674708396725363</v>
      </c>
      <c r="CP74" s="1122">
        <f t="shared" si="256"/>
        <v>0.30689060508360205</v>
      </c>
      <c r="CQ74" s="1122">
        <f t="shared" si="256"/>
        <v>0.30972952004795989</v>
      </c>
      <c r="CR74" s="1122">
        <f t="shared" si="256"/>
        <v>0.3267265743894483</v>
      </c>
      <c r="CS74" s="1122">
        <f t="shared" si="256"/>
        <v>0.31811276918952719</v>
      </c>
      <c r="CT74" s="1122">
        <f t="shared" si="256"/>
        <v>0.2582511102150809</v>
      </c>
      <c r="CU74" s="1122">
        <f t="shared" si="256"/>
        <v>0.24615607779049908</v>
      </c>
      <c r="CV74" s="1122">
        <f t="shared" si="256"/>
        <v>0.25241932820292623</v>
      </c>
      <c r="CW74" s="1122">
        <f t="shared" si="256"/>
        <v>0.30438772105438777</v>
      </c>
      <c r="CX74" s="1122">
        <f t="shared" si="256"/>
        <v>0.21802307054999676</v>
      </c>
      <c r="CY74" s="1122">
        <f t="shared" si="256"/>
        <v>0.26414337896831291</v>
      </c>
      <c r="CZ74" s="1122">
        <f t="shared" si="256"/>
        <v>0.36161247148792647</v>
      </c>
      <c r="DA74" s="1122">
        <f t="shared" si="256"/>
        <v>0.24555029490381103</v>
      </c>
      <c r="DB74" s="1122">
        <f t="shared" ref="DB74:EC74" si="257">+DB73/DB30</f>
        <v>0.30652243899298176</v>
      </c>
      <c r="DC74" s="1122">
        <f t="shared" si="257"/>
        <v>0.3516279491011185</v>
      </c>
      <c r="DD74" s="1122">
        <f t="shared" si="257"/>
        <v>0.23980633936001203</v>
      </c>
      <c r="DE74" s="1123">
        <f t="shared" si="257"/>
        <v>0.2987246936998198</v>
      </c>
      <c r="DF74" s="1122">
        <f t="shared" si="257"/>
        <v>0.34101760366471007</v>
      </c>
      <c r="DG74" s="1122">
        <f t="shared" si="257"/>
        <v>0.25992057693601528</v>
      </c>
      <c r="DH74" s="1123">
        <f t="shared" si="257"/>
        <v>0.30324496337974816</v>
      </c>
      <c r="DI74" s="1122">
        <f t="shared" si="257"/>
        <v>0.41502172740934057</v>
      </c>
      <c r="DJ74" s="1122">
        <f t="shared" si="257"/>
        <v>0.17679198965382958</v>
      </c>
      <c r="DK74" s="1123">
        <f t="shared" si="257"/>
        <v>0.3099245149866417</v>
      </c>
      <c r="DL74" s="1122">
        <f t="shared" si="257"/>
        <v>0.37813688909694798</v>
      </c>
      <c r="DM74" s="1122">
        <f t="shared" si="257"/>
        <v>0.19239715178066716</v>
      </c>
      <c r="DN74" s="1123">
        <f t="shared" si="257"/>
        <v>0.29856832887752333</v>
      </c>
      <c r="DO74" s="1122">
        <f t="shared" si="257"/>
        <v>0.34587875686438002</v>
      </c>
      <c r="DP74" s="1122">
        <f t="shared" si="257"/>
        <v>0.21383101942893543</v>
      </c>
      <c r="DQ74" s="1123">
        <f t="shared" si="257"/>
        <v>0.28554795190460996</v>
      </c>
      <c r="DR74" s="1122">
        <f t="shared" si="257"/>
        <v>0.3581011050608584</v>
      </c>
      <c r="DS74" s="1122">
        <f t="shared" si="257"/>
        <v>0.21642921812287744</v>
      </c>
      <c r="DT74" s="1123">
        <f t="shared" si="257"/>
        <v>0.29384636280893367</v>
      </c>
      <c r="DU74" s="1122">
        <f t="shared" si="257"/>
        <v>0.34973872888564833</v>
      </c>
      <c r="DV74" s="1122">
        <f>+DV73/DV30</f>
        <v>0.23272833723653397</v>
      </c>
      <c r="DW74" s="1123">
        <f>+DW73/DW30</f>
        <v>0.29666024832348448</v>
      </c>
      <c r="DX74" s="1122">
        <f t="shared" ref="DX74" si="258">+DX73/DX30</f>
        <v>0.34663865546218486</v>
      </c>
      <c r="DY74" s="1122">
        <f t="shared" si="257"/>
        <v>0.2836168460936983</v>
      </c>
      <c r="DZ74" s="1123">
        <f t="shared" si="257"/>
        <v>0.31656679190826381</v>
      </c>
      <c r="EA74" s="1122">
        <f t="shared" si="257"/>
        <v>0.34132010459220602</v>
      </c>
      <c r="EB74" s="1122">
        <f t="shared" si="257"/>
        <v>0.28422004216132429</v>
      </c>
      <c r="EC74" s="1123">
        <f t="shared" si="257"/>
        <v>0.31443531743324099</v>
      </c>
      <c r="ED74" s="1122">
        <f t="shared" ref="ED74:EL74" si="259">+ED73/ED30</f>
        <v>0.35146617097490745</v>
      </c>
      <c r="EE74" s="1122">
        <f t="shared" si="259"/>
        <v>0.28712843475338645</v>
      </c>
      <c r="EF74" s="1123">
        <f t="shared" si="259"/>
        <v>0.32090098886077473</v>
      </c>
      <c r="EG74" s="1122">
        <f t="shared" si="259"/>
        <v>0.35745917596431703</v>
      </c>
      <c r="EH74" s="1122">
        <f t="shared" si="259"/>
        <v>0.29568257489952643</v>
      </c>
      <c r="EI74" s="1123">
        <f t="shared" si="259"/>
        <v>0.32799103234200949</v>
      </c>
      <c r="EJ74" s="1122">
        <f t="shared" si="259"/>
        <v>0.36365070641545721</v>
      </c>
      <c r="EK74" s="1122">
        <f t="shared" si="259"/>
        <v>0.30415425435246174</v>
      </c>
      <c r="EL74" s="1123">
        <f t="shared" si="259"/>
        <v>0.33514641078430257</v>
      </c>
      <c r="EM74" s="1122">
        <f t="shared" ref="EM74:ER74" si="260">+EM73/EM30</f>
        <v>0.37372483628624614</v>
      </c>
      <c r="EN74" s="1122">
        <f t="shared" si="260"/>
        <v>0.31262313186653817</v>
      </c>
      <c r="EO74" s="1123">
        <f t="shared" si="260"/>
        <v>0.34443392037681175</v>
      </c>
      <c r="EP74" s="1122">
        <f t="shared" si="260"/>
        <v>0.38033148210432727</v>
      </c>
      <c r="EQ74" s="1122">
        <f t="shared" si="260"/>
        <v>0.32119533332823391</v>
      </c>
      <c r="ER74" s="1123">
        <f t="shared" si="260"/>
        <v>0.35191157188111033</v>
      </c>
      <c r="ES74" s="1122">
        <f t="shared" ref="ES74:FA74" si="261">+ES73/ES30</f>
        <v>0.3833697132759184</v>
      </c>
      <c r="ET74" s="1122">
        <f t="shared" si="261"/>
        <v>0.32553276287164995</v>
      </c>
      <c r="EU74" s="1123">
        <f t="shared" si="261"/>
        <v>0.35551985586471829</v>
      </c>
      <c r="EV74" s="1122">
        <f t="shared" si="261"/>
        <v>0.3827728475913918</v>
      </c>
      <c r="EW74" s="1122">
        <f t="shared" si="261"/>
        <v>0.32558901067438945</v>
      </c>
      <c r="EX74" s="1123">
        <f t="shared" si="261"/>
        <v>0.35518448569374378</v>
      </c>
      <c r="EY74" s="1122">
        <f t="shared" si="261"/>
        <v>0.38220846265807229</v>
      </c>
      <c r="EZ74" s="1122">
        <f t="shared" si="261"/>
        <v>0.32566021883783586</v>
      </c>
      <c r="FA74" s="1123">
        <f t="shared" si="261"/>
        <v>0.35487507377664224</v>
      </c>
      <c r="FD74"/>
      <c r="FE74"/>
      <c r="FF74"/>
      <c r="FG74"/>
      <c r="FH74"/>
      <c r="FI74"/>
    </row>
    <row r="75" spans="2:169" s="33" customFormat="1">
      <c r="B75" s="33" t="s">
        <v>134</v>
      </c>
      <c r="D75" s="2" t="s">
        <v>506</v>
      </c>
      <c r="E75" s="53">
        <f>+-(E76-E77-E78)</f>
        <v>0</v>
      </c>
      <c r="F75" s="32">
        <f>+G75-E75</f>
        <v>0</v>
      </c>
      <c r="G75" s="53">
        <f>+-(G76-G77-G78)</f>
        <v>0</v>
      </c>
      <c r="H75" s="53">
        <f>+-(H76-H77-H78)</f>
        <v>0</v>
      </c>
      <c r="I75" s="32">
        <f>+J75-H75</f>
        <v>0</v>
      </c>
      <c r="J75" s="53">
        <f>+-(J76-J77-J78)</f>
        <v>0</v>
      </c>
      <c r="K75" s="53">
        <f>+-(K76-K77-K78)</f>
        <v>0</v>
      </c>
      <c r="L75" s="32">
        <f>+M75-K75</f>
        <v>0</v>
      </c>
      <c r="M75" s="53">
        <f>+-(M76-M77-M78)</f>
        <v>0</v>
      </c>
      <c r="N75" s="53">
        <f>+-(N76-N77-N78)</f>
        <v>0</v>
      </c>
      <c r="O75" s="32">
        <f>+P75-N75</f>
        <v>0</v>
      </c>
      <c r="P75" s="53">
        <f>+-(P76-P77-P78)</f>
        <v>0</v>
      </c>
      <c r="Q75" s="53">
        <f>+-(Q76-Q77-Q78)</f>
        <v>0</v>
      </c>
      <c r="R75" s="32">
        <f>+S75-Q75</f>
        <v>0</v>
      </c>
      <c r="S75" s="53">
        <f>+-(S76-S77-S78)</f>
        <v>0</v>
      </c>
      <c r="T75" s="53">
        <f>+-(T76-T77-T78)</f>
        <v>0</v>
      </c>
      <c r="U75" s="32">
        <f>+V75-T75</f>
        <v>0</v>
      </c>
      <c r="V75" s="53">
        <f>+-(V76-V77-V78)</f>
        <v>0</v>
      </c>
      <c r="W75" s="53">
        <f>+-(W76-W77-W78)</f>
        <v>0</v>
      </c>
      <c r="X75" s="32">
        <f>+Y75-W75</f>
        <v>0</v>
      </c>
      <c r="Y75" s="53">
        <f>+-(Y76-Y77-Y78)</f>
        <v>0</v>
      </c>
      <c r="Z75" s="53">
        <f>+-(Z76-Z77-Z78)</f>
        <v>0</v>
      </c>
      <c r="AA75" s="32">
        <f>+AB75-Z75</f>
        <v>0</v>
      </c>
      <c r="AB75" s="53">
        <f>+-(AB76-AB77-AB78)</f>
        <v>0</v>
      </c>
      <c r="AC75" s="53">
        <f>+-(AC76-AC77-AC78)</f>
        <v>0</v>
      </c>
      <c r="AD75" s="32">
        <f>+AE75-AC75</f>
        <v>0</v>
      </c>
      <c r="AE75" s="53">
        <f>+-(AE76-AE77-AE78)</f>
        <v>0</v>
      </c>
      <c r="AF75" s="53">
        <f>+-(AF76-AF77-AF78)</f>
        <v>0</v>
      </c>
      <c r="AG75" s="32">
        <f>+AH75-AF75</f>
        <v>0</v>
      </c>
      <c r="AH75" s="53">
        <f>+-(AH76-AH77-AH78)</f>
        <v>0</v>
      </c>
      <c r="AI75" s="53">
        <f>+-(AI76-AI77-AI78)</f>
        <v>0</v>
      </c>
      <c r="AJ75" s="32">
        <f>+AK75-AI75</f>
        <v>0</v>
      </c>
      <c r="AK75" s="53">
        <f>+-(AK76-AK77-AK78)</f>
        <v>0</v>
      </c>
      <c r="AL75" s="53">
        <f>+-(AL76-AL77-AL78)</f>
        <v>0</v>
      </c>
      <c r="AM75" s="32">
        <f>+AN75-AL75</f>
        <v>0.56599999999999984</v>
      </c>
      <c r="AN75" s="53">
        <f>+-(AN76-AN77-AN78)</f>
        <v>0.56599999999999984</v>
      </c>
      <c r="AO75" s="53">
        <f>+-(AO76-AO77-AO78)</f>
        <v>0</v>
      </c>
      <c r="AP75" s="32">
        <f>+AQ75-AO75</f>
        <v>-1.9260000000000002</v>
      </c>
      <c r="AQ75" s="53">
        <f>+-(AQ76-AQ77-AQ78)</f>
        <v>-1.9260000000000002</v>
      </c>
      <c r="AR75" s="53">
        <f>+-(AR76-AR77-AR78)</f>
        <v>0</v>
      </c>
      <c r="AS75" s="32">
        <f>+AT75-AR75</f>
        <v>-2.4770000000000003</v>
      </c>
      <c r="AT75" s="53">
        <f>+-(AT76-AT77-AT78)</f>
        <v>-2.4770000000000003</v>
      </c>
      <c r="AU75" s="53">
        <f>+-(AU76-AU77-AU78)</f>
        <v>-0.78299999999999992</v>
      </c>
      <c r="AV75" s="32">
        <f>+AW75-AU75</f>
        <v>-0.77600000000000002</v>
      </c>
      <c r="AW75" s="53">
        <f>+-(AW76-AW77-AW78)</f>
        <v>-1.5589999999999999</v>
      </c>
      <c r="AX75" s="53">
        <f>+-(AX76-AX77-AX78)</f>
        <v>-1.7000000000000002</v>
      </c>
      <c r="AY75" s="32">
        <f>+AZ75-AX75</f>
        <v>-1.7189999999999999</v>
      </c>
      <c r="AZ75" s="53">
        <f>+-(AZ76-AZ77-AZ78)</f>
        <v>-3.419</v>
      </c>
      <c r="BA75" s="53">
        <f>+-(BA76-BA77-BA78)</f>
        <v>5.806</v>
      </c>
      <c r="BB75" s="32">
        <f>+BC75-BA75</f>
        <v>16.651</v>
      </c>
      <c r="BC75" s="53">
        <f>+-(BC76-BC77-BC78)</f>
        <v>22.457000000000001</v>
      </c>
      <c r="BD75" s="53">
        <f>+-(BD76-BD77-BD78)</f>
        <v>15.166</v>
      </c>
      <c r="BE75" s="32">
        <f>+BF75-BD75</f>
        <v>14.462</v>
      </c>
      <c r="BF75" s="53">
        <f>+-(BF76-BF77-BF78)</f>
        <v>29.628</v>
      </c>
      <c r="BG75" s="53">
        <f>+-(BG76-BG77-BG78)</f>
        <v>15.793000000000001</v>
      </c>
      <c r="BH75" s="32">
        <f>+BI75-BG75</f>
        <v>17.744</v>
      </c>
      <c r="BI75" s="53">
        <f>+-(BI76-BI77-BI78)</f>
        <v>33.536999999999999</v>
      </c>
      <c r="BJ75" s="53">
        <f>+-(BJ76-BJ77-BJ78)</f>
        <v>9.375</v>
      </c>
      <c r="BK75" s="32">
        <f>+BL75-BJ75</f>
        <v>4.827</v>
      </c>
      <c r="BL75" s="53">
        <f>+-(BL76-BL77-BL78)</f>
        <v>14.202</v>
      </c>
      <c r="BM75" s="53">
        <f>+-(BM76-BM77-BM78)</f>
        <v>14.596999999999998</v>
      </c>
      <c r="BN75" s="32">
        <f>+BO75-BM75</f>
        <v>9.8390000000000022</v>
      </c>
      <c r="BO75" s="53">
        <f>+-(BO76-BO77-BO78)</f>
        <v>24.436</v>
      </c>
      <c r="BP75" s="53">
        <f>+-(BP76-BP77-BP78)</f>
        <v>20.634999999999998</v>
      </c>
      <c r="BQ75" s="32">
        <f>+BR75-BP75</f>
        <v>-4.5839999999999961</v>
      </c>
      <c r="BR75" s="53">
        <f>+-(BR76-BR77-BR78)</f>
        <v>16.051000000000002</v>
      </c>
      <c r="BS75" s="53">
        <f>+-(BS76-BS77-BS78)</f>
        <v>3.777000000000001</v>
      </c>
      <c r="BT75" s="32">
        <f>+BU75-BS75</f>
        <v>8.2289999999999992</v>
      </c>
      <c r="BU75" s="53">
        <f>+-(BU76-BU77-BU78)</f>
        <v>12.006</v>
      </c>
      <c r="BV75" s="53">
        <f>+-(BV76-BV77-BV78)</f>
        <v>8.8509999999999991</v>
      </c>
      <c r="BW75" s="32">
        <f>+BX75-BV75</f>
        <v>5.7700000000000031</v>
      </c>
      <c r="BX75" s="53">
        <f>+-(BX76-BX77-BX78)</f>
        <v>14.621000000000002</v>
      </c>
      <c r="BY75" s="53">
        <f>+-(BY76-BY77-BY78)</f>
        <v>-13.64</v>
      </c>
      <c r="BZ75" s="32">
        <f>+CA75-BY75</f>
        <v>24.069105099999994</v>
      </c>
      <c r="CA75" s="53">
        <f>+-(CA76-CA77-CA78)</f>
        <v>10.429105099999994</v>
      </c>
      <c r="CB75" s="53">
        <f>+-(CB76-CB77-CB78)</f>
        <v>-15.215</v>
      </c>
      <c r="CC75" s="32">
        <f>+CD75-CB75</f>
        <v>-7.1129999999999995</v>
      </c>
      <c r="CD75" s="53">
        <f>+-(CD76-CD77-CD78)</f>
        <v>-22.327999999999999</v>
      </c>
      <c r="CE75" s="53">
        <f>+-(CE76-CE77-CE78)</f>
        <v>-10.936999999999999</v>
      </c>
      <c r="CF75" s="32">
        <f>+CG75-CE75</f>
        <v>-3.9713712733903073</v>
      </c>
      <c r="CG75" s="53">
        <f>+-(CG76-CG77-CG78)</f>
        <v>-14.908371273390307</v>
      </c>
      <c r="CH75" s="53">
        <f>+-(CH76-CH77-CH78)</f>
        <v>0</v>
      </c>
      <c r="CI75" s="32">
        <f>+CJ75-CH75</f>
        <v>-20.9627075</v>
      </c>
      <c r="CJ75" s="53">
        <f>+-(CJ76-CJ77-CJ78)</f>
        <v>-20.9627075</v>
      </c>
      <c r="CK75" s="53">
        <f>+-(CK76-CK77-CK78)</f>
        <v>12.710250000000002</v>
      </c>
      <c r="CL75" s="32">
        <f>+CM75-CK75</f>
        <v>5.6375413794522515</v>
      </c>
      <c r="CM75" s="53">
        <f>+-(CM76-CM77-CM78)</f>
        <v>18.347791379452254</v>
      </c>
      <c r="CN75" s="53">
        <f>+-(CN76-CN77-CN78)</f>
        <v>15.60000000000001</v>
      </c>
      <c r="CO75" s="32">
        <f>+CP75-CN75</f>
        <v>17.29999999999999</v>
      </c>
      <c r="CP75" s="53">
        <f>+-(CP76-CP77-CP78)</f>
        <v>32.9</v>
      </c>
      <c r="CQ75" s="53">
        <f>+-(CQ76-CQ77-CQ78)</f>
        <v>21.300000000000004</v>
      </c>
      <c r="CR75" s="32">
        <f>+CS75-CQ75</f>
        <v>22.699999999999996</v>
      </c>
      <c r="CS75" s="53">
        <f>+-(CS76-CS77-CS78)</f>
        <v>44</v>
      </c>
      <c r="CT75" s="53">
        <f>+-(CT76-CT77-CT78)</f>
        <v>27</v>
      </c>
      <c r="CU75" s="32">
        <f>+CV75-CT75</f>
        <v>30.700000000000003</v>
      </c>
      <c r="CV75" s="53">
        <f>+-(CV76-CV77-CV78)</f>
        <v>57.7</v>
      </c>
      <c r="CW75" s="53">
        <f>+-(CW76-CW77-CW78)</f>
        <v>38.199999999999996</v>
      </c>
      <c r="CX75" s="32">
        <f>+CY75-CW75</f>
        <v>40.899999999999984</v>
      </c>
      <c r="CY75" s="53">
        <f>+-(CY76-CY77-CY78)</f>
        <v>79.09999999999998</v>
      </c>
      <c r="CZ75" s="53">
        <f>+-(CZ76-CZ77-CZ78)</f>
        <v>51.109093072051877</v>
      </c>
      <c r="DA75" s="32">
        <f>+DB75-CZ75</f>
        <v>47.990906927948132</v>
      </c>
      <c r="DB75" s="53">
        <f>+-(DB76-DB77-DB78)</f>
        <v>99.100000000000009</v>
      </c>
      <c r="DC75" s="53">
        <f>+-(DC76-DC77-DC78)</f>
        <v>92.6</v>
      </c>
      <c r="DD75" s="32">
        <f>+DE75-DC75</f>
        <v>70.299999999999955</v>
      </c>
      <c r="DE75" s="1088">
        <f>+-(DE76-DE77-DE78)</f>
        <v>162.89999999999995</v>
      </c>
      <c r="DF75" s="53">
        <f>+-(DF76-DF77-DF78)</f>
        <v>70.718999999999951</v>
      </c>
      <c r="DG75" s="32">
        <f>+DH75-DF75</f>
        <v>73.111087499999982</v>
      </c>
      <c r="DH75" s="1088">
        <f>+-(DH76-DH77-DH78)</f>
        <v>143.83008749999993</v>
      </c>
      <c r="DI75" s="53">
        <f>+-(DI76-DI77-DI78)</f>
        <v>106.981545</v>
      </c>
      <c r="DJ75" s="32">
        <f>+DK75-DI75</f>
        <v>59.904276249999995</v>
      </c>
      <c r="DK75" s="1088">
        <f>+-(DK76-DK77-DK78)</f>
        <v>166.88582124999999</v>
      </c>
      <c r="DL75" s="53">
        <f>+-(DL76-DL77-DL78)</f>
        <v>70.323596249999994</v>
      </c>
      <c r="DM75" s="32">
        <f>+DN75-DL75</f>
        <v>77.476403749999989</v>
      </c>
      <c r="DN75" s="1088">
        <f>+-(DN76-DN77-DN78)</f>
        <v>147.79999999999998</v>
      </c>
      <c r="DO75" s="53">
        <f>+-(DO76-DO77-DO78)</f>
        <v>171.00180849999998</v>
      </c>
      <c r="DP75" s="32">
        <f>+DQ75-DO75</f>
        <v>235.29635949424443</v>
      </c>
      <c r="DQ75" s="1088">
        <f>+-(DQ76-DQ77-DQ78)</f>
        <v>406.29816799424441</v>
      </c>
      <c r="DR75" s="53">
        <f>+-(DR76-DR77-DR78)</f>
        <v>233.97912500000001</v>
      </c>
      <c r="DS75" s="32">
        <f>+DT75-DR75</f>
        <v>203.02847500000001</v>
      </c>
      <c r="DT75" s="1088">
        <f>+-(DT76-DT77-DT78)</f>
        <v>437.00760000000002</v>
      </c>
      <c r="DU75" s="53">
        <f>+-(DU76-DU77-DU78)</f>
        <v>222</v>
      </c>
      <c r="DV75" s="32">
        <f>+DW75-DU75</f>
        <v>188</v>
      </c>
      <c r="DW75" s="1088">
        <f>+-(DW76-DW77-DW78)</f>
        <v>410</v>
      </c>
      <c r="DX75" s="53">
        <f>+-(DX76-DX77-DX78)</f>
        <v>197</v>
      </c>
      <c r="DY75" s="32">
        <f>+DZ75-DX75</f>
        <v>197</v>
      </c>
      <c r="DZ75" s="1088">
        <f>+-(DZ76-DZ77-DZ78)</f>
        <v>394</v>
      </c>
      <c r="EA75" s="53">
        <f>+-(EA76-EA77-EA78)</f>
        <v>193.11355319632986</v>
      </c>
      <c r="EB75" s="32">
        <f>+EC75-EA75</f>
        <v>193.03312106910562</v>
      </c>
      <c r="EC75" s="1088">
        <f>+-(EC76-EC77-EC78)</f>
        <v>386.14667426543548</v>
      </c>
      <c r="ED75" s="53">
        <f>+-(ED76-ED77-ED78)</f>
        <v>189.34759506810892</v>
      </c>
      <c r="EE75" s="32">
        <f>+EF75-ED75</f>
        <v>187.9909211682465</v>
      </c>
      <c r="EF75" s="1088">
        <f>+-(EF76-EF77-EF78)</f>
        <v>377.33851623635542</v>
      </c>
      <c r="EG75" s="53">
        <f>+-(EG76-EG77-EG78)</f>
        <v>184.1479938715558</v>
      </c>
      <c r="EH75" s="32">
        <f>+EI75-EG75</f>
        <v>180.09281591569476</v>
      </c>
      <c r="EI75" s="1088">
        <f>+-(EI76-EI77-EI78)</f>
        <v>364.24080978725056</v>
      </c>
      <c r="EJ75" s="53">
        <f>+-(EJ76-EJ77-EJ78)</f>
        <v>168.85836858885958</v>
      </c>
      <c r="EK75" s="32">
        <f>+EL75-EJ75</f>
        <v>163.45563084747434</v>
      </c>
      <c r="EL75" s="1088">
        <f>+-(EL76-EL77-EL78)</f>
        <v>332.31399943633392</v>
      </c>
      <c r="EM75" s="53">
        <f>+-(EM76-EM77-EM78)</f>
        <v>149.43238671355715</v>
      </c>
      <c r="EN75" s="32">
        <f>+EO75-EM75</f>
        <v>142.1627525135047</v>
      </c>
      <c r="EO75" s="1088">
        <f>+-(EO76-EO77-EO78)</f>
        <v>291.59513922706185</v>
      </c>
      <c r="EP75" s="53">
        <f>+-(EP76-EP77-EP78)</f>
        <v>124.44654075909796</v>
      </c>
      <c r="EQ75" s="32">
        <f>+ER75-EP75</f>
        <v>116.30295721268038</v>
      </c>
      <c r="ER75" s="1088">
        <f>+-(ER76-ER77-ER78)</f>
        <v>240.74949797177834</v>
      </c>
      <c r="ES75" s="53">
        <f>+-(ES76-ES77-ES78)</f>
        <v>96.802248415700547</v>
      </c>
      <c r="ET75" s="32">
        <f>+EU75-ES75</f>
        <v>87.921682435905041</v>
      </c>
      <c r="EU75" s="1088">
        <f>+-(EU76-EU77-EU78)</f>
        <v>184.72393085160559</v>
      </c>
      <c r="EV75" s="53">
        <f>+-(EV76-EV77-EV78)</f>
        <v>66.929965334434314</v>
      </c>
      <c r="EW75" s="32">
        <f>+EX75-EV75</f>
        <v>57.332168891759636</v>
      </c>
      <c r="EX75" s="1088">
        <f>+-(EX76-EX77-EX78)</f>
        <v>124.26213422619395</v>
      </c>
      <c r="EY75" s="53">
        <f>+-(EY76-EY77-EY78)</f>
        <v>35.124369418570325</v>
      </c>
      <c r="EZ75" s="32">
        <f>+FA75-EY75</f>
        <v>24.647097843017661</v>
      </c>
      <c r="FA75" s="1088">
        <f>+-(FA76-FA77-FA78)</f>
        <v>59.771467261587986</v>
      </c>
      <c r="FD75"/>
      <c r="FE75"/>
      <c r="FF75"/>
      <c r="FG75"/>
      <c r="FH75"/>
      <c r="FI75"/>
    </row>
    <row r="76" spans="2:169" s="33" customFormat="1" outlineLevel="1">
      <c r="B76" s="54" t="s">
        <v>135</v>
      </c>
      <c r="D76" s="2" t="s">
        <v>506</v>
      </c>
      <c r="E76" s="53"/>
      <c r="F76" s="32">
        <f>G76-E76</f>
        <v>0</v>
      </c>
      <c r="G76" s="53"/>
      <c r="H76" s="53"/>
      <c r="I76" s="32">
        <f>J76-H76</f>
        <v>0</v>
      </c>
      <c r="J76" s="53"/>
      <c r="K76" s="53"/>
      <c r="L76" s="32">
        <f>M76-K76</f>
        <v>0</v>
      </c>
      <c r="M76" s="53"/>
      <c r="N76" s="53"/>
      <c r="O76" s="32">
        <f>P76-N76</f>
        <v>0</v>
      </c>
      <c r="P76" s="53"/>
      <c r="Q76" s="53"/>
      <c r="R76" s="32">
        <f>S76-Q76</f>
        <v>0</v>
      </c>
      <c r="S76" s="53"/>
      <c r="T76" s="53"/>
      <c r="U76" s="32">
        <f>V76-T76</f>
        <v>0</v>
      </c>
      <c r="V76" s="53"/>
      <c r="W76" s="53"/>
      <c r="X76" s="32">
        <f>Y76-W76</f>
        <v>0</v>
      </c>
      <c r="Y76" s="53"/>
      <c r="Z76" s="53"/>
      <c r="AA76" s="32">
        <f>AB76-Z76</f>
        <v>0</v>
      </c>
      <c r="AB76" s="53"/>
      <c r="AC76" s="53"/>
      <c r="AD76" s="32">
        <f>AE76-AC76</f>
        <v>0</v>
      </c>
      <c r="AE76" s="53"/>
      <c r="AF76" s="53"/>
      <c r="AG76" s="32">
        <f>AH76-AF76</f>
        <v>0</v>
      </c>
      <c r="AH76" s="53"/>
      <c r="AI76" s="53"/>
      <c r="AJ76" s="32">
        <f>AK76-AI76</f>
        <v>0</v>
      </c>
      <c r="AK76" s="1097">
        <v>0</v>
      </c>
      <c r="AL76" s="53"/>
      <c r="AM76" s="32">
        <f>AN76-AL76</f>
        <v>3.1970000000000001</v>
      </c>
      <c r="AN76" s="1097">
        <v>3.1970000000000001</v>
      </c>
      <c r="AO76" s="53"/>
      <c r="AP76" s="32">
        <f>AQ76-AO76</f>
        <v>4.556</v>
      </c>
      <c r="AQ76" s="1097">
        <v>4.556</v>
      </c>
      <c r="AR76" s="53"/>
      <c r="AS76" s="32">
        <f>AT76-AR76</f>
        <v>3.1760000000000002</v>
      </c>
      <c r="AT76" s="1097">
        <v>3.1760000000000002</v>
      </c>
      <c r="AU76" s="1097">
        <v>1.1839999999999999</v>
      </c>
      <c r="AV76" s="32">
        <f>AW76-AU76</f>
        <v>1.083</v>
      </c>
      <c r="AW76" s="1097">
        <v>2.2669999999999999</v>
      </c>
      <c r="AX76" s="1097">
        <v>1.85</v>
      </c>
      <c r="AY76" s="32">
        <f>AZ76-AX76</f>
        <v>1.895</v>
      </c>
      <c r="AZ76" s="1097">
        <v>3.7450000000000001</v>
      </c>
      <c r="BA76" s="1097">
        <v>5.3129999999999997</v>
      </c>
      <c r="BB76" s="32">
        <f>BC76-BA76</f>
        <v>1.2300000000000004</v>
      </c>
      <c r="BC76" s="1097">
        <v>6.5430000000000001</v>
      </c>
      <c r="BD76" s="1097">
        <v>3.4119999999999999</v>
      </c>
      <c r="BE76" s="32">
        <f>BF76-BD76</f>
        <v>0.41700000000000026</v>
      </c>
      <c r="BF76" s="1110">
        <v>3.8290000000000002</v>
      </c>
      <c r="BG76" s="1111">
        <v>0.307</v>
      </c>
      <c r="BH76" s="32">
        <f>BI76-BG76</f>
        <v>0.38399999999999995</v>
      </c>
      <c r="BI76" s="1110">
        <v>0.69099999999999995</v>
      </c>
      <c r="BJ76" s="1111">
        <v>1.59</v>
      </c>
      <c r="BK76" s="32">
        <f>BL76-BJ76</f>
        <v>7.9500000000000011</v>
      </c>
      <c r="BL76" s="1108">
        <f>9.461+0.079</f>
        <v>9.5400000000000009</v>
      </c>
      <c r="BM76" s="1111">
        <v>4.7770000000000001</v>
      </c>
      <c r="BN76" s="32">
        <f>BO76-BM76</f>
        <v>12.427</v>
      </c>
      <c r="BO76" s="1108">
        <f>17.061+0.143</f>
        <v>17.204000000000001</v>
      </c>
      <c r="BP76" s="1111">
        <v>10.983000000000001</v>
      </c>
      <c r="BQ76" s="32">
        <f>BR76-BP76</f>
        <v>14.483000000000001</v>
      </c>
      <c r="BR76" s="1110">
        <v>25.466000000000001</v>
      </c>
      <c r="BS76" s="1111">
        <v>19.887</v>
      </c>
      <c r="BT76" s="32">
        <f>BU76-BS76</f>
        <v>13.295000000000002</v>
      </c>
      <c r="BU76" s="1110">
        <v>33.182000000000002</v>
      </c>
      <c r="BV76" s="1111">
        <v>16.882000000000001</v>
      </c>
      <c r="BW76" s="32">
        <f>BX76-BV76</f>
        <v>18.292999999999996</v>
      </c>
      <c r="BX76" s="1110">
        <v>35.174999999999997</v>
      </c>
      <c r="BY76" s="1111">
        <v>43.86</v>
      </c>
      <c r="BZ76" s="32">
        <f>CA76-BY76</f>
        <v>7.6198949000000056</v>
      </c>
      <c r="CA76" s="1108">
        <f>IF(Assumptions!CA104&lt;&gt;"0",Assumptions!CA104,0)</f>
        <v>51.479894900000005</v>
      </c>
      <c r="CB76" s="1111">
        <v>25.061</v>
      </c>
      <c r="CC76" s="32">
        <f>CD76-CB76</f>
        <v>15.423999999999999</v>
      </c>
      <c r="CD76" s="1110">
        <v>40.484999999999999</v>
      </c>
      <c r="CE76" s="1111">
        <v>18.635999999999999</v>
      </c>
      <c r="CF76" s="32">
        <f>CG76-CE76</f>
        <v>11.823362999397169</v>
      </c>
      <c r="CG76" s="1108">
        <f>IF(Assumptions!CG104&lt;&gt;"0",Assumptions!CG104,0)</f>
        <v>30.459362999397168</v>
      </c>
      <c r="CH76" s="1111">
        <v>14.9</v>
      </c>
      <c r="CI76" s="32">
        <f>CJ76-CH76</f>
        <v>45.164407500000003</v>
      </c>
      <c r="CJ76" s="1108">
        <f>IF(Assumptions!CJ104&lt;&gt;"0",Assumptions!CJ104,0)</f>
        <v>60.064407500000002</v>
      </c>
      <c r="CK76" s="1109">
        <f>IF(Assumptions!CK104&lt;&gt;"0",Assumptions!CK104,0)</f>
        <v>17.016037499999999</v>
      </c>
      <c r="CL76" s="32">
        <f>CM76-CK76</f>
        <v>12.336171120547757</v>
      </c>
      <c r="CM76" s="1108">
        <f>IF(Assumptions!CM104&lt;&gt;"0",Assumptions!CM104,0)</f>
        <v>29.352208620547756</v>
      </c>
      <c r="CN76" s="1109">
        <f>IF(Assumptions!CN104&lt;&gt;"0",Assumptions!CN104,0)</f>
        <v>10.700000000000001</v>
      </c>
      <c r="CO76" s="32">
        <f>CP76-CN76</f>
        <v>9.4</v>
      </c>
      <c r="CP76" s="1108">
        <f>IF(Assumptions!CP104&lt;&gt;"0",Assumptions!CP104,0)</f>
        <v>20.100000000000001</v>
      </c>
      <c r="CQ76" s="1109">
        <f>IF(Assumptions!CQ104&lt;&gt;"0",Assumptions!CQ104,0)</f>
        <v>7.2999999999999989</v>
      </c>
      <c r="CR76" s="32">
        <f>CS76-CQ76</f>
        <v>8.2999999999999989</v>
      </c>
      <c r="CS76" s="1108">
        <f>IF(Assumptions!CS104&lt;&gt;"0",Assumptions!CS104,0)</f>
        <v>15.599999999999998</v>
      </c>
      <c r="CT76" s="1109">
        <f>IF(Assumptions!CT104&lt;&gt;"0",Assumptions!CT104,0)</f>
        <v>6.6000000000000032</v>
      </c>
      <c r="CU76" s="32">
        <f>CV76-CT76</f>
        <v>7.2999999999999901</v>
      </c>
      <c r="CV76" s="1108">
        <f>IF(Assumptions!CV104&lt;&gt;"0",Assumptions!CV104,0)</f>
        <v>13.899999999999993</v>
      </c>
      <c r="CW76" s="1109">
        <f>IF(Assumptions!CW104&lt;&gt;"0",Assumptions!CW104,0)</f>
        <v>3.0000000000000009</v>
      </c>
      <c r="CX76" s="32">
        <f>CY76-CW76</f>
        <v>7.9000000000000012</v>
      </c>
      <c r="CY76" s="1108">
        <f>IF(Assumptions!CY104&lt;&gt;"0",Assumptions!CY104,0)</f>
        <v>10.900000000000002</v>
      </c>
      <c r="CZ76" s="1109">
        <v>2.7</v>
      </c>
      <c r="DA76" s="32">
        <f>DB76-CZ76</f>
        <v>6.6000000000000005</v>
      </c>
      <c r="DB76" s="1108">
        <v>9.3000000000000007</v>
      </c>
      <c r="DC76" s="1109">
        <f>IF(Assumptions!DC104&lt;&gt;"0",Assumptions!DC104,0)</f>
        <v>3.5000000000000018</v>
      </c>
      <c r="DD76" s="32">
        <f>DE76-DC76</f>
        <v>10.299999999999999</v>
      </c>
      <c r="DE76" s="1135">
        <f>IF(Assumptions!DE104&lt;&gt;"0",Assumptions!DE104,0)</f>
        <v>13.8</v>
      </c>
      <c r="DF76" s="1109">
        <f>IF(Assumptions!DF104&lt;&gt;"0",Assumptions!DF104,0)</f>
        <v>3.9809999999999999</v>
      </c>
      <c r="DG76" s="32">
        <f>DH76-DF76</f>
        <v>3.0283499999999997</v>
      </c>
      <c r="DH76" s="1135">
        <f>IF(Assumptions!DH104&lt;&gt;"0",Assumptions!DH104,0)</f>
        <v>7.0093499999999995</v>
      </c>
      <c r="DI76" s="1109">
        <f>IF(Assumptions!DI104&lt;&gt;"0",Assumptions!DI104,0)</f>
        <v>1.7184550000000001</v>
      </c>
      <c r="DJ76" s="32">
        <f>DK76-DI76</f>
        <v>2.2219049999999996</v>
      </c>
      <c r="DK76" s="1135">
        <f>IF(Assumptions!DK104&lt;&gt;"0",Assumptions!DK104,0)</f>
        <v>3.9403599999999996</v>
      </c>
      <c r="DL76" s="53">
        <f>IF(Assumptions!DL104&lt;&gt;"0",Assumptions!DL104,0)</f>
        <v>0.91609874999999996</v>
      </c>
      <c r="DM76" s="32">
        <f>DN76-DL76</f>
        <v>16.483901249999999</v>
      </c>
      <c r="DN76" s="1088">
        <f>IF(Assumptions!DN104&lt;&gt;"0",Assumptions!DN104,0)</f>
        <v>17.399999999999999</v>
      </c>
      <c r="DO76" s="53">
        <f>IF(Assumptions!DO104&lt;&gt;"0",Assumptions!DO104,0)</f>
        <v>34.6981915</v>
      </c>
      <c r="DP76" s="32">
        <f>DQ76-DO76</f>
        <v>3.0036405057555768</v>
      </c>
      <c r="DQ76" s="1088">
        <f>IF(Assumptions!DQ104&lt;&gt;"0",Assumptions!DQ104,0)</f>
        <v>37.701832005755577</v>
      </c>
      <c r="DR76" s="1834">
        <f>IF(Assumptions!DR104&lt;&gt;"0",Assumptions!DR104,0)</f>
        <v>20.006999999999998</v>
      </c>
      <c r="DS76" s="1831">
        <f>DT76-DR76</f>
        <v>18.985400000000006</v>
      </c>
      <c r="DT76" s="1832">
        <f>IF(Assumptions!DT104&lt;&gt;"0",Assumptions!DT104,0)</f>
        <v>38.992400000000004</v>
      </c>
      <c r="DU76" s="1834">
        <f>IF(Assumptions!DU104&lt;&gt;"0",Assumptions!DU104,0)</f>
        <v>18</v>
      </c>
      <c r="DV76" s="1831">
        <f>DW76-DU76</f>
        <v>20</v>
      </c>
      <c r="DW76" s="1832">
        <f>IF(Assumptions!DW104&lt;&gt;"0",Assumptions!DW104,0)</f>
        <v>38</v>
      </c>
      <c r="DX76" s="1834">
        <f>IF(Assumptions!DX104&lt;&gt;"0",Assumptions!DX104,0)</f>
        <v>18</v>
      </c>
      <c r="DY76" s="1831">
        <f>DZ76-DX76</f>
        <v>18</v>
      </c>
      <c r="DZ76" s="1832">
        <f>IF(Assumptions!DZ104&lt;&gt;"0",Assumptions!DZ104,0)</f>
        <v>36</v>
      </c>
      <c r="EA76" s="53">
        <f>IF(Assumptions!EA104&lt;&gt;"0",Assumptions!EA104,0)</f>
        <v>18.467114766207693</v>
      </c>
      <c r="EB76" s="32">
        <f>EC76-EA76</f>
        <v>18.547546893431921</v>
      </c>
      <c r="EC76" s="1088">
        <f>IF(Assumptions!EC104&lt;&gt;"0",Assumptions!EC104,0)</f>
        <v>37.014661659639614</v>
      </c>
      <c r="ED76" s="53">
        <f>IF(Assumptions!ED104&lt;&gt;"0",Assumptions!ED104,0)</f>
        <v>22.233072894428638</v>
      </c>
      <c r="EE76" s="32">
        <f>EF76-ED76</f>
        <v>23.589746794291038</v>
      </c>
      <c r="EF76" s="1088">
        <f>IF(Assumptions!EF104&lt;&gt;"0",Assumptions!EF104,0)</f>
        <v>45.822819688719676</v>
      </c>
      <c r="EG76" s="53">
        <f>IF(Assumptions!EG104&lt;&gt;"0",Assumptions!EG104,0)</f>
        <v>27.432674090981735</v>
      </c>
      <c r="EH76" s="32">
        <f>EI76-EG76</f>
        <v>31.487852046842775</v>
      </c>
      <c r="EI76" s="1088">
        <f>IF(Assumptions!EI104&lt;&gt;"0",Assumptions!EI104,0)</f>
        <v>58.92052613782451</v>
      </c>
      <c r="EJ76" s="53">
        <f>IF(Assumptions!EJ104&lt;&gt;"0",Assumptions!EJ104,0)</f>
        <v>42.722299373677963</v>
      </c>
      <c r="EK76" s="32">
        <f>EL76-EJ76</f>
        <v>48.125037115063186</v>
      </c>
      <c r="EL76" s="1088">
        <f>IF(Assumptions!EL104&lt;&gt;"0",Assumptions!EL104,0)</f>
        <v>90.847336488741149</v>
      </c>
      <c r="EM76" s="53">
        <f>IF(Assumptions!EM104&lt;&gt;"0",Assumptions!EM104,0)</f>
        <v>62.14828124898041</v>
      </c>
      <c r="EN76" s="32">
        <f>EO76-EM76</f>
        <v>69.417915449032833</v>
      </c>
      <c r="EO76" s="1088">
        <f>IF(Assumptions!EO104&lt;&gt;"0",Assumptions!EO104,0)</f>
        <v>131.56619669801324</v>
      </c>
      <c r="EP76" s="53">
        <f>IF(Assumptions!EP104&lt;&gt;"0",Assumptions!EP104,0)</f>
        <v>87.13412720343959</v>
      </c>
      <c r="EQ76" s="32">
        <f>ER76-EP76</f>
        <v>95.277710749857164</v>
      </c>
      <c r="ER76" s="1088">
        <f>IF(Assumptions!ER104&lt;&gt;"0",Assumptions!ER104,0)</f>
        <v>182.41183795329675</v>
      </c>
      <c r="ES76" s="53">
        <f>IF(Assumptions!ES104&lt;&gt;"0",Assumptions!ES104,0)</f>
        <v>114.778419546837</v>
      </c>
      <c r="ET76" s="32">
        <f>EU76-ES76</f>
        <v>123.65898552663251</v>
      </c>
      <c r="EU76" s="1088">
        <f>IF(Assumptions!EU104&lt;&gt;"0",Assumptions!EU104,0)</f>
        <v>238.43740507346951</v>
      </c>
      <c r="EV76" s="53">
        <f>IF(Assumptions!EV104&lt;&gt;"0",Assumptions!EV104,0)</f>
        <v>144.65070262810323</v>
      </c>
      <c r="EW76" s="32">
        <f>EX76-EV76</f>
        <v>154.24849907077791</v>
      </c>
      <c r="EX76" s="1088">
        <f>IF(Assumptions!EX104&lt;&gt;"0",Assumptions!EX104,0)</f>
        <v>298.89920169888114</v>
      </c>
      <c r="EY76" s="53">
        <f>IF(Assumptions!EY104&lt;&gt;"0",Assumptions!EY104,0)</f>
        <v>176.45629854396722</v>
      </c>
      <c r="EZ76" s="32">
        <f>FA76-EY76</f>
        <v>186.93357011951989</v>
      </c>
      <c r="FA76" s="1088">
        <f>IF(Assumptions!FA104&lt;&gt;"0",Assumptions!FA104,0)</f>
        <v>363.38986866348711</v>
      </c>
      <c r="FD76"/>
      <c r="FE76"/>
      <c r="FF76"/>
      <c r="FG76"/>
      <c r="FH76"/>
      <c r="FI76"/>
    </row>
    <row r="77" spans="2:169" s="33" customFormat="1" outlineLevel="1">
      <c r="B77" s="1134" t="s">
        <v>136</v>
      </c>
      <c r="D77" s="2" t="s">
        <v>506</v>
      </c>
      <c r="E77" s="53"/>
      <c r="F77" s="32">
        <f>G77-E77</f>
        <v>0</v>
      </c>
      <c r="G77" s="53"/>
      <c r="H77" s="53"/>
      <c r="I77" s="32">
        <f>J77-H77</f>
        <v>0</v>
      </c>
      <c r="J77" s="53"/>
      <c r="K77" s="53"/>
      <c r="L77" s="32">
        <f>M77-K77</f>
        <v>0</v>
      </c>
      <c r="M77" s="53"/>
      <c r="N77" s="53"/>
      <c r="O77" s="32">
        <f>P77-N77</f>
        <v>0</v>
      </c>
      <c r="P77" s="53"/>
      <c r="Q77" s="53"/>
      <c r="R77" s="32">
        <f>S77-Q77</f>
        <v>0</v>
      </c>
      <c r="S77" s="53"/>
      <c r="T77" s="53"/>
      <c r="U77" s="32">
        <f>V77-T77</f>
        <v>0</v>
      </c>
      <c r="V77" s="53"/>
      <c r="W77" s="53"/>
      <c r="X77" s="32">
        <f>Y77-W77</f>
        <v>0</v>
      </c>
      <c r="Y77" s="53"/>
      <c r="Z77" s="53"/>
      <c r="AA77" s="32">
        <f>AB77-Z77</f>
        <v>0</v>
      </c>
      <c r="AB77" s="53"/>
      <c r="AC77" s="53"/>
      <c r="AD77" s="32">
        <f>AE77-AC77</f>
        <v>0</v>
      </c>
      <c r="AE77" s="53"/>
      <c r="AF77" s="53"/>
      <c r="AG77" s="32">
        <f>AH77-AF77</f>
        <v>0</v>
      </c>
      <c r="AH77" s="53"/>
      <c r="AI77" s="53"/>
      <c r="AJ77" s="32">
        <f>AK77-AI77</f>
        <v>0</v>
      </c>
      <c r="AK77" s="1097">
        <v>0</v>
      </c>
      <c r="AL77" s="53"/>
      <c r="AM77" s="32">
        <f>AN77-AL77</f>
        <v>3.7629999999999999</v>
      </c>
      <c r="AN77" s="1097">
        <v>3.7629999999999999</v>
      </c>
      <c r="AO77" s="53"/>
      <c r="AP77" s="32">
        <f>AQ77-AO77</f>
        <v>2.63</v>
      </c>
      <c r="AQ77" s="1097">
        <v>2.63</v>
      </c>
      <c r="AR77" s="53"/>
      <c r="AS77" s="32">
        <f>AT77-AR77</f>
        <v>0.69899999999999995</v>
      </c>
      <c r="AT77" s="1097">
        <v>0.69899999999999995</v>
      </c>
      <c r="AU77" s="1097">
        <v>0.40100000000000002</v>
      </c>
      <c r="AV77" s="32">
        <f>AW77-AU77</f>
        <v>0.30699999999999994</v>
      </c>
      <c r="AW77" s="1097">
        <v>0.70799999999999996</v>
      </c>
      <c r="AX77" s="1097">
        <v>0.15</v>
      </c>
      <c r="AY77" s="32">
        <f>AZ77-AX77</f>
        <v>0.17600000000000002</v>
      </c>
      <c r="AZ77" s="1097">
        <v>0.32600000000000001</v>
      </c>
      <c r="BA77" s="1097">
        <v>11.119</v>
      </c>
      <c r="BB77" s="32">
        <f>BC77-BA77</f>
        <v>17.881</v>
      </c>
      <c r="BC77" s="1097">
        <v>29</v>
      </c>
      <c r="BD77" s="1097">
        <v>18.577999999999999</v>
      </c>
      <c r="BE77" s="32">
        <f>BF77-BD77</f>
        <v>14.879000000000001</v>
      </c>
      <c r="BF77" s="1100">
        <v>33.457000000000001</v>
      </c>
      <c r="BG77" s="1099">
        <v>16.100000000000001</v>
      </c>
      <c r="BH77" s="32">
        <f>BI77-BG77</f>
        <v>18.128</v>
      </c>
      <c r="BI77" s="1100">
        <v>34.228000000000002</v>
      </c>
      <c r="BJ77" s="1099">
        <v>10.965</v>
      </c>
      <c r="BK77" s="32">
        <f>BL77-BJ77</f>
        <v>12.777000000000001</v>
      </c>
      <c r="BL77" s="1100">
        <v>23.742000000000001</v>
      </c>
      <c r="BM77" s="1099">
        <v>19.373999999999999</v>
      </c>
      <c r="BN77" s="32">
        <f>BO77-BM77</f>
        <v>22.266000000000002</v>
      </c>
      <c r="BO77" s="1100">
        <v>41.64</v>
      </c>
      <c r="BP77" s="1099">
        <v>31.617999999999999</v>
      </c>
      <c r="BQ77" s="32">
        <f>BR77-BP77</f>
        <v>9.8990000000000045</v>
      </c>
      <c r="BR77" s="1100">
        <v>41.517000000000003</v>
      </c>
      <c r="BS77" s="1099">
        <v>23.664000000000001</v>
      </c>
      <c r="BT77" s="32">
        <f>BU77-BS77</f>
        <v>21.524000000000001</v>
      </c>
      <c r="BU77" s="1100">
        <v>45.188000000000002</v>
      </c>
      <c r="BV77" s="1099">
        <v>25.733000000000001</v>
      </c>
      <c r="BW77" s="32">
        <f>BX77-BV77</f>
        <v>24.062999999999999</v>
      </c>
      <c r="BX77" s="1100">
        <v>49.795999999999999</v>
      </c>
      <c r="BY77" s="1099">
        <v>30.22</v>
      </c>
      <c r="BZ77" s="32">
        <f>CA77-BY77</f>
        <v>31.689</v>
      </c>
      <c r="CA77" s="1100">
        <v>61.908999999999999</v>
      </c>
      <c r="CB77" s="1099">
        <v>9.8460000000000001</v>
      </c>
      <c r="CC77" s="32">
        <f>CD77-CB77</f>
        <v>8.3109999999999999</v>
      </c>
      <c r="CD77" s="1100">
        <v>18.157</v>
      </c>
      <c r="CE77" s="1099">
        <v>7.6989999999999998</v>
      </c>
      <c r="CF77" s="32">
        <f>CG77-CE77</f>
        <v>7.8519917260068617</v>
      </c>
      <c r="CG77" s="1098">
        <f>IF(Assumptions!CG117&lt;&gt;"0",Assumptions!CG117,0)</f>
        <v>15.550991726006862</v>
      </c>
      <c r="CH77" s="1099">
        <v>14.9</v>
      </c>
      <c r="CI77" s="32">
        <f>CJ77-CH77</f>
        <v>24.201700000000002</v>
      </c>
      <c r="CJ77" s="1098">
        <f>IF(Assumptions!CJ117&lt;&gt;"0",Assumptions!CJ117,0)</f>
        <v>39.101700000000001</v>
      </c>
      <c r="CK77" s="1088">
        <f>IF(Assumptions!CK117&lt;&gt;"0",Assumptions!CK117,0)</f>
        <v>29.726287500000002</v>
      </c>
      <c r="CL77" s="32">
        <f>CM77-CK77</f>
        <v>17.973712500000008</v>
      </c>
      <c r="CM77" s="1098">
        <f>IF(Assumptions!CM117&lt;&gt;"0",Assumptions!CM117,0)</f>
        <v>47.70000000000001</v>
      </c>
      <c r="CN77" s="1088">
        <f>IF(Assumptions!CN117&lt;&gt;"0",Assumptions!CN117,0)</f>
        <v>26.300000000000011</v>
      </c>
      <c r="CO77" s="32">
        <f>CP77-CN77</f>
        <v>26.699999999999989</v>
      </c>
      <c r="CP77" s="1098">
        <f>IF(Assumptions!CP117&lt;&gt;"0",Assumptions!CP117,0)</f>
        <v>53</v>
      </c>
      <c r="CQ77" s="1088">
        <f>IF(Assumptions!CQ117&lt;&gt;"0",Assumptions!CQ117,0)</f>
        <v>28.600000000000005</v>
      </c>
      <c r="CR77" s="32">
        <f>CS77-CQ77</f>
        <v>30.999999999999989</v>
      </c>
      <c r="CS77" s="1098">
        <f>IF(Assumptions!CS117&lt;&gt;"0",Assumptions!CS117,0)</f>
        <v>59.599999999999994</v>
      </c>
      <c r="CT77" s="1088">
        <f>IF(Assumptions!CT117&lt;&gt;"0",Assumptions!CT117,0)</f>
        <v>33.6</v>
      </c>
      <c r="CU77" s="32">
        <f>CV77-CT77</f>
        <v>37.999999999999993</v>
      </c>
      <c r="CV77" s="1098">
        <f>IF(Assumptions!CV117&lt;&gt;"0",Assumptions!CV117,0)</f>
        <v>71.599999999999994</v>
      </c>
      <c r="CW77" s="1088">
        <f>IF(Assumptions!CW117&lt;&gt;"0",Assumptions!CW117,0)</f>
        <v>41.199999999999996</v>
      </c>
      <c r="CX77" s="32">
        <f>CY77-CW77</f>
        <v>48.79999999999999</v>
      </c>
      <c r="CY77" s="1098">
        <f>IF(Assumptions!CY117&lt;&gt;"0",Assumptions!CY117,0)</f>
        <v>89.999999999999986</v>
      </c>
      <c r="CZ77" s="1088">
        <f>IF(Assumptions!CZ117&lt;&gt;"0",Assumptions!CZ117,0)</f>
        <v>53.80909307205188</v>
      </c>
      <c r="DA77" s="32">
        <f>DB77-CZ77</f>
        <v>54.590906927948126</v>
      </c>
      <c r="DB77" s="1098">
        <v>108.4</v>
      </c>
      <c r="DC77" s="1088">
        <f>IF(Assumptions!DC117&lt;&gt;"0",Assumptions!DC117,0)</f>
        <v>96.1</v>
      </c>
      <c r="DD77" s="32">
        <f>DE77-DC77</f>
        <v>80.599999999999966</v>
      </c>
      <c r="DE77" s="1101">
        <f>IF(Assumptions!DE117&lt;&gt;"0",Assumptions!DE117,0)</f>
        <v>176.69999999999996</v>
      </c>
      <c r="DF77" s="1088">
        <f>IF(Assumptions!DF117&lt;&gt;"0",Assumptions!DF117,0)</f>
        <v>74.699999999999946</v>
      </c>
      <c r="DG77" s="32">
        <f>DH77-DF77</f>
        <v>76.1394375</v>
      </c>
      <c r="DH77" s="1101">
        <f>IF(Assumptions!DH117&lt;&gt;"0",Assumptions!DH117,0)</f>
        <v>150.83943749999995</v>
      </c>
      <c r="DI77" s="1088">
        <f>IF(Assumptions!DI117&lt;&gt;"0",Assumptions!DI117,0)</f>
        <v>108.7</v>
      </c>
      <c r="DJ77" s="32">
        <f>DK77-DI77</f>
        <v>62.126181249999988</v>
      </c>
      <c r="DK77" s="1101">
        <f>IF(Assumptions!DK117&lt;&gt;"0",Assumptions!DK117,0)</f>
        <v>170.82618124999999</v>
      </c>
      <c r="DL77" s="53">
        <f>IF(Assumptions!DL117&lt;&gt;"0",Assumptions!DL117,0)</f>
        <v>71.239694999999998</v>
      </c>
      <c r="DM77" s="32">
        <f>DN77-DL77</f>
        <v>93.960304999999991</v>
      </c>
      <c r="DN77" s="1088">
        <f>IF(Assumptions!DN117&lt;&gt;"0",Assumptions!DN117,0)</f>
        <v>165.2</v>
      </c>
      <c r="DO77" s="53">
        <f>IF(Assumptions!DO117&lt;&gt;"0",Assumptions!DO117,0)</f>
        <v>205.7</v>
      </c>
      <c r="DP77" s="32">
        <f>DQ77-DO77</f>
        <v>238.3</v>
      </c>
      <c r="DQ77" s="1088">
        <f>IF(Assumptions!DQ117&lt;&gt;"0",Assumptions!DQ117,0)</f>
        <v>444</v>
      </c>
      <c r="DR77" s="1834">
        <f>IF(Assumptions!DR117&lt;&gt;"0",Assumptions!DR117,0)</f>
        <v>253.98612500000002</v>
      </c>
      <c r="DS77" s="1831">
        <f>DT77-DR77</f>
        <v>222.01387500000004</v>
      </c>
      <c r="DT77" s="1832">
        <f>IF(Assumptions!DT117&lt;&gt;"0",Assumptions!DT117,0)</f>
        <v>476.00000000000006</v>
      </c>
      <c r="DU77" s="1834">
        <f>IF(Assumptions!DU117&lt;&gt;"0",Assumptions!DU117,0)</f>
        <v>240</v>
      </c>
      <c r="DV77" s="1831">
        <f>DW77-DU77</f>
        <v>208</v>
      </c>
      <c r="DW77" s="1832">
        <f>IF(Assumptions!DW117&lt;&gt;"0",Assumptions!DW117,0)</f>
        <v>448</v>
      </c>
      <c r="DX77" s="1834">
        <f>IF(Assumptions!DX117&lt;&gt;"0",Assumptions!DX117,0)</f>
        <v>215</v>
      </c>
      <c r="DY77" s="1831">
        <f>DZ77-DX77</f>
        <v>215</v>
      </c>
      <c r="DZ77" s="1832">
        <f>IF(Assumptions!DZ117&lt;&gt;"0",Assumptions!DZ117,0)</f>
        <v>430</v>
      </c>
      <c r="EA77" s="53">
        <f>IF(Assumptions!EA117&lt;&gt;"0",Assumptions!EA117,0)</f>
        <v>211.58066796253755</v>
      </c>
      <c r="EB77" s="32">
        <f>EC77-EA77</f>
        <v>211.58066796253755</v>
      </c>
      <c r="EC77" s="1088">
        <f>IF(Assumptions!EC117&lt;&gt;"0",Assumptions!EC117,0)</f>
        <v>423.16133592507509</v>
      </c>
      <c r="ED77" s="53">
        <f>IF(Assumptions!ED117&lt;&gt;"0",Assumptions!ED117,0)</f>
        <v>211.58066796253755</v>
      </c>
      <c r="EE77" s="32">
        <f>EF77-ED77</f>
        <v>211.58066796253755</v>
      </c>
      <c r="EF77" s="1088">
        <f>IF(Assumptions!EF117&lt;&gt;"0",Assumptions!EF117,0)</f>
        <v>423.16133592507509</v>
      </c>
      <c r="EG77" s="53">
        <f>IF(Assumptions!EG117&lt;&gt;"0",Assumptions!EG117,0)</f>
        <v>211.58066796253755</v>
      </c>
      <c r="EH77" s="32">
        <f>EI77-EG77</f>
        <v>211.58066796253755</v>
      </c>
      <c r="EI77" s="1088">
        <f>IF(Assumptions!EI117&lt;&gt;"0",Assumptions!EI117,0)</f>
        <v>423.16133592507509</v>
      </c>
      <c r="EJ77" s="53">
        <f>IF(Assumptions!EJ117&lt;&gt;"0",Assumptions!EJ117,0)</f>
        <v>211.58066796253755</v>
      </c>
      <c r="EK77" s="32">
        <f>EL77-EJ77</f>
        <v>211.58066796253755</v>
      </c>
      <c r="EL77" s="1088">
        <f>IF(Assumptions!EL117&lt;&gt;"0",Assumptions!EL117,0)</f>
        <v>423.16133592507509</v>
      </c>
      <c r="EM77" s="53">
        <f>IF(Assumptions!EM117&lt;&gt;"0",Assumptions!EM117,0)</f>
        <v>211.58066796253755</v>
      </c>
      <c r="EN77" s="32">
        <f>EO77-EM77</f>
        <v>211.58066796253755</v>
      </c>
      <c r="EO77" s="1088">
        <f>IF(Assumptions!EO117&lt;&gt;"0",Assumptions!EO117,0)</f>
        <v>423.16133592507509</v>
      </c>
      <c r="EP77" s="53">
        <f>IF(Assumptions!EP117&lt;&gt;"0",Assumptions!EP117,0)</f>
        <v>211.58066796253755</v>
      </c>
      <c r="EQ77" s="32">
        <f>ER77-EP77</f>
        <v>211.58066796253755</v>
      </c>
      <c r="ER77" s="1088">
        <f>IF(Assumptions!ER117&lt;&gt;"0",Assumptions!ER117,0)</f>
        <v>423.16133592507509</v>
      </c>
      <c r="ES77" s="53">
        <f>IF(Assumptions!ES117&lt;&gt;"0",Assumptions!ES117,0)</f>
        <v>211.58066796253755</v>
      </c>
      <c r="ET77" s="32">
        <f>EU77-ES77</f>
        <v>211.58066796253755</v>
      </c>
      <c r="EU77" s="1088">
        <f>IF(Assumptions!EU117&lt;&gt;"0",Assumptions!EU117,0)</f>
        <v>423.16133592507509</v>
      </c>
      <c r="EV77" s="53">
        <f>IF(Assumptions!EV117&lt;&gt;"0",Assumptions!EV117,0)</f>
        <v>211.58066796253755</v>
      </c>
      <c r="EW77" s="32">
        <f>EX77-EV77</f>
        <v>211.58066796253755</v>
      </c>
      <c r="EX77" s="1088">
        <f>IF(Assumptions!EX117&lt;&gt;"0",Assumptions!EX117,0)</f>
        <v>423.16133592507509</v>
      </c>
      <c r="EY77" s="53">
        <f>IF(Assumptions!EY117&lt;&gt;"0",Assumptions!EY117,0)</f>
        <v>211.58066796253755</v>
      </c>
      <c r="EZ77" s="32">
        <f>FA77-EY77</f>
        <v>211.58066796253755</v>
      </c>
      <c r="FA77" s="1088">
        <f>IF(Assumptions!FA117&lt;&gt;"0",Assumptions!FA117,0)</f>
        <v>423.16133592507509</v>
      </c>
      <c r="FD77"/>
      <c r="FE77"/>
      <c r="FF77"/>
      <c r="FG77"/>
      <c r="FH77"/>
      <c r="FI77"/>
    </row>
    <row r="78" spans="2:169" s="33" customFormat="1" outlineLevel="1">
      <c r="B78" s="1134" t="s">
        <v>137</v>
      </c>
      <c r="D78" s="2" t="s">
        <v>506</v>
      </c>
      <c r="E78" s="32"/>
      <c r="F78" s="32">
        <f>G78-E78</f>
        <v>0</v>
      </c>
      <c r="G78" s="32"/>
      <c r="H78" s="32"/>
      <c r="I78" s="32">
        <f>J78-H78</f>
        <v>0</v>
      </c>
      <c r="J78" s="32"/>
      <c r="K78" s="32"/>
      <c r="L78" s="32">
        <f>M78-K78</f>
        <v>0</v>
      </c>
      <c r="M78" s="32"/>
      <c r="N78" s="32"/>
      <c r="O78" s="32">
        <f>P78-N78</f>
        <v>0</v>
      </c>
      <c r="P78" s="32"/>
      <c r="Q78" s="32"/>
      <c r="R78" s="32">
        <f>S78-Q78</f>
        <v>0</v>
      </c>
      <c r="S78" s="32"/>
      <c r="T78" s="32"/>
      <c r="U78" s="32">
        <f>V78-T78</f>
        <v>0</v>
      </c>
      <c r="V78" s="32"/>
      <c r="W78" s="32"/>
      <c r="X78" s="32">
        <f>Y78-W78</f>
        <v>0</v>
      </c>
      <c r="Y78" s="32"/>
      <c r="Z78" s="32"/>
      <c r="AA78" s="32">
        <f>AB78-Z78</f>
        <v>0</v>
      </c>
      <c r="AB78" s="32"/>
      <c r="AC78" s="32"/>
      <c r="AD78" s="32">
        <f>AE78-AC78</f>
        <v>0</v>
      </c>
      <c r="AE78" s="32"/>
      <c r="AF78" s="32"/>
      <c r="AG78" s="32">
        <f>AH78-AF78</f>
        <v>0</v>
      </c>
      <c r="AH78" s="32"/>
      <c r="AI78" s="32"/>
      <c r="AJ78" s="32">
        <f>AK78-AI78</f>
        <v>0</v>
      </c>
      <c r="AK78" s="32"/>
      <c r="AL78" s="32"/>
      <c r="AM78" s="32">
        <f>AN78-AL78</f>
        <v>0</v>
      </c>
      <c r="AN78" s="32"/>
      <c r="AO78" s="32"/>
      <c r="AP78" s="32">
        <f>AQ78-AO78</f>
        <v>0</v>
      </c>
      <c r="AQ78" s="32"/>
      <c r="AR78" s="32"/>
      <c r="AS78" s="32">
        <f>AT78-AR78</f>
        <v>0</v>
      </c>
      <c r="AT78" s="32"/>
      <c r="AU78" s="32"/>
      <c r="AV78" s="32">
        <f>AW78-AU78</f>
        <v>0</v>
      </c>
      <c r="AW78" s="1064">
        <v>0</v>
      </c>
      <c r="AX78" s="32"/>
      <c r="AY78" s="32">
        <f>AZ78-AX78</f>
        <v>0</v>
      </c>
      <c r="AZ78" s="1064">
        <v>0</v>
      </c>
      <c r="BA78" s="32"/>
      <c r="BB78" s="32">
        <f>BC78-BA78</f>
        <v>0</v>
      </c>
      <c r="BC78" s="1064">
        <v>0</v>
      </c>
      <c r="BD78" s="32"/>
      <c r="BE78" s="32">
        <f>BF78-BD78</f>
        <v>0</v>
      </c>
      <c r="BF78" s="1113">
        <v>0</v>
      </c>
      <c r="BG78" s="1061"/>
      <c r="BH78" s="32">
        <f>BI78-BG78</f>
        <v>0</v>
      </c>
      <c r="BI78" s="1113">
        <v>0</v>
      </c>
      <c r="BJ78" s="1061"/>
      <c r="BK78" s="32">
        <f>BL78-BJ78</f>
        <v>0</v>
      </c>
      <c r="BL78" s="1113">
        <v>0</v>
      </c>
      <c r="BM78" s="1061"/>
      <c r="BN78" s="32">
        <f>BO78-BM78</f>
        <v>0</v>
      </c>
      <c r="BO78" s="1113">
        <v>0</v>
      </c>
      <c r="BP78" s="1061"/>
      <c r="BQ78" s="32">
        <f>BR78-BP78</f>
        <v>0</v>
      </c>
      <c r="BR78" s="1113">
        <v>0</v>
      </c>
      <c r="BS78" s="1061"/>
      <c r="BT78" s="32">
        <f>BU78-BS78</f>
        <v>0</v>
      </c>
      <c r="BU78" s="1113">
        <v>0</v>
      </c>
      <c r="BV78" s="1061"/>
      <c r="BW78" s="32">
        <f>BX78-BV78</f>
        <v>0</v>
      </c>
      <c r="BX78" s="1113">
        <v>0</v>
      </c>
      <c r="BY78" s="1061"/>
      <c r="BZ78" s="32">
        <f>CA78-BY78</f>
        <v>0</v>
      </c>
      <c r="CA78" s="1113">
        <v>0</v>
      </c>
      <c r="CB78" s="1061"/>
      <c r="CC78" s="32">
        <f>CD78-CB78</f>
        <v>0</v>
      </c>
      <c r="CD78" s="1113">
        <v>0</v>
      </c>
      <c r="CE78" s="1061"/>
      <c r="CF78" s="32">
        <f>CG78-CE78</f>
        <v>0</v>
      </c>
      <c r="CG78" s="1113">
        <v>0</v>
      </c>
      <c r="CH78" s="1061"/>
      <c r="CI78" s="32">
        <f>CJ78-CH78</f>
        <v>0</v>
      </c>
      <c r="CJ78" s="1094"/>
      <c r="CK78" s="1061"/>
      <c r="CL78" s="32">
        <f>CM78-CK78</f>
        <v>0</v>
      </c>
      <c r="CM78" s="1113">
        <v>0</v>
      </c>
      <c r="CN78" s="1061"/>
      <c r="CO78" s="32">
        <f>CP78-CN78</f>
        <v>0</v>
      </c>
      <c r="CP78" s="1113">
        <v>0</v>
      </c>
      <c r="CQ78" s="1061"/>
      <c r="CR78" s="32">
        <f>CS78-CQ78</f>
        <v>0</v>
      </c>
      <c r="CS78" s="1113">
        <v>0</v>
      </c>
      <c r="CT78" s="1061"/>
      <c r="CU78" s="32">
        <f>CV78-CT78</f>
        <v>0</v>
      </c>
      <c r="CV78" s="1113">
        <v>0</v>
      </c>
      <c r="CW78" s="1061"/>
      <c r="CX78" s="32">
        <f>CY78-CW78</f>
        <v>0</v>
      </c>
      <c r="CY78" s="1113">
        <v>0</v>
      </c>
      <c r="CZ78" s="1061"/>
      <c r="DA78" s="32">
        <f>DB78-CZ78</f>
        <v>0</v>
      </c>
      <c r="DB78" s="1113">
        <v>0</v>
      </c>
      <c r="DC78" s="1061"/>
      <c r="DD78" s="32">
        <f>DE78-DC78</f>
        <v>0</v>
      </c>
      <c r="DE78" s="1136">
        <v>0</v>
      </c>
      <c r="DF78" s="1061"/>
      <c r="DG78" s="32">
        <f>DH78-DF78</f>
        <v>0</v>
      </c>
      <c r="DH78" s="1136">
        <v>0</v>
      </c>
      <c r="DI78" s="1061"/>
      <c r="DJ78" s="32">
        <f>DK78-DI78</f>
        <v>0</v>
      </c>
      <c r="DK78" s="1136">
        <v>0</v>
      </c>
      <c r="DL78" s="32"/>
      <c r="DM78" s="32">
        <f>DN78-DL78</f>
        <v>0</v>
      </c>
      <c r="DN78" s="1095">
        <v>0</v>
      </c>
      <c r="DO78" s="32"/>
      <c r="DP78" s="32">
        <f>DQ78-DO78</f>
        <v>0</v>
      </c>
      <c r="DQ78" s="1095">
        <v>0</v>
      </c>
      <c r="DR78" s="32"/>
      <c r="DS78" s="32">
        <f>DT78-DR78</f>
        <v>0</v>
      </c>
      <c r="DT78" s="1095">
        <v>0</v>
      </c>
      <c r="DU78" s="32"/>
      <c r="DV78" s="32">
        <f>DW78-DU78</f>
        <v>0</v>
      </c>
      <c r="DW78" s="1095">
        <v>0</v>
      </c>
      <c r="DX78" s="32"/>
      <c r="DY78" s="32">
        <f>DZ78-DX78</f>
        <v>0</v>
      </c>
      <c r="DZ78" s="1095">
        <v>0</v>
      </c>
      <c r="EA78" s="32"/>
      <c r="EB78" s="32">
        <f>EC78-EA78</f>
        <v>0</v>
      </c>
      <c r="EC78" s="1095">
        <v>0</v>
      </c>
      <c r="ED78" s="32"/>
      <c r="EE78" s="32">
        <f>EF78-ED78</f>
        <v>0</v>
      </c>
      <c r="EF78" s="1095">
        <v>0</v>
      </c>
      <c r="EG78" s="32"/>
      <c r="EH78" s="32">
        <f>EI78-EG78</f>
        <v>0</v>
      </c>
      <c r="EI78" s="1095">
        <v>0</v>
      </c>
      <c r="EJ78" s="32"/>
      <c r="EK78" s="32">
        <f>EL78-EJ78</f>
        <v>0</v>
      </c>
      <c r="EL78" s="1095">
        <v>0</v>
      </c>
      <c r="EM78" s="32"/>
      <c r="EN78" s="32">
        <f>EO78-EM78</f>
        <v>0</v>
      </c>
      <c r="EO78" s="1095">
        <v>0</v>
      </c>
      <c r="EP78" s="32"/>
      <c r="EQ78" s="32">
        <f>ER78-EP78</f>
        <v>0</v>
      </c>
      <c r="ER78" s="1095">
        <v>0</v>
      </c>
      <c r="ES78" s="32"/>
      <c r="ET78" s="32">
        <f>EU78-ES78</f>
        <v>0</v>
      </c>
      <c r="EU78" s="1095">
        <v>0</v>
      </c>
      <c r="EV78" s="32"/>
      <c r="EW78" s="32">
        <f>EX78-EV78</f>
        <v>0</v>
      </c>
      <c r="EX78" s="1095">
        <v>0</v>
      </c>
      <c r="EY78" s="32"/>
      <c r="EZ78" s="32">
        <f>FA78-EY78</f>
        <v>0</v>
      </c>
      <c r="FA78" s="1095">
        <v>0</v>
      </c>
      <c r="FD78"/>
      <c r="FE78"/>
      <c r="FF78"/>
      <c r="FG78"/>
      <c r="FH78"/>
      <c r="FI78"/>
    </row>
    <row r="79" spans="2:169" s="33" customFormat="1" outlineLevel="1">
      <c r="B79" s="1736" t="s">
        <v>138</v>
      </c>
      <c r="C79" s="1731"/>
      <c r="D79" s="1732" t="s">
        <v>506</v>
      </c>
      <c r="E79" s="1157"/>
      <c r="F79" s="1421">
        <f>+G79-E79</f>
        <v>0</v>
      </c>
      <c r="G79" s="1157"/>
      <c r="H79" s="1157"/>
      <c r="I79" s="1421">
        <f>+J79-H79</f>
        <v>0</v>
      </c>
      <c r="J79" s="1157"/>
      <c r="K79" s="1157"/>
      <c r="L79" s="1421">
        <f>+M79-K79</f>
        <v>0</v>
      </c>
      <c r="M79" s="1157"/>
      <c r="N79" s="1157"/>
      <c r="O79" s="1421">
        <f>+P79-N79</f>
        <v>0</v>
      </c>
      <c r="P79" s="1157"/>
      <c r="Q79" s="1157"/>
      <c r="R79" s="1421">
        <f>+S79-Q79</f>
        <v>0</v>
      </c>
      <c r="S79" s="1157"/>
      <c r="T79" s="1157"/>
      <c r="U79" s="1421">
        <f>+V79-T79</f>
        <v>0</v>
      </c>
      <c r="V79" s="1157"/>
      <c r="W79" s="1157"/>
      <c r="X79" s="1421">
        <f>+Y79-W79</f>
        <v>0</v>
      </c>
      <c r="Y79" s="1157"/>
      <c r="Z79" s="1157"/>
      <c r="AA79" s="1421">
        <f>+AB79-Z79</f>
        <v>0</v>
      </c>
      <c r="AB79" s="1157"/>
      <c r="AC79" s="1157"/>
      <c r="AD79" s="1421">
        <f>+AE79-AC79</f>
        <v>0</v>
      </c>
      <c r="AE79" s="1157"/>
      <c r="AF79" s="1157"/>
      <c r="AG79" s="1421">
        <f>+AH79-AF79</f>
        <v>0</v>
      </c>
      <c r="AH79" s="1157"/>
      <c r="AI79" s="1157"/>
      <c r="AJ79" s="1421">
        <f>+AK79-AI79</f>
        <v>0</v>
      </c>
      <c r="AK79" s="1157"/>
      <c r="AL79" s="1157"/>
      <c r="AM79" s="1421">
        <f>+AN79-AL79</f>
        <v>0</v>
      </c>
      <c r="AN79" s="1157"/>
      <c r="AO79" s="1157"/>
      <c r="AP79" s="1421">
        <f>+AQ79-AO79</f>
        <v>0</v>
      </c>
      <c r="AQ79" s="1157"/>
      <c r="AR79" s="1157"/>
      <c r="AS79" s="1421">
        <f>+AT79-AR79</f>
        <v>0</v>
      </c>
      <c r="AT79" s="1157"/>
      <c r="AU79" s="1157"/>
      <c r="AV79" s="1421">
        <f>+AW79-AU79</f>
        <v>0</v>
      </c>
      <c r="AW79" s="1734">
        <v>0</v>
      </c>
      <c r="AX79" s="1157"/>
      <c r="AY79" s="1421">
        <f>+AZ79-AX79</f>
        <v>0</v>
      </c>
      <c r="AZ79" s="1734">
        <v>0</v>
      </c>
      <c r="BA79" s="1157"/>
      <c r="BB79" s="1421">
        <f>+BC79-BA79</f>
        <v>0</v>
      </c>
      <c r="BC79" s="1734">
        <v>0</v>
      </c>
      <c r="BD79" s="1157"/>
      <c r="BE79" s="1421">
        <f>+BF79-BD79</f>
        <v>0</v>
      </c>
      <c r="BF79" s="1116">
        <v>0</v>
      </c>
      <c r="BG79" s="1117"/>
      <c r="BH79" s="1421">
        <f>+BI79-BG79</f>
        <v>0</v>
      </c>
      <c r="BI79" s="1116">
        <v>0</v>
      </c>
      <c r="BJ79" s="1117"/>
      <c r="BK79" s="1421">
        <f>+BL79-BJ79</f>
        <v>0</v>
      </c>
      <c r="BL79" s="1116">
        <v>0</v>
      </c>
      <c r="BM79" s="1117"/>
      <c r="BN79" s="1421">
        <f>+BO79-BM79</f>
        <v>0</v>
      </c>
      <c r="BO79" s="1116">
        <v>0</v>
      </c>
      <c r="BP79" s="1117"/>
      <c r="BQ79" s="1421">
        <f>+BR79-BP79</f>
        <v>0</v>
      </c>
      <c r="BR79" s="1116">
        <v>0</v>
      </c>
      <c r="BS79" s="1117"/>
      <c r="BT79" s="1421">
        <f>+BU79-BS79</f>
        <v>0</v>
      </c>
      <c r="BU79" s="1116">
        <v>0</v>
      </c>
      <c r="BV79" s="1117"/>
      <c r="BW79" s="1421">
        <f>+BX79-BV79</f>
        <v>0</v>
      </c>
      <c r="BX79" s="1116">
        <v>0</v>
      </c>
      <c r="BY79" s="1117"/>
      <c r="BZ79" s="1421">
        <f>+CA79-BY79</f>
        <v>0</v>
      </c>
      <c r="CA79" s="1116">
        <v>0</v>
      </c>
      <c r="CB79" s="1117"/>
      <c r="CC79" s="1421">
        <f>+CD79-CB79</f>
        <v>0</v>
      </c>
      <c r="CD79" s="1116">
        <v>0</v>
      </c>
      <c r="CE79" s="1117"/>
      <c r="CF79" s="1421">
        <f>+CG79-CE79</f>
        <v>0</v>
      </c>
      <c r="CG79" s="1116">
        <v>0</v>
      </c>
      <c r="CH79" s="1117"/>
      <c r="CI79" s="1421">
        <f>+CJ79-CH79</f>
        <v>0</v>
      </c>
      <c r="CJ79" s="1137"/>
      <c r="CK79" s="1117"/>
      <c r="CL79" s="1421">
        <f>+CM79-CK79</f>
        <v>0</v>
      </c>
      <c r="CM79" s="1116">
        <v>0</v>
      </c>
      <c r="CN79" s="1117"/>
      <c r="CO79" s="1421">
        <f>+CP79-CN79</f>
        <v>0</v>
      </c>
      <c r="CP79" s="1116">
        <v>0</v>
      </c>
      <c r="CQ79" s="1117"/>
      <c r="CR79" s="1421">
        <f>+CS79-CQ79</f>
        <v>0</v>
      </c>
      <c r="CS79" s="1116">
        <v>0</v>
      </c>
      <c r="CT79" s="1117"/>
      <c r="CU79" s="1421">
        <f>+CV79-CT79</f>
        <v>0</v>
      </c>
      <c r="CV79" s="1116">
        <v>0</v>
      </c>
      <c r="CW79" s="1117"/>
      <c r="CX79" s="1421">
        <f>+CY79-CW79</f>
        <v>0</v>
      </c>
      <c r="CY79" s="1116">
        <v>0</v>
      </c>
      <c r="CZ79" s="1117"/>
      <c r="DA79" s="1421">
        <f>+DB79-CZ79</f>
        <v>0</v>
      </c>
      <c r="DB79" s="1116">
        <v>0</v>
      </c>
      <c r="DC79" s="1117"/>
      <c r="DD79" s="1421">
        <f>+DE79-DC79</f>
        <v>0</v>
      </c>
      <c r="DE79" s="1118">
        <v>0</v>
      </c>
      <c r="DF79" s="1117"/>
      <c r="DG79" s="1421">
        <f>+DH79-DF79</f>
        <v>0</v>
      </c>
      <c r="DH79" s="1118">
        <v>0</v>
      </c>
      <c r="DI79" s="1117"/>
      <c r="DJ79" s="1421">
        <f>+DK79-DI79</f>
        <v>0</v>
      </c>
      <c r="DK79" s="1118">
        <v>0</v>
      </c>
      <c r="DL79" s="1157"/>
      <c r="DM79" s="1421">
        <f>+DN79-DL79</f>
        <v>0</v>
      </c>
      <c r="DN79" s="1150">
        <v>0</v>
      </c>
      <c r="DO79" s="1157"/>
      <c r="DP79" s="1421">
        <f>+DQ79-DO79</f>
        <v>0</v>
      </c>
      <c r="DQ79" s="1150">
        <v>0</v>
      </c>
      <c r="DR79" s="1157"/>
      <c r="DS79" s="1421">
        <f>+DT79-DR79</f>
        <v>0</v>
      </c>
      <c r="DT79" s="1150">
        <v>0</v>
      </c>
      <c r="DU79" s="1157"/>
      <c r="DV79" s="1421">
        <f>+DW79-DU79</f>
        <v>0</v>
      </c>
      <c r="DW79" s="1150">
        <v>0</v>
      </c>
      <c r="DX79" s="1157"/>
      <c r="DY79" s="1421">
        <f>+DZ79-DX79</f>
        <v>0</v>
      </c>
      <c r="DZ79" s="1150">
        <v>0</v>
      </c>
      <c r="EA79" s="1157"/>
      <c r="EB79" s="1421">
        <f>+EC79-EA79</f>
        <v>0</v>
      </c>
      <c r="EC79" s="1150">
        <v>0</v>
      </c>
      <c r="ED79" s="1157"/>
      <c r="EE79" s="1421">
        <f>+EF79-ED79</f>
        <v>0</v>
      </c>
      <c r="EF79" s="1150">
        <v>0</v>
      </c>
      <c r="EG79" s="1157"/>
      <c r="EH79" s="1421">
        <f>+EI79-EG79</f>
        <v>0</v>
      </c>
      <c r="EI79" s="1150">
        <v>0</v>
      </c>
      <c r="EJ79" s="1157"/>
      <c r="EK79" s="1421">
        <f>+EL79-EJ79</f>
        <v>0</v>
      </c>
      <c r="EL79" s="1150">
        <v>0</v>
      </c>
      <c r="EM79" s="1157"/>
      <c r="EN79" s="1421">
        <f>+EO79-EM79</f>
        <v>0</v>
      </c>
      <c r="EO79" s="1150">
        <v>0</v>
      </c>
      <c r="EP79" s="1157"/>
      <c r="EQ79" s="1421">
        <f>+ER79-EP79</f>
        <v>0</v>
      </c>
      <c r="ER79" s="1150">
        <v>0</v>
      </c>
      <c r="ES79" s="1157"/>
      <c r="ET79" s="1421">
        <f>+EU79-ES79</f>
        <v>0</v>
      </c>
      <c r="EU79" s="1150">
        <v>0</v>
      </c>
      <c r="EV79" s="1157"/>
      <c r="EW79" s="1421">
        <f>+EX79-EV79</f>
        <v>0</v>
      </c>
      <c r="EX79" s="1150">
        <v>0</v>
      </c>
      <c r="EY79" s="1157"/>
      <c r="EZ79" s="1421">
        <f>+FA79-EY79</f>
        <v>0</v>
      </c>
      <c r="FA79" s="1150">
        <v>0</v>
      </c>
      <c r="FD79"/>
      <c r="FE79"/>
      <c r="FF79"/>
      <c r="FG79"/>
      <c r="FH79"/>
      <c r="FI79"/>
    </row>
    <row r="80" spans="2:169" s="61" customFormat="1">
      <c r="B80" s="60" t="s">
        <v>139</v>
      </c>
      <c r="D80" s="1658" t="s">
        <v>506</v>
      </c>
      <c r="E80" s="1272"/>
      <c r="F80" s="1272">
        <f>+G80-E80</f>
        <v>0</v>
      </c>
      <c r="G80" s="1272"/>
      <c r="H80" s="1272"/>
      <c r="I80" s="1272">
        <f>+J80-H80</f>
        <v>0</v>
      </c>
      <c r="J80" s="1272"/>
      <c r="K80" s="1272"/>
      <c r="L80" s="1272">
        <f>+M80-K80</f>
        <v>0</v>
      </c>
      <c r="M80" s="1272"/>
      <c r="N80" s="1272"/>
      <c r="O80" s="1272">
        <f>+P80-N80</f>
        <v>0</v>
      </c>
      <c r="P80" s="1272"/>
      <c r="Q80" s="1272"/>
      <c r="R80" s="1272">
        <f>+S80-Q80</f>
        <v>0</v>
      </c>
      <c r="S80" s="1272"/>
      <c r="T80" s="1272"/>
      <c r="U80" s="1272">
        <f>+V80-T80</f>
        <v>0</v>
      </c>
      <c r="V80" s="1272"/>
      <c r="W80" s="1272"/>
      <c r="X80" s="1272">
        <f>+Y80-W80</f>
        <v>0</v>
      </c>
      <c r="Y80" s="1272"/>
      <c r="Z80" s="1272"/>
      <c r="AA80" s="1272">
        <f>+AB80-Z80</f>
        <v>0</v>
      </c>
      <c r="AB80" s="1272"/>
      <c r="AC80" s="1272"/>
      <c r="AD80" s="1272">
        <f>+AE80-AC80</f>
        <v>0</v>
      </c>
      <c r="AE80" s="1272"/>
      <c r="AF80" s="1272"/>
      <c r="AG80" s="1272">
        <f>+AH80-AF80</f>
        <v>0</v>
      </c>
      <c r="AH80" s="1272"/>
      <c r="AI80" s="1272"/>
      <c r="AJ80" s="1272">
        <f>+AK80-AI80</f>
        <v>0</v>
      </c>
      <c r="AK80" s="1272"/>
      <c r="AL80" s="1272"/>
      <c r="AM80" s="1272">
        <f>+AN80-AL80</f>
        <v>40.993000000000002</v>
      </c>
      <c r="AN80" s="1275">
        <v>40.993000000000002</v>
      </c>
      <c r="AO80" s="1275">
        <v>16.681000000000001</v>
      </c>
      <c r="AP80" s="1272">
        <f>+AQ80-AO80</f>
        <v>33.322999999999993</v>
      </c>
      <c r="AQ80" s="1275">
        <v>50.003999999999998</v>
      </c>
      <c r="AR80" s="1275">
        <v>20.204999999999998</v>
      </c>
      <c r="AS80" s="1272">
        <f>+AT80-AR80</f>
        <v>40.724000000000004</v>
      </c>
      <c r="AT80" s="1275">
        <v>60.929000000000002</v>
      </c>
      <c r="AU80" s="1275">
        <v>24.497</v>
      </c>
      <c r="AV80" s="1272">
        <f>+AW80-AU80</f>
        <v>45.795000000000002</v>
      </c>
      <c r="AW80" s="1275">
        <v>70.292000000000002</v>
      </c>
      <c r="AX80" s="1275">
        <v>27.512</v>
      </c>
      <c r="AY80" s="1272">
        <f>+AZ80-AX80</f>
        <v>53.063000000000002</v>
      </c>
      <c r="AZ80" s="1275">
        <v>80.575000000000003</v>
      </c>
      <c r="BA80" s="1275">
        <v>38.087000000000003</v>
      </c>
      <c r="BB80" s="1272">
        <f>+BC80-BA80</f>
        <v>68.057000000000002</v>
      </c>
      <c r="BC80" s="1275">
        <v>106.14400000000001</v>
      </c>
      <c r="BD80" s="1275">
        <v>73.403000000000006</v>
      </c>
      <c r="BE80" s="1272">
        <f>+BF80-BD80</f>
        <v>83.05</v>
      </c>
      <c r="BF80" s="1275">
        <v>156.453</v>
      </c>
      <c r="BG80" s="1275">
        <v>56.783000000000001</v>
      </c>
      <c r="BH80" s="1272">
        <f>+BI80-BG80</f>
        <v>44.948999999999998</v>
      </c>
      <c r="BI80" s="1275">
        <v>101.732</v>
      </c>
      <c r="BJ80" s="1275">
        <v>45.256</v>
      </c>
      <c r="BK80" s="1272"/>
      <c r="BL80" s="1272"/>
      <c r="BM80" s="1275">
        <v>197.69900000000001</v>
      </c>
      <c r="BN80" s="1272">
        <f>+BO80-BM80</f>
        <v>444.24100000000004</v>
      </c>
      <c r="BO80" s="1275">
        <v>641.94000000000005</v>
      </c>
      <c r="BP80" s="1275">
        <v>251.93199999999999</v>
      </c>
      <c r="BQ80" s="1272">
        <f>+BR80-BP80</f>
        <v>247.04800000000003</v>
      </c>
      <c r="BR80" s="1275">
        <v>498.98</v>
      </c>
      <c r="BS80" s="1275">
        <v>386.93599999999998</v>
      </c>
      <c r="BT80" s="1272">
        <f>+BU80-BS80</f>
        <v>387.12299999999999</v>
      </c>
      <c r="BU80" s="1275">
        <v>774.05899999999997</v>
      </c>
      <c r="BV80" s="1275">
        <v>491.09399999999999</v>
      </c>
      <c r="BW80" s="1272">
        <f>+BX80-BV80</f>
        <v>460.93</v>
      </c>
      <c r="BX80" s="1275">
        <v>952.024</v>
      </c>
      <c r="BY80" s="1275">
        <v>639.846</v>
      </c>
      <c r="BZ80" s="1272">
        <f>+CA80-BY80</f>
        <v>603.86300000000006</v>
      </c>
      <c r="CA80" s="1272">
        <f>1369.747-78.682-32.356-15</f>
        <v>1243.7090000000001</v>
      </c>
      <c r="CB80" s="1275">
        <v>811.34400000000005</v>
      </c>
      <c r="CC80" s="1272">
        <f>+CD80-CB80</f>
        <v>568.11099999999988</v>
      </c>
      <c r="CD80" s="1275">
        <v>1379.4549999999999</v>
      </c>
      <c r="CE80" s="1275">
        <v>646.98900000000003</v>
      </c>
      <c r="CF80" s="1272">
        <f>+CG80-CE80</f>
        <v>551.12999999999988</v>
      </c>
      <c r="CG80" s="1275">
        <v>1198.1189999999999</v>
      </c>
      <c r="CH80" s="1275">
        <v>633.9</v>
      </c>
      <c r="CI80" s="1272">
        <f>+CJ80-CH80</f>
        <v>636.1</v>
      </c>
      <c r="CJ80" s="1275">
        <v>1270</v>
      </c>
      <c r="CK80" s="1275">
        <v>775.4</v>
      </c>
      <c r="CL80" s="1272">
        <f>+CM80-CK80</f>
        <v>692.00000000000011</v>
      </c>
      <c r="CM80" s="1275">
        <v>1467.4</v>
      </c>
      <c r="CN80" s="1275">
        <v>802.4</v>
      </c>
      <c r="CO80" s="1272">
        <f>+CP80-CN80</f>
        <v>801.9</v>
      </c>
      <c r="CP80" s="1275">
        <v>1604.3</v>
      </c>
      <c r="CQ80" s="1275">
        <v>857</v>
      </c>
      <c r="CR80" s="1272">
        <f>+CS80-CQ80</f>
        <v>879</v>
      </c>
      <c r="CS80" s="1712">
        <f>1714+22</f>
        <v>1736</v>
      </c>
      <c r="CT80" s="1272">
        <f>894.7-176.1+64.2</f>
        <v>782.80000000000007</v>
      </c>
      <c r="CU80" s="1272">
        <f>+CV80-CT80</f>
        <v>688.00000000000011</v>
      </c>
      <c r="CV80" s="1272">
        <f>1555.9-176.1+91</f>
        <v>1470.8000000000002</v>
      </c>
      <c r="CW80" s="1275">
        <v>1056.5</v>
      </c>
      <c r="CX80" s="1272">
        <f>+CY80-CW80</f>
        <v>643.29999999999995</v>
      </c>
      <c r="CY80" s="1272">
        <f>1689.8+10</f>
        <v>1699.8</v>
      </c>
      <c r="CZ80" s="1272">
        <v>1424.1</v>
      </c>
      <c r="DA80" s="1272">
        <f>+DB80-CZ80</f>
        <v>857.09999999999991</v>
      </c>
      <c r="DB80" s="1272">
        <f>2281.2</f>
        <v>2281.1999999999998</v>
      </c>
      <c r="DC80" s="1713">
        <v>1460.4</v>
      </c>
      <c r="DD80" s="1272">
        <f>+DE80-DC80</f>
        <v>880.69999999999982</v>
      </c>
      <c r="DE80" s="1714">
        <v>2341.1</v>
      </c>
      <c r="DF80" s="1715">
        <f>1561.3</f>
        <v>1561.3</v>
      </c>
      <c r="DG80" s="1688">
        <f>+DH80-DF80</f>
        <v>1011.3999999999999</v>
      </c>
      <c r="DH80" s="1716">
        <v>2572.6999999999998</v>
      </c>
      <c r="DI80" s="1717">
        <v>2250.9</v>
      </c>
      <c r="DJ80" s="1688">
        <f>+DK80-DI80</f>
        <v>733</v>
      </c>
      <c r="DK80" s="1718">
        <v>2983.9</v>
      </c>
      <c r="DL80" s="1717">
        <v>2161.1</v>
      </c>
      <c r="DM80" s="1688">
        <f>+DN80-DL80</f>
        <v>773.40000000000009</v>
      </c>
      <c r="DN80" s="1718">
        <v>2934.5</v>
      </c>
      <c r="DO80" s="1717">
        <v>2235</v>
      </c>
      <c r="DP80" s="1688">
        <f>+DQ80-DO80</f>
        <v>1016</v>
      </c>
      <c r="DQ80" s="1718">
        <v>3251</v>
      </c>
      <c r="DR80" s="1717">
        <v>2561</v>
      </c>
      <c r="DS80" s="1688">
        <f>+DT80-DR80</f>
        <v>1199</v>
      </c>
      <c r="DT80" s="1718">
        <v>3760</v>
      </c>
      <c r="DU80" s="1717">
        <v>2656</v>
      </c>
      <c r="DV80" s="1688">
        <f>+DW80-DU80</f>
        <v>1402</v>
      </c>
      <c r="DW80" s="1718">
        <v>4058</v>
      </c>
      <c r="DX80" s="1717">
        <v>2608</v>
      </c>
      <c r="DY80" s="1272">
        <f>+DZ80-DX80</f>
        <v>1897.5635170371161</v>
      </c>
      <c r="DZ80" s="1276">
        <f>IF(DZ5="E",DZ73-DZ75,"0")</f>
        <v>4505.5635170371161</v>
      </c>
      <c r="EA80" s="1272">
        <f>IF(EA5="E",EA73-EA75,"0")</f>
        <v>2757.2403922629769</v>
      </c>
      <c r="EB80" s="1272">
        <f>+EC80-EA80</f>
        <v>1992.9509706180083</v>
      </c>
      <c r="EC80" s="1276">
        <f>IF(EC5="E",EC73-EC75,"0")</f>
        <v>4750.1913628809853</v>
      </c>
      <c r="ED80" s="1272">
        <f>IF(ED5="E",ED73-ED75,"0")</f>
        <v>2988.763123457195</v>
      </c>
      <c r="EE80" s="1272">
        <f>+EF80-ED80</f>
        <v>2161.7759584986338</v>
      </c>
      <c r="EF80" s="1276">
        <f>IF(EF5="E",EF73-EF75,"0")</f>
        <v>5150.5390819558288</v>
      </c>
      <c r="EG80" s="1272">
        <f>IF(EG5="E",EG73-EG75,"0")</f>
        <v>3237.0492244573488</v>
      </c>
      <c r="EH80" s="1272">
        <f>+EI80-EG80</f>
        <v>2401.0613611010567</v>
      </c>
      <c r="EI80" s="1276">
        <f>IF(EI5="E",EI73-EI75,"0")</f>
        <v>5638.1105855584055</v>
      </c>
      <c r="EJ80" s="1272">
        <f>IF(EJ5="E",EJ73-EJ75,"0")</f>
        <v>3517.6097199573178</v>
      </c>
      <c r="EK80" s="1272">
        <f>+EL80-EJ80</f>
        <v>2672.3630362676331</v>
      </c>
      <c r="EL80" s="1276">
        <f>IF(EL5="E",EL73-EL75,"0")</f>
        <v>6189.9727562249509</v>
      </c>
      <c r="EM80" s="1272">
        <f>IF(EM5="E",EM73-EM75,"0")</f>
        <v>3846.9310627400509</v>
      </c>
      <c r="EN80" s="1272">
        <f>+EO80-EM80</f>
        <v>2936.0075593813672</v>
      </c>
      <c r="EO80" s="1276">
        <f>IF(EO5="E",EO73-EO75,"0")</f>
        <v>6782.9386221214181</v>
      </c>
      <c r="EP80" s="1272">
        <f>IF(EP5="E",EP73-EP75,"0")</f>
        <v>4162.6210530081162</v>
      </c>
      <c r="EQ80" s="1272">
        <f>+ER80-EP80</f>
        <v>3233.5207503252286</v>
      </c>
      <c r="ER80" s="1276">
        <f>IF(ER5="E",ER73-ER75,"0")</f>
        <v>7396.1418033333448</v>
      </c>
      <c r="ES80" s="1272">
        <f>IF(ES5="E",ES73-ES75,"0")</f>
        <v>4464.4639376419846</v>
      </c>
      <c r="ET80" s="1272">
        <f>+EU80-ES80</f>
        <v>3509.1652285625378</v>
      </c>
      <c r="EU80" s="1276">
        <f>IF(EU5="E",EU73-EU75,"0")</f>
        <v>7973.6291662045223</v>
      </c>
      <c r="EV80" s="1272">
        <f>IF(EV5="E",EV73-EV75,"0")</f>
        <v>4741.6774372092768</v>
      </c>
      <c r="EW80" s="1272">
        <f>+EX80-EV80</f>
        <v>3755.5074266002102</v>
      </c>
      <c r="EX80" s="1276">
        <f>IF(EX5="E",EX73-EX75,"0")</f>
        <v>8497.1848638094871</v>
      </c>
      <c r="EY80" s="1272">
        <f>IF(EY5="E",EY73-EY75,"0")</f>
        <v>5036.2752818274394</v>
      </c>
      <c r="EZ80" s="1272">
        <f>+FA80-EY80</f>
        <v>4018.1504544886511</v>
      </c>
      <c r="FA80" s="1276">
        <f>IF(FA5="E",FA73-FA75,"0")</f>
        <v>9054.4257363160905</v>
      </c>
      <c r="FD80"/>
      <c r="FE80"/>
      <c r="FF80"/>
      <c r="FG80"/>
      <c r="FH80"/>
      <c r="FI80"/>
      <c r="FJ80" s="33"/>
      <c r="FK80" s="33"/>
      <c r="FL80" s="33"/>
      <c r="FM80" s="33"/>
    </row>
    <row r="81" spans="2:169" s="33" customFormat="1">
      <c r="B81" s="33" t="s">
        <v>140</v>
      </c>
      <c r="D81" s="2" t="s">
        <v>506</v>
      </c>
      <c r="E81" s="32"/>
      <c r="F81" s="32">
        <f>G81-E81</f>
        <v>0</v>
      </c>
      <c r="G81" s="32"/>
      <c r="H81" s="32"/>
      <c r="I81" s="32">
        <f>J81-H81</f>
        <v>0</v>
      </c>
      <c r="J81" s="32"/>
      <c r="K81" s="32"/>
      <c r="L81" s="32">
        <f>M81-K81</f>
        <v>0</v>
      </c>
      <c r="M81" s="32"/>
      <c r="N81" s="32"/>
      <c r="O81" s="32">
        <f>P81-N81</f>
        <v>0</v>
      </c>
      <c r="P81" s="32"/>
      <c r="Q81" s="32"/>
      <c r="R81" s="32">
        <f>S81-Q81</f>
        <v>0</v>
      </c>
      <c r="S81" s="32"/>
      <c r="T81" s="32"/>
      <c r="U81" s="32">
        <f>V81-T81</f>
        <v>0</v>
      </c>
      <c r="V81" s="32"/>
      <c r="W81" s="32"/>
      <c r="X81" s="32">
        <f>Y81-W81</f>
        <v>0</v>
      </c>
      <c r="Y81" s="32"/>
      <c r="Z81" s="32"/>
      <c r="AA81" s="32">
        <f>AB81-Z81</f>
        <v>0</v>
      </c>
      <c r="AB81" s="32"/>
      <c r="AC81" s="32"/>
      <c r="AD81" s="32">
        <f>AE81-AC81</f>
        <v>0</v>
      </c>
      <c r="AE81" s="32"/>
      <c r="AF81" s="32"/>
      <c r="AG81" s="32">
        <f>AH81-AF81</f>
        <v>0</v>
      </c>
      <c r="AH81" s="32"/>
      <c r="AI81" s="32"/>
      <c r="AJ81" s="32">
        <f>AK81-AI81</f>
        <v>0</v>
      </c>
      <c r="AK81" s="32"/>
      <c r="AL81" s="32"/>
      <c r="AM81" s="32">
        <f>AN81-AL81</f>
        <v>11.997999999999999</v>
      </c>
      <c r="AN81" s="1064">
        <v>11.997999999999999</v>
      </c>
      <c r="AO81" s="1064">
        <v>4.234</v>
      </c>
      <c r="AP81" s="32">
        <f>AQ81-AO81</f>
        <v>10.618</v>
      </c>
      <c r="AQ81" s="1064">
        <v>14.852</v>
      </c>
      <c r="AR81" s="1064">
        <v>2.4710000000000001</v>
      </c>
      <c r="AS81" s="32">
        <f>AT81-AR81</f>
        <v>17.553999999999998</v>
      </c>
      <c r="AT81" s="1064">
        <v>20.024999999999999</v>
      </c>
      <c r="AU81" s="1064">
        <v>8.2889999999999997</v>
      </c>
      <c r="AV81" s="32">
        <f>AW81-AU81</f>
        <v>17.884</v>
      </c>
      <c r="AW81" s="1138">
        <v>26.172999999999998</v>
      </c>
      <c r="AX81" s="1064">
        <v>8.9019999999999992</v>
      </c>
      <c r="AY81" s="32">
        <f>AZ81-AX81</f>
        <v>17.271000000000001</v>
      </c>
      <c r="AZ81" s="1064">
        <v>26.172999999999998</v>
      </c>
      <c r="BA81" s="1064">
        <v>10.834</v>
      </c>
      <c r="BB81" s="32">
        <f>BC81-BA81</f>
        <v>17.068999999999999</v>
      </c>
      <c r="BC81" s="1064">
        <v>27.902999999999999</v>
      </c>
      <c r="BD81" s="1064">
        <v>15.862</v>
      </c>
      <c r="BE81" s="32">
        <f>BF81-BD81</f>
        <v>16.783000000000001</v>
      </c>
      <c r="BF81" s="1128">
        <v>32.645000000000003</v>
      </c>
      <c r="BG81" s="1129">
        <v>16.683</v>
      </c>
      <c r="BH81" s="32">
        <f>BI81-BG81</f>
        <v>14.626000000000001</v>
      </c>
      <c r="BI81" s="1128">
        <v>31.309000000000001</v>
      </c>
      <c r="BJ81" s="1129">
        <v>19.873999999999999</v>
      </c>
      <c r="BK81" s="32">
        <f>BL81-BJ81</f>
        <v>-11.905000000000001</v>
      </c>
      <c r="BL81" s="1130">
        <f>35.004-27.035</f>
        <v>7.9689999999999976</v>
      </c>
      <c r="BM81" s="1129">
        <v>37.588000000000001</v>
      </c>
      <c r="BN81" s="32">
        <f>BO81-BM81</f>
        <v>57.833999999999996</v>
      </c>
      <c r="BO81" s="1128">
        <v>95.421999999999997</v>
      </c>
      <c r="BP81" s="1129">
        <v>75.509</v>
      </c>
      <c r="BQ81" s="32">
        <f>BR81-BP81</f>
        <v>72.577999999999989</v>
      </c>
      <c r="BR81" s="1128">
        <v>148.08699999999999</v>
      </c>
      <c r="BS81" s="1129">
        <v>129.65</v>
      </c>
      <c r="BT81" s="32">
        <f>BU81-BS81</f>
        <v>105.10999999999999</v>
      </c>
      <c r="BU81" s="1128">
        <v>234.76</v>
      </c>
      <c r="BV81" s="1129">
        <v>142.36600000000001</v>
      </c>
      <c r="BW81" s="32">
        <f>BX81-BV81</f>
        <v>107.85599999999999</v>
      </c>
      <c r="BX81" s="1128">
        <v>250.22200000000001</v>
      </c>
      <c r="BY81" s="1129">
        <v>137.989</v>
      </c>
      <c r="BZ81" s="32">
        <f>CA81-BY81</f>
        <v>85.825999999999993</v>
      </c>
      <c r="CA81" s="1128">
        <v>223.815</v>
      </c>
      <c r="CB81" s="1129">
        <v>193.95</v>
      </c>
      <c r="CC81" s="32">
        <f>CD81-CB81</f>
        <v>132.60399999999998</v>
      </c>
      <c r="CD81" s="1128">
        <v>326.55399999999997</v>
      </c>
      <c r="CE81" s="1129">
        <v>146.774</v>
      </c>
      <c r="CF81" s="32">
        <f>CG81-CE81</f>
        <v>110.74399999999997</v>
      </c>
      <c r="CG81" s="1128">
        <v>257.51799999999997</v>
      </c>
      <c r="CH81" s="1129">
        <v>129.6</v>
      </c>
      <c r="CI81" s="32">
        <f>CJ81-CH81</f>
        <v>116.5</v>
      </c>
      <c r="CJ81" s="1128">
        <v>246.1</v>
      </c>
      <c r="CK81" s="1129">
        <v>150.80000000000001</v>
      </c>
      <c r="CL81" s="32">
        <f>CM81-CK81</f>
        <v>100.29999999999998</v>
      </c>
      <c r="CM81" s="1130">
        <f>IF(Assumptions!CM135&lt;&gt;"0",Assumptions!CM135*Model!CM80,0)</f>
        <v>251.1</v>
      </c>
      <c r="CN81" s="1129">
        <v>156.69999999999999</v>
      </c>
      <c r="CO81" s="32">
        <f>CP81-CN81</f>
        <v>140.60000000000002</v>
      </c>
      <c r="CP81" s="1130">
        <f>IF(Assumptions!CP135&lt;&gt;"0",Assumptions!CP135*Model!CP80,0)</f>
        <v>297.3</v>
      </c>
      <c r="CQ81" s="1131">
        <f>IF(Assumptions!CQ135&lt;&gt;"0",Assumptions!CQ135*Model!CQ80,0)</f>
        <v>164.8</v>
      </c>
      <c r="CR81" s="32">
        <f>CS81-CQ81</f>
        <v>170.2</v>
      </c>
      <c r="CS81" s="1130">
        <f>IF(Assumptions!CS135&lt;&gt;"0",Assumptions!CS135*Model!CS80,0)</f>
        <v>335</v>
      </c>
      <c r="CT81" s="1129">
        <v>175.9</v>
      </c>
      <c r="CU81" s="32">
        <f>CV81-CT81</f>
        <v>141.99999999999997</v>
      </c>
      <c r="CV81" s="1130">
        <f>313.5+(91-86.6)</f>
        <v>317.89999999999998</v>
      </c>
      <c r="CW81" s="1131">
        <f>IF(Assumptions!CW135&lt;&gt;"0",Assumptions!CW135*Model!CW80,0)</f>
        <v>251.00000000000011</v>
      </c>
      <c r="CX81" s="32">
        <f>CY81-CW81</f>
        <v>103.48545389986958</v>
      </c>
      <c r="CY81" s="1130">
        <f>IF(Assumptions!CY135&lt;&gt;"0",Assumptions!CY135*Model!CY80,0)</f>
        <v>354.4854538998697</v>
      </c>
      <c r="CZ81" s="1131">
        <f>IF(Assumptions!CZ135&lt;&gt;"0",Assumptions!CZ135*Model!CZ80,0)</f>
        <v>337.79999999999995</v>
      </c>
      <c r="DA81" s="32">
        <f>DB81-CZ81</f>
        <v>214.5</v>
      </c>
      <c r="DB81" s="1130">
        <f>IF(Assumptions!DB135&lt;&gt;"0",Assumptions!DB135*Model!DB80,0)</f>
        <v>552.29999999999995</v>
      </c>
      <c r="DC81" s="1131">
        <f>IF(Assumptions!DC135&lt;&gt;"0",Assumptions!DC135*Model!DC80,0)</f>
        <v>299.7</v>
      </c>
      <c r="DD81" s="32">
        <f>DE81-DC81</f>
        <v>122.69999999999999</v>
      </c>
      <c r="DE81" s="1132">
        <f>IF(Assumptions!DE135&lt;&gt;"0",Assumptions!DE135*Model!DE80,0)</f>
        <v>422.4</v>
      </c>
      <c r="DF81" s="1131">
        <f>IF(Assumptions!DF135&lt;&gt;"0",Assumptions!DF135*Model!DF80,0)</f>
        <v>313.3</v>
      </c>
      <c r="DG81" s="32">
        <f>DH81-DF81</f>
        <v>156.90000000000003</v>
      </c>
      <c r="DH81" s="1132">
        <f>IF(Assumptions!DH135&lt;&gt;"0",Assumptions!DH135*Model!DH80,0)</f>
        <v>470.20000000000005</v>
      </c>
      <c r="DI81" s="1131">
        <f>IF(Assumptions!DI135&lt;&gt;"0",Assumptions!DI135*Model!DI80,0)</f>
        <v>440.9</v>
      </c>
      <c r="DJ81" s="32">
        <f>DK81-DI81</f>
        <v>151.80000000000007</v>
      </c>
      <c r="DK81" s="1132">
        <f>IF(Assumptions!DK135&lt;&gt;"0",Assumptions!DK135*Model!DK80,0)</f>
        <v>592.70000000000005</v>
      </c>
      <c r="DL81" s="32">
        <f>IF(Assumptions!DL135&lt;&gt;"0",Assumptions!DL135*Model!DL80,0)</f>
        <v>384.1</v>
      </c>
      <c r="DM81" s="32">
        <f>DN81-DL81</f>
        <v>169.69999999999993</v>
      </c>
      <c r="DN81" s="1061">
        <f>IF(Assumptions!DN135&lt;&gt;"0",Assumptions!DN135*Model!DN80,0)</f>
        <v>553.79999999999995</v>
      </c>
      <c r="DO81" s="32">
        <f>IF(Assumptions!DO135&lt;&gt;"0",Assumptions!DO135*Model!DO80,0)</f>
        <v>357.6</v>
      </c>
      <c r="DP81" s="32">
        <f>DQ81-DO81</f>
        <v>146.39999999999969</v>
      </c>
      <c r="DQ81" s="1061">
        <f>IF(Assumptions!DQ135&lt;&gt;"0",Assumptions!DQ135*Model!DQ80,0)</f>
        <v>503.99999999999972</v>
      </c>
      <c r="DR81" s="1831">
        <f>IF(Assumptions!DR135&lt;&gt;"0",Assumptions!DR135*Model!DR80,0)</f>
        <v>490.99491999999998</v>
      </c>
      <c r="DS81" s="1831">
        <f>DT81-DR81</f>
        <v>231.00508000000002</v>
      </c>
      <c r="DT81" s="1835">
        <f>IF(Assumptions!DT135&lt;&gt;"0",Assumptions!DT135*Model!DT80,0)</f>
        <v>722</v>
      </c>
      <c r="DU81" s="1831">
        <f>IF(Assumptions!DU135&lt;&gt;"0",Assumptions!DU135*Model!DU80,0)</f>
        <v>508.0000000000004</v>
      </c>
      <c r="DV81" s="1831">
        <f>DW81-DU81</f>
        <v>136.9999999999996</v>
      </c>
      <c r="DW81" s="1835">
        <f>IF(Assumptions!DW135&lt;&gt;"0",Assumptions!DW135*Model!DW80,0)</f>
        <v>645</v>
      </c>
      <c r="DX81" s="1831">
        <f>IF(Assumptions!DX135&lt;&gt;"0",Assumptions!DX135*Model!DX80,0)</f>
        <v>537</v>
      </c>
      <c r="DY81" s="1831">
        <f>DZ81-DX81</f>
        <v>319.05706823705202</v>
      </c>
      <c r="DZ81" s="1835">
        <f>IF(Assumptions!DZ135&lt;&gt;"0",Assumptions!DZ135*Model!DZ80,0)</f>
        <v>856.05706823705202</v>
      </c>
      <c r="EA81" s="32">
        <f>IF(Assumptions!EA135&lt;&gt;"0",Assumptions!EA135*Model!EA80,0)</f>
        <v>523.87567452996564</v>
      </c>
      <c r="EB81" s="32">
        <f>EC81-EA81</f>
        <v>378.66068441742152</v>
      </c>
      <c r="EC81" s="1061">
        <f>IF(Assumptions!EC135&lt;&gt;"0",Assumptions!EC135*Model!EC80,0)</f>
        <v>902.53635894738716</v>
      </c>
      <c r="ED81" s="32">
        <f>IF(Assumptions!ED135&lt;&gt;"0",Assumptions!ED135*Model!ED80,0)</f>
        <v>567.86499345686707</v>
      </c>
      <c r="EE81" s="32">
        <f>EF81-ED81</f>
        <v>410.73743211474039</v>
      </c>
      <c r="EF81" s="1061">
        <f>IF(Assumptions!EF135&lt;&gt;"0",Assumptions!EF135*Model!EF80,0)</f>
        <v>978.60242557160745</v>
      </c>
      <c r="EG81" s="32">
        <f>IF(Assumptions!EG135&lt;&gt;"0",Assumptions!EG135*Model!EG80,0)</f>
        <v>615.0393526468963</v>
      </c>
      <c r="EH81" s="32">
        <f>EI81-EG81</f>
        <v>456.20165860920065</v>
      </c>
      <c r="EI81" s="1061">
        <f>IF(Assumptions!EI135&lt;&gt;"0",Assumptions!EI135*Model!EI80,0)</f>
        <v>1071.241011256097</v>
      </c>
      <c r="EJ81" s="32">
        <f>IF(Assumptions!EJ135&lt;&gt;"0",Assumptions!EJ135*Model!EJ80,0)</f>
        <v>668.34584679189038</v>
      </c>
      <c r="EK81" s="32">
        <f>EL81-EJ81</f>
        <v>507.74897689085037</v>
      </c>
      <c r="EL81" s="1061">
        <f>IF(Assumptions!EL135&lt;&gt;"0",Assumptions!EL135*Model!EL80,0)</f>
        <v>1176.0948236827408</v>
      </c>
      <c r="EM81" s="32">
        <f>IF(Assumptions!EM135&lt;&gt;"0",Assumptions!EM135*Model!EM80,0)</f>
        <v>730.91690192060969</v>
      </c>
      <c r="EN81" s="32">
        <f>EO81-EM81</f>
        <v>557.84143628245988</v>
      </c>
      <c r="EO81" s="1061">
        <f>IF(Assumptions!EO135&lt;&gt;"0",Assumptions!EO135*Model!EO80,0)</f>
        <v>1288.7583382030696</v>
      </c>
      <c r="EP81" s="32">
        <f>IF(Assumptions!EP135&lt;&gt;"0",Assumptions!EP135*Model!EP80,0)</f>
        <v>790.89800007154213</v>
      </c>
      <c r="EQ81" s="32">
        <f>ER81-EP81</f>
        <v>614.36894256179335</v>
      </c>
      <c r="ER81" s="1061">
        <f>IF(Assumptions!ER135&lt;&gt;"0",Assumptions!ER135*Model!ER80,0)</f>
        <v>1405.2669426333355</v>
      </c>
      <c r="ES81" s="32">
        <f>IF(Assumptions!ES135&lt;&gt;"0",Assumptions!ES135*Model!ES80,0)</f>
        <v>848.24814815197703</v>
      </c>
      <c r="ET81" s="32">
        <f>EU81-ES81</f>
        <v>666.74139342688215</v>
      </c>
      <c r="EU81" s="1061">
        <f>IF(Assumptions!EU135&lt;&gt;"0",Assumptions!EU135*Model!EU80,0)</f>
        <v>1514.9895415788592</v>
      </c>
      <c r="EV81" s="32">
        <f>IF(Assumptions!EV135&lt;&gt;"0",Assumptions!EV135*Model!EV80,0)</f>
        <v>900.91871306976259</v>
      </c>
      <c r="EW81" s="32">
        <f>EX81-EV81</f>
        <v>713.54641105403994</v>
      </c>
      <c r="EX81" s="1061">
        <f>IF(Assumptions!EX135&lt;&gt;"0",Assumptions!EX135*Model!EX80,0)</f>
        <v>1614.4651241238025</v>
      </c>
      <c r="EY81" s="32">
        <f>IF(Assumptions!EY135&lt;&gt;"0",Assumptions!EY135*Model!EY80,0)</f>
        <v>956.89230354721349</v>
      </c>
      <c r="EZ81" s="32">
        <f>FA81-EY81</f>
        <v>763.44858635284368</v>
      </c>
      <c r="FA81" s="1061">
        <f>IF(Assumptions!FA135&lt;&gt;"0",Assumptions!FA135*Model!FA80,0)</f>
        <v>1720.3408899000572</v>
      </c>
      <c r="FD81"/>
      <c r="FE81"/>
      <c r="FF81"/>
      <c r="FG81"/>
      <c r="FH81"/>
      <c r="FI81"/>
    </row>
    <row r="82" spans="2:169" s="33" customFormat="1">
      <c r="B82" s="54" t="s">
        <v>141</v>
      </c>
      <c r="D82" s="2" t="s">
        <v>507</v>
      </c>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f t="shared" ref="AM82:BP82" si="262">+AM81/AM80</f>
        <v>0.29268411680042933</v>
      </c>
      <c r="AN82" s="51">
        <f t="shared" si="262"/>
        <v>0.29268411680042933</v>
      </c>
      <c r="AO82" s="51">
        <f t="shared" si="262"/>
        <v>0.25382171332653913</v>
      </c>
      <c r="AP82" s="51">
        <f t="shared" si="262"/>
        <v>0.31863877802118662</v>
      </c>
      <c r="AQ82" s="51">
        <f t="shared" si="262"/>
        <v>0.29701623870090393</v>
      </c>
      <c r="AR82" s="51">
        <f t="shared" si="262"/>
        <v>0.12229646127196241</v>
      </c>
      <c r="AS82" s="51">
        <f t="shared" si="262"/>
        <v>0.43104803064531966</v>
      </c>
      <c r="AT82" s="51">
        <f t="shared" si="262"/>
        <v>0.32866122864317482</v>
      </c>
      <c r="AU82" s="51">
        <f t="shared" si="262"/>
        <v>0.33836796342409275</v>
      </c>
      <c r="AV82" s="51">
        <f t="shared" si="262"/>
        <v>0.39052298285839065</v>
      </c>
      <c r="AW82" s="51">
        <f t="shared" si="262"/>
        <v>0.37234678199510607</v>
      </c>
      <c r="AX82" s="51">
        <f t="shared" si="262"/>
        <v>0.32356789764466409</v>
      </c>
      <c r="AY82" s="51">
        <f t="shared" si="262"/>
        <v>0.32548103198085293</v>
      </c>
      <c r="AZ82" s="51">
        <f t="shared" si="262"/>
        <v>0.32482780018616192</v>
      </c>
      <c r="BA82" s="51">
        <f t="shared" si="262"/>
        <v>0.28445401318035024</v>
      </c>
      <c r="BB82" s="51">
        <f t="shared" si="262"/>
        <v>0.25080447272139528</v>
      </c>
      <c r="BC82" s="51">
        <f t="shared" si="262"/>
        <v>0.26287873078082602</v>
      </c>
      <c r="BD82" s="51">
        <f t="shared" si="262"/>
        <v>0.21609471002547578</v>
      </c>
      <c r="BE82" s="51">
        <f t="shared" si="262"/>
        <v>0.2020830824804335</v>
      </c>
      <c r="BF82" s="51">
        <f t="shared" si="262"/>
        <v>0.20865691293871005</v>
      </c>
      <c r="BG82" s="51">
        <f t="shared" si="262"/>
        <v>0.29380272264586232</v>
      </c>
      <c r="BH82" s="51">
        <f t="shared" si="262"/>
        <v>0.32539099868740134</v>
      </c>
      <c r="BI82" s="51">
        <f t="shared" si="262"/>
        <v>0.30775960366453037</v>
      </c>
      <c r="BJ82" s="51">
        <f t="shared" si="262"/>
        <v>0.43914619056036763</v>
      </c>
      <c r="BK82" s="51"/>
      <c r="BL82" s="51"/>
      <c r="BM82" s="51">
        <f t="shared" si="262"/>
        <v>0.19012741592016144</v>
      </c>
      <c r="BN82" s="51">
        <f t="shared" si="262"/>
        <v>0.13018609268392606</v>
      </c>
      <c r="BO82" s="51">
        <f t="shared" si="262"/>
        <v>0.14864629093061654</v>
      </c>
      <c r="BP82" s="51">
        <f t="shared" si="262"/>
        <v>0.29971976565104869</v>
      </c>
      <c r="BQ82" s="51">
        <f t="shared" ref="BQ82:CM82" si="263">+BQ81/BQ80</f>
        <v>0.29378096564230427</v>
      </c>
      <c r="BR82" s="51">
        <f t="shared" si="263"/>
        <v>0.29677943003727603</v>
      </c>
      <c r="BS82" s="51">
        <f t="shared" si="263"/>
        <v>0.33506833171377182</v>
      </c>
      <c r="BT82" s="51">
        <f t="shared" si="263"/>
        <v>0.27151577147314931</v>
      </c>
      <c r="BU82" s="51">
        <f t="shared" si="263"/>
        <v>0.30328437496366556</v>
      </c>
      <c r="BV82" s="51">
        <f t="shared" si="263"/>
        <v>0.28989562079764775</v>
      </c>
      <c r="BW82" s="51">
        <f t="shared" si="263"/>
        <v>0.23399648536654155</v>
      </c>
      <c r="BX82" s="51">
        <f t="shared" si="263"/>
        <v>0.26283160928716082</v>
      </c>
      <c r="BY82" s="51">
        <f t="shared" si="263"/>
        <v>0.215659705616664</v>
      </c>
      <c r="BZ82" s="51">
        <f t="shared" si="263"/>
        <v>0.14212826419237473</v>
      </c>
      <c r="CA82" s="51">
        <f t="shared" si="263"/>
        <v>0.17995769106760504</v>
      </c>
      <c r="CB82" s="51">
        <f t="shared" si="263"/>
        <v>0.23904780216529609</v>
      </c>
      <c r="CC82" s="51">
        <f t="shared" si="263"/>
        <v>0.23341213248819334</v>
      </c>
      <c r="CD82" s="51">
        <f t="shared" si="263"/>
        <v>0.23672682327440908</v>
      </c>
      <c r="CE82" s="51">
        <f t="shared" si="263"/>
        <v>0.22685702538992161</v>
      </c>
      <c r="CF82" s="51">
        <f t="shared" si="263"/>
        <v>0.20093988714096492</v>
      </c>
      <c r="CG82" s="51">
        <f t="shared" si="263"/>
        <v>0.21493524432881875</v>
      </c>
      <c r="CH82" s="51">
        <f t="shared" si="263"/>
        <v>0.20444865120681496</v>
      </c>
      <c r="CI82" s="51">
        <f t="shared" si="263"/>
        <v>0.18314730388303724</v>
      </c>
      <c r="CJ82" s="51">
        <f t="shared" si="263"/>
        <v>0.19377952755905511</v>
      </c>
      <c r="CK82" s="51">
        <f t="shared" si="263"/>
        <v>0.19448026824864589</v>
      </c>
      <c r="CL82" s="51">
        <f t="shared" si="263"/>
        <v>0.14494219653179186</v>
      </c>
      <c r="CM82" s="51">
        <f t="shared" si="263"/>
        <v>0.17111898596156466</v>
      </c>
      <c r="CN82" s="51">
        <f t="shared" ref="CN82:DQ82" si="264">+CN81/CN80</f>
        <v>0.19528913260219341</v>
      </c>
      <c r="CO82" s="51">
        <f t="shared" si="264"/>
        <v>0.17533358274099017</v>
      </c>
      <c r="CP82" s="51">
        <f t="shared" si="264"/>
        <v>0.18531446736894597</v>
      </c>
      <c r="CQ82" s="51">
        <f t="shared" si="264"/>
        <v>0.19229871645274213</v>
      </c>
      <c r="CR82" s="51">
        <f t="shared" si="264"/>
        <v>0.19362912400455062</v>
      </c>
      <c r="CS82" s="51">
        <f t="shared" si="264"/>
        <v>0.19297235023041476</v>
      </c>
      <c r="CT82" s="51">
        <f t="shared" si="264"/>
        <v>0.2247061829330608</v>
      </c>
      <c r="CU82" s="51">
        <f t="shared" si="264"/>
        <v>0.20639534883720922</v>
      </c>
      <c r="CV82" s="51">
        <f t="shared" si="264"/>
        <v>0.21614087571389715</v>
      </c>
      <c r="CW82" s="51">
        <f t="shared" si="264"/>
        <v>0.23757690487458599</v>
      </c>
      <c r="CX82" s="51">
        <f t="shared" si="264"/>
        <v>0.1608665535517948</v>
      </c>
      <c r="CY82" s="51">
        <f t="shared" si="264"/>
        <v>0.20854538998698066</v>
      </c>
      <c r="CZ82" s="51">
        <f t="shared" si="264"/>
        <v>0.23720244364862017</v>
      </c>
      <c r="DA82" s="51">
        <f t="shared" si="264"/>
        <v>0.25026251312565628</v>
      </c>
      <c r="DB82" s="51">
        <f t="shared" si="264"/>
        <v>0.24210941609679115</v>
      </c>
      <c r="DC82" s="51">
        <f t="shared" si="264"/>
        <v>0.20521774856203778</v>
      </c>
      <c r="DD82" s="51">
        <f t="shared" si="264"/>
        <v>0.139320994663336</v>
      </c>
      <c r="DE82" s="1080">
        <f t="shared" si="264"/>
        <v>0.18042800392977659</v>
      </c>
      <c r="DF82" s="51">
        <f t="shared" si="264"/>
        <v>0.2006661115736886</v>
      </c>
      <c r="DG82" s="51">
        <f t="shared" si="264"/>
        <v>0.15513150088985569</v>
      </c>
      <c r="DH82" s="1080">
        <f t="shared" si="264"/>
        <v>0.18276518832355115</v>
      </c>
      <c r="DI82" s="51">
        <f t="shared" si="264"/>
        <v>0.19587720467368605</v>
      </c>
      <c r="DJ82" s="51">
        <f t="shared" si="264"/>
        <v>0.20709413369713514</v>
      </c>
      <c r="DK82" s="1080">
        <f t="shared" si="264"/>
        <v>0.19863266195247831</v>
      </c>
      <c r="DL82" s="51">
        <f t="shared" si="264"/>
        <v>0.17773356161214199</v>
      </c>
      <c r="DM82" s="51">
        <f t="shared" si="264"/>
        <v>0.21942073959141442</v>
      </c>
      <c r="DN82" s="1080">
        <f t="shared" si="264"/>
        <v>0.1887203952973249</v>
      </c>
      <c r="DO82" s="51">
        <f t="shared" si="264"/>
        <v>0.16</v>
      </c>
      <c r="DP82" s="51">
        <f t="shared" si="264"/>
        <v>0.14409448818897608</v>
      </c>
      <c r="DQ82" s="1080">
        <f t="shared" si="264"/>
        <v>0.15502922177791439</v>
      </c>
      <c r="DR82" s="51">
        <f t="shared" ref="DR82:DZ82" si="265">+DR81/DR80</f>
        <v>0.19172</v>
      </c>
      <c r="DS82" s="51">
        <f t="shared" si="265"/>
        <v>0.19266478732276898</v>
      </c>
      <c r="DT82" s="1080">
        <f t="shared" si="265"/>
        <v>0.19202127659574469</v>
      </c>
      <c r="DU82" s="51">
        <f t="shared" si="265"/>
        <v>0.19126506024096401</v>
      </c>
      <c r="DV82" s="51">
        <f>+DV81/DV80</f>
        <v>9.771754636233923E-2</v>
      </c>
      <c r="DW82" s="1080">
        <f>+DW81/DW80</f>
        <v>0.15894529324790538</v>
      </c>
      <c r="DX82" s="51">
        <f t="shared" ref="DX82" si="266">+DX81/DX80</f>
        <v>0.20590490797546013</v>
      </c>
      <c r="DY82" s="51">
        <f t="shared" si="265"/>
        <v>0.16814038917402485</v>
      </c>
      <c r="DZ82" s="1080">
        <f t="shared" si="265"/>
        <v>0.19</v>
      </c>
      <c r="EA82" s="51">
        <f t="shared" ref="EA82:EF82" si="267">+EA81/EA80</f>
        <v>0.19</v>
      </c>
      <c r="EB82" s="51">
        <f t="shared" si="267"/>
        <v>0.18999999999999997</v>
      </c>
      <c r="EC82" s="1080">
        <f t="shared" si="267"/>
        <v>0.19</v>
      </c>
      <c r="ED82" s="51">
        <f t="shared" si="267"/>
        <v>0.19</v>
      </c>
      <c r="EE82" s="51">
        <f t="shared" si="267"/>
        <v>0.18999999999999997</v>
      </c>
      <c r="EF82" s="1080">
        <f t="shared" si="267"/>
        <v>0.19</v>
      </c>
      <c r="EG82" s="51">
        <f t="shared" ref="EG82:EL82" si="268">+EG81/EG80</f>
        <v>0.19</v>
      </c>
      <c r="EH82" s="51">
        <f t="shared" si="268"/>
        <v>0.18999999999999995</v>
      </c>
      <c r="EI82" s="1080">
        <f t="shared" si="268"/>
        <v>0.18999999999999997</v>
      </c>
      <c r="EJ82" s="51">
        <f t="shared" si="268"/>
        <v>0.19</v>
      </c>
      <c r="EK82" s="51">
        <f t="shared" si="268"/>
        <v>0.19000000000000003</v>
      </c>
      <c r="EL82" s="1080">
        <f t="shared" si="268"/>
        <v>0.19</v>
      </c>
      <c r="EM82" s="51">
        <f t="shared" ref="EM82:ER82" si="269">+EM81/EM80</f>
        <v>0.19</v>
      </c>
      <c r="EN82" s="51">
        <f t="shared" si="269"/>
        <v>0.19000000000000003</v>
      </c>
      <c r="EO82" s="1080">
        <f t="shared" si="269"/>
        <v>0.19000000000000003</v>
      </c>
      <c r="EP82" s="51">
        <f t="shared" si="269"/>
        <v>0.19</v>
      </c>
      <c r="EQ82" s="51">
        <f t="shared" si="269"/>
        <v>0.18999999999999997</v>
      </c>
      <c r="ER82" s="1080">
        <f t="shared" si="269"/>
        <v>0.19</v>
      </c>
      <c r="ES82" s="51">
        <f t="shared" ref="ES82:FA82" si="270">+ES81/ES80</f>
        <v>0.19</v>
      </c>
      <c r="ET82" s="51">
        <f t="shared" si="270"/>
        <v>0.19</v>
      </c>
      <c r="EU82" s="1080">
        <f t="shared" si="270"/>
        <v>0.19</v>
      </c>
      <c r="EV82" s="51">
        <f t="shared" si="270"/>
        <v>0.19</v>
      </c>
      <c r="EW82" s="51">
        <f t="shared" si="270"/>
        <v>0.19</v>
      </c>
      <c r="EX82" s="1080">
        <f t="shared" si="270"/>
        <v>0.19</v>
      </c>
      <c r="EY82" s="51">
        <f t="shared" si="270"/>
        <v>0.19</v>
      </c>
      <c r="EZ82" s="51">
        <f t="shared" si="270"/>
        <v>0.19</v>
      </c>
      <c r="FA82" s="1080">
        <f t="shared" si="270"/>
        <v>0.19</v>
      </c>
      <c r="FD82"/>
      <c r="FE82"/>
      <c r="FF82"/>
      <c r="FG82"/>
      <c r="FH82"/>
      <c r="FI82"/>
    </row>
    <row r="83" spans="2:169" s="33" customFormat="1">
      <c r="B83" s="54" t="s">
        <v>142</v>
      </c>
      <c r="D83" s="2" t="s">
        <v>506</v>
      </c>
      <c r="E83" s="53"/>
      <c r="F83" s="32">
        <f>G83-E83</f>
        <v>0</v>
      </c>
      <c r="G83" s="53"/>
      <c r="H83" s="53"/>
      <c r="I83" s="32">
        <f>J83-H83</f>
        <v>0</v>
      </c>
      <c r="J83" s="53"/>
      <c r="K83" s="53"/>
      <c r="L83" s="32">
        <f>M83-K83</f>
        <v>0</v>
      </c>
      <c r="M83" s="53"/>
      <c r="N83" s="53"/>
      <c r="O83" s="32">
        <f>P83-N83</f>
        <v>0</v>
      </c>
      <c r="P83" s="53"/>
      <c r="Q83" s="53"/>
      <c r="R83" s="32">
        <f>S83-Q83</f>
        <v>0</v>
      </c>
      <c r="S83" s="53"/>
      <c r="T83" s="53"/>
      <c r="U83" s="32">
        <f>V83-T83</f>
        <v>0</v>
      </c>
      <c r="V83" s="53"/>
      <c r="W83" s="53"/>
      <c r="X83" s="32">
        <f>Y83-W83</f>
        <v>0</v>
      </c>
      <c r="Y83" s="53"/>
      <c r="Z83" s="53"/>
      <c r="AA83" s="32">
        <f>AB83-Z83</f>
        <v>0</v>
      </c>
      <c r="AB83" s="53"/>
      <c r="AC83" s="53"/>
      <c r="AD83" s="32">
        <f>AE83-AC83</f>
        <v>0</v>
      </c>
      <c r="AE83" s="53"/>
      <c r="AF83" s="53"/>
      <c r="AG83" s="32">
        <f>AH83-AF83</f>
        <v>0</v>
      </c>
      <c r="AH83" s="53"/>
      <c r="AI83" s="53"/>
      <c r="AJ83" s="32">
        <f>AK83-AI83</f>
        <v>0</v>
      </c>
      <c r="AK83" s="53"/>
      <c r="AL83" s="53"/>
      <c r="AM83" s="32">
        <f>AN83-AL83</f>
        <v>0</v>
      </c>
      <c r="AN83" s="53"/>
      <c r="AO83" s="53"/>
      <c r="AP83" s="32">
        <f>AQ83-AO83</f>
        <v>0</v>
      </c>
      <c r="AQ83" s="53"/>
      <c r="AR83" s="53"/>
      <c r="AS83" s="32">
        <f>AT83-AR83</f>
        <v>0</v>
      </c>
      <c r="AT83" s="53"/>
      <c r="AU83" s="1097">
        <v>0</v>
      </c>
      <c r="AV83" s="32">
        <f>AW83-AU83</f>
        <v>0</v>
      </c>
      <c r="AW83" s="1097">
        <v>0</v>
      </c>
      <c r="AX83" s="1097">
        <v>0</v>
      </c>
      <c r="AY83" s="32">
        <f>AZ83-AX83</f>
        <v>0</v>
      </c>
      <c r="AZ83" s="1097">
        <v>0</v>
      </c>
      <c r="BA83" s="53">
        <f>IF(Assumptions!BA137&lt;&gt;"0",Assumptions!BA137,0)</f>
        <v>0</v>
      </c>
      <c r="BB83" s="32">
        <f>BC83-BA83</f>
        <v>0</v>
      </c>
      <c r="BC83" s="53">
        <f>IF(Assumptions!BC137&lt;&gt;"0",Assumptions!BC137,0)</f>
        <v>0</v>
      </c>
      <c r="BD83" s="1097">
        <v>0</v>
      </c>
      <c r="BE83" s="32">
        <f>BF83-BD83</f>
        <v>0</v>
      </c>
      <c r="BF83" s="1108">
        <f>IF(Assumptions!BF137&lt;&gt;"0",Assumptions!BF137,0)</f>
        <v>0</v>
      </c>
      <c r="BG83" s="1109">
        <f>IF(Assumptions!BG137&lt;&gt;"0",Assumptions!BG137,0)</f>
        <v>0</v>
      </c>
      <c r="BH83" s="32">
        <f>BI83-BG83</f>
        <v>0</v>
      </c>
      <c r="BI83" s="1108">
        <f>IF(Assumptions!BI137&lt;&gt;"0",Assumptions!BI137,0)</f>
        <v>0</v>
      </c>
      <c r="BJ83" s="1109">
        <f>IF(Assumptions!BJ137&lt;&gt;"0",Assumptions!BJ137,0)</f>
        <v>0</v>
      </c>
      <c r="BK83" s="32">
        <f>BL83-BJ83</f>
        <v>0</v>
      </c>
      <c r="BL83" s="1108">
        <f>IF(Assumptions!BL137&lt;&gt;"0",Assumptions!BL137,0)</f>
        <v>0</v>
      </c>
      <c r="BM83" s="1109">
        <f>IF(Assumptions!BM137&lt;&gt;"0",Assumptions!BM137,0)</f>
        <v>0</v>
      </c>
      <c r="BN83" s="32">
        <f>BO83-BM83</f>
        <v>0</v>
      </c>
      <c r="BO83" s="1108">
        <f>IF(Assumptions!BO137&lt;&gt;"0",Assumptions!BO137,0)</f>
        <v>0</v>
      </c>
      <c r="BP83" s="1109">
        <f>IF(Assumptions!BP137&lt;&gt;"0",Assumptions!BP137,0)</f>
        <v>0</v>
      </c>
      <c r="BQ83" s="32">
        <f>BR83-BP83</f>
        <v>0</v>
      </c>
      <c r="BR83" s="1108">
        <f>IF(Assumptions!BR137&lt;&gt;"0",Assumptions!BR137,0)</f>
        <v>0</v>
      </c>
      <c r="BS83" s="1109">
        <f>IF(Assumptions!BS137&lt;&gt;"0",Assumptions!BS137,0)</f>
        <v>0</v>
      </c>
      <c r="BT83" s="32">
        <f>BU83-BS83</f>
        <v>0</v>
      </c>
      <c r="BU83" s="1108">
        <f>IF(Assumptions!BU137&lt;&gt;"0",Assumptions!BU137,0)</f>
        <v>0</v>
      </c>
      <c r="BV83" s="1109">
        <f>IF(Assumptions!BV137&lt;&gt;"0",Assumptions!BV137,0)</f>
        <v>0</v>
      </c>
      <c r="BW83" s="32">
        <f>BX83-BV83</f>
        <v>0</v>
      </c>
      <c r="BX83" s="1108">
        <f>IF(Assumptions!BX137&lt;&gt;"0",Assumptions!BX137,0)</f>
        <v>0</v>
      </c>
      <c r="BY83" s="1109">
        <f>IF(Assumptions!BY137&lt;&gt;"0",Assumptions!BY137,0)</f>
        <v>0</v>
      </c>
      <c r="BZ83" s="32">
        <f>CA83-BY83</f>
        <v>0</v>
      </c>
      <c r="CA83" s="1108">
        <f>IF(Assumptions!CA137&lt;&gt;"0",Assumptions!CA137,0)</f>
        <v>0</v>
      </c>
      <c r="CB83" s="1109">
        <f>IF(Assumptions!CB137&lt;&gt;"0",Assumptions!CB137,0)</f>
        <v>0</v>
      </c>
      <c r="CC83" s="32">
        <f>CD83-CB83</f>
        <v>0</v>
      </c>
      <c r="CD83" s="1108">
        <f>IF(Assumptions!CD137&lt;&gt;"0",Assumptions!CD137,0)</f>
        <v>0</v>
      </c>
      <c r="CE83" s="1109">
        <f>IF(Assumptions!CE137&lt;&gt;"0",Assumptions!CE137,0)</f>
        <v>0</v>
      </c>
      <c r="CF83" s="32">
        <f>CG83-CE83</f>
        <v>0</v>
      </c>
      <c r="CG83" s="1108">
        <f>IF(Assumptions!CG137&lt;&gt;"0",Assumptions!CG137,0)</f>
        <v>0</v>
      </c>
      <c r="CH83" s="1109">
        <f>IF(Assumptions!CH137&lt;&gt;"0",Assumptions!CH137,0)</f>
        <v>0</v>
      </c>
      <c r="CI83" s="32">
        <f>CJ83-CH83</f>
        <v>0</v>
      </c>
      <c r="CJ83" s="1108">
        <f>IF(Assumptions!CJ137&lt;&gt;"0",Assumptions!CJ137,0)</f>
        <v>0</v>
      </c>
      <c r="CK83" s="1109">
        <f>IF(Assumptions!CK137&lt;&gt;"0",Assumptions!CK137,0)</f>
        <v>0</v>
      </c>
      <c r="CL83" s="32">
        <f>CM83-CK83</f>
        <v>0</v>
      </c>
      <c r="CM83" s="1108">
        <f>IF(Assumptions!CM137&lt;&gt;"0",Assumptions!CM137,0)</f>
        <v>0</v>
      </c>
      <c r="CN83" s="1109">
        <f>IF(Assumptions!CN137&lt;&gt;"0",Assumptions!CN137,0)</f>
        <v>0</v>
      </c>
      <c r="CO83" s="32">
        <f>CP83-CN83</f>
        <v>0</v>
      </c>
      <c r="CP83" s="1108">
        <f>IF(Assumptions!CP137&lt;&gt;"0",Assumptions!CP137,0)</f>
        <v>0</v>
      </c>
      <c r="CQ83" s="1109">
        <f>IF(Assumptions!CQ137&lt;&gt;"0",Assumptions!CQ137,0)</f>
        <v>0</v>
      </c>
      <c r="CR83" s="32">
        <f>CS83-CQ83</f>
        <v>0</v>
      </c>
      <c r="CS83" s="1108">
        <f>IF(Assumptions!CS137&lt;&gt;"0",Assumptions!CS137,0)</f>
        <v>0</v>
      </c>
      <c r="CT83" s="1109">
        <f>IF(Assumptions!CT137&lt;&gt;"0",Assumptions!CT137,0)</f>
        <v>0</v>
      </c>
      <c r="CU83" s="32">
        <f>CV83-CT83</f>
        <v>0</v>
      </c>
      <c r="CV83" s="1108">
        <f>IF(Assumptions!CV137&lt;&gt;"0",Assumptions!CV137,0)</f>
        <v>0</v>
      </c>
      <c r="CW83" s="1109">
        <f>IF(Assumptions!CW137&lt;&gt;"0",Assumptions!CW137,0)</f>
        <v>0</v>
      </c>
      <c r="CX83" s="32">
        <f>CY83-CW83</f>
        <v>0</v>
      </c>
      <c r="CY83" s="1108">
        <f>IF(Assumptions!CY137&lt;&gt;"0",Assumptions!CY137,0)</f>
        <v>0</v>
      </c>
      <c r="CZ83" s="1109">
        <f>IF(Assumptions!CZ137&lt;&gt;"0",Assumptions!CZ137,0)</f>
        <v>0</v>
      </c>
      <c r="DA83" s="32">
        <f>DB83-CZ83</f>
        <v>0</v>
      </c>
      <c r="DB83" s="1108">
        <f>IF(Assumptions!DB137&lt;&gt;"0",Assumptions!DB137,0)</f>
        <v>0</v>
      </c>
      <c r="DC83" s="1109">
        <f>IF(Assumptions!DC137&lt;&gt;"0",Assumptions!DC137,0)</f>
        <v>0</v>
      </c>
      <c r="DD83" s="32">
        <f>DE83-DC83</f>
        <v>0</v>
      </c>
      <c r="DE83" s="1135">
        <f>IF(Assumptions!DE137&lt;&gt;"0",Assumptions!DE137,0)</f>
        <v>0</v>
      </c>
      <c r="DF83" s="1109">
        <f>IF(Assumptions!DF137&lt;&gt;"0",Assumptions!DF137,0)</f>
        <v>0</v>
      </c>
      <c r="DG83" s="32">
        <f>DH83-DF83</f>
        <v>0</v>
      </c>
      <c r="DH83" s="1135">
        <f>IF(Assumptions!DH137&lt;&gt;"0",Assumptions!DH137,0)</f>
        <v>0</v>
      </c>
      <c r="DI83" s="1109">
        <f>IF(Assumptions!DI137&lt;&gt;"0",Assumptions!DI137,0)</f>
        <v>0</v>
      </c>
      <c r="DJ83" s="32">
        <f>DK83-DI83</f>
        <v>0</v>
      </c>
      <c r="DK83" s="1135">
        <f>IF(Assumptions!DK137&lt;&gt;"0",Assumptions!DK137,0)</f>
        <v>0</v>
      </c>
      <c r="DL83" s="53">
        <f>IF(Assumptions!DL137&lt;&gt;"0",Assumptions!DL137,0)</f>
        <v>0</v>
      </c>
      <c r="DM83" s="32">
        <f>DN83-DL83</f>
        <v>0</v>
      </c>
      <c r="DN83" s="1088">
        <f>IF(Assumptions!DN137&lt;&gt;"0",Assumptions!DN137,0)</f>
        <v>0</v>
      </c>
      <c r="DO83" s="53">
        <f>'Vifor Segment'!S94</f>
        <v>59</v>
      </c>
      <c r="DP83" s="32">
        <f>'Vifor Segment'!T94</f>
        <v>78</v>
      </c>
      <c r="DQ83" s="1088">
        <f>DO83+DP83</f>
        <v>137</v>
      </c>
      <c r="DR83" s="1834">
        <f>'Vifor Segment'!V94</f>
        <v>53</v>
      </c>
      <c r="DS83" s="1831">
        <f>DT83-DR83</f>
        <v>78</v>
      </c>
      <c r="DT83" s="1832">
        <f>'Vifor Segment'!X94</f>
        <v>131</v>
      </c>
      <c r="DU83" s="1834">
        <f>'Vifor Segment'!Y94</f>
        <v>74</v>
      </c>
      <c r="DV83" s="1831">
        <f>DW83-DU83</f>
        <v>120</v>
      </c>
      <c r="DW83" s="1832">
        <f>'Vifor Segment'!AA94</f>
        <v>194</v>
      </c>
      <c r="DX83" s="1834">
        <f>'Vifor Segment'!AB94</f>
        <v>125</v>
      </c>
      <c r="DY83" s="1831">
        <f>DZ83-DX83</f>
        <v>101.64874655187089</v>
      </c>
      <c r="DZ83" s="1832">
        <f>'Vifor Segment'!AD94</f>
        <v>226.64874655187089</v>
      </c>
      <c r="EA83" s="53">
        <f>'Vifor Segment'!AE94</f>
        <v>109.42262385696284</v>
      </c>
      <c r="EB83" s="32">
        <f>EC83-EA83</f>
        <v>93.623551210154744</v>
      </c>
      <c r="EC83" s="1088">
        <f>'Vifor Segment'!AG94</f>
        <v>203.04617506711759</v>
      </c>
      <c r="ED83" s="53">
        <f>'Vifor Segment'!AH94</f>
        <v>108.89427167381098</v>
      </c>
      <c r="EE83" s="32">
        <f>EF83-ED83</f>
        <v>97.250133120230487</v>
      </c>
      <c r="EF83" s="1088">
        <f>'Vifor Segment'!AJ94</f>
        <v>206.14440479404146</v>
      </c>
      <c r="EG83" s="53">
        <f>'Vifor Segment'!AK94</f>
        <v>113.22309229039755</v>
      </c>
      <c r="EH83" s="32">
        <f>EI83-EG83</f>
        <v>101.04457047243261</v>
      </c>
      <c r="EI83" s="1088">
        <f>'Vifor Segment'!AM94</f>
        <v>214.26766276283016</v>
      </c>
      <c r="EJ83" s="53">
        <f>'Vifor Segment'!AN94</f>
        <v>117.75732364801377</v>
      </c>
      <c r="EK83" s="32">
        <f>EL83-EJ83</f>
        <v>105.01547987991975</v>
      </c>
      <c r="EL83" s="1088">
        <f>'Vifor Segment'!AP94</f>
        <v>222.77280352793352</v>
      </c>
      <c r="EM83" s="53">
        <f>'Vifor Segment'!AQ94</f>
        <v>122.50786155149576</v>
      </c>
      <c r="EN83" s="32">
        <f>EO83-EM83</f>
        <v>109.17196805219579</v>
      </c>
      <c r="EO83" s="1088">
        <f>'Vifor Segment'!AS94</f>
        <v>231.67982960369156</v>
      </c>
      <c r="EP83" s="53">
        <f>'Vifor Segment'!AT94</f>
        <v>127.48624819430957</v>
      </c>
      <c r="EQ83" s="32">
        <f>ER83-EP83</f>
        <v>113.52366275890513</v>
      </c>
      <c r="ER83" s="1088">
        <f>'Vifor Segment'!AV94</f>
        <v>241.0099109532147</v>
      </c>
      <c r="ES83" s="53">
        <f>'Vifor Segment'!AW94</f>
        <v>132.70471503060602</v>
      </c>
      <c r="ET83" s="32">
        <f>EU83-ES83</f>
        <v>118.0807459590269</v>
      </c>
      <c r="EU83" s="1088">
        <f>'Vifor Segment'!AY94</f>
        <v>250.78546098963292</v>
      </c>
      <c r="EV83" s="53">
        <f>'Vifor Segment'!AZ94</f>
        <v>138.17622879821303</v>
      </c>
      <c r="EW83" s="32">
        <f>EX83-EV83</f>
        <v>122.85398926119214</v>
      </c>
      <c r="EX83" s="1088">
        <f>'Vifor Segment'!BB94</f>
        <v>261.03021805940517</v>
      </c>
      <c r="EY83" s="53">
        <f>'Vifor Segment'!BC94</f>
        <v>143.91454094492434</v>
      </c>
      <c r="EZ83" s="32">
        <f>FA83-EY83</f>
        <v>127.85479189449654</v>
      </c>
      <c r="FA83" s="1088">
        <f>'Vifor Segment'!BE94</f>
        <v>271.76933283942088</v>
      </c>
      <c r="FD83"/>
      <c r="FE83"/>
      <c r="FF83"/>
      <c r="FG83"/>
      <c r="FH83"/>
      <c r="FI83"/>
    </row>
    <row r="84" spans="2:169" s="33" customFormat="1">
      <c r="B84" s="1730" t="s">
        <v>631</v>
      </c>
      <c r="C84" s="1731"/>
      <c r="D84" s="1732" t="s">
        <v>506</v>
      </c>
      <c r="E84" s="1157"/>
      <c r="F84" s="1421">
        <f>G84-E84</f>
        <v>0</v>
      </c>
      <c r="G84" s="1157"/>
      <c r="H84" s="1157"/>
      <c r="I84" s="1421">
        <f>J84-H84</f>
        <v>0</v>
      </c>
      <c r="J84" s="1157"/>
      <c r="K84" s="1157"/>
      <c r="L84" s="1421">
        <f>M84-K84</f>
        <v>0</v>
      </c>
      <c r="M84" s="1157"/>
      <c r="N84" s="1157"/>
      <c r="O84" s="1421">
        <f>P84-N84</f>
        <v>0</v>
      </c>
      <c r="P84" s="1157"/>
      <c r="Q84" s="1157"/>
      <c r="R84" s="1421">
        <f>S84-Q84</f>
        <v>0</v>
      </c>
      <c r="S84" s="1157"/>
      <c r="T84" s="1157"/>
      <c r="U84" s="1421">
        <f>V84-T84</f>
        <v>0</v>
      </c>
      <c r="V84" s="1157"/>
      <c r="W84" s="1157"/>
      <c r="X84" s="1421">
        <f>Y84-W84</f>
        <v>0</v>
      </c>
      <c r="Y84" s="1157"/>
      <c r="Z84" s="1157"/>
      <c r="AA84" s="1421">
        <f>AB84-Z84</f>
        <v>0</v>
      </c>
      <c r="AB84" s="1157"/>
      <c r="AC84" s="1157"/>
      <c r="AD84" s="1421">
        <f>AE84-AC84</f>
        <v>0</v>
      </c>
      <c r="AE84" s="1157"/>
      <c r="AF84" s="1157"/>
      <c r="AG84" s="1421">
        <f>AH84-AF84</f>
        <v>0</v>
      </c>
      <c r="AH84" s="1157"/>
      <c r="AI84" s="1157"/>
      <c r="AJ84" s="1421">
        <f>AK84-AI84</f>
        <v>0</v>
      </c>
      <c r="AK84" s="1157"/>
      <c r="AL84" s="1157"/>
      <c r="AM84" s="1421">
        <f>AN84-AL84</f>
        <v>0</v>
      </c>
      <c r="AN84" s="1157"/>
      <c r="AO84" s="1157"/>
      <c r="AP84" s="1421">
        <f>AQ84-AO84</f>
        <v>0</v>
      </c>
      <c r="AQ84" s="1157"/>
      <c r="AR84" s="1157"/>
      <c r="AS84" s="1421">
        <f>AT84-AR84</f>
        <v>0</v>
      </c>
      <c r="AT84" s="1157"/>
      <c r="AU84" s="1734">
        <v>0</v>
      </c>
      <c r="AV84" s="1421">
        <f>AW84-AU84</f>
        <v>0</v>
      </c>
      <c r="AW84" s="1734">
        <v>0</v>
      </c>
      <c r="AX84" s="1734">
        <v>0</v>
      </c>
      <c r="AY84" s="1421">
        <f>AZ84-AX84</f>
        <v>0</v>
      </c>
      <c r="AZ84" s="1734">
        <v>0</v>
      </c>
      <c r="BA84" s="1157">
        <f>IF(Assumptions!BA138&lt;&gt;"0",Assumptions!BA138,0)</f>
        <v>0</v>
      </c>
      <c r="BB84" s="1421">
        <f>BC84-BA84</f>
        <v>0</v>
      </c>
      <c r="BC84" s="1157">
        <f>IF(Assumptions!BC138&lt;&gt;"0",Assumptions!BC138,0)</f>
        <v>0</v>
      </c>
      <c r="BD84" s="1734">
        <v>0</v>
      </c>
      <c r="BE84" s="1421">
        <f>BF84-BD84</f>
        <v>0</v>
      </c>
      <c r="BF84" s="1137">
        <f>IF(Assumptions!BF138&lt;&gt;"0",Assumptions!BF138,0)</f>
        <v>0</v>
      </c>
      <c r="BG84" s="1117">
        <f>IF(Assumptions!BG138&lt;&gt;"0",Assumptions!BG138,0)</f>
        <v>0</v>
      </c>
      <c r="BH84" s="1421">
        <f>BI84-BG84</f>
        <v>0</v>
      </c>
      <c r="BI84" s="1137">
        <f>IF(Assumptions!BI138&lt;&gt;"0",Assumptions!BI138,0)</f>
        <v>0</v>
      </c>
      <c r="BJ84" s="1117">
        <f>IF(Assumptions!BJ138&lt;&gt;"0",Assumptions!BJ138,0)</f>
        <v>0</v>
      </c>
      <c r="BK84" s="1421">
        <f>BL84-BJ84</f>
        <v>0</v>
      </c>
      <c r="BL84" s="1137">
        <f>IF(Assumptions!BL138&lt;&gt;"0",Assumptions!BL138,0)</f>
        <v>0</v>
      </c>
      <c r="BM84" s="1117">
        <f>IF(Assumptions!BM138&lt;&gt;"0",Assumptions!BM138,0)</f>
        <v>0</v>
      </c>
      <c r="BN84" s="1421">
        <f>BO84-BM84</f>
        <v>0</v>
      </c>
      <c r="BO84" s="1137">
        <f>IF(Assumptions!BO138&lt;&gt;"0",Assumptions!BO138,0)</f>
        <v>0</v>
      </c>
      <c r="BP84" s="1117">
        <f>IF(Assumptions!BP138&lt;&gt;"0",Assumptions!BP138,0)</f>
        <v>0</v>
      </c>
      <c r="BQ84" s="1421">
        <f>BR84-BP84</f>
        <v>0</v>
      </c>
      <c r="BR84" s="1137">
        <f>IF(Assumptions!BR138&lt;&gt;"0",Assumptions!BR138,0)</f>
        <v>0</v>
      </c>
      <c r="BS84" s="1117">
        <f>IF(Assumptions!BS138&lt;&gt;"0",Assumptions!BS138,0)</f>
        <v>0</v>
      </c>
      <c r="BT84" s="1421">
        <f>BU84-BS84</f>
        <v>0</v>
      </c>
      <c r="BU84" s="1137">
        <f>IF(Assumptions!BU138&lt;&gt;"0",Assumptions!BU138,0)</f>
        <v>0</v>
      </c>
      <c r="BV84" s="1117">
        <f>IF(Assumptions!BV138&lt;&gt;"0",Assumptions!BV138,0)</f>
        <v>0</v>
      </c>
      <c r="BW84" s="1421">
        <f>BX84-BV84</f>
        <v>0</v>
      </c>
      <c r="BX84" s="1137">
        <f>IF(Assumptions!BX138&lt;&gt;"0",Assumptions!BX138,0)</f>
        <v>0</v>
      </c>
      <c r="BY84" s="1117">
        <f>IF(Assumptions!BY138&lt;&gt;"0",Assumptions!BY138,0)</f>
        <v>0</v>
      </c>
      <c r="BZ84" s="1421">
        <f>CA84-BY84</f>
        <v>0</v>
      </c>
      <c r="CA84" s="1137">
        <f>IF(Assumptions!CA138&lt;&gt;"0",Assumptions!CA138,0)</f>
        <v>0</v>
      </c>
      <c r="CB84" s="1117">
        <f>IF(Assumptions!CB138&lt;&gt;"0",Assumptions!CB138,0)</f>
        <v>0</v>
      </c>
      <c r="CC84" s="1421">
        <f>CD84-CB84</f>
        <v>0</v>
      </c>
      <c r="CD84" s="1137">
        <f>IF(Assumptions!CD138&lt;&gt;"0",Assumptions!CD138,0)</f>
        <v>0</v>
      </c>
      <c r="CE84" s="1117">
        <f>IF(Assumptions!CE138&lt;&gt;"0",Assumptions!CE138,0)</f>
        <v>0</v>
      </c>
      <c r="CF84" s="1421">
        <f>CG84-CE84</f>
        <v>0</v>
      </c>
      <c r="CG84" s="1137">
        <f>IF(Assumptions!CG138&lt;&gt;"0",Assumptions!CG138,0)</f>
        <v>0</v>
      </c>
      <c r="CH84" s="1117">
        <f>IF(Assumptions!CH138&lt;&gt;"0",Assumptions!CH138,0)</f>
        <v>0</v>
      </c>
      <c r="CI84" s="1421">
        <f>CJ84-CH84</f>
        <v>0</v>
      </c>
      <c r="CJ84" s="1137">
        <f>IF(Assumptions!CJ138&lt;&gt;"0",Assumptions!CJ138,0)</f>
        <v>0</v>
      </c>
      <c r="CK84" s="1117">
        <f>IF(Assumptions!CK138&lt;&gt;"0",Assumptions!CK138,0)</f>
        <v>0</v>
      </c>
      <c r="CL84" s="1421">
        <f>CM84-CK84</f>
        <v>0</v>
      </c>
      <c r="CM84" s="1137">
        <f>IF(Assumptions!CM138&lt;&gt;"0",Assumptions!CM138,0)</f>
        <v>0</v>
      </c>
      <c r="CN84" s="1117">
        <f>IF(Assumptions!CN138&lt;&gt;"0",Assumptions!CN138,0)</f>
        <v>0</v>
      </c>
      <c r="CO84" s="1421">
        <f>CP84-CN84</f>
        <v>0</v>
      </c>
      <c r="CP84" s="1137">
        <f>IF(Assumptions!CP138&lt;&gt;"0",Assumptions!CP138,0)</f>
        <v>0</v>
      </c>
      <c r="CQ84" s="1117">
        <f>IF(Assumptions!CQ138&lt;&gt;"0",Assumptions!CQ138,0)</f>
        <v>0</v>
      </c>
      <c r="CR84" s="1421">
        <f>CS84-CQ84</f>
        <v>0</v>
      </c>
      <c r="CS84" s="1137">
        <f>IF(Assumptions!CS138&lt;&gt;"0",Assumptions!CS138,0)</f>
        <v>0</v>
      </c>
      <c r="CT84" s="1117">
        <f>IF(Assumptions!CT138&lt;&gt;"0",Assumptions!CT138,0)</f>
        <v>0</v>
      </c>
      <c r="CU84" s="1421">
        <f>CV84-CT84</f>
        <v>0</v>
      </c>
      <c r="CV84" s="1137">
        <f>IF(Assumptions!CV138&lt;&gt;"0",Assumptions!CV138,0)</f>
        <v>0</v>
      </c>
      <c r="CW84" s="1117">
        <f>IF(Assumptions!CW138&lt;&gt;"0",Assumptions!CW138,0)</f>
        <v>0</v>
      </c>
      <c r="CX84" s="1421">
        <f>CY84-CW84</f>
        <v>0</v>
      </c>
      <c r="CY84" s="1137">
        <f>IF(Assumptions!CY138&lt;&gt;"0",Assumptions!CY138,0)</f>
        <v>0</v>
      </c>
      <c r="CZ84" s="1117">
        <f>IF(Assumptions!CZ138&lt;&gt;"0",Assumptions!CZ138,0)</f>
        <v>0</v>
      </c>
      <c r="DA84" s="1421">
        <f>DB84-CZ84</f>
        <v>0</v>
      </c>
      <c r="DB84" s="1137">
        <f>IF(Assumptions!DB138&lt;&gt;"0",Assumptions!DB138,0)</f>
        <v>0</v>
      </c>
      <c r="DC84" s="1117">
        <f>IF(Assumptions!DC138&lt;&gt;"0",Assumptions!DC138,0)</f>
        <v>0</v>
      </c>
      <c r="DD84" s="1421">
        <f>DE84-DC84</f>
        <v>0</v>
      </c>
      <c r="DE84" s="1139">
        <f>IF(Assumptions!DE138&lt;&gt;"0",Assumptions!DE138,0)</f>
        <v>0</v>
      </c>
      <c r="DF84" s="1117">
        <f>IF(Assumptions!DF138&lt;&gt;"0",Assumptions!DF138,0)</f>
        <v>0</v>
      </c>
      <c r="DG84" s="1421">
        <f>DH84-DF84</f>
        <v>0</v>
      </c>
      <c r="DH84" s="1139">
        <f>IF(Assumptions!DH138&lt;&gt;"0",Assumptions!DH138,0)</f>
        <v>0</v>
      </c>
      <c r="DI84" s="1117">
        <f>IF(Assumptions!DI138&lt;&gt;"0",Assumptions!DI138,0)</f>
        <v>0</v>
      </c>
      <c r="DJ84" s="1421">
        <f>DK84-DI84</f>
        <v>0</v>
      </c>
      <c r="DK84" s="1139">
        <f>IF(Assumptions!DK138&lt;&gt;"0",Assumptions!DK138,0)</f>
        <v>0</v>
      </c>
      <c r="DL84" s="1157">
        <f>IF(Assumptions!DL138&lt;&gt;"0",Assumptions!DL138,0)</f>
        <v>0</v>
      </c>
      <c r="DM84" s="1421">
        <f>DN84-DL84</f>
        <v>0</v>
      </c>
      <c r="DN84" s="1117">
        <f>IF(Assumptions!DN138&lt;&gt;"0",Assumptions!DN138,0)</f>
        <v>0</v>
      </c>
      <c r="DO84" s="1157">
        <f>IF(Assumptions!DO138&lt;&gt;"0",Assumptions!DO138,0)</f>
        <v>0</v>
      </c>
      <c r="DP84" s="1421">
        <f>DQ84-DO84</f>
        <v>0</v>
      </c>
      <c r="DQ84" s="1117">
        <f>IF(Assumptions!DQ138&lt;&gt;"0",Assumptions!DQ138,0)</f>
        <v>0</v>
      </c>
      <c r="DR84" s="1157">
        <f>IF(Assumptions!DR138&lt;&gt;"0",Assumptions!DR138,0)</f>
        <v>0</v>
      </c>
      <c r="DS84" s="1421">
        <f>DT84-DR84</f>
        <v>0</v>
      </c>
      <c r="DT84" s="1117">
        <f>IF(Assumptions!DT138&lt;&gt;"0",Assumptions!DT138,0)</f>
        <v>0</v>
      </c>
      <c r="DU84" s="1157">
        <f>IF(Assumptions!DU138&lt;&gt;"0",Assumptions!DU138,0)</f>
        <v>0</v>
      </c>
      <c r="DV84" s="1421">
        <f>DW84-DU84</f>
        <v>0</v>
      </c>
      <c r="DW84" s="1117">
        <f>IF(Assumptions!DW138&lt;&gt;"0",Assumptions!DW138,0)</f>
        <v>0</v>
      </c>
      <c r="DX84" s="1157">
        <f>IF(Assumptions!DX138&lt;&gt;"0",Assumptions!DX138,0)</f>
        <v>0</v>
      </c>
      <c r="DY84" s="1421">
        <f>DZ84-DX84</f>
        <v>0</v>
      </c>
      <c r="DZ84" s="1117">
        <f>IF(Assumptions!DZ138&lt;&gt;"0",Assumptions!DZ138,0)</f>
        <v>0</v>
      </c>
      <c r="EA84" s="1157">
        <f>IF(Assumptions!EA138&lt;&gt;"0",Assumptions!EA138,0)</f>
        <v>0</v>
      </c>
      <c r="EB84" s="1421">
        <f>EC84-EA84</f>
        <v>0</v>
      </c>
      <c r="EC84" s="1117">
        <f>IF(Assumptions!EC138&lt;&gt;"0",Assumptions!EC138,0)</f>
        <v>0</v>
      </c>
      <c r="ED84" s="1157">
        <f>IF(Assumptions!ED138&lt;&gt;"0",Assumptions!ED138,0)</f>
        <v>0</v>
      </c>
      <c r="EE84" s="1421">
        <f>EF84-ED84</f>
        <v>0</v>
      </c>
      <c r="EF84" s="1117">
        <f>IF(Assumptions!EF138&lt;&gt;"0",Assumptions!EF138,0)</f>
        <v>0</v>
      </c>
      <c r="EG84" s="1157">
        <f>IF(Assumptions!EG138&lt;&gt;"0",Assumptions!EG138,0)</f>
        <v>0</v>
      </c>
      <c r="EH84" s="1421">
        <f>EI84-EG84</f>
        <v>0</v>
      </c>
      <c r="EI84" s="1117">
        <f>IF(Assumptions!EI138&lt;&gt;"0",Assumptions!EI138,0)</f>
        <v>0</v>
      </c>
      <c r="EJ84" s="1157">
        <f>IF(Assumptions!EJ138&lt;&gt;"0",Assumptions!EJ138,0)</f>
        <v>0</v>
      </c>
      <c r="EK84" s="1421">
        <f>EL84-EJ84</f>
        <v>0</v>
      </c>
      <c r="EL84" s="1117">
        <f>IF(Assumptions!EL138&lt;&gt;"0",Assumptions!EL138,0)</f>
        <v>0</v>
      </c>
      <c r="EM84" s="1157">
        <f>IF(Assumptions!EM138&lt;&gt;"0",Assumptions!EM138,0)</f>
        <v>0</v>
      </c>
      <c r="EN84" s="1421">
        <f>EO84-EM84</f>
        <v>0</v>
      </c>
      <c r="EO84" s="1117">
        <f>IF(Assumptions!EO138&lt;&gt;"0",Assumptions!EO138,0)</f>
        <v>0</v>
      </c>
      <c r="EP84" s="1157">
        <f>IF(Assumptions!EP138&lt;&gt;"0",Assumptions!EP138,0)</f>
        <v>0</v>
      </c>
      <c r="EQ84" s="1421">
        <f>ER84-EP84</f>
        <v>0</v>
      </c>
      <c r="ER84" s="1117">
        <f>IF(Assumptions!ER138&lt;&gt;"0",Assumptions!ER138,0)</f>
        <v>0</v>
      </c>
      <c r="ES84" s="1157">
        <f>IF(Assumptions!ES138&lt;&gt;"0",Assumptions!ES138,0)</f>
        <v>0</v>
      </c>
      <c r="ET84" s="1421">
        <f>EU84-ES84</f>
        <v>0</v>
      </c>
      <c r="EU84" s="1117">
        <f>IF(Assumptions!EU138&lt;&gt;"0",Assumptions!EU138,0)</f>
        <v>0</v>
      </c>
      <c r="EV84" s="1157">
        <f>IF(Assumptions!EV138&lt;&gt;"0",Assumptions!EV138,0)</f>
        <v>0</v>
      </c>
      <c r="EW84" s="1421">
        <f>EX84-EV84</f>
        <v>0</v>
      </c>
      <c r="EX84" s="1117">
        <f>IF(Assumptions!EX138&lt;&gt;"0",Assumptions!EX138,0)</f>
        <v>0</v>
      </c>
      <c r="EY84" s="1157">
        <f>IF(Assumptions!EY138&lt;&gt;"0",Assumptions!EY138,0)</f>
        <v>0</v>
      </c>
      <c r="EZ84" s="1421">
        <f>FA84-EY84</f>
        <v>0</v>
      </c>
      <c r="FA84" s="1117">
        <f>IF(Assumptions!FA138&lt;&gt;"0",Assumptions!FA138,0)</f>
        <v>0</v>
      </c>
      <c r="FD84"/>
      <c r="FE84"/>
      <c r="FF84"/>
      <c r="FG84"/>
      <c r="FH84"/>
      <c r="FI84"/>
    </row>
    <row r="85" spans="2:169" s="61" customFormat="1">
      <c r="B85" s="1719" t="s">
        <v>937</v>
      </c>
      <c r="D85" s="1658" t="s">
        <v>506</v>
      </c>
      <c r="E85" s="1272">
        <f>+E80-E81-E83-E84</f>
        <v>0</v>
      </c>
      <c r="F85" s="1272">
        <f>+G85-E85</f>
        <v>0</v>
      </c>
      <c r="G85" s="1272">
        <f>+G80-G81-G83-G84</f>
        <v>0</v>
      </c>
      <c r="H85" s="1272">
        <f>+H80-H81-H83-H84</f>
        <v>0</v>
      </c>
      <c r="I85" s="1272">
        <f>+J85-H85</f>
        <v>0</v>
      </c>
      <c r="J85" s="1272">
        <f>+J80-J81-J83-J84</f>
        <v>0</v>
      </c>
      <c r="K85" s="1272">
        <f>+K80-K81-K83-K84</f>
        <v>0</v>
      </c>
      <c r="L85" s="1272">
        <f>+M85-K85</f>
        <v>0</v>
      </c>
      <c r="M85" s="1272">
        <f>+M80-M81-M83-M84</f>
        <v>0</v>
      </c>
      <c r="N85" s="1272">
        <f>+N80-N81-N83-N84</f>
        <v>0</v>
      </c>
      <c r="O85" s="1272">
        <f>+P85-N85</f>
        <v>0</v>
      </c>
      <c r="P85" s="1272">
        <f>+P80-P81-P83-P84</f>
        <v>0</v>
      </c>
      <c r="Q85" s="1272">
        <f>+Q80-Q81-Q83-Q84</f>
        <v>0</v>
      </c>
      <c r="R85" s="1272">
        <f>+S85-Q85</f>
        <v>0</v>
      </c>
      <c r="S85" s="1272">
        <f>+S80-S81-S83-S84</f>
        <v>0</v>
      </c>
      <c r="T85" s="1272">
        <f>+T80-T81-T83-T84</f>
        <v>0</v>
      </c>
      <c r="U85" s="1272">
        <f>+V85-T85</f>
        <v>0</v>
      </c>
      <c r="V85" s="1272">
        <f>+V80-V81-V83-V84</f>
        <v>0</v>
      </c>
      <c r="W85" s="1272">
        <f>+W80-W81-W83-W84</f>
        <v>0</v>
      </c>
      <c r="X85" s="1272">
        <f>+Y85-W85</f>
        <v>0</v>
      </c>
      <c r="Y85" s="1272">
        <f>+Y80-Y81-Y83-Y84</f>
        <v>0</v>
      </c>
      <c r="Z85" s="1272">
        <f>+Z80-Z81-Z83-Z84</f>
        <v>0</v>
      </c>
      <c r="AA85" s="1272">
        <f>+AB85-Z85</f>
        <v>0</v>
      </c>
      <c r="AB85" s="1272">
        <f>+AB80-AB81-AB83-AB84</f>
        <v>0</v>
      </c>
      <c r="AC85" s="1272">
        <f>+AC80-AC81-AC83-AC84</f>
        <v>0</v>
      </c>
      <c r="AD85" s="1272">
        <f>+AE85-AC85</f>
        <v>0</v>
      </c>
      <c r="AE85" s="1272">
        <f>+AE80-AE81-AE83-AE84</f>
        <v>0</v>
      </c>
      <c r="AF85" s="1272">
        <f>+AF80-AF81-AF83-AF84</f>
        <v>0</v>
      </c>
      <c r="AG85" s="1272">
        <f>+AH85-AF85</f>
        <v>0</v>
      </c>
      <c r="AH85" s="1272">
        <f>+AH80-AH81-AH83-AH84</f>
        <v>0</v>
      </c>
      <c r="AI85" s="1272">
        <f>+AI80-AI81-AI83-AI84</f>
        <v>0</v>
      </c>
      <c r="AJ85" s="1272">
        <f>+AK85-AI85</f>
        <v>0</v>
      </c>
      <c r="AK85" s="1272">
        <f>+AK80-AK81-AK83-AK84</f>
        <v>0</v>
      </c>
      <c r="AL85" s="1272">
        <f>+AL80-AL81-AL83-AL84</f>
        <v>0</v>
      </c>
      <c r="AM85" s="1272">
        <f>+AN85-AL85</f>
        <v>28.995000000000005</v>
      </c>
      <c r="AN85" s="1272">
        <f>+AN80-AN81-AN83-AN84</f>
        <v>28.995000000000005</v>
      </c>
      <c r="AO85" s="1272">
        <f>+AO80-AO81-AO83-AO84</f>
        <v>12.447000000000001</v>
      </c>
      <c r="AP85" s="1272">
        <f>+AQ85-AO85</f>
        <v>22.704999999999998</v>
      </c>
      <c r="AQ85" s="1272">
        <f>+AQ80-AQ81-AQ83-AQ84</f>
        <v>35.152000000000001</v>
      </c>
      <c r="AR85" s="1272">
        <f>+AR80-AR81-AR83-AR84</f>
        <v>17.733999999999998</v>
      </c>
      <c r="AS85" s="1272">
        <f>+AT85-AR85</f>
        <v>23.170000000000005</v>
      </c>
      <c r="AT85" s="1272">
        <f>+AT80-AT81-AT83-AT84</f>
        <v>40.904000000000003</v>
      </c>
      <c r="AU85" s="1272">
        <f>+AU80-AU81-AU83-AU84</f>
        <v>16.207999999999998</v>
      </c>
      <c r="AV85" s="1272">
        <f>+AW85-AU85</f>
        <v>27.911000000000001</v>
      </c>
      <c r="AW85" s="1272">
        <f>+AW80-AW81-AW83-AW84</f>
        <v>44.119</v>
      </c>
      <c r="AX85" s="1272">
        <f>+AX80-AX81-AX83-AX84</f>
        <v>18.61</v>
      </c>
      <c r="AY85" s="1272">
        <f>+AZ85-AX85</f>
        <v>35.792000000000002</v>
      </c>
      <c r="AZ85" s="1272">
        <f>+AZ80-AZ81-AZ83-AZ84</f>
        <v>54.402000000000001</v>
      </c>
      <c r="BA85" s="1272">
        <f>+BA80-BA81-BA83-BA84</f>
        <v>27.253000000000004</v>
      </c>
      <c r="BB85" s="1272">
        <f>+BC85-BA85</f>
        <v>50.988000000000014</v>
      </c>
      <c r="BC85" s="1272">
        <f>+BC80-BC81-BC83-BC84</f>
        <v>78.241000000000014</v>
      </c>
      <c r="BD85" s="1272">
        <f>+BD80-BD81-BD83-BD84</f>
        <v>57.541000000000004</v>
      </c>
      <c r="BE85" s="1272">
        <f>+BF85-BD85</f>
        <v>66.266999999999996</v>
      </c>
      <c r="BF85" s="1272">
        <f>+BF80-BF81-BF83-BF84</f>
        <v>123.80799999999999</v>
      </c>
      <c r="BG85" s="1272">
        <f>+BG80-BG81-BG83-BG84</f>
        <v>40.1</v>
      </c>
      <c r="BH85" s="1272">
        <f>+BI85-BG85</f>
        <v>30.323</v>
      </c>
      <c r="BI85" s="1272">
        <f>+BI80-BI81-BI83-BI84</f>
        <v>70.423000000000002</v>
      </c>
      <c r="BJ85" s="1272">
        <f>+BJ80-BJ81-BJ83-BJ84</f>
        <v>25.382000000000001</v>
      </c>
      <c r="BK85" s="1272"/>
      <c r="BL85" s="1272"/>
      <c r="BM85" s="1272">
        <f>+BM80-BM81-BM83-BM84</f>
        <v>160.11100000000002</v>
      </c>
      <c r="BN85" s="1272">
        <f>+BO85-BM85</f>
        <v>386.40700000000004</v>
      </c>
      <c r="BO85" s="1272">
        <f>+BO80-BO81-BO83-BO84</f>
        <v>546.51800000000003</v>
      </c>
      <c r="BP85" s="1272">
        <f>+BP80-BP81-BP83-BP84</f>
        <v>176.423</v>
      </c>
      <c r="BQ85" s="1272">
        <f>+BR85-BP85</f>
        <v>174.47000000000003</v>
      </c>
      <c r="BR85" s="1272">
        <f>+BR80-BR81-BR83-BR84</f>
        <v>350.89300000000003</v>
      </c>
      <c r="BS85" s="1272">
        <f>+BS80-BS81-BS83-BS84</f>
        <v>257.28599999999994</v>
      </c>
      <c r="BT85" s="1272">
        <f>+BU85-BS85</f>
        <v>282.01300000000003</v>
      </c>
      <c r="BU85" s="1272">
        <f>+BU80-BU81-BU83-BU84</f>
        <v>539.29899999999998</v>
      </c>
      <c r="BV85" s="1272">
        <f>+BV80-BV81-BV83-BV84</f>
        <v>348.72799999999995</v>
      </c>
      <c r="BW85" s="1272">
        <f t="shared" ref="BW85:BW91" si="271">+BX85-BV85</f>
        <v>353.07400000000007</v>
      </c>
      <c r="BX85" s="1720">
        <f>+BX80-BX81-BX83-BX84</f>
        <v>701.80200000000002</v>
      </c>
      <c r="BY85" s="1272">
        <f>+BY80-BY81-BY83-BY84</f>
        <v>501.85699999999997</v>
      </c>
      <c r="BZ85" s="1272">
        <f t="shared" ref="BZ85:BZ91" si="272">+CA85-BY85</f>
        <v>518.03700000000003</v>
      </c>
      <c r="CA85" s="1272">
        <f>+CA80-CA81-CA83-CA84</f>
        <v>1019.894</v>
      </c>
      <c r="CB85" s="1272">
        <f>+CB80-CB81-CB83-CB84</f>
        <v>617.39400000000001</v>
      </c>
      <c r="CC85" s="1272">
        <f t="shared" ref="CC85:CC91" si="273">+CD85-CB85</f>
        <v>435.50699999999983</v>
      </c>
      <c r="CD85" s="1272">
        <f>+CD80-CD81-CD83-CD84</f>
        <v>1052.9009999999998</v>
      </c>
      <c r="CE85" s="1272">
        <f>+CE80-CE81-CE83-CE84</f>
        <v>500.21500000000003</v>
      </c>
      <c r="CF85" s="1272">
        <f t="shared" ref="CF85:CF91" si="274">+CG85-CE85</f>
        <v>440.38599999999985</v>
      </c>
      <c r="CG85" s="1272">
        <f>+CG80-CG81-CG83-CG84</f>
        <v>940.60099999999989</v>
      </c>
      <c r="CH85" s="1272">
        <f>+CH80-CH81-CH83-CH84</f>
        <v>504.29999999999995</v>
      </c>
      <c r="CI85" s="1272">
        <f t="shared" ref="CI85:CI91" si="275">+CJ85-CH85</f>
        <v>519.6</v>
      </c>
      <c r="CJ85" s="1272">
        <f>+CJ80-CJ81-CJ83-CJ84</f>
        <v>1023.9</v>
      </c>
      <c r="CK85" s="1272">
        <f>+CK80-CK81-CK83-CK84</f>
        <v>624.59999999999991</v>
      </c>
      <c r="CL85" s="1272">
        <f t="shared" ref="CL85:CL91" si="276">+CM85-CK85</f>
        <v>591.70000000000027</v>
      </c>
      <c r="CM85" s="1272">
        <f>+CM80-CM81-CM83-CM84</f>
        <v>1216.3000000000002</v>
      </c>
      <c r="CN85" s="1272">
        <f>+CN80-CN81-CN83-CN84</f>
        <v>645.70000000000005</v>
      </c>
      <c r="CO85" s="1272">
        <f t="shared" ref="CO85:CO91" si="277">+CP85-CN85</f>
        <v>661.3</v>
      </c>
      <c r="CP85" s="1272">
        <f>+CP80-CP81-CP83-CP84</f>
        <v>1307</v>
      </c>
      <c r="CQ85" s="1272">
        <f>+CQ80-CQ81-CQ83-CQ84</f>
        <v>692.2</v>
      </c>
      <c r="CR85" s="1272">
        <f t="shared" ref="CR85:CR91" si="278">+CS85-CQ85</f>
        <v>708.8</v>
      </c>
      <c r="CS85" s="1272">
        <f>+CS80-CS81-CS83-CS84</f>
        <v>1401</v>
      </c>
      <c r="CT85" s="1272">
        <f>+CT80-CT81-CT83-CT84</f>
        <v>606.90000000000009</v>
      </c>
      <c r="CU85" s="1272">
        <f t="shared" ref="CU85:CU91" si="279">+CV85-CT85</f>
        <v>546</v>
      </c>
      <c r="CV85" s="1272">
        <f>+CV80-CV81-CV83-CV84</f>
        <v>1152.9000000000001</v>
      </c>
      <c r="CW85" s="1272">
        <f>+CW80-CW81-CW83-CW84</f>
        <v>805.49999999999989</v>
      </c>
      <c r="CX85" s="1272">
        <f t="shared" ref="CX85:CX91" si="280">+CY85-CW85</f>
        <v>539.81454610013031</v>
      </c>
      <c r="CY85" s="1272">
        <f>+CY80-CY81-CY83-CY84</f>
        <v>1345.3145461001302</v>
      </c>
      <c r="CZ85" s="1272">
        <f>+CZ80-CZ81-CZ83-CZ84</f>
        <v>1086.3</v>
      </c>
      <c r="DA85" s="1272">
        <f t="shared" ref="DA85:DA91" si="281">+DB85-CZ85</f>
        <v>642.59999999999991</v>
      </c>
      <c r="DB85" s="1272">
        <f>+DB80-DB81-DB83-DB84</f>
        <v>1728.8999999999999</v>
      </c>
      <c r="DC85" s="1272">
        <f>+DC80-DC81-DC83-DC84</f>
        <v>1160.7</v>
      </c>
      <c r="DD85" s="1272">
        <f t="shared" ref="DD85:DD91" si="282">+DE85-DC85</f>
        <v>757.99999999999977</v>
      </c>
      <c r="DE85" s="1276">
        <f>+DE80-DE81-DE83-DE84</f>
        <v>1918.6999999999998</v>
      </c>
      <c r="DF85" s="1272">
        <f>+DF80-DF81-DF83-DF84</f>
        <v>1248</v>
      </c>
      <c r="DG85" s="1272">
        <f t="shared" ref="DG85:DG91" si="283">+DH85-DF85</f>
        <v>854.5</v>
      </c>
      <c r="DH85" s="1276">
        <f>+DH80-DH81-DH83-DH84</f>
        <v>2102.5</v>
      </c>
      <c r="DI85" s="1272">
        <f>+DI80-DI81-DI83-DI84</f>
        <v>1810</v>
      </c>
      <c r="DJ85" s="1272">
        <f t="shared" ref="DJ85:DJ91" si="284">+DK85-DI85</f>
        <v>581.19999999999982</v>
      </c>
      <c r="DK85" s="1276">
        <f>+DK80-DK81-DK83-DK84</f>
        <v>2391.1999999999998</v>
      </c>
      <c r="DL85" s="1272">
        <f>+DL80-DL81-DL83-DL84</f>
        <v>1777</v>
      </c>
      <c r="DM85" s="1272">
        <f t="shared" ref="DM85:DM91" si="285">+DN85-DL85</f>
        <v>603.69999999999982</v>
      </c>
      <c r="DN85" s="1276">
        <f>+DN80-DN81-DN83-DN84</f>
        <v>2380.6999999999998</v>
      </c>
      <c r="DO85" s="1272">
        <f>+DO80-DO81-DO83-DO84</f>
        <v>1818.4</v>
      </c>
      <c r="DP85" s="1272">
        <f t="shared" ref="DP85:DP91" si="286">+DQ85-DO85</f>
        <v>791.60000000000036</v>
      </c>
      <c r="DQ85" s="1276">
        <f>+DQ80-DQ81-DQ83-DQ84</f>
        <v>2610.0000000000005</v>
      </c>
      <c r="DR85" s="1272">
        <f>+DR80-DR81-DR83-DR84</f>
        <v>2017.0050799999999</v>
      </c>
      <c r="DS85" s="1272">
        <f t="shared" ref="DS85:DS91" si="287">+DT85-DR85</f>
        <v>889.99492000000009</v>
      </c>
      <c r="DT85" s="1276">
        <f>+DT80-DT81-DT83-DT84</f>
        <v>2907</v>
      </c>
      <c r="DU85" s="1272">
        <f>+DU80-DU81-DU83-DU84</f>
        <v>2073.9999999999995</v>
      </c>
      <c r="DV85" s="1272">
        <f t="shared" ref="DV85:DV91" si="288">+DW85-DU85</f>
        <v>1145.0000000000005</v>
      </c>
      <c r="DW85" s="1276">
        <f>+DW80-DW81-DW83-DW84</f>
        <v>3219</v>
      </c>
      <c r="DX85" s="1272">
        <f>+DX80-DX81-DX83-DX84</f>
        <v>1946</v>
      </c>
      <c r="DY85" s="1272">
        <f t="shared" ref="DY85:DY91" si="289">+DZ85-DX85</f>
        <v>1476.8577022481932</v>
      </c>
      <c r="DZ85" s="1276">
        <f>+DZ80-DZ81-DZ83-DZ84</f>
        <v>3422.8577022481932</v>
      </c>
      <c r="EA85" s="1272">
        <f>+EA80-EA81-EA83-EA84</f>
        <v>2123.9420938760486</v>
      </c>
      <c r="EB85" s="1272">
        <f t="shared" ref="EB85:EB91" si="290">+EC85-EA85</f>
        <v>1520.6667349904319</v>
      </c>
      <c r="EC85" s="1276">
        <f>+EC80-EC81-EC83-EC84</f>
        <v>3644.6088288664805</v>
      </c>
      <c r="ED85" s="1272">
        <f>+ED80-ED81-ED83-ED84</f>
        <v>2312.0038583265168</v>
      </c>
      <c r="EE85" s="1272">
        <f t="shared" ref="EE85:EE91" si="291">+EF85-ED85</f>
        <v>1653.7883932636632</v>
      </c>
      <c r="EF85" s="1276">
        <f>+EF80-EF81-EF83-EF84</f>
        <v>3965.7922515901801</v>
      </c>
      <c r="EG85" s="1272">
        <f>+EG80-EG81-EG83-EG84</f>
        <v>2508.786779520055</v>
      </c>
      <c r="EH85" s="1272">
        <f t="shared" ref="EH85:EH91" si="292">+EI85-EG85</f>
        <v>1843.8151320194243</v>
      </c>
      <c r="EI85" s="1276">
        <f>+EI80-EI81-EI83-EI84</f>
        <v>4352.6019115394793</v>
      </c>
      <c r="EJ85" s="1272">
        <f>+EJ80-EJ81-EJ83-EJ84</f>
        <v>2731.5065495174135</v>
      </c>
      <c r="EK85" s="1272">
        <f t="shared" ref="EK85:EK91" si="293">+EL85-EJ85</f>
        <v>2059.5985794968633</v>
      </c>
      <c r="EL85" s="1276">
        <f>+EL80-EL81-EL83-EL84</f>
        <v>4791.1051290142768</v>
      </c>
      <c r="EM85" s="1272">
        <f>+EM80-EM81-EM83-EM84</f>
        <v>2993.5062992679455</v>
      </c>
      <c r="EN85" s="1272">
        <f t="shared" ref="EN85:EN91" si="294">+EO85-EM85</f>
        <v>2268.9941550467115</v>
      </c>
      <c r="EO85" s="1276">
        <f>+EO80-EO81-EO83-EO84</f>
        <v>5262.500454314657</v>
      </c>
      <c r="EP85" s="1272">
        <f>+EP80-EP81-EP83-EP84</f>
        <v>3244.2368047422647</v>
      </c>
      <c r="EQ85" s="1272">
        <f t="shared" ref="EQ85:EQ91" si="295">+ER85-EP85</f>
        <v>2505.6281450045294</v>
      </c>
      <c r="ER85" s="1276">
        <f>+ER80-ER81-ER83-ER84</f>
        <v>5749.8649497467941</v>
      </c>
      <c r="ES85" s="1272">
        <f>+ES80-ES81-ES83-ES84</f>
        <v>3483.5110744594012</v>
      </c>
      <c r="ET85" s="1272">
        <f t="shared" ref="ET85:ET91" si="296">+EU85-ES85</f>
        <v>2724.3430891766284</v>
      </c>
      <c r="EU85" s="1276">
        <f>+EU80-EU81-EU83-EU84</f>
        <v>6207.8541636360296</v>
      </c>
      <c r="EV85" s="1272">
        <f>+EV80-EV81-EV83-EV84</f>
        <v>3702.5824953413012</v>
      </c>
      <c r="EW85" s="1272">
        <f t="shared" ref="EW85:EW91" si="297">+EX85-EV85</f>
        <v>2919.107026284978</v>
      </c>
      <c r="EX85" s="1276">
        <f>+EX80-EX81-EX83-EX84</f>
        <v>6621.6895216262792</v>
      </c>
      <c r="EY85" s="1272">
        <f>+EY80-EY81-EY83-EY84</f>
        <v>3935.4684373353016</v>
      </c>
      <c r="EZ85" s="1272">
        <f t="shared" ref="EZ85:EZ91" si="298">+FA85-EY85</f>
        <v>3126.8470762413112</v>
      </c>
      <c r="FA85" s="1276">
        <f>+FA80-FA81-FA83-FA84</f>
        <v>7062.3155135766128</v>
      </c>
      <c r="FD85"/>
      <c r="FE85"/>
      <c r="FF85"/>
      <c r="FG85"/>
      <c r="FH85"/>
      <c r="FI85"/>
      <c r="FJ85" s="33"/>
      <c r="FK85" s="33"/>
      <c r="FL85" s="33"/>
      <c r="FM85" s="33"/>
    </row>
    <row r="86" spans="2:169" s="33" customFormat="1">
      <c r="B86" s="54" t="s">
        <v>177</v>
      </c>
      <c r="D86" s="2" t="s">
        <v>506</v>
      </c>
      <c r="E86" s="53">
        <f>+SUM(E87:E90)</f>
        <v>0</v>
      </c>
      <c r="F86" s="32">
        <f>+G86-E86</f>
        <v>0</v>
      </c>
      <c r="G86" s="53">
        <f>+SUM(G87:G90)</f>
        <v>0</v>
      </c>
      <c r="H86" s="53">
        <f>+SUM(H87:H90)</f>
        <v>0</v>
      </c>
      <c r="I86" s="32">
        <f>+J86-H86</f>
        <v>0</v>
      </c>
      <c r="J86" s="53">
        <f>+SUM(J87:J90)</f>
        <v>0</v>
      </c>
      <c r="K86" s="53">
        <f>+SUM(K87:K90)</f>
        <v>0</v>
      </c>
      <c r="L86" s="32">
        <f>+M86-K86</f>
        <v>0</v>
      </c>
      <c r="M86" s="53">
        <f>+SUM(M87:M90)</f>
        <v>0</v>
      </c>
      <c r="N86" s="53">
        <f>+SUM(N87:N90)</f>
        <v>0</v>
      </c>
      <c r="O86" s="32">
        <f>+P86-N86</f>
        <v>0</v>
      </c>
      <c r="P86" s="53">
        <f>+SUM(P87:P90)</f>
        <v>0</v>
      </c>
      <c r="Q86" s="53">
        <f>+SUM(Q87:Q90)</f>
        <v>0</v>
      </c>
      <c r="R86" s="32">
        <f>+S86-Q86</f>
        <v>0</v>
      </c>
      <c r="S86" s="53">
        <f>+SUM(S87:S90)</f>
        <v>0</v>
      </c>
      <c r="T86" s="53">
        <f>+SUM(T87:T90)</f>
        <v>0</v>
      </c>
      <c r="U86" s="32">
        <f>+V86-T86</f>
        <v>0</v>
      </c>
      <c r="V86" s="53">
        <f>+SUM(V87:V90)</f>
        <v>0</v>
      </c>
      <c r="W86" s="53">
        <f>+SUM(W87:W90)</f>
        <v>0</v>
      </c>
      <c r="X86" s="32">
        <f>+Y86-W86</f>
        <v>0</v>
      </c>
      <c r="Y86" s="53">
        <f>+SUM(Y87:Y90)</f>
        <v>0</v>
      </c>
      <c r="Z86" s="53">
        <f>+SUM(Z87:Z90)</f>
        <v>0</v>
      </c>
      <c r="AA86" s="32">
        <f>+AB86-Z86</f>
        <v>0</v>
      </c>
      <c r="AB86" s="53">
        <f>+SUM(AB87:AB90)</f>
        <v>0</v>
      </c>
      <c r="AC86" s="53">
        <f>+SUM(AC87:AC90)</f>
        <v>0</v>
      </c>
      <c r="AD86" s="32">
        <f>+AE86-AC86</f>
        <v>0</v>
      </c>
      <c r="AE86" s="53">
        <f>+SUM(AE87:AE90)</f>
        <v>0</v>
      </c>
      <c r="AF86" s="53">
        <f>+SUM(AF87:AF90)</f>
        <v>0</v>
      </c>
      <c r="AG86" s="32">
        <f>+AH86-AF86</f>
        <v>0</v>
      </c>
      <c r="AH86" s="53">
        <f>+SUM(AH87:AH90)</f>
        <v>0</v>
      </c>
      <c r="AI86" s="53">
        <f>+SUM(AI87:AI90)</f>
        <v>0</v>
      </c>
      <c r="AJ86" s="32">
        <f>+AK86-AI86</f>
        <v>0</v>
      </c>
      <c r="AK86" s="53">
        <f>+SUM(AK87:AK90)</f>
        <v>0</v>
      </c>
      <c r="AL86" s="53">
        <f>+SUM(AL87:AL90)</f>
        <v>0</v>
      </c>
      <c r="AM86" s="32">
        <f>+AN86-AL86</f>
        <v>1.3180000000000001</v>
      </c>
      <c r="AN86" s="53">
        <f>+SUM(AN87:AN90)</f>
        <v>1.3180000000000001</v>
      </c>
      <c r="AO86" s="53">
        <f>+SUM(AO87:AO90)</f>
        <v>0</v>
      </c>
      <c r="AP86" s="32">
        <f>+AQ86-AO86</f>
        <v>0.40600000000000003</v>
      </c>
      <c r="AQ86" s="53">
        <f>+SUM(AQ87:AQ90)</f>
        <v>0.40600000000000003</v>
      </c>
      <c r="AR86" s="53">
        <f>+SUM(AR87:AR90)</f>
        <v>0</v>
      </c>
      <c r="AS86" s="32">
        <f>+AT86-AR86</f>
        <v>0</v>
      </c>
      <c r="AT86" s="53">
        <f>+SUM(AT87:AT90)</f>
        <v>0</v>
      </c>
      <c r="AU86" s="53">
        <f>+SUM(AU87:AU90)</f>
        <v>0</v>
      </c>
      <c r="AV86" s="32">
        <f>+AW86-AU86</f>
        <v>0.79200000000000004</v>
      </c>
      <c r="AW86" s="53">
        <f>+SUM(AW87:AW90)</f>
        <v>0.79200000000000004</v>
      </c>
      <c r="AX86" s="53">
        <f>+SUM(AX87:AX90)</f>
        <v>0</v>
      </c>
      <c r="AY86" s="32">
        <f>+AZ86-AX86</f>
        <v>0.312</v>
      </c>
      <c r="AZ86" s="53">
        <f>+SUM(AZ87:AZ90)</f>
        <v>0.312</v>
      </c>
      <c r="BA86" s="53">
        <f>+SUM(BA87:BA90)</f>
        <v>10.076000000000001</v>
      </c>
      <c r="BB86" s="32">
        <f>+BC86-BA86</f>
        <v>14.526999999999997</v>
      </c>
      <c r="BC86" s="53">
        <f>+SUM(BC87:BC90)</f>
        <v>24.602999999999998</v>
      </c>
      <c r="BD86" s="53">
        <f>+SUM(BD87:BD90)</f>
        <v>20.018000000000001</v>
      </c>
      <c r="BE86" s="32">
        <f>+BF86-BD86</f>
        <v>29.116</v>
      </c>
      <c r="BF86" s="53">
        <f>+SUM(BF87:BF90)</f>
        <v>49.134</v>
      </c>
      <c r="BG86" s="53">
        <f>+SUM(BG87:BG90)</f>
        <v>0</v>
      </c>
      <c r="BH86" s="32">
        <f>+BI86-BG86</f>
        <v>4.242</v>
      </c>
      <c r="BI86" s="53">
        <f>+SUM(BI87:BI90)</f>
        <v>4.242</v>
      </c>
      <c r="BJ86" s="53">
        <f>+SUM(BJ87:BJ90)</f>
        <v>3.0010000000000003</v>
      </c>
      <c r="BK86" s="32">
        <f>+BL86-BJ86</f>
        <v>2.9259999999999993</v>
      </c>
      <c r="BL86" s="53">
        <f>+SUM(BL87:BL90)</f>
        <v>5.9269999999999996</v>
      </c>
      <c r="BM86" s="53">
        <f>+SUM(BM87:BM90)</f>
        <v>0</v>
      </c>
      <c r="BN86" s="32">
        <f>+BO86-BM86</f>
        <v>4.7050000000000001</v>
      </c>
      <c r="BO86" s="53">
        <f>+SUM(BO87:BO90)</f>
        <v>4.7050000000000001</v>
      </c>
      <c r="BP86" s="53">
        <f>+SUM(BP87:BP90)</f>
        <v>0</v>
      </c>
      <c r="BQ86" s="32">
        <f>+BR86-BP86</f>
        <v>11.058</v>
      </c>
      <c r="BR86" s="53">
        <f>+SUM(BR87:BR90)</f>
        <v>11.058</v>
      </c>
      <c r="BS86" s="53">
        <f>+SUM(BS87:BS90)</f>
        <v>0</v>
      </c>
      <c r="BT86" s="32">
        <f>+BU86-BS86</f>
        <v>33.621000000000002</v>
      </c>
      <c r="BU86" s="53">
        <f>+SUM(BU87:BU90)</f>
        <v>33.621000000000002</v>
      </c>
      <c r="BV86" s="53">
        <f>+SUM(BV87:BV90)</f>
        <v>0</v>
      </c>
      <c r="BW86" s="32">
        <f t="shared" si="271"/>
        <v>0</v>
      </c>
      <c r="BX86" s="53">
        <f>+SUM(BX87:BX90)</f>
        <v>0</v>
      </c>
      <c r="BY86" s="53">
        <f>+SUM(BY87:BY90)</f>
        <v>0</v>
      </c>
      <c r="BZ86" s="32">
        <f t="shared" si="272"/>
        <v>0</v>
      </c>
      <c r="CA86" s="53">
        <f>+SUM(CA87:CA90)</f>
        <v>0</v>
      </c>
      <c r="CB86" s="53">
        <f>+SUM(CB87:CB90)</f>
        <v>0</v>
      </c>
      <c r="CC86" s="32">
        <f t="shared" si="273"/>
        <v>0</v>
      </c>
      <c r="CD86" s="53">
        <f>+SUM(CD87:CD90)</f>
        <v>0</v>
      </c>
      <c r="CE86" s="53">
        <f>+SUM(CE87:CE90)</f>
        <v>0</v>
      </c>
      <c r="CF86" s="32">
        <f t="shared" si="274"/>
        <v>0</v>
      </c>
      <c r="CG86" s="53">
        <f>+SUM(CG87:CG90)</f>
        <v>0</v>
      </c>
      <c r="CH86" s="53">
        <f>+SUM(CH87:CH90)</f>
        <v>0</v>
      </c>
      <c r="CI86" s="32">
        <f t="shared" si="275"/>
        <v>0</v>
      </c>
      <c r="CJ86" s="53">
        <f>+SUM(CJ87:CJ90)</f>
        <v>0</v>
      </c>
      <c r="CK86" s="53">
        <f>+SUM(CK87:CK90)</f>
        <v>0</v>
      </c>
      <c r="CL86" s="32">
        <f t="shared" si="276"/>
        <v>0</v>
      </c>
      <c r="CM86" s="53">
        <f>+SUM(CM87:CM90)</f>
        <v>0</v>
      </c>
      <c r="CN86" s="53">
        <f>+SUM(CN87:CN90)</f>
        <v>0</v>
      </c>
      <c r="CO86" s="32">
        <f t="shared" si="277"/>
        <v>0</v>
      </c>
      <c r="CP86" s="53">
        <f>+SUM(CP87:CP90)</f>
        <v>0</v>
      </c>
      <c r="CQ86" s="53">
        <f>+SUM(CQ87:CQ90)</f>
        <v>0</v>
      </c>
      <c r="CR86" s="32">
        <f t="shared" si="278"/>
        <v>0</v>
      </c>
      <c r="CS86" s="53">
        <f>+SUM(CS87:CS90)</f>
        <v>0</v>
      </c>
      <c r="CT86" s="53">
        <f>+SUM(CT87:CT90)</f>
        <v>0</v>
      </c>
      <c r="CU86" s="32">
        <f t="shared" si="279"/>
        <v>0</v>
      </c>
      <c r="CV86" s="53">
        <f>+SUM(CV87:CV90)</f>
        <v>0</v>
      </c>
      <c r="CW86" s="53">
        <f>+SUM(CW87:CW90)</f>
        <v>0</v>
      </c>
      <c r="CX86" s="32">
        <f t="shared" si="280"/>
        <v>0</v>
      </c>
      <c r="CY86" s="53">
        <f>+SUM(CY87:CY90)</f>
        <v>0</v>
      </c>
      <c r="CZ86" s="53">
        <f>+SUM(CZ87:CZ90)</f>
        <v>0</v>
      </c>
      <c r="DA86" s="32">
        <f t="shared" si="281"/>
        <v>0</v>
      </c>
      <c r="DB86" s="53">
        <f>+SUM(DB87:DB90)</f>
        <v>0</v>
      </c>
      <c r="DC86" s="53">
        <f>+SUM(DC87:DC90)</f>
        <v>0</v>
      </c>
      <c r="DD86" s="32">
        <f t="shared" si="282"/>
        <v>0</v>
      </c>
      <c r="DE86" s="1088">
        <f>+SUM(DE87:DE90)</f>
        <v>0</v>
      </c>
      <c r="DF86" s="53">
        <f>+SUM(DF87:DF90)</f>
        <v>0</v>
      </c>
      <c r="DG86" s="32">
        <f t="shared" si="283"/>
        <v>0</v>
      </c>
      <c r="DH86" s="1088">
        <f>+SUM(DH87:DH90)</f>
        <v>0</v>
      </c>
      <c r="DI86" s="53">
        <f>+SUM(DI87:DI90)</f>
        <v>1.8499999999999543</v>
      </c>
      <c r="DJ86" s="32">
        <f t="shared" si="284"/>
        <v>1.8499999999999543</v>
      </c>
      <c r="DK86" s="1088">
        <f>+SUM(DK87:DK90)</f>
        <v>3.6999999999999087</v>
      </c>
      <c r="DL86" s="53">
        <f>+SUM(DL87:DL90)</f>
        <v>-16.7</v>
      </c>
      <c r="DM86" s="32">
        <f t="shared" si="285"/>
        <v>-102</v>
      </c>
      <c r="DN86" s="1088">
        <f>+SUM(DN87:DN90)</f>
        <v>-118.7</v>
      </c>
      <c r="DO86" s="53">
        <f>+SUM(DO87:DO90)</f>
        <v>-195.29999999999998</v>
      </c>
      <c r="DP86" s="32">
        <f t="shared" si="286"/>
        <v>-220.80000000000004</v>
      </c>
      <c r="DQ86" s="1088">
        <f>+SUM(DQ87:DQ90)</f>
        <v>-416.1</v>
      </c>
      <c r="DR86" s="53">
        <f>+SUM(DR87:DR90)</f>
        <v>-116</v>
      </c>
      <c r="DS86" s="32">
        <f t="shared" si="287"/>
        <v>-149</v>
      </c>
      <c r="DT86" s="1088">
        <f>+SUM(DT87:DT90)</f>
        <v>-265</v>
      </c>
      <c r="DU86" s="53">
        <f>+SUM(DU87:DU90)</f>
        <v>-67</v>
      </c>
      <c r="DV86" s="32">
        <f t="shared" si="288"/>
        <v>-150</v>
      </c>
      <c r="DW86" s="1088">
        <f>+SUM(DW87:DW90)</f>
        <v>-217</v>
      </c>
      <c r="DX86" s="53">
        <f>+SUM(DX87:DX90)</f>
        <v>-1545</v>
      </c>
      <c r="DY86" s="32">
        <f t="shared" si="289"/>
        <v>-104</v>
      </c>
      <c r="DZ86" s="1088">
        <f>+SUM(DZ87:DZ90)</f>
        <v>-1649</v>
      </c>
      <c r="EA86" s="53">
        <f>+SUM(EA87:EA90)</f>
        <v>-144</v>
      </c>
      <c r="EB86" s="32">
        <f t="shared" si="290"/>
        <v>-118</v>
      </c>
      <c r="EC86" s="1088">
        <f>+SUM(EC87:EC90)</f>
        <v>-262</v>
      </c>
      <c r="ED86" s="53">
        <f>+SUM(ED87:ED90)</f>
        <v>-144</v>
      </c>
      <c r="EE86" s="32">
        <f t="shared" si="291"/>
        <v>-118</v>
      </c>
      <c r="EF86" s="1088">
        <f>+SUM(EF87:EF90)</f>
        <v>-262</v>
      </c>
      <c r="EG86" s="53">
        <f>+SUM(EG87:EG90)</f>
        <v>-144</v>
      </c>
      <c r="EH86" s="32">
        <f t="shared" si="292"/>
        <v>-118</v>
      </c>
      <c r="EI86" s="1088">
        <f>+SUM(EI87:EI90)</f>
        <v>-262</v>
      </c>
      <c r="EJ86" s="53">
        <f>+SUM(EJ87:EJ90)</f>
        <v>-144</v>
      </c>
      <c r="EK86" s="32">
        <f t="shared" si="293"/>
        <v>-118</v>
      </c>
      <c r="EL86" s="1088">
        <f>+SUM(EL87:EL90)</f>
        <v>-262</v>
      </c>
      <c r="EM86" s="53">
        <f>+SUM(EM87:EM90)</f>
        <v>-144</v>
      </c>
      <c r="EN86" s="32">
        <f t="shared" si="294"/>
        <v>-118</v>
      </c>
      <c r="EO86" s="1088">
        <f>+SUM(EO87:EO90)</f>
        <v>-262</v>
      </c>
      <c r="EP86" s="53">
        <f>+SUM(EP87:EP90)</f>
        <v>-144</v>
      </c>
      <c r="EQ86" s="32">
        <f t="shared" si="295"/>
        <v>-118</v>
      </c>
      <c r="ER86" s="1088">
        <f>+SUM(ER87:ER90)</f>
        <v>-262</v>
      </c>
      <c r="ES86" s="53">
        <f>+SUM(ES87:ES90)</f>
        <v>-144</v>
      </c>
      <c r="ET86" s="32">
        <f t="shared" si="296"/>
        <v>-118</v>
      </c>
      <c r="EU86" s="1088">
        <f>+SUM(EU87:EU90)</f>
        <v>-262</v>
      </c>
      <c r="EV86" s="53">
        <f>+SUM(EV87:EV90)</f>
        <v>-144</v>
      </c>
      <c r="EW86" s="32">
        <f t="shared" si="297"/>
        <v>-118</v>
      </c>
      <c r="EX86" s="1088">
        <f>+SUM(EX87:EX90)</f>
        <v>-262</v>
      </c>
      <c r="EY86" s="53">
        <f>+SUM(EY87:EY90)</f>
        <v>-144</v>
      </c>
      <c r="EZ86" s="32">
        <f t="shared" si="298"/>
        <v>-118</v>
      </c>
      <c r="FA86" s="1088">
        <f>+SUM(FA87:FA90)</f>
        <v>-262</v>
      </c>
      <c r="FD86"/>
      <c r="FE86"/>
      <c r="FF86"/>
      <c r="FG86"/>
      <c r="FH86"/>
      <c r="FI86"/>
    </row>
    <row r="87" spans="2:169" s="33" customFormat="1">
      <c r="B87" s="54" t="str">
        <f>Segment!B87</f>
        <v>amortisation and impairment of IP</v>
      </c>
      <c r="D87" s="2" t="str">
        <f t="shared" ref="D87:AI87" si="299">D71</f>
        <v>$m</v>
      </c>
      <c r="E87" s="2">
        <f t="shared" si="299"/>
        <v>0</v>
      </c>
      <c r="F87" s="2">
        <f t="shared" si="299"/>
        <v>0</v>
      </c>
      <c r="G87" s="2">
        <f t="shared" si="299"/>
        <v>0</v>
      </c>
      <c r="H87" s="2">
        <f t="shared" si="299"/>
        <v>0</v>
      </c>
      <c r="I87" s="2">
        <f t="shared" si="299"/>
        <v>0</v>
      </c>
      <c r="J87" s="2">
        <f t="shared" si="299"/>
        <v>0</v>
      </c>
      <c r="K87" s="2">
        <f t="shared" si="299"/>
        <v>0</v>
      </c>
      <c r="L87" s="2">
        <f t="shared" si="299"/>
        <v>0</v>
      </c>
      <c r="M87" s="2">
        <f t="shared" si="299"/>
        <v>0</v>
      </c>
      <c r="N87" s="2">
        <f t="shared" si="299"/>
        <v>0</v>
      </c>
      <c r="O87" s="2">
        <f t="shared" si="299"/>
        <v>0</v>
      </c>
      <c r="P87" s="2">
        <f t="shared" si="299"/>
        <v>0</v>
      </c>
      <c r="Q87" s="2">
        <f t="shared" si="299"/>
        <v>0</v>
      </c>
      <c r="R87" s="2">
        <f t="shared" si="299"/>
        <v>0</v>
      </c>
      <c r="S87" s="2">
        <f t="shared" si="299"/>
        <v>0</v>
      </c>
      <c r="T87" s="2">
        <f t="shared" si="299"/>
        <v>0</v>
      </c>
      <c r="U87" s="2">
        <f t="shared" si="299"/>
        <v>0</v>
      </c>
      <c r="V87" s="2">
        <f t="shared" si="299"/>
        <v>0</v>
      </c>
      <c r="W87" s="2">
        <f t="shared" si="299"/>
        <v>0</v>
      </c>
      <c r="X87" s="2">
        <f t="shared" si="299"/>
        <v>0</v>
      </c>
      <c r="Y87" s="2">
        <f t="shared" si="299"/>
        <v>0</v>
      </c>
      <c r="Z87" s="2">
        <f t="shared" si="299"/>
        <v>0</v>
      </c>
      <c r="AA87" s="2">
        <f t="shared" si="299"/>
        <v>0</v>
      </c>
      <c r="AB87" s="2">
        <f t="shared" si="299"/>
        <v>0</v>
      </c>
      <c r="AC87" s="2">
        <f t="shared" si="299"/>
        <v>0</v>
      </c>
      <c r="AD87" s="2">
        <f t="shared" si="299"/>
        <v>0</v>
      </c>
      <c r="AE87" s="2">
        <f t="shared" si="299"/>
        <v>0</v>
      </c>
      <c r="AF87" s="2">
        <f t="shared" si="299"/>
        <v>0</v>
      </c>
      <c r="AG87" s="2">
        <f t="shared" si="299"/>
        <v>0</v>
      </c>
      <c r="AH87" s="2">
        <f t="shared" si="299"/>
        <v>0</v>
      </c>
      <c r="AI87" s="2">
        <f t="shared" si="299"/>
        <v>0</v>
      </c>
      <c r="AJ87" s="2">
        <f t="shared" ref="AJ87:BF87" si="300">AJ71</f>
        <v>0</v>
      </c>
      <c r="AK87" s="2">
        <f t="shared" si="300"/>
        <v>0</v>
      </c>
      <c r="AL87" s="1015">
        <f t="shared" si="300"/>
        <v>0</v>
      </c>
      <c r="AM87" s="1015">
        <f t="shared" si="300"/>
        <v>1.3180000000000001</v>
      </c>
      <c r="AN87" s="1015">
        <f t="shared" si="300"/>
        <v>1.3180000000000001</v>
      </c>
      <c r="AO87" s="1015">
        <f t="shared" si="300"/>
        <v>0</v>
      </c>
      <c r="AP87" s="1015">
        <f t="shared" si="300"/>
        <v>0.40600000000000003</v>
      </c>
      <c r="AQ87" s="1015">
        <f t="shared" si="300"/>
        <v>0.40600000000000003</v>
      </c>
      <c r="AR87" s="1015">
        <f t="shared" si="300"/>
        <v>0</v>
      </c>
      <c r="AS87" s="1015">
        <f t="shared" si="300"/>
        <v>0</v>
      </c>
      <c r="AT87" s="1015">
        <f t="shared" si="300"/>
        <v>0</v>
      </c>
      <c r="AU87" s="1015">
        <f t="shared" si="300"/>
        <v>0</v>
      </c>
      <c r="AV87" s="1015">
        <f t="shared" si="300"/>
        <v>0.51700000000000002</v>
      </c>
      <c r="AW87" s="1015">
        <f t="shared" si="300"/>
        <v>0.51700000000000002</v>
      </c>
      <c r="AX87" s="1015">
        <f t="shared" si="300"/>
        <v>0</v>
      </c>
      <c r="AY87" s="1015">
        <f t="shared" si="300"/>
        <v>0</v>
      </c>
      <c r="AZ87" s="1015">
        <f t="shared" si="300"/>
        <v>0</v>
      </c>
      <c r="BA87" s="982">
        <f t="shared" si="300"/>
        <v>10.076000000000001</v>
      </c>
      <c r="BB87" s="982">
        <f t="shared" si="300"/>
        <v>14.123999999999999</v>
      </c>
      <c r="BC87" s="982">
        <f t="shared" si="300"/>
        <v>24.2</v>
      </c>
      <c r="BD87" s="982">
        <f t="shared" si="300"/>
        <v>20.018000000000001</v>
      </c>
      <c r="BE87" s="982">
        <f t="shared" si="300"/>
        <v>29.116</v>
      </c>
      <c r="BF87" s="1141">
        <f t="shared" si="300"/>
        <v>49.134</v>
      </c>
      <c r="BG87" s="1142">
        <v>0</v>
      </c>
      <c r="BH87" s="1143">
        <v>0</v>
      </c>
      <c r="BI87" s="1144">
        <v>0</v>
      </c>
      <c r="BJ87" s="1142">
        <v>0</v>
      </c>
      <c r="BK87" s="1143">
        <v>0</v>
      </c>
      <c r="BL87" s="1144">
        <v>0</v>
      </c>
      <c r="BM87" s="1142">
        <v>0</v>
      </c>
      <c r="BN87" s="1143">
        <v>0</v>
      </c>
      <c r="BO87" s="1144">
        <v>0</v>
      </c>
      <c r="BP87" s="1142">
        <v>0</v>
      </c>
      <c r="BQ87" s="1143">
        <v>0</v>
      </c>
      <c r="BR87" s="1144">
        <v>0</v>
      </c>
      <c r="BS87" s="1142">
        <v>0</v>
      </c>
      <c r="BT87" s="1143">
        <v>0</v>
      </c>
      <c r="BU87" s="1144">
        <v>0</v>
      </c>
      <c r="BV87" s="1145"/>
      <c r="BW87" s="32">
        <f t="shared" si="271"/>
        <v>0</v>
      </c>
      <c r="BX87" s="1141"/>
      <c r="BY87" s="1145"/>
      <c r="BZ87" s="32">
        <f t="shared" si="272"/>
        <v>0</v>
      </c>
      <c r="CA87" s="1141"/>
      <c r="CB87" s="1145"/>
      <c r="CC87" s="32">
        <f t="shared" si="273"/>
        <v>0</v>
      </c>
      <c r="CD87" s="1141"/>
      <c r="CE87" s="1145"/>
      <c r="CF87" s="32">
        <f t="shared" si="274"/>
        <v>0</v>
      </c>
      <c r="CG87" s="1141"/>
      <c r="CH87" s="1145"/>
      <c r="CI87" s="32">
        <f t="shared" si="275"/>
        <v>0</v>
      </c>
      <c r="CJ87" s="1141"/>
      <c r="CK87" s="1145"/>
      <c r="CL87" s="32">
        <f t="shared" si="276"/>
        <v>0</v>
      </c>
      <c r="CM87" s="1141"/>
      <c r="CN87" s="1145"/>
      <c r="CO87" s="32">
        <f t="shared" si="277"/>
        <v>0</v>
      </c>
      <c r="CP87" s="1141"/>
      <c r="CQ87" s="1145"/>
      <c r="CR87" s="32">
        <f t="shared" si="278"/>
        <v>0</v>
      </c>
      <c r="CS87" s="1141"/>
      <c r="CT87" s="1145"/>
      <c r="CU87" s="32">
        <f t="shared" si="279"/>
        <v>0</v>
      </c>
      <c r="CV87" s="1141"/>
      <c r="CW87" s="1145"/>
      <c r="CX87" s="32">
        <f t="shared" si="280"/>
        <v>0</v>
      </c>
      <c r="CY87" s="1146"/>
      <c r="CZ87" s="1145"/>
      <c r="DA87" s="32">
        <f t="shared" si="281"/>
        <v>0</v>
      </c>
      <c r="DB87" s="1141"/>
      <c r="DC87" s="1145"/>
      <c r="DD87" s="32">
        <f t="shared" si="282"/>
        <v>0</v>
      </c>
      <c r="DE87" s="1147"/>
      <c r="DF87" s="1145"/>
      <c r="DG87" s="32">
        <f t="shared" si="283"/>
        <v>0</v>
      </c>
      <c r="DH87" s="1147"/>
      <c r="DI87" s="1145">
        <f>Segment!DI87</f>
        <v>-0.45000000000004547</v>
      </c>
      <c r="DJ87" s="32">
        <f t="shared" si="284"/>
        <v>-0.45000000000004547</v>
      </c>
      <c r="DK87" s="1145">
        <f>Segment!DK87</f>
        <v>-0.90000000000009095</v>
      </c>
      <c r="DL87" s="982">
        <v>-16.7</v>
      </c>
      <c r="DM87" s="32">
        <f t="shared" si="285"/>
        <v>-98.2</v>
      </c>
      <c r="DN87" s="1067">
        <f>Segment!DN87</f>
        <v>-114.9</v>
      </c>
      <c r="DO87" s="982">
        <f>Segment!DO87</f>
        <v>-88.3</v>
      </c>
      <c r="DP87" s="32">
        <f t="shared" si="286"/>
        <v>-146.69999999999999</v>
      </c>
      <c r="DQ87" s="1067">
        <f>Segment!DQ87</f>
        <v>-235</v>
      </c>
      <c r="DR87" s="982">
        <f>Segment!DR87</f>
        <v>-132</v>
      </c>
      <c r="DS87" s="32">
        <f t="shared" si="287"/>
        <v>-169</v>
      </c>
      <c r="DT87" s="1067">
        <f>Segment!DT87</f>
        <v>-301</v>
      </c>
      <c r="DU87" s="982">
        <f>Segment!DU87</f>
        <v>-155</v>
      </c>
      <c r="DV87" s="32">
        <f t="shared" si="288"/>
        <v>-209</v>
      </c>
      <c r="DW87" s="1067">
        <f>Segment!DW87</f>
        <v>-364</v>
      </c>
      <c r="DX87" s="1883">
        <v>-134</v>
      </c>
      <c r="DY87" s="32">
        <f t="shared" si="289"/>
        <v>-209</v>
      </c>
      <c r="DZ87" s="1067">
        <f>Segment!DZ87</f>
        <v>-343</v>
      </c>
      <c r="EA87" s="982">
        <f>Segment!EA87</f>
        <v>-180</v>
      </c>
      <c r="EB87" s="32">
        <f t="shared" si="290"/>
        <v>-185</v>
      </c>
      <c r="EC87" s="1067">
        <f>Segment!EC87</f>
        <v>-365</v>
      </c>
      <c r="ED87" s="982">
        <f>Segment!ED87</f>
        <v>-180</v>
      </c>
      <c r="EE87" s="32">
        <f t="shared" si="291"/>
        <v>-185</v>
      </c>
      <c r="EF87" s="1067">
        <f>Segment!EF87</f>
        <v>-365</v>
      </c>
      <c r="EG87" s="982">
        <f>Segment!EG87</f>
        <v>-180</v>
      </c>
      <c r="EH87" s="32">
        <f t="shared" si="292"/>
        <v>-185</v>
      </c>
      <c r="EI87" s="1067">
        <f>Segment!EI87</f>
        <v>-365</v>
      </c>
      <c r="EJ87" s="982">
        <f>Segment!EJ87</f>
        <v>-180</v>
      </c>
      <c r="EK87" s="32">
        <f t="shared" si="293"/>
        <v>-185</v>
      </c>
      <c r="EL87" s="1067">
        <f>Segment!EL87</f>
        <v>-365</v>
      </c>
      <c r="EM87" s="982">
        <f>Segment!EM87</f>
        <v>-180</v>
      </c>
      <c r="EN87" s="32">
        <f t="shared" si="294"/>
        <v>-185</v>
      </c>
      <c r="EO87" s="1067">
        <f>Segment!EO87</f>
        <v>-365</v>
      </c>
      <c r="EP87" s="982">
        <f>Segment!EP87</f>
        <v>-180</v>
      </c>
      <c r="EQ87" s="32">
        <f t="shared" si="295"/>
        <v>-185</v>
      </c>
      <c r="ER87" s="1067">
        <f>Segment!ER87</f>
        <v>-365</v>
      </c>
      <c r="ES87" s="982">
        <f>Segment!ES87</f>
        <v>-180</v>
      </c>
      <c r="ET87" s="32">
        <f t="shared" si="296"/>
        <v>-185</v>
      </c>
      <c r="EU87" s="1067">
        <f>Segment!EU87</f>
        <v>-365</v>
      </c>
      <c r="EV87" s="982">
        <f>Segment!EV87</f>
        <v>-180</v>
      </c>
      <c r="EW87" s="32">
        <f t="shared" si="297"/>
        <v>-185</v>
      </c>
      <c r="EX87" s="1067">
        <f>Segment!EX87</f>
        <v>-365</v>
      </c>
      <c r="EY87" s="982">
        <f>Segment!EY87</f>
        <v>-180</v>
      </c>
      <c r="EZ87" s="32">
        <f t="shared" si="298"/>
        <v>-185</v>
      </c>
      <c r="FA87" s="1067">
        <f>Segment!FA87</f>
        <v>-365</v>
      </c>
      <c r="FD87"/>
      <c r="FE87"/>
      <c r="FF87"/>
      <c r="FG87"/>
      <c r="FH87"/>
      <c r="FI87"/>
    </row>
    <row r="88" spans="2:169" s="33" customFormat="1">
      <c r="B88" s="54" t="str">
        <f>Segment!B97</f>
        <v>Tax on A &amp; Imp of IP</v>
      </c>
      <c r="D88" s="2" t="s">
        <v>506</v>
      </c>
      <c r="E88" s="53"/>
      <c r="F88" s="32">
        <f>+G88-E88</f>
        <v>0</v>
      </c>
      <c r="G88" s="53"/>
      <c r="H88" s="53"/>
      <c r="I88" s="32">
        <f>+J88-H88</f>
        <v>0</v>
      </c>
      <c r="J88" s="53"/>
      <c r="K88" s="53"/>
      <c r="L88" s="32">
        <f>+M88-K88</f>
        <v>0</v>
      </c>
      <c r="M88" s="53"/>
      <c r="N88" s="53"/>
      <c r="O88" s="32">
        <f>+P88-N88</f>
        <v>0</v>
      </c>
      <c r="P88" s="53"/>
      <c r="Q88" s="53"/>
      <c r="R88" s="32">
        <f>+S88-Q88</f>
        <v>0</v>
      </c>
      <c r="S88" s="53"/>
      <c r="T88" s="53"/>
      <c r="U88" s="32">
        <f>+V88-T88</f>
        <v>0</v>
      </c>
      <c r="V88" s="53"/>
      <c r="W88" s="53"/>
      <c r="X88" s="32">
        <f>+Y88-W88</f>
        <v>0</v>
      </c>
      <c r="Y88" s="53"/>
      <c r="Z88" s="53"/>
      <c r="AA88" s="32">
        <f>+AB88-Z88</f>
        <v>0</v>
      </c>
      <c r="AB88" s="53"/>
      <c r="AC88" s="53"/>
      <c r="AD88" s="32">
        <f>+AE88-AC88</f>
        <v>0</v>
      </c>
      <c r="AE88" s="53"/>
      <c r="AF88" s="53"/>
      <c r="AG88" s="32">
        <f>+AH88-AF88</f>
        <v>0</v>
      </c>
      <c r="AH88" s="53"/>
      <c r="AI88" s="53"/>
      <c r="AJ88" s="32">
        <f>+AK88-AI88</f>
        <v>0</v>
      </c>
      <c r="AK88" s="53"/>
      <c r="AL88" s="53"/>
      <c r="AM88" s="32">
        <f>+AN88-AL88</f>
        <v>0</v>
      </c>
      <c r="AN88" s="53"/>
      <c r="AO88" s="53"/>
      <c r="AP88" s="32">
        <f>+AQ88-AO88</f>
        <v>0</v>
      </c>
      <c r="AQ88" s="53"/>
      <c r="AR88" s="53"/>
      <c r="AS88" s="32">
        <f>+AT88-AR88</f>
        <v>0</v>
      </c>
      <c r="AT88" s="53"/>
      <c r="AU88" s="53">
        <f>AU63</f>
        <v>0</v>
      </c>
      <c r="AV88" s="32">
        <f>+AW88-AU88</f>
        <v>0.27500000000000002</v>
      </c>
      <c r="AW88" s="53">
        <f>AW63</f>
        <v>0.27500000000000002</v>
      </c>
      <c r="AX88" s="53">
        <f>AX63</f>
        <v>0</v>
      </c>
      <c r="AY88" s="32">
        <f>+AZ88-AX88</f>
        <v>0.312</v>
      </c>
      <c r="AZ88" s="53">
        <f>AZ63</f>
        <v>0.312</v>
      </c>
      <c r="BA88" s="53">
        <f>BA63</f>
        <v>0</v>
      </c>
      <c r="BB88" s="32">
        <f>+BC88-BA88</f>
        <v>0.40300000000000002</v>
      </c>
      <c r="BC88" s="53">
        <f>BC63</f>
        <v>0.40300000000000002</v>
      </c>
      <c r="BD88" s="53">
        <f>BD63</f>
        <v>0</v>
      </c>
      <c r="BE88" s="32">
        <f>+BF88-BD88</f>
        <v>0</v>
      </c>
      <c r="BF88" s="1098">
        <f>BF63</f>
        <v>0</v>
      </c>
      <c r="BG88" s="1088">
        <f>BG63</f>
        <v>0</v>
      </c>
      <c r="BH88" s="32">
        <f>+BI88-BG88</f>
        <v>4.242</v>
      </c>
      <c r="BI88" s="1098">
        <f>BI63</f>
        <v>4.242</v>
      </c>
      <c r="BJ88" s="1088">
        <f>BJ63</f>
        <v>3.0010000000000003</v>
      </c>
      <c r="BK88" s="32">
        <f>+BL88-BJ88</f>
        <v>2.9259999999999993</v>
      </c>
      <c r="BL88" s="1098">
        <f>BL63</f>
        <v>5.9269999999999996</v>
      </c>
      <c r="BM88" s="1088">
        <f>BM63</f>
        <v>0</v>
      </c>
      <c r="BN88" s="32">
        <f>+BO88-BM88</f>
        <v>4.7050000000000001</v>
      </c>
      <c r="BO88" s="1098">
        <f>BO63</f>
        <v>4.7050000000000001</v>
      </c>
      <c r="BP88" s="1088">
        <f>BP63</f>
        <v>0</v>
      </c>
      <c r="BQ88" s="32">
        <f>+BR88-BP88</f>
        <v>11.058</v>
      </c>
      <c r="BR88" s="1098">
        <f>BR63</f>
        <v>11.058</v>
      </c>
      <c r="BS88" s="1088">
        <f>BS63</f>
        <v>0</v>
      </c>
      <c r="BT88" s="32">
        <f>+BU88-BS88</f>
        <v>33.621000000000002</v>
      </c>
      <c r="BU88" s="1098">
        <f>BU63</f>
        <v>33.621000000000002</v>
      </c>
      <c r="BV88" s="1088"/>
      <c r="BW88" s="32">
        <f t="shared" si="271"/>
        <v>0</v>
      </c>
      <c r="BX88" s="1098"/>
      <c r="BY88" s="1088"/>
      <c r="BZ88" s="32">
        <f t="shared" si="272"/>
        <v>0</v>
      </c>
      <c r="CA88" s="1098"/>
      <c r="CB88" s="1088"/>
      <c r="CC88" s="32">
        <f t="shared" si="273"/>
        <v>0</v>
      </c>
      <c r="CD88" s="1098"/>
      <c r="CE88" s="1088"/>
      <c r="CF88" s="32">
        <f t="shared" si="274"/>
        <v>0</v>
      </c>
      <c r="CG88" s="1098"/>
      <c r="CH88" s="1088"/>
      <c r="CI88" s="32">
        <f t="shared" si="275"/>
        <v>0</v>
      </c>
      <c r="CJ88" s="1098"/>
      <c r="CK88" s="1088"/>
      <c r="CL88" s="32">
        <f t="shared" si="276"/>
        <v>0</v>
      </c>
      <c r="CM88" s="1098"/>
      <c r="CN88" s="1088"/>
      <c r="CO88" s="32">
        <f t="shared" si="277"/>
        <v>0</v>
      </c>
      <c r="CP88" s="1148"/>
      <c r="CQ88" s="1088"/>
      <c r="CR88" s="32">
        <f t="shared" si="278"/>
        <v>0</v>
      </c>
      <c r="CS88" s="1098"/>
      <c r="CT88" s="1088"/>
      <c r="CU88" s="32">
        <f t="shared" si="279"/>
        <v>0</v>
      </c>
      <c r="CV88" s="1149"/>
      <c r="CW88" s="1088"/>
      <c r="CX88" s="32">
        <f t="shared" si="280"/>
        <v>0</v>
      </c>
      <c r="CY88" s="1098"/>
      <c r="CZ88" s="1088"/>
      <c r="DA88" s="32">
        <f t="shared" si="281"/>
        <v>0</v>
      </c>
      <c r="DB88" s="1098"/>
      <c r="DC88" s="1088"/>
      <c r="DD88" s="32">
        <f t="shared" si="282"/>
        <v>0</v>
      </c>
      <c r="DE88" s="1101"/>
      <c r="DF88" s="1088"/>
      <c r="DG88" s="32">
        <f t="shared" si="283"/>
        <v>0</v>
      </c>
      <c r="DH88" s="1101"/>
      <c r="DI88" s="1088">
        <f>Segment!DI97</f>
        <v>2.2999999999999998</v>
      </c>
      <c r="DJ88" s="32">
        <f t="shared" si="284"/>
        <v>2.2999999999999998</v>
      </c>
      <c r="DK88" s="1088">
        <f>Segment!DK97</f>
        <v>4.5999999999999996</v>
      </c>
      <c r="DL88" s="53">
        <f>Segment!DL97</f>
        <v>0</v>
      </c>
      <c r="DM88" s="32">
        <f t="shared" si="285"/>
        <v>28.9</v>
      </c>
      <c r="DN88" s="1088">
        <f>Segment!DN97</f>
        <v>28.9</v>
      </c>
      <c r="DO88" s="53">
        <f>Segment!DO97</f>
        <v>35.4</v>
      </c>
      <c r="DP88" s="32">
        <f t="shared" si="286"/>
        <v>49.6</v>
      </c>
      <c r="DQ88" s="1088">
        <f>Segment!DQ97</f>
        <v>85</v>
      </c>
      <c r="DR88" s="53">
        <f>Segment!DR97</f>
        <v>32</v>
      </c>
      <c r="DS88" s="32">
        <f t="shared" si="287"/>
        <v>29</v>
      </c>
      <c r="DT88" s="1088">
        <f>Segment!DT97</f>
        <v>61</v>
      </c>
      <c r="DU88" s="53">
        <f>Segment!DU97</f>
        <v>24</v>
      </c>
      <c r="DV88" s="32">
        <f t="shared" si="288"/>
        <v>33</v>
      </c>
      <c r="DW88" s="1088">
        <f>Segment!DW97</f>
        <v>57</v>
      </c>
      <c r="DX88" s="1882">
        <v>403</v>
      </c>
      <c r="DY88" s="32">
        <f t="shared" si="289"/>
        <v>75</v>
      </c>
      <c r="DZ88" s="1088">
        <f>Segment!DZ97</f>
        <v>478</v>
      </c>
      <c r="EA88" s="53">
        <f>Segment!EA97</f>
        <v>36</v>
      </c>
      <c r="EB88" s="32">
        <f t="shared" si="290"/>
        <v>37</v>
      </c>
      <c r="EC88" s="1088">
        <f>Segment!EC97</f>
        <v>73</v>
      </c>
      <c r="ED88" s="53">
        <f>Segment!ED97</f>
        <v>36</v>
      </c>
      <c r="EE88" s="32">
        <f t="shared" si="291"/>
        <v>37</v>
      </c>
      <c r="EF88" s="1088">
        <f>Segment!EF97</f>
        <v>73</v>
      </c>
      <c r="EG88" s="53">
        <f>Segment!EG97</f>
        <v>36</v>
      </c>
      <c r="EH88" s="32">
        <f t="shared" si="292"/>
        <v>37</v>
      </c>
      <c r="EI88" s="1088">
        <f>Segment!EI97</f>
        <v>73</v>
      </c>
      <c r="EJ88" s="53">
        <f>Segment!EJ97</f>
        <v>36</v>
      </c>
      <c r="EK88" s="32">
        <f t="shared" si="293"/>
        <v>37</v>
      </c>
      <c r="EL88" s="1088">
        <f>Segment!EL97</f>
        <v>73</v>
      </c>
      <c r="EM88" s="53">
        <f>Segment!EM97</f>
        <v>36</v>
      </c>
      <c r="EN88" s="32">
        <f t="shared" si="294"/>
        <v>37</v>
      </c>
      <c r="EO88" s="1088">
        <f>Segment!EO97</f>
        <v>73</v>
      </c>
      <c r="EP88" s="53">
        <f>Segment!EP97</f>
        <v>36</v>
      </c>
      <c r="EQ88" s="32">
        <f t="shared" si="295"/>
        <v>37</v>
      </c>
      <c r="ER88" s="1088">
        <f>Segment!ER97</f>
        <v>73</v>
      </c>
      <c r="ES88" s="53">
        <f>Segment!ES97</f>
        <v>36</v>
      </c>
      <c r="ET88" s="32">
        <f t="shared" si="296"/>
        <v>37</v>
      </c>
      <c r="EU88" s="1088">
        <f>Segment!EU97</f>
        <v>73</v>
      </c>
      <c r="EV88" s="53">
        <f>Segment!EV97</f>
        <v>36</v>
      </c>
      <c r="EW88" s="32">
        <f t="shared" si="297"/>
        <v>37</v>
      </c>
      <c r="EX88" s="1088">
        <f>Segment!EX97</f>
        <v>73</v>
      </c>
      <c r="EY88" s="53">
        <f>Segment!EY97</f>
        <v>36</v>
      </c>
      <c r="EZ88" s="32">
        <f t="shared" si="298"/>
        <v>37</v>
      </c>
      <c r="FA88" s="1088">
        <f>Segment!FA97</f>
        <v>73</v>
      </c>
      <c r="FD88"/>
      <c r="FE88"/>
      <c r="FF88"/>
      <c r="FG88"/>
      <c r="FH88"/>
      <c r="FI88"/>
    </row>
    <row r="89" spans="2:169" s="33" customFormat="1">
      <c r="B89" s="54" t="s">
        <v>934</v>
      </c>
      <c r="D89" s="2" t="s">
        <v>506</v>
      </c>
      <c r="E89" s="53"/>
      <c r="F89" s="32">
        <f>+G89-E89</f>
        <v>0</v>
      </c>
      <c r="G89" s="53"/>
      <c r="H89" s="53"/>
      <c r="I89" s="32">
        <f>+J89-H89</f>
        <v>0</v>
      </c>
      <c r="J89" s="53"/>
      <c r="K89" s="53"/>
      <c r="L89" s="32">
        <f>+M89-K89</f>
        <v>0</v>
      </c>
      <c r="M89" s="53"/>
      <c r="N89" s="53"/>
      <c r="O89" s="32">
        <f>+P89-N89</f>
        <v>0</v>
      </c>
      <c r="P89" s="53"/>
      <c r="Q89" s="53"/>
      <c r="R89" s="32">
        <f>+S89-Q89</f>
        <v>0</v>
      </c>
      <c r="S89" s="53"/>
      <c r="T89" s="53"/>
      <c r="U89" s="32">
        <f>+V89-T89</f>
        <v>0</v>
      </c>
      <c r="V89" s="53"/>
      <c r="W89" s="53"/>
      <c r="X89" s="32">
        <f>+Y89-W89</f>
        <v>0</v>
      </c>
      <c r="Y89" s="53"/>
      <c r="Z89" s="53"/>
      <c r="AA89" s="32">
        <f>+AB89-Z89</f>
        <v>0</v>
      </c>
      <c r="AB89" s="53"/>
      <c r="AC89" s="53"/>
      <c r="AD89" s="32">
        <f>+AE89-AC89</f>
        <v>0</v>
      </c>
      <c r="AE89" s="53"/>
      <c r="AF89" s="53"/>
      <c r="AG89" s="32">
        <f>+AH89-AF89</f>
        <v>0</v>
      </c>
      <c r="AH89" s="53"/>
      <c r="AI89" s="53"/>
      <c r="AJ89" s="32">
        <f>+AK89-AI89</f>
        <v>0</v>
      </c>
      <c r="AK89" s="53"/>
      <c r="AL89" s="53"/>
      <c r="AM89" s="32">
        <f>+AN89-AL89</f>
        <v>0</v>
      </c>
      <c r="AN89" s="53"/>
      <c r="AO89" s="53"/>
      <c r="AP89" s="32">
        <f>+AQ89-AO89</f>
        <v>0</v>
      </c>
      <c r="AQ89" s="53"/>
      <c r="AR89" s="53"/>
      <c r="AS89" s="32">
        <f>+AT89-AR89</f>
        <v>0</v>
      </c>
      <c r="AT89" s="53"/>
      <c r="AU89" s="1097">
        <v>0</v>
      </c>
      <c r="AV89" s="32">
        <f>+AW89-AU89</f>
        <v>0</v>
      </c>
      <c r="AW89" s="1097">
        <v>0</v>
      </c>
      <c r="AX89" s="1097">
        <v>0</v>
      </c>
      <c r="AY89" s="32">
        <f>+AZ89-AX89</f>
        <v>0</v>
      </c>
      <c r="AZ89" s="1097">
        <v>0</v>
      </c>
      <c r="BA89" s="1097">
        <v>0</v>
      </c>
      <c r="BB89" s="32">
        <f>+BC89-BA89</f>
        <v>0</v>
      </c>
      <c r="BC89" s="1097">
        <v>0</v>
      </c>
      <c r="BD89" s="1097">
        <v>0</v>
      </c>
      <c r="BE89" s="32">
        <f>+BF89-BD89</f>
        <v>0</v>
      </c>
      <c r="BF89" s="1100">
        <v>0</v>
      </c>
      <c r="BG89" s="1099">
        <v>0</v>
      </c>
      <c r="BH89" s="32">
        <f>+BI89-BG89</f>
        <v>0</v>
      </c>
      <c r="BI89" s="1100">
        <v>0</v>
      </c>
      <c r="BJ89" s="1099">
        <v>0</v>
      </c>
      <c r="BK89" s="32">
        <f>+BL89-BJ89</f>
        <v>0</v>
      </c>
      <c r="BL89" s="1100">
        <v>0</v>
      </c>
      <c r="BM89" s="1099">
        <v>0</v>
      </c>
      <c r="BN89" s="32">
        <f>+BO89-BM89</f>
        <v>0</v>
      </c>
      <c r="BO89" s="1100">
        <v>0</v>
      </c>
      <c r="BP89" s="1088"/>
      <c r="BQ89" s="32">
        <f>+BR89-BP89</f>
        <v>0</v>
      </c>
      <c r="BR89" s="1100">
        <v>0</v>
      </c>
      <c r="BS89" s="1088"/>
      <c r="BT89" s="32">
        <f>+BU89-BS89</f>
        <v>0</v>
      </c>
      <c r="BU89" s="1100">
        <v>0</v>
      </c>
      <c r="BV89" s="1088"/>
      <c r="BW89" s="32">
        <f t="shared" si="271"/>
        <v>0</v>
      </c>
      <c r="BX89" s="1098"/>
      <c r="BY89" s="1088"/>
      <c r="BZ89" s="32">
        <f t="shared" si="272"/>
        <v>0</v>
      </c>
      <c r="CA89" s="1098"/>
      <c r="CB89" s="1088"/>
      <c r="CC89" s="32">
        <f t="shared" si="273"/>
        <v>0</v>
      </c>
      <c r="CD89" s="1098"/>
      <c r="CE89" s="1088"/>
      <c r="CF89" s="32">
        <f t="shared" si="274"/>
        <v>0</v>
      </c>
      <c r="CG89" s="1098"/>
      <c r="CH89" s="1088"/>
      <c r="CI89" s="32">
        <f t="shared" si="275"/>
        <v>0</v>
      </c>
      <c r="CJ89" s="1098"/>
      <c r="CK89" s="1088"/>
      <c r="CL89" s="32">
        <f t="shared" si="276"/>
        <v>0</v>
      </c>
      <c r="CM89" s="1098"/>
      <c r="CN89" s="1088"/>
      <c r="CO89" s="32">
        <f t="shared" si="277"/>
        <v>0</v>
      </c>
      <c r="CP89" s="1098"/>
      <c r="CQ89" s="1088"/>
      <c r="CR89" s="32">
        <f t="shared" si="278"/>
        <v>0</v>
      </c>
      <c r="CS89" s="1098"/>
      <c r="CT89" s="1088"/>
      <c r="CU89" s="32">
        <f t="shared" si="279"/>
        <v>0</v>
      </c>
      <c r="CV89" s="1098"/>
      <c r="CW89" s="1088"/>
      <c r="CX89" s="32">
        <f t="shared" si="280"/>
        <v>0</v>
      </c>
      <c r="CY89" s="1149"/>
      <c r="CZ89" s="1088"/>
      <c r="DA89" s="32">
        <f t="shared" si="281"/>
        <v>0</v>
      </c>
      <c r="DB89" s="1098"/>
      <c r="DC89" s="1088"/>
      <c r="DD89" s="32">
        <f t="shared" si="282"/>
        <v>0</v>
      </c>
      <c r="DE89" s="1101"/>
      <c r="DF89" s="1088"/>
      <c r="DG89" s="32">
        <f t="shared" si="283"/>
        <v>0</v>
      </c>
      <c r="DH89" s="1101"/>
      <c r="DI89" s="1088"/>
      <c r="DJ89" s="32">
        <f t="shared" si="284"/>
        <v>0</v>
      </c>
      <c r="DK89" s="1101"/>
      <c r="DL89" s="53"/>
      <c r="DM89" s="32">
        <f t="shared" si="285"/>
        <v>-32.700000000000003</v>
      </c>
      <c r="DN89" s="1088">
        <f>-40+7.3</f>
        <v>-32.700000000000003</v>
      </c>
      <c r="DO89" s="53">
        <f>Segment!DO93</f>
        <v>-184.39999999999998</v>
      </c>
      <c r="DP89" s="32">
        <f t="shared" si="286"/>
        <v>-168.70000000000005</v>
      </c>
      <c r="DQ89" s="1088">
        <f>Segment!DQ93</f>
        <v>-353.1</v>
      </c>
      <c r="DR89" s="53">
        <f>Segment!DR93</f>
        <v>-50</v>
      </c>
      <c r="DS89" s="32">
        <f t="shared" si="287"/>
        <v>-34</v>
      </c>
      <c r="DT89" s="1088">
        <f>Segment!DT93</f>
        <v>-84</v>
      </c>
      <c r="DU89" s="53"/>
      <c r="DV89" s="32">
        <f t="shared" si="288"/>
        <v>0</v>
      </c>
      <c r="DW89" s="1088">
        <f>Segment!DW93</f>
        <v>0</v>
      </c>
      <c r="DX89" s="1900">
        <v>-1814</v>
      </c>
      <c r="DY89" s="32">
        <v>0</v>
      </c>
      <c r="DZ89" s="1088">
        <f>SUM(DX89:DY89)</f>
        <v>-1814</v>
      </c>
      <c r="EA89" s="53"/>
      <c r="EB89" s="32">
        <f t="shared" si="290"/>
        <v>0</v>
      </c>
      <c r="EC89" s="1088"/>
      <c r="ED89" s="53"/>
      <c r="EE89" s="32">
        <f t="shared" si="291"/>
        <v>0</v>
      </c>
      <c r="EF89" s="1088"/>
      <c r="EG89" s="53"/>
      <c r="EH89" s="32">
        <f t="shared" si="292"/>
        <v>0</v>
      </c>
      <c r="EI89" s="1088"/>
      <c r="EJ89" s="53"/>
      <c r="EK89" s="32">
        <f t="shared" si="293"/>
        <v>0</v>
      </c>
      <c r="EL89" s="1088"/>
      <c r="EM89" s="53"/>
      <c r="EN89" s="32">
        <f t="shared" si="294"/>
        <v>0</v>
      </c>
      <c r="EO89" s="1088"/>
      <c r="EP89" s="53"/>
      <c r="EQ89" s="32">
        <f t="shared" si="295"/>
        <v>0</v>
      </c>
      <c r="ER89" s="1088"/>
      <c r="ES89" s="53"/>
      <c r="ET89" s="32">
        <f t="shared" si="296"/>
        <v>0</v>
      </c>
      <c r="EU89" s="1088"/>
      <c r="EV89" s="53"/>
      <c r="EW89" s="32">
        <f t="shared" si="297"/>
        <v>0</v>
      </c>
      <c r="EX89" s="1088"/>
      <c r="EY89" s="53"/>
      <c r="EZ89" s="32">
        <f t="shared" si="298"/>
        <v>0</v>
      </c>
      <c r="FA89" s="1088"/>
      <c r="FD89"/>
      <c r="FE89"/>
      <c r="FF89"/>
      <c r="FG89"/>
      <c r="FH89"/>
      <c r="FI89"/>
    </row>
    <row r="90" spans="2:169" s="33" customFormat="1">
      <c r="B90" s="1730" t="s">
        <v>433</v>
      </c>
      <c r="C90" s="1731"/>
      <c r="D90" s="1732" t="s">
        <v>506</v>
      </c>
      <c r="E90" s="1157"/>
      <c r="F90" s="1421">
        <f>+G90-E90</f>
        <v>0</v>
      </c>
      <c r="G90" s="1157"/>
      <c r="H90" s="1157"/>
      <c r="I90" s="1421">
        <f>+J90-H90</f>
        <v>0</v>
      </c>
      <c r="J90" s="1157"/>
      <c r="K90" s="1157"/>
      <c r="L90" s="1421">
        <f>+M90-K90</f>
        <v>0</v>
      </c>
      <c r="M90" s="1157"/>
      <c r="N90" s="1157"/>
      <c r="O90" s="1421">
        <f>+P90-N90</f>
        <v>0</v>
      </c>
      <c r="P90" s="1157"/>
      <c r="Q90" s="1157"/>
      <c r="R90" s="1421">
        <f>+S90-Q90</f>
        <v>0</v>
      </c>
      <c r="S90" s="1157"/>
      <c r="T90" s="1157"/>
      <c r="U90" s="1421">
        <f>+V90-T90</f>
        <v>0</v>
      </c>
      <c r="V90" s="1157"/>
      <c r="W90" s="1157"/>
      <c r="X90" s="1421">
        <f>+Y90-W90</f>
        <v>0</v>
      </c>
      <c r="Y90" s="1157"/>
      <c r="Z90" s="1157"/>
      <c r="AA90" s="1421">
        <f>+AB90-Z90</f>
        <v>0</v>
      </c>
      <c r="AB90" s="1157"/>
      <c r="AC90" s="1157"/>
      <c r="AD90" s="1421">
        <f>+AE90-AC90</f>
        <v>0</v>
      </c>
      <c r="AE90" s="1157"/>
      <c r="AF90" s="1157"/>
      <c r="AG90" s="1421">
        <f>+AH90-AF90</f>
        <v>0</v>
      </c>
      <c r="AH90" s="1157"/>
      <c r="AI90" s="1157"/>
      <c r="AJ90" s="1421">
        <f>+AK90-AI90</f>
        <v>0</v>
      </c>
      <c r="AK90" s="1157"/>
      <c r="AL90" s="1157"/>
      <c r="AM90" s="1421">
        <f>+AN90-AL90</f>
        <v>0</v>
      </c>
      <c r="AN90" s="1157"/>
      <c r="AO90" s="1157"/>
      <c r="AP90" s="1421">
        <f>+AQ90-AO90</f>
        <v>0</v>
      </c>
      <c r="AQ90" s="1157"/>
      <c r="AR90" s="1157"/>
      <c r="AS90" s="1421">
        <f>+AT90-AR90</f>
        <v>0</v>
      </c>
      <c r="AT90" s="1157"/>
      <c r="AU90" s="1734">
        <v>0</v>
      </c>
      <c r="AV90" s="1421">
        <f>+AW90-AU90</f>
        <v>0</v>
      </c>
      <c r="AW90" s="1734">
        <v>0</v>
      </c>
      <c r="AX90" s="1734">
        <v>0</v>
      </c>
      <c r="AY90" s="1421">
        <f>+AZ90-AX90</f>
        <v>0</v>
      </c>
      <c r="AZ90" s="1734">
        <v>0</v>
      </c>
      <c r="BA90" s="1734">
        <v>0</v>
      </c>
      <c r="BB90" s="1421">
        <f>+BC90-BA90</f>
        <v>0</v>
      </c>
      <c r="BC90" s="1734">
        <v>0</v>
      </c>
      <c r="BD90" s="1734">
        <v>0</v>
      </c>
      <c r="BE90" s="1421">
        <f>+BF90-BD90</f>
        <v>0</v>
      </c>
      <c r="BF90" s="1116">
        <v>0</v>
      </c>
      <c r="BG90" s="1150">
        <v>0</v>
      </c>
      <c r="BH90" s="1421">
        <f>+BI90-BG90</f>
        <v>0</v>
      </c>
      <c r="BI90" s="1116">
        <v>0</v>
      </c>
      <c r="BJ90" s="1150">
        <v>0</v>
      </c>
      <c r="BK90" s="1421">
        <f>+BL90-BJ90</f>
        <v>0</v>
      </c>
      <c r="BL90" s="1116">
        <v>0</v>
      </c>
      <c r="BM90" s="1150">
        <v>0</v>
      </c>
      <c r="BN90" s="1421">
        <f>+BO90-BM90</f>
        <v>0</v>
      </c>
      <c r="BO90" s="1116">
        <v>0</v>
      </c>
      <c r="BP90" s="1117"/>
      <c r="BQ90" s="1421">
        <f>+BR90-BP90</f>
        <v>0</v>
      </c>
      <c r="BR90" s="1116">
        <v>0</v>
      </c>
      <c r="BS90" s="1117"/>
      <c r="BT90" s="1421">
        <f>+BU90-BS90</f>
        <v>0</v>
      </c>
      <c r="BU90" s="1116">
        <v>0</v>
      </c>
      <c r="BV90" s="1117"/>
      <c r="BW90" s="1421">
        <f t="shared" si="271"/>
        <v>0</v>
      </c>
      <c r="BX90" s="1137"/>
      <c r="BY90" s="1117"/>
      <c r="BZ90" s="1421">
        <f t="shared" si="272"/>
        <v>0</v>
      </c>
      <c r="CA90" s="1137"/>
      <c r="CB90" s="1117"/>
      <c r="CC90" s="1421">
        <f t="shared" si="273"/>
        <v>0</v>
      </c>
      <c r="CD90" s="1137"/>
      <c r="CE90" s="1117"/>
      <c r="CF90" s="1421">
        <f t="shared" si="274"/>
        <v>0</v>
      </c>
      <c r="CG90" s="1137"/>
      <c r="CH90" s="1117"/>
      <c r="CI90" s="1421">
        <f t="shared" si="275"/>
        <v>0</v>
      </c>
      <c r="CJ90" s="1137"/>
      <c r="CK90" s="1117"/>
      <c r="CL90" s="1421">
        <f t="shared" si="276"/>
        <v>0</v>
      </c>
      <c r="CM90" s="1137"/>
      <c r="CN90" s="1117"/>
      <c r="CO90" s="1421">
        <f t="shared" si="277"/>
        <v>0</v>
      </c>
      <c r="CP90" s="1137"/>
      <c r="CQ90" s="1117"/>
      <c r="CR90" s="1421">
        <f t="shared" si="278"/>
        <v>0</v>
      </c>
      <c r="CS90" s="1137"/>
      <c r="CT90" s="1117"/>
      <c r="CU90" s="1421">
        <f t="shared" si="279"/>
        <v>0</v>
      </c>
      <c r="CV90" s="1137"/>
      <c r="CW90" s="1117"/>
      <c r="CX90" s="1421">
        <f t="shared" si="280"/>
        <v>0</v>
      </c>
      <c r="CY90" s="1137"/>
      <c r="CZ90" s="1117"/>
      <c r="DA90" s="1421">
        <f t="shared" si="281"/>
        <v>0</v>
      </c>
      <c r="DB90" s="1137"/>
      <c r="DC90" s="1117"/>
      <c r="DD90" s="1421">
        <f t="shared" si="282"/>
        <v>0</v>
      </c>
      <c r="DE90" s="1533"/>
      <c r="DF90" s="1534"/>
      <c r="DG90" s="1737">
        <f t="shared" si="283"/>
        <v>0</v>
      </c>
      <c r="DH90" s="1533"/>
      <c r="DI90" s="1534"/>
      <c r="DJ90" s="1737">
        <f t="shared" si="284"/>
        <v>0</v>
      </c>
      <c r="DK90" s="1533"/>
      <c r="DL90" s="1738"/>
      <c r="DM90" s="1737">
        <f t="shared" si="285"/>
        <v>0</v>
      </c>
      <c r="DN90" s="1534"/>
      <c r="DO90" s="1739">
        <f>DO83-17</f>
        <v>42</v>
      </c>
      <c r="DP90" s="1737">
        <f t="shared" si="286"/>
        <v>45</v>
      </c>
      <c r="DQ90" s="1535">
        <f>DQ83-50</f>
        <v>87</v>
      </c>
      <c r="DR90" s="1739">
        <f>132+50-32-102-21-19+26</f>
        <v>34</v>
      </c>
      <c r="DS90" s="1737">
        <f t="shared" si="287"/>
        <v>25</v>
      </c>
      <c r="DT90" s="1535">
        <f>131-72</f>
        <v>59</v>
      </c>
      <c r="DU90" s="1739">
        <v>64</v>
      </c>
      <c r="DV90" s="1737">
        <f t="shared" si="288"/>
        <v>26</v>
      </c>
      <c r="DW90" s="1849">
        <f>194-134+30</f>
        <v>90</v>
      </c>
      <c r="DX90" s="1884">
        <v>0</v>
      </c>
      <c r="DY90" s="1421">
        <f t="shared" si="289"/>
        <v>30</v>
      </c>
      <c r="DZ90" s="1843">
        <v>30</v>
      </c>
      <c r="EA90" s="1842">
        <f>+DX90</f>
        <v>0</v>
      </c>
      <c r="EB90" s="1421">
        <f t="shared" si="290"/>
        <v>30</v>
      </c>
      <c r="EC90" s="1843">
        <v>30</v>
      </c>
      <c r="ED90" s="1842">
        <f>+EA90</f>
        <v>0</v>
      </c>
      <c r="EE90" s="1421">
        <f t="shared" si="291"/>
        <v>30</v>
      </c>
      <c r="EF90" s="1843">
        <f>+EC90</f>
        <v>30</v>
      </c>
      <c r="EG90" s="1842">
        <f>+ED90</f>
        <v>0</v>
      </c>
      <c r="EH90" s="1421">
        <f t="shared" si="292"/>
        <v>30</v>
      </c>
      <c r="EI90" s="1843">
        <f>+EF90</f>
        <v>30</v>
      </c>
      <c r="EJ90" s="1842">
        <f>+EG90</f>
        <v>0</v>
      </c>
      <c r="EK90" s="1421">
        <f t="shared" si="293"/>
        <v>30</v>
      </c>
      <c r="EL90" s="1843">
        <f>+EI90</f>
        <v>30</v>
      </c>
      <c r="EM90" s="1842">
        <f>+EJ90</f>
        <v>0</v>
      </c>
      <c r="EN90" s="1421">
        <f t="shared" si="294"/>
        <v>30</v>
      </c>
      <c r="EO90" s="1843">
        <f>+EL90</f>
        <v>30</v>
      </c>
      <c r="EP90" s="1842">
        <f>+EM90</f>
        <v>0</v>
      </c>
      <c r="EQ90" s="1421">
        <f t="shared" si="295"/>
        <v>30</v>
      </c>
      <c r="ER90" s="1843">
        <f>+EO90</f>
        <v>30</v>
      </c>
      <c r="ES90" s="1842">
        <f>+EP90</f>
        <v>0</v>
      </c>
      <c r="ET90" s="1421">
        <f t="shared" si="296"/>
        <v>30</v>
      </c>
      <c r="EU90" s="1843">
        <f>+ER90</f>
        <v>30</v>
      </c>
      <c r="EV90" s="1842">
        <f>+ES90</f>
        <v>0</v>
      </c>
      <c r="EW90" s="1421">
        <f t="shared" si="297"/>
        <v>30</v>
      </c>
      <c r="EX90" s="1843">
        <f>+EU90</f>
        <v>30</v>
      </c>
      <c r="EY90" s="1842">
        <f>+EV90</f>
        <v>0</v>
      </c>
      <c r="EZ90" s="1421">
        <f t="shared" si="298"/>
        <v>30</v>
      </c>
      <c r="FA90" s="1843">
        <f>+EX90</f>
        <v>30</v>
      </c>
      <c r="FD90"/>
      <c r="FE90"/>
      <c r="FF90"/>
      <c r="FG90"/>
      <c r="FH90"/>
      <c r="FI90"/>
    </row>
    <row r="91" spans="2:169" s="61" customFormat="1">
      <c r="B91" s="60" t="s">
        <v>936</v>
      </c>
      <c r="D91" s="1658" t="s">
        <v>506</v>
      </c>
      <c r="E91" s="1495">
        <f>+E85+E86</f>
        <v>0</v>
      </c>
      <c r="F91" s="1272">
        <f>+G91-E91</f>
        <v>0</v>
      </c>
      <c r="G91" s="1495">
        <f>+G85+G86</f>
        <v>0</v>
      </c>
      <c r="H91" s="1495">
        <f>+H85+H86</f>
        <v>0</v>
      </c>
      <c r="I91" s="1272">
        <f>+J91-H91</f>
        <v>0</v>
      </c>
      <c r="J91" s="1495">
        <f>+J85+J86</f>
        <v>0</v>
      </c>
      <c r="K91" s="1495">
        <f>+K85+K86</f>
        <v>0</v>
      </c>
      <c r="L91" s="1272">
        <f>+M91-K91</f>
        <v>0</v>
      </c>
      <c r="M91" s="1495">
        <f>+M85+M86</f>
        <v>0</v>
      </c>
      <c r="N91" s="1495">
        <f>+N85+N86</f>
        <v>0</v>
      </c>
      <c r="O91" s="1272">
        <f>+P91-N91</f>
        <v>0</v>
      </c>
      <c r="P91" s="1495">
        <f>+P85+P86</f>
        <v>0</v>
      </c>
      <c r="Q91" s="1495">
        <f>+Q85+Q86</f>
        <v>0</v>
      </c>
      <c r="R91" s="1272">
        <f>+S91-Q91</f>
        <v>0</v>
      </c>
      <c r="S91" s="1495">
        <f>+S85+S86</f>
        <v>0</v>
      </c>
      <c r="T91" s="1495">
        <f>+T85+T86</f>
        <v>0</v>
      </c>
      <c r="U91" s="1272">
        <f>+V91-T91</f>
        <v>0</v>
      </c>
      <c r="V91" s="1495">
        <f>+V85+V86</f>
        <v>0</v>
      </c>
      <c r="W91" s="1495">
        <f>+W85+W86</f>
        <v>0</v>
      </c>
      <c r="X91" s="1272">
        <f>+Y91-W91</f>
        <v>0</v>
      </c>
      <c r="Y91" s="1495">
        <f>+Y85+Y86</f>
        <v>0</v>
      </c>
      <c r="Z91" s="1495">
        <f>+Z85+Z86</f>
        <v>0</v>
      </c>
      <c r="AA91" s="1272">
        <f>+AB91-Z91</f>
        <v>0</v>
      </c>
      <c r="AB91" s="1495">
        <f>+AB85+AB86</f>
        <v>0</v>
      </c>
      <c r="AC91" s="1495">
        <f>+AC85+AC86</f>
        <v>0</v>
      </c>
      <c r="AD91" s="1272">
        <f>+AE91-AC91</f>
        <v>0</v>
      </c>
      <c r="AE91" s="1495">
        <f>+AE85+AE86</f>
        <v>0</v>
      </c>
      <c r="AF91" s="1495">
        <f>+AF85+AF86</f>
        <v>0</v>
      </c>
      <c r="AG91" s="1272">
        <f>+AH91-AF91</f>
        <v>0</v>
      </c>
      <c r="AH91" s="1495">
        <f>+AH85+AH86</f>
        <v>0</v>
      </c>
      <c r="AI91" s="1495">
        <f>+AI85+AI86</f>
        <v>0</v>
      </c>
      <c r="AJ91" s="1272">
        <f>+AK91-AI91</f>
        <v>0</v>
      </c>
      <c r="AK91" s="1495">
        <f>+AK85+AK86</f>
        <v>0</v>
      </c>
      <c r="AL91" s="1495">
        <f>+AL85+AL86</f>
        <v>0</v>
      </c>
      <c r="AM91" s="1272">
        <f>+AN91-AL91</f>
        <v>30.313000000000006</v>
      </c>
      <c r="AN91" s="1495">
        <f>+AN85+AN86</f>
        <v>30.313000000000006</v>
      </c>
      <c r="AO91" s="1495">
        <f>+AO85+AO86</f>
        <v>12.447000000000001</v>
      </c>
      <c r="AP91" s="1272">
        <f>+AQ91-AO91</f>
        <v>23.110999999999997</v>
      </c>
      <c r="AQ91" s="1495">
        <f>+AQ85+AQ86</f>
        <v>35.558</v>
      </c>
      <c r="AR91" s="1495">
        <f>+AR85+AR86</f>
        <v>17.733999999999998</v>
      </c>
      <c r="AS91" s="1272">
        <f>+AT91-AR91</f>
        <v>23.170000000000005</v>
      </c>
      <c r="AT91" s="1495">
        <f>+AT85+AT86</f>
        <v>40.904000000000003</v>
      </c>
      <c r="AU91" s="1495">
        <f>+AU85+AU86</f>
        <v>16.207999999999998</v>
      </c>
      <c r="AV91" s="1272">
        <f>+AW91-AU91</f>
        <v>28.703000000000003</v>
      </c>
      <c r="AW91" s="1721">
        <f>+AW85+AW86</f>
        <v>44.911000000000001</v>
      </c>
      <c r="AX91" s="1495">
        <f>+AX85+AX86</f>
        <v>18.61</v>
      </c>
      <c r="AY91" s="1272">
        <f>+AZ91-AX91</f>
        <v>36.103999999999999</v>
      </c>
      <c r="AZ91" s="1495">
        <f>+AZ85+AZ86</f>
        <v>54.713999999999999</v>
      </c>
      <c r="BA91" s="1495">
        <f>+BA85+BA86</f>
        <v>37.329000000000008</v>
      </c>
      <c r="BB91" s="1272">
        <f>+BC91-BA91</f>
        <v>65.515000000000001</v>
      </c>
      <c r="BC91" s="1495">
        <f>+BC85+BC86</f>
        <v>102.84400000000001</v>
      </c>
      <c r="BD91" s="1495">
        <f>+BD85+BD86</f>
        <v>77.558999999999997</v>
      </c>
      <c r="BE91" s="1272">
        <f>+BF91-BD91</f>
        <v>95.38300000000001</v>
      </c>
      <c r="BF91" s="1495">
        <f>+BF85+BF86</f>
        <v>172.94200000000001</v>
      </c>
      <c r="BG91" s="1495">
        <f>+BG85+BG86</f>
        <v>40.1</v>
      </c>
      <c r="BH91" s="1272">
        <f>+BI91-BG91</f>
        <v>34.565000000000005</v>
      </c>
      <c r="BI91" s="1495">
        <f>+BI85+BI86</f>
        <v>74.665000000000006</v>
      </c>
      <c r="BJ91" s="1495">
        <f>+BJ85+BJ86</f>
        <v>28.383000000000003</v>
      </c>
      <c r="BK91" s="1272"/>
      <c r="BL91" s="1495"/>
      <c r="BM91" s="1495">
        <f>+BM85+BM86</f>
        <v>160.11100000000002</v>
      </c>
      <c r="BN91" s="1272">
        <f>+BO91-BM91</f>
        <v>391.11200000000008</v>
      </c>
      <c r="BO91" s="1495">
        <f>+BO85+BO86</f>
        <v>551.22300000000007</v>
      </c>
      <c r="BP91" s="1495">
        <f>+BP85+BP86</f>
        <v>176.423</v>
      </c>
      <c r="BQ91" s="1272">
        <f>+BR91-BP91</f>
        <v>185.52800000000002</v>
      </c>
      <c r="BR91" s="1495">
        <f>+BR85+BR86</f>
        <v>361.95100000000002</v>
      </c>
      <c r="BS91" s="1495">
        <f>+BS85+BS86</f>
        <v>257.28599999999994</v>
      </c>
      <c r="BT91" s="1272">
        <f>+BU91-BS91</f>
        <v>315.63400000000001</v>
      </c>
      <c r="BU91" s="1495">
        <f>+BU85+BU86</f>
        <v>572.91999999999996</v>
      </c>
      <c r="BV91" s="1495">
        <f>+BV85+BV86</f>
        <v>348.72799999999995</v>
      </c>
      <c r="BW91" s="1272">
        <f t="shared" si="271"/>
        <v>353.07400000000007</v>
      </c>
      <c r="BX91" s="1495">
        <f>+BX85+BX86</f>
        <v>701.80200000000002</v>
      </c>
      <c r="BY91" s="1495">
        <f>+BY85+BY86</f>
        <v>501.85699999999997</v>
      </c>
      <c r="BZ91" s="1272">
        <f t="shared" si="272"/>
        <v>518.03700000000003</v>
      </c>
      <c r="CA91" s="1495">
        <f>+CA85+CA86</f>
        <v>1019.894</v>
      </c>
      <c r="CB91" s="1495">
        <f>+CB85+CB86</f>
        <v>617.39400000000001</v>
      </c>
      <c r="CC91" s="1272">
        <f t="shared" si="273"/>
        <v>435.50699999999983</v>
      </c>
      <c r="CD91" s="1495">
        <f>+CD85+CD86</f>
        <v>1052.9009999999998</v>
      </c>
      <c r="CE91" s="1495">
        <f>+CE85+CE86</f>
        <v>500.21500000000003</v>
      </c>
      <c r="CF91" s="1272">
        <f t="shared" si="274"/>
        <v>440.38599999999985</v>
      </c>
      <c r="CG91" s="1495">
        <f>+CG85+CG86</f>
        <v>940.60099999999989</v>
      </c>
      <c r="CH91" s="1495">
        <f>+CH85+CH86</f>
        <v>504.29999999999995</v>
      </c>
      <c r="CI91" s="1272">
        <f t="shared" si="275"/>
        <v>519.6</v>
      </c>
      <c r="CJ91" s="1495">
        <f>+CJ85+CJ86</f>
        <v>1023.9</v>
      </c>
      <c r="CK91" s="1495">
        <f>+CK85+CK86</f>
        <v>624.59999999999991</v>
      </c>
      <c r="CL91" s="1272">
        <f t="shared" si="276"/>
        <v>591.70000000000027</v>
      </c>
      <c r="CM91" s="1495">
        <f>+CM85+CM86</f>
        <v>1216.3000000000002</v>
      </c>
      <c r="CN91" s="1495">
        <f>+CN85+CN86</f>
        <v>645.70000000000005</v>
      </c>
      <c r="CO91" s="1272">
        <f t="shared" si="277"/>
        <v>661.3</v>
      </c>
      <c r="CP91" s="1495">
        <f>+CP85+CP86</f>
        <v>1307</v>
      </c>
      <c r="CQ91" s="1495">
        <f>+CQ85+CQ86</f>
        <v>692.2</v>
      </c>
      <c r="CR91" s="1272">
        <f t="shared" si="278"/>
        <v>708.8</v>
      </c>
      <c r="CS91" s="1495">
        <f>+CS85+CS86</f>
        <v>1401</v>
      </c>
      <c r="CT91" s="1495">
        <f>+CT85+CT86</f>
        <v>606.90000000000009</v>
      </c>
      <c r="CU91" s="1272">
        <f t="shared" si="279"/>
        <v>546</v>
      </c>
      <c r="CV91" s="1495">
        <f>+CV85+CV86</f>
        <v>1152.9000000000001</v>
      </c>
      <c r="CW91" s="1495">
        <f>+CW85+CW86</f>
        <v>805.49999999999989</v>
      </c>
      <c r="CX91" s="1272">
        <f t="shared" si="280"/>
        <v>539.81454610013031</v>
      </c>
      <c r="CY91" s="1495">
        <f>+CY85+CY86</f>
        <v>1345.3145461001302</v>
      </c>
      <c r="CZ91" s="1495">
        <f>+CZ85+CZ86</f>
        <v>1086.3</v>
      </c>
      <c r="DA91" s="1272">
        <f t="shared" si="281"/>
        <v>642.59999999999991</v>
      </c>
      <c r="DB91" s="1495">
        <f>+DB85+DB86</f>
        <v>1728.8999999999999</v>
      </c>
      <c r="DC91" s="1495">
        <f>+DC85+DC86</f>
        <v>1160.7</v>
      </c>
      <c r="DD91" s="1272">
        <f t="shared" si="282"/>
        <v>757.99999999999977</v>
      </c>
      <c r="DE91" s="1496">
        <f>+DE85+DE86</f>
        <v>1918.6999999999998</v>
      </c>
      <c r="DF91" s="1495">
        <f>+DF85+DF86</f>
        <v>1248</v>
      </c>
      <c r="DG91" s="1272">
        <f t="shared" si="283"/>
        <v>854.5</v>
      </c>
      <c r="DH91" s="1496">
        <f>+DH85+DH86</f>
        <v>2102.5</v>
      </c>
      <c r="DI91" s="1495">
        <f>+DI85+DI86</f>
        <v>1811.85</v>
      </c>
      <c r="DJ91" s="1272">
        <f t="shared" si="284"/>
        <v>583.04999999999973</v>
      </c>
      <c r="DK91" s="1496">
        <f>+DK85+DK86</f>
        <v>2394.8999999999996</v>
      </c>
      <c r="DL91" s="1495">
        <f>+DL85+DL86</f>
        <v>1760.3</v>
      </c>
      <c r="DM91" s="1272">
        <f t="shared" si="285"/>
        <v>501.70000000000005</v>
      </c>
      <c r="DN91" s="1496">
        <f>+DN85+DN86</f>
        <v>2262</v>
      </c>
      <c r="DO91" s="1495">
        <f>+DO85+DO86</f>
        <v>1623.1000000000001</v>
      </c>
      <c r="DP91" s="1272">
        <f t="shared" si="286"/>
        <v>570.80000000000041</v>
      </c>
      <c r="DQ91" s="1496">
        <f>+DQ85+DQ86</f>
        <v>2193.9000000000005</v>
      </c>
      <c r="DR91" s="1495">
        <f>+DR85+DR86</f>
        <v>1901.0050799999999</v>
      </c>
      <c r="DS91" s="1272">
        <f t="shared" si="287"/>
        <v>740.99492000000009</v>
      </c>
      <c r="DT91" s="1496">
        <f>+DT85+DT86</f>
        <v>2642</v>
      </c>
      <c r="DU91" s="1495">
        <f>+DU85+DU86</f>
        <v>2006.9999999999995</v>
      </c>
      <c r="DV91" s="1272">
        <f t="shared" si="288"/>
        <v>995.00000000000045</v>
      </c>
      <c r="DW91" s="1496">
        <f>+DW85+DW86</f>
        <v>3002</v>
      </c>
      <c r="DX91" s="1495">
        <f>+DX85+DX86</f>
        <v>401</v>
      </c>
      <c r="DY91" s="1272">
        <f t="shared" si="289"/>
        <v>1372.8577022481932</v>
      </c>
      <c r="DZ91" s="1496">
        <f>+DZ85+DZ86</f>
        <v>1773.8577022481932</v>
      </c>
      <c r="EA91" s="1495">
        <f>+EA85+EA86</f>
        <v>1979.9420938760486</v>
      </c>
      <c r="EB91" s="1272">
        <f t="shared" si="290"/>
        <v>1402.6667349904319</v>
      </c>
      <c r="EC91" s="1496">
        <f>+EC85+EC86</f>
        <v>3382.6088288664805</v>
      </c>
      <c r="ED91" s="1495">
        <f>+ED85+ED86</f>
        <v>2168.0038583265168</v>
      </c>
      <c r="EE91" s="1272">
        <f t="shared" si="291"/>
        <v>1535.7883932636632</v>
      </c>
      <c r="EF91" s="1496">
        <f>+EF85+EF86</f>
        <v>3703.7922515901801</v>
      </c>
      <c r="EG91" s="1495">
        <f>+EG85+EG86</f>
        <v>2364.786779520055</v>
      </c>
      <c r="EH91" s="1272">
        <f t="shared" si="292"/>
        <v>1725.8151320194243</v>
      </c>
      <c r="EI91" s="1496">
        <f>+EI85+EI86</f>
        <v>4090.6019115394793</v>
      </c>
      <c r="EJ91" s="1495">
        <f>+EJ85+EJ86</f>
        <v>2587.5065495174135</v>
      </c>
      <c r="EK91" s="1272">
        <f t="shared" si="293"/>
        <v>1941.5985794968633</v>
      </c>
      <c r="EL91" s="1496">
        <f>+EL85+EL86</f>
        <v>4529.1051290142768</v>
      </c>
      <c r="EM91" s="1495">
        <f>+EM85+EM86</f>
        <v>2849.5062992679455</v>
      </c>
      <c r="EN91" s="1272">
        <f t="shared" si="294"/>
        <v>2150.9941550467115</v>
      </c>
      <c r="EO91" s="1496">
        <f>+EO85+EO86</f>
        <v>5000.500454314657</v>
      </c>
      <c r="EP91" s="1495">
        <f>+EP85+EP86</f>
        <v>3100.2368047422647</v>
      </c>
      <c r="EQ91" s="1272">
        <f t="shared" si="295"/>
        <v>2387.6281450045294</v>
      </c>
      <c r="ER91" s="1496">
        <f>+ER85+ER86</f>
        <v>5487.8649497467941</v>
      </c>
      <c r="ES91" s="1495">
        <f>+ES85+ES86</f>
        <v>3339.5110744594012</v>
      </c>
      <c r="ET91" s="1272">
        <f t="shared" si="296"/>
        <v>2606.3430891766284</v>
      </c>
      <c r="EU91" s="1496">
        <f>+EU85+EU86</f>
        <v>5945.8541636360296</v>
      </c>
      <c r="EV91" s="1495">
        <f>+EV85+EV86</f>
        <v>3558.5824953413012</v>
      </c>
      <c r="EW91" s="1272">
        <f t="shared" si="297"/>
        <v>2801.107026284978</v>
      </c>
      <c r="EX91" s="1496">
        <f>+EX85+EX86</f>
        <v>6359.6895216262792</v>
      </c>
      <c r="EY91" s="1495">
        <f>+EY85+EY86</f>
        <v>3791.4684373353016</v>
      </c>
      <c r="EZ91" s="1272">
        <f t="shared" si="298"/>
        <v>3008.8470762413112</v>
      </c>
      <c r="FA91" s="1496">
        <f>+FA85+FA86</f>
        <v>6800.3155135766128</v>
      </c>
      <c r="FD91"/>
      <c r="FE91"/>
      <c r="FF91"/>
      <c r="FG91"/>
      <c r="FH91"/>
      <c r="FI91"/>
      <c r="FJ91" s="33"/>
      <c r="FK91" s="33"/>
      <c r="FL91" s="33"/>
      <c r="FM91" s="33"/>
    </row>
    <row r="92" spans="2:169" s="33" customFormat="1">
      <c r="B92" s="54"/>
      <c r="D92" s="2"/>
      <c r="E92" s="53"/>
      <c r="F92" s="32"/>
      <c r="G92" s="53"/>
      <c r="H92" s="53"/>
      <c r="I92" s="32"/>
      <c r="J92" s="53"/>
      <c r="K92" s="53"/>
      <c r="L92" s="32"/>
      <c r="M92" s="53"/>
      <c r="N92" s="53"/>
      <c r="O92" s="32"/>
      <c r="P92" s="53"/>
      <c r="Q92" s="53"/>
      <c r="R92" s="32"/>
      <c r="S92" s="53"/>
      <c r="T92" s="53"/>
      <c r="U92" s="32"/>
      <c r="V92" s="53"/>
      <c r="W92" s="53"/>
      <c r="X92" s="32"/>
      <c r="Y92" s="53"/>
      <c r="Z92" s="53"/>
      <c r="AA92" s="32"/>
      <c r="AB92" s="53"/>
      <c r="AC92" s="53"/>
      <c r="AD92" s="32"/>
      <c r="AE92" s="53"/>
      <c r="AF92" s="53"/>
      <c r="AG92" s="32"/>
      <c r="AH92" s="53"/>
      <c r="AI92" s="53"/>
      <c r="AJ92" s="32"/>
      <c r="AK92" s="53"/>
      <c r="AL92" s="53"/>
      <c r="AM92" s="32"/>
      <c r="AN92" s="53"/>
      <c r="AO92" s="53"/>
      <c r="AP92" s="32"/>
      <c r="AQ92" s="53"/>
      <c r="AR92" s="53"/>
      <c r="AS92" s="32"/>
      <c r="AT92" s="53"/>
      <c r="AU92" s="53"/>
      <c r="AV92" s="32"/>
      <c r="AW92" s="53"/>
      <c r="AX92" s="53"/>
      <c r="AY92" s="32"/>
      <c r="AZ92" s="53"/>
      <c r="BA92" s="53"/>
      <c r="BB92" s="32"/>
      <c r="BC92" s="53"/>
      <c r="BD92" s="53"/>
      <c r="BE92" s="32"/>
      <c r="BF92" s="53"/>
      <c r="BG92" s="53"/>
      <c r="BH92" s="32"/>
      <c r="BI92" s="53"/>
      <c r="BJ92" s="53"/>
      <c r="BK92" s="32"/>
      <c r="BL92" s="53"/>
      <c r="BM92" s="53"/>
      <c r="BN92" s="32"/>
      <c r="BO92" s="53"/>
      <c r="BP92" s="53"/>
      <c r="BQ92" s="32"/>
      <c r="BR92" s="1133"/>
      <c r="BS92" s="1133"/>
      <c r="BT92" s="1133"/>
      <c r="BU92" s="1133"/>
      <c r="BV92" s="1133"/>
      <c r="BW92" s="1133"/>
      <c r="BX92" s="1133"/>
      <c r="BY92" s="1133"/>
      <c r="BZ92" s="1133"/>
      <c r="CA92" s="1151"/>
      <c r="CB92" s="1152"/>
      <c r="CC92" s="1133"/>
      <c r="CD92" s="53"/>
      <c r="CE92" s="1152"/>
      <c r="CF92" s="1089"/>
      <c r="CG92" s="1153"/>
      <c r="CH92" s="1152"/>
      <c r="CI92" s="32"/>
      <c r="CJ92" s="53"/>
      <c r="CK92" s="1152"/>
      <c r="CL92" s="32"/>
      <c r="CM92" s="1133"/>
      <c r="CN92" s="1152"/>
      <c r="CO92" s="32"/>
      <c r="CP92" s="1153"/>
      <c r="CQ92" s="1152"/>
      <c r="CR92" s="32"/>
      <c r="CS92" s="53"/>
      <c r="CT92" s="1152"/>
      <c r="CU92" s="32"/>
      <c r="CV92" s="53"/>
      <c r="CW92" s="1152"/>
      <c r="CX92" s="32"/>
      <c r="CY92" s="1154"/>
      <c r="CZ92" s="53"/>
      <c r="DA92" s="32"/>
      <c r="DB92" s="1153"/>
      <c r="DC92" s="53"/>
      <c r="DD92" s="32"/>
      <c r="DE92" s="1155"/>
      <c r="DF92" s="53"/>
      <c r="DG92" s="32"/>
      <c r="DH92" s="1155"/>
      <c r="DI92" s="53"/>
      <c r="DJ92" s="32"/>
      <c r="DK92" s="1156"/>
      <c r="DL92" s="1152"/>
      <c r="DM92" s="32"/>
      <c r="DN92" s="1088"/>
      <c r="DO92" s="1152"/>
      <c r="DP92" s="32"/>
      <c r="DQ92" s="1088"/>
      <c r="DR92" s="53"/>
      <c r="DS92" s="32"/>
      <c r="DT92" s="1088"/>
      <c r="DU92" s="53"/>
      <c r="DV92" s="32"/>
      <c r="DW92" s="1088"/>
      <c r="DX92" s="1897"/>
      <c r="DY92" s="32"/>
      <c r="DZ92" s="1841"/>
      <c r="EA92" s="53"/>
      <c r="EB92" s="53"/>
      <c r="EC92" s="1155"/>
      <c r="ED92" s="53"/>
      <c r="EE92" s="53"/>
      <c r="EF92" s="1868"/>
      <c r="EG92" s="53"/>
      <c r="EH92" s="53"/>
      <c r="EI92" s="1088"/>
      <c r="EJ92" s="53"/>
      <c r="EK92" s="32"/>
      <c r="EL92" s="1088"/>
      <c r="EM92" s="53"/>
      <c r="EN92" s="32"/>
      <c r="EO92" s="1088"/>
      <c r="EP92" s="53"/>
      <c r="EQ92" s="32"/>
      <c r="ER92" s="1088"/>
      <c r="ES92" s="53"/>
      <c r="ET92" s="32"/>
      <c r="EU92" s="1088"/>
      <c r="EV92" s="53"/>
      <c r="EW92" s="32"/>
      <c r="EX92" s="1088"/>
      <c r="EY92" s="53"/>
      <c r="EZ92" s="32"/>
      <c r="FA92" s="1088"/>
      <c r="FD92"/>
      <c r="FE92"/>
      <c r="FF92"/>
      <c r="FG92"/>
      <c r="FH92"/>
      <c r="FI92"/>
    </row>
    <row r="93" spans="2:169" s="33" customFormat="1" outlineLevel="1">
      <c r="B93" s="54" t="s">
        <v>469</v>
      </c>
      <c r="D93" s="2" t="s">
        <v>506</v>
      </c>
      <c r="E93" s="53">
        <f>+E95+E97+E99+E101+E103+E105+E107+E109+E111+E113</f>
        <v>0</v>
      </c>
      <c r="F93" s="32">
        <f t="shared" ref="F93:F140" si="301">+G93-E93</f>
        <v>0</v>
      </c>
      <c r="G93" s="53">
        <f>+G95+G97+G99+G101+G103+G105+G107+G109+G111+G113</f>
        <v>0</v>
      </c>
      <c r="H93" s="53">
        <f>+H95+H97+H99+H101+H103+H105+H107+H109+H111+H113</f>
        <v>0</v>
      </c>
      <c r="I93" s="32">
        <f t="shared" ref="I93:I140" si="302">+J93-H93</f>
        <v>0</v>
      </c>
      <c r="J93" s="53">
        <f>+J95+J97+J99+J101+J103+J105+J107+J109+J111+J113</f>
        <v>0</v>
      </c>
      <c r="K93" s="53">
        <f>+K95+K97+K99+K101+K103+K105+K107+K109+K111+K113</f>
        <v>0</v>
      </c>
      <c r="L93" s="32">
        <f t="shared" ref="L93:L140" si="303">+M93-K93</f>
        <v>0</v>
      </c>
      <c r="M93" s="53">
        <f>+M95+M97+M99+M101+M103+M105+M107+M109+M111+M113</f>
        <v>0</v>
      </c>
      <c r="N93" s="53">
        <f>+N95+N97+N99+N101+N103+N105+N107+N109+N111+N113</f>
        <v>0</v>
      </c>
      <c r="O93" s="32">
        <f t="shared" ref="O93:O140" si="304">+P93-N93</f>
        <v>0</v>
      </c>
      <c r="P93" s="53">
        <f>+P95+P97+P99+P101+P103+P105+P107+P109+P111+P113</f>
        <v>0</v>
      </c>
      <c r="Q93" s="53">
        <f>+Q95+Q97+Q99+Q101+Q103+Q105+Q107+Q109+Q111+Q113</f>
        <v>0</v>
      </c>
      <c r="R93" s="32">
        <f t="shared" ref="R93:R140" si="305">+S93-Q93</f>
        <v>0</v>
      </c>
      <c r="S93" s="53">
        <f>+S95+S97+S99+S101+S103+S105+S107+S109+S111+S113</f>
        <v>0</v>
      </c>
      <c r="T93" s="53">
        <f>+T95+T97+T99+T101+T103+T105+T107+T109+T111+T113</f>
        <v>0</v>
      </c>
      <c r="U93" s="32">
        <f t="shared" ref="U93:U140" si="306">+V93-T93</f>
        <v>0</v>
      </c>
      <c r="V93" s="53">
        <f>+V95+V97+V99+V101+V103+V105+V107+V109+V111+V113</f>
        <v>0</v>
      </c>
      <c r="W93" s="53">
        <f>+W95+W97+W99+W101+W103+W105+W107+W109+W111+W113</f>
        <v>0</v>
      </c>
      <c r="X93" s="32">
        <f t="shared" ref="X93:X140" si="307">+Y93-W93</f>
        <v>0</v>
      </c>
      <c r="Y93" s="53">
        <f>+Y95+Y97+Y99+Y101+Y103+Y105+Y107+Y109+Y111+Y113</f>
        <v>0</v>
      </c>
      <c r="Z93" s="53">
        <f>+Z95+Z97+Z99+Z101+Z103+Z105+Z107+Z109+Z111+Z113</f>
        <v>0</v>
      </c>
      <c r="AA93" s="32">
        <f t="shared" ref="AA93:AA140" si="308">+AB93-Z93</f>
        <v>0</v>
      </c>
      <c r="AB93" s="53">
        <f>+AB95+AB97+AB99+AB101+AB103+AB105+AB107+AB109+AB111+AB113</f>
        <v>0</v>
      </c>
      <c r="AC93" s="53">
        <f>+AC95+AC97+AC99+AC101+AC103+AC105+AC107+AC109+AC111+AC113</f>
        <v>0</v>
      </c>
      <c r="AD93" s="32">
        <f t="shared" ref="AD93:AD140" si="309">+AE93-AC93</f>
        <v>0</v>
      </c>
      <c r="AE93" s="53">
        <f>+AE95+AE97+AE99+AE101+AE103+AE105+AE107+AE109+AE111+AE113</f>
        <v>0</v>
      </c>
      <c r="AF93" s="53">
        <f>+AF95+AF97+AF99+AF101+AF103+AF105+AF107+AF109+AF111+AF113</f>
        <v>0</v>
      </c>
      <c r="AG93" s="32">
        <f t="shared" ref="AG93:AG140" si="310">+AH93-AF93</f>
        <v>0</v>
      </c>
      <c r="AH93" s="53">
        <f>+AH95+AH97+AH99+AH101+AH103+AH105+AH107+AH109+AH111+AH113</f>
        <v>0</v>
      </c>
      <c r="AI93" s="53">
        <f>+AI95+AI97+AI99+AI101+AI103+AI105+AI107+AI109+AI111+AI113</f>
        <v>0</v>
      </c>
      <c r="AJ93" s="32">
        <f t="shared" ref="AJ93:AJ139" si="311">+AK93-AI93</f>
        <v>0</v>
      </c>
      <c r="AK93" s="53">
        <f>+AK95+AK97+AK99+AK101+AK103+AK105+AK107+AK109+AK111+AK113</f>
        <v>0</v>
      </c>
      <c r="AL93" s="53">
        <f>+AL95+AL97+AL99+AL101+AL103+AL105+AL107+AL109+AL111+AL113</f>
        <v>0</v>
      </c>
      <c r="AM93" s="32">
        <f t="shared" ref="AM93:AM140" si="312">+AN93-AL93</f>
        <v>0</v>
      </c>
      <c r="AN93" s="53">
        <f>+AN95+AN97+AN99+AN101+AN103+AN105+AN107+AN109+AN111+AN113</f>
        <v>0</v>
      </c>
      <c r="AO93" s="53">
        <f>+AO95+AO97+AO99+AO101+AO103+AO105+AO107+AO109+AO111+AO113</f>
        <v>0</v>
      </c>
      <c r="AP93" s="32">
        <f t="shared" ref="AP93:AP140" si="313">+AQ93-AO93</f>
        <v>0</v>
      </c>
      <c r="AQ93" s="53">
        <f>+AQ95+AQ97+AQ99+AQ101+AQ103+AQ105+AQ107+AQ109+AQ111+AQ113</f>
        <v>0</v>
      </c>
      <c r="AR93" s="53"/>
      <c r="AS93" s="32">
        <f t="shared" ref="AS93:AS140" si="314">+AT93-AR93</f>
        <v>0</v>
      </c>
      <c r="AT93" s="53">
        <f>+AT95+AT97+AT99+AT101+AT103+AT105+AT107+AT109+AT111+AT113</f>
        <v>0</v>
      </c>
      <c r="AU93" s="53">
        <f>+AU95+AU97+AU99+AU101+AU103+AU105+AU107+AU109+AU111+AU113</f>
        <v>0</v>
      </c>
      <c r="AV93" s="32">
        <f t="shared" ref="AV93:AV140" si="315">+AW93-AU93</f>
        <v>0</v>
      </c>
      <c r="AW93" s="53">
        <f>+AW95+AW97+AW99+AW101+AW103+AW105+AW107+AW109+AW111+AW113</f>
        <v>0</v>
      </c>
      <c r="AX93" s="53">
        <f>+AX95+AX97+AX99+AX101+AX103+AX105+AX107+AX109+AX111+AX113</f>
        <v>0</v>
      </c>
      <c r="AY93" s="32">
        <f t="shared" ref="AY93:AY140" si="316">+AZ93-AX93</f>
        <v>0</v>
      </c>
      <c r="AZ93" s="53">
        <f>+AZ95+AZ97+AZ99+AZ101+AZ103+AZ105+AZ107+AZ109+AZ111+AZ113</f>
        <v>0</v>
      </c>
      <c r="BA93" s="53">
        <f>+BA95+BA97+BA99+BA101+BA103+BA105+BA107+BA109+BA111+BA113</f>
        <v>0</v>
      </c>
      <c r="BB93" s="32">
        <f t="shared" ref="BB93:BB140" si="317">+BC93-BA93</f>
        <v>0</v>
      </c>
      <c r="BC93" s="53">
        <f>+BC95+BC97+BC99+BC101+BC103+BC105+BC107+BC109+BC111+BC113</f>
        <v>0</v>
      </c>
      <c r="BD93" s="53">
        <f>+BD95+BD97+BD99+BD101+BD103+BD105+BD107+BD109+BD111+BD113</f>
        <v>0</v>
      </c>
      <c r="BE93" s="32">
        <f t="shared" ref="BE93:BE140" si="318">+BF93-BD93</f>
        <v>0</v>
      </c>
      <c r="BF93" s="53">
        <f>+BF95+BF97+BF99+BF101+BF103+BF105+BF107+BF109+BF111+BF113</f>
        <v>0</v>
      </c>
      <c r="BG93" s="53">
        <f>+BG95+BG97+BG99+BG101+BG103+BG105+BG107+BG109+BG111+BG113</f>
        <v>0</v>
      </c>
      <c r="BH93" s="32">
        <f t="shared" ref="BH93:BH140" si="319">+BI93-BG93</f>
        <v>0</v>
      </c>
      <c r="BI93" s="53">
        <f>+BI95+BI97+BI99+BI101+BI103+BI105+BI107+BI109+BI111+BI113</f>
        <v>0</v>
      </c>
      <c r="BJ93" s="53">
        <f>+BJ95+BJ97+BJ99+BJ101+BJ103+BJ105+BJ107+BJ109+BJ111+BJ113</f>
        <v>0</v>
      </c>
      <c r="BK93" s="32">
        <f t="shared" ref="BK93:BK139" si="320">+BL93-BJ93</f>
        <v>102.346</v>
      </c>
      <c r="BL93" s="53">
        <f>+BL95+BL97+BL99+BL101+BL103+BL105+BL107+BL109+BL111+BL113</f>
        <v>102.346</v>
      </c>
      <c r="BM93" s="53">
        <f>+BM95+BM97+BM99+BM101+BM103+BM105+BM107+BM109+BM111+BM113</f>
        <v>0</v>
      </c>
      <c r="BN93" s="32">
        <f t="shared" ref="BN93:BN140" si="321">+BO93-BM93</f>
        <v>0</v>
      </c>
      <c r="BO93" s="53">
        <f>+BO95+BO97+BO99+BO101+BO103+BO105+BO107+BO109+BO111+BO113</f>
        <v>0</v>
      </c>
      <c r="BP93" s="53">
        <f>+BP95+BP97+BP99+BP101+BP103+BP105+BP107+BP109+BP111+BP113</f>
        <v>0</v>
      </c>
      <c r="BQ93" s="32">
        <f t="shared" ref="BQ93:BQ140" si="322">+BR93-BP93</f>
        <v>-328.51499999999999</v>
      </c>
      <c r="BR93" s="53">
        <f>+BR95+BR97+BR99+BR101+BR103+BR105+BR107+BR109+BR111+BR113</f>
        <v>-328.51499999999999</v>
      </c>
      <c r="BS93" s="53">
        <f>+BS95+BS97+BS99+BS101+BS103+BS105+BS107+BS109+BS111+BS113</f>
        <v>0</v>
      </c>
      <c r="BT93" s="32">
        <f t="shared" ref="BT93:BT140" si="323">+BU93-BS93</f>
        <v>0</v>
      </c>
      <c r="BU93" s="53">
        <f>+BU95+BU97+BU99+BU101+BU103+BU105+BU107+BU109+BU111+BU113</f>
        <v>0</v>
      </c>
      <c r="BV93" s="53">
        <f>+BV95+BV97+BV99+BV101+BV103+BV105+BV107+BV109+BV111+BV113</f>
        <v>0</v>
      </c>
      <c r="BW93" s="32">
        <f t="shared" ref="BW93:BW140" si="324">+BX93-BV93</f>
        <v>0</v>
      </c>
      <c r="BX93" s="53">
        <f>+BX95+BX97+BX99+BX101+BX103+BX105+BX107+BX109+BX111+BX113</f>
        <v>0</v>
      </c>
      <c r="BY93" s="53">
        <f>+BY95+BY97+BY99+BY101+BY103+BY105+BY107+BY109+BY111+BY113</f>
        <v>0</v>
      </c>
      <c r="BZ93" s="32">
        <f t="shared" ref="BZ93:BZ140" si="325">+CA93-BY93</f>
        <v>0</v>
      </c>
      <c r="CA93" s="53">
        <f>+CA95+CA97+CA99+CA101+CA103+CA105+CA107+CA109+CA111+CA113</f>
        <v>0</v>
      </c>
      <c r="CB93" s="53">
        <f>+CB95+CB97+CB99+CB101+CB103+CB105+CB107+CB109+CB111+CB113</f>
        <v>0</v>
      </c>
      <c r="CC93" s="32">
        <f t="shared" ref="CC93:CC140" si="326">+CD93-CB93</f>
        <v>0</v>
      </c>
      <c r="CD93" s="53">
        <f>+CD95+CD97+CD99+CD101+CD103+CD105+CD107+CD109+CD111+CD113</f>
        <v>0</v>
      </c>
      <c r="CE93" s="53">
        <f>+CE95+CE97+CE99+CE101+CE103+CE105+CE107+CE109+CE111+CE113</f>
        <v>0</v>
      </c>
      <c r="CF93" s="32">
        <f t="shared" ref="CF93:CF140" si="327">+CG93-CE93</f>
        <v>0</v>
      </c>
      <c r="CG93" s="53">
        <f>+CG95+CG97+CG99+CG101+CG103+CG105+CG107+CG109+CG111+CG113</f>
        <v>0</v>
      </c>
      <c r="CH93" s="53">
        <f>+CH95+CH97+CH99+CH101+CH103+CH105+CH107+CH109+CH111+CH113</f>
        <v>0</v>
      </c>
      <c r="CI93" s="32">
        <f t="shared" ref="CI93:CI140" si="328">+CJ93-CH93</f>
        <v>0</v>
      </c>
      <c r="CJ93" s="53">
        <f>+CJ95+CJ97+CJ99+CJ101+CJ103+CJ105+CJ107+CJ109+CJ111+CJ113</f>
        <v>0</v>
      </c>
      <c r="CK93" s="53">
        <f>+CK95+CK97+CK99+CK101+CK103+CK105+CK107+CK109+CK111+CK113</f>
        <v>0</v>
      </c>
      <c r="CL93" s="32">
        <f t="shared" ref="CL93:CL140" si="329">+CM93-CK93</f>
        <v>0</v>
      </c>
      <c r="CM93" s="53">
        <f>+CM95+CM97+CM99+CM101+CM103+CM105+CM107+CM109+CM111+CM113</f>
        <v>0</v>
      </c>
      <c r="CN93" s="53">
        <f>+CN95+CN97+CN99+CN101+CN103+CN105+CN107+CN109+CN111+CN113</f>
        <v>0</v>
      </c>
      <c r="CO93" s="32">
        <f t="shared" ref="CO93:CO140" si="330">+CP93-CN93</f>
        <v>0</v>
      </c>
      <c r="CP93" s="53">
        <f>+CP95+CP97+CP99+CP101+CP103+CP105+CP107+CP109+CP111+CP113</f>
        <v>0</v>
      </c>
      <c r="CQ93" s="53">
        <f>+CQ95+CQ97+CQ99+CQ101+CQ103+CQ105+CQ107+CQ109+CQ111+CQ113</f>
        <v>0</v>
      </c>
      <c r="CR93" s="32">
        <f t="shared" ref="CR93:CR140" si="331">+CS93-CQ93</f>
        <v>-22</v>
      </c>
      <c r="CS93" s="53">
        <f>+CS95+CS97+CS99+CS101+CS103+CS105+CS107+CS109+CS111+CS113</f>
        <v>-22</v>
      </c>
      <c r="CT93" s="53">
        <f>+CT95+CT97+CT99+CT101+CT103+CT105+CT107+CT109+CT111+CT113</f>
        <v>176.1</v>
      </c>
      <c r="CU93" s="32">
        <f t="shared" ref="CU93:CU140" si="332">+CV93-CT93</f>
        <v>0</v>
      </c>
      <c r="CV93" s="53">
        <f>+CV95+CV97+CV99+CV101+CV103+CV105+CV107+CV109+CV111+CV113</f>
        <v>176.1</v>
      </c>
      <c r="CW93" s="53">
        <f>+CW95+CW97+CW99+CW101+CW103+CW105+CW107+CW109+CW111+CW113</f>
        <v>0</v>
      </c>
      <c r="CX93" s="32">
        <f t="shared" ref="CX93:CX140" si="333">+CY93-CW93</f>
        <v>-7.9</v>
      </c>
      <c r="CY93" s="53">
        <f>+CY95+CY97+CY99+CY101+CY103+CY105+CY107+CY109+CY111+CY113</f>
        <v>-7.9</v>
      </c>
      <c r="CZ93" s="53">
        <f>+CZ95+CZ97+CZ99+CZ101+CZ103+CZ105+CZ107+CZ109+CZ111+CZ113</f>
        <v>0</v>
      </c>
      <c r="DA93" s="32">
        <f t="shared" ref="DA93:DA140" si="334">+DB93-CZ93</f>
        <v>0</v>
      </c>
      <c r="DB93" s="53">
        <f>+DB95+DB97+DB99+DB101+DB103+DB105+DB107+DB109+DB111+DB113</f>
        <v>0</v>
      </c>
      <c r="DC93" s="53">
        <f>+DC95+DC97+DC99+DC101+DC103+DC105+DC107+DC109+DC111+DC113</f>
        <v>0</v>
      </c>
      <c r="DD93" s="32">
        <f t="shared" ref="DD93:DD140" si="335">+DE93-DC93</f>
        <v>0</v>
      </c>
      <c r="DE93" s="1088">
        <f>+DE95+DE97+DE99+DE101+DE103+DE105+DE107+DE109+DE111+DE113</f>
        <v>0</v>
      </c>
      <c r="DF93" s="53">
        <f>+DF95+DF97+DF99+DF101+DF103+DF105+DF107+DF109+DF111+DF113</f>
        <v>0</v>
      </c>
      <c r="DG93" s="32">
        <f t="shared" ref="DG93:DG140" si="336">+DH93-DF93</f>
        <v>0</v>
      </c>
      <c r="DH93" s="1088">
        <f>+DH95+DH97+DH99+DH101+DH103+DH105+DH107+DH109+DH111+DH113</f>
        <v>0</v>
      </c>
      <c r="DI93" s="53">
        <f>+DI95+DI97+DI99+DI101+DI103+DI105+DI107+DI109+DI111+DI113</f>
        <v>0</v>
      </c>
      <c r="DJ93" s="32">
        <f t="shared" ref="DJ93:DJ140" si="337">+DK93-DI93</f>
        <v>0</v>
      </c>
      <c r="DK93" s="1088">
        <f>+DK95+DK97+DK99+DK101+DK103+DK105+DK107+DK109+DK111+DK113</f>
        <v>0</v>
      </c>
      <c r="DL93" s="53">
        <f>+DL95+DL97+DL99+DL101+DL103+DL105+DL107+DL109+DL111+DL113</f>
        <v>0</v>
      </c>
      <c r="DM93" s="32">
        <f t="shared" ref="DM93:DM140" si="338">+DN93-DL93</f>
        <v>0</v>
      </c>
      <c r="DN93" s="1088">
        <f>+DN95+DN97+DN99+DN101+DN103+DN105+DN107+DN109+DN111+DN113</f>
        <v>0</v>
      </c>
      <c r="DO93" s="53">
        <f>+DO95+DO97+DO99+DO101+DO103+DO105+DO107+DO109+DO111+DO113</f>
        <v>0</v>
      </c>
      <c r="DP93" s="32">
        <f t="shared" ref="DP93:DP140" si="339">+DQ93-DO93</f>
        <v>0</v>
      </c>
      <c r="DQ93" s="1088">
        <f>+DQ95+DQ97+DQ99+DQ101+DQ103+DQ105+DQ107+DQ109+DQ111+DQ113</f>
        <v>0</v>
      </c>
      <c r="DR93" s="53">
        <f>+DR95+DR97+DR99+DR101+DR103+DR105+DR107+DR109+DR111+DR113</f>
        <v>0</v>
      </c>
      <c r="DS93" s="32">
        <f t="shared" ref="DS93:DS140" si="340">+DT93-DR93</f>
        <v>0</v>
      </c>
      <c r="DT93" s="1088">
        <f>+DT95+DT97+DT99+DT101+DT103+DT105+DT107+DT109+DT111+DT113</f>
        <v>0</v>
      </c>
      <c r="DU93" s="53">
        <f>+DU95+DU97+DU99+DU101+DU103+DU105+DU107+DU109+DU111+DU113</f>
        <v>0</v>
      </c>
      <c r="DV93" s="32">
        <f t="shared" ref="DV93:DV140" si="341">+DW93-DU93</f>
        <v>0</v>
      </c>
      <c r="DW93" s="1088">
        <f>+DW95+DW97+DW99+DW101+DW103+DW105+DW107+DW109+DW111+DW113</f>
        <v>0</v>
      </c>
      <c r="DX93" s="53">
        <f>+DX95+DX97+DX99+DX101+DX103+DX105+DX107+DX109+DX111+DX113</f>
        <v>0</v>
      </c>
      <c r="DY93" s="32">
        <f t="shared" ref="DY93:DY140" si="342">+DZ93-DX93</f>
        <v>0</v>
      </c>
      <c r="DZ93" s="1088">
        <f>+DZ95+DZ97+DZ99+DZ101+DZ103+DZ105+DZ107+DZ109+DZ111+DZ113</f>
        <v>0</v>
      </c>
      <c r="EA93" s="53">
        <f>+EA95+EA97+EA99+EA101+EA103+EA105+EA107+EA109+EA111+EA113</f>
        <v>0</v>
      </c>
      <c r="EB93" s="32">
        <f t="shared" ref="EB93:EB140" si="343">+EC93-EA93</f>
        <v>0</v>
      </c>
      <c r="EC93" s="1088">
        <f>+EC95+EC97+EC99+EC101+EC103+EC105+EC107+EC109+EC111+EC113</f>
        <v>0</v>
      </c>
      <c r="ED93" s="53">
        <f>+ED95+ED97+ED99+ED101+ED103+ED105+ED107+ED109+ED111+ED113</f>
        <v>0</v>
      </c>
      <c r="EE93" s="32">
        <f t="shared" ref="EE93:EE140" si="344">+EF93-ED93</f>
        <v>0</v>
      </c>
      <c r="EF93" s="1088">
        <f>+EF95+EF97+EF99+EF101+EF103+EF105+EF107+EF109+EF111+EF113</f>
        <v>0</v>
      </c>
      <c r="EG93" s="53">
        <f>+EG95+EG97+EG99+EG101+EG103+EG105+EG107+EG109+EG111+EG113</f>
        <v>0</v>
      </c>
      <c r="EH93" s="32">
        <f t="shared" ref="EH93:EH140" si="345">+EI93-EG93</f>
        <v>0</v>
      </c>
      <c r="EI93" s="1088">
        <f>+EI95+EI97+EI99+EI101+EI103+EI105+EI107+EI109+EI111+EI113</f>
        <v>0</v>
      </c>
      <c r="EJ93" s="53">
        <f>+EJ95+EJ97+EJ99+EJ101+EJ103+EJ105+EJ107+EJ109+EJ111+EJ113</f>
        <v>0</v>
      </c>
      <c r="EK93" s="32">
        <f t="shared" ref="EK93:EK140" si="346">+EL93-EJ93</f>
        <v>0</v>
      </c>
      <c r="EL93" s="1088">
        <f>+EL95+EL97+EL99+EL101+EL103+EL105+EL107+EL109+EL111+EL113</f>
        <v>0</v>
      </c>
      <c r="EM93" s="53">
        <f>+EM95+EM97+EM99+EM101+EM103+EM105+EM107+EM109+EM111+EM113</f>
        <v>0</v>
      </c>
      <c r="EN93" s="32">
        <f t="shared" ref="EN93:EN140" si="347">+EO93-EM93</f>
        <v>0</v>
      </c>
      <c r="EO93" s="1088">
        <f>+EO95+EO97+EO99+EO101+EO103+EO105+EO107+EO109+EO111+EO113</f>
        <v>0</v>
      </c>
      <c r="EP93" s="53">
        <f>+EP95+EP97+EP99+EP101+EP103+EP105+EP107+EP109+EP111+EP113</f>
        <v>0</v>
      </c>
      <c r="EQ93" s="32">
        <f t="shared" ref="EQ93:EQ140" si="348">+ER93-EP93</f>
        <v>0</v>
      </c>
      <c r="ER93" s="1088">
        <f>+ER95+ER97+ER99+ER101+ER103+ER105+ER107+ER109+ER111+ER113</f>
        <v>0</v>
      </c>
      <c r="ES93" s="53">
        <f>+ES95+ES97+ES99+ES101+ES103+ES105+ES107+ES109+ES111+ES113</f>
        <v>0</v>
      </c>
      <c r="ET93" s="32">
        <f t="shared" ref="ET93:ET140" si="349">+EU93-ES93</f>
        <v>0</v>
      </c>
      <c r="EU93" s="1088">
        <f>+EU95+EU97+EU99+EU101+EU103+EU105+EU107+EU109+EU111+EU113</f>
        <v>0</v>
      </c>
      <c r="EV93" s="53">
        <f>+EV95+EV97+EV99+EV101+EV103+EV105+EV107+EV109+EV111+EV113</f>
        <v>0</v>
      </c>
      <c r="EW93" s="32">
        <f t="shared" ref="EW93:EW140" si="350">+EX93-EV93</f>
        <v>0</v>
      </c>
      <c r="EX93" s="1088">
        <f>+EX95+EX97+EX99+EX101+EX103+EX105+EX107+EX109+EX111+EX113</f>
        <v>0</v>
      </c>
      <c r="EY93" s="53">
        <f>+EY95+EY97+EY99+EY101+EY103+EY105+EY107+EY109+EY111+EY113</f>
        <v>0</v>
      </c>
      <c r="EZ93" s="32">
        <f t="shared" ref="EZ93:EZ140" si="351">+FA93-EY93</f>
        <v>0</v>
      </c>
      <c r="FA93" s="1088">
        <f>+FA95+FA97+FA99+FA101+FA103+FA105+FA107+FA109+FA111+FA113</f>
        <v>0</v>
      </c>
      <c r="FD93"/>
      <c r="FE93"/>
      <c r="FF93"/>
      <c r="FG93"/>
      <c r="FH93"/>
      <c r="FI93"/>
    </row>
    <row r="94" spans="2:169" s="33" customFormat="1" outlineLevel="1">
      <c r="B94" s="54" t="s">
        <v>150</v>
      </c>
      <c r="D94" s="2" t="s">
        <v>506</v>
      </c>
      <c r="E94" s="53">
        <f>+E96+E98+E100+E102+E104+E106+E108+E110+E112+E114</f>
        <v>0</v>
      </c>
      <c r="F94" s="32">
        <f t="shared" si="301"/>
        <v>0</v>
      </c>
      <c r="G94" s="53">
        <f>+G96+G98+G100+G102+G104+G106+G108+G110+G112+G114</f>
        <v>0</v>
      </c>
      <c r="H94" s="53">
        <f>+H96+H98+H100+H102+H104+H106+H108+H110+H112+H114</f>
        <v>0</v>
      </c>
      <c r="I94" s="32">
        <f t="shared" si="302"/>
        <v>0</v>
      </c>
      <c r="J94" s="53">
        <f>+J96+J98+J100+J102+J104+J106+J108+J110+J112+J114</f>
        <v>0</v>
      </c>
      <c r="K94" s="53">
        <f>+K96+K98+K100+K102+K104+K106+K108+K110+K112+K114</f>
        <v>0</v>
      </c>
      <c r="L94" s="32">
        <f t="shared" si="303"/>
        <v>0</v>
      </c>
      <c r="M94" s="53">
        <f>+M96+M98+M100+M102+M104+M106+M108+M110+M112+M114</f>
        <v>0</v>
      </c>
      <c r="N94" s="53">
        <f>+N96+N98+N100+N102+N104+N106+N108+N110+N112+N114</f>
        <v>0</v>
      </c>
      <c r="O94" s="32">
        <f t="shared" si="304"/>
        <v>0</v>
      </c>
      <c r="P94" s="53">
        <f>+P96+P98+P100+P102+P104+P106+P108+P110+P112+P114</f>
        <v>0</v>
      </c>
      <c r="Q94" s="53">
        <f>+Q96+Q98+Q100+Q102+Q104+Q106+Q108+Q110+Q112+Q114</f>
        <v>0</v>
      </c>
      <c r="R94" s="32">
        <f t="shared" si="305"/>
        <v>0</v>
      </c>
      <c r="S94" s="53">
        <f>+S96+S98+S100+S102+S104+S106+S108+S110+S112+S114</f>
        <v>0</v>
      </c>
      <c r="T94" s="53">
        <f>+T96+T98+T100+T102+T104+T106+T108+T110+T112+T114</f>
        <v>0</v>
      </c>
      <c r="U94" s="32">
        <f t="shared" si="306"/>
        <v>0</v>
      </c>
      <c r="V94" s="53">
        <f>+V96+V98+V100+V102+V104+V106+V108+V110+V112+V114</f>
        <v>0</v>
      </c>
      <c r="W94" s="53">
        <f>+W96+W98+W100+W102+W104+W106+W108+W110+W112+W114</f>
        <v>0</v>
      </c>
      <c r="X94" s="32">
        <f t="shared" si="307"/>
        <v>0</v>
      </c>
      <c r="Y94" s="53">
        <f>+Y96+Y98+Y100+Y102+Y104+Y106+Y108+Y110+Y112+Y114</f>
        <v>0</v>
      </c>
      <c r="Z94" s="53">
        <f>+Z96+Z98+Z100+Z102+Z104+Z106+Z108+Z110+Z112+Z114</f>
        <v>0</v>
      </c>
      <c r="AA94" s="32">
        <f t="shared" si="308"/>
        <v>0</v>
      </c>
      <c r="AB94" s="53">
        <f>+AB96+AB98+AB100+AB102+AB104+AB106+AB108+AB110+AB112+AB114</f>
        <v>0</v>
      </c>
      <c r="AC94" s="53">
        <f>+AC96+AC98+AC100+AC102+AC104+AC106+AC108+AC110+AC112+AC114</f>
        <v>0</v>
      </c>
      <c r="AD94" s="32">
        <f t="shared" si="309"/>
        <v>0</v>
      </c>
      <c r="AE94" s="53">
        <f>+AE96+AE98+AE100+AE102+AE104+AE106+AE108+AE110+AE112+AE114</f>
        <v>0</v>
      </c>
      <c r="AF94" s="53">
        <f>+AF96+AF98+AF100+AF102+AF104+AF106+AF108+AF110+AF112+AF114</f>
        <v>0</v>
      </c>
      <c r="AG94" s="32">
        <f t="shared" si="310"/>
        <v>0</v>
      </c>
      <c r="AH94" s="53">
        <f>+AH96+AH98+AH100+AH102+AH104+AH106+AH108+AH110+AH112+AH114</f>
        <v>0</v>
      </c>
      <c r="AI94" s="53">
        <f>+AI96+AI98+AI100+AI102+AI104+AI106+AI108+AI110+AI112+AI114</f>
        <v>0</v>
      </c>
      <c r="AJ94" s="32">
        <f t="shared" si="311"/>
        <v>0</v>
      </c>
      <c r="AK94" s="53">
        <f>+AK96+AK98+AK100+AK102+AK104+AK106+AK108+AK110+AK112+AK114</f>
        <v>0</v>
      </c>
      <c r="AL94" s="53">
        <f>+AL96+AL98+AL100+AL102+AL104+AL106+AL108+AL110+AL112+AL114</f>
        <v>0</v>
      </c>
      <c r="AM94" s="32">
        <f t="shared" si="312"/>
        <v>0</v>
      </c>
      <c r="AN94" s="53">
        <f>+AN96+AN98+AN100+AN102+AN104+AN106+AN108+AN110+AN112+AN114</f>
        <v>0</v>
      </c>
      <c r="AO94" s="53">
        <f>+AO96+AO98+AO100+AO102+AO104+AO106+AO108+AO110+AO112+AO114</f>
        <v>0</v>
      </c>
      <c r="AP94" s="32">
        <f t="shared" si="313"/>
        <v>0</v>
      </c>
      <c r="AQ94" s="53">
        <f>+AQ96+AQ98+AQ100+AQ102+AQ104+AQ106+AQ108+AQ110+AQ112+AQ114</f>
        <v>0</v>
      </c>
      <c r="AR94" s="53">
        <f>+AR96+AR98+AR100+AR102+AR104+AR106+AR108+AR110+AR112+AR114</f>
        <v>0</v>
      </c>
      <c r="AS94" s="32">
        <f t="shared" si="314"/>
        <v>0</v>
      </c>
      <c r="AT94" s="53">
        <f>+AT96+AT98+AT100+AT102+AT104+AT106+AT108+AT110+AT112+AT114</f>
        <v>0</v>
      </c>
      <c r="AU94" s="53">
        <f>+AU96+AU98+AU100+AU102+AU104+AU106+AU108+AU110+AU112+AU114</f>
        <v>0</v>
      </c>
      <c r="AV94" s="32">
        <f t="shared" si="315"/>
        <v>0</v>
      </c>
      <c r="AW94" s="53">
        <f>+AW96+AW98+AW100+AW102+AW104+AW106+AW108+AW110+AW112+AW114</f>
        <v>0</v>
      </c>
      <c r="AX94" s="53">
        <f>+AX96+AX98+AX100+AX102+AX104+AX106+AX108+AX110+AX112+AX114</f>
        <v>0</v>
      </c>
      <c r="AY94" s="32">
        <f t="shared" si="316"/>
        <v>0</v>
      </c>
      <c r="AZ94" s="53">
        <f>+AZ96+AZ98+AZ100+AZ102+AZ104+AZ106+AZ108+AZ110+AZ112+AZ114</f>
        <v>0</v>
      </c>
      <c r="BA94" s="53">
        <f>+BA96+BA98+BA100+BA102+BA104+BA106+BA108+BA110+BA112+BA114</f>
        <v>0</v>
      </c>
      <c r="BB94" s="32">
        <f t="shared" si="317"/>
        <v>0</v>
      </c>
      <c r="BC94" s="53">
        <f>+BC96+BC98+BC100+BC102+BC104+BC106+BC108+BC110+BC112+BC114</f>
        <v>0</v>
      </c>
      <c r="BD94" s="53">
        <f>+BD96+BD98+BD100+BD102+BD104+BD106+BD108+BD110+BD112+BD114</f>
        <v>0</v>
      </c>
      <c r="BE94" s="32">
        <f t="shared" si="318"/>
        <v>0</v>
      </c>
      <c r="BF94" s="53">
        <f>+BF96+BF98+BF100+BF102+BF104+BF106+BF108+BF110+BF112+BF114</f>
        <v>0</v>
      </c>
      <c r="BG94" s="53">
        <f>+BG96+BG98+BG100+BG102+BG104+BG106+BG108+BG110+BG112+BG114</f>
        <v>0</v>
      </c>
      <c r="BH94" s="32">
        <f t="shared" si="319"/>
        <v>0</v>
      </c>
      <c r="BI94" s="53">
        <f>+BI96+BI98+BI100+BI102+BI104+BI106+BI108+BI110+BI112+BI114</f>
        <v>0</v>
      </c>
      <c r="BJ94" s="53">
        <f>+BJ96+BJ98+BJ100+BJ102+BJ104+BJ106+BJ108+BJ110+BJ112+BJ114</f>
        <v>0</v>
      </c>
      <c r="BK94" s="32">
        <f t="shared" si="320"/>
        <v>-27.035</v>
      </c>
      <c r="BL94" s="53">
        <f>+BL96+BL98+BL100+BL102+BL104+BL106+BL108+BL110+BL112+BL114</f>
        <v>-27.035</v>
      </c>
      <c r="BM94" s="53">
        <f>+BM96+BM98+BM100+BM102+BM104+BM106+BM108+BM110+BM112+BM114</f>
        <v>0</v>
      </c>
      <c r="BN94" s="32">
        <f t="shared" si="321"/>
        <v>0</v>
      </c>
      <c r="BO94" s="1157">
        <f>+BO96+BO98+BO100+BO102+BO104+BO106+BO108+BO110+BO112+BO114</f>
        <v>0</v>
      </c>
      <c r="BP94" s="53">
        <f>+BP96+BP98+BP100+BP102+BP104+BP106+BP108+BP110+BP112+BP114</f>
        <v>0</v>
      </c>
      <c r="BQ94" s="32">
        <f t="shared" si="322"/>
        <v>94.978999999999999</v>
      </c>
      <c r="BR94" s="53">
        <f>+BR96+BR98+BR100+BR102+BR104+BR106+BR108+BR110+BR112+BR114</f>
        <v>94.978999999999999</v>
      </c>
      <c r="BS94" s="53">
        <f>+BS96+BS98+BS100+BS102+BS104+BS106+BS108+BS110+BS112+BS114</f>
        <v>0</v>
      </c>
      <c r="BT94" s="32">
        <f t="shared" si="323"/>
        <v>0</v>
      </c>
      <c r="BU94" s="53">
        <f>+BU96+BU98+BU100+BU102+BU104+BU106+BU108+BU110+BU112+BU114</f>
        <v>0</v>
      </c>
      <c r="BV94" s="53">
        <f>+BV96+BV98+BV100+BV102+BV104+BV106+BV108+BV110+BV112+BV114</f>
        <v>0</v>
      </c>
      <c r="BW94" s="32">
        <f t="shared" si="324"/>
        <v>0</v>
      </c>
      <c r="BX94" s="53">
        <f>+BX96+BX98+BX100+BX102+BX104+BX106+BX108+BX110+BX112+BX114</f>
        <v>0</v>
      </c>
      <c r="BY94" s="53">
        <f>+BY96+BY98+BY100+BY102+BY104+BY106+BY108+BY110+BY112+BY114</f>
        <v>0</v>
      </c>
      <c r="BZ94" s="32">
        <f t="shared" si="325"/>
        <v>0</v>
      </c>
      <c r="CA94" s="53">
        <f>+CA96+CA98+CA100+CA102+CA104+CA106+CA108+CA110+CA112+CA114</f>
        <v>0</v>
      </c>
      <c r="CB94" s="53">
        <f>+CB96+CB98+CB100+CB102+CB104+CB106+CB108+CB110+CB112+CB114</f>
        <v>0</v>
      </c>
      <c r="CC94" s="32">
        <f t="shared" si="326"/>
        <v>0</v>
      </c>
      <c r="CD94" s="53">
        <f>+CD96+CD98+CD100+CD102+CD104+CD106+CD108+CD110+CD112+CD114</f>
        <v>0</v>
      </c>
      <c r="CE94" s="53">
        <f>+CE96+CE98+CE100+CE102+CE104+CE106+CE108+CE110+CE112+CE114</f>
        <v>0</v>
      </c>
      <c r="CF94" s="32">
        <f t="shared" si="327"/>
        <v>0</v>
      </c>
      <c r="CG94" s="53">
        <f>+CG96+CG98+CG100+CG102+CG104+CG106+CG108+CG110+CG112+CG114</f>
        <v>0</v>
      </c>
      <c r="CH94" s="53">
        <f>+CH96+CH98+CH100+CH102+CH104+CH106+CH108+CH110+CH112+CH114</f>
        <v>0</v>
      </c>
      <c r="CI94" s="32">
        <f t="shared" si="328"/>
        <v>0</v>
      </c>
      <c r="CJ94" s="53">
        <f>+CJ96+CJ98+CJ100+CJ102+CJ104+CJ106+CJ108+CJ110+CJ112+CJ114</f>
        <v>0</v>
      </c>
      <c r="CK94" s="53">
        <f>+CK96+CK98+CK100+CK102+CK104+CK106+CK108+CK110+CK112+CK114</f>
        <v>0</v>
      </c>
      <c r="CL94" s="32">
        <f t="shared" si="329"/>
        <v>0</v>
      </c>
      <c r="CM94" s="53">
        <f>+CM96+CM98+CM100+CM102+CM104+CM106+CM108+CM110+CM112+CM114</f>
        <v>0</v>
      </c>
      <c r="CN94" s="53">
        <f>+CN96+CN98+CN100+CN102+CN104+CN106+CN108+CN110+CN112+CN114</f>
        <v>0</v>
      </c>
      <c r="CO94" s="32">
        <f t="shared" si="330"/>
        <v>0</v>
      </c>
      <c r="CP94" s="53">
        <f>+CP96+CP98+CP100+CP102+CP104+CP106+CP108+CP110+CP112+CP114</f>
        <v>0</v>
      </c>
      <c r="CQ94" s="53">
        <f>+CQ96+CQ98+CQ100+CQ102+CQ104+CQ106+CQ108+CQ110+CQ112+CQ114</f>
        <v>0</v>
      </c>
      <c r="CR94" s="32">
        <f t="shared" si="331"/>
        <v>0</v>
      </c>
      <c r="CS94" s="53">
        <f>+CS96+CS98+CS100+CS102+CS104+CS106+CS108+CS110+CS112+CS114</f>
        <v>0</v>
      </c>
      <c r="CT94" s="53">
        <f>+CT96+CT98+CT100+CT102+CT104+CT106+CT108+CT110+CT112+CT114</f>
        <v>-64.2</v>
      </c>
      <c r="CU94" s="32">
        <f t="shared" si="332"/>
        <v>-22.399999999999991</v>
      </c>
      <c r="CV94" s="53">
        <f>+CV96+CV98+CV100+CV102+CV104+CV106+CV108+CV110+CV112+CV114</f>
        <v>-86.6</v>
      </c>
      <c r="CW94" s="53">
        <f>+CW96+CW98+CW100+CW102+CW104+CW106+CW108+CW110+CW112+CW114</f>
        <v>0</v>
      </c>
      <c r="CX94" s="32">
        <f t="shared" si="333"/>
        <v>0</v>
      </c>
      <c r="CY94" s="53">
        <f>+CY96+CY98+CY100+CY102+CY104+CY106+CY108+CY110+CY112+CY114</f>
        <v>0</v>
      </c>
      <c r="CZ94" s="53">
        <f>+CZ96+CZ98+CZ100+CZ102+CZ104+CZ106+CZ108+CZ110+CZ112+CZ114</f>
        <v>0</v>
      </c>
      <c r="DA94" s="32">
        <f t="shared" si="334"/>
        <v>0</v>
      </c>
      <c r="DB94" s="53">
        <f>+DB96+DB98+DB100+DB102+DB104+DB106+DB108+DB110+DB112+DB114</f>
        <v>0</v>
      </c>
      <c r="DC94" s="53">
        <f>+DC96+DC98+DC100+DC102+DC104+DC106+DC108+DC110+DC112+DC114</f>
        <v>0</v>
      </c>
      <c r="DD94" s="32">
        <f t="shared" si="335"/>
        <v>0</v>
      </c>
      <c r="DE94" s="1088">
        <f>+DE96+DE98+DE100+DE102+DE104+DE106+DE108+DE110+DE112+DE114</f>
        <v>0</v>
      </c>
      <c r="DF94" s="53">
        <f>+DF96+DF98+DF100+DF102+DF104+DF106+DF108+DF110+DF112+DF114</f>
        <v>0</v>
      </c>
      <c r="DG94" s="32">
        <f t="shared" si="336"/>
        <v>0</v>
      </c>
      <c r="DH94" s="1088">
        <f>+DH96+DH98+DH100+DH102+DH104+DH106+DH108+DH110+DH112+DH114</f>
        <v>0</v>
      </c>
      <c r="DI94" s="53">
        <f>+DI96+DI98+DI100+DI102+DI104+DI106+DI108+DI110+DI112+DI114</f>
        <v>0</v>
      </c>
      <c r="DJ94" s="32">
        <f t="shared" si="337"/>
        <v>0</v>
      </c>
      <c r="DK94" s="1088">
        <f>+DK96+DK98+DK100+DK102+DK104+DK106+DK108+DK110+DK112+DK114</f>
        <v>0</v>
      </c>
      <c r="DL94" s="53">
        <f>+DL96+DL98+DL100+DL102+DL104+DL106+DL108+DL110+DL112+DL114</f>
        <v>0</v>
      </c>
      <c r="DM94" s="32">
        <f t="shared" si="338"/>
        <v>0</v>
      </c>
      <c r="DN94" s="1088">
        <f>+DN96+DN98+DN100+DN102+DN104+DN106+DN108+DN110+DN112+DN114</f>
        <v>0</v>
      </c>
      <c r="DO94" s="53">
        <f>+DO96+DO98+DO100+DO102+DO104+DO106+DO108+DO110+DO112+DO114</f>
        <v>0</v>
      </c>
      <c r="DP94" s="32">
        <f t="shared" si="339"/>
        <v>0</v>
      </c>
      <c r="DQ94" s="1088">
        <f>+DQ96+DQ98+DQ100+DQ102+DQ104+DQ106+DQ108+DQ110+DQ112+DQ114</f>
        <v>0</v>
      </c>
      <c r="DR94" s="53">
        <f>+DR96+DR98+DR100+DR102+DR104+DR106+DR108+DR110+DR112+DR114</f>
        <v>0</v>
      </c>
      <c r="DS94" s="32">
        <f t="shared" si="340"/>
        <v>0</v>
      </c>
      <c r="DT94" s="1088">
        <f>+DT96+DT98+DT100+DT102+DT104+DT106+DT108+DT110+DT112+DT114</f>
        <v>0</v>
      </c>
      <c r="DU94" s="53">
        <f>+DU96+DU98+DU100+DU102+DU104+DU106+DU108+DU110+DU112+DU114</f>
        <v>0</v>
      </c>
      <c r="DV94" s="32">
        <f t="shared" si="341"/>
        <v>0</v>
      </c>
      <c r="DW94" s="1088">
        <f>+DW96+DW98+DW100+DW102+DW104+DW106+DW108+DW110+DW112+DW114</f>
        <v>0</v>
      </c>
      <c r="DX94" s="53">
        <f>+DX96+DX98+DX100+DX102+DX104+DX106+DX108+DX110+DX112+DX114</f>
        <v>0</v>
      </c>
      <c r="DY94" s="32">
        <f t="shared" si="342"/>
        <v>0</v>
      </c>
      <c r="DZ94" s="1088">
        <f>+DZ96+DZ98+DZ100+DZ102+DZ104+DZ106+DZ108+DZ110+DZ112+DZ114</f>
        <v>0</v>
      </c>
      <c r="EA94" s="53">
        <f>+EA96+EA98+EA100+EA102+EA104+EA106+EA108+EA110+EA112+EA114</f>
        <v>0</v>
      </c>
      <c r="EB94" s="32">
        <f t="shared" si="343"/>
        <v>0</v>
      </c>
      <c r="EC94" s="1088">
        <f>+EC96+EC98+EC100+EC102+EC104+EC106+EC108+EC110+EC112+EC114</f>
        <v>0</v>
      </c>
      <c r="ED94" s="53">
        <f>+ED96+ED98+ED100+ED102+ED104+ED106+ED108+ED110+ED112+ED114</f>
        <v>0</v>
      </c>
      <c r="EE94" s="32">
        <f t="shared" si="344"/>
        <v>0</v>
      </c>
      <c r="EF94" s="1088">
        <f>+EF96+EF98+EF100+EF102+EF104+EF106+EF108+EF110+EF112+EF114</f>
        <v>0</v>
      </c>
      <c r="EG94" s="53">
        <f>+EG96+EG98+EG100+EG102+EG104+EG106+EG108+EG110+EG112+EG114</f>
        <v>0</v>
      </c>
      <c r="EH94" s="32">
        <f t="shared" si="345"/>
        <v>0</v>
      </c>
      <c r="EI94" s="1088">
        <f>+EI96+EI98+EI100+EI102+EI104+EI106+EI108+EI110+EI112+EI114</f>
        <v>0</v>
      </c>
      <c r="EJ94" s="53">
        <f>+EJ96+EJ98+EJ100+EJ102+EJ104+EJ106+EJ108+EJ110+EJ112+EJ114</f>
        <v>0</v>
      </c>
      <c r="EK94" s="32">
        <f t="shared" si="346"/>
        <v>0</v>
      </c>
      <c r="EL94" s="1088">
        <f>+EL96+EL98+EL100+EL102+EL104+EL106+EL108+EL110+EL112+EL114</f>
        <v>0</v>
      </c>
      <c r="EM94" s="53">
        <f>+EM96+EM98+EM100+EM102+EM104+EM106+EM108+EM110+EM112+EM114</f>
        <v>0</v>
      </c>
      <c r="EN94" s="32">
        <f t="shared" si="347"/>
        <v>0</v>
      </c>
      <c r="EO94" s="1088">
        <f>+EO96+EO98+EO100+EO102+EO104+EO106+EO108+EO110+EO112+EO114</f>
        <v>0</v>
      </c>
      <c r="EP94" s="53">
        <f>+EP96+EP98+EP100+EP102+EP104+EP106+EP108+EP110+EP112+EP114</f>
        <v>0</v>
      </c>
      <c r="EQ94" s="32">
        <f t="shared" si="348"/>
        <v>0</v>
      </c>
      <c r="ER94" s="1088">
        <f>+ER96+ER98+ER100+ER102+ER104+ER106+ER108+ER110+ER112+ER114</f>
        <v>0</v>
      </c>
      <c r="ES94" s="53">
        <f>+ES96+ES98+ES100+ES102+ES104+ES106+ES108+ES110+ES112+ES114</f>
        <v>0</v>
      </c>
      <c r="ET94" s="32">
        <f t="shared" si="349"/>
        <v>0</v>
      </c>
      <c r="EU94" s="1088">
        <f>+EU96+EU98+EU100+EU102+EU104+EU106+EU108+EU110+EU112+EU114</f>
        <v>0</v>
      </c>
      <c r="EV94" s="53">
        <f>+EV96+EV98+EV100+EV102+EV104+EV106+EV108+EV110+EV112+EV114</f>
        <v>0</v>
      </c>
      <c r="EW94" s="32">
        <f t="shared" si="350"/>
        <v>0</v>
      </c>
      <c r="EX94" s="1088">
        <f>+EX96+EX98+EX100+EX102+EX104+EX106+EX108+EX110+EX112+EX114</f>
        <v>0</v>
      </c>
      <c r="EY94" s="53">
        <f>+EY96+EY98+EY100+EY102+EY104+EY106+EY108+EY110+EY112+EY114</f>
        <v>0</v>
      </c>
      <c r="EZ94" s="32">
        <f t="shared" si="351"/>
        <v>0</v>
      </c>
      <c r="FA94" s="1088">
        <f>+FA96+FA98+FA100+FA102+FA104+FA106+FA108+FA110+FA112+FA114</f>
        <v>0</v>
      </c>
      <c r="FD94"/>
      <c r="FE94"/>
      <c r="FF94"/>
      <c r="FG94"/>
      <c r="FH94"/>
      <c r="FI94"/>
    </row>
    <row r="95" spans="2:169" s="33" customFormat="1" hidden="1" outlineLevel="2">
      <c r="B95" s="54" t="s">
        <v>421</v>
      </c>
      <c r="D95" s="2" t="s">
        <v>506</v>
      </c>
      <c r="E95" s="53"/>
      <c r="F95" s="32">
        <f t="shared" si="301"/>
        <v>0</v>
      </c>
      <c r="G95" s="53"/>
      <c r="H95" s="53"/>
      <c r="I95" s="32">
        <f t="shared" si="302"/>
        <v>0</v>
      </c>
      <c r="J95" s="53"/>
      <c r="K95" s="53"/>
      <c r="L95" s="32">
        <f t="shared" si="303"/>
        <v>0</v>
      </c>
      <c r="M95" s="53"/>
      <c r="N95" s="53"/>
      <c r="O95" s="32">
        <f t="shared" si="304"/>
        <v>0</v>
      </c>
      <c r="P95" s="53"/>
      <c r="Q95" s="53"/>
      <c r="R95" s="32">
        <f t="shared" si="305"/>
        <v>0</v>
      </c>
      <c r="S95" s="53"/>
      <c r="T95" s="53"/>
      <c r="U95" s="32">
        <f t="shared" si="306"/>
        <v>0</v>
      </c>
      <c r="V95" s="53"/>
      <c r="W95" s="53"/>
      <c r="X95" s="32">
        <f t="shared" si="307"/>
        <v>0</v>
      </c>
      <c r="Y95" s="53"/>
      <c r="Z95" s="53"/>
      <c r="AA95" s="32">
        <f t="shared" si="308"/>
        <v>0</v>
      </c>
      <c r="AB95" s="53"/>
      <c r="AC95" s="53"/>
      <c r="AD95" s="32">
        <f t="shared" si="309"/>
        <v>0</v>
      </c>
      <c r="AE95" s="53"/>
      <c r="AF95" s="53"/>
      <c r="AG95" s="32">
        <f t="shared" si="310"/>
        <v>0</v>
      </c>
      <c r="AH95" s="53"/>
      <c r="AI95" s="53"/>
      <c r="AJ95" s="32">
        <f t="shared" si="311"/>
        <v>0</v>
      </c>
      <c r="AK95" s="53"/>
      <c r="AL95" s="53"/>
      <c r="AM95" s="32">
        <f t="shared" si="312"/>
        <v>0</v>
      </c>
      <c r="AN95" s="53"/>
      <c r="AO95" s="53"/>
      <c r="AP95" s="32">
        <f t="shared" si="313"/>
        <v>0</v>
      </c>
      <c r="AQ95" s="53"/>
      <c r="AR95" s="53"/>
      <c r="AS95" s="32">
        <f t="shared" si="314"/>
        <v>0</v>
      </c>
      <c r="AT95" s="53"/>
      <c r="AU95" s="53"/>
      <c r="AV95" s="32">
        <f t="shared" si="315"/>
        <v>0</v>
      </c>
      <c r="AW95" s="53"/>
      <c r="AX95" s="53"/>
      <c r="AY95" s="32">
        <f t="shared" si="316"/>
        <v>0</v>
      </c>
      <c r="AZ95" s="53"/>
      <c r="BA95" s="53"/>
      <c r="BB95" s="32">
        <f t="shared" si="317"/>
        <v>0</v>
      </c>
      <c r="BC95" s="53"/>
      <c r="BD95" s="53"/>
      <c r="BE95" s="32">
        <f t="shared" si="318"/>
        <v>0</v>
      </c>
      <c r="BF95" s="1108"/>
      <c r="BG95" s="1109"/>
      <c r="BH95" s="32">
        <f t="shared" si="319"/>
        <v>0</v>
      </c>
      <c r="BI95" s="1108"/>
      <c r="BJ95" s="1109"/>
      <c r="BK95" s="32">
        <f t="shared" si="320"/>
        <v>102.346</v>
      </c>
      <c r="BL95" s="1108">
        <f>161.627-59.281</f>
        <v>102.346</v>
      </c>
      <c r="BM95" s="1109"/>
      <c r="BN95" s="32">
        <f t="shared" si="321"/>
        <v>0</v>
      </c>
      <c r="BO95" s="1158"/>
      <c r="BP95" s="1109"/>
      <c r="BQ95" s="32">
        <f t="shared" si="322"/>
        <v>-328.51499999999999</v>
      </c>
      <c r="BR95" s="1110">
        <v>-328.51499999999999</v>
      </c>
      <c r="BS95" s="1109"/>
      <c r="BT95" s="32">
        <f t="shared" si="323"/>
        <v>0</v>
      </c>
      <c r="BU95" s="1108"/>
      <c r="BV95" s="1109"/>
      <c r="BW95" s="32">
        <f t="shared" si="324"/>
        <v>0</v>
      </c>
      <c r="BX95" s="1108"/>
      <c r="BY95" s="1109"/>
      <c r="BZ95" s="32">
        <f t="shared" si="325"/>
        <v>0</v>
      </c>
      <c r="CA95" s="1108"/>
      <c r="CB95" s="1109"/>
      <c r="CC95" s="32">
        <f t="shared" si="326"/>
        <v>0</v>
      </c>
      <c r="CD95" s="1108"/>
      <c r="CE95" s="1109"/>
      <c r="CF95" s="32">
        <f t="shared" si="327"/>
        <v>0</v>
      </c>
      <c r="CG95" s="1108"/>
      <c r="CH95" s="1109"/>
      <c r="CI95" s="32">
        <f t="shared" si="328"/>
        <v>0</v>
      </c>
      <c r="CJ95" s="1108"/>
      <c r="CK95" s="1109"/>
      <c r="CL95" s="32">
        <f t="shared" si="329"/>
        <v>0</v>
      </c>
      <c r="CM95" s="1108"/>
      <c r="CN95" s="1109"/>
      <c r="CO95" s="32">
        <f t="shared" si="330"/>
        <v>0</v>
      </c>
      <c r="CP95" s="1108"/>
      <c r="CQ95" s="1109"/>
      <c r="CR95" s="32">
        <f t="shared" si="331"/>
        <v>-22</v>
      </c>
      <c r="CS95" s="1110">
        <v>-22</v>
      </c>
      <c r="CT95" s="1111">
        <v>176.1</v>
      </c>
      <c r="CU95" s="32">
        <f t="shared" si="332"/>
        <v>0</v>
      </c>
      <c r="CV95" s="1108">
        <f>CT95</f>
        <v>176.1</v>
      </c>
      <c r="CW95" s="1109"/>
      <c r="CX95" s="32">
        <f t="shared" si="333"/>
        <v>-7.9</v>
      </c>
      <c r="CY95" s="1110">
        <v>-7.9</v>
      </c>
      <c r="CZ95" s="1109"/>
      <c r="DA95" s="32">
        <f t="shared" si="334"/>
        <v>0</v>
      </c>
      <c r="DB95" s="1108"/>
      <c r="DC95" s="1109"/>
      <c r="DD95" s="32">
        <f t="shared" si="335"/>
        <v>0</v>
      </c>
      <c r="DE95" s="1135"/>
      <c r="DF95" s="1109"/>
      <c r="DG95" s="32">
        <f t="shared" si="336"/>
        <v>0</v>
      </c>
      <c r="DH95" s="1135"/>
      <c r="DI95" s="1109"/>
      <c r="DJ95" s="32">
        <f t="shared" si="337"/>
        <v>0</v>
      </c>
      <c r="DK95" s="1135"/>
      <c r="DL95" s="53"/>
      <c r="DM95" s="32">
        <f t="shared" si="338"/>
        <v>0</v>
      </c>
      <c r="DN95" s="1088"/>
      <c r="DO95" s="53"/>
      <c r="DP95" s="32">
        <f t="shared" si="339"/>
        <v>0</v>
      </c>
      <c r="DQ95" s="1088"/>
      <c r="DR95" s="53"/>
      <c r="DS95" s="32">
        <f t="shared" si="340"/>
        <v>0</v>
      </c>
      <c r="DT95" s="1088"/>
      <c r="DU95" s="53"/>
      <c r="DV95" s="32">
        <f t="shared" si="341"/>
        <v>0</v>
      </c>
      <c r="DW95" s="1088"/>
      <c r="DX95" s="53"/>
      <c r="DY95" s="32">
        <f t="shared" si="342"/>
        <v>0</v>
      </c>
      <c r="DZ95" s="1088"/>
      <c r="EA95" s="53"/>
      <c r="EB95" s="32">
        <f t="shared" si="343"/>
        <v>0</v>
      </c>
      <c r="EC95" s="1088"/>
      <c r="ED95" s="53"/>
      <c r="EE95" s="32">
        <f t="shared" si="344"/>
        <v>0</v>
      </c>
      <c r="EF95" s="1088"/>
      <c r="EG95" s="53"/>
      <c r="EH95" s="32">
        <f t="shared" si="345"/>
        <v>0</v>
      </c>
      <c r="EI95" s="1088"/>
      <c r="EJ95" s="53"/>
      <c r="EK95" s="32">
        <f t="shared" si="346"/>
        <v>0</v>
      </c>
      <c r="EL95" s="1088"/>
      <c r="EM95" s="53"/>
      <c r="EN95" s="32">
        <f t="shared" si="347"/>
        <v>0</v>
      </c>
      <c r="EO95" s="1088"/>
      <c r="EP95" s="53"/>
      <c r="EQ95" s="32">
        <f t="shared" si="348"/>
        <v>0</v>
      </c>
      <c r="ER95" s="1088"/>
      <c r="ES95" s="53"/>
      <c r="ET95" s="32">
        <f t="shared" si="349"/>
        <v>0</v>
      </c>
      <c r="EU95" s="1088"/>
      <c r="EV95" s="53"/>
      <c r="EW95" s="32">
        <f t="shared" si="350"/>
        <v>0</v>
      </c>
      <c r="EX95" s="1088"/>
      <c r="EY95" s="53"/>
      <c r="EZ95" s="32">
        <f t="shared" si="351"/>
        <v>0</v>
      </c>
      <c r="FA95" s="1088"/>
      <c r="FD95"/>
      <c r="FE95"/>
      <c r="FF95"/>
      <c r="FG95"/>
      <c r="FH95"/>
      <c r="FI95"/>
    </row>
    <row r="96" spans="2:169" s="33" customFormat="1" hidden="1" outlineLevel="2">
      <c r="B96" s="54" t="s">
        <v>543</v>
      </c>
      <c r="D96" s="2" t="s">
        <v>506</v>
      </c>
      <c r="E96" s="53"/>
      <c r="F96" s="32">
        <f t="shared" si="301"/>
        <v>0</v>
      </c>
      <c r="G96" s="53"/>
      <c r="H96" s="53"/>
      <c r="I96" s="32">
        <f t="shared" si="302"/>
        <v>0</v>
      </c>
      <c r="J96" s="53"/>
      <c r="K96" s="53"/>
      <c r="L96" s="32">
        <f t="shared" si="303"/>
        <v>0</v>
      </c>
      <c r="M96" s="53"/>
      <c r="N96" s="53"/>
      <c r="O96" s="32">
        <f t="shared" si="304"/>
        <v>0</v>
      </c>
      <c r="P96" s="53"/>
      <c r="Q96" s="53"/>
      <c r="R96" s="32">
        <f t="shared" si="305"/>
        <v>0</v>
      </c>
      <c r="S96" s="53"/>
      <c r="T96" s="53"/>
      <c r="U96" s="32">
        <f t="shared" si="306"/>
        <v>0</v>
      </c>
      <c r="V96" s="53"/>
      <c r="W96" s="53"/>
      <c r="X96" s="32">
        <f t="shared" si="307"/>
        <v>0</v>
      </c>
      <c r="Y96" s="53"/>
      <c r="Z96" s="53"/>
      <c r="AA96" s="32">
        <f t="shared" si="308"/>
        <v>0</v>
      </c>
      <c r="AB96" s="53"/>
      <c r="AC96" s="53"/>
      <c r="AD96" s="32">
        <f t="shared" si="309"/>
        <v>0</v>
      </c>
      <c r="AE96" s="53"/>
      <c r="AF96" s="53"/>
      <c r="AG96" s="32">
        <f t="shared" si="310"/>
        <v>0</v>
      </c>
      <c r="AH96" s="53"/>
      <c r="AI96" s="53"/>
      <c r="AJ96" s="32">
        <f t="shared" si="311"/>
        <v>0</v>
      </c>
      <c r="AK96" s="53"/>
      <c r="AL96" s="53"/>
      <c r="AM96" s="32">
        <f t="shared" si="312"/>
        <v>0</v>
      </c>
      <c r="AN96" s="53"/>
      <c r="AO96" s="53"/>
      <c r="AP96" s="32">
        <f t="shared" si="313"/>
        <v>0</v>
      </c>
      <c r="AQ96" s="53"/>
      <c r="AR96" s="53"/>
      <c r="AS96" s="32">
        <f t="shared" si="314"/>
        <v>0</v>
      </c>
      <c r="AT96" s="53"/>
      <c r="AU96" s="53"/>
      <c r="AV96" s="32">
        <f t="shared" si="315"/>
        <v>0</v>
      </c>
      <c r="AW96" s="53"/>
      <c r="AX96" s="53"/>
      <c r="AY96" s="32">
        <f t="shared" si="316"/>
        <v>0</v>
      </c>
      <c r="AZ96" s="53"/>
      <c r="BA96" s="53"/>
      <c r="BB96" s="32">
        <f t="shared" si="317"/>
        <v>0</v>
      </c>
      <c r="BC96" s="53"/>
      <c r="BD96" s="53"/>
      <c r="BE96" s="32">
        <f t="shared" si="318"/>
        <v>0</v>
      </c>
      <c r="BF96" s="1098"/>
      <c r="BG96" s="1088"/>
      <c r="BH96" s="32">
        <f t="shared" si="319"/>
        <v>0</v>
      </c>
      <c r="BI96" s="1098"/>
      <c r="BJ96" s="1088"/>
      <c r="BK96" s="32">
        <f t="shared" si="320"/>
        <v>-27.035</v>
      </c>
      <c r="BL96" s="1100">
        <v>-27.035</v>
      </c>
      <c r="BM96" s="1088"/>
      <c r="BN96" s="32">
        <f t="shared" si="321"/>
        <v>0</v>
      </c>
      <c r="BO96" s="1158"/>
      <c r="BP96" s="1088"/>
      <c r="BQ96" s="32">
        <f t="shared" si="322"/>
        <v>94.978999999999999</v>
      </c>
      <c r="BR96" s="1100">
        <v>94.978999999999999</v>
      </c>
      <c r="BS96" s="1088"/>
      <c r="BT96" s="32">
        <f t="shared" si="323"/>
        <v>0</v>
      </c>
      <c r="BU96" s="1098"/>
      <c r="BV96" s="1088"/>
      <c r="BW96" s="32">
        <f t="shared" si="324"/>
        <v>0</v>
      </c>
      <c r="BX96" s="1098"/>
      <c r="BY96" s="1088"/>
      <c r="BZ96" s="32">
        <f t="shared" si="325"/>
        <v>0</v>
      </c>
      <c r="CA96" s="1098"/>
      <c r="CB96" s="1088"/>
      <c r="CC96" s="32">
        <f t="shared" si="326"/>
        <v>0</v>
      </c>
      <c r="CD96" s="1098"/>
      <c r="CE96" s="1088"/>
      <c r="CF96" s="32">
        <f t="shared" si="327"/>
        <v>0</v>
      </c>
      <c r="CG96" s="1098"/>
      <c r="CH96" s="1088"/>
      <c r="CI96" s="32">
        <f t="shared" si="328"/>
        <v>0</v>
      </c>
      <c r="CJ96" s="1098"/>
      <c r="CK96" s="1088"/>
      <c r="CL96" s="32">
        <f t="shared" si="329"/>
        <v>0</v>
      </c>
      <c r="CM96" s="1098"/>
      <c r="CN96" s="1088"/>
      <c r="CO96" s="32">
        <f t="shared" si="330"/>
        <v>0</v>
      </c>
      <c r="CP96" s="1098"/>
      <c r="CQ96" s="1088"/>
      <c r="CR96" s="32">
        <f t="shared" si="331"/>
        <v>0</v>
      </c>
      <c r="CS96" s="1098"/>
      <c r="CT96" s="1099">
        <v>-64.2</v>
      </c>
      <c r="CU96" s="32">
        <f t="shared" si="332"/>
        <v>-22.399999999999991</v>
      </c>
      <c r="CV96" s="1100">
        <v>-86.6</v>
      </c>
      <c r="CW96" s="1088"/>
      <c r="CX96" s="32">
        <f t="shared" si="333"/>
        <v>0</v>
      </c>
      <c r="CY96" s="1098"/>
      <c r="CZ96" s="1088"/>
      <c r="DA96" s="32">
        <f t="shared" si="334"/>
        <v>0</v>
      </c>
      <c r="DB96" s="1098"/>
      <c r="DC96" s="1088"/>
      <c r="DD96" s="32">
        <f t="shared" si="335"/>
        <v>0</v>
      </c>
      <c r="DE96" s="1101"/>
      <c r="DF96" s="1088"/>
      <c r="DG96" s="32">
        <f t="shared" si="336"/>
        <v>0</v>
      </c>
      <c r="DH96" s="1101"/>
      <c r="DI96" s="1088"/>
      <c r="DJ96" s="32">
        <f t="shared" si="337"/>
        <v>0</v>
      </c>
      <c r="DK96" s="1101"/>
      <c r="DL96" s="53"/>
      <c r="DM96" s="32">
        <f t="shared" si="338"/>
        <v>0</v>
      </c>
      <c r="DN96" s="1088"/>
      <c r="DO96" s="53"/>
      <c r="DP96" s="32">
        <f t="shared" si="339"/>
        <v>0</v>
      </c>
      <c r="DQ96" s="1088"/>
      <c r="DR96" s="53"/>
      <c r="DS96" s="32">
        <f t="shared" si="340"/>
        <v>0</v>
      </c>
      <c r="DT96" s="1088"/>
      <c r="DU96" s="53"/>
      <c r="DV96" s="32">
        <f t="shared" si="341"/>
        <v>0</v>
      </c>
      <c r="DW96" s="1088"/>
      <c r="DX96" s="53"/>
      <c r="DY96" s="32">
        <f t="shared" si="342"/>
        <v>0</v>
      </c>
      <c r="DZ96" s="1088"/>
      <c r="EA96" s="53"/>
      <c r="EB96" s="32">
        <f t="shared" si="343"/>
        <v>0</v>
      </c>
      <c r="EC96" s="1088"/>
      <c r="ED96" s="53"/>
      <c r="EE96" s="32">
        <f t="shared" si="344"/>
        <v>0</v>
      </c>
      <c r="EF96" s="1088"/>
      <c r="EG96" s="53"/>
      <c r="EH96" s="32">
        <f t="shared" si="345"/>
        <v>0</v>
      </c>
      <c r="EI96" s="1088"/>
      <c r="EJ96" s="53"/>
      <c r="EK96" s="32">
        <f t="shared" si="346"/>
        <v>0</v>
      </c>
      <c r="EL96" s="1088"/>
      <c r="EM96" s="53"/>
      <c r="EN96" s="32">
        <f t="shared" si="347"/>
        <v>0</v>
      </c>
      <c r="EO96" s="1088"/>
      <c r="EP96" s="53"/>
      <c r="EQ96" s="32">
        <f t="shared" si="348"/>
        <v>0</v>
      </c>
      <c r="ER96" s="1088"/>
      <c r="ES96" s="53"/>
      <c r="ET96" s="32">
        <f t="shared" si="349"/>
        <v>0</v>
      </c>
      <c r="EU96" s="1088"/>
      <c r="EV96" s="53"/>
      <c r="EW96" s="32">
        <f t="shared" si="350"/>
        <v>0</v>
      </c>
      <c r="EX96" s="1088"/>
      <c r="EY96" s="53"/>
      <c r="EZ96" s="32">
        <f t="shared" si="351"/>
        <v>0</v>
      </c>
      <c r="FA96" s="1088"/>
      <c r="FD96"/>
      <c r="FE96"/>
      <c r="FF96"/>
      <c r="FG96"/>
      <c r="FH96"/>
      <c r="FI96"/>
    </row>
    <row r="97" spans="2:165" s="33" customFormat="1" hidden="1" outlineLevel="2">
      <c r="B97" s="54" t="s">
        <v>544</v>
      </c>
      <c r="D97" s="2" t="s">
        <v>506</v>
      </c>
      <c r="E97" s="53"/>
      <c r="F97" s="32">
        <f t="shared" si="301"/>
        <v>0</v>
      </c>
      <c r="G97" s="53"/>
      <c r="H97" s="53"/>
      <c r="I97" s="32">
        <f t="shared" si="302"/>
        <v>0</v>
      </c>
      <c r="J97" s="53"/>
      <c r="K97" s="53"/>
      <c r="L97" s="32">
        <f t="shared" si="303"/>
        <v>0</v>
      </c>
      <c r="M97" s="53"/>
      <c r="N97" s="53"/>
      <c r="O97" s="32">
        <f t="shared" si="304"/>
        <v>0</v>
      </c>
      <c r="P97" s="53"/>
      <c r="Q97" s="53"/>
      <c r="R97" s="32">
        <f t="shared" si="305"/>
        <v>0</v>
      </c>
      <c r="S97" s="53"/>
      <c r="T97" s="53"/>
      <c r="U97" s="32">
        <f t="shared" si="306"/>
        <v>0</v>
      </c>
      <c r="V97" s="53"/>
      <c r="W97" s="53"/>
      <c r="X97" s="32">
        <f t="shared" si="307"/>
        <v>0</v>
      </c>
      <c r="Y97" s="53"/>
      <c r="Z97" s="53"/>
      <c r="AA97" s="32">
        <f t="shared" si="308"/>
        <v>0</v>
      </c>
      <c r="AB97" s="53"/>
      <c r="AC97" s="53"/>
      <c r="AD97" s="32">
        <f t="shared" si="309"/>
        <v>0</v>
      </c>
      <c r="AE97" s="53"/>
      <c r="AF97" s="53"/>
      <c r="AG97" s="32">
        <f t="shared" si="310"/>
        <v>0</v>
      </c>
      <c r="AH97" s="53"/>
      <c r="AI97" s="53"/>
      <c r="AJ97" s="32">
        <f t="shared" si="311"/>
        <v>0</v>
      </c>
      <c r="AK97" s="53"/>
      <c r="AL97" s="53"/>
      <c r="AM97" s="32">
        <f t="shared" si="312"/>
        <v>0</v>
      </c>
      <c r="AN97" s="53"/>
      <c r="AO97" s="53"/>
      <c r="AP97" s="32">
        <f t="shared" si="313"/>
        <v>0</v>
      </c>
      <c r="AQ97" s="53"/>
      <c r="AR97" s="53"/>
      <c r="AS97" s="32">
        <f t="shared" si="314"/>
        <v>0</v>
      </c>
      <c r="AT97" s="53"/>
      <c r="AU97" s="53"/>
      <c r="AV97" s="32">
        <f t="shared" si="315"/>
        <v>0</v>
      </c>
      <c r="AW97" s="53"/>
      <c r="AX97" s="53"/>
      <c r="AY97" s="32">
        <f t="shared" si="316"/>
        <v>0</v>
      </c>
      <c r="AZ97" s="53"/>
      <c r="BA97" s="53"/>
      <c r="BB97" s="32">
        <f t="shared" si="317"/>
        <v>0</v>
      </c>
      <c r="BC97" s="53"/>
      <c r="BD97" s="53"/>
      <c r="BE97" s="32">
        <f t="shared" si="318"/>
        <v>0</v>
      </c>
      <c r="BF97" s="1098"/>
      <c r="BG97" s="1088"/>
      <c r="BH97" s="32">
        <f t="shared" si="319"/>
        <v>0</v>
      </c>
      <c r="BI97" s="1098"/>
      <c r="BJ97" s="1088"/>
      <c r="BK97" s="32">
        <f t="shared" si="320"/>
        <v>0</v>
      </c>
      <c r="BL97" s="1098"/>
      <c r="BM97" s="1088"/>
      <c r="BN97" s="32">
        <f t="shared" si="321"/>
        <v>0</v>
      </c>
      <c r="BO97" s="1158"/>
      <c r="BP97" s="1088"/>
      <c r="BQ97" s="32">
        <f t="shared" si="322"/>
        <v>0</v>
      </c>
      <c r="BR97" s="1098"/>
      <c r="BS97" s="1088"/>
      <c r="BT97" s="32">
        <f t="shared" si="323"/>
        <v>0</v>
      </c>
      <c r="BU97" s="1098"/>
      <c r="BV97" s="1088"/>
      <c r="BW97" s="32">
        <f t="shared" si="324"/>
        <v>0</v>
      </c>
      <c r="BX97" s="1098"/>
      <c r="BY97" s="1088"/>
      <c r="BZ97" s="32">
        <f t="shared" si="325"/>
        <v>0</v>
      </c>
      <c r="CA97" s="1098"/>
      <c r="CB97" s="1088"/>
      <c r="CC97" s="32">
        <f t="shared" si="326"/>
        <v>0</v>
      </c>
      <c r="CD97" s="1098"/>
      <c r="CE97" s="1088"/>
      <c r="CF97" s="32">
        <f t="shared" si="327"/>
        <v>0</v>
      </c>
      <c r="CG97" s="1098"/>
      <c r="CH97" s="1088"/>
      <c r="CI97" s="32">
        <f t="shared" si="328"/>
        <v>0</v>
      </c>
      <c r="CJ97" s="1098"/>
      <c r="CK97" s="1088"/>
      <c r="CL97" s="32">
        <f t="shared" si="329"/>
        <v>0</v>
      </c>
      <c r="CM97" s="1098"/>
      <c r="CN97" s="1088"/>
      <c r="CO97" s="32">
        <f t="shared" si="330"/>
        <v>0</v>
      </c>
      <c r="CP97" s="1148"/>
      <c r="CQ97" s="1088"/>
      <c r="CR97" s="32">
        <f t="shared" si="331"/>
        <v>0</v>
      </c>
      <c r="CS97" s="1159"/>
      <c r="CT97" s="1088"/>
      <c r="CU97" s="32">
        <f t="shared" si="332"/>
        <v>0</v>
      </c>
      <c r="CV97" s="1098"/>
      <c r="CW97" s="1088"/>
      <c r="CX97" s="32">
        <f t="shared" si="333"/>
        <v>0</v>
      </c>
      <c r="CY97" s="1098"/>
      <c r="CZ97" s="1088"/>
      <c r="DA97" s="32">
        <f t="shared" si="334"/>
        <v>0</v>
      </c>
      <c r="DB97" s="1098"/>
      <c r="DC97" s="1088"/>
      <c r="DD97" s="32">
        <f t="shared" si="335"/>
        <v>0</v>
      </c>
      <c r="DE97" s="1101"/>
      <c r="DF97" s="1088"/>
      <c r="DG97" s="32">
        <f t="shared" si="336"/>
        <v>0</v>
      </c>
      <c r="DH97" s="1101"/>
      <c r="DI97" s="1088"/>
      <c r="DJ97" s="32">
        <f t="shared" si="337"/>
        <v>0</v>
      </c>
      <c r="DK97" s="1101"/>
      <c r="DL97" s="53"/>
      <c r="DM97" s="32">
        <f t="shared" si="338"/>
        <v>0</v>
      </c>
      <c r="DN97" s="1088"/>
      <c r="DO97" s="53"/>
      <c r="DP97" s="32">
        <f t="shared" si="339"/>
        <v>0</v>
      </c>
      <c r="DQ97" s="1088"/>
      <c r="DR97" s="53"/>
      <c r="DS97" s="32">
        <f t="shared" si="340"/>
        <v>0</v>
      </c>
      <c r="DT97" s="1088"/>
      <c r="DU97" s="53"/>
      <c r="DV97" s="32">
        <f t="shared" si="341"/>
        <v>0</v>
      </c>
      <c r="DW97" s="1088"/>
      <c r="DX97" s="53"/>
      <c r="DY97" s="32">
        <f t="shared" si="342"/>
        <v>0</v>
      </c>
      <c r="DZ97" s="1088"/>
      <c r="EA97" s="53"/>
      <c r="EB97" s="32">
        <f t="shared" si="343"/>
        <v>0</v>
      </c>
      <c r="EC97" s="1088"/>
      <c r="ED97" s="53"/>
      <c r="EE97" s="32">
        <f t="shared" si="344"/>
        <v>0</v>
      </c>
      <c r="EF97" s="1088"/>
      <c r="EG97" s="53"/>
      <c r="EH97" s="32">
        <f t="shared" si="345"/>
        <v>0</v>
      </c>
      <c r="EI97" s="1088"/>
      <c r="EJ97" s="53"/>
      <c r="EK97" s="32">
        <f t="shared" si="346"/>
        <v>0</v>
      </c>
      <c r="EL97" s="1088"/>
      <c r="EM97" s="53"/>
      <c r="EN97" s="32">
        <f t="shared" si="347"/>
        <v>0</v>
      </c>
      <c r="EO97" s="1088"/>
      <c r="EP97" s="53"/>
      <c r="EQ97" s="32">
        <f t="shared" si="348"/>
        <v>0</v>
      </c>
      <c r="ER97" s="1088"/>
      <c r="ES97" s="53"/>
      <c r="ET97" s="32">
        <f t="shared" si="349"/>
        <v>0</v>
      </c>
      <c r="EU97" s="1088"/>
      <c r="EV97" s="53"/>
      <c r="EW97" s="32">
        <f t="shared" si="350"/>
        <v>0</v>
      </c>
      <c r="EX97" s="1088"/>
      <c r="EY97" s="53"/>
      <c r="EZ97" s="32">
        <f t="shared" si="351"/>
        <v>0</v>
      </c>
      <c r="FA97" s="1088"/>
      <c r="FD97"/>
      <c r="FE97"/>
      <c r="FF97"/>
      <c r="FG97"/>
      <c r="FH97"/>
      <c r="FI97"/>
    </row>
    <row r="98" spans="2:165" s="33" customFormat="1" hidden="1" outlineLevel="2">
      <c r="B98" s="54" t="s">
        <v>545</v>
      </c>
      <c r="D98" s="2" t="s">
        <v>506</v>
      </c>
      <c r="E98" s="53"/>
      <c r="F98" s="32">
        <f t="shared" si="301"/>
        <v>0</v>
      </c>
      <c r="G98" s="53"/>
      <c r="H98" s="53"/>
      <c r="I98" s="32">
        <f t="shared" si="302"/>
        <v>0</v>
      </c>
      <c r="J98" s="53"/>
      <c r="K98" s="53"/>
      <c r="L98" s="32">
        <f t="shared" si="303"/>
        <v>0</v>
      </c>
      <c r="M98" s="53"/>
      <c r="N98" s="53"/>
      <c r="O98" s="32">
        <f t="shared" si="304"/>
        <v>0</v>
      </c>
      <c r="P98" s="53"/>
      <c r="Q98" s="53"/>
      <c r="R98" s="32">
        <f t="shared" si="305"/>
        <v>0</v>
      </c>
      <c r="S98" s="53"/>
      <c r="T98" s="53"/>
      <c r="U98" s="32">
        <f t="shared" si="306"/>
        <v>0</v>
      </c>
      <c r="V98" s="53"/>
      <c r="W98" s="53"/>
      <c r="X98" s="32">
        <f t="shared" si="307"/>
        <v>0</v>
      </c>
      <c r="Y98" s="53"/>
      <c r="Z98" s="53"/>
      <c r="AA98" s="32">
        <f t="shared" si="308"/>
        <v>0</v>
      </c>
      <c r="AB98" s="53"/>
      <c r="AC98" s="53"/>
      <c r="AD98" s="32">
        <f t="shared" si="309"/>
        <v>0</v>
      </c>
      <c r="AE98" s="53"/>
      <c r="AF98" s="53"/>
      <c r="AG98" s="32">
        <f t="shared" si="310"/>
        <v>0</v>
      </c>
      <c r="AH98" s="53"/>
      <c r="AI98" s="53"/>
      <c r="AJ98" s="32">
        <f t="shared" si="311"/>
        <v>0</v>
      </c>
      <c r="AK98" s="53"/>
      <c r="AL98" s="53"/>
      <c r="AM98" s="32">
        <f t="shared" si="312"/>
        <v>0</v>
      </c>
      <c r="AN98" s="53"/>
      <c r="AO98" s="53"/>
      <c r="AP98" s="32">
        <f t="shared" si="313"/>
        <v>0</v>
      </c>
      <c r="AQ98" s="53"/>
      <c r="AR98" s="53"/>
      <c r="AS98" s="32">
        <f t="shared" si="314"/>
        <v>0</v>
      </c>
      <c r="AT98" s="53"/>
      <c r="AU98" s="53"/>
      <c r="AV98" s="32">
        <f t="shared" si="315"/>
        <v>0</v>
      </c>
      <c r="AW98" s="53"/>
      <c r="AX98" s="53"/>
      <c r="AY98" s="32">
        <f t="shared" si="316"/>
        <v>0</v>
      </c>
      <c r="AZ98" s="53"/>
      <c r="BA98" s="53"/>
      <c r="BB98" s="32">
        <f t="shared" si="317"/>
        <v>0</v>
      </c>
      <c r="BC98" s="53"/>
      <c r="BD98" s="53"/>
      <c r="BE98" s="32">
        <f t="shared" si="318"/>
        <v>0</v>
      </c>
      <c r="BF98" s="1098"/>
      <c r="BG98" s="1088"/>
      <c r="BH98" s="32">
        <f t="shared" si="319"/>
        <v>0</v>
      </c>
      <c r="BI98" s="1098"/>
      <c r="BJ98" s="1088"/>
      <c r="BK98" s="32">
        <f t="shared" si="320"/>
        <v>0</v>
      </c>
      <c r="BL98" s="1098"/>
      <c r="BM98" s="1088"/>
      <c r="BN98" s="32">
        <f t="shared" si="321"/>
        <v>0</v>
      </c>
      <c r="BO98" s="1098"/>
      <c r="BP98" s="1088"/>
      <c r="BQ98" s="32">
        <f t="shared" si="322"/>
        <v>0</v>
      </c>
      <c r="BR98" s="1098"/>
      <c r="BS98" s="1088"/>
      <c r="BT98" s="32">
        <f t="shared" si="323"/>
        <v>0</v>
      </c>
      <c r="BU98" s="1098"/>
      <c r="BV98" s="1088"/>
      <c r="BW98" s="32">
        <f t="shared" si="324"/>
        <v>0</v>
      </c>
      <c r="BX98" s="1098"/>
      <c r="BY98" s="1088"/>
      <c r="BZ98" s="32">
        <f t="shared" si="325"/>
        <v>0</v>
      </c>
      <c r="CA98" s="1098"/>
      <c r="CB98" s="1088"/>
      <c r="CC98" s="32">
        <f t="shared" si="326"/>
        <v>0</v>
      </c>
      <c r="CD98" s="1098"/>
      <c r="CE98" s="1088"/>
      <c r="CF98" s="32">
        <f t="shared" si="327"/>
        <v>0</v>
      </c>
      <c r="CG98" s="1098"/>
      <c r="CH98" s="1088"/>
      <c r="CI98" s="32">
        <f t="shared" si="328"/>
        <v>0</v>
      </c>
      <c r="CJ98" s="1098"/>
      <c r="CK98" s="1088"/>
      <c r="CL98" s="32">
        <f t="shared" si="329"/>
        <v>0</v>
      </c>
      <c r="CM98" s="1098"/>
      <c r="CN98" s="1088"/>
      <c r="CO98" s="32">
        <f t="shared" si="330"/>
        <v>0</v>
      </c>
      <c r="CP98" s="1098"/>
      <c r="CQ98" s="1088"/>
      <c r="CR98" s="32">
        <f t="shared" si="331"/>
        <v>0</v>
      </c>
      <c r="CS98" s="1098"/>
      <c r="CT98" s="1088"/>
      <c r="CU98" s="32">
        <f t="shared" si="332"/>
        <v>0</v>
      </c>
      <c r="CV98" s="1098"/>
      <c r="CW98" s="1088"/>
      <c r="CX98" s="32">
        <f t="shared" si="333"/>
        <v>0</v>
      </c>
      <c r="CY98" s="1098"/>
      <c r="CZ98" s="1088"/>
      <c r="DA98" s="32">
        <f t="shared" si="334"/>
        <v>0</v>
      </c>
      <c r="DB98" s="1098"/>
      <c r="DC98" s="1088"/>
      <c r="DD98" s="32">
        <f t="shared" si="335"/>
        <v>0</v>
      </c>
      <c r="DE98" s="1101"/>
      <c r="DF98" s="1088"/>
      <c r="DG98" s="32">
        <f t="shared" si="336"/>
        <v>0</v>
      </c>
      <c r="DH98" s="1101"/>
      <c r="DI98" s="1088"/>
      <c r="DJ98" s="32">
        <f t="shared" si="337"/>
        <v>0</v>
      </c>
      <c r="DK98" s="1101"/>
      <c r="DL98" s="53"/>
      <c r="DM98" s="32">
        <f t="shared" si="338"/>
        <v>0</v>
      </c>
      <c r="DN98" s="1088"/>
      <c r="DO98" s="53"/>
      <c r="DP98" s="32">
        <f t="shared" si="339"/>
        <v>0</v>
      </c>
      <c r="DQ98" s="1088"/>
      <c r="DR98" s="53"/>
      <c r="DS98" s="32">
        <f t="shared" si="340"/>
        <v>0</v>
      </c>
      <c r="DT98" s="1088"/>
      <c r="DU98" s="53"/>
      <c r="DV98" s="32">
        <f t="shared" si="341"/>
        <v>0</v>
      </c>
      <c r="DW98" s="1088"/>
      <c r="DX98" s="53"/>
      <c r="DY98" s="32">
        <f t="shared" si="342"/>
        <v>0</v>
      </c>
      <c r="DZ98" s="1088"/>
      <c r="EA98" s="53"/>
      <c r="EB98" s="32">
        <f t="shared" si="343"/>
        <v>0</v>
      </c>
      <c r="EC98" s="1088"/>
      <c r="ED98" s="53"/>
      <c r="EE98" s="32">
        <f t="shared" si="344"/>
        <v>0</v>
      </c>
      <c r="EF98" s="1088"/>
      <c r="EG98" s="53"/>
      <c r="EH98" s="32">
        <f t="shared" si="345"/>
        <v>0</v>
      </c>
      <c r="EI98" s="1088"/>
      <c r="EJ98" s="53"/>
      <c r="EK98" s="32">
        <f t="shared" si="346"/>
        <v>0</v>
      </c>
      <c r="EL98" s="1088"/>
      <c r="EM98" s="53"/>
      <c r="EN98" s="32">
        <f t="shared" si="347"/>
        <v>0</v>
      </c>
      <c r="EO98" s="1088"/>
      <c r="EP98" s="53"/>
      <c r="EQ98" s="32">
        <f t="shared" si="348"/>
        <v>0</v>
      </c>
      <c r="ER98" s="1088"/>
      <c r="ES98" s="53"/>
      <c r="ET98" s="32">
        <f t="shared" si="349"/>
        <v>0</v>
      </c>
      <c r="EU98" s="1088"/>
      <c r="EV98" s="53"/>
      <c r="EW98" s="32">
        <f t="shared" si="350"/>
        <v>0</v>
      </c>
      <c r="EX98" s="1088"/>
      <c r="EY98" s="53"/>
      <c r="EZ98" s="32">
        <f t="shared" si="351"/>
        <v>0</v>
      </c>
      <c r="FA98" s="1088"/>
      <c r="FD98"/>
      <c r="FE98"/>
      <c r="FF98"/>
      <c r="FG98"/>
      <c r="FH98"/>
      <c r="FI98"/>
    </row>
    <row r="99" spans="2:165" s="33" customFormat="1" hidden="1" outlineLevel="2">
      <c r="B99" s="1160" t="s">
        <v>546</v>
      </c>
      <c r="D99" s="2" t="s">
        <v>506</v>
      </c>
      <c r="E99" s="53"/>
      <c r="F99" s="32">
        <f t="shared" si="301"/>
        <v>0</v>
      </c>
      <c r="G99" s="53"/>
      <c r="H99" s="53"/>
      <c r="I99" s="32">
        <f t="shared" si="302"/>
        <v>0</v>
      </c>
      <c r="J99" s="53"/>
      <c r="K99" s="53"/>
      <c r="L99" s="32">
        <f t="shared" si="303"/>
        <v>0</v>
      </c>
      <c r="M99" s="53"/>
      <c r="N99" s="53"/>
      <c r="O99" s="32">
        <f t="shared" si="304"/>
        <v>0</v>
      </c>
      <c r="P99" s="53"/>
      <c r="Q99" s="53"/>
      <c r="R99" s="32">
        <f t="shared" si="305"/>
        <v>0</v>
      </c>
      <c r="S99" s="53"/>
      <c r="T99" s="53"/>
      <c r="U99" s="32">
        <f t="shared" si="306"/>
        <v>0</v>
      </c>
      <c r="V99" s="53"/>
      <c r="W99" s="53"/>
      <c r="X99" s="32">
        <f t="shared" si="307"/>
        <v>0</v>
      </c>
      <c r="Y99" s="53"/>
      <c r="Z99" s="53"/>
      <c r="AA99" s="32">
        <f t="shared" si="308"/>
        <v>0</v>
      </c>
      <c r="AB99" s="53"/>
      <c r="AC99" s="53"/>
      <c r="AD99" s="32">
        <f t="shared" si="309"/>
        <v>0</v>
      </c>
      <c r="AE99" s="53"/>
      <c r="AF99" s="53"/>
      <c r="AG99" s="32">
        <f t="shared" si="310"/>
        <v>0</v>
      </c>
      <c r="AH99" s="53"/>
      <c r="AI99" s="53"/>
      <c r="AJ99" s="32">
        <f t="shared" si="311"/>
        <v>0</v>
      </c>
      <c r="AK99" s="53"/>
      <c r="AL99" s="53"/>
      <c r="AM99" s="32">
        <f t="shared" si="312"/>
        <v>0</v>
      </c>
      <c r="AN99" s="53"/>
      <c r="AO99" s="53"/>
      <c r="AP99" s="32">
        <f t="shared" si="313"/>
        <v>0</v>
      </c>
      <c r="AQ99" s="53"/>
      <c r="AR99" s="53"/>
      <c r="AS99" s="32">
        <f t="shared" si="314"/>
        <v>0</v>
      </c>
      <c r="AT99" s="53"/>
      <c r="AU99" s="53"/>
      <c r="AV99" s="32">
        <f t="shared" si="315"/>
        <v>0</v>
      </c>
      <c r="AW99" s="53"/>
      <c r="AX99" s="53"/>
      <c r="AY99" s="32">
        <f t="shared" si="316"/>
        <v>0</v>
      </c>
      <c r="AZ99" s="53"/>
      <c r="BA99" s="53"/>
      <c r="BB99" s="32">
        <f t="shared" si="317"/>
        <v>0</v>
      </c>
      <c r="BC99" s="53"/>
      <c r="BD99" s="53"/>
      <c r="BE99" s="32">
        <f t="shared" si="318"/>
        <v>0</v>
      </c>
      <c r="BF99" s="1098"/>
      <c r="BG99" s="1088"/>
      <c r="BH99" s="32">
        <f t="shared" si="319"/>
        <v>0</v>
      </c>
      <c r="BI99" s="1098"/>
      <c r="BJ99" s="1088"/>
      <c r="BK99" s="32">
        <f t="shared" si="320"/>
        <v>0</v>
      </c>
      <c r="BL99" s="1098"/>
      <c r="BM99" s="1088"/>
      <c r="BN99" s="32">
        <f t="shared" si="321"/>
        <v>0</v>
      </c>
      <c r="BO99" s="1098"/>
      <c r="BP99" s="1088"/>
      <c r="BQ99" s="32">
        <f t="shared" si="322"/>
        <v>0</v>
      </c>
      <c r="BR99" s="1098"/>
      <c r="BS99" s="1088"/>
      <c r="BT99" s="32">
        <f t="shared" si="323"/>
        <v>0</v>
      </c>
      <c r="BU99" s="1098"/>
      <c r="BV99" s="1088"/>
      <c r="BW99" s="32">
        <f t="shared" si="324"/>
        <v>0</v>
      </c>
      <c r="BX99" s="1098"/>
      <c r="BY99" s="1088"/>
      <c r="BZ99" s="32">
        <f t="shared" si="325"/>
        <v>0</v>
      </c>
      <c r="CA99" s="1098"/>
      <c r="CB99" s="1088"/>
      <c r="CC99" s="32">
        <f t="shared" si="326"/>
        <v>0</v>
      </c>
      <c r="CD99" s="1098"/>
      <c r="CE99" s="1088"/>
      <c r="CF99" s="32">
        <f t="shared" si="327"/>
        <v>0</v>
      </c>
      <c r="CG99" s="1098"/>
      <c r="CH99" s="1088"/>
      <c r="CI99" s="32">
        <f t="shared" si="328"/>
        <v>0</v>
      </c>
      <c r="CJ99" s="1098"/>
      <c r="CK99" s="1088"/>
      <c r="CL99" s="32">
        <f t="shared" si="329"/>
        <v>0</v>
      </c>
      <c r="CM99" s="1098"/>
      <c r="CN99" s="1088"/>
      <c r="CO99" s="32">
        <f t="shared" si="330"/>
        <v>0</v>
      </c>
      <c r="CP99" s="1098"/>
      <c r="CQ99" s="1088"/>
      <c r="CR99" s="32">
        <f t="shared" si="331"/>
        <v>0</v>
      </c>
      <c r="CS99" s="1098"/>
      <c r="CT99" s="1088"/>
      <c r="CU99" s="32">
        <f t="shared" si="332"/>
        <v>0</v>
      </c>
      <c r="CV99" s="1098"/>
      <c r="CW99" s="1088"/>
      <c r="CX99" s="32">
        <f t="shared" si="333"/>
        <v>0</v>
      </c>
      <c r="CY99" s="1098"/>
      <c r="CZ99" s="1088"/>
      <c r="DA99" s="32">
        <f t="shared" si="334"/>
        <v>0</v>
      </c>
      <c r="DB99" s="1098"/>
      <c r="DC99" s="1088"/>
      <c r="DD99" s="32">
        <f t="shared" si="335"/>
        <v>0</v>
      </c>
      <c r="DE99" s="1101"/>
      <c r="DF99" s="1088"/>
      <c r="DG99" s="32">
        <f t="shared" si="336"/>
        <v>0</v>
      </c>
      <c r="DH99" s="1101"/>
      <c r="DI99" s="1088"/>
      <c r="DJ99" s="32">
        <f t="shared" si="337"/>
        <v>0</v>
      </c>
      <c r="DK99" s="1101"/>
      <c r="DL99" s="53"/>
      <c r="DM99" s="32">
        <f t="shared" si="338"/>
        <v>0</v>
      </c>
      <c r="DN99" s="1088"/>
      <c r="DO99" s="53"/>
      <c r="DP99" s="32">
        <f t="shared" si="339"/>
        <v>0</v>
      </c>
      <c r="DQ99" s="1088"/>
      <c r="DR99" s="53"/>
      <c r="DS99" s="32">
        <f t="shared" si="340"/>
        <v>0</v>
      </c>
      <c r="DT99" s="1088"/>
      <c r="DU99" s="53"/>
      <c r="DV99" s="32">
        <f t="shared" si="341"/>
        <v>0</v>
      </c>
      <c r="DW99" s="1088"/>
      <c r="DX99" s="53"/>
      <c r="DY99" s="32">
        <f t="shared" si="342"/>
        <v>0</v>
      </c>
      <c r="DZ99" s="1088"/>
      <c r="EA99" s="53"/>
      <c r="EB99" s="32">
        <f t="shared" si="343"/>
        <v>0</v>
      </c>
      <c r="EC99" s="1088"/>
      <c r="ED99" s="53"/>
      <c r="EE99" s="32">
        <f t="shared" si="344"/>
        <v>0</v>
      </c>
      <c r="EF99" s="1088"/>
      <c r="EG99" s="53"/>
      <c r="EH99" s="32">
        <f t="shared" si="345"/>
        <v>0</v>
      </c>
      <c r="EI99" s="1088"/>
      <c r="EJ99" s="53"/>
      <c r="EK99" s="32">
        <f t="shared" si="346"/>
        <v>0</v>
      </c>
      <c r="EL99" s="1088"/>
      <c r="EM99" s="53"/>
      <c r="EN99" s="32">
        <f t="shared" si="347"/>
        <v>0</v>
      </c>
      <c r="EO99" s="1088"/>
      <c r="EP99" s="53"/>
      <c r="EQ99" s="32">
        <f t="shared" si="348"/>
        <v>0</v>
      </c>
      <c r="ER99" s="1088"/>
      <c r="ES99" s="53"/>
      <c r="ET99" s="32">
        <f t="shared" si="349"/>
        <v>0</v>
      </c>
      <c r="EU99" s="1088"/>
      <c r="EV99" s="53"/>
      <c r="EW99" s="32">
        <f t="shared" si="350"/>
        <v>0</v>
      </c>
      <c r="EX99" s="1088"/>
      <c r="EY99" s="53"/>
      <c r="EZ99" s="32">
        <f t="shared" si="351"/>
        <v>0</v>
      </c>
      <c r="FA99" s="1088"/>
      <c r="FD99"/>
      <c r="FE99"/>
      <c r="FF99"/>
      <c r="FG99"/>
      <c r="FH99"/>
      <c r="FI99"/>
    </row>
    <row r="100" spans="2:165" s="33" customFormat="1" hidden="1" outlineLevel="2">
      <c r="B100" s="54" t="s">
        <v>545</v>
      </c>
      <c r="D100" s="2" t="s">
        <v>506</v>
      </c>
      <c r="E100" s="53"/>
      <c r="F100" s="32">
        <f t="shared" si="301"/>
        <v>0</v>
      </c>
      <c r="G100" s="53"/>
      <c r="H100" s="53"/>
      <c r="I100" s="32">
        <f t="shared" si="302"/>
        <v>0</v>
      </c>
      <c r="J100" s="53"/>
      <c r="K100" s="53"/>
      <c r="L100" s="32">
        <f t="shared" si="303"/>
        <v>0</v>
      </c>
      <c r="M100" s="53"/>
      <c r="N100" s="53"/>
      <c r="O100" s="32">
        <f t="shared" si="304"/>
        <v>0</v>
      </c>
      <c r="P100" s="53"/>
      <c r="Q100" s="53"/>
      <c r="R100" s="32">
        <f t="shared" si="305"/>
        <v>0</v>
      </c>
      <c r="S100" s="53"/>
      <c r="T100" s="53"/>
      <c r="U100" s="32">
        <f t="shared" si="306"/>
        <v>0</v>
      </c>
      <c r="V100" s="53"/>
      <c r="W100" s="53"/>
      <c r="X100" s="32">
        <f t="shared" si="307"/>
        <v>0</v>
      </c>
      <c r="Y100" s="53"/>
      <c r="Z100" s="53"/>
      <c r="AA100" s="32">
        <f t="shared" si="308"/>
        <v>0</v>
      </c>
      <c r="AB100" s="53"/>
      <c r="AC100" s="53"/>
      <c r="AD100" s="32">
        <f t="shared" si="309"/>
        <v>0</v>
      </c>
      <c r="AE100" s="53"/>
      <c r="AF100" s="53"/>
      <c r="AG100" s="32">
        <f t="shared" si="310"/>
        <v>0</v>
      </c>
      <c r="AH100" s="53"/>
      <c r="AI100" s="53"/>
      <c r="AJ100" s="32">
        <f t="shared" si="311"/>
        <v>0</v>
      </c>
      <c r="AK100" s="53"/>
      <c r="AL100" s="53"/>
      <c r="AM100" s="32">
        <f t="shared" si="312"/>
        <v>0</v>
      </c>
      <c r="AN100" s="53"/>
      <c r="AO100" s="53"/>
      <c r="AP100" s="32">
        <f t="shared" si="313"/>
        <v>0</v>
      </c>
      <c r="AQ100" s="53"/>
      <c r="AR100" s="53"/>
      <c r="AS100" s="32">
        <f t="shared" si="314"/>
        <v>0</v>
      </c>
      <c r="AT100" s="53"/>
      <c r="AU100" s="53"/>
      <c r="AV100" s="32">
        <f t="shared" si="315"/>
        <v>0</v>
      </c>
      <c r="AW100" s="53"/>
      <c r="AX100" s="53"/>
      <c r="AY100" s="32">
        <f t="shared" si="316"/>
        <v>0</v>
      </c>
      <c r="AZ100" s="53"/>
      <c r="BA100" s="53"/>
      <c r="BB100" s="32">
        <f t="shared" si="317"/>
        <v>0</v>
      </c>
      <c r="BC100" s="53"/>
      <c r="BD100" s="53"/>
      <c r="BE100" s="32">
        <f t="shared" si="318"/>
        <v>0</v>
      </c>
      <c r="BF100" s="1098"/>
      <c r="BG100" s="1088"/>
      <c r="BH100" s="32">
        <f t="shared" si="319"/>
        <v>0</v>
      </c>
      <c r="BI100" s="1098"/>
      <c r="BJ100" s="1088"/>
      <c r="BK100" s="32">
        <f t="shared" si="320"/>
        <v>0</v>
      </c>
      <c r="BL100" s="1098"/>
      <c r="BM100" s="1088"/>
      <c r="BN100" s="32">
        <f t="shared" si="321"/>
        <v>0</v>
      </c>
      <c r="BO100" s="1098"/>
      <c r="BP100" s="1088"/>
      <c r="BQ100" s="32">
        <f t="shared" si="322"/>
        <v>0</v>
      </c>
      <c r="BR100" s="1098"/>
      <c r="BS100" s="1088"/>
      <c r="BT100" s="32">
        <f t="shared" si="323"/>
        <v>0</v>
      </c>
      <c r="BU100" s="1098"/>
      <c r="BV100" s="1088"/>
      <c r="BW100" s="32">
        <f t="shared" si="324"/>
        <v>0</v>
      </c>
      <c r="BX100" s="1098"/>
      <c r="BY100" s="1088"/>
      <c r="BZ100" s="32">
        <f t="shared" si="325"/>
        <v>0</v>
      </c>
      <c r="CA100" s="1098"/>
      <c r="CB100" s="1088"/>
      <c r="CC100" s="32">
        <f t="shared" si="326"/>
        <v>0</v>
      </c>
      <c r="CD100" s="1148"/>
      <c r="CE100" s="1088"/>
      <c r="CF100" s="32">
        <f t="shared" si="327"/>
        <v>0</v>
      </c>
      <c r="CG100" s="1098"/>
      <c r="CH100" s="1088"/>
      <c r="CI100" s="32">
        <f t="shared" si="328"/>
        <v>0</v>
      </c>
      <c r="CJ100" s="1098"/>
      <c r="CK100" s="1088"/>
      <c r="CL100" s="32">
        <f t="shared" si="329"/>
        <v>0</v>
      </c>
      <c r="CM100" s="1098"/>
      <c r="CN100" s="1088"/>
      <c r="CO100" s="32">
        <f t="shared" si="330"/>
        <v>0</v>
      </c>
      <c r="CP100" s="1098"/>
      <c r="CQ100" s="1088"/>
      <c r="CR100" s="32">
        <f t="shared" si="331"/>
        <v>0</v>
      </c>
      <c r="CS100" s="1098"/>
      <c r="CT100" s="1088"/>
      <c r="CU100" s="32">
        <f t="shared" si="332"/>
        <v>0</v>
      </c>
      <c r="CV100" s="1098"/>
      <c r="CW100" s="1088"/>
      <c r="CX100" s="32">
        <f t="shared" si="333"/>
        <v>0</v>
      </c>
      <c r="CY100" s="1098"/>
      <c r="CZ100" s="1088"/>
      <c r="DA100" s="32">
        <f t="shared" si="334"/>
        <v>0</v>
      </c>
      <c r="DB100" s="1098"/>
      <c r="DC100" s="1088"/>
      <c r="DD100" s="32">
        <f t="shared" si="335"/>
        <v>0</v>
      </c>
      <c r="DE100" s="1101"/>
      <c r="DF100" s="1088"/>
      <c r="DG100" s="32">
        <f t="shared" si="336"/>
        <v>0</v>
      </c>
      <c r="DH100" s="1101"/>
      <c r="DI100" s="1088"/>
      <c r="DJ100" s="32">
        <f t="shared" si="337"/>
        <v>0</v>
      </c>
      <c r="DK100" s="1101"/>
      <c r="DL100" s="53"/>
      <c r="DM100" s="32">
        <f t="shared" si="338"/>
        <v>0</v>
      </c>
      <c r="DN100" s="1088"/>
      <c r="DO100" s="53"/>
      <c r="DP100" s="32">
        <f t="shared" si="339"/>
        <v>0</v>
      </c>
      <c r="DQ100" s="1088"/>
      <c r="DR100" s="53"/>
      <c r="DS100" s="32">
        <f t="shared" si="340"/>
        <v>0</v>
      </c>
      <c r="DT100" s="1088"/>
      <c r="DU100" s="53"/>
      <c r="DV100" s="32">
        <f t="shared" si="341"/>
        <v>0</v>
      </c>
      <c r="DW100" s="1088"/>
      <c r="DX100" s="53"/>
      <c r="DY100" s="32">
        <f t="shared" si="342"/>
        <v>0</v>
      </c>
      <c r="DZ100" s="1088"/>
      <c r="EA100" s="53"/>
      <c r="EB100" s="32">
        <f t="shared" si="343"/>
        <v>0</v>
      </c>
      <c r="EC100" s="1088"/>
      <c r="ED100" s="53"/>
      <c r="EE100" s="32">
        <f t="shared" si="344"/>
        <v>0</v>
      </c>
      <c r="EF100" s="1088"/>
      <c r="EG100" s="53"/>
      <c r="EH100" s="32">
        <f t="shared" si="345"/>
        <v>0</v>
      </c>
      <c r="EI100" s="1088"/>
      <c r="EJ100" s="53"/>
      <c r="EK100" s="32">
        <f t="shared" si="346"/>
        <v>0</v>
      </c>
      <c r="EL100" s="1088"/>
      <c r="EM100" s="53"/>
      <c r="EN100" s="32">
        <f t="shared" si="347"/>
        <v>0</v>
      </c>
      <c r="EO100" s="1088"/>
      <c r="EP100" s="53"/>
      <c r="EQ100" s="32">
        <f t="shared" si="348"/>
        <v>0</v>
      </c>
      <c r="ER100" s="1088"/>
      <c r="ES100" s="53"/>
      <c r="ET100" s="32">
        <f t="shared" si="349"/>
        <v>0</v>
      </c>
      <c r="EU100" s="1088"/>
      <c r="EV100" s="53"/>
      <c r="EW100" s="32">
        <f t="shared" si="350"/>
        <v>0</v>
      </c>
      <c r="EX100" s="1088"/>
      <c r="EY100" s="53"/>
      <c r="EZ100" s="32">
        <f t="shared" si="351"/>
        <v>0</v>
      </c>
      <c r="FA100" s="1088"/>
      <c r="FD100"/>
      <c r="FE100"/>
      <c r="FF100"/>
      <c r="FG100"/>
      <c r="FH100"/>
      <c r="FI100"/>
    </row>
    <row r="101" spans="2:165" s="33" customFormat="1" hidden="1" outlineLevel="2">
      <c r="B101" s="54" t="s">
        <v>639</v>
      </c>
      <c r="D101" s="2" t="s">
        <v>506</v>
      </c>
      <c r="E101" s="53"/>
      <c r="F101" s="32">
        <f t="shared" si="301"/>
        <v>0</v>
      </c>
      <c r="G101" s="53"/>
      <c r="H101" s="53"/>
      <c r="I101" s="32">
        <f t="shared" si="302"/>
        <v>0</v>
      </c>
      <c r="J101" s="53"/>
      <c r="K101" s="53"/>
      <c r="L101" s="32">
        <f t="shared" si="303"/>
        <v>0</v>
      </c>
      <c r="M101" s="53"/>
      <c r="N101" s="53"/>
      <c r="O101" s="32">
        <f t="shared" si="304"/>
        <v>0</v>
      </c>
      <c r="P101" s="53"/>
      <c r="Q101" s="53"/>
      <c r="R101" s="32">
        <f t="shared" si="305"/>
        <v>0</v>
      </c>
      <c r="S101" s="53"/>
      <c r="T101" s="53"/>
      <c r="U101" s="32">
        <f t="shared" si="306"/>
        <v>0</v>
      </c>
      <c r="V101" s="53"/>
      <c r="W101" s="53"/>
      <c r="X101" s="32">
        <f t="shared" si="307"/>
        <v>0</v>
      </c>
      <c r="Y101" s="53"/>
      <c r="Z101" s="53"/>
      <c r="AA101" s="32">
        <f t="shared" si="308"/>
        <v>0</v>
      </c>
      <c r="AB101" s="53"/>
      <c r="AC101" s="53"/>
      <c r="AD101" s="32">
        <f t="shared" si="309"/>
        <v>0</v>
      </c>
      <c r="AE101" s="53"/>
      <c r="AF101" s="53"/>
      <c r="AG101" s="32">
        <f t="shared" si="310"/>
        <v>0</v>
      </c>
      <c r="AH101" s="53"/>
      <c r="AI101" s="53"/>
      <c r="AJ101" s="32">
        <f t="shared" si="311"/>
        <v>0</v>
      </c>
      <c r="AK101" s="53"/>
      <c r="AL101" s="53"/>
      <c r="AM101" s="32">
        <f t="shared" si="312"/>
        <v>0</v>
      </c>
      <c r="AN101" s="53"/>
      <c r="AO101" s="53"/>
      <c r="AP101" s="32">
        <f t="shared" si="313"/>
        <v>0</v>
      </c>
      <c r="AQ101" s="53"/>
      <c r="AR101" s="53"/>
      <c r="AS101" s="32">
        <f t="shared" si="314"/>
        <v>0</v>
      </c>
      <c r="AT101" s="53"/>
      <c r="AU101" s="53"/>
      <c r="AV101" s="32">
        <f t="shared" si="315"/>
        <v>0</v>
      </c>
      <c r="AW101" s="53"/>
      <c r="AX101" s="53"/>
      <c r="AY101" s="32">
        <f t="shared" si="316"/>
        <v>0</v>
      </c>
      <c r="AZ101" s="53"/>
      <c r="BA101" s="53"/>
      <c r="BB101" s="32">
        <f t="shared" si="317"/>
        <v>0</v>
      </c>
      <c r="BC101" s="53"/>
      <c r="BD101" s="53"/>
      <c r="BE101" s="32">
        <f t="shared" si="318"/>
        <v>0</v>
      </c>
      <c r="BF101" s="1098"/>
      <c r="BG101" s="1088"/>
      <c r="BH101" s="32">
        <f t="shared" si="319"/>
        <v>0</v>
      </c>
      <c r="BI101" s="1098"/>
      <c r="BJ101" s="1088"/>
      <c r="BK101" s="32">
        <f t="shared" si="320"/>
        <v>0</v>
      </c>
      <c r="BL101" s="1098"/>
      <c r="BM101" s="1088"/>
      <c r="BN101" s="32">
        <f t="shared" si="321"/>
        <v>0</v>
      </c>
      <c r="BO101" s="1098"/>
      <c r="BP101" s="1088"/>
      <c r="BQ101" s="32">
        <f t="shared" si="322"/>
        <v>0</v>
      </c>
      <c r="BR101" s="1098"/>
      <c r="BS101" s="1088"/>
      <c r="BT101" s="32">
        <f t="shared" si="323"/>
        <v>0</v>
      </c>
      <c r="BU101" s="1098"/>
      <c r="BV101" s="1088"/>
      <c r="BW101" s="32">
        <f t="shared" si="324"/>
        <v>0</v>
      </c>
      <c r="BX101" s="1098"/>
      <c r="BY101" s="1088"/>
      <c r="BZ101" s="32">
        <f t="shared" si="325"/>
        <v>0</v>
      </c>
      <c r="CA101" s="1098"/>
      <c r="CB101" s="1088"/>
      <c r="CC101" s="32">
        <f t="shared" si="326"/>
        <v>0</v>
      </c>
      <c r="CD101" s="1098"/>
      <c r="CE101" s="1088"/>
      <c r="CF101" s="32">
        <f t="shared" si="327"/>
        <v>0</v>
      </c>
      <c r="CG101" s="1098"/>
      <c r="CH101" s="1088"/>
      <c r="CI101" s="32">
        <f t="shared" si="328"/>
        <v>0</v>
      </c>
      <c r="CJ101" s="1098"/>
      <c r="CK101" s="1088"/>
      <c r="CL101" s="32">
        <f t="shared" si="329"/>
        <v>0</v>
      </c>
      <c r="CM101" s="1098"/>
      <c r="CN101" s="1088"/>
      <c r="CO101" s="32">
        <f t="shared" si="330"/>
        <v>0</v>
      </c>
      <c r="CP101" s="1098"/>
      <c r="CQ101" s="1088"/>
      <c r="CR101" s="32">
        <f t="shared" si="331"/>
        <v>0</v>
      </c>
      <c r="CS101" s="1098"/>
      <c r="CT101" s="1088"/>
      <c r="CU101" s="32">
        <f t="shared" si="332"/>
        <v>0</v>
      </c>
      <c r="CV101" s="1098"/>
      <c r="CW101" s="1088"/>
      <c r="CX101" s="32">
        <f t="shared" si="333"/>
        <v>0</v>
      </c>
      <c r="CY101" s="1098"/>
      <c r="CZ101" s="1088"/>
      <c r="DA101" s="32">
        <f t="shared" si="334"/>
        <v>0</v>
      </c>
      <c r="DB101" s="1098"/>
      <c r="DC101" s="1088"/>
      <c r="DD101" s="32">
        <f t="shared" si="335"/>
        <v>0</v>
      </c>
      <c r="DE101" s="1101"/>
      <c r="DF101" s="1088"/>
      <c r="DG101" s="32">
        <f t="shared" si="336"/>
        <v>0</v>
      </c>
      <c r="DH101" s="1101"/>
      <c r="DI101" s="1088"/>
      <c r="DJ101" s="32">
        <f t="shared" si="337"/>
        <v>0</v>
      </c>
      <c r="DK101" s="1101"/>
      <c r="DL101" s="53"/>
      <c r="DM101" s="32">
        <f t="shared" si="338"/>
        <v>0</v>
      </c>
      <c r="DN101" s="1088"/>
      <c r="DO101" s="53"/>
      <c r="DP101" s="32">
        <f t="shared" si="339"/>
        <v>0</v>
      </c>
      <c r="DQ101" s="1088"/>
      <c r="DR101" s="53"/>
      <c r="DS101" s="32">
        <f t="shared" si="340"/>
        <v>0</v>
      </c>
      <c r="DT101" s="1088"/>
      <c r="DU101" s="53"/>
      <c r="DV101" s="32">
        <f t="shared" si="341"/>
        <v>0</v>
      </c>
      <c r="DW101" s="1088"/>
      <c r="DX101" s="53"/>
      <c r="DY101" s="32">
        <f t="shared" si="342"/>
        <v>0</v>
      </c>
      <c r="DZ101" s="1088"/>
      <c r="EA101" s="53"/>
      <c r="EB101" s="32">
        <f t="shared" si="343"/>
        <v>0</v>
      </c>
      <c r="EC101" s="1088"/>
      <c r="ED101" s="53"/>
      <c r="EE101" s="32">
        <f t="shared" si="344"/>
        <v>0</v>
      </c>
      <c r="EF101" s="1088"/>
      <c r="EG101" s="53"/>
      <c r="EH101" s="32">
        <f t="shared" si="345"/>
        <v>0</v>
      </c>
      <c r="EI101" s="1088"/>
      <c r="EJ101" s="53"/>
      <c r="EK101" s="32">
        <f t="shared" si="346"/>
        <v>0</v>
      </c>
      <c r="EL101" s="1088"/>
      <c r="EM101" s="53"/>
      <c r="EN101" s="32">
        <f t="shared" si="347"/>
        <v>0</v>
      </c>
      <c r="EO101" s="1088"/>
      <c r="EP101" s="53"/>
      <c r="EQ101" s="32">
        <f t="shared" si="348"/>
        <v>0</v>
      </c>
      <c r="ER101" s="1088"/>
      <c r="ES101" s="53"/>
      <c r="ET101" s="32">
        <f t="shared" si="349"/>
        <v>0</v>
      </c>
      <c r="EU101" s="1088"/>
      <c r="EV101" s="53"/>
      <c r="EW101" s="32">
        <f t="shared" si="350"/>
        <v>0</v>
      </c>
      <c r="EX101" s="1088"/>
      <c r="EY101" s="53"/>
      <c r="EZ101" s="32">
        <f t="shared" si="351"/>
        <v>0</v>
      </c>
      <c r="FA101" s="1088"/>
      <c r="FD101"/>
      <c r="FE101"/>
      <c r="FF101"/>
      <c r="FG101"/>
      <c r="FH101"/>
      <c r="FI101"/>
    </row>
    <row r="102" spans="2:165" s="33" customFormat="1" hidden="1" outlineLevel="2">
      <c r="B102" s="54" t="s">
        <v>545</v>
      </c>
      <c r="D102" s="2" t="s">
        <v>506</v>
      </c>
      <c r="E102" s="53"/>
      <c r="F102" s="32">
        <f t="shared" si="301"/>
        <v>0</v>
      </c>
      <c r="G102" s="53"/>
      <c r="H102" s="53"/>
      <c r="I102" s="32">
        <f t="shared" si="302"/>
        <v>0</v>
      </c>
      <c r="J102" s="53"/>
      <c r="K102" s="53"/>
      <c r="L102" s="32">
        <f t="shared" si="303"/>
        <v>0</v>
      </c>
      <c r="M102" s="53"/>
      <c r="N102" s="53"/>
      <c r="O102" s="32">
        <f t="shared" si="304"/>
        <v>0</v>
      </c>
      <c r="P102" s="53"/>
      <c r="Q102" s="53"/>
      <c r="R102" s="32">
        <f t="shared" si="305"/>
        <v>0</v>
      </c>
      <c r="S102" s="53"/>
      <c r="T102" s="53"/>
      <c r="U102" s="32">
        <f t="shared" si="306"/>
        <v>0</v>
      </c>
      <c r="V102" s="53"/>
      <c r="W102" s="53"/>
      <c r="X102" s="32">
        <f t="shared" si="307"/>
        <v>0</v>
      </c>
      <c r="Y102" s="53"/>
      <c r="Z102" s="53"/>
      <c r="AA102" s="32">
        <f t="shared" si="308"/>
        <v>0</v>
      </c>
      <c r="AB102" s="53"/>
      <c r="AC102" s="53"/>
      <c r="AD102" s="32">
        <f t="shared" si="309"/>
        <v>0</v>
      </c>
      <c r="AE102" s="53"/>
      <c r="AF102" s="53"/>
      <c r="AG102" s="32">
        <f t="shared" si="310"/>
        <v>0</v>
      </c>
      <c r="AH102" s="53"/>
      <c r="AI102" s="53"/>
      <c r="AJ102" s="32">
        <f t="shared" si="311"/>
        <v>0</v>
      </c>
      <c r="AK102" s="53"/>
      <c r="AL102" s="53"/>
      <c r="AM102" s="32">
        <f t="shared" si="312"/>
        <v>0</v>
      </c>
      <c r="AN102" s="53"/>
      <c r="AO102" s="53"/>
      <c r="AP102" s="32">
        <f t="shared" si="313"/>
        <v>0</v>
      </c>
      <c r="AQ102" s="53"/>
      <c r="AR102" s="53"/>
      <c r="AS102" s="32">
        <f t="shared" si="314"/>
        <v>0</v>
      </c>
      <c r="AT102" s="53"/>
      <c r="AU102" s="53"/>
      <c r="AV102" s="32">
        <f t="shared" si="315"/>
        <v>0</v>
      </c>
      <c r="AW102" s="53"/>
      <c r="AX102" s="53"/>
      <c r="AY102" s="32">
        <f t="shared" si="316"/>
        <v>0</v>
      </c>
      <c r="AZ102" s="53"/>
      <c r="BA102" s="53"/>
      <c r="BB102" s="32">
        <f t="shared" si="317"/>
        <v>0</v>
      </c>
      <c r="BC102" s="53"/>
      <c r="BD102" s="53"/>
      <c r="BE102" s="32">
        <f t="shared" si="318"/>
        <v>0</v>
      </c>
      <c r="BF102" s="1098"/>
      <c r="BG102" s="1088"/>
      <c r="BH102" s="32">
        <f t="shared" si="319"/>
        <v>0</v>
      </c>
      <c r="BI102" s="1098"/>
      <c r="BJ102" s="1088"/>
      <c r="BK102" s="32">
        <f t="shared" si="320"/>
        <v>0</v>
      </c>
      <c r="BL102" s="1098"/>
      <c r="BM102" s="1088"/>
      <c r="BN102" s="32">
        <f t="shared" si="321"/>
        <v>0</v>
      </c>
      <c r="BO102" s="1098"/>
      <c r="BP102" s="1088"/>
      <c r="BQ102" s="32">
        <f t="shared" si="322"/>
        <v>0</v>
      </c>
      <c r="BR102" s="1098"/>
      <c r="BS102" s="1088"/>
      <c r="BT102" s="32">
        <f t="shared" si="323"/>
        <v>0</v>
      </c>
      <c r="BU102" s="1098"/>
      <c r="BV102" s="1088"/>
      <c r="BW102" s="32">
        <f t="shared" si="324"/>
        <v>0</v>
      </c>
      <c r="BX102" s="1098"/>
      <c r="BY102" s="1088"/>
      <c r="BZ102" s="32">
        <f t="shared" si="325"/>
        <v>0</v>
      </c>
      <c r="CA102" s="1098"/>
      <c r="CB102" s="1088"/>
      <c r="CC102" s="32">
        <f t="shared" si="326"/>
        <v>0</v>
      </c>
      <c r="CD102" s="1098"/>
      <c r="CE102" s="1088"/>
      <c r="CF102" s="32">
        <f t="shared" si="327"/>
        <v>0</v>
      </c>
      <c r="CG102" s="1098"/>
      <c r="CH102" s="1088"/>
      <c r="CI102" s="32">
        <f t="shared" si="328"/>
        <v>0</v>
      </c>
      <c r="CJ102" s="1098"/>
      <c r="CK102" s="1088"/>
      <c r="CL102" s="32">
        <f t="shared" si="329"/>
        <v>0</v>
      </c>
      <c r="CM102" s="1098"/>
      <c r="CN102" s="1088"/>
      <c r="CO102" s="32">
        <f t="shared" si="330"/>
        <v>0</v>
      </c>
      <c r="CP102" s="1098"/>
      <c r="CQ102" s="1088"/>
      <c r="CR102" s="32">
        <f t="shared" si="331"/>
        <v>0</v>
      </c>
      <c r="CS102" s="1098"/>
      <c r="CT102" s="1088"/>
      <c r="CU102" s="32">
        <f t="shared" si="332"/>
        <v>0</v>
      </c>
      <c r="CV102" s="1098"/>
      <c r="CW102" s="1088"/>
      <c r="CX102" s="32">
        <f t="shared" si="333"/>
        <v>0</v>
      </c>
      <c r="CY102" s="1098"/>
      <c r="CZ102" s="1088"/>
      <c r="DA102" s="32">
        <f t="shared" si="334"/>
        <v>0</v>
      </c>
      <c r="DB102" s="1098"/>
      <c r="DC102" s="1088"/>
      <c r="DD102" s="32">
        <f t="shared" si="335"/>
        <v>0</v>
      </c>
      <c r="DE102" s="1101"/>
      <c r="DF102" s="1088"/>
      <c r="DG102" s="32">
        <f t="shared" si="336"/>
        <v>0</v>
      </c>
      <c r="DH102" s="1101"/>
      <c r="DI102" s="1088"/>
      <c r="DJ102" s="32">
        <f t="shared" si="337"/>
        <v>0</v>
      </c>
      <c r="DK102" s="1101"/>
      <c r="DL102" s="53"/>
      <c r="DM102" s="32">
        <f t="shared" si="338"/>
        <v>0</v>
      </c>
      <c r="DN102" s="1088"/>
      <c r="DO102" s="53"/>
      <c r="DP102" s="32">
        <f t="shared" si="339"/>
        <v>0</v>
      </c>
      <c r="DQ102" s="1088"/>
      <c r="DR102" s="53"/>
      <c r="DS102" s="32">
        <f t="shared" si="340"/>
        <v>0</v>
      </c>
      <c r="DT102" s="1088"/>
      <c r="DU102" s="53"/>
      <c r="DV102" s="32">
        <f t="shared" si="341"/>
        <v>0</v>
      </c>
      <c r="DW102" s="1088"/>
      <c r="DX102" s="53"/>
      <c r="DY102" s="32">
        <f t="shared" si="342"/>
        <v>0</v>
      </c>
      <c r="DZ102" s="1088"/>
      <c r="EA102" s="53"/>
      <c r="EB102" s="32">
        <f t="shared" si="343"/>
        <v>0</v>
      </c>
      <c r="EC102" s="1088"/>
      <c r="ED102" s="53"/>
      <c r="EE102" s="32">
        <f t="shared" si="344"/>
        <v>0</v>
      </c>
      <c r="EF102" s="1088"/>
      <c r="EG102" s="53"/>
      <c r="EH102" s="32">
        <f t="shared" si="345"/>
        <v>0</v>
      </c>
      <c r="EI102" s="1088"/>
      <c r="EJ102" s="53"/>
      <c r="EK102" s="32">
        <f t="shared" si="346"/>
        <v>0</v>
      </c>
      <c r="EL102" s="1088"/>
      <c r="EM102" s="53"/>
      <c r="EN102" s="32">
        <f t="shared" si="347"/>
        <v>0</v>
      </c>
      <c r="EO102" s="1088"/>
      <c r="EP102" s="53"/>
      <c r="EQ102" s="32">
        <f t="shared" si="348"/>
        <v>0</v>
      </c>
      <c r="ER102" s="1088"/>
      <c r="ES102" s="53"/>
      <c r="ET102" s="32">
        <f t="shared" si="349"/>
        <v>0</v>
      </c>
      <c r="EU102" s="1088"/>
      <c r="EV102" s="53"/>
      <c r="EW102" s="32">
        <f t="shared" si="350"/>
        <v>0</v>
      </c>
      <c r="EX102" s="1088"/>
      <c r="EY102" s="53"/>
      <c r="EZ102" s="32">
        <f t="shared" si="351"/>
        <v>0</v>
      </c>
      <c r="FA102" s="1088"/>
      <c r="FD102"/>
      <c r="FE102"/>
      <c r="FF102"/>
      <c r="FG102"/>
      <c r="FH102"/>
      <c r="FI102"/>
    </row>
    <row r="103" spans="2:165" s="33" customFormat="1" hidden="1" outlineLevel="2">
      <c r="B103" s="54" t="s">
        <v>640</v>
      </c>
      <c r="D103" s="2" t="s">
        <v>506</v>
      </c>
      <c r="E103" s="53"/>
      <c r="F103" s="32">
        <f t="shared" si="301"/>
        <v>0</v>
      </c>
      <c r="G103" s="53"/>
      <c r="H103" s="53"/>
      <c r="I103" s="32">
        <f t="shared" si="302"/>
        <v>0</v>
      </c>
      <c r="J103" s="53"/>
      <c r="K103" s="53"/>
      <c r="L103" s="32">
        <f t="shared" si="303"/>
        <v>0</v>
      </c>
      <c r="M103" s="53"/>
      <c r="N103" s="53"/>
      <c r="O103" s="32">
        <f t="shared" si="304"/>
        <v>0</v>
      </c>
      <c r="P103" s="53"/>
      <c r="Q103" s="53"/>
      <c r="R103" s="32">
        <f t="shared" si="305"/>
        <v>0</v>
      </c>
      <c r="S103" s="53"/>
      <c r="T103" s="53"/>
      <c r="U103" s="32">
        <f t="shared" si="306"/>
        <v>0</v>
      </c>
      <c r="V103" s="53"/>
      <c r="W103" s="53"/>
      <c r="X103" s="32">
        <f t="shared" si="307"/>
        <v>0</v>
      </c>
      <c r="Y103" s="53"/>
      <c r="Z103" s="53"/>
      <c r="AA103" s="32">
        <f t="shared" si="308"/>
        <v>0</v>
      </c>
      <c r="AB103" s="53"/>
      <c r="AC103" s="53"/>
      <c r="AD103" s="32">
        <f t="shared" si="309"/>
        <v>0</v>
      </c>
      <c r="AE103" s="53"/>
      <c r="AF103" s="53"/>
      <c r="AG103" s="32">
        <f t="shared" si="310"/>
        <v>0</v>
      </c>
      <c r="AH103" s="53"/>
      <c r="AI103" s="53"/>
      <c r="AJ103" s="32">
        <f t="shared" si="311"/>
        <v>0</v>
      </c>
      <c r="AK103" s="53"/>
      <c r="AL103" s="53"/>
      <c r="AM103" s="32">
        <f t="shared" si="312"/>
        <v>0</v>
      </c>
      <c r="AN103" s="53"/>
      <c r="AO103" s="53"/>
      <c r="AP103" s="32">
        <f t="shared" si="313"/>
        <v>0</v>
      </c>
      <c r="AQ103" s="53"/>
      <c r="AR103" s="53"/>
      <c r="AS103" s="32">
        <f t="shared" si="314"/>
        <v>0</v>
      </c>
      <c r="AT103" s="53"/>
      <c r="AU103" s="53"/>
      <c r="AV103" s="32">
        <f t="shared" si="315"/>
        <v>0</v>
      </c>
      <c r="AW103" s="53"/>
      <c r="AX103" s="53"/>
      <c r="AY103" s="32">
        <f t="shared" si="316"/>
        <v>0</v>
      </c>
      <c r="AZ103" s="53"/>
      <c r="BA103" s="53"/>
      <c r="BB103" s="32">
        <f t="shared" si="317"/>
        <v>0</v>
      </c>
      <c r="BC103" s="53"/>
      <c r="BD103" s="53"/>
      <c r="BE103" s="32">
        <f t="shared" si="318"/>
        <v>0</v>
      </c>
      <c r="BF103" s="1098"/>
      <c r="BG103" s="1088"/>
      <c r="BH103" s="32">
        <f t="shared" si="319"/>
        <v>0</v>
      </c>
      <c r="BI103" s="1098"/>
      <c r="BJ103" s="1088"/>
      <c r="BK103" s="32">
        <f t="shared" si="320"/>
        <v>0</v>
      </c>
      <c r="BL103" s="1098"/>
      <c r="BM103" s="1088"/>
      <c r="BN103" s="32">
        <f t="shared" si="321"/>
        <v>0</v>
      </c>
      <c r="BO103" s="1098"/>
      <c r="BP103" s="1088"/>
      <c r="BQ103" s="32">
        <f t="shared" si="322"/>
        <v>0</v>
      </c>
      <c r="BR103" s="1098"/>
      <c r="BS103" s="1088"/>
      <c r="BT103" s="32">
        <f t="shared" si="323"/>
        <v>0</v>
      </c>
      <c r="BU103" s="1098"/>
      <c r="BV103" s="1088"/>
      <c r="BW103" s="32">
        <f t="shared" si="324"/>
        <v>0</v>
      </c>
      <c r="BX103" s="1098"/>
      <c r="BY103" s="1088"/>
      <c r="BZ103" s="32">
        <f t="shared" si="325"/>
        <v>0</v>
      </c>
      <c r="CA103" s="1098"/>
      <c r="CB103" s="1088"/>
      <c r="CC103" s="32">
        <f t="shared" si="326"/>
        <v>0</v>
      </c>
      <c r="CD103" s="1098"/>
      <c r="CE103" s="1088"/>
      <c r="CF103" s="32">
        <f t="shared" si="327"/>
        <v>0</v>
      </c>
      <c r="CG103" s="1098"/>
      <c r="CH103" s="1088"/>
      <c r="CI103" s="32">
        <f t="shared" si="328"/>
        <v>0</v>
      </c>
      <c r="CJ103" s="1098"/>
      <c r="CK103" s="1088"/>
      <c r="CL103" s="32">
        <f t="shared" si="329"/>
        <v>0</v>
      </c>
      <c r="CM103" s="1098"/>
      <c r="CN103" s="1088"/>
      <c r="CO103" s="32">
        <f t="shared" si="330"/>
        <v>0</v>
      </c>
      <c r="CP103" s="1098"/>
      <c r="CQ103" s="1088"/>
      <c r="CR103" s="32">
        <f t="shared" si="331"/>
        <v>0</v>
      </c>
      <c r="CS103" s="1098"/>
      <c r="CT103" s="1088"/>
      <c r="CU103" s="32">
        <f t="shared" si="332"/>
        <v>0</v>
      </c>
      <c r="CV103" s="1098"/>
      <c r="CW103" s="1088"/>
      <c r="CX103" s="32">
        <f t="shared" si="333"/>
        <v>0</v>
      </c>
      <c r="CY103" s="1098"/>
      <c r="CZ103" s="1088"/>
      <c r="DA103" s="32">
        <f t="shared" si="334"/>
        <v>0</v>
      </c>
      <c r="DB103" s="1098"/>
      <c r="DC103" s="1088"/>
      <c r="DD103" s="32">
        <f t="shared" si="335"/>
        <v>0</v>
      </c>
      <c r="DE103" s="1101"/>
      <c r="DF103" s="1088"/>
      <c r="DG103" s="32">
        <f t="shared" si="336"/>
        <v>0</v>
      </c>
      <c r="DH103" s="1101"/>
      <c r="DI103" s="1088"/>
      <c r="DJ103" s="32">
        <f t="shared" si="337"/>
        <v>0</v>
      </c>
      <c r="DK103" s="1101"/>
      <c r="DL103" s="53"/>
      <c r="DM103" s="32">
        <f t="shared" si="338"/>
        <v>0</v>
      </c>
      <c r="DN103" s="1088"/>
      <c r="DO103" s="53"/>
      <c r="DP103" s="32">
        <f t="shared" si="339"/>
        <v>0</v>
      </c>
      <c r="DQ103" s="1088"/>
      <c r="DR103" s="53"/>
      <c r="DS103" s="32">
        <f t="shared" si="340"/>
        <v>0</v>
      </c>
      <c r="DT103" s="1088"/>
      <c r="DU103" s="53"/>
      <c r="DV103" s="32">
        <f t="shared" si="341"/>
        <v>0</v>
      </c>
      <c r="DW103" s="1088"/>
      <c r="DX103" s="53"/>
      <c r="DY103" s="32">
        <f t="shared" si="342"/>
        <v>0</v>
      </c>
      <c r="DZ103" s="1088"/>
      <c r="EA103" s="53"/>
      <c r="EB103" s="32">
        <f t="shared" si="343"/>
        <v>0</v>
      </c>
      <c r="EC103" s="1088"/>
      <c r="ED103" s="53"/>
      <c r="EE103" s="32">
        <f t="shared" si="344"/>
        <v>0</v>
      </c>
      <c r="EF103" s="1088"/>
      <c r="EG103" s="53"/>
      <c r="EH103" s="32">
        <f t="shared" si="345"/>
        <v>0</v>
      </c>
      <c r="EI103" s="1088"/>
      <c r="EJ103" s="53"/>
      <c r="EK103" s="32">
        <f t="shared" si="346"/>
        <v>0</v>
      </c>
      <c r="EL103" s="1088"/>
      <c r="EM103" s="53"/>
      <c r="EN103" s="32">
        <f t="shared" si="347"/>
        <v>0</v>
      </c>
      <c r="EO103" s="1088"/>
      <c r="EP103" s="53"/>
      <c r="EQ103" s="32">
        <f t="shared" si="348"/>
        <v>0</v>
      </c>
      <c r="ER103" s="1088"/>
      <c r="ES103" s="53"/>
      <c r="ET103" s="32">
        <f t="shared" si="349"/>
        <v>0</v>
      </c>
      <c r="EU103" s="1088"/>
      <c r="EV103" s="53"/>
      <c r="EW103" s="32">
        <f t="shared" si="350"/>
        <v>0</v>
      </c>
      <c r="EX103" s="1088"/>
      <c r="EY103" s="53"/>
      <c r="EZ103" s="32">
        <f t="shared" si="351"/>
        <v>0</v>
      </c>
      <c r="FA103" s="1088"/>
      <c r="FD103"/>
      <c r="FE103"/>
      <c r="FF103"/>
      <c r="FG103"/>
      <c r="FH103"/>
      <c r="FI103"/>
    </row>
    <row r="104" spans="2:165" s="33" customFormat="1" hidden="1" outlineLevel="2">
      <c r="B104" s="54" t="s">
        <v>545</v>
      </c>
      <c r="D104" s="2" t="s">
        <v>506</v>
      </c>
      <c r="E104" s="53"/>
      <c r="F104" s="32">
        <f t="shared" si="301"/>
        <v>0</v>
      </c>
      <c r="G104" s="53"/>
      <c r="H104" s="53"/>
      <c r="I104" s="32">
        <f t="shared" si="302"/>
        <v>0</v>
      </c>
      <c r="J104" s="53"/>
      <c r="K104" s="53"/>
      <c r="L104" s="32">
        <f t="shared" si="303"/>
        <v>0</v>
      </c>
      <c r="M104" s="53"/>
      <c r="N104" s="53"/>
      <c r="O104" s="32">
        <f t="shared" si="304"/>
        <v>0</v>
      </c>
      <c r="P104" s="53"/>
      <c r="Q104" s="53"/>
      <c r="R104" s="32">
        <f t="shared" si="305"/>
        <v>0</v>
      </c>
      <c r="S104" s="53"/>
      <c r="T104" s="53"/>
      <c r="U104" s="32">
        <f t="shared" si="306"/>
        <v>0</v>
      </c>
      <c r="V104" s="53"/>
      <c r="W104" s="53"/>
      <c r="X104" s="32">
        <f t="shared" si="307"/>
        <v>0</v>
      </c>
      <c r="Y104" s="53"/>
      <c r="Z104" s="53"/>
      <c r="AA104" s="32">
        <f t="shared" si="308"/>
        <v>0</v>
      </c>
      <c r="AB104" s="53"/>
      <c r="AC104" s="53"/>
      <c r="AD104" s="32">
        <f t="shared" si="309"/>
        <v>0</v>
      </c>
      <c r="AE104" s="53"/>
      <c r="AF104" s="53"/>
      <c r="AG104" s="32">
        <f t="shared" si="310"/>
        <v>0</v>
      </c>
      <c r="AH104" s="53"/>
      <c r="AI104" s="53"/>
      <c r="AJ104" s="32">
        <f t="shared" si="311"/>
        <v>0</v>
      </c>
      <c r="AK104" s="53"/>
      <c r="AL104" s="53"/>
      <c r="AM104" s="32">
        <f t="shared" si="312"/>
        <v>0</v>
      </c>
      <c r="AN104" s="53"/>
      <c r="AO104" s="53"/>
      <c r="AP104" s="32">
        <f t="shared" si="313"/>
        <v>0</v>
      </c>
      <c r="AQ104" s="53"/>
      <c r="AR104" s="53"/>
      <c r="AS104" s="32">
        <f t="shared" si="314"/>
        <v>0</v>
      </c>
      <c r="AT104" s="53"/>
      <c r="AU104" s="53"/>
      <c r="AV104" s="32">
        <f t="shared" si="315"/>
        <v>0</v>
      </c>
      <c r="AW104" s="53"/>
      <c r="AX104" s="53"/>
      <c r="AY104" s="32">
        <f t="shared" si="316"/>
        <v>0</v>
      </c>
      <c r="AZ104" s="53"/>
      <c r="BA104" s="53"/>
      <c r="BB104" s="32">
        <f t="shared" si="317"/>
        <v>0</v>
      </c>
      <c r="BC104" s="53"/>
      <c r="BD104" s="53"/>
      <c r="BE104" s="32">
        <f t="shared" si="318"/>
        <v>0</v>
      </c>
      <c r="BF104" s="1098"/>
      <c r="BG104" s="1088"/>
      <c r="BH104" s="32">
        <f t="shared" si="319"/>
        <v>0</v>
      </c>
      <c r="BI104" s="1098"/>
      <c r="BJ104" s="1088"/>
      <c r="BK104" s="32">
        <f t="shared" si="320"/>
        <v>0</v>
      </c>
      <c r="BL104" s="1098"/>
      <c r="BM104" s="1088"/>
      <c r="BN104" s="32">
        <f t="shared" si="321"/>
        <v>0</v>
      </c>
      <c r="BO104" s="1098"/>
      <c r="BP104" s="1088"/>
      <c r="BQ104" s="32">
        <f t="shared" si="322"/>
        <v>0</v>
      </c>
      <c r="BR104" s="1098"/>
      <c r="BS104" s="1088"/>
      <c r="BT104" s="32">
        <f t="shared" si="323"/>
        <v>0</v>
      </c>
      <c r="BU104" s="1098"/>
      <c r="BV104" s="1088"/>
      <c r="BW104" s="32">
        <f t="shared" si="324"/>
        <v>0</v>
      </c>
      <c r="BX104" s="1098"/>
      <c r="BY104" s="1088"/>
      <c r="BZ104" s="32">
        <f t="shared" si="325"/>
        <v>0</v>
      </c>
      <c r="CA104" s="1098"/>
      <c r="CB104" s="1088"/>
      <c r="CC104" s="32">
        <f t="shared" si="326"/>
        <v>0</v>
      </c>
      <c r="CD104" s="1098"/>
      <c r="CE104" s="1088"/>
      <c r="CF104" s="32">
        <f t="shared" si="327"/>
        <v>0</v>
      </c>
      <c r="CG104" s="1098"/>
      <c r="CH104" s="1088"/>
      <c r="CI104" s="32">
        <f t="shared" si="328"/>
        <v>0</v>
      </c>
      <c r="CJ104" s="1098"/>
      <c r="CK104" s="1088"/>
      <c r="CL104" s="32">
        <f t="shared" si="329"/>
        <v>0</v>
      </c>
      <c r="CM104" s="1098"/>
      <c r="CN104" s="1088"/>
      <c r="CO104" s="32">
        <f t="shared" si="330"/>
        <v>0</v>
      </c>
      <c r="CP104" s="1098"/>
      <c r="CQ104" s="1088"/>
      <c r="CR104" s="32">
        <f t="shared" si="331"/>
        <v>0</v>
      </c>
      <c r="CS104" s="1098"/>
      <c r="CT104" s="1088"/>
      <c r="CU104" s="32">
        <f t="shared" si="332"/>
        <v>0</v>
      </c>
      <c r="CV104" s="1098"/>
      <c r="CW104" s="1088"/>
      <c r="CX104" s="32">
        <f t="shared" si="333"/>
        <v>0</v>
      </c>
      <c r="CY104" s="1098"/>
      <c r="CZ104" s="1088"/>
      <c r="DA104" s="32">
        <f t="shared" si="334"/>
        <v>0</v>
      </c>
      <c r="DB104" s="1098"/>
      <c r="DC104" s="1088"/>
      <c r="DD104" s="32">
        <f t="shared" si="335"/>
        <v>0</v>
      </c>
      <c r="DE104" s="1101"/>
      <c r="DF104" s="1088"/>
      <c r="DG104" s="32">
        <f t="shared" si="336"/>
        <v>0</v>
      </c>
      <c r="DH104" s="1101"/>
      <c r="DI104" s="1088"/>
      <c r="DJ104" s="32">
        <f t="shared" si="337"/>
        <v>0</v>
      </c>
      <c r="DK104" s="1101"/>
      <c r="DL104" s="53"/>
      <c r="DM104" s="32">
        <f t="shared" si="338"/>
        <v>0</v>
      </c>
      <c r="DN104" s="1088"/>
      <c r="DO104" s="53"/>
      <c r="DP104" s="32">
        <f t="shared" si="339"/>
        <v>0</v>
      </c>
      <c r="DQ104" s="1088"/>
      <c r="DR104" s="53"/>
      <c r="DS104" s="32">
        <f t="shared" si="340"/>
        <v>0</v>
      </c>
      <c r="DT104" s="1088"/>
      <c r="DU104" s="53"/>
      <c r="DV104" s="32">
        <f t="shared" si="341"/>
        <v>0</v>
      </c>
      <c r="DW104" s="1088"/>
      <c r="DX104" s="53"/>
      <c r="DY104" s="32">
        <f t="shared" si="342"/>
        <v>0</v>
      </c>
      <c r="DZ104" s="1088"/>
      <c r="EA104" s="53"/>
      <c r="EB104" s="32">
        <f t="shared" si="343"/>
        <v>0</v>
      </c>
      <c r="EC104" s="1088"/>
      <c r="ED104" s="53"/>
      <c r="EE104" s="32">
        <f t="shared" si="344"/>
        <v>0</v>
      </c>
      <c r="EF104" s="1088"/>
      <c r="EG104" s="53"/>
      <c r="EH104" s="32">
        <f t="shared" si="345"/>
        <v>0</v>
      </c>
      <c r="EI104" s="1088"/>
      <c r="EJ104" s="53"/>
      <c r="EK104" s="32">
        <f t="shared" si="346"/>
        <v>0</v>
      </c>
      <c r="EL104" s="1088"/>
      <c r="EM104" s="53"/>
      <c r="EN104" s="32">
        <f t="shared" si="347"/>
        <v>0</v>
      </c>
      <c r="EO104" s="1088"/>
      <c r="EP104" s="53"/>
      <c r="EQ104" s="32">
        <f t="shared" si="348"/>
        <v>0</v>
      </c>
      <c r="ER104" s="1088"/>
      <c r="ES104" s="53"/>
      <c r="ET104" s="32">
        <f t="shared" si="349"/>
        <v>0</v>
      </c>
      <c r="EU104" s="1088"/>
      <c r="EV104" s="53"/>
      <c r="EW104" s="32">
        <f t="shared" si="350"/>
        <v>0</v>
      </c>
      <c r="EX104" s="1088"/>
      <c r="EY104" s="53"/>
      <c r="EZ104" s="32">
        <f t="shared" si="351"/>
        <v>0</v>
      </c>
      <c r="FA104" s="1088"/>
      <c r="FD104"/>
      <c r="FE104"/>
      <c r="FF104"/>
      <c r="FG104"/>
      <c r="FH104"/>
      <c r="FI104"/>
    </row>
    <row r="105" spans="2:165" s="33" customFormat="1" hidden="1" outlineLevel="2">
      <c r="B105" s="54" t="s">
        <v>591</v>
      </c>
      <c r="D105" s="2" t="s">
        <v>506</v>
      </c>
      <c r="E105" s="53"/>
      <c r="F105" s="32">
        <f t="shared" si="301"/>
        <v>0</v>
      </c>
      <c r="G105" s="53"/>
      <c r="H105" s="53"/>
      <c r="I105" s="32">
        <f t="shared" si="302"/>
        <v>0</v>
      </c>
      <c r="J105" s="53"/>
      <c r="K105" s="53"/>
      <c r="L105" s="32">
        <f t="shared" si="303"/>
        <v>0</v>
      </c>
      <c r="M105" s="53"/>
      <c r="N105" s="53"/>
      <c r="O105" s="32">
        <f t="shared" si="304"/>
        <v>0</v>
      </c>
      <c r="P105" s="53"/>
      <c r="Q105" s="53"/>
      <c r="R105" s="32">
        <f t="shared" si="305"/>
        <v>0</v>
      </c>
      <c r="S105" s="53"/>
      <c r="T105" s="53"/>
      <c r="U105" s="32">
        <f t="shared" si="306"/>
        <v>0</v>
      </c>
      <c r="V105" s="53"/>
      <c r="W105" s="53"/>
      <c r="X105" s="32">
        <f t="shared" si="307"/>
        <v>0</v>
      </c>
      <c r="Y105" s="53"/>
      <c r="Z105" s="53"/>
      <c r="AA105" s="32">
        <f t="shared" si="308"/>
        <v>0</v>
      </c>
      <c r="AB105" s="53"/>
      <c r="AC105" s="53"/>
      <c r="AD105" s="32">
        <f t="shared" si="309"/>
        <v>0</v>
      </c>
      <c r="AE105" s="53"/>
      <c r="AF105" s="53"/>
      <c r="AG105" s="32">
        <f t="shared" si="310"/>
        <v>0</v>
      </c>
      <c r="AH105" s="53"/>
      <c r="AI105" s="53"/>
      <c r="AJ105" s="32">
        <f t="shared" si="311"/>
        <v>0</v>
      </c>
      <c r="AK105" s="53"/>
      <c r="AL105" s="53"/>
      <c r="AM105" s="32">
        <f t="shared" si="312"/>
        <v>0</v>
      </c>
      <c r="AN105" s="53"/>
      <c r="AO105" s="53"/>
      <c r="AP105" s="32">
        <f t="shared" si="313"/>
        <v>0</v>
      </c>
      <c r="AQ105" s="53"/>
      <c r="AR105" s="53"/>
      <c r="AS105" s="32">
        <f t="shared" si="314"/>
        <v>0</v>
      </c>
      <c r="AT105" s="53"/>
      <c r="AU105" s="53"/>
      <c r="AV105" s="32">
        <f t="shared" si="315"/>
        <v>0</v>
      </c>
      <c r="AW105" s="53"/>
      <c r="AX105" s="53"/>
      <c r="AY105" s="32">
        <f t="shared" si="316"/>
        <v>0</v>
      </c>
      <c r="AZ105" s="53"/>
      <c r="BA105" s="53"/>
      <c r="BB105" s="32">
        <f t="shared" si="317"/>
        <v>0</v>
      </c>
      <c r="BC105" s="53"/>
      <c r="BD105" s="53"/>
      <c r="BE105" s="32">
        <f t="shared" si="318"/>
        <v>0</v>
      </c>
      <c r="BF105" s="1098"/>
      <c r="BG105" s="1088"/>
      <c r="BH105" s="32">
        <f t="shared" si="319"/>
        <v>0</v>
      </c>
      <c r="BI105" s="1098"/>
      <c r="BJ105" s="1088"/>
      <c r="BK105" s="32">
        <f t="shared" si="320"/>
        <v>0</v>
      </c>
      <c r="BL105" s="1098"/>
      <c r="BM105" s="1088"/>
      <c r="BN105" s="32">
        <f t="shared" si="321"/>
        <v>0</v>
      </c>
      <c r="BO105" s="1098"/>
      <c r="BP105" s="1088"/>
      <c r="BQ105" s="32">
        <f t="shared" si="322"/>
        <v>0</v>
      </c>
      <c r="BR105" s="1098"/>
      <c r="BS105" s="1088"/>
      <c r="BT105" s="32">
        <f t="shared" si="323"/>
        <v>0</v>
      </c>
      <c r="BU105" s="1098"/>
      <c r="BV105" s="1088"/>
      <c r="BW105" s="32">
        <f t="shared" si="324"/>
        <v>0</v>
      </c>
      <c r="BX105" s="1098"/>
      <c r="BY105" s="1088"/>
      <c r="BZ105" s="32">
        <f t="shared" si="325"/>
        <v>0</v>
      </c>
      <c r="CA105" s="1098"/>
      <c r="CB105" s="1088"/>
      <c r="CC105" s="32">
        <f t="shared" si="326"/>
        <v>0</v>
      </c>
      <c r="CD105" s="1098"/>
      <c r="CE105" s="1088"/>
      <c r="CF105" s="32">
        <f t="shared" si="327"/>
        <v>0</v>
      </c>
      <c r="CG105" s="1098"/>
      <c r="CH105" s="1088"/>
      <c r="CI105" s="32">
        <f t="shared" si="328"/>
        <v>0</v>
      </c>
      <c r="CJ105" s="1098"/>
      <c r="CK105" s="1088"/>
      <c r="CL105" s="32">
        <f t="shared" si="329"/>
        <v>0</v>
      </c>
      <c r="CM105" s="1098"/>
      <c r="CN105" s="1088"/>
      <c r="CO105" s="32">
        <f t="shared" si="330"/>
        <v>0</v>
      </c>
      <c r="CP105" s="1098"/>
      <c r="CQ105" s="1088"/>
      <c r="CR105" s="32">
        <f t="shared" si="331"/>
        <v>0</v>
      </c>
      <c r="CS105" s="1098"/>
      <c r="CT105" s="1088"/>
      <c r="CU105" s="32">
        <f t="shared" si="332"/>
        <v>0</v>
      </c>
      <c r="CV105" s="1098"/>
      <c r="CW105" s="1088"/>
      <c r="CX105" s="32">
        <f t="shared" si="333"/>
        <v>0</v>
      </c>
      <c r="CY105" s="1098"/>
      <c r="CZ105" s="1088"/>
      <c r="DA105" s="32">
        <f t="shared" si="334"/>
        <v>0</v>
      </c>
      <c r="DB105" s="1098"/>
      <c r="DC105" s="1088"/>
      <c r="DD105" s="32">
        <f t="shared" si="335"/>
        <v>0</v>
      </c>
      <c r="DE105" s="1101"/>
      <c r="DF105" s="1088"/>
      <c r="DG105" s="32">
        <f t="shared" si="336"/>
        <v>0</v>
      </c>
      <c r="DH105" s="1101"/>
      <c r="DI105" s="1088"/>
      <c r="DJ105" s="32">
        <f t="shared" si="337"/>
        <v>0</v>
      </c>
      <c r="DK105" s="1101"/>
      <c r="DL105" s="53"/>
      <c r="DM105" s="32">
        <f t="shared" si="338"/>
        <v>0</v>
      </c>
      <c r="DN105" s="1088"/>
      <c r="DO105" s="53"/>
      <c r="DP105" s="32">
        <f t="shared" si="339"/>
        <v>0</v>
      </c>
      <c r="DQ105" s="1088"/>
      <c r="DR105" s="53"/>
      <c r="DS105" s="32">
        <f t="shared" si="340"/>
        <v>0</v>
      </c>
      <c r="DT105" s="1088"/>
      <c r="DU105" s="53"/>
      <c r="DV105" s="32">
        <f t="shared" si="341"/>
        <v>0</v>
      </c>
      <c r="DW105" s="1088"/>
      <c r="DX105" s="53"/>
      <c r="DY105" s="32">
        <f t="shared" si="342"/>
        <v>0</v>
      </c>
      <c r="DZ105" s="1088"/>
      <c r="EA105" s="53"/>
      <c r="EB105" s="32">
        <f t="shared" si="343"/>
        <v>0</v>
      </c>
      <c r="EC105" s="1088"/>
      <c r="ED105" s="53"/>
      <c r="EE105" s="32">
        <f t="shared" si="344"/>
        <v>0</v>
      </c>
      <c r="EF105" s="1088"/>
      <c r="EG105" s="53"/>
      <c r="EH105" s="32">
        <f t="shared" si="345"/>
        <v>0</v>
      </c>
      <c r="EI105" s="1088"/>
      <c r="EJ105" s="53"/>
      <c r="EK105" s="32">
        <f t="shared" si="346"/>
        <v>0</v>
      </c>
      <c r="EL105" s="1088"/>
      <c r="EM105" s="53"/>
      <c r="EN105" s="32">
        <f t="shared" si="347"/>
        <v>0</v>
      </c>
      <c r="EO105" s="1088"/>
      <c r="EP105" s="53"/>
      <c r="EQ105" s="32">
        <f t="shared" si="348"/>
        <v>0</v>
      </c>
      <c r="ER105" s="1088"/>
      <c r="ES105" s="53"/>
      <c r="ET105" s="32">
        <f t="shared" si="349"/>
        <v>0</v>
      </c>
      <c r="EU105" s="1088"/>
      <c r="EV105" s="53"/>
      <c r="EW105" s="32">
        <f t="shared" si="350"/>
        <v>0</v>
      </c>
      <c r="EX105" s="1088"/>
      <c r="EY105" s="53"/>
      <c r="EZ105" s="32">
        <f t="shared" si="351"/>
        <v>0</v>
      </c>
      <c r="FA105" s="1088"/>
      <c r="FD105"/>
      <c r="FE105"/>
      <c r="FF105"/>
      <c r="FG105"/>
      <c r="FH105"/>
      <c r="FI105"/>
    </row>
    <row r="106" spans="2:165" s="33" customFormat="1" hidden="1" outlineLevel="2">
      <c r="B106" s="54" t="s">
        <v>545</v>
      </c>
      <c r="D106" s="2" t="s">
        <v>506</v>
      </c>
      <c r="E106" s="53"/>
      <c r="F106" s="32">
        <f t="shared" si="301"/>
        <v>0</v>
      </c>
      <c r="G106" s="53"/>
      <c r="H106" s="53"/>
      <c r="I106" s="32">
        <f t="shared" si="302"/>
        <v>0</v>
      </c>
      <c r="J106" s="53"/>
      <c r="K106" s="53"/>
      <c r="L106" s="32">
        <f t="shared" si="303"/>
        <v>0</v>
      </c>
      <c r="M106" s="53"/>
      <c r="N106" s="53"/>
      <c r="O106" s="32">
        <f t="shared" si="304"/>
        <v>0</v>
      </c>
      <c r="P106" s="53"/>
      <c r="Q106" s="53"/>
      <c r="R106" s="32">
        <f t="shared" si="305"/>
        <v>0</v>
      </c>
      <c r="S106" s="53"/>
      <c r="T106" s="53"/>
      <c r="U106" s="32">
        <f t="shared" si="306"/>
        <v>0</v>
      </c>
      <c r="V106" s="53"/>
      <c r="W106" s="53"/>
      <c r="X106" s="32">
        <f t="shared" si="307"/>
        <v>0</v>
      </c>
      <c r="Y106" s="53"/>
      <c r="Z106" s="53"/>
      <c r="AA106" s="32">
        <f t="shared" si="308"/>
        <v>0</v>
      </c>
      <c r="AB106" s="53"/>
      <c r="AC106" s="53"/>
      <c r="AD106" s="32">
        <f t="shared" si="309"/>
        <v>0</v>
      </c>
      <c r="AE106" s="53"/>
      <c r="AF106" s="53"/>
      <c r="AG106" s="32">
        <f t="shared" si="310"/>
        <v>0</v>
      </c>
      <c r="AH106" s="53"/>
      <c r="AI106" s="53"/>
      <c r="AJ106" s="32">
        <f t="shared" si="311"/>
        <v>0</v>
      </c>
      <c r="AK106" s="53"/>
      <c r="AL106" s="53"/>
      <c r="AM106" s="32">
        <f t="shared" si="312"/>
        <v>0</v>
      </c>
      <c r="AN106" s="53"/>
      <c r="AO106" s="53"/>
      <c r="AP106" s="32">
        <f t="shared" si="313"/>
        <v>0</v>
      </c>
      <c r="AQ106" s="53"/>
      <c r="AR106" s="53"/>
      <c r="AS106" s="32">
        <f t="shared" si="314"/>
        <v>0</v>
      </c>
      <c r="AT106" s="53"/>
      <c r="AU106" s="53"/>
      <c r="AV106" s="32">
        <f t="shared" si="315"/>
        <v>0</v>
      </c>
      <c r="AW106" s="53"/>
      <c r="AX106" s="53"/>
      <c r="AY106" s="32">
        <f t="shared" si="316"/>
        <v>0</v>
      </c>
      <c r="AZ106" s="53"/>
      <c r="BA106" s="53"/>
      <c r="BB106" s="32">
        <f t="shared" si="317"/>
        <v>0</v>
      </c>
      <c r="BC106" s="53"/>
      <c r="BD106" s="53"/>
      <c r="BE106" s="32">
        <f t="shared" si="318"/>
        <v>0</v>
      </c>
      <c r="BF106" s="1098"/>
      <c r="BG106" s="1088"/>
      <c r="BH106" s="32">
        <f t="shared" si="319"/>
        <v>0</v>
      </c>
      <c r="BI106" s="1098"/>
      <c r="BJ106" s="1088"/>
      <c r="BK106" s="32">
        <f t="shared" si="320"/>
        <v>0</v>
      </c>
      <c r="BL106" s="1098"/>
      <c r="BM106" s="1088"/>
      <c r="BN106" s="32">
        <f t="shared" si="321"/>
        <v>0</v>
      </c>
      <c r="BO106" s="1098"/>
      <c r="BP106" s="1088"/>
      <c r="BQ106" s="32">
        <f t="shared" si="322"/>
        <v>0</v>
      </c>
      <c r="BR106" s="1098"/>
      <c r="BS106" s="1088"/>
      <c r="BT106" s="32">
        <f t="shared" si="323"/>
        <v>0</v>
      </c>
      <c r="BU106" s="1098"/>
      <c r="BV106" s="1088"/>
      <c r="BW106" s="32">
        <f t="shared" si="324"/>
        <v>0</v>
      </c>
      <c r="BX106" s="1098"/>
      <c r="BY106" s="1088"/>
      <c r="BZ106" s="32">
        <f t="shared" si="325"/>
        <v>0</v>
      </c>
      <c r="CA106" s="1098"/>
      <c r="CB106" s="1088"/>
      <c r="CC106" s="32">
        <f t="shared" si="326"/>
        <v>0</v>
      </c>
      <c r="CD106" s="1098"/>
      <c r="CE106" s="1088"/>
      <c r="CF106" s="32">
        <f t="shared" si="327"/>
        <v>0</v>
      </c>
      <c r="CG106" s="1098"/>
      <c r="CH106" s="1088"/>
      <c r="CI106" s="32">
        <f t="shared" si="328"/>
        <v>0</v>
      </c>
      <c r="CJ106" s="1098"/>
      <c r="CK106" s="1088"/>
      <c r="CL106" s="32">
        <f t="shared" si="329"/>
        <v>0</v>
      </c>
      <c r="CM106" s="1098"/>
      <c r="CN106" s="1088"/>
      <c r="CO106" s="32">
        <f t="shared" si="330"/>
        <v>0</v>
      </c>
      <c r="CP106" s="1098"/>
      <c r="CQ106" s="1088"/>
      <c r="CR106" s="32">
        <f t="shared" si="331"/>
        <v>0</v>
      </c>
      <c r="CS106" s="1098"/>
      <c r="CT106" s="1088"/>
      <c r="CU106" s="32">
        <f t="shared" si="332"/>
        <v>0</v>
      </c>
      <c r="CV106" s="1098"/>
      <c r="CW106" s="1088"/>
      <c r="CX106" s="32">
        <f t="shared" si="333"/>
        <v>0</v>
      </c>
      <c r="CY106" s="1098"/>
      <c r="CZ106" s="1088"/>
      <c r="DA106" s="32">
        <f t="shared" si="334"/>
        <v>0</v>
      </c>
      <c r="DB106" s="1098"/>
      <c r="DC106" s="1088"/>
      <c r="DD106" s="32">
        <f t="shared" si="335"/>
        <v>0</v>
      </c>
      <c r="DE106" s="1101"/>
      <c r="DF106" s="1088"/>
      <c r="DG106" s="32">
        <f t="shared" si="336"/>
        <v>0</v>
      </c>
      <c r="DH106" s="1101"/>
      <c r="DI106" s="1088"/>
      <c r="DJ106" s="32">
        <f t="shared" si="337"/>
        <v>0</v>
      </c>
      <c r="DK106" s="1101"/>
      <c r="DL106" s="53"/>
      <c r="DM106" s="32">
        <f t="shared" si="338"/>
        <v>0</v>
      </c>
      <c r="DN106" s="1088"/>
      <c r="DO106" s="53"/>
      <c r="DP106" s="32">
        <f t="shared" si="339"/>
        <v>0</v>
      </c>
      <c r="DQ106" s="1088"/>
      <c r="DR106" s="53"/>
      <c r="DS106" s="32">
        <f t="shared" si="340"/>
        <v>0</v>
      </c>
      <c r="DT106" s="1088"/>
      <c r="DU106" s="53"/>
      <c r="DV106" s="32">
        <f t="shared" si="341"/>
        <v>0</v>
      </c>
      <c r="DW106" s="1088"/>
      <c r="DX106" s="53"/>
      <c r="DY106" s="32">
        <f t="shared" si="342"/>
        <v>0</v>
      </c>
      <c r="DZ106" s="1088"/>
      <c r="EA106" s="53"/>
      <c r="EB106" s="32">
        <f t="shared" si="343"/>
        <v>0</v>
      </c>
      <c r="EC106" s="1088"/>
      <c r="ED106" s="53"/>
      <c r="EE106" s="32">
        <f t="shared" si="344"/>
        <v>0</v>
      </c>
      <c r="EF106" s="1088"/>
      <c r="EG106" s="53"/>
      <c r="EH106" s="32">
        <f t="shared" si="345"/>
        <v>0</v>
      </c>
      <c r="EI106" s="1088"/>
      <c r="EJ106" s="53"/>
      <c r="EK106" s="32">
        <f t="shared" si="346"/>
        <v>0</v>
      </c>
      <c r="EL106" s="1088"/>
      <c r="EM106" s="53"/>
      <c r="EN106" s="32">
        <f t="shared" si="347"/>
        <v>0</v>
      </c>
      <c r="EO106" s="1088"/>
      <c r="EP106" s="53"/>
      <c r="EQ106" s="32">
        <f t="shared" si="348"/>
        <v>0</v>
      </c>
      <c r="ER106" s="1088"/>
      <c r="ES106" s="53"/>
      <c r="ET106" s="32">
        <f t="shared" si="349"/>
        <v>0</v>
      </c>
      <c r="EU106" s="1088"/>
      <c r="EV106" s="53"/>
      <c r="EW106" s="32">
        <f t="shared" si="350"/>
        <v>0</v>
      </c>
      <c r="EX106" s="1088"/>
      <c r="EY106" s="53"/>
      <c r="EZ106" s="32">
        <f t="shared" si="351"/>
        <v>0</v>
      </c>
      <c r="FA106" s="1088"/>
      <c r="FD106"/>
      <c r="FE106"/>
      <c r="FF106"/>
      <c r="FG106"/>
      <c r="FH106"/>
      <c r="FI106"/>
    </row>
    <row r="107" spans="2:165" s="33" customFormat="1" hidden="1" outlineLevel="2">
      <c r="B107" s="54" t="s">
        <v>592</v>
      </c>
      <c r="D107" s="2" t="s">
        <v>506</v>
      </c>
      <c r="E107" s="53"/>
      <c r="F107" s="32">
        <f t="shared" si="301"/>
        <v>0</v>
      </c>
      <c r="G107" s="53"/>
      <c r="H107" s="53"/>
      <c r="I107" s="32">
        <f t="shared" si="302"/>
        <v>0</v>
      </c>
      <c r="J107" s="53"/>
      <c r="K107" s="53"/>
      <c r="L107" s="32">
        <f t="shared" si="303"/>
        <v>0</v>
      </c>
      <c r="M107" s="53"/>
      <c r="N107" s="53"/>
      <c r="O107" s="32">
        <f t="shared" si="304"/>
        <v>0</v>
      </c>
      <c r="P107" s="53"/>
      <c r="Q107" s="53"/>
      <c r="R107" s="32">
        <f t="shared" si="305"/>
        <v>0</v>
      </c>
      <c r="S107" s="53"/>
      <c r="T107" s="53"/>
      <c r="U107" s="32">
        <f t="shared" si="306"/>
        <v>0</v>
      </c>
      <c r="V107" s="53"/>
      <c r="W107" s="53"/>
      <c r="X107" s="32">
        <f t="shared" si="307"/>
        <v>0</v>
      </c>
      <c r="Y107" s="53"/>
      <c r="Z107" s="53"/>
      <c r="AA107" s="32">
        <f t="shared" si="308"/>
        <v>0</v>
      </c>
      <c r="AB107" s="53"/>
      <c r="AC107" s="53"/>
      <c r="AD107" s="32">
        <f t="shared" si="309"/>
        <v>0</v>
      </c>
      <c r="AE107" s="53"/>
      <c r="AF107" s="53"/>
      <c r="AG107" s="32">
        <f t="shared" si="310"/>
        <v>0</v>
      </c>
      <c r="AH107" s="53"/>
      <c r="AI107" s="53"/>
      <c r="AJ107" s="32">
        <f t="shared" si="311"/>
        <v>0</v>
      </c>
      <c r="AK107" s="53"/>
      <c r="AL107" s="53"/>
      <c r="AM107" s="32">
        <f t="shared" si="312"/>
        <v>0</v>
      </c>
      <c r="AN107" s="53"/>
      <c r="AO107" s="53"/>
      <c r="AP107" s="32">
        <f t="shared" si="313"/>
        <v>0</v>
      </c>
      <c r="AQ107" s="53"/>
      <c r="AR107" s="53"/>
      <c r="AS107" s="32">
        <f t="shared" si="314"/>
        <v>0</v>
      </c>
      <c r="AT107" s="53"/>
      <c r="AU107" s="53"/>
      <c r="AV107" s="32">
        <f t="shared" si="315"/>
        <v>0</v>
      </c>
      <c r="AW107" s="53"/>
      <c r="AX107" s="53"/>
      <c r="AY107" s="32">
        <f t="shared" si="316"/>
        <v>0</v>
      </c>
      <c r="AZ107" s="53"/>
      <c r="BA107" s="53"/>
      <c r="BB107" s="32">
        <f t="shared" si="317"/>
        <v>0</v>
      </c>
      <c r="BC107" s="53"/>
      <c r="BD107" s="53"/>
      <c r="BE107" s="32">
        <f t="shared" si="318"/>
        <v>0</v>
      </c>
      <c r="BF107" s="1098"/>
      <c r="BG107" s="1088"/>
      <c r="BH107" s="32">
        <f t="shared" si="319"/>
        <v>0</v>
      </c>
      <c r="BI107" s="1098"/>
      <c r="BJ107" s="1088"/>
      <c r="BK107" s="32">
        <f t="shared" si="320"/>
        <v>0</v>
      </c>
      <c r="BL107" s="1098"/>
      <c r="BM107" s="1088"/>
      <c r="BN107" s="32">
        <f t="shared" si="321"/>
        <v>0</v>
      </c>
      <c r="BO107" s="1098"/>
      <c r="BP107" s="1088"/>
      <c r="BQ107" s="32">
        <f t="shared" si="322"/>
        <v>0</v>
      </c>
      <c r="BR107" s="1098"/>
      <c r="BS107" s="1088"/>
      <c r="BT107" s="32">
        <f t="shared" si="323"/>
        <v>0</v>
      </c>
      <c r="BU107" s="1098"/>
      <c r="BV107" s="1088"/>
      <c r="BW107" s="32">
        <f t="shared" si="324"/>
        <v>0</v>
      </c>
      <c r="BX107" s="1098"/>
      <c r="BY107" s="1088"/>
      <c r="BZ107" s="32">
        <f t="shared" si="325"/>
        <v>0</v>
      </c>
      <c r="CA107" s="1098"/>
      <c r="CB107" s="1088"/>
      <c r="CC107" s="32">
        <f t="shared" si="326"/>
        <v>0</v>
      </c>
      <c r="CD107" s="1098"/>
      <c r="CE107" s="1088"/>
      <c r="CF107" s="32">
        <f t="shared" si="327"/>
        <v>0</v>
      </c>
      <c r="CG107" s="1098"/>
      <c r="CH107" s="1088"/>
      <c r="CI107" s="32">
        <f t="shared" si="328"/>
        <v>0</v>
      </c>
      <c r="CJ107" s="1098"/>
      <c r="CK107" s="1088"/>
      <c r="CL107" s="32">
        <f t="shared" si="329"/>
        <v>0</v>
      </c>
      <c r="CM107" s="1098"/>
      <c r="CN107" s="1088"/>
      <c r="CO107" s="32">
        <f t="shared" si="330"/>
        <v>0</v>
      </c>
      <c r="CP107" s="1098"/>
      <c r="CQ107" s="1088"/>
      <c r="CR107" s="32">
        <f t="shared" si="331"/>
        <v>0</v>
      </c>
      <c r="CS107" s="1098"/>
      <c r="CT107" s="1088"/>
      <c r="CU107" s="32">
        <f t="shared" si="332"/>
        <v>0</v>
      </c>
      <c r="CV107" s="1098"/>
      <c r="CW107" s="1088"/>
      <c r="CX107" s="32">
        <f t="shared" si="333"/>
        <v>0</v>
      </c>
      <c r="CY107" s="1098"/>
      <c r="CZ107" s="1088"/>
      <c r="DA107" s="32">
        <f t="shared" si="334"/>
        <v>0</v>
      </c>
      <c r="DB107" s="1098"/>
      <c r="DC107" s="1088"/>
      <c r="DD107" s="32">
        <f t="shared" si="335"/>
        <v>0</v>
      </c>
      <c r="DE107" s="1101"/>
      <c r="DF107" s="1088"/>
      <c r="DG107" s="32">
        <f t="shared" si="336"/>
        <v>0</v>
      </c>
      <c r="DH107" s="1101"/>
      <c r="DI107" s="1088"/>
      <c r="DJ107" s="32">
        <f t="shared" si="337"/>
        <v>0</v>
      </c>
      <c r="DK107" s="1101"/>
      <c r="DL107" s="53"/>
      <c r="DM107" s="32">
        <f t="shared" si="338"/>
        <v>0</v>
      </c>
      <c r="DN107" s="1088"/>
      <c r="DO107" s="53"/>
      <c r="DP107" s="32">
        <f t="shared" si="339"/>
        <v>0</v>
      </c>
      <c r="DQ107" s="1088"/>
      <c r="DR107" s="53"/>
      <c r="DS107" s="32">
        <f t="shared" si="340"/>
        <v>0</v>
      </c>
      <c r="DT107" s="1088"/>
      <c r="DU107" s="53"/>
      <c r="DV107" s="32">
        <f t="shared" si="341"/>
        <v>0</v>
      </c>
      <c r="DW107" s="1088"/>
      <c r="DX107" s="53"/>
      <c r="DY107" s="32">
        <f t="shared" si="342"/>
        <v>0</v>
      </c>
      <c r="DZ107" s="1088"/>
      <c r="EA107" s="53"/>
      <c r="EB107" s="32">
        <f t="shared" si="343"/>
        <v>0</v>
      </c>
      <c r="EC107" s="1088"/>
      <c r="ED107" s="53"/>
      <c r="EE107" s="32">
        <f t="shared" si="344"/>
        <v>0</v>
      </c>
      <c r="EF107" s="1088"/>
      <c r="EG107" s="53"/>
      <c r="EH107" s="32">
        <f t="shared" si="345"/>
        <v>0</v>
      </c>
      <c r="EI107" s="1088"/>
      <c r="EJ107" s="53"/>
      <c r="EK107" s="32">
        <f t="shared" si="346"/>
        <v>0</v>
      </c>
      <c r="EL107" s="1088"/>
      <c r="EM107" s="53"/>
      <c r="EN107" s="32">
        <f t="shared" si="347"/>
        <v>0</v>
      </c>
      <c r="EO107" s="1088"/>
      <c r="EP107" s="53"/>
      <c r="EQ107" s="32">
        <f t="shared" si="348"/>
        <v>0</v>
      </c>
      <c r="ER107" s="1088"/>
      <c r="ES107" s="53"/>
      <c r="ET107" s="32">
        <f t="shared" si="349"/>
        <v>0</v>
      </c>
      <c r="EU107" s="1088"/>
      <c r="EV107" s="53"/>
      <c r="EW107" s="32">
        <f t="shared" si="350"/>
        <v>0</v>
      </c>
      <c r="EX107" s="1088"/>
      <c r="EY107" s="53"/>
      <c r="EZ107" s="32">
        <f t="shared" si="351"/>
        <v>0</v>
      </c>
      <c r="FA107" s="1088"/>
      <c r="FD107"/>
      <c r="FE107"/>
      <c r="FF107"/>
      <c r="FG107"/>
      <c r="FH107"/>
      <c r="FI107"/>
    </row>
    <row r="108" spans="2:165" s="33" customFormat="1" hidden="1" outlineLevel="2">
      <c r="B108" s="54" t="s">
        <v>545</v>
      </c>
      <c r="D108" s="2" t="s">
        <v>506</v>
      </c>
      <c r="E108" s="53"/>
      <c r="F108" s="32">
        <f t="shared" si="301"/>
        <v>0</v>
      </c>
      <c r="G108" s="53"/>
      <c r="H108" s="53"/>
      <c r="I108" s="32">
        <f t="shared" si="302"/>
        <v>0</v>
      </c>
      <c r="J108" s="53"/>
      <c r="K108" s="53"/>
      <c r="L108" s="32">
        <f t="shared" si="303"/>
        <v>0</v>
      </c>
      <c r="M108" s="53"/>
      <c r="N108" s="53"/>
      <c r="O108" s="32">
        <f t="shared" si="304"/>
        <v>0</v>
      </c>
      <c r="P108" s="53"/>
      <c r="Q108" s="53"/>
      <c r="R108" s="32">
        <f t="shared" si="305"/>
        <v>0</v>
      </c>
      <c r="S108" s="53"/>
      <c r="T108" s="53"/>
      <c r="U108" s="32">
        <f t="shared" si="306"/>
        <v>0</v>
      </c>
      <c r="V108" s="53"/>
      <c r="W108" s="53"/>
      <c r="X108" s="32">
        <f t="shared" si="307"/>
        <v>0</v>
      </c>
      <c r="Y108" s="53"/>
      <c r="Z108" s="53"/>
      <c r="AA108" s="32">
        <f t="shared" si="308"/>
        <v>0</v>
      </c>
      <c r="AB108" s="53"/>
      <c r="AC108" s="53"/>
      <c r="AD108" s="32">
        <f t="shared" si="309"/>
        <v>0</v>
      </c>
      <c r="AE108" s="53"/>
      <c r="AF108" s="53"/>
      <c r="AG108" s="32">
        <f t="shared" si="310"/>
        <v>0</v>
      </c>
      <c r="AH108" s="53"/>
      <c r="AI108" s="53"/>
      <c r="AJ108" s="32">
        <f t="shared" si="311"/>
        <v>0</v>
      </c>
      <c r="AK108" s="53"/>
      <c r="AL108" s="53"/>
      <c r="AM108" s="32">
        <f t="shared" si="312"/>
        <v>0</v>
      </c>
      <c r="AN108" s="53"/>
      <c r="AO108" s="53"/>
      <c r="AP108" s="32">
        <f t="shared" si="313"/>
        <v>0</v>
      </c>
      <c r="AQ108" s="53"/>
      <c r="AR108" s="53"/>
      <c r="AS108" s="32">
        <f t="shared" si="314"/>
        <v>0</v>
      </c>
      <c r="AT108" s="53"/>
      <c r="AU108" s="53"/>
      <c r="AV108" s="32">
        <f t="shared" si="315"/>
        <v>0</v>
      </c>
      <c r="AW108" s="53"/>
      <c r="AX108" s="53"/>
      <c r="AY108" s="32">
        <f t="shared" si="316"/>
        <v>0</v>
      </c>
      <c r="AZ108" s="53"/>
      <c r="BA108" s="53"/>
      <c r="BB108" s="32">
        <f t="shared" si="317"/>
        <v>0</v>
      </c>
      <c r="BC108" s="53"/>
      <c r="BD108" s="53"/>
      <c r="BE108" s="32">
        <f t="shared" si="318"/>
        <v>0</v>
      </c>
      <c r="BF108" s="1098"/>
      <c r="BG108" s="1088"/>
      <c r="BH108" s="32">
        <f t="shared" si="319"/>
        <v>0</v>
      </c>
      <c r="BI108" s="1098"/>
      <c r="BJ108" s="1088"/>
      <c r="BK108" s="32">
        <f t="shared" si="320"/>
        <v>0</v>
      </c>
      <c r="BL108" s="1098"/>
      <c r="BM108" s="1088"/>
      <c r="BN108" s="32">
        <f t="shared" si="321"/>
        <v>0</v>
      </c>
      <c r="BO108" s="1098"/>
      <c r="BP108" s="1088"/>
      <c r="BQ108" s="32">
        <f t="shared" si="322"/>
        <v>0</v>
      </c>
      <c r="BR108" s="1098"/>
      <c r="BS108" s="1088"/>
      <c r="BT108" s="32">
        <f t="shared" si="323"/>
        <v>0</v>
      </c>
      <c r="BU108" s="1098"/>
      <c r="BV108" s="1088"/>
      <c r="BW108" s="32">
        <f t="shared" si="324"/>
        <v>0</v>
      </c>
      <c r="BX108" s="1098"/>
      <c r="BY108" s="1088"/>
      <c r="BZ108" s="32">
        <f t="shared" si="325"/>
        <v>0</v>
      </c>
      <c r="CA108" s="1098"/>
      <c r="CB108" s="1088"/>
      <c r="CC108" s="32">
        <f t="shared" si="326"/>
        <v>0</v>
      </c>
      <c r="CD108" s="1098"/>
      <c r="CE108" s="1088"/>
      <c r="CF108" s="32">
        <f t="shared" si="327"/>
        <v>0</v>
      </c>
      <c r="CG108" s="1098"/>
      <c r="CH108" s="1088"/>
      <c r="CI108" s="32">
        <f t="shared" si="328"/>
        <v>0</v>
      </c>
      <c r="CJ108" s="1098"/>
      <c r="CK108" s="1088"/>
      <c r="CL108" s="32">
        <f t="shared" si="329"/>
        <v>0</v>
      </c>
      <c r="CM108" s="1098"/>
      <c r="CN108" s="1088"/>
      <c r="CO108" s="32">
        <f t="shared" si="330"/>
        <v>0</v>
      </c>
      <c r="CP108" s="1098"/>
      <c r="CQ108" s="1088"/>
      <c r="CR108" s="32">
        <f t="shared" si="331"/>
        <v>0</v>
      </c>
      <c r="CS108" s="1098"/>
      <c r="CT108" s="1088"/>
      <c r="CU108" s="32">
        <f t="shared" si="332"/>
        <v>0</v>
      </c>
      <c r="CV108" s="1098"/>
      <c r="CW108" s="1088"/>
      <c r="CX108" s="32">
        <f t="shared" si="333"/>
        <v>0</v>
      </c>
      <c r="CY108" s="1098"/>
      <c r="CZ108" s="1088"/>
      <c r="DA108" s="32">
        <f t="shared" si="334"/>
        <v>0</v>
      </c>
      <c r="DB108" s="1098"/>
      <c r="DC108" s="1088"/>
      <c r="DD108" s="32">
        <f t="shared" si="335"/>
        <v>0</v>
      </c>
      <c r="DE108" s="1101"/>
      <c r="DF108" s="1088"/>
      <c r="DG108" s="32">
        <f t="shared" si="336"/>
        <v>0</v>
      </c>
      <c r="DH108" s="1101"/>
      <c r="DI108" s="1088"/>
      <c r="DJ108" s="32">
        <f t="shared" si="337"/>
        <v>0</v>
      </c>
      <c r="DK108" s="1101"/>
      <c r="DL108" s="53"/>
      <c r="DM108" s="32">
        <f t="shared" si="338"/>
        <v>0</v>
      </c>
      <c r="DN108" s="1088"/>
      <c r="DO108" s="53"/>
      <c r="DP108" s="32">
        <f t="shared" si="339"/>
        <v>0</v>
      </c>
      <c r="DQ108" s="1088"/>
      <c r="DR108" s="53"/>
      <c r="DS108" s="32">
        <f t="shared" si="340"/>
        <v>0</v>
      </c>
      <c r="DT108" s="1088"/>
      <c r="DU108" s="53"/>
      <c r="DV108" s="32">
        <f t="shared" si="341"/>
        <v>0</v>
      </c>
      <c r="DW108" s="1088"/>
      <c r="DX108" s="53"/>
      <c r="DY108" s="32">
        <f t="shared" si="342"/>
        <v>0</v>
      </c>
      <c r="DZ108" s="1088"/>
      <c r="EA108" s="53"/>
      <c r="EB108" s="32">
        <f t="shared" si="343"/>
        <v>0</v>
      </c>
      <c r="EC108" s="1088"/>
      <c r="ED108" s="53"/>
      <c r="EE108" s="32">
        <f t="shared" si="344"/>
        <v>0</v>
      </c>
      <c r="EF108" s="1088"/>
      <c r="EG108" s="53"/>
      <c r="EH108" s="32">
        <f t="shared" si="345"/>
        <v>0</v>
      </c>
      <c r="EI108" s="1088"/>
      <c r="EJ108" s="53"/>
      <c r="EK108" s="32">
        <f t="shared" si="346"/>
        <v>0</v>
      </c>
      <c r="EL108" s="1088"/>
      <c r="EM108" s="53"/>
      <c r="EN108" s="32">
        <f t="shared" si="347"/>
        <v>0</v>
      </c>
      <c r="EO108" s="1088"/>
      <c r="EP108" s="53"/>
      <c r="EQ108" s="32">
        <f t="shared" si="348"/>
        <v>0</v>
      </c>
      <c r="ER108" s="1088"/>
      <c r="ES108" s="53"/>
      <c r="ET108" s="32">
        <f t="shared" si="349"/>
        <v>0</v>
      </c>
      <c r="EU108" s="1088"/>
      <c r="EV108" s="53"/>
      <c r="EW108" s="32">
        <f t="shared" si="350"/>
        <v>0</v>
      </c>
      <c r="EX108" s="1088"/>
      <c r="EY108" s="53"/>
      <c r="EZ108" s="32">
        <f t="shared" si="351"/>
        <v>0</v>
      </c>
      <c r="FA108" s="1088"/>
      <c r="FD108"/>
      <c r="FE108"/>
      <c r="FF108"/>
      <c r="FG108"/>
      <c r="FH108"/>
      <c r="FI108"/>
    </row>
    <row r="109" spans="2:165" s="33" customFormat="1" hidden="1" outlineLevel="2">
      <c r="B109" s="54" t="s">
        <v>593</v>
      </c>
      <c r="D109" s="2" t="s">
        <v>506</v>
      </c>
      <c r="E109" s="53"/>
      <c r="F109" s="32">
        <f t="shared" si="301"/>
        <v>0</v>
      </c>
      <c r="G109" s="53"/>
      <c r="H109" s="53"/>
      <c r="I109" s="32">
        <f t="shared" si="302"/>
        <v>0</v>
      </c>
      <c r="J109" s="53"/>
      <c r="K109" s="53"/>
      <c r="L109" s="32">
        <f t="shared" si="303"/>
        <v>0</v>
      </c>
      <c r="M109" s="53"/>
      <c r="N109" s="53"/>
      <c r="O109" s="32">
        <f t="shared" si="304"/>
        <v>0</v>
      </c>
      <c r="P109" s="53"/>
      <c r="Q109" s="53"/>
      <c r="R109" s="32">
        <f t="shared" si="305"/>
        <v>0</v>
      </c>
      <c r="S109" s="53"/>
      <c r="T109" s="53"/>
      <c r="U109" s="32">
        <f t="shared" si="306"/>
        <v>0</v>
      </c>
      <c r="V109" s="53"/>
      <c r="W109" s="53"/>
      <c r="X109" s="32">
        <f t="shared" si="307"/>
        <v>0</v>
      </c>
      <c r="Y109" s="53"/>
      <c r="Z109" s="53"/>
      <c r="AA109" s="32">
        <f t="shared" si="308"/>
        <v>0</v>
      </c>
      <c r="AB109" s="53"/>
      <c r="AC109" s="53"/>
      <c r="AD109" s="32">
        <f t="shared" si="309"/>
        <v>0</v>
      </c>
      <c r="AE109" s="53"/>
      <c r="AF109" s="53"/>
      <c r="AG109" s="32">
        <f t="shared" si="310"/>
        <v>0</v>
      </c>
      <c r="AH109" s="53"/>
      <c r="AI109" s="53"/>
      <c r="AJ109" s="32">
        <f t="shared" si="311"/>
        <v>0</v>
      </c>
      <c r="AK109" s="53"/>
      <c r="AL109" s="53"/>
      <c r="AM109" s="32">
        <f t="shared" si="312"/>
        <v>0</v>
      </c>
      <c r="AN109" s="53"/>
      <c r="AO109" s="53"/>
      <c r="AP109" s="32">
        <f t="shared" si="313"/>
        <v>0</v>
      </c>
      <c r="AQ109" s="53"/>
      <c r="AR109" s="53"/>
      <c r="AS109" s="32">
        <f t="shared" si="314"/>
        <v>0</v>
      </c>
      <c r="AT109" s="53"/>
      <c r="AU109" s="53"/>
      <c r="AV109" s="32">
        <f t="shared" si="315"/>
        <v>0</v>
      </c>
      <c r="AW109" s="53"/>
      <c r="AX109" s="53"/>
      <c r="AY109" s="32">
        <f t="shared" si="316"/>
        <v>0</v>
      </c>
      <c r="AZ109" s="53"/>
      <c r="BA109" s="53"/>
      <c r="BB109" s="32">
        <f t="shared" si="317"/>
        <v>0</v>
      </c>
      <c r="BC109" s="53"/>
      <c r="BD109" s="53"/>
      <c r="BE109" s="32">
        <f t="shared" si="318"/>
        <v>0</v>
      </c>
      <c r="BF109" s="1098"/>
      <c r="BG109" s="1088"/>
      <c r="BH109" s="32">
        <f t="shared" si="319"/>
        <v>0</v>
      </c>
      <c r="BI109" s="1098"/>
      <c r="BJ109" s="1088"/>
      <c r="BK109" s="32">
        <f t="shared" si="320"/>
        <v>0</v>
      </c>
      <c r="BL109" s="1098"/>
      <c r="BM109" s="1088"/>
      <c r="BN109" s="32">
        <f t="shared" si="321"/>
        <v>0</v>
      </c>
      <c r="BO109" s="1098"/>
      <c r="BP109" s="1088"/>
      <c r="BQ109" s="32">
        <f t="shared" si="322"/>
        <v>0</v>
      </c>
      <c r="BR109" s="1098"/>
      <c r="BS109" s="1088"/>
      <c r="BT109" s="32">
        <f t="shared" si="323"/>
        <v>0</v>
      </c>
      <c r="BU109" s="1098"/>
      <c r="BV109" s="1088"/>
      <c r="BW109" s="32">
        <f t="shared" si="324"/>
        <v>0</v>
      </c>
      <c r="BX109" s="1098"/>
      <c r="BY109" s="1088"/>
      <c r="BZ109" s="32">
        <f t="shared" si="325"/>
        <v>0</v>
      </c>
      <c r="CA109" s="1098"/>
      <c r="CB109" s="1088"/>
      <c r="CC109" s="32">
        <f t="shared" si="326"/>
        <v>0</v>
      </c>
      <c r="CD109" s="1098"/>
      <c r="CE109" s="1088"/>
      <c r="CF109" s="32">
        <f t="shared" si="327"/>
        <v>0</v>
      </c>
      <c r="CG109" s="1098"/>
      <c r="CH109" s="1088"/>
      <c r="CI109" s="32">
        <f t="shared" si="328"/>
        <v>0</v>
      </c>
      <c r="CJ109" s="1098"/>
      <c r="CK109" s="1088"/>
      <c r="CL109" s="32">
        <f t="shared" si="329"/>
        <v>0</v>
      </c>
      <c r="CM109" s="1098"/>
      <c r="CN109" s="1088"/>
      <c r="CO109" s="32">
        <f t="shared" si="330"/>
        <v>0</v>
      </c>
      <c r="CP109" s="1098"/>
      <c r="CQ109" s="1088"/>
      <c r="CR109" s="32">
        <f t="shared" si="331"/>
        <v>0</v>
      </c>
      <c r="CS109" s="1098"/>
      <c r="CT109" s="1088"/>
      <c r="CU109" s="32">
        <f t="shared" si="332"/>
        <v>0</v>
      </c>
      <c r="CV109" s="1098"/>
      <c r="CW109" s="1088"/>
      <c r="CX109" s="32">
        <f t="shared" si="333"/>
        <v>0</v>
      </c>
      <c r="CY109" s="1098"/>
      <c r="CZ109" s="1088"/>
      <c r="DA109" s="32">
        <f t="shared" si="334"/>
        <v>0</v>
      </c>
      <c r="DB109" s="1098"/>
      <c r="DC109" s="1088"/>
      <c r="DD109" s="32">
        <f t="shared" si="335"/>
        <v>0</v>
      </c>
      <c r="DE109" s="1101"/>
      <c r="DF109" s="1088"/>
      <c r="DG109" s="32">
        <f t="shared" si="336"/>
        <v>0</v>
      </c>
      <c r="DH109" s="1101"/>
      <c r="DI109" s="1088"/>
      <c r="DJ109" s="32">
        <f t="shared" si="337"/>
        <v>0</v>
      </c>
      <c r="DK109" s="1101"/>
      <c r="DL109" s="53"/>
      <c r="DM109" s="32">
        <f t="shared" si="338"/>
        <v>0</v>
      </c>
      <c r="DN109" s="1088"/>
      <c r="DO109" s="53"/>
      <c r="DP109" s="32">
        <f t="shared" si="339"/>
        <v>0</v>
      </c>
      <c r="DQ109" s="1088"/>
      <c r="DR109" s="53"/>
      <c r="DS109" s="32">
        <f t="shared" si="340"/>
        <v>0</v>
      </c>
      <c r="DT109" s="1088"/>
      <c r="DU109" s="53"/>
      <c r="DV109" s="32">
        <f t="shared" si="341"/>
        <v>0</v>
      </c>
      <c r="DW109" s="1088"/>
      <c r="DX109" s="53"/>
      <c r="DY109" s="32">
        <f t="shared" si="342"/>
        <v>0</v>
      </c>
      <c r="DZ109" s="1088"/>
      <c r="EA109" s="53"/>
      <c r="EB109" s="32">
        <f t="shared" si="343"/>
        <v>0</v>
      </c>
      <c r="EC109" s="1088"/>
      <c r="ED109" s="53"/>
      <c r="EE109" s="32">
        <f t="shared" si="344"/>
        <v>0</v>
      </c>
      <c r="EF109" s="1088"/>
      <c r="EG109" s="53"/>
      <c r="EH109" s="32">
        <f t="shared" si="345"/>
        <v>0</v>
      </c>
      <c r="EI109" s="1088"/>
      <c r="EJ109" s="53"/>
      <c r="EK109" s="32">
        <f t="shared" si="346"/>
        <v>0</v>
      </c>
      <c r="EL109" s="1088"/>
      <c r="EM109" s="53"/>
      <c r="EN109" s="32">
        <f t="shared" si="347"/>
        <v>0</v>
      </c>
      <c r="EO109" s="1088"/>
      <c r="EP109" s="53"/>
      <c r="EQ109" s="32">
        <f t="shared" si="348"/>
        <v>0</v>
      </c>
      <c r="ER109" s="1088"/>
      <c r="ES109" s="53"/>
      <c r="ET109" s="32">
        <f t="shared" si="349"/>
        <v>0</v>
      </c>
      <c r="EU109" s="1088"/>
      <c r="EV109" s="53"/>
      <c r="EW109" s="32">
        <f t="shared" si="350"/>
        <v>0</v>
      </c>
      <c r="EX109" s="1088"/>
      <c r="EY109" s="53"/>
      <c r="EZ109" s="32">
        <f t="shared" si="351"/>
        <v>0</v>
      </c>
      <c r="FA109" s="1088"/>
      <c r="FD109"/>
      <c r="FE109"/>
      <c r="FF109"/>
      <c r="FG109"/>
      <c r="FH109"/>
      <c r="FI109"/>
    </row>
    <row r="110" spans="2:165" s="33" customFormat="1" hidden="1" outlineLevel="2">
      <c r="B110" s="54" t="s">
        <v>545</v>
      </c>
      <c r="D110" s="2" t="s">
        <v>506</v>
      </c>
      <c r="E110" s="53"/>
      <c r="F110" s="32">
        <f t="shared" si="301"/>
        <v>0</v>
      </c>
      <c r="G110" s="53"/>
      <c r="H110" s="53"/>
      <c r="I110" s="32">
        <f t="shared" si="302"/>
        <v>0</v>
      </c>
      <c r="J110" s="53"/>
      <c r="K110" s="53"/>
      <c r="L110" s="32">
        <f t="shared" si="303"/>
        <v>0</v>
      </c>
      <c r="M110" s="53"/>
      <c r="N110" s="53"/>
      <c r="O110" s="32">
        <f t="shared" si="304"/>
        <v>0</v>
      </c>
      <c r="P110" s="53"/>
      <c r="Q110" s="53"/>
      <c r="R110" s="32">
        <f t="shared" si="305"/>
        <v>0</v>
      </c>
      <c r="S110" s="53"/>
      <c r="T110" s="53"/>
      <c r="U110" s="32">
        <f t="shared" si="306"/>
        <v>0</v>
      </c>
      <c r="V110" s="53"/>
      <c r="W110" s="53"/>
      <c r="X110" s="32">
        <f t="shared" si="307"/>
        <v>0</v>
      </c>
      <c r="Y110" s="53"/>
      <c r="Z110" s="53"/>
      <c r="AA110" s="32">
        <f t="shared" si="308"/>
        <v>0</v>
      </c>
      <c r="AB110" s="53"/>
      <c r="AC110" s="53"/>
      <c r="AD110" s="32">
        <f t="shared" si="309"/>
        <v>0</v>
      </c>
      <c r="AE110" s="53"/>
      <c r="AF110" s="53"/>
      <c r="AG110" s="32">
        <f t="shared" si="310"/>
        <v>0</v>
      </c>
      <c r="AH110" s="53"/>
      <c r="AI110" s="53"/>
      <c r="AJ110" s="32">
        <f t="shared" si="311"/>
        <v>0</v>
      </c>
      <c r="AK110" s="53"/>
      <c r="AL110" s="53"/>
      <c r="AM110" s="32">
        <f t="shared" si="312"/>
        <v>0</v>
      </c>
      <c r="AN110" s="53"/>
      <c r="AO110" s="53"/>
      <c r="AP110" s="32">
        <f t="shared" si="313"/>
        <v>0</v>
      </c>
      <c r="AQ110" s="53"/>
      <c r="AR110" s="53"/>
      <c r="AS110" s="32">
        <f t="shared" si="314"/>
        <v>0</v>
      </c>
      <c r="AT110" s="53"/>
      <c r="AU110" s="53"/>
      <c r="AV110" s="32">
        <f t="shared" si="315"/>
        <v>0</v>
      </c>
      <c r="AW110" s="53"/>
      <c r="AX110" s="53"/>
      <c r="AY110" s="32">
        <f t="shared" si="316"/>
        <v>0</v>
      </c>
      <c r="AZ110" s="53"/>
      <c r="BA110" s="53"/>
      <c r="BB110" s="32">
        <f t="shared" si="317"/>
        <v>0</v>
      </c>
      <c r="BC110" s="53"/>
      <c r="BD110" s="53"/>
      <c r="BE110" s="32">
        <f t="shared" si="318"/>
        <v>0</v>
      </c>
      <c r="BF110" s="1098"/>
      <c r="BG110" s="1088"/>
      <c r="BH110" s="32">
        <f t="shared" si="319"/>
        <v>0</v>
      </c>
      <c r="BI110" s="1098"/>
      <c r="BJ110" s="1088"/>
      <c r="BK110" s="32">
        <f t="shared" si="320"/>
        <v>0</v>
      </c>
      <c r="BL110" s="1098"/>
      <c r="BM110" s="1088"/>
      <c r="BN110" s="32">
        <f t="shared" si="321"/>
        <v>0</v>
      </c>
      <c r="BO110" s="1098"/>
      <c r="BP110" s="1088"/>
      <c r="BQ110" s="32">
        <f t="shared" si="322"/>
        <v>0</v>
      </c>
      <c r="BR110" s="1098"/>
      <c r="BS110" s="1088"/>
      <c r="BT110" s="32">
        <f t="shared" si="323"/>
        <v>0</v>
      </c>
      <c r="BU110" s="1098"/>
      <c r="BV110" s="1088"/>
      <c r="BW110" s="32">
        <f t="shared" si="324"/>
        <v>0</v>
      </c>
      <c r="BX110" s="1098"/>
      <c r="BY110" s="1088"/>
      <c r="BZ110" s="32">
        <f t="shared" si="325"/>
        <v>0</v>
      </c>
      <c r="CA110" s="1098"/>
      <c r="CB110" s="1088"/>
      <c r="CC110" s="32">
        <f t="shared" si="326"/>
        <v>0</v>
      </c>
      <c r="CD110" s="1098"/>
      <c r="CE110" s="1088"/>
      <c r="CF110" s="32">
        <f t="shared" si="327"/>
        <v>0</v>
      </c>
      <c r="CG110" s="1098"/>
      <c r="CH110" s="1088"/>
      <c r="CI110" s="32">
        <f t="shared" si="328"/>
        <v>0</v>
      </c>
      <c r="CJ110" s="1098"/>
      <c r="CK110" s="1088"/>
      <c r="CL110" s="32">
        <f t="shared" si="329"/>
        <v>0</v>
      </c>
      <c r="CM110" s="1098"/>
      <c r="CN110" s="1088"/>
      <c r="CO110" s="32">
        <f t="shared" si="330"/>
        <v>0</v>
      </c>
      <c r="CP110" s="1098"/>
      <c r="CQ110" s="1088"/>
      <c r="CR110" s="32">
        <f t="shared" si="331"/>
        <v>0</v>
      </c>
      <c r="CS110" s="1098"/>
      <c r="CT110" s="1088"/>
      <c r="CU110" s="32">
        <f t="shared" si="332"/>
        <v>0</v>
      </c>
      <c r="CV110" s="1098"/>
      <c r="CW110" s="1088"/>
      <c r="CX110" s="32">
        <f t="shared" si="333"/>
        <v>0</v>
      </c>
      <c r="CY110" s="1098"/>
      <c r="CZ110" s="1088"/>
      <c r="DA110" s="32">
        <f t="shared" si="334"/>
        <v>0</v>
      </c>
      <c r="DB110" s="1098"/>
      <c r="DC110" s="1088"/>
      <c r="DD110" s="32">
        <f t="shared" si="335"/>
        <v>0</v>
      </c>
      <c r="DE110" s="1101"/>
      <c r="DF110" s="1088"/>
      <c r="DG110" s="32">
        <f t="shared" si="336"/>
        <v>0</v>
      </c>
      <c r="DH110" s="1101"/>
      <c r="DI110" s="1088"/>
      <c r="DJ110" s="32">
        <f t="shared" si="337"/>
        <v>0</v>
      </c>
      <c r="DK110" s="1101"/>
      <c r="DL110" s="53"/>
      <c r="DM110" s="32">
        <f t="shared" si="338"/>
        <v>0</v>
      </c>
      <c r="DN110" s="1088"/>
      <c r="DO110" s="53"/>
      <c r="DP110" s="32">
        <f t="shared" si="339"/>
        <v>0</v>
      </c>
      <c r="DQ110" s="1088"/>
      <c r="DR110" s="53"/>
      <c r="DS110" s="32">
        <f t="shared" si="340"/>
        <v>0</v>
      </c>
      <c r="DT110" s="1088"/>
      <c r="DU110" s="53"/>
      <c r="DV110" s="32">
        <f t="shared" si="341"/>
        <v>0</v>
      </c>
      <c r="DW110" s="1088"/>
      <c r="DX110" s="53"/>
      <c r="DY110" s="32">
        <f t="shared" si="342"/>
        <v>0</v>
      </c>
      <c r="DZ110" s="1088"/>
      <c r="EA110" s="53"/>
      <c r="EB110" s="32">
        <f t="shared" si="343"/>
        <v>0</v>
      </c>
      <c r="EC110" s="1088"/>
      <c r="ED110" s="53"/>
      <c r="EE110" s="32">
        <f t="shared" si="344"/>
        <v>0</v>
      </c>
      <c r="EF110" s="1088"/>
      <c r="EG110" s="53"/>
      <c r="EH110" s="32">
        <f t="shared" si="345"/>
        <v>0</v>
      </c>
      <c r="EI110" s="1088"/>
      <c r="EJ110" s="53"/>
      <c r="EK110" s="32">
        <f t="shared" si="346"/>
        <v>0</v>
      </c>
      <c r="EL110" s="1088"/>
      <c r="EM110" s="53"/>
      <c r="EN110" s="32">
        <f t="shared" si="347"/>
        <v>0</v>
      </c>
      <c r="EO110" s="1088"/>
      <c r="EP110" s="53"/>
      <c r="EQ110" s="32">
        <f t="shared" si="348"/>
        <v>0</v>
      </c>
      <c r="ER110" s="1088"/>
      <c r="ES110" s="53"/>
      <c r="ET110" s="32">
        <f t="shared" si="349"/>
        <v>0</v>
      </c>
      <c r="EU110" s="1088"/>
      <c r="EV110" s="53"/>
      <c r="EW110" s="32">
        <f t="shared" si="350"/>
        <v>0</v>
      </c>
      <c r="EX110" s="1088"/>
      <c r="EY110" s="53"/>
      <c r="EZ110" s="32">
        <f t="shared" si="351"/>
        <v>0</v>
      </c>
      <c r="FA110" s="1088"/>
      <c r="FD110"/>
      <c r="FE110"/>
      <c r="FF110"/>
      <c r="FG110"/>
      <c r="FH110"/>
      <c r="FI110"/>
    </row>
    <row r="111" spans="2:165" s="33" customFormat="1" hidden="1" outlineLevel="2">
      <c r="B111" s="54" t="s">
        <v>307</v>
      </c>
      <c r="D111" s="2" t="s">
        <v>506</v>
      </c>
      <c r="E111" s="53"/>
      <c r="F111" s="32">
        <f t="shared" si="301"/>
        <v>0</v>
      </c>
      <c r="G111" s="53"/>
      <c r="H111" s="53"/>
      <c r="I111" s="32">
        <f t="shared" si="302"/>
        <v>0</v>
      </c>
      <c r="J111" s="53"/>
      <c r="K111" s="53"/>
      <c r="L111" s="32">
        <f t="shared" si="303"/>
        <v>0</v>
      </c>
      <c r="M111" s="53"/>
      <c r="N111" s="53"/>
      <c r="O111" s="32">
        <f t="shared" si="304"/>
        <v>0</v>
      </c>
      <c r="P111" s="53"/>
      <c r="Q111" s="53"/>
      <c r="R111" s="32">
        <f t="shared" si="305"/>
        <v>0</v>
      </c>
      <c r="S111" s="53"/>
      <c r="T111" s="53"/>
      <c r="U111" s="32">
        <f t="shared" si="306"/>
        <v>0</v>
      </c>
      <c r="V111" s="53"/>
      <c r="W111" s="53"/>
      <c r="X111" s="32">
        <f t="shared" si="307"/>
        <v>0</v>
      </c>
      <c r="Y111" s="53"/>
      <c r="Z111" s="53"/>
      <c r="AA111" s="32">
        <f t="shared" si="308"/>
        <v>0</v>
      </c>
      <c r="AB111" s="53"/>
      <c r="AC111" s="53"/>
      <c r="AD111" s="32">
        <f t="shared" si="309"/>
        <v>0</v>
      </c>
      <c r="AE111" s="53"/>
      <c r="AF111" s="53"/>
      <c r="AG111" s="32">
        <f t="shared" si="310"/>
        <v>0</v>
      </c>
      <c r="AH111" s="53"/>
      <c r="AI111" s="53"/>
      <c r="AJ111" s="32">
        <f t="shared" si="311"/>
        <v>0</v>
      </c>
      <c r="AK111" s="53"/>
      <c r="AL111" s="53"/>
      <c r="AM111" s="32">
        <f t="shared" si="312"/>
        <v>0</v>
      </c>
      <c r="AN111" s="53"/>
      <c r="AO111" s="53"/>
      <c r="AP111" s="32">
        <f t="shared" si="313"/>
        <v>0</v>
      </c>
      <c r="AQ111" s="53"/>
      <c r="AR111" s="53"/>
      <c r="AS111" s="32">
        <f t="shared" si="314"/>
        <v>0</v>
      </c>
      <c r="AT111" s="53"/>
      <c r="AU111" s="53"/>
      <c r="AV111" s="32">
        <f t="shared" si="315"/>
        <v>0</v>
      </c>
      <c r="AW111" s="53"/>
      <c r="AX111" s="53"/>
      <c r="AY111" s="32">
        <f t="shared" si="316"/>
        <v>0</v>
      </c>
      <c r="AZ111" s="53"/>
      <c r="BA111" s="53"/>
      <c r="BB111" s="32">
        <f t="shared" si="317"/>
        <v>0</v>
      </c>
      <c r="BC111" s="53"/>
      <c r="BD111" s="53"/>
      <c r="BE111" s="32">
        <f t="shared" si="318"/>
        <v>0</v>
      </c>
      <c r="BF111" s="1098"/>
      <c r="BG111" s="1088"/>
      <c r="BH111" s="32">
        <f t="shared" si="319"/>
        <v>0</v>
      </c>
      <c r="BI111" s="1098"/>
      <c r="BJ111" s="1088"/>
      <c r="BK111" s="32">
        <f t="shared" si="320"/>
        <v>0</v>
      </c>
      <c r="BL111" s="1098"/>
      <c r="BM111" s="1088"/>
      <c r="BN111" s="32">
        <f t="shared" si="321"/>
        <v>0</v>
      </c>
      <c r="BO111" s="1098"/>
      <c r="BP111" s="1088"/>
      <c r="BQ111" s="32">
        <f t="shared" si="322"/>
        <v>0</v>
      </c>
      <c r="BR111" s="1098"/>
      <c r="BS111" s="1088"/>
      <c r="BT111" s="32">
        <f t="shared" si="323"/>
        <v>0</v>
      </c>
      <c r="BU111" s="1098"/>
      <c r="BV111" s="1088"/>
      <c r="BW111" s="32">
        <f t="shared" si="324"/>
        <v>0</v>
      </c>
      <c r="BX111" s="1098"/>
      <c r="BY111" s="1088"/>
      <c r="BZ111" s="32">
        <f t="shared" si="325"/>
        <v>0</v>
      </c>
      <c r="CA111" s="1098"/>
      <c r="CB111" s="1088"/>
      <c r="CC111" s="32">
        <f t="shared" si="326"/>
        <v>0</v>
      </c>
      <c r="CD111" s="1098"/>
      <c r="CE111" s="1088"/>
      <c r="CF111" s="32">
        <f t="shared" si="327"/>
        <v>0</v>
      </c>
      <c r="CG111" s="1098"/>
      <c r="CH111" s="1088"/>
      <c r="CI111" s="32">
        <f t="shared" si="328"/>
        <v>0</v>
      </c>
      <c r="CJ111" s="1098"/>
      <c r="CK111" s="1088"/>
      <c r="CL111" s="32">
        <f t="shared" si="329"/>
        <v>0</v>
      </c>
      <c r="CM111" s="1098"/>
      <c r="CN111" s="1088"/>
      <c r="CO111" s="32">
        <f t="shared" si="330"/>
        <v>0</v>
      </c>
      <c r="CP111" s="1098"/>
      <c r="CQ111" s="1088"/>
      <c r="CR111" s="32">
        <f t="shared" si="331"/>
        <v>0</v>
      </c>
      <c r="CS111" s="1098"/>
      <c r="CT111" s="1088"/>
      <c r="CU111" s="32">
        <f t="shared" si="332"/>
        <v>0</v>
      </c>
      <c r="CV111" s="1098"/>
      <c r="CW111" s="1088"/>
      <c r="CX111" s="32">
        <f t="shared" si="333"/>
        <v>0</v>
      </c>
      <c r="CY111" s="1098"/>
      <c r="CZ111" s="1088"/>
      <c r="DA111" s="32">
        <f t="shared" si="334"/>
        <v>0</v>
      </c>
      <c r="DB111" s="1098"/>
      <c r="DC111" s="1088"/>
      <c r="DD111" s="32">
        <f t="shared" si="335"/>
        <v>0</v>
      </c>
      <c r="DE111" s="1101"/>
      <c r="DF111" s="1088"/>
      <c r="DG111" s="32">
        <f t="shared" si="336"/>
        <v>0</v>
      </c>
      <c r="DH111" s="1101"/>
      <c r="DI111" s="1088"/>
      <c r="DJ111" s="32">
        <f t="shared" si="337"/>
        <v>0</v>
      </c>
      <c r="DK111" s="1101"/>
      <c r="DL111" s="53"/>
      <c r="DM111" s="32">
        <f t="shared" si="338"/>
        <v>0</v>
      </c>
      <c r="DN111" s="1088"/>
      <c r="DO111" s="53"/>
      <c r="DP111" s="32">
        <f t="shared" si="339"/>
        <v>0</v>
      </c>
      <c r="DQ111" s="1088"/>
      <c r="DR111" s="53"/>
      <c r="DS111" s="32">
        <f t="shared" si="340"/>
        <v>0</v>
      </c>
      <c r="DT111" s="1088"/>
      <c r="DU111" s="53"/>
      <c r="DV111" s="32">
        <f t="shared" si="341"/>
        <v>0</v>
      </c>
      <c r="DW111" s="1088"/>
      <c r="DX111" s="53"/>
      <c r="DY111" s="32">
        <f t="shared" si="342"/>
        <v>0</v>
      </c>
      <c r="DZ111" s="1088"/>
      <c r="EA111" s="53"/>
      <c r="EB111" s="32">
        <f t="shared" si="343"/>
        <v>0</v>
      </c>
      <c r="EC111" s="1088"/>
      <c r="ED111" s="53"/>
      <c r="EE111" s="32">
        <f t="shared" si="344"/>
        <v>0</v>
      </c>
      <c r="EF111" s="1088"/>
      <c r="EG111" s="53"/>
      <c r="EH111" s="32">
        <f t="shared" si="345"/>
        <v>0</v>
      </c>
      <c r="EI111" s="1088"/>
      <c r="EJ111" s="53"/>
      <c r="EK111" s="32">
        <f t="shared" si="346"/>
        <v>0</v>
      </c>
      <c r="EL111" s="1088"/>
      <c r="EM111" s="53"/>
      <c r="EN111" s="32">
        <f t="shared" si="347"/>
        <v>0</v>
      </c>
      <c r="EO111" s="1088"/>
      <c r="EP111" s="53"/>
      <c r="EQ111" s="32">
        <f t="shared" si="348"/>
        <v>0</v>
      </c>
      <c r="ER111" s="1088"/>
      <c r="ES111" s="53"/>
      <c r="ET111" s="32">
        <f t="shared" si="349"/>
        <v>0</v>
      </c>
      <c r="EU111" s="1088"/>
      <c r="EV111" s="53"/>
      <c r="EW111" s="32">
        <f t="shared" si="350"/>
        <v>0</v>
      </c>
      <c r="EX111" s="1088"/>
      <c r="EY111" s="53"/>
      <c r="EZ111" s="32">
        <f t="shared" si="351"/>
        <v>0</v>
      </c>
      <c r="FA111" s="1088"/>
      <c r="FD111"/>
      <c r="FE111"/>
      <c r="FF111"/>
      <c r="FG111"/>
      <c r="FH111"/>
      <c r="FI111"/>
    </row>
    <row r="112" spans="2:165" s="33" customFormat="1" hidden="1" outlineLevel="2">
      <c r="B112" s="54" t="s">
        <v>545</v>
      </c>
      <c r="D112" s="2" t="s">
        <v>506</v>
      </c>
      <c r="E112" s="53"/>
      <c r="F112" s="32">
        <f t="shared" si="301"/>
        <v>0</v>
      </c>
      <c r="G112" s="53"/>
      <c r="H112" s="53"/>
      <c r="I112" s="32">
        <f t="shared" si="302"/>
        <v>0</v>
      </c>
      <c r="J112" s="53"/>
      <c r="K112" s="53"/>
      <c r="L112" s="32">
        <f t="shared" si="303"/>
        <v>0</v>
      </c>
      <c r="M112" s="53"/>
      <c r="N112" s="53"/>
      <c r="O112" s="32">
        <f t="shared" si="304"/>
        <v>0</v>
      </c>
      <c r="P112" s="53"/>
      <c r="Q112" s="53"/>
      <c r="R112" s="32">
        <f t="shared" si="305"/>
        <v>0</v>
      </c>
      <c r="S112" s="53"/>
      <c r="T112" s="53"/>
      <c r="U112" s="32">
        <f t="shared" si="306"/>
        <v>0</v>
      </c>
      <c r="V112" s="53"/>
      <c r="W112" s="53"/>
      <c r="X112" s="32">
        <f t="shared" si="307"/>
        <v>0</v>
      </c>
      <c r="Y112" s="53"/>
      <c r="Z112" s="53"/>
      <c r="AA112" s="32">
        <f t="shared" si="308"/>
        <v>0</v>
      </c>
      <c r="AB112" s="53"/>
      <c r="AC112" s="53"/>
      <c r="AD112" s="32">
        <f t="shared" si="309"/>
        <v>0</v>
      </c>
      <c r="AE112" s="53"/>
      <c r="AF112" s="53"/>
      <c r="AG112" s="32">
        <f t="shared" si="310"/>
        <v>0</v>
      </c>
      <c r="AH112" s="53"/>
      <c r="AI112" s="53"/>
      <c r="AJ112" s="32">
        <f t="shared" si="311"/>
        <v>0</v>
      </c>
      <c r="AK112" s="53"/>
      <c r="AL112" s="53"/>
      <c r="AM112" s="32">
        <f t="shared" si="312"/>
        <v>0</v>
      </c>
      <c r="AN112" s="53"/>
      <c r="AO112" s="53"/>
      <c r="AP112" s="32">
        <f t="shared" si="313"/>
        <v>0</v>
      </c>
      <c r="AQ112" s="53"/>
      <c r="AR112" s="53"/>
      <c r="AS112" s="32">
        <f t="shared" si="314"/>
        <v>0</v>
      </c>
      <c r="AT112" s="53"/>
      <c r="AU112" s="53"/>
      <c r="AV112" s="32">
        <f t="shared" si="315"/>
        <v>0</v>
      </c>
      <c r="AW112" s="53"/>
      <c r="AX112" s="53"/>
      <c r="AY112" s="32">
        <f t="shared" si="316"/>
        <v>0</v>
      </c>
      <c r="AZ112" s="53"/>
      <c r="BA112" s="53"/>
      <c r="BB112" s="32">
        <f t="shared" si="317"/>
        <v>0</v>
      </c>
      <c r="BC112" s="53"/>
      <c r="BD112" s="53"/>
      <c r="BE112" s="32">
        <f t="shared" si="318"/>
        <v>0</v>
      </c>
      <c r="BF112" s="1098"/>
      <c r="BG112" s="1088"/>
      <c r="BH112" s="32">
        <f t="shared" si="319"/>
        <v>0</v>
      </c>
      <c r="BI112" s="1098"/>
      <c r="BJ112" s="1088"/>
      <c r="BK112" s="32">
        <f t="shared" si="320"/>
        <v>0</v>
      </c>
      <c r="BL112" s="1098"/>
      <c r="BM112" s="1088"/>
      <c r="BN112" s="32">
        <f t="shared" si="321"/>
        <v>0</v>
      </c>
      <c r="BO112" s="1098"/>
      <c r="BP112" s="1088"/>
      <c r="BQ112" s="32">
        <f t="shared" si="322"/>
        <v>0</v>
      </c>
      <c r="BR112" s="1098"/>
      <c r="BS112" s="1088"/>
      <c r="BT112" s="32">
        <f t="shared" si="323"/>
        <v>0</v>
      </c>
      <c r="BU112" s="1098"/>
      <c r="BV112" s="1088"/>
      <c r="BW112" s="32">
        <f t="shared" si="324"/>
        <v>0</v>
      </c>
      <c r="BX112" s="1098"/>
      <c r="BY112" s="1088"/>
      <c r="BZ112" s="32">
        <f t="shared" si="325"/>
        <v>0</v>
      </c>
      <c r="CA112" s="1098"/>
      <c r="CB112" s="1088"/>
      <c r="CC112" s="32">
        <f t="shared" si="326"/>
        <v>0</v>
      </c>
      <c r="CD112" s="1098"/>
      <c r="CE112" s="1088"/>
      <c r="CF112" s="32">
        <f t="shared" si="327"/>
        <v>0</v>
      </c>
      <c r="CG112" s="1098"/>
      <c r="CH112" s="1088"/>
      <c r="CI112" s="32">
        <f t="shared" si="328"/>
        <v>0</v>
      </c>
      <c r="CJ112" s="1098"/>
      <c r="CK112" s="1088"/>
      <c r="CL112" s="32">
        <f t="shared" si="329"/>
        <v>0</v>
      </c>
      <c r="CM112" s="1098"/>
      <c r="CN112" s="1088"/>
      <c r="CO112" s="32">
        <f t="shared" si="330"/>
        <v>0</v>
      </c>
      <c r="CP112" s="1098"/>
      <c r="CQ112" s="1088"/>
      <c r="CR112" s="32">
        <f t="shared" si="331"/>
        <v>0</v>
      </c>
      <c r="CS112" s="1098"/>
      <c r="CT112" s="1088"/>
      <c r="CU112" s="32">
        <f t="shared" si="332"/>
        <v>0</v>
      </c>
      <c r="CV112" s="1098"/>
      <c r="CW112" s="1088"/>
      <c r="CX112" s="32">
        <f t="shared" si="333"/>
        <v>0</v>
      </c>
      <c r="CY112" s="1098"/>
      <c r="CZ112" s="1088"/>
      <c r="DA112" s="32">
        <f t="shared" si="334"/>
        <v>0</v>
      </c>
      <c r="DB112" s="1098"/>
      <c r="DC112" s="1088"/>
      <c r="DD112" s="32">
        <f t="shared" si="335"/>
        <v>0</v>
      </c>
      <c r="DE112" s="1101"/>
      <c r="DF112" s="1088"/>
      <c r="DG112" s="32">
        <f t="shared" si="336"/>
        <v>0</v>
      </c>
      <c r="DH112" s="1101"/>
      <c r="DI112" s="1088"/>
      <c r="DJ112" s="32">
        <f t="shared" si="337"/>
        <v>0</v>
      </c>
      <c r="DK112" s="1101"/>
      <c r="DL112" s="53"/>
      <c r="DM112" s="32">
        <f t="shared" si="338"/>
        <v>0</v>
      </c>
      <c r="DN112" s="1088"/>
      <c r="DO112" s="53"/>
      <c r="DP112" s="32">
        <f t="shared" si="339"/>
        <v>0</v>
      </c>
      <c r="DQ112" s="1088"/>
      <c r="DR112" s="53"/>
      <c r="DS112" s="32">
        <f t="shared" si="340"/>
        <v>0</v>
      </c>
      <c r="DT112" s="1088"/>
      <c r="DU112" s="53"/>
      <c r="DV112" s="32">
        <f t="shared" si="341"/>
        <v>0</v>
      </c>
      <c r="DW112" s="1088"/>
      <c r="DX112" s="53"/>
      <c r="DY112" s="32">
        <f t="shared" si="342"/>
        <v>0</v>
      </c>
      <c r="DZ112" s="1088"/>
      <c r="EA112" s="53"/>
      <c r="EB112" s="32">
        <f t="shared" si="343"/>
        <v>0</v>
      </c>
      <c r="EC112" s="1088"/>
      <c r="ED112" s="53"/>
      <c r="EE112" s="32">
        <f t="shared" si="344"/>
        <v>0</v>
      </c>
      <c r="EF112" s="1088"/>
      <c r="EG112" s="53"/>
      <c r="EH112" s="32">
        <f t="shared" si="345"/>
        <v>0</v>
      </c>
      <c r="EI112" s="1088"/>
      <c r="EJ112" s="53"/>
      <c r="EK112" s="32">
        <f t="shared" si="346"/>
        <v>0</v>
      </c>
      <c r="EL112" s="1088"/>
      <c r="EM112" s="53"/>
      <c r="EN112" s="32">
        <f t="shared" si="347"/>
        <v>0</v>
      </c>
      <c r="EO112" s="1088"/>
      <c r="EP112" s="53"/>
      <c r="EQ112" s="32">
        <f t="shared" si="348"/>
        <v>0</v>
      </c>
      <c r="ER112" s="1088"/>
      <c r="ES112" s="53"/>
      <c r="ET112" s="32">
        <f t="shared" si="349"/>
        <v>0</v>
      </c>
      <c r="EU112" s="1088"/>
      <c r="EV112" s="53"/>
      <c r="EW112" s="32">
        <f t="shared" si="350"/>
        <v>0</v>
      </c>
      <c r="EX112" s="1088"/>
      <c r="EY112" s="53"/>
      <c r="EZ112" s="32">
        <f t="shared" si="351"/>
        <v>0</v>
      </c>
      <c r="FA112" s="1088"/>
      <c r="FD112"/>
      <c r="FE112"/>
      <c r="FF112"/>
      <c r="FG112"/>
      <c r="FH112"/>
      <c r="FI112"/>
    </row>
    <row r="113" spans="2:169" s="33" customFormat="1" hidden="1" outlineLevel="2">
      <c r="B113" s="54" t="s">
        <v>499</v>
      </c>
      <c r="D113" s="2" t="s">
        <v>506</v>
      </c>
      <c r="E113" s="53"/>
      <c r="F113" s="32">
        <f t="shared" si="301"/>
        <v>0</v>
      </c>
      <c r="G113" s="53"/>
      <c r="H113" s="53"/>
      <c r="I113" s="32">
        <f t="shared" si="302"/>
        <v>0</v>
      </c>
      <c r="J113" s="53"/>
      <c r="K113" s="53"/>
      <c r="L113" s="32">
        <f t="shared" si="303"/>
        <v>0</v>
      </c>
      <c r="M113" s="53"/>
      <c r="N113" s="53"/>
      <c r="O113" s="32">
        <f t="shared" si="304"/>
        <v>0</v>
      </c>
      <c r="P113" s="53"/>
      <c r="Q113" s="53"/>
      <c r="R113" s="32">
        <f t="shared" si="305"/>
        <v>0</v>
      </c>
      <c r="S113" s="53"/>
      <c r="T113" s="53"/>
      <c r="U113" s="32">
        <f t="shared" si="306"/>
        <v>0</v>
      </c>
      <c r="V113" s="53"/>
      <c r="W113" s="53"/>
      <c r="X113" s="32">
        <f t="shared" si="307"/>
        <v>0</v>
      </c>
      <c r="Y113" s="53"/>
      <c r="Z113" s="53"/>
      <c r="AA113" s="32">
        <f t="shared" si="308"/>
        <v>0</v>
      </c>
      <c r="AB113" s="53"/>
      <c r="AC113" s="53"/>
      <c r="AD113" s="32">
        <f t="shared" si="309"/>
        <v>0</v>
      </c>
      <c r="AE113" s="53"/>
      <c r="AF113" s="53"/>
      <c r="AG113" s="32">
        <f t="shared" si="310"/>
        <v>0</v>
      </c>
      <c r="AH113" s="53"/>
      <c r="AI113" s="53"/>
      <c r="AJ113" s="32">
        <f t="shared" si="311"/>
        <v>0</v>
      </c>
      <c r="AK113" s="53"/>
      <c r="AL113" s="53"/>
      <c r="AM113" s="32">
        <f t="shared" si="312"/>
        <v>0</v>
      </c>
      <c r="AN113" s="53"/>
      <c r="AO113" s="53"/>
      <c r="AP113" s="32">
        <f t="shared" si="313"/>
        <v>0</v>
      </c>
      <c r="AQ113" s="53"/>
      <c r="AR113" s="53"/>
      <c r="AS113" s="32">
        <f t="shared" si="314"/>
        <v>0</v>
      </c>
      <c r="AT113" s="53"/>
      <c r="AU113" s="53"/>
      <c r="AV113" s="32">
        <f t="shared" si="315"/>
        <v>0</v>
      </c>
      <c r="AW113" s="53"/>
      <c r="AX113" s="53"/>
      <c r="AY113" s="32">
        <f t="shared" si="316"/>
        <v>0</v>
      </c>
      <c r="AZ113" s="53"/>
      <c r="BA113" s="53"/>
      <c r="BB113" s="32">
        <f t="shared" si="317"/>
        <v>0</v>
      </c>
      <c r="BC113" s="53"/>
      <c r="BD113" s="53"/>
      <c r="BE113" s="32">
        <f t="shared" si="318"/>
        <v>0</v>
      </c>
      <c r="BF113" s="1098"/>
      <c r="BG113" s="1088"/>
      <c r="BH113" s="32">
        <f t="shared" si="319"/>
        <v>0</v>
      </c>
      <c r="BI113" s="1098"/>
      <c r="BJ113" s="1088"/>
      <c r="BK113" s="32">
        <f t="shared" si="320"/>
        <v>0</v>
      </c>
      <c r="BL113" s="1098"/>
      <c r="BM113" s="1088"/>
      <c r="BN113" s="32">
        <f t="shared" si="321"/>
        <v>0</v>
      </c>
      <c r="BO113" s="1098"/>
      <c r="BP113" s="1088"/>
      <c r="BQ113" s="32">
        <f t="shared" si="322"/>
        <v>0</v>
      </c>
      <c r="BR113" s="1098"/>
      <c r="BS113" s="1088"/>
      <c r="BT113" s="32">
        <f t="shared" si="323"/>
        <v>0</v>
      </c>
      <c r="BU113" s="1098"/>
      <c r="BV113" s="1088"/>
      <c r="BW113" s="32">
        <f t="shared" si="324"/>
        <v>0</v>
      </c>
      <c r="BX113" s="1098"/>
      <c r="BY113" s="1088"/>
      <c r="BZ113" s="32">
        <f t="shared" si="325"/>
        <v>0</v>
      </c>
      <c r="CA113" s="1098"/>
      <c r="CB113" s="1088"/>
      <c r="CC113" s="32">
        <f t="shared" si="326"/>
        <v>0</v>
      </c>
      <c r="CD113" s="1098"/>
      <c r="CE113" s="1088"/>
      <c r="CF113" s="32">
        <f t="shared" si="327"/>
        <v>0</v>
      </c>
      <c r="CG113" s="1098"/>
      <c r="CH113" s="1088"/>
      <c r="CI113" s="32">
        <f t="shared" si="328"/>
        <v>0</v>
      </c>
      <c r="CJ113" s="1098"/>
      <c r="CK113" s="1088"/>
      <c r="CL113" s="32">
        <f t="shared" si="329"/>
        <v>0</v>
      </c>
      <c r="CM113" s="1098"/>
      <c r="CN113" s="1088"/>
      <c r="CO113" s="32">
        <f t="shared" si="330"/>
        <v>0</v>
      </c>
      <c r="CP113" s="1098"/>
      <c r="CQ113" s="1088"/>
      <c r="CR113" s="32">
        <f t="shared" si="331"/>
        <v>0</v>
      </c>
      <c r="CS113" s="1098"/>
      <c r="CT113" s="1088"/>
      <c r="CU113" s="32">
        <f t="shared" si="332"/>
        <v>0</v>
      </c>
      <c r="CV113" s="1098"/>
      <c r="CW113" s="1088"/>
      <c r="CX113" s="32">
        <f t="shared" si="333"/>
        <v>0</v>
      </c>
      <c r="CY113" s="1098"/>
      <c r="CZ113" s="1088"/>
      <c r="DA113" s="32">
        <f t="shared" si="334"/>
        <v>0</v>
      </c>
      <c r="DB113" s="1098"/>
      <c r="DC113" s="1088"/>
      <c r="DD113" s="32">
        <f t="shared" si="335"/>
        <v>0</v>
      </c>
      <c r="DE113" s="1101"/>
      <c r="DF113" s="1088"/>
      <c r="DG113" s="32">
        <f t="shared" si="336"/>
        <v>0</v>
      </c>
      <c r="DH113" s="1101"/>
      <c r="DI113" s="1088"/>
      <c r="DJ113" s="32">
        <f t="shared" si="337"/>
        <v>0</v>
      </c>
      <c r="DK113" s="1101"/>
      <c r="DL113" s="53"/>
      <c r="DM113" s="32">
        <f t="shared" si="338"/>
        <v>0</v>
      </c>
      <c r="DN113" s="1088"/>
      <c r="DO113" s="53"/>
      <c r="DP113" s="32">
        <f t="shared" si="339"/>
        <v>0</v>
      </c>
      <c r="DQ113" s="1088"/>
      <c r="DR113" s="53"/>
      <c r="DS113" s="32">
        <f t="shared" si="340"/>
        <v>0</v>
      </c>
      <c r="DT113" s="1088"/>
      <c r="DU113" s="53"/>
      <c r="DV113" s="32">
        <f t="shared" si="341"/>
        <v>0</v>
      </c>
      <c r="DW113" s="1088"/>
      <c r="DX113" s="53"/>
      <c r="DY113" s="32">
        <f t="shared" si="342"/>
        <v>0</v>
      </c>
      <c r="DZ113" s="1088"/>
      <c r="EA113" s="53"/>
      <c r="EB113" s="32">
        <f t="shared" si="343"/>
        <v>0</v>
      </c>
      <c r="EC113" s="1088"/>
      <c r="ED113" s="53"/>
      <c r="EE113" s="32">
        <f t="shared" si="344"/>
        <v>0</v>
      </c>
      <c r="EF113" s="1088"/>
      <c r="EG113" s="53"/>
      <c r="EH113" s="32">
        <f t="shared" si="345"/>
        <v>0</v>
      </c>
      <c r="EI113" s="1088"/>
      <c r="EJ113" s="53"/>
      <c r="EK113" s="32">
        <f t="shared" si="346"/>
        <v>0</v>
      </c>
      <c r="EL113" s="1088"/>
      <c r="EM113" s="53"/>
      <c r="EN113" s="32">
        <f t="shared" si="347"/>
        <v>0</v>
      </c>
      <c r="EO113" s="1088"/>
      <c r="EP113" s="53"/>
      <c r="EQ113" s="32">
        <f t="shared" si="348"/>
        <v>0</v>
      </c>
      <c r="ER113" s="1088"/>
      <c r="ES113" s="53"/>
      <c r="ET113" s="32">
        <f t="shared" si="349"/>
        <v>0</v>
      </c>
      <c r="EU113" s="1088"/>
      <c r="EV113" s="53"/>
      <c r="EW113" s="32">
        <f t="shared" si="350"/>
        <v>0</v>
      </c>
      <c r="EX113" s="1088"/>
      <c r="EY113" s="53"/>
      <c r="EZ113" s="32">
        <f t="shared" si="351"/>
        <v>0</v>
      </c>
      <c r="FA113" s="1088"/>
      <c r="FD113"/>
      <c r="FE113"/>
      <c r="FF113"/>
      <c r="FG113"/>
      <c r="FH113"/>
      <c r="FI113"/>
    </row>
    <row r="114" spans="2:169" s="33" customFormat="1" hidden="1" outlineLevel="2">
      <c r="B114" s="54" t="s">
        <v>545</v>
      </c>
      <c r="D114" s="2" t="s">
        <v>506</v>
      </c>
      <c r="E114" s="53"/>
      <c r="F114" s="32">
        <f t="shared" si="301"/>
        <v>0</v>
      </c>
      <c r="G114" s="53"/>
      <c r="H114" s="53"/>
      <c r="I114" s="32">
        <f t="shared" si="302"/>
        <v>0</v>
      </c>
      <c r="J114" s="53"/>
      <c r="K114" s="53"/>
      <c r="L114" s="32">
        <f t="shared" si="303"/>
        <v>0</v>
      </c>
      <c r="M114" s="53"/>
      <c r="N114" s="53"/>
      <c r="O114" s="32">
        <f t="shared" si="304"/>
        <v>0</v>
      </c>
      <c r="P114" s="53"/>
      <c r="Q114" s="53"/>
      <c r="R114" s="32">
        <f t="shared" si="305"/>
        <v>0</v>
      </c>
      <c r="S114" s="53"/>
      <c r="T114" s="53"/>
      <c r="U114" s="32">
        <f t="shared" si="306"/>
        <v>0</v>
      </c>
      <c r="V114" s="53"/>
      <c r="W114" s="53"/>
      <c r="X114" s="32">
        <f t="shared" si="307"/>
        <v>0</v>
      </c>
      <c r="Y114" s="53"/>
      <c r="Z114" s="53"/>
      <c r="AA114" s="32">
        <f t="shared" si="308"/>
        <v>0</v>
      </c>
      <c r="AB114" s="53"/>
      <c r="AC114" s="53"/>
      <c r="AD114" s="32">
        <f t="shared" si="309"/>
        <v>0</v>
      </c>
      <c r="AE114" s="53"/>
      <c r="AF114" s="53"/>
      <c r="AG114" s="32">
        <f t="shared" si="310"/>
        <v>0</v>
      </c>
      <c r="AH114" s="53"/>
      <c r="AI114" s="53"/>
      <c r="AJ114" s="32">
        <f t="shared" si="311"/>
        <v>0</v>
      </c>
      <c r="AK114" s="53"/>
      <c r="AL114" s="53"/>
      <c r="AM114" s="32">
        <f t="shared" si="312"/>
        <v>0</v>
      </c>
      <c r="AN114" s="53"/>
      <c r="AO114" s="53"/>
      <c r="AP114" s="32">
        <f t="shared" si="313"/>
        <v>0</v>
      </c>
      <c r="AQ114" s="53"/>
      <c r="AR114" s="53"/>
      <c r="AS114" s="32">
        <f t="shared" si="314"/>
        <v>0</v>
      </c>
      <c r="AT114" s="53"/>
      <c r="AU114" s="53"/>
      <c r="AV114" s="32">
        <f t="shared" si="315"/>
        <v>0</v>
      </c>
      <c r="AW114" s="53"/>
      <c r="AX114" s="53"/>
      <c r="AY114" s="32">
        <f t="shared" si="316"/>
        <v>0</v>
      </c>
      <c r="AZ114" s="53"/>
      <c r="BA114" s="53"/>
      <c r="BB114" s="32">
        <f t="shared" si="317"/>
        <v>0</v>
      </c>
      <c r="BC114" s="53"/>
      <c r="BD114" s="53"/>
      <c r="BE114" s="32">
        <f t="shared" si="318"/>
        <v>0</v>
      </c>
      <c r="BF114" s="1098"/>
      <c r="BG114" s="1088"/>
      <c r="BH114" s="32">
        <f t="shared" si="319"/>
        <v>0</v>
      </c>
      <c r="BI114" s="1098"/>
      <c r="BJ114" s="1088"/>
      <c r="BK114" s="32">
        <f t="shared" si="320"/>
        <v>0</v>
      </c>
      <c r="BL114" s="1098"/>
      <c r="BM114" s="1088"/>
      <c r="BN114" s="32">
        <f t="shared" si="321"/>
        <v>0</v>
      </c>
      <c r="BO114" s="1098"/>
      <c r="BP114" s="1088"/>
      <c r="BQ114" s="32">
        <f t="shared" si="322"/>
        <v>0</v>
      </c>
      <c r="BR114" s="1098"/>
      <c r="BS114" s="1088"/>
      <c r="BT114" s="32">
        <f t="shared" si="323"/>
        <v>0</v>
      </c>
      <c r="BU114" s="1098"/>
      <c r="BV114" s="1088"/>
      <c r="BW114" s="32">
        <f t="shared" si="324"/>
        <v>0</v>
      </c>
      <c r="BX114" s="1098"/>
      <c r="BY114" s="1088"/>
      <c r="BZ114" s="32">
        <f t="shared" si="325"/>
        <v>0</v>
      </c>
      <c r="CA114" s="1098"/>
      <c r="CB114" s="1088"/>
      <c r="CC114" s="32">
        <f t="shared" si="326"/>
        <v>0</v>
      </c>
      <c r="CD114" s="1098"/>
      <c r="CE114" s="1088"/>
      <c r="CF114" s="32">
        <f t="shared" si="327"/>
        <v>0</v>
      </c>
      <c r="CG114" s="1098"/>
      <c r="CH114" s="1088"/>
      <c r="CI114" s="32">
        <f t="shared" si="328"/>
        <v>0</v>
      </c>
      <c r="CJ114" s="1098"/>
      <c r="CK114" s="1088"/>
      <c r="CL114" s="32">
        <f t="shared" si="329"/>
        <v>0</v>
      </c>
      <c r="CM114" s="1098"/>
      <c r="CN114" s="1088"/>
      <c r="CO114" s="32">
        <f t="shared" si="330"/>
        <v>0</v>
      </c>
      <c r="CP114" s="1098"/>
      <c r="CQ114" s="1088"/>
      <c r="CR114" s="32">
        <f t="shared" si="331"/>
        <v>0</v>
      </c>
      <c r="CS114" s="1098"/>
      <c r="CT114" s="1088"/>
      <c r="CU114" s="32">
        <f t="shared" si="332"/>
        <v>0</v>
      </c>
      <c r="CV114" s="1098"/>
      <c r="CW114" s="1088"/>
      <c r="CX114" s="32">
        <f t="shared" si="333"/>
        <v>0</v>
      </c>
      <c r="CY114" s="1098"/>
      <c r="CZ114" s="1088"/>
      <c r="DA114" s="32">
        <f t="shared" si="334"/>
        <v>0</v>
      </c>
      <c r="DB114" s="1098"/>
      <c r="DC114" s="1088"/>
      <c r="DD114" s="32">
        <f t="shared" si="335"/>
        <v>0</v>
      </c>
      <c r="DE114" s="1101"/>
      <c r="DF114" s="1088"/>
      <c r="DG114" s="32">
        <f t="shared" si="336"/>
        <v>0</v>
      </c>
      <c r="DH114" s="1101"/>
      <c r="DI114" s="1088"/>
      <c r="DJ114" s="32">
        <f t="shared" si="337"/>
        <v>0</v>
      </c>
      <c r="DK114" s="1101"/>
      <c r="DL114" s="53"/>
      <c r="DM114" s="32">
        <f t="shared" si="338"/>
        <v>0</v>
      </c>
      <c r="DN114" s="1088"/>
      <c r="DO114" s="53"/>
      <c r="DP114" s="32">
        <f t="shared" si="339"/>
        <v>0</v>
      </c>
      <c r="DQ114" s="1088"/>
      <c r="DR114" s="53"/>
      <c r="DS114" s="32">
        <f t="shared" si="340"/>
        <v>0</v>
      </c>
      <c r="DT114" s="1088"/>
      <c r="DU114" s="53"/>
      <c r="DV114" s="32">
        <f t="shared" si="341"/>
        <v>0</v>
      </c>
      <c r="DW114" s="1088"/>
      <c r="DX114" s="53"/>
      <c r="DY114" s="32">
        <f t="shared" si="342"/>
        <v>0</v>
      </c>
      <c r="DZ114" s="1088"/>
      <c r="EA114" s="53"/>
      <c r="EB114" s="32">
        <f t="shared" si="343"/>
        <v>0</v>
      </c>
      <c r="EC114" s="1088"/>
      <c r="ED114" s="53"/>
      <c r="EE114" s="32">
        <f t="shared" si="344"/>
        <v>0</v>
      </c>
      <c r="EF114" s="1088"/>
      <c r="EG114" s="53"/>
      <c r="EH114" s="32">
        <f t="shared" si="345"/>
        <v>0</v>
      </c>
      <c r="EI114" s="1088"/>
      <c r="EJ114" s="53"/>
      <c r="EK114" s="32">
        <f t="shared" si="346"/>
        <v>0</v>
      </c>
      <c r="EL114" s="1088"/>
      <c r="EM114" s="53"/>
      <c r="EN114" s="32">
        <f t="shared" si="347"/>
        <v>0</v>
      </c>
      <c r="EO114" s="1088"/>
      <c r="EP114" s="53"/>
      <c r="EQ114" s="32">
        <f t="shared" si="348"/>
        <v>0</v>
      </c>
      <c r="ER114" s="1088"/>
      <c r="ES114" s="53"/>
      <c r="ET114" s="32">
        <f t="shared" si="349"/>
        <v>0</v>
      </c>
      <c r="EU114" s="1088"/>
      <c r="EV114" s="53"/>
      <c r="EW114" s="32">
        <f t="shared" si="350"/>
        <v>0</v>
      </c>
      <c r="EX114" s="1088"/>
      <c r="EY114" s="53"/>
      <c r="EZ114" s="32">
        <f t="shared" si="351"/>
        <v>0</v>
      </c>
      <c r="FA114" s="1088"/>
      <c r="FD114"/>
      <c r="FE114"/>
      <c r="FF114"/>
      <c r="FG114"/>
      <c r="FH114"/>
      <c r="FI114"/>
    </row>
    <row r="115" spans="2:169" s="33" customFormat="1" outlineLevel="1" collapsed="1">
      <c r="B115" s="1730" t="s">
        <v>500</v>
      </c>
      <c r="C115" s="1731"/>
      <c r="D115" s="1732" t="s">
        <v>506</v>
      </c>
      <c r="E115" s="1157"/>
      <c r="F115" s="1421">
        <f t="shared" si="301"/>
        <v>0</v>
      </c>
      <c r="G115" s="1157"/>
      <c r="H115" s="1157"/>
      <c r="I115" s="1421">
        <f t="shared" si="302"/>
        <v>0</v>
      </c>
      <c r="J115" s="1157"/>
      <c r="K115" s="1157"/>
      <c r="L115" s="1421">
        <f t="shared" si="303"/>
        <v>0</v>
      </c>
      <c r="M115" s="1157"/>
      <c r="N115" s="1157"/>
      <c r="O115" s="1421">
        <f t="shared" si="304"/>
        <v>0</v>
      </c>
      <c r="P115" s="1157"/>
      <c r="Q115" s="1157"/>
      <c r="R115" s="1421">
        <f t="shared" si="305"/>
        <v>0</v>
      </c>
      <c r="S115" s="1157"/>
      <c r="T115" s="1157"/>
      <c r="U115" s="1421">
        <f t="shared" si="306"/>
        <v>0</v>
      </c>
      <c r="V115" s="1157"/>
      <c r="W115" s="1157"/>
      <c r="X115" s="1421">
        <f t="shared" si="307"/>
        <v>0</v>
      </c>
      <c r="Y115" s="1157"/>
      <c r="Z115" s="1157"/>
      <c r="AA115" s="1421">
        <f t="shared" si="308"/>
        <v>0</v>
      </c>
      <c r="AB115" s="1157"/>
      <c r="AC115" s="1157"/>
      <c r="AD115" s="1421">
        <f t="shared" si="309"/>
        <v>0</v>
      </c>
      <c r="AE115" s="1157"/>
      <c r="AF115" s="1157"/>
      <c r="AG115" s="1421">
        <f t="shared" si="310"/>
        <v>0</v>
      </c>
      <c r="AH115" s="1157"/>
      <c r="AI115" s="1157"/>
      <c r="AJ115" s="1421">
        <f t="shared" si="311"/>
        <v>0</v>
      </c>
      <c r="AK115" s="1157"/>
      <c r="AL115" s="1157"/>
      <c r="AM115" s="1421">
        <f t="shared" si="312"/>
        <v>0</v>
      </c>
      <c r="AN115" s="1157"/>
      <c r="AO115" s="1157"/>
      <c r="AP115" s="1421">
        <f t="shared" si="313"/>
        <v>0</v>
      </c>
      <c r="AQ115" s="1157"/>
      <c r="AR115" s="1157"/>
      <c r="AS115" s="1421">
        <f t="shared" si="314"/>
        <v>0</v>
      </c>
      <c r="AT115" s="1157"/>
      <c r="AU115" s="1157"/>
      <c r="AV115" s="1421">
        <f t="shared" si="315"/>
        <v>0</v>
      </c>
      <c r="AW115" s="1157"/>
      <c r="AX115" s="1157"/>
      <c r="AY115" s="1421">
        <f t="shared" si="316"/>
        <v>0</v>
      </c>
      <c r="AZ115" s="1157"/>
      <c r="BA115" s="1157"/>
      <c r="BB115" s="1421">
        <f t="shared" si="317"/>
        <v>0</v>
      </c>
      <c r="BC115" s="1157"/>
      <c r="BD115" s="1157"/>
      <c r="BE115" s="1421">
        <f t="shared" si="318"/>
        <v>0</v>
      </c>
      <c r="BF115" s="1137"/>
      <c r="BG115" s="1117"/>
      <c r="BH115" s="1421">
        <f t="shared" si="319"/>
        <v>0</v>
      </c>
      <c r="BI115" s="1137"/>
      <c r="BJ115" s="1117"/>
      <c r="BK115" s="1421">
        <f t="shared" si="320"/>
        <v>0</v>
      </c>
      <c r="BL115" s="1137"/>
      <c r="BM115" s="1117"/>
      <c r="BN115" s="1421">
        <f t="shared" si="321"/>
        <v>0</v>
      </c>
      <c r="BO115" s="1137"/>
      <c r="BP115" s="1117"/>
      <c r="BQ115" s="1421">
        <f t="shared" si="322"/>
        <v>0</v>
      </c>
      <c r="BR115" s="1137"/>
      <c r="BS115" s="1117"/>
      <c r="BT115" s="1421">
        <f t="shared" si="323"/>
        <v>0</v>
      </c>
      <c r="BU115" s="1137"/>
      <c r="BV115" s="1117"/>
      <c r="BW115" s="1421">
        <f t="shared" si="324"/>
        <v>0</v>
      </c>
      <c r="BX115" s="1137"/>
      <c r="BY115" s="1117"/>
      <c r="BZ115" s="1421">
        <f t="shared" si="325"/>
        <v>0</v>
      </c>
      <c r="CA115" s="1137"/>
      <c r="CB115" s="1117"/>
      <c r="CC115" s="1421">
        <f t="shared" si="326"/>
        <v>0</v>
      </c>
      <c r="CD115" s="1137"/>
      <c r="CE115" s="1117"/>
      <c r="CF115" s="1421">
        <f t="shared" si="327"/>
        <v>0</v>
      </c>
      <c r="CG115" s="1137"/>
      <c r="CH115" s="1117"/>
      <c r="CI115" s="1421">
        <f t="shared" si="328"/>
        <v>0</v>
      </c>
      <c r="CJ115" s="1137"/>
      <c r="CK115" s="1117"/>
      <c r="CL115" s="1421">
        <f t="shared" si="329"/>
        <v>0</v>
      </c>
      <c r="CM115" s="1137"/>
      <c r="CN115" s="1117"/>
      <c r="CO115" s="1421">
        <f t="shared" si="330"/>
        <v>0</v>
      </c>
      <c r="CP115" s="1137"/>
      <c r="CQ115" s="1117"/>
      <c r="CR115" s="1421">
        <f t="shared" si="331"/>
        <v>0</v>
      </c>
      <c r="CS115" s="1137"/>
      <c r="CT115" s="1117"/>
      <c r="CU115" s="1421">
        <f t="shared" si="332"/>
        <v>0</v>
      </c>
      <c r="CV115" s="1137"/>
      <c r="CW115" s="1117"/>
      <c r="CX115" s="1421">
        <f t="shared" si="333"/>
        <v>0</v>
      </c>
      <c r="CY115" s="1137"/>
      <c r="CZ115" s="1117"/>
      <c r="DA115" s="1421">
        <f t="shared" si="334"/>
        <v>0</v>
      </c>
      <c r="DB115" s="1137"/>
      <c r="DC115" s="1117"/>
      <c r="DD115" s="1421">
        <f t="shared" si="335"/>
        <v>0</v>
      </c>
      <c r="DE115" s="1139"/>
      <c r="DF115" s="1117"/>
      <c r="DG115" s="1421">
        <f t="shared" si="336"/>
        <v>0</v>
      </c>
      <c r="DH115" s="1139"/>
      <c r="DI115" s="1117"/>
      <c r="DJ115" s="1421">
        <f t="shared" si="337"/>
        <v>0</v>
      </c>
      <c r="DK115" s="1139"/>
      <c r="DL115" s="1157"/>
      <c r="DM115" s="1421">
        <f t="shared" si="338"/>
        <v>0</v>
      </c>
      <c r="DN115" s="1117"/>
      <c r="DO115" s="1157"/>
      <c r="DP115" s="1421">
        <f t="shared" si="339"/>
        <v>0</v>
      </c>
      <c r="DQ115" s="1117"/>
      <c r="DR115" s="1157"/>
      <c r="DS115" s="1421">
        <f t="shared" si="340"/>
        <v>0</v>
      </c>
      <c r="DT115" s="1117"/>
      <c r="DU115" s="1157"/>
      <c r="DV115" s="1421">
        <f t="shared" si="341"/>
        <v>0</v>
      </c>
      <c r="DW115" s="1117"/>
      <c r="DX115" s="1157"/>
      <c r="DY115" s="1421">
        <f t="shared" si="342"/>
        <v>0</v>
      </c>
      <c r="DZ115" s="1117"/>
      <c r="EA115" s="1157"/>
      <c r="EB115" s="1421">
        <f t="shared" si="343"/>
        <v>0</v>
      </c>
      <c r="EC115" s="1117"/>
      <c r="ED115" s="1157"/>
      <c r="EE115" s="1421">
        <f t="shared" si="344"/>
        <v>0</v>
      </c>
      <c r="EF115" s="1117"/>
      <c r="EG115" s="1157"/>
      <c r="EH115" s="1421">
        <f t="shared" si="345"/>
        <v>0</v>
      </c>
      <c r="EI115" s="1117"/>
      <c r="EJ115" s="1157"/>
      <c r="EK115" s="1421">
        <f t="shared" si="346"/>
        <v>0</v>
      </c>
      <c r="EL115" s="1117"/>
      <c r="EM115" s="1157"/>
      <c r="EN115" s="1421">
        <f t="shared" si="347"/>
        <v>0</v>
      </c>
      <c r="EO115" s="1117"/>
      <c r="EP115" s="1157"/>
      <c r="EQ115" s="1421">
        <f t="shared" si="348"/>
        <v>0</v>
      </c>
      <c r="ER115" s="1117"/>
      <c r="ES115" s="1157"/>
      <c r="ET115" s="1421">
        <f t="shared" si="349"/>
        <v>0</v>
      </c>
      <c r="EU115" s="1117"/>
      <c r="EV115" s="1157"/>
      <c r="EW115" s="1421">
        <f t="shared" si="350"/>
        <v>0</v>
      </c>
      <c r="EX115" s="1117"/>
      <c r="EY115" s="1157"/>
      <c r="EZ115" s="1421">
        <f t="shared" si="351"/>
        <v>0</v>
      </c>
      <c r="FA115" s="1117"/>
      <c r="FD115"/>
      <c r="FE115"/>
      <c r="FF115"/>
      <c r="FG115"/>
      <c r="FH115"/>
      <c r="FI115"/>
    </row>
    <row r="116" spans="2:169" s="61" customFormat="1" outlineLevel="1">
      <c r="B116" s="60" t="s">
        <v>501</v>
      </c>
      <c r="D116" s="1658" t="s">
        <v>506</v>
      </c>
      <c r="E116" s="1495">
        <f>+E85+E93+E94+E115</f>
        <v>0</v>
      </c>
      <c r="F116" s="1272">
        <f t="shared" si="301"/>
        <v>0</v>
      </c>
      <c r="G116" s="1495">
        <f>+G85+G93+G94+G115</f>
        <v>0</v>
      </c>
      <c r="H116" s="1495">
        <f>+H85+H93+H94+H115</f>
        <v>0</v>
      </c>
      <c r="I116" s="1272">
        <f t="shared" si="302"/>
        <v>0</v>
      </c>
      <c r="J116" s="1495">
        <f>+J85+J93+J94+J115</f>
        <v>0</v>
      </c>
      <c r="K116" s="1495">
        <f>+K85+K93+K94+K115</f>
        <v>0</v>
      </c>
      <c r="L116" s="1272">
        <f t="shared" si="303"/>
        <v>0</v>
      </c>
      <c r="M116" s="1495">
        <f>+M85+M93+M94+M115</f>
        <v>0</v>
      </c>
      <c r="N116" s="1495">
        <f>+N85+N93+N94+N115</f>
        <v>0</v>
      </c>
      <c r="O116" s="1272">
        <f t="shared" si="304"/>
        <v>0</v>
      </c>
      <c r="P116" s="1495">
        <f>+P85+P93+P94+P115</f>
        <v>0</v>
      </c>
      <c r="Q116" s="1495">
        <f>+Q85+Q93+Q94+Q115</f>
        <v>0</v>
      </c>
      <c r="R116" s="1272">
        <f t="shared" si="305"/>
        <v>0</v>
      </c>
      <c r="S116" s="1495">
        <f>+S85+S93+S94+S115</f>
        <v>0</v>
      </c>
      <c r="T116" s="1495">
        <f>+T85+T93+T94+T115</f>
        <v>0</v>
      </c>
      <c r="U116" s="1272">
        <f t="shared" si="306"/>
        <v>0</v>
      </c>
      <c r="V116" s="1495">
        <f>+V85+V93+V94+V115</f>
        <v>0</v>
      </c>
      <c r="W116" s="1495">
        <f>+W85+W93+W94+W115</f>
        <v>0</v>
      </c>
      <c r="X116" s="1272">
        <f t="shared" si="307"/>
        <v>0</v>
      </c>
      <c r="Y116" s="1495">
        <f>+Y85+Y93+Y94+Y115</f>
        <v>0</v>
      </c>
      <c r="Z116" s="1495">
        <f>+Z85+Z93+Z94+Z115</f>
        <v>0</v>
      </c>
      <c r="AA116" s="1272">
        <f t="shared" si="308"/>
        <v>0</v>
      </c>
      <c r="AB116" s="1495">
        <f>+AB85+AB93+AB94+AB115</f>
        <v>0</v>
      </c>
      <c r="AC116" s="1495">
        <f>+AC85+AC93+AC94+AC115</f>
        <v>0</v>
      </c>
      <c r="AD116" s="1272">
        <f t="shared" si="309"/>
        <v>0</v>
      </c>
      <c r="AE116" s="1495">
        <f>+AE85+AE93+AE94+AE115</f>
        <v>0</v>
      </c>
      <c r="AF116" s="1495">
        <f>+AF85+AF93+AF94+AF115</f>
        <v>0</v>
      </c>
      <c r="AG116" s="1272">
        <f t="shared" si="310"/>
        <v>0</v>
      </c>
      <c r="AH116" s="1495">
        <f>+AH85+AH93+AH94+AH115</f>
        <v>0</v>
      </c>
      <c r="AI116" s="1495">
        <f>+AI85+AI93+AI94+AI115</f>
        <v>0</v>
      </c>
      <c r="AJ116" s="1272">
        <f t="shared" si="311"/>
        <v>0</v>
      </c>
      <c r="AK116" s="1495">
        <f>+AK85+AK93+AK94+AK115</f>
        <v>0</v>
      </c>
      <c r="AL116" s="1495">
        <f>+AL85+AL93+AL94+AL115</f>
        <v>0</v>
      </c>
      <c r="AM116" s="1272">
        <f t="shared" si="312"/>
        <v>28.995000000000005</v>
      </c>
      <c r="AN116" s="1495">
        <f>+AN85+AN93+AN94+AN115</f>
        <v>28.995000000000005</v>
      </c>
      <c r="AO116" s="1495">
        <f>+AO85+AO93+AO94+AO115</f>
        <v>12.447000000000001</v>
      </c>
      <c r="AP116" s="1272">
        <f t="shared" si="313"/>
        <v>22.704999999999998</v>
      </c>
      <c r="AQ116" s="1495">
        <f>+AQ85+AQ93+AQ94+AQ115</f>
        <v>35.152000000000001</v>
      </c>
      <c r="AR116" s="1495">
        <f>+AR85+AR93+AR94+AR115</f>
        <v>17.733999999999998</v>
      </c>
      <c r="AS116" s="1272">
        <f t="shared" si="314"/>
        <v>23.170000000000005</v>
      </c>
      <c r="AT116" s="1495">
        <f>+AT85+AT93+AT94+AT115</f>
        <v>40.904000000000003</v>
      </c>
      <c r="AU116" s="1495">
        <f>+AU85+AU93+AU94+AU115</f>
        <v>16.207999999999998</v>
      </c>
      <c r="AV116" s="1272">
        <f t="shared" si="315"/>
        <v>27.911000000000001</v>
      </c>
      <c r="AW116" s="1495">
        <f>+AW85+AW93+AW94+AW115</f>
        <v>44.119</v>
      </c>
      <c r="AX116" s="1495">
        <f>+AX85+AX93+AX94+AX115</f>
        <v>18.61</v>
      </c>
      <c r="AY116" s="1272">
        <f t="shared" si="316"/>
        <v>35.792000000000002</v>
      </c>
      <c r="AZ116" s="1495">
        <f>+AZ85+AZ93+AZ94+AZ115</f>
        <v>54.402000000000001</v>
      </c>
      <c r="BA116" s="1495">
        <f>+BA85+BA93+BA94+BA115</f>
        <v>27.253000000000004</v>
      </c>
      <c r="BB116" s="1272">
        <f t="shared" si="317"/>
        <v>50.988000000000014</v>
      </c>
      <c r="BC116" s="1721">
        <f>+BC85+BC93+BC94+BC115</f>
        <v>78.241000000000014</v>
      </c>
      <c r="BD116" s="1495">
        <f>+BD85+BD93+BD94+BD115</f>
        <v>57.541000000000004</v>
      </c>
      <c r="BE116" s="1272">
        <f t="shared" si="318"/>
        <v>66.266999999999996</v>
      </c>
      <c r="BF116" s="1495">
        <f>+BF85+BF93+BF94+BF115</f>
        <v>123.80799999999999</v>
      </c>
      <c r="BG116" s="1495">
        <f>+BG85+BG93+BG94+BG115</f>
        <v>40.1</v>
      </c>
      <c r="BH116" s="1272">
        <f t="shared" si="319"/>
        <v>30.323</v>
      </c>
      <c r="BI116" s="1495">
        <f>+BI85+BI93+BI94+BI115</f>
        <v>70.423000000000002</v>
      </c>
      <c r="BJ116" s="1495">
        <f>+BJ85+BJ93+BJ94+BJ115</f>
        <v>25.382000000000001</v>
      </c>
      <c r="BK116" s="1272"/>
      <c r="BL116" s="1495"/>
      <c r="BM116" s="1495">
        <f>+BM85+BM93+BM94+BM115</f>
        <v>160.11100000000002</v>
      </c>
      <c r="BN116" s="1272">
        <f t="shared" si="321"/>
        <v>386.40700000000004</v>
      </c>
      <c r="BO116" s="1495">
        <f>+BO85+BO93+BO94+BO115</f>
        <v>546.51800000000003</v>
      </c>
      <c r="BP116" s="1495">
        <f>+BP85+BP93+BP94+BP115</f>
        <v>176.423</v>
      </c>
      <c r="BQ116" s="1272">
        <f t="shared" si="322"/>
        <v>-59.06599999999996</v>
      </c>
      <c r="BR116" s="1495">
        <f>+BR85+BR93+BR94+BR115</f>
        <v>117.35700000000004</v>
      </c>
      <c r="BS116" s="1495">
        <f>+BS85+BS93+BS94+BS115</f>
        <v>257.28599999999994</v>
      </c>
      <c r="BT116" s="1272">
        <f t="shared" si="323"/>
        <v>282.01300000000003</v>
      </c>
      <c r="BU116" s="1495">
        <f>+BU85+BU93+BU94+BU115</f>
        <v>539.29899999999998</v>
      </c>
      <c r="BV116" s="1495">
        <f>+BV85+BV93+BV94+BV115</f>
        <v>348.72799999999995</v>
      </c>
      <c r="BW116" s="1272">
        <f t="shared" si="324"/>
        <v>353.07400000000007</v>
      </c>
      <c r="BX116" s="1495">
        <f>+BX85+BX93+BX94+BX115</f>
        <v>701.80200000000002</v>
      </c>
      <c r="BY116" s="1495">
        <f>+BY85+BY93+BY94+BY115</f>
        <v>501.85699999999997</v>
      </c>
      <c r="BZ116" s="1272">
        <f t="shared" si="325"/>
        <v>518.03700000000003</v>
      </c>
      <c r="CA116" s="1495">
        <f>+CA85+CA93+CA94+CA115</f>
        <v>1019.894</v>
      </c>
      <c r="CB116" s="1495">
        <f>+CB85+CB93+CB94+CB115</f>
        <v>617.39400000000001</v>
      </c>
      <c r="CC116" s="1272">
        <f t="shared" si="326"/>
        <v>435.50699999999983</v>
      </c>
      <c r="CD116" s="1495">
        <f>+CD85+CD93+CD94+CD115</f>
        <v>1052.9009999999998</v>
      </c>
      <c r="CE116" s="1495">
        <f>+CE85+CE93+CE94+CE115</f>
        <v>500.21500000000003</v>
      </c>
      <c r="CF116" s="1272">
        <f t="shared" si="327"/>
        <v>440.38599999999985</v>
      </c>
      <c r="CG116" s="1495">
        <f>+CG85+CG93+CG94+CG115</f>
        <v>940.60099999999989</v>
      </c>
      <c r="CH116" s="1495">
        <f>+CH85+CH93+CH94+CH115</f>
        <v>504.29999999999995</v>
      </c>
      <c r="CI116" s="1272">
        <f t="shared" si="328"/>
        <v>519.6</v>
      </c>
      <c r="CJ116" s="1495">
        <f>+CJ85+CJ93+CJ94+CJ115</f>
        <v>1023.9</v>
      </c>
      <c r="CK116" s="1495">
        <f>+CK85+CK93+CK94+CK115</f>
        <v>624.59999999999991</v>
      </c>
      <c r="CL116" s="1272">
        <f t="shared" si="329"/>
        <v>591.70000000000027</v>
      </c>
      <c r="CM116" s="1495">
        <f>+CM85+CM93+CM94+CM115</f>
        <v>1216.3000000000002</v>
      </c>
      <c r="CN116" s="1495">
        <f>+CN85+CN93+CN94+CN115</f>
        <v>645.70000000000005</v>
      </c>
      <c r="CO116" s="1272">
        <f t="shared" si="330"/>
        <v>661.3</v>
      </c>
      <c r="CP116" s="1495">
        <f>+CP85+CP93+CP94+CP115</f>
        <v>1307</v>
      </c>
      <c r="CQ116" s="1495">
        <f>+CQ85+CQ93+CQ94+CQ115</f>
        <v>692.2</v>
      </c>
      <c r="CR116" s="1272">
        <f t="shared" si="331"/>
        <v>686.8</v>
      </c>
      <c r="CS116" s="1495">
        <f>+CS85+CS93+CS94+CS115</f>
        <v>1379</v>
      </c>
      <c r="CT116" s="1495">
        <f>+CT85+CT93+CT94+CT115</f>
        <v>718.80000000000007</v>
      </c>
      <c r="CU116" s="1272">
        <f t="shared" si="332"/>
        <v>523.6</v>
      </c>
      <c r="CV116" s="1495">
        <f>+CV85+CV93+CV94+CV115</f>
        <v>1242.4000000000001</v>
      </c>
      <c r="CW116" s="1495">
        <f>+CW85+CW93+CW94+CW115</f>
        <v>805.49999999999989</v>
      </c>
      <c r="CX116" s="1272">
        <f t="shared" si="333"/>
        <v>531.91454610013022</v>
      </c>
      <c r="CY116" s="1495">
        <f>+CY85+CY93+CY94+CY115</f>
        <v>1337.4145461001301</v>
      </c>
      <c r="CZ116" s="1495">
        <f>+CZ85+CZ93+CZ94+CZ115</f>
        <v>1086.3</v>
      </c>
      <c r="DA116" s="1272">
        <f t="shared" si="334"/>
        <v>642.59999999999991</v>
      </c>
      <c r="DB116" s="1495">
        <f>+DB85+DB93+DB94+DB115</f>
        <v>1728.8999999999999</v>
      </c>
      <c r="DC116" s="1495">
        <f>+DC85+DC93+DC94+DC115</f>
        <v>1160.7</v>
      </c>
      <c r="DD116" s="1272">
        <f t="shared" si="335"/>
        <v>757.99999999999977</v>
      </c>
      <c r="DE116" s="1496">
        <f>+DE85+DE93+DE94+DE115</f>
        <v>1918.6999999999998</v>
      </c>
      <c r="DF116" s="1495">
        <f>+DF85+DF93+DF94+DF115</f>
        <v>1248</v>
      </c>
      <c r="DG116" s="1272">
        <f t="shared" si="336"/>
        <v>854.5</v>
      </c>
      <c r="DH116" s="1496">
        <f>+DH85+DH93+DH94+DH115</f>
        <v>2102.5</v>
      </c>
      <c r="DI116" s="1495">
        <f>+DI85+DI93+DI94+DI115</f>
        <v>1810</v>
      </c>
      <c r="DJ116" s="1272">
        <f t="shared" si="337"/>
        <v>581.19999999999982</v>
      </c>
      <c r="DK116" s="1496">
        <f>+DK85+DK93+DK94+DK115</f>
        <v>2391.1999999999998</v>
      </c>
      <c r="DL116" s="1495">
        <f>+DL85+DL93+DL94+DL115</f>
        <v>1777</v>
      </c>
      <c r="DM116" s="1272">
        <f t="shared" si="338"/>
        <v>603.69999999999982</v>
      </c>
      <c r="DN116" s="1496">
        <f>+DN85+DN93+DN94+DN115</f>
        <v>2380.6999999999998</v>
      </c>
      <c r="DO116" s="1495">
        <f>+DO85+DO93+DO94+DO115</f>
        <v>1818.4</v>
      </c>
      <c r="DP116" s="1272">
        <f t="shared" si="339"/>
        <v>791.60000000000036</v>
      </c>
      <c r="DQ116" s="1496">
        <f>+DQ85+DQ93+DQ94+DQ115</f>
        <v>2610.0000000000005</v>
      </c>
      <c r="DR116" s="1495">
        <f>+DR85+DR93+DR94+DR115</f>
        <v>2017.0050799999999</v>
      </c>
      <c r="DS116" s="1272">
        <f t="shared" si="340"/>
        <v>889.99492000000009</v>
      </c>
      <c r="DT116" s="1496">
        <f>+DT85+DT93+DT94+DT115</f>
        <v>2907</v>
      </c>
      <c r="DU116" s="1495">
        <f>+DU85+DU93+DU94+DU115</f>
        <v>2073.9999999999995</v>
      </c>
      <c r="DV116" s="1272">
        <f t="shared" si="341"/>
        <v>1145.0000000000005</v>
      </c>
      <c r="DW116" s="1496">
        <f>+DW85+DW93+DW94+DW115</f>
        <v>3219</v>
      </c>
      <c r="DX116" s="1495">
        <f>+DX85+DX93+DX94+DX115</f>
        <v>1946</v>
      </c>
      <c r="DY116" s="1272">
        <f t="shared" si="342"/>
        <v>1476.8577022481932</v>
      </c>
      <c r="DZ116" s="1496">
        <f>+DZ85+DZ93+DZ94+DZ115</f>
        <v>3422.8577022481932</v>
      </c>
      <c r="EA116" s="1495">
        <f>+EA85+EA93+EA94+EA115</f>
        <v>2123.9420938760486</v>
      </c>
      <c r="EB116" s="1272">
        <f t="shared" si="343"/>
        <v>1520.6667349904319</v>
      </c>
      <c r="EC116" s="1496">
        <f>+EC85+EC93+EC94+EC115</f>
        <v>3644.6088288664805</v>
      </c>
      <c r="ED116" s="1495">
        <f>+ED85+ED93+ED94+ED115</f>
        <v>2312.0038583265168</v>
      </c>
      <c r="EE116" s="1272">
        <f t="shared" si="344"/>
        <v>1653.7883932636632</v>
      </c>
      <c r="EF116" s="1496">
        <f>+EF85+EF93+EF94+EF115</f>
        <v>3965.7922515901801</v>
      </c>
      <c r="EG116" s="1495">
        <f>+EG85+EG93+EG94+EG115</f>
        <v>2508.786779520055</v>
      </c>
      <c r="EH116" s="1272">
        <f t="shared" si="345"/>
        <v>1843.8151320194243</v>
      </c>
      <c r="EI116" s="1496">
        <f>+EI85+EI93+EI94+EI115</f>
        <v>4352.6019115394793</v>
      </c>
      <c r="EJ116" s="1495">
        <f>+EJ85+EJ93+EJ94+EJ115</f>
        <v>2731.5065495174135</v>
      </c>
      <c r="EK116" s="1272">
        <f t="shared" si="346"/>
        <v>2059.5985794968633</v>
      </c>
      <c r="EL116" s="1496">
        <f>+EL85+EL93+EL94+EL115</f>
        <v>4791.1051290142768</v>
      </c>
      <c r="EM116" s="1495">
        <f>+EM85+EM93+EM94+EM115</f>
        <v>2993.5062992679455</v>
      </c>
      <c r="EN116" s="1272">
        <f t="shared" si="347"/>
        <v>2268.9941550467115</v>
      </c>
      <c r="EO116" s="1496">
        <f>+EO85+EO93+EO94+EO115</f>
        <v>5262.500454314657</v>
      </c>
      <c r="EP116" s="1495">
        <f>+EP85+EP93+EP94+EP115</f>
        <v>3244.2368047422647</v>
      </c>
      <c r="EQ116" s="1272">
        <f t="shared" si="348"/>
        <v>2505.6281450045294</v>
      </c>
      <c r="ER116" s="1496">
        <f>+ER85+ER93+ER94+ER115</f>
        <v>5749.8649497467941</v>
      </c>
      <c r="ES116" s="1495">
        <f>+ES85+ES93+ES94+ES115</f>
        <v>3483.5110744594012</v>
      </c>
      <c r="ET116" s="1272">
        <f t="shared" si="349"/>
        <v>2724.3430891766284</v>
      </c>
      <c r="EU116" s="1496">
        <f>+EU85+EU93+EU94+EU115</f>
        <v>6207.8541636360296</v>
      </c>
      <c r="EV116" s="1495">
        <f>+EV85+EV93+EV94+EV115</f>
        <v>3702.5824953413012</v>
      </c>
      <c r="EW116" s="1272">
        <f t="shared" si="350"/>
        <v>2919.107026284978</v>
      </c>
      <c r="EX116" s="1496">
        <f>+EX85+EX93+EX94+EX115</f>
        <v>6621.6895216262792</v>
      </c>
      <c r="EY116" s="1495">
        <f>+EY85+EY93+EY94+EY115</f>
        <v>3935.4684373353016</v>
      </c>
      <c r="EZ116" s="1272">
        <f t="shared" si="351"/>
        <v>3126.8470762413112</v>
      </c>
      <c r="FA116" s="1496">
        <f>+FA85+FA93+FA94+FA115</f>
        <v>7062.3155135766128</v>
      </c>
      <c r="FD116"/>
      <c r="FE116"/>
      <c r="FF116"/>
      <c r="FG116"/>
      <c r="FH116"/>
      <c r="FI116"/>
      <c r="FJ116" s="33"/>
      <c r="FK116" s="33"/>
      <c r="FL116" s="33"/>
      <c r="FM116" s="33"/>
    </row>
    <row r="117" spans="2:169" s="33" customFormat="1" outlineLevel="1">
      <c r="B117" s="54" t="s">
        <v>502</v>
      </c>
      <c r="D117" s="2" t="s">
        <v>506</v>
      </c>
      <c r="E117" s="53">
        <f>+E119+E121+E123+E125+E127+E129+E131+E133+E135+E137</f>
        <v>0</v>
      </c>
      <c r="F117" s="32">
        <f t="shared" si="301"/>
        <v>0</v>
      </c>
      <c r="G117" s="53">
        <f>+G119+G121+G123+G125+G127+G129+G131+G133+G135+G137</f>
        <v>0</v>
      </c>
      <c r="H117" s="53">
        <f>+H119+H121+H123+H125+H127+H129+H131+H133+H135+H137</f>
        <v>0</v>
      </c>
      <c r="I117" s="32">
        <f t="shared" si="302"/>
        <v>0</v>
      </c>
      <c r="J117" s="53">
        <f>+J119+J121+J123+J125+J127+J129+J131+J133+J135+J137</f>
        <v>0</v>
      </c>
      <c r="K117" s="53">
        <f>+K119+K121+K123+K125+K127+K129+K131+K133+K135+K137</f>
        <v>0</v>
      </c>
      <c r="L117" s="32">
        <f t="shared" si="303"/>
        <v>0</v>
      </c>
      <c r="M117" s="53">
        <f>+M119+M121+M123+M125+M127+M129+M131+M133+M135+M137</f>
        <v>0</v>
      </c>
      <c r="N117" s="53">
        <f>+N119+N121+N123+N125+N127+N129+N131+N133+N135+N137</f>
        <v>0</v>
      </c>
      <c r="O117" s="32">
        <f t="shared" si="304"/>
        <v>0</v>
      </c>
      <c r="P117" s="53">
        <f>+P119+P121+P123+P125+P127+P129+P131+P133+P135+P137</f>
        <v>0</v>
      </c>
      <c r="Q117" s="53">
        <f>+Q119+Q121+Q123+Q125+Q127+Q129+Q131+Q133+Q135+Q137</f>
        <v>0</v>
      </c>
      <c r="R117" s="32">
        <f t="shared" si="305"/>
        <v>0</v>
      </c>
      <c r="S117" s="53">
        <f>+S119+S121+S123+S125+S127+S129+S131+S133+S135+S137</f>
        <v>0</v>
      </c>
      <c r="T117" s="53">
        <f>+T119+T121+T123+T125+T127+T129+T131+T133+T135+T137</f>
        <v>0</v>
      </c>
      <c r="U117" s="32">
        <f t="shared" si="306"/>
        <v>0</v>
      </c>
      <c r="V117" s="53">
        <f>+V119+V121+V123+V125+V127+V129+V131+V133+V135+V137</f>
        <v>0</v>
      </c>
      <c r="W117" s="53">
        <f>+W119+W121+W123+W125+W127+W129+W131+W133+W135+W137</f>
        <v>0</v>
      </c>
      <c r="X117" s="32">
        <f t="shared" si="307"/>
        <v>0</v>
      </c>
      <c r="Y117" s="53">
        <f>+Y119+Y121+Y123+Y125+Y127+Y129+Y131+Y133+Y135+Y137</f>
        <v>0</v>
      </c>
      <c r="Z117" s="53">
        <f>+Z119+Z121+Z123+Z125+Z127+Z129+Z131+Z133+Z135+Z137</f>
        <v>0</v>
      </c>
      <c r="AA117" s="32">
        <f t="shared" si="308"/>
        <v>0</v>
      </c>
      <c r="AB117" s="53">
        <f>+AB119+AB121+AB123+AB125+AB127+AB129+AB131+AB133+AB135+AB137</f>
        <v>0</v>
      </c>
      <c r="AC117" s="53">
        <f>+AC119+AC121+AC123+AC125+AC127+AC129+AC131+AC133+AC135+AC137</f>
        <v>0</v>
      </c>
      <c r="AD117" s="32">
        <f t="shared" si="309"/>
        <v>0</v>
      </c>
      <c r="AE117" s="53">
        <f>+AE119+AE121+AE123+AE125+AE127+AE129+AE131+AE133+AE135+AE137</f>
        <v>0</v>
      </c>
      <c r="AF117" s="53">
        <f>+AF119+AF121+AF123+AF125+AF127+AF129+AF131+AF133+AF135+AF137</f>
        <v>0</v>
      </c>
      <c r="AG117" s="32">
        <f t="shared" si="310"/>
        <v>0</v>
      </c>
      <c r="AH117" s="53">
        <f>+AH119+AH121+AH123+AH125+AH127+AH129+AH131+AH133+AH135+AH137</f>
        <v>0</v>
      </c>
      <c r="AI117" s="53">
        <f>+AI119+AI121+AI123+AI125+AI127+AI129+AI131+AI133+AI135+AI137</f>
        <v>0</v>
      </c>
      <c r="AJ117" s="32">
        <f t="shared" si="311"/>
        <v>0</v>
      </c>
      <c r="AK117" s="53">
        <f>+AK119+AK121+AK123+AK125+AK127+AK129+AK131+AK133+AK135+AK137</f>
        <v>0</v>
      </c>
      <c r="AL117" s="53">
        <f>+AL119+AL121+AL123+AL125+AL127+AL129+AL131+AL133+AL135+AL137</f>
        <v>0</v>
      </c>
      <c r="AM117" s="32">
        <f t="shared" si="312"/>
        <v>0</v>
      </c>
      <c r="AN117" s="53">
        <f>+AN119+AN121+AN123+AN125+AN127+AN129+AN131+AN133+AN135+AN137</f>
        <v>0</v>
      </c>
      <c r="AO117" s="53">
        <f>+AO119+AO121+AO123+AO125+AO127+AO129+AO131+AO133+AO135+AO137</f>
        <v>0</v>
      </c>
      <c r="AP117" s="32">
        <f t="shared" si="313"/>
        <v>0</v>
      </c>
      <c r="AQ117" s="53">
        <f>+AQ119+AQ121+AQ123+AQ125+AQ127+AQ129+AQ131+AQ133+AQ135+AQ137</f>
        <v>0</v>
      </c>
      <c r="AR117" s="53">
        <f>+AR119+AR121+AR123+AR125+AR127+AR129+AR131+AR133+AR135+AR137</f>
        <v>0</v>
      </c>
      <c r="AS117" s="32">
        <f t="shared" si="314"/>
        <v>0</v>
      </c>
      <c r="AT117" s="53">
        <f>+AT119+AT121+AT123+AT125+AT127+AT129+AT131+AT133+AT135+AT137</f>
        <v>0</v>
      </c>
      <c r="AU117" s="53">
        <f>+AU119+AU121+AU123+AU125+AU127+AU129+AU131+AU133+AU135+AU137</f>
        <v>0</v>
      </c>
      <c r="AV117" s="32">
        <f t="shared" si="315"/>
        <v>0</v>
      </c>
      <c r="AW117" s="53">
        <f>+AW119+AW121+AW123+AW125+AW127+AW129+AW131+AW133+AW135+AW137</f>
        <v>0</v>
      </c>
      <c r="AX117" s="53">
        <f>+AX119+AX121+AX123+AX125+AX127+AX129+AX131+AX133+AX135+AX137</f>
        <v>0</v>
      </c>
      <c r="AY117" s="32">
        <f t="shared" si="316"/>
        <v>0</v>
      </c>
      <c r="AZ117" s="53">
        <f>+AZ119+AZ121+AZ123+AZ125+AZ127+AZ129+AZ131+AZ133+AZ135+AZ137</f>
        <v>0</v>
      </c>
      <c r="BA117" s="53">
        <f>+BA119+BA121+BA123+BA125+BA127+BA129+BA131+BA133+BA135+BA137</f>
        <v>0</v>
      </c>
      <c r="BB117" s="32">
        <f t="shared" si="317"/>
        <v>0</v>
      </c>
      <c r="BC117" s="53">
        <f>+BC119+BC121+BC123+BC125+BC127+BC129+BC131+BC133+BC135+BC137</f>
        <v>0</v>
      </c>
      <c r="BD117" s="53">
        <f>+BD119+BD121+BD123+BD125+BD127+BD129+BD131+BD133+BD135+BD137</f>
        <v>0</v>
      </c>
      <c r="BE117" s="32">
        <f t="shared" si="318"/>
        <v>0</v>
      </c>
      <c r="BF117" s="53">
        <f>+BF119+BF121+BF123+BF125+BF127+BF129+BF131+BF133+BF135+BF137</f>
        <v>0</v>
      </c>
      <c r="BG117" s="53">
        <f>+BG119+BG121+BG123+BG125+BG127+BG129+BG131+BG133+BG135+BG137</f>
        <v>0</v>
      </c>
      <c r="BH117" s="32">
        <f t="shared" si="319"/>
        <v>0</v>
      </c>
      <c r="BI117" s="53">
        <f>+BI119+BI121+BI123+BI125+BI127+BI129+BI131+BI133+BI135+BI137</f>
        <v>0</v>
      </c>
      <c r="BJ117" s="53">
        <f>+BJ119+BJ121+BJ123+BJ125+BJ127+BJ129+BJ131+BJ133+BJ135+BJ137</f>
        <v>0</v>
      </c>
      <c r="BK117" s="32">
        <f t="shared" si="320"/>
        <v>0</v>
      </c>
      <c r="BL117" s="53">
        <f>+BL119+BL121+BL123+BL125+BL127+BL129+BL131+BL133+BL135+BL137</f>
        <v>0</v>
      </c>
      <c r="BM117" s="53">
        <f>+BM119+BM121+BM123+BM125+BM127+BM129+BM131+BM133+BM135+BM137</f>
        <v>0</v>
      </c>
      <c r="BN117" s="32">
        <f t="shared" si="321"/>
        <v>0</v>
      </c>
      <c r="BO117" s="53">
        <f>+BO119+BO121+BO123+BO125+BO127+BO129+BO131+BO133+BO135+BO137</f>
        <v>0</v>
      </c>
      <c r="BP117" s="53">
        <f>+BP119+BP121+BP123+BP125+BP127+BP129+BP131+BP133+BP135+BP137</f>
        <v>0</v>
      </c>
      <c r="BQ117" s="32">
        <f t="shared" si="322"/>
        <v>0</v>
      </c>
      <c r="BR117" s="53">
        <f>+BR119+BR121+BR123+BR125+BR127+BR129+BR131+BR133+BR135+BR137</f>
        <v>0</v>
      </c>
      <c r="BS117" s="53">
        <f>+BS119+BS121+BS123+BS125+BS127+BS129+BS131+BS133+BS135+BS137</f>
        <v>0</v>
      </c>
      <c r="BT117" s="32">
        <f t="shared" si="323"/>
        <v>0</v>
      </c>
      <c r="BU117" s="53">
        <f>+BU119+BU121+BU123+BU125+BU127+BU129+BU131+BU133+BU135+BU137</f>
        <v>0</v>
      </c>
      <c r="BV117" s="53">
        <f>+BV119+BV121+BV123+BV125+BV127+BV129+BV131+BV133+BV135+BV137</f>
        <v>0</v>
      </c>
      <c r="BW117" s="32">
        <f t="shared" si="324"/>
        <v>0</v>
      </c>
      <c r="BX117" s="53">
        <f>+BX119+BX121+BX123+BX125+BX127+BX129+BX131+BX133+BX135+BX137</f>
        <v>0</v>
      </c>
      <c r="BY117" s="53">
        <f>+BY119+BY121+BY123+BY125+BY127+BY129+BY131+BY133+BY135+BY137</f>
        <v>0</v>
      </c>
      <c r="BZ117" s="32">
        <f t="shared" si="325"/>
        <v>0</v>
      </c>
      <c r="CA117" s="53">
        <f>+CA119+CA121+CA123+CA125+CA127+CA129+CA131+CA133+CA135+CA137</f>
        <v>0</v>
      </c>
      <c r="CB117" s="53">
        <f>+CB119+CB121+CB123+CB125+CB127+CB129+CB131+CB133+CB135+CB137</f>
        <v>0</v>
      </c>
      <c r="CC117" s="32">
        <f t="shared" si="326"/>
        <v>0</v>
      </c>
      <c r="CD117" s="53">
        <f>+CD119+CD121+CD123+CD125+CD127+CD129+CD131+CD133+CD135+CD137</f>
        <v>0</v>
      </c>
      <c r="CE117" s="53">
        <f>+CE119+CE121+CE123+CE125+CE127+CE129+CE131+CE133+CE135+CE137</f>
        <v>0</v>
      </c>
      <c r="CF117" s="32">
        <f t="shared" si="327"/>
        <v>0</v>
      </c>
      <c r="CG117" s="53">
        <f>+CG119+CG121+CG123+CG125+CG127+CG129+CG131+CG133+CG135+CG137</f>
        <v>0</v>
      </c>
      <c r="CH117" s="53">
        <f>+CH119+CH121+CH123+CH125+CH127+CH129+CH131+CH133+CH135+CH137</f>
        <v>0</v>
      </c>
      <c r="CI117" s="32">
        <f t="shared" si="328"/>
        <v>0</v>
      </c>
      <c r="CJ117" s="53">
        <f>+CJ119+CJ121+CJ123+CJ125+CJ127+CJ129+CJ131+CJ133+CJ135+CJ137</f>
        <v>0</v>
      </c>
      <c r="CK117" s="53">
        <f>+CK119+CK121+CK123+CK125+CK127+CK129+CK131+CK133+CK135+CK137</f>
        <v>0</v>
      </c>
      <c r="CL117" s="32">
        <f t="shared" si="329"/>
        <v>0</v>
      </c>
      <c r="CM117" s="53">
        <f>+CM119+CM121+CM123+CM125+CM127+CM129+CM131+CM133+CM135+CM137</f>
        <v>0</v>
      </c>
      <c r="CN117" s="53">
        <f>+CN119+CN121+CN123+CN125+CN127+CN129+CN131+CN133+CN135+CN137</f>
        <v>0</v>
      </c>
      <c r="CO117" s="32">
        <f t="shared" si="330"/>
        <v>0</v>
      </c>
      <c r="CP117" s="53">
        <f>+CP119+CP121+CP123+CP125+CP127+CP129+CP131+CP133+CP135+CP137</f>
        <v>0</v>
      </c>
      <c r="CQ117" s="53">
        <f>+CQ119+CQ121+CQ123+CQ125+CQ127+CQ129+CQ131+CQ133+CQ135+CQ137</f>
        <v>0</v>
      </c>
      <c r="CR117" s="32">
        <f t="shared" si="331"/>
        <v>0</v>
      </c>
      <c r="CS117" s="53">
        <f>+CS119+CS121+CS123+CS125+CS127+CS129+CS131+CS133+CS135+CS137</f>
        <v>0</v>
      </c>
      <c r="CT117" s="53">
        <f>+CT119+CT121+CT123+CT125+CT127+CT129+CT131+CT133+CT135+CT137</f>
        <v>0</v>
      </c>
      <c r="CU117" s="32">
        <f t="shared" si="332"/>
        <v>0</v>
      </c>
      <c r="CV117" s="53">
        <f>+CV119+CV121+CV123+CV125+CV127+CV129+CV131+CV133+CV135+CV137</f>
        <v>0</v>
      </c>
      <c r="CW117" s="53">
        <f>+CW119+CW121+CW123+CW125+CW127+CW129+CW131+CW133+CW135+CW137</f>
        <v>0</v>
      </c>
      <c r="CX117" s="32">
        <f t="shared" si="333"/>
        <v>0</v>
      </c>
      <c r="CY117" s="53">
        <f>+CY119+CY121+CY123+CY125+CY127+CY129+CY131+CY133+CY135+CY137</f>
        <v>0</v>
      </c>
      <c r="CZ117" s="53">
        <f>+CZ119+CZ121+CZ123+CZ125+CZ127+CZ129+CZ131+CZ133+CZ135+CZ137</f>
        <v>0</v>
      </c>
      <c r="DA117" s="32">
        <f t="shared" si="334"/>
        <v>0</v>
      </c>
      <c r="DB117" s="53">
        <f>+DB119+DB121+DB123+DB125+DB127+DB129+DB131+DB133+DB135+DB137</f>
        <v>0</v>
      </c>
      <c r="DC117" s="53">
        <f>+DC119+DC121+DC123+DC125+DC127+DC129+DC131+DC133+DC135+DC137</f>
        <v>0</v>
      </c>
      <c r="DD117" s="32">
        <f t="shared" si="335"/>
        <v>0</v>
      </c>
      <c r="DE117" s="1088">
        <f>+DE119+DE121+DE123+DE125+DE127+DE129+DE131+DE133+DE135+DE137</f>
        <v>0</v>
      </c>
      <c r="DF117" s="53">
        <f>+DF119+DF121+DF123+DF125+DF127+DF129+DF131+DF133+DF135+DF137</f>
        <v>0</v>
      </c>
      <c r="DG117" s="32">
        <f t="shared" si="336"/>
        <v>0</v>
      </c>
      <c r="DH117" s="1088">
        <f>+DH119+DH121+DH123+DH125+DH127+DH129+DH131+DH133+DH135+DH137</f>
        <v>0</v>
      </c>
      <c r="DI117" s="53">
        <f>+DI119+DI121+DI123+DI125+DI127+DI129+DI131+DI133+DI135+DI137</f>
        <v>0</v>
      </c>
      <c r="DJ117" s="32">
        <f t="shared" si="337"/>
        <v>0</v>
      </c>
      <c r="DK117" s="1088">
        <f>+DK119+DK121+DK123+DK125+DK127+DK129+DK131+DK133+DK135+DK137</f>
        <v>0</v>
      </c>
      <c r="DL117" s="53">
        <f>+DL119+DL121+DL123+DL125+DL127+DL129+DL131+DL133+DL135+DL137</f>
        <v>0</v>
      </c>
      <c r="DM117" s="32">
        <f t="shared" si="338"/>
        <v>0</v>
      </c>
      <c r="DN117" s="1088">
        <f>+DN119+DN121+DN123+DN125+DN127+DN129+DN131+DN133+DN135+DN137</f>
        <v>0</v>
      </c>
      <c r="DO117" s="53">
        <f>+DO119+DO121+DO123+DO125+DO127+DO129+DO131+DO133+DO135+DO137</f>
        <v>0</v>
      </c>
      <c r="DP117" s="32">
        <f t="shared" si="339"/>
        <v>0</v>
      </c>
      <c r="DQ117" s="1088">
        <f>+DQ119+DQ121+DQ123+DQ125+DQ127+DQ129+DQ131+DQ133+DQ135+DQ137</f>
        <v>0</v>
      </c>
      <c r="DR117" s="53">
        <f>+DR119+DR121+DR123+DR125+DR127+DR129+DR131+DR133+DR135+DR137</f>
        <v>0</v>
      </c>
      <c r="DS117" s="32">
        <f t="shared" si="340"/>
        <v>0</v>
      </c>
      <c r="DT117" s="1088">
        <f>+DT119+DT121+DT123+DT125+DT127+DT129+DT131+DT133+DT135+DT137</f>
        <v>0</v>
      </c>
      <c r="DU117" s="53">
        <f>+DU119+DU121+DU123+DU125+DU127+DU129+DU131+DU133+DU135+DU137</f>
        <v>0</v>
      </c>
      <c r="DV117" s="32">
        <f t="shared" si="341"/>
        <v>0</v>
      </c>
      <c r="DW117" s="1088">
        <f>+DW119+DW121+DW123+DW125+DW127+DW129+DW131+DW133+DW135+DW137</f>
        <v>0</v>
      </c>
      <c r="DX117" s="53">
        <f>+DX119+DX121+DX123+DX125+DX127+DX129+DX131+DX133+DX135+DX137</f>
        <v>0</v>
      </c>
      <c r="DY117" s="32">
        <f t="shared" si="342"/>
        <v>0</v>
      </c>
      <c r="DZ117" s="1088">
        <f>+DZ119+DZ121+DZ123+DZ125+DZ127+DZ129+DZ131+DZ133+DZ135+DZ137</f>
        <v>0</v>
      </c>
      <c r="EA117" s="53">
        <f>+EA119+EA121+EA123+EA125+EA127+EA129+EA131+EA133+EA135+EA137</f>
        <v>0</v>
      </c>
      <c r="EB117" s="32">
        <f t="shared" si="343"/>
        <v>0</v>
      </c>
      <c r="EC117" s="1088">
        <f>+EC119+EC121+EC123+EC125+EC127+EC129+EC131+EC133+EC135+EC137</f>
        <v>0</v>
      </c>
      <c r="ED117" s="53">
        <f>+ED119+ED121+ED123+ED125+ED127+ED129+ED131+ED133+ED135+ED137</f>
        <v>0</v>
      </c>
      <c r="EE117" s="32">
        <f t="shared" si="344"/>
        <v>0</v>
      </c>
      <c r="EF117" s="1088">
        <f>+EF119+EF121+EF123+EF125+EF127+EF129+EF131+EF133+EF135+EF137</f>
        <v>0</v>
      </c>
      <c r="EG117" s="53">
        <f>+EG119+EG121+EG123+EG125+EG127+EG129+EG131+EG133+EG135+EG137</f>
        <v>0</v>
      </c>
      <c r="EH117" s="32">
        <f t="shared" si="345"/>
        <v>0</v>
      </c>
      <c r="EI117" s="1088">
        <f>+EI119+EI121+EI123+EI125+EI127+EI129+EI131+EI133+EI135+EI137</f>
        <v>0</v>
      </c>
      <c r="EJ117" s="53">
        <f>+EJ119+EJ121+EJ123+EJ125+EJ127+EJ129+EJ131+EJ133+EJ135+EJ137</f>
        <v>0</v>
      </c>
      <c r="EK117" s="32">
        <f t="shared" si="346"/>
        <v>0</v>
      </c>
      <c r="EL117" s="1088">
        <f>+EL119+EL121+EL123+EL125+EL127+EL129+EL131+EL133+EL135+EL137</f>
        <v>0</v>
      </c>
      <c r="EM117" s="53">
        <f>+EM119+EM121+EM123+EM125+EM127+EM129+EM131+EM133+EM135+EM137</f>
        <v>0</v>
      </c>
      <c r="EN117" s="32">
        <f t="shared" si="347"/>
        <v>0</v>
      </c>
      <c r="EO117" s="1088">
        <f>+EO119+EO121+EO123+EO125+EO127+EO129+EO131+EO133+EO135+EO137</f>
        <v>0</v>
      </c>
      <c r="EP117" s="53">
        <f>+EP119+EP121+EP123+EP125+EP127+EP129+EP131+EP133+EP135+EP137</f>
        <v>0</v>
      </c>
      <c r="EQ117" s="32">
        <f t="shared" si="348"/>
        <v>0</v>
      </c>
      <c r="ER117" s="1088">
        <f>+ER119+ER121+ER123+ER125+ER127+ER129+ER131+ER133+ER135+ER137</f>
        <v>0</v>
      </c>
      <c r="ES117" s="53">
        <f>+ES119+ES121+ES123+ES125+ES127+ES129+ES131+ES133+ES135+ES137</f>
        <v>0</v>
      </c>
      <c r="ET117" s="32">
        <f t="shared" si="349"/>
        <v>0</v>
      </c>
      <c r="EU117" s="1088">
        <f>+EU119+EU121+EU123+EU125+EU127+EU129+EU131+EU133+EU135+EU137</f>
        <v>0</v>
      </c>
      <c r="EV117" s="53">
        <f>+EV119+EV121+EV123+EV125+EV127+EV129+EV131+EV133+EV135+EV137</f>
        <v>0</v>
      </c>
      <c r="EW117" s="32">
        <f t="shared" si="350"/>
        <v>0</v>
      </c>
      <c r="EX117" s="1088">
        <f>+EX119+EX121+EX123+EX125+EX127+EX129+EX131+EX133+EX135+EX137</f>
        <v>0</v>
      </c>
      <c r="EY117" s="53">
        <f>+EY119+EY121+EY123+EY125+EY127+EY129+EY131+EY133+EY135+EY137</f>
        <v>0</v>
      </c>
      <c r="EZ117" s="32">
        <f t="shared" si="351"/>
        <v>0</v>
      </c>
      <c r="FA117" s="1088">
        <f>+FA119+FA121+FA123+FA125+FA127+FA129+FA131+FA133+FA135+FA137</f>
        <v>0</v>
      </c>
      <c r="FD117"/>
      <c r="FE117"/>
      <c r="FF117"/>
      <c r="FG117"/>
      <c r="FH117"/>
      <c r="FI117"/>
    </row>
    <row r="118" spans="2:169" s="33" customFormat="1" outlineLevel="1">
      <c r="B118" s="54" t="s">
        <v>529</v>
      </c>
      <c r="D118" s="2" t="s">
        <v>506</v>
      </c>
      <c r="E118" s="53">
        <f>+E120+E122+E124+E126+E128+E130+E132+E134+E136+E138</f>
        <v>0</v>
      </c>
      <c r="F118" s="32">
        <f t="shared" si="301"/>
        <v>0</v>
      </c>
      <c r="G118" s="53">
        <f>+G120+G122+G124+G126+G128+G130+G132+G134+G136+G138</f>
        <v>0</v>
      </c>
      <c r="H118" s="53">
        <f>+H120+H122+H124+H126+H128+H130+H132+H134+H136+H138</f>
        <v>0</v>
      </c>
      <c r="I118" s="32">
        <f t="shared" si="302"/>
        <v>0</v>
      </c>
      <c r="J118" s="53">
        <f>+J120+J122+J124+J126+J128+J130+J132+J134+J136+J138</f>
        <v>0</v>
      </c>
      <c r="K118" s="53">
        <f>+K120+K122+K124+K126+K128+K130+K132+K134+K136+K138</f>
        <v>0</v>
      </c>
      <c r="L118" s="32">
        <f t="shared" si="303"/>
        <v>0</v>
      </c>
      <c r="M118" s="53">
        <f>+M120+M122+M124+M126+M128+M130+M132+M134+M136+M138</f>
        <v>0</v>
      </c>
      <c r="N118" s="53">
        <f>+N120+N122+N124+N126+N128+N130+N132+N134+N136+N138</f>
        <v>0</v>
      </c>
      <c r="O118" s="32">
        <f t="shared" si="304"/>
        <v>0</v>
      </c>
      <c r="P118" s="53">
        <f>+P120+P122+P124+P126+P128+P130+P132+P134+P136+P138</f>
        <v>0</v>
      </c>
      <c r="Q118" s="53">
        <f>+Q120+Q122+Q124+Q126+Q128+Q130+Q132+Q134+Q136+Q138</f>
        <v>0</v>
      </c>
      <c r="R118" s="32">
        <f t="shared" si="305"/>
        <v>0</v>
      </c>
      <c r="S118" s="53">
        <f>+S120+S122+S124+S126+S128+S130+S132+S134+S136+S138</f>
        <v>0</v>
      </c>
      <c r="T118" s="53">
        <f>+T120+T122+T124+T126+T128+T130+T132+T134+T136+T138</f>
        <v>0</v>
      </c>
      <c r="U118" s="32">
        <f t="shared" si="306"/>
        <v>0</v>
      </c>
      <c r="V118" s="53">
        <f>+V120+V122+V124+V126+V128+V130+V132+V134+V136+V138</f>
        <v>0</v>
      </c>
      <c r="W118" s="53">
        <f>+W120+W122+W124+W126+W128+W130+W132+W134+W136+W138</f>
        <v>0</v>
      </c>
      <c r="X118" s="32">
        <f t="shared" si="307"/>
        <v>0</v>
      </c>
      <c r="Y118" s="53">
        <f>+Y120+Y122+Y124+Y126+Y128+Y130+Y132+Y134+Y136+Y138</f>
        <v>0</v>
      </c>
      <c r="Z118" s="53">
        <f>+Z120+Z122+Z124+Z126+Z128+Z130+Z132+Z134+Z136+Z138</f>
        <v>0</v>
      </c>
      <c r="AA118" s="32">
        <f t="shared" si="308"/>
        <v>0</v>
      </c>
      <c r="AB118" s="53">
        <f>+AB120+AB122+AB124+AB126+AB128+AB130+AB132+AB134+AB136+AB138</f>
        <v>0</v>
      </c>
      <c r="AC118" s="53">
        <f>+AC120+AC122+AC124+AC126+AC128+AC130+AC132+AC134+AC136+AC138</f>
        <v>0</v>
      </c>
      <c r="AD118" s="32">
        <f t="shared" si="309"/>
        <v>0</v>
      </c>
      <c r="AE118" s="53">
        <f>+AE120+AE122+AE124+AE126+AE128+AE130+AE132+AE134+AE136+AE138</f>
        <v>0</v>
      </c>
      <c r="AF118" s="53">
        <f>+AF120+AF122+AF124+AF126+AF128+AF130+AF132+AF134+AF136+AF138</f>
        <v>0</v>
      </c>
      <c r="AG118" s="32">
        <f t="shared" si="310"/>
        <v>0</v>
      </c>
      <c r="AH118" s="53">
        <f>+AH120+AH122+AH124+AH126+AH128+AH130+AH132+AH134+AH136+AH138</f>
        <v>0</v>
      </c>
      <c r="AI118" s="53">
        <f>+AI120+AI122+AI124+AI126+AI128+AI130+AI132+AI134+AI136+AI138</f>
        <v>0</v>
      </c>
      <c r="AJ118" s="32">
        <f t="shared" si="311"/>
        <v>0</v>
      </c>
      <c r="AK118" s="53">
        <f>+AK120+AK122+AK124+AK126+AK128+AK130+AK132+AK134+AK136+AK138</f>
        <v>0</v>
      </c>
      <c r="AL118" s="53">
        <f>+AL120+AL122+AL124+AL126+AL128+AL130+AL132+AL134+AL136+AL138</f>
        <v>0</v>
      </c>
      <c r="AM118" s="32">
        <f t="shared" si="312"/>
        <v>0</v>
      </c>
      <c r="AN118" s="53">
        <f>+AN120+AN122+AN124+AN126+AN128+AN130+AN132+AN134+AN136+AN138</f>
        <v>0</v>
      </c>
      <c r="AO118" s="53">
        <f>+AO120+AO122+AO124+AO126+AO128+AO130+AO132+AO134+AO136+AO138</f>
        <v>0</v>
      </c>
      <c r="AP118" s="32">
        <f t="shared" si="313"/>
        <v>0</v>
      </c>
      <c r="AQ118" s="53">
        <f>+AQ120+AQ122+AQ124+AQ126+AQ128+AQ130+AQ132+AQ134+AQ136+AQ138</f>
        <v>0</v>
      </c>
      <c r="AR118" s="53">
        <f>+AR120+AR122+AR124+AR126+AR128+AR130+AR132+AR134+AR136+AR138</f>
        <v>0</v>
      </c>
      <c r="AS118" s="32">
        <f t="shared" si="314"/>
        <v>0</v>
      </c>
      <c r="AT118" s="53">
        <f>+AT120+AT122+AT124+AT126+AT128+AT130+AT132+AT134+AT136+AT138</f>
        <v>0</v>
      </c>
      <c r="AU118" s="53">
        <f>+AU120+AU122+AU124+AU126+AU128+AU130+AU132+AU134+AU136+AU138</f>
        <v>0</v>
      </c>
      <c r="AV118" s="32">
        <f t="shared" si="315"/>
        <v>0</v>
      </c>
      <c r="AW118" s="53">
        <f>+AW120+AW122+AW124+AW126+AW128+AW130+AW132+AW134+AW136+AW138</f>
        <v>0</v>
      </c>
      <c r="AX118" s="53">
        <f>+AX120+AX122+AX124+AX126+AX128+AX130+AX132+AX134+AX136+AX138</f>
        <v>0</v>
      </c>
      <c r="AY118" s="32">
        <f t="shared" si="316"/>
        <v>0</v>
      </c>
      <c r="AZ118" s="53">
        <f>+AZ120+AZ122+AZ124+AZ126+AZ128+AZ130+AZ132+AZ134+AZ136+AZ138</f>
        <v>0</v>
      </c>
      <c r="BA118" s="53">
        <f>+BA120+BA122+BA124+BA126+BA128+BA130+BA132+BA134+BA136+BA138</f>
        <v>0</v>
      </c>
      <c r="BB118" s="32">
        <f t="shared" si="317"/>
        <v>0</v>
      </c>
      <c r="BC118" s="53">
        <f>+BC120+BC122+BC124+BC126+BC128+BC130+BC132+BC134+BC136+BC138</f>
        <v>0</v>
      </c>
      <c r="BD118" s="53">
        <f>+BD120+BD122+BD124+BD126+BD128+BD130+BD132+BD134+BD136+BD138</f>
        <v>0</v>
      </c>
      <c r="BE118" s="32">
        <f t="shared" si="318"/>
        <v>0</v>
      </c>
      <c r="BF118" s="53">
        <f>+BF120+BF122+BF124+BF126+BF128+BF130+BF132+BF134+BF136+BF138</f>
        <v>0</v>
      </c>
      <c r="BG118" s="53">
        <f>+BG120+BG122+BG124+BG126+BG128+BG130+BG132+BG134+BG136+BG138</f>
        <v>0</v>
      </c>
      <c r="BH118" s="32">
        <f t="shared" si="319"/>
        <v>0</v>
      </c>
      <c r="BI118" s="53">
        <f>+BI120+BI122+BI124+BI126+BI128+BI130+BI132+BI134+BI136+BI138</f>
        <v>0</v>
      </c>
      <c r="BJ118" s="53">
        <f>+BJ120+BJ122+BJ124+BJ126+BJ128+BJ130+BJ132+BJ134+BJ136+BJ138</f>
        <v>0</v>
      </c>
      <c r="BK118" s="32">
        <f t="shared" si="320"/>
        <v>0</v>
      </c>
      <c r="BL118" s="53">
        <f>+BL120+BL122+BL124+BL126+BL128+BL130+BL132+BL134+BL136+BL138</f>
        <v>0</v>
      </c>
      <c r="BM118" s="53">
        <f>+BM120+BM122+BM124+BM126+BM128+BM130+BM132+BM134+BM136+BM138</f>
        <v>0</v>
      </c>
      <c r="BN118" s="32">
        <f t="shared" si="321"/>
        <v>0</v>
      </c>
      <c r="BO118" s="53">
        <f>+BO120+BO122+BO124+BO126+BO128+BO130+BO132+BO134+BO136+BO138</f>
        <v>0</v>
      </c>
      <c r="BP118" s="53">
        <f>+BP120+BP122+BP124+BP126+BP128+BP130+BP132+BP134+BP136+BP138</f>
        <v>0</v>
      </c>
      <c r="BQ118" s="32">
        <f t="shared" si="322"/>
        <v>0</v>
      </c>
      <c r="BR118" s="53">
        <f>+BR120+BR122+BR124+BR126+BR128+BR130+BR132+BR134+BR136+BR138</f>
        <v>0</v>
      </c>
      <c r="BS118" s="53">
        <f>+BS120+BS122+BS124+BS126+BS128+BS130+BS132+BS134+BS136+BS138</f>
        <v>0</v>
      </c>
      <c r="BT118" s="32">
        <f t="shared" si="323"/>
        <v>0</v>
      </c>
      <c r="BU118" s="53">
        <f>+BU120+BU122+BU124+BU126+BU128+BU130+BU132+BU134+BU136+BU138</f>
        <v>0</v>
      </c>
      <c r="BV118" s="53">
        <f>+BV120+BV122+BV124+BV126+BV128+BV130+BV132+BV134+BV136+BV138</f>
        <v>0</v>
      </c>
      <c r="BW118" s="32">
        <f t="shared" si="324"/>
        <v>0</v>
      </c>
      <c r="BX118" s="53">
        <f>+BX120+BX122+BX124+BX126+BX128+BX130+BX132+BX134+BX136+BX138</f>
        <v>0</v>
      </c>
      <c r="BY118" s="53">
        <f>+BY120+BY122+BY124+BY126+BY128+BY130+BY132+BY134+BY136+BY138</f>
        <v>0</v>
      </c>
      <c r="BZ118" s="32">
        <f t="shared" si="325"/>
        <v>0</v>
      </c>
      <c r="CA118" s="53">
        <f>+CA120+CA122+CA124+CA126+CA128+CA130+CA132+CA134+CA136+CA138</f>
        <v>0</v>
      </c>
      <c r="CB118" s="53">
        <f>+CB120+CB122+CB124+CB126+CB128+CB130+CB132+CB134+CB136+CB138</f>
        <v>0</v>
      </c>
      <c r="CC118" s="32">
        <f t="shared" si="326"/>
        <v>0</v>
      </c>
      <c r="CD118" s="53">
        <f>+CD120+CD122+CD124+CD126+CD128+CD130+CD132+CD134+CD136+CD138</f>
        <v>0</v>
      </c>
      <c r="CE118" s="53">
        <f>+CE120+CE122+CE124+CE126+CE128+CE130+CE132+CE134+CE136+CE138</f>
        <v>0</v>
      </c>
      <c r="CF118" s="32">
        <f t="shared" si="327"/>
        <v>0</v>
      </c>
      <c r="CG118" s="53">
        <f>+CG120+CG122+CG124+CG126+CG128+CG130+CG132+CG134+CG136+CG138</f>
        <v>0</v>
      </c>
      <c r="CH118" s="53">
        <f>+CH120+CH122+CH124+CH126+CH128+CH130+CH132+CH134+CH136+CH138</f>
        <v>0</v>
      </c>
      <c r="CI118" s="32">
        <f t="shared" si="328"/>
        <v>0</v>
      </c>
      <c r="CJ118" s="53">
        <f>+CJ120+CJ122+CJ124+CJ126+CJ128+CJ130+CJ132+CJ134+CJ136+CJ138</f>
        <v>0</v>
      </c>
      <c r="CK118" s="53">
        <f>+CK120+CK122+CK124+CK126+CK128+CK130+CK132+CK134+CK136+CK138</f>
        <v>0</v>
      </c>
      <c r="CL118" s="32">
        <f t="shared" si="329"/>
        <v>0</v>
      </c>
      <c r="CM118" s="53">
        <f>+CM120+CM122+CM124+CM126+CM128+CM130+CM132+CM134+CM136+CM138</f>
        <v>0</v>
      </c>
      <c r="CN118" s="53">
        <f>+CN120+CN122+CN124+CN126+CN128+CN130+CN132+CN134+CN136+CN138</f>
        <v>0</v>
      </c>
      <c r="CO118" s="32">
        <f t="shared" si="330"/>
        <v>0</v>
      </c>
      <c r="CP118" s="53">
        <f>+CP120+CP122+CP124+CP126+CP128+CP130+CP132+CP134+CP136+CP138</f>
        <v>0</v>
      </c>
      <c r="CQ118" s="53">
        <f>+CQ120+CQ122+CQ124+CQ126+CQ128+CQ130+CQ132+CQ134+CQ136+CQ138</f>
        <v>0</v>
      </c>
      <c r="CR118" s="32">
        <f t="shared" si="331"/>
        <v>0</v>
      </c>
      <c r="CS118" s="53">
        <f>+CS120+CS122+CS124+CS126+CS128+CS130+CS132+CS134+CS136+CS138</f>
        <v>0</v>
      </c>
      <c r="CT118" s="53">
        <f>+CT120+CT122+CT124+CT126+CT128+CT130+CT132+CT134+CT136+CT138</f>
        <v>0</v>
      </c>
      <c r="CU118" s="32">
        <f t="shared" si="332"/>
        <v>0</v>
      </c>
      <c r="CV118" s="53">
        <f>+CV120+CV122+CV124+CV126+CV128+CV130+CV132+CV134+CV136+CV138</f>
        <v>0</v>
      </c>
      <c r="CW118" s="53">
        <f>+CW120+CW122+CW124+CW126+CW128+CW130+CW132+CW134+CW136+CW138</f>
        <v>0</v>
      </c>
      <c r="CX118" s="32">
        <f t="shared" si="333"/>
        <v>0</v>
      </c>
      <c r="CY118" s="53">
        <f>+CY120+CY122+CY124+CY126+CY128+CY130+CY132+CY134+CY136+CY138</f>
        <v>0</v>
      </c>
      <c r="CZ118" s="53">
        <f>+CZ120+CZ122+CZ124+CZ126+CZ128+CZ130+CZ132+CZ134+CZ136+CZ138</f>
        <v>0</v>
      </c>
      <c r="DA118" s="32">
        <f t="shared" si="334"/>
        <v>0</v>
      </c>
      <c r="DB118" s="53">
        <f>+DB120+DB122+DB124+DB126+DB128+DB130+DB132+DB134+DB136+DB138</f>
        <v>0</v>
      </c>
      <c r="DC118" s="53">
        <f>+DC120+DC122+DC124+DC126+DC128+DC130+DC132+DC134+DC136+DC138</f>
        <v>0</v>
      </c>
      <c r="DD118" s="32">
        <f t="shared" si="335"/>
        <v>0</v>
      </c>
      <c r="DE118" s="1088">
        <f>+DE120+DE122+DE124+DE126+DE128+DE130+DE132+DE134+DE136+DE138</f>
        <v>0</v>
      </c>
      <c r="DF118" s="53">
        <f>+DF120+DF122+DF124+DF126+DF128+DF130+DF132+DF134+DF136+DF138</f>
        <v>0</v>
      </c>
      <c r="DG118" s="32">
        <f t="shared" si="336"/>
        <v>0</v>
      </c>
      <c r="DH118" s="1088">
        <f>+DH120+DH122+DH124+DH126+DH128+DH130+DH132+DH134+DH136+DH138</f>
        <v>0</v>
      </c>
      <c r="DI118" s="53">
        <f>+DI120+DI122+DI124+DI126+DI128+DI130+DI132+DI134+DI136+DI138</f>
        <v>0</v>
      </c>
      <c r="DJ118" s="32">
        <f t="shared" si="337"/>
        <v>0</v>
      </c>
      <c r="DK118" s="1088">
        <f>+DK120+DK122+DK124+DK126+DK128+DK130+DK132+DK134+DK136+DK138</f>
        <v>0</v>
      </c>
      <c r="DL118" s="53">
        <f>+DL120+DL122+DL124+DL126+DL128+DL130+DL132+DL134+DL136+DL138</f>
        <v>0</v>
      </c>
      <c r="DM118" s="32">
        <f t="shared" si="338"/>
        <v>0</v>
      </c>
      <c r="DN118" s="1088">
        <f>+DN120+DN122+DN124+DN126+DN128+DN130+DN132+DN134+DN136+DN138</f>
        <v>0</v>
      </c>
      <c r="DO118" s="53">
        <f>+DO120+DO122+DO124+DO126+DO128+DO130+DO132+DO134+DO136+DO138</f>
        <v>0</v>
      </c>
      <c r="DP118" s="32">
        <f t="shared" si="339"/>
        <v>0</v>
      </c>
      <c r="DQ118" s="1088">
        <f>+DQ120+DQ122+DQ124+DQ126+DQ128+DQ130+DQ132+DQ134+DQ136+DQ138</f>
        <v>0</v>
      </c>
      <c r="DR118" s="53">
        <f>+DR120+DR122+DR124+DR126+DR128+DR130+DR132+DR134+DR136+DR138</f>
        <v>0</v>
      </c>
      <c r="DS118" s="32">
        <f t="shared" si="340"/>
        <v>0</v>
      </c>
      <c r="DT118" s="1088">
        <f>+DT120+DT122+DT124+DT126+DT128+DT130+DT132+DT134+DT136+DT138</f>
        <v>0</v>
      </c>
      <c r="DU118" s="53">
        <f>+DU120+DU122+DU124+DU126+DU128+DU130+DU132+DU134+DU136+DU138</f>
        <v>0</v>
      </c>
      <c r="DV118" s="32">
        <f t="shared" si="341"/>
        <v>0</v>
      </c>
      <c r="DW118" s="1088">
        <f>+DW120+DW122+DW124+DW126+DW128+DW130+DW132+DW134+DW136+DW138</f>
        <v>0</v>
      </c>
      <c r="DX118" s="53">
        <f>+DX120+DX122+DX124+DX126+DX128+DX130+DX132+DX134+DX136+DX138</f>
        <v>0</v>
      </c>
      <c r="DY118" s="32">
        <f t="shared" si="342"/>
        <v>0</v>
      </c>
      <c r="DZ118" s="1088">
        <f>+DZ120+DZ122+DZ124+DZ126+DZ128+DZ130+DZ132+DZ134+DZ136+DZ138</f>
        <v>0</v>
      </c>
      <c r="EA118" s="53">
        <f>+EA120+EA122+EA124+EA126+EA128+EA130+EA132+EA134+EA136+EA138</f>
        <v>0</v>
      </c>
      <c r="EB118" s="32">
        <f t="shared" si="343"/>
        <v>0</v>
      </c>
      <c r="EC118" s="1088">
        <f>+EC120+EC122+EC124+EC126+EC128+EC130+EC132+EC134+EC136+EC138</f>
        <v>0</v>
      </c>
      <c r="ED118" s="53">
        <f>+ED120+ED122+ED124+ED126+ED128+ED130+ED132+ED134+ED136+ED138</f>
        <v>0</v>
      </c>
      <c r="EE118" s="32">
        <f t="shared" si="344"/>
        <v>0</v>
      </c>
      <c r="EF118" s="1088">
        <f>+EF120+EF122+EF124+EF126+EF128+EF130+EF132+EF134+EF136+EF138</f>
        <v>0</v>
      </c>
      <c r="EG118" s="53">
        <f>+EG120+EG122+EG124+EG126+EG128+EG130+EG132+EG134+EG136+EG138</f>
        <v>0</v>
      </c>
      <c r="EH118" s="32">
        <f t="shared" si="345"/>
        <v>0</v>
      </c>
      <c r="EI118" s="1088">
        <f>+EI120+EI122+EI124+EI126+EI128+EI130+EI132+EI134+EI136+EI138</f>
        <v>0</v>
      </c>
      <c r="EJ118" s="53">
        <f>+EJ120+EJ122+EJ124+EJ126+EJ128+EJ130+EJ132+EJ134+EJ136+EJ138</f>
        <v>0</v>
      </c>
      <c r="EK118" s="32">
        <f t="shared" si="346"/>
        <v>0</v>
      </c>
      <c r="EL118" s="1088">
        <f>+EL120+EL122+EL124+EL126+EL128+EL130+EL132+EL134+EL136+EL138</f>
        <v>0</v>
      </c>
      <c r="EM118" s="53">
        <f>+EM120+EM122+EM124+EM126+EM128+EM130+EM132+EM134+EM136+EM138</f>
        <v>0</v>
      </c>
      <c r="EN118" s="32">
        <f t="shared" si="347"/>
        <v>0</v>
      </c>
      <c r="EO118" s="1088">
        <f>+EO120+EO122+EO124+EO126+EO128+EO130+EO132+EO134+EO136+EO138</f>
        <v>0</v>
      </c>
      <c r="EP118" s="53">
        <f>+EP120+EP122+EP124+EP126+EP128+EP130+EP132+EP134+EP136+EP138</f>
        <v>0</v>
      </c>
      <c r="EQ118" s="32">
        <f t="shared" si="348"/>
        <v>0</v>
      </c>
      <c r="ER118" s="1088">
        <f>+ER120+ER122+ER124+ER126+ER128+ER130+ER132+ER134+ER136+ER138</f>
        <v>0</v>
      </c>
      <c r="ES118" s="53">
        <f>+ES120+ES122+ES124+ES126+ES128+ES130+ES132+ES134+ES136+ES138</f>
        <v>0</v>
      </c>
      <c r="ET118" s="32">
        <f t="shared" si="349"/>
        <v>0</v>
      </c>
      <c r="EU118" s="1088">
        <f>+EU120+EU122+EU124+EU126+EU128+EU130+EU132+EU134+EU136+EU138</f>
        <v>0</v>
      </c>
      <c r="EV118" s="53">
        <f>+EV120+EV122+EV124+EV126+EV128+EV130+EV132+EV134+EV136+EV138</f>
        <v>0</v>
      </c>
      <c r="EW118" s="32">
        <f t="shared" si="350"/>
        <v>0</v>
      </c>
      <c r="EX118" s="1088">
        <f>+EX120+EX122+EX124+EX126+EX128+EX130+EX132+EX134+EX136+EX138</f>
        <v>0</v>
      </c>
      <c r="EY118" s="53">
        <f>+EY120+EY122+EY124+EY126+EY128+EY130+EY132+EY134+EY136+EY138</f>
        <v>0</v>
      </c>
      <c r="EZ118" s="32">
        <f t="shared" si="351"/>
        <v>0</v>
      </c>
      <c r="FA118" s="1088">
        <f>+FA120+FA122+FA124+FA126+FA128+FA130+FA132+FA134+FA136+FA138</f>
        <v>0</v>
      </c>
      <c r="FD118"/>
      <c r="FE118"/>
      <c r="FF118"/>
      <c r="FG118"/>
      <c r="FH118"/>
      <c r="FI118"/>
    </row>
    <row r="119" spans="2:169" s="33" customFormat="1" hidden="1" outlineLevel="2">
      <c r="B119" s="54" t="s">
        <v>530</v>
      </c>
      <c r="D119" s="2" t="s">
        <v>506</v>
      </c>
      <c r="E119" s="53"/>
      <c r="F119" s="32">
        <f t="shared" si="301"/>
        <v>0</v>
      </c>
      <c r="G119" s="53"/>
      <c r="H119" s="53"/>
      <c r="I119" s="32">
        <f t="shared" si="302"/>
        <v>0</v>
      </c>
      <c r="J119" s="53"/>
      <c r="K119" s="53"/>
      <c r="L119" s="32">
        <f t="shared" si="303"/>
        <v>0</v>
      </c>
      <c r="M119" s="53"/>
      <c r="N119" s="53"/>
      <c r="O119" s="32">
        <f t="shared" si="304"/>
        <v>0</v>
      </c>
      <c r="P119" s="53"/>
      <c r="Q119" s="53"/>
      <c r="R119" s="32">
        <f t="shared" si="305"/>
        <v>0</v>
      </c>
      <c r="S119" s="53"/>
      <c r="T119" s="53"/>
      <c r="U119" s="32">
        <f t="shared" si="306"/>
        <v>0</v>
      </c>
      <c r="V119" s="53"/>
      <c r="W119" s="53"/>
      <c r="X119" s="32">
        <f t="shared" si="307"/>
        <v>0</v>
      </c>
      <c r="Y119" s="53"/>
      <c r="Z119" s="53"/>
      <c r="AA119" s="32">
        <f t="shared" si="308"/>
        <v>0</v>
      </c>
      <c r="AB119" s="53"/>
      <c r="AC119" s="53"/>
      <c r="AD119" s="32">
        <f t="shared" si="309"/>
        <v>0</v>
      </c>
      <c r="AE119" s="53"/>
      <c r="AF119" s="53"/>
      <c r="AG119" s="32">
        <f t="shared" si="310"/>
        <v>0</v>
      </c>
      <c r="AH119" s="53"/>
      <c r="AI119" s="53"/>
      <c r="AJ119" s="32">
        <f t="shared" si="311"/>
        <v>0</v>
      </c>
      <c r="AK119" s="53"/>
      <c r="AL119" s="53"/>
      <c r="AM119" s="32">
        <f t="shared" si="312"/>
        <v>0</v>
      </c>
      <c r="AN119" s="53"/>
      <c r="AO119" s="53"/>
      <c r="AP119" s="32">
        <f t="shared" si="313"/>
        <v>0</v>
      </c>
      <c r="AQ119" s="53"/>
      <c r="AR119" s="53"/>
      <c r="AS119" s="32">
        <f t="shared" si="314"/>
        <v>0</v>
      </c>
      <c r="AT119" s="53"/>
      <c r="AU119" s="53"/>
      <c r="AV119" s="32">
        <f t="shared" si="315"/>
        <v>0</v>
      </c>
      <c r="AW119" s="53"/>
      <c r="AX119" s="53"/>
      <c r="AY119" s="32">
        <f t="shared" si="316"/>
        <v>0</v>
      </c>
      <c r="AZ119" s="53"/>
      <c r="BA119" s="53"/>
      <c r="BB119" s="32">
        <f t="shared" si="317"/>
        <v>0</v>
      </c>
      <c r="BC119" s="53"/>
      <c r="BD119" s="53"/>
      <c r="BE119" s="32">
        <f t="shared" si="318"/>
        <v>0</v>
      </c>
      <c r="BF119" s="1108"/>
      <c r="BG119" s="1109"/>
      <c r="BH119" s="32">
        <f t="shared" si="319"/>
        <v>0</v>
      </c>
      <c r="BI119" s="1108"/>
      <c r="BJ119" s="1109"/>
      <c r="BK119" s="32">
        <f t="shared" si="320"/>
        <v>0</v>
      </c>
      <c r="BL119" s="1108"/>
      <c r="BM119" s="1109"/>
      <c r="BN119" s="32">
        <f t="shared" si="321"/>
        <v>0</v>
      </c>
      <c r="BO119" s="1108"/>
      <c r="BP119" s="1109"/>
      <c r="BQ119" s="32">
        <f t="shared" si="322"/>
        <v>0</v>
      </c>
      <c r="BR119" s="1108"/>
      <c r="BS119" s="1109"/>
      <c r="BT119" s="32">
        <f t="shared" si="323"/>
        <v>0</v>
      </c>
      <c r="BU119" s="1108"/>
      <c r="BV119" s="1109"/>
      <c r="BW119" s="32">
        <f t="shared" si="324"/>
        <v>0</v>
      </c>
      <c r="BX119" s="1108"/>
      <c r="BY119" s="1109"/>
      <c r="BZ119" s="32">
        <f t="shared" si="325"/>
        <v>0</v>
      </c>
      <c r="CA119" s="1108"/>
      <c r="CB119" s="1109"/>
      <c r="CC119" s="32">
        <f t="shared" si="326"/>
        <v>0</v>
      </c>
      <c r="CD119" s="1108"/>
      <c r="CE119" s="1109"/>
      <c r="CF119" s="32">
        <f t="shared" si="327"/>
        <v>0</v>
      </c>
      <c r="CG119" s="1108"/>
      <c r="CH119" s="1109"/>
      <c r="CI119" s="32">
        <f t="shared" si="328"/>
        <v>0</v>
      </c>
      <c r="CJ119" s="1108"/>
      <c r="CK119" s="1109"/>
      <c r="CL119" s="32">
        <f t="shared" si="329"/>
        <v>0</v>
      </c>
      <c r="CM119" s="1108"/>
      <c r="CN119" s="1109"/>
      <c r="CO119" s="32">
        <f t="shared" si="330"/>
        <v>0</v>
      </c>
      <c r="CP119" s="1108"/>
      <c r="CQ119" s="1109"/>
      <c r="CR119" s="32">
        <f t="shared" si="331"/>
        <v>0</v>
      </c>
      <c r="CS119" s="1108"/>
      <c r="CT119" s="1109"/>
      <c r="CU119" s="32">
        <f t="shared" si="332"/>
        <v>0</v>
      </c>
      <c r="CV119" s="1108"/>
      <c r="CW119" s="1109"/>
      <c r="CX119" s="32">
        <f t="shared" si="333"/>
        <v>0</v>
      </c>
      <c r="CY119" s="1108"/>
      <c r="CZ119" s="1109"/>
      <c r="DA119" s="32">
        <f t="shared" si="334"/>
        <v>0</v>
      </c>
      <c r="DB119" s="1108"/>
      <c r="DC119" s="1109"/>
      <c r="DD119" s="32">
        <f t="shared" si="335"/>
        <v>0</v>
      </c>
      <c r="DE119" s="1135"/>
      <c r="DF119" s="1109"/>
      <c r="DG119" s="32">
        <f t="shared" si="336"/>
        <v>0</v>
      </c>
      <c r="DH119" s="1135"/>
      <c r="DI119" s="1109"/>
      <c r="DJ119" s="32">
        <f t="shared" si="337"/>
        <v>0</v>
      </c>
      <c r="DK119" s="1135"/>
      <c r="DL119" s="53"/>
      <c r="DM119" s="32">
        <f t="shared" si="338"/>
        <v>0</v>
      </c>
      <c r="DN119" s="1088"/>
      <c r="DO119" s="53"/>
      <c r="DP119" s="32">
        <f t="shared" si="339"/>
        <v>0</v>
      </c>
      <c r="DQ119" s="1088"/>
      <c r="DR119" s="53"/>
      <c r="DS119" s="32">
        <f t="shared" si="340"/>
        <v>0</v>
      </c>
      <c r="DT119" s="1088"/>
      <c r="DU119" s="53"/>
      <c r="DV119" s="32">
        <f t="shared" si="341"/>
        <v>0</v>
      </c>
      <c r="DW119" s="1088"/>
      <c r="DX119" s="53"/>
      <c r="DY119" s="32">
        <f t="shared" si="342"/>
        <v>0</v>
      </c>
      <c r="DZ119" s="1088"/>
      <c r="EA119" s="53"/>
      <c r="EB119" s="32">
        <f t="shared" si="343"/>
        <v>0</v>
      </c>
      <c r="EC119" s="1088"/>
      <c r="ED119" s="53"/>
      <c r="EE119" s="32">
        <f t="shared" si="344"/>
        <v>0</v>
      </c>
      <c r="EF119" s="1088"/>
      <c r="EG119" s="53"/>
      <c r="EH119" s="32">
        <f t="shared" si="345"/>
        <v>0</v>
      </c>
      <c r="EI119" s="1088"/>
      <c r="EJ119" s="53"/>
      <c r="EK119" s="32">
        <f t="shared" si="346"/>
        <v>0</v>
      </c>
      <c r="EL119" s="1088"/>
      <c r="EM119" s="53"/>
      <c r="EN119" s="32">
        <f t="shared" si="347"/>
        <v>0</v>
      </c>
      <c r="EO119" s="1088"/>
      <c r="EP119" s="53"/>
      <c r="EQ119" s="32">
        <f t="shared" si="348"/>
        <v>0</v>
      </c>
      <c r="ER119" s="1088"/>
      <c r="ES119" s="53"/>
      <c r="ET119" s="32">
        <f t="shared" si="349"/>
        <v>0</v>
      </c>
      <c r="EU119" s="1088"/>
      <c r="EV119" s="53"/>
      <c r="EW119" s="32">
        <f t="shared" si="350"/>
        <v>0</v>
      </c>
      <c r="EX119" s="1088"/>
      <c r="EY119" s="53"/>
      <c r="EZ119" s="32">
        <f t="shared" si="351"/>
        <v>0</v>
      </c>
      <c r="FA119" s="1088"/>
      <c r="FD119"/>
      <c r="FE119"/>
      <c r="FF119"/>
      <c r="FG119"/>
      <c r="FH119"/>
      <c r="FI119"/>
    </row>
    <row r="120" spans="2:169" s="33" customFormat="1" hidden="1" outlineLevel="2">
      <c r="B120" s="54" t="s">
        <v>545</v>
      </c>
      <c r="D120" s="2" t="s">
        <v>506</v>
      </c>
      <c r="E120" s="53"/>
      <c r="F120" s="32">
        <f t="shared" si="301"/>
        <v>0</v>
      </c>
      <c r="G120" s="53"/>
      <c r="H120" s="53"/>
      <c r="I120" s="32">
        <f t="shared" si="302"/>
        <v>0</v>
      </c>
      <c r="J120" s="53"/>
      <c r="K120" s="53"/>
      <c r="L120" s="32">
        <f t="shared" si="303"/>
        <v>0</v>
      </c>
      <c r="M120" s="53"/>
      <c r="N120" s="53"/>
      <c r="O120" s="32">
        <f t="shared" si="304"/>
        <v>0</v>
      </c>
      <c r="P120" s="53"/>
      <c r="Q120" s="53"/>
      <c r="R120" s="32">
        <f t="shared" si="305"/>
        <v>0</v>
      </c>
      <c r="S120" s="53"/>
      <c r="T120" s="53"/>
      <c r="U120" s="32">
        <f t="shared" si="306"/>
        <v>0</v>
      </c>
      <c r="V120" s="53"/>
      <c r="W120" s="53"/>
      <c r="X120" s="32">
        <f t="shared" si="307"/>
        <v>0</v>
      </c>
      <c r="Y120" s="53"/>
      <c r="Z120" s="53"/>
      <c r="AA120" s="32">
        <f t="shared" si="308"/>
        <v>0</v>
      </c>
      <c r="AB120" s="53"/>
      <c r="AC120" s="53"/>
      <c r="AD120" s="32">
        <f t="shared" si="309"/>
        <v>0</v>
      </c>
      <c r="AE120" s="53"/>
      <c r="AF120" s="53"/>
      <c r="AG120" s="32">
        <f t="shared" si="310"/>
        <v>0</v>
      </c>
      <c r="AH120" s="53"/>
      <c r="AI120" s="53"/>
      <c r="AJ120" s="32">
        <f t="shared" si="311"/>
        <v>0</v>
      </c>
      <c r="AK120" s="53"/>
      <c r="AL120" s="53"/>
      <c r="AM120" s="32">
        <f t="shared" si="312"/>
        <v>0</v>
      </c>
      <c r="AN120" s="53"/>
      <c r="AO120" s="53"/>
      <c r="AP120" s="32">
        <f t="shared" si="313"/>
        <v>0</v>
      </c>
      <c r="AQ120" s="53"/>
      <c r="AR120" s="53"/>
      <c r="AS120" s="32">
        <f t="shared" si="314"/>
        <v>0</v>
      </c>
      <c r="AT120" s="53"/>
      <c r="AU120" s="53"/>
      <c r="AV120" s="32">
        <f t="shared" si="315"/>
        <v>0</v>
      </c>
      <c r="AW120" s="53"/>
      <c r="AX120" s="53"/>
      <c r="AY120" s="32">
        <f t="shared" si="316"/>
        <v>0</v>
      </c>
      <c r="AZ120" s="53"/>
      <c r="BA120" s="53"/>
      <c r="BB120" s="32">
        <f t="shared" si="317"/>
        <v>0</v>
      </c>
      <c r="BC120" s="53"/>
      <c r="BD120" s="53"/>
      <c r="BE120" s="32">
        <f t="shared" si="318"/>
        <v>0</v>
      </c>
      <c r="BF120" s="1098"/>
      <c r="BG120" s="1088"/>
      <c r="BH120" s="32">
        <f t="shared" si="319"/>
        <v>0</v>
      </c>
      <c r="BI120" s="1098"/>
      <c r="BJ120" s="1088"/>
      <c r="BK120" s="32">
        <f t="shared" si="320"/>
        <v>0</v>
      </c>
      <c r="BL120" s="1098"/>
      <c r="BM120" s="1088"/>
      <c r="BN120" s="32">
        <f t="shared" si="321"/>
        <v>0</v>
      </c>
      <c r="BO120" s="1098"/>
      <c r="BP120" s="1088"/>
      <c r="BQ120" s="32">
        <f t="shared" si="322"/>
        <v>0</v>
      </c>
      <c r="BR120" s="1098"/>
      <c r="BS120" s="1088"/>
      <c r="BT120" s="32">
        <f t="shared" si="323"/>
        <v>0</v>
      </c>
      <c r="BU120" s="1098"/>
      <c r="BV120" s="1088"/>
      <c r="BW120" s="32">
        <f t="shared" si="324"/>
        <v>0</v>
      </c>
      <c r="BX120" s="1098"/>
      <c r="BY120" s="1088"/>
      <c r="BZ120" s="32">
        <f t="shared" si="325"/>
        <v>0</v>
      </c>
      <c r="CA120" s="1098"/>
      <c r="CB120" s="1088"/>
      <c r="CC120" s="32">
        <f t="shared" si="326"/>
        <v>0</v>
      </c>
      <c r="CD120" s="1098"/>
      <c r="CE120" s="1088"/>
      <c r="CF120" s="32">
        <f t="shared" si="327"/>
        <v>0</v>
      </c>
      <c r="CG120" s="1098"/>
      <c r="CH120" s="1088"/>
      <c r="CI120" s="32">
        <f t="shared" si="328"/>
        <v>0</v>
      </c>
      <c r="CJ120" s="1098"/>
      <c r="CK120" s="1088"/>
      <c r="CL120" s="32">
        <f t="shared" si="329"/>
        <v>0</v>
      </c>
      <c r="CM120" s="1098"/>
      <c r="CN120" s="1088"/>
      <c r="CO120" s="32">
        <f t="shared" si="330"/>
        <v>0</v>
      </c>
      <c r="CP120" s="1098"/>
      <c r="CQ120" s="1088"/>
      <c r="CR120" s="32">
        <f t="shared" si="331"/>
        <v>0</v>
      </c>
      <c r="CS120" s="1098"/>
      <c r="CT120" s="1088"/>
      <c r="CU120" s="32">
        <f t="shared" si="332"/>
        <v>0</v>
      </c>
      <c r="CV120" s="1098"/>
      <c r="CW120" s="1088"/>
      <c r="CX120" s="32">
        <f t="shared" si="333"/>
        <v>0</v>
      </c>
      <c r="CY120" s="1098"/>
      <c r="CZ120" s="1088"/>
      <c r="DA120" s="32">
        <f t="shared" si="334"/>
        <v>0</v>
      </c>
      <c r="DB120" s="1098"/>
      <c r="DC120" s="1088"/>
      <c r="DD120" s="32">
        <f t="shared" si="335"/>
        <v>0</v>
      </c>
      <c r="DE120" s="1101"/>
      <c r="DF120" s="1088"/>
      <c r="DG120" s="32">
        <f t="shared" si="336"/>
        <v>0</v>
      </c>
      <c r="DH120" s="1101"/>
      <c r="DI120" s="1088"/>
      <c r="DJ120" s="32">
        <f t="shared" si="337"/>
        <v>0</v>
      </c>
      <c r="DK120" s="1101"/>
      <c r="DL120" s="53"/>
      <c r="DM120" s="32">
        <f t="shared" si="338"/>
        <v>0</v>
      </c>
      <c r="DN120" s="1088"/>
      <c r="DO120" s="53"/>
      <c r="DP120" s="32">
        <f t="shared" si="339"/>
        <v>0</v>
      </c>
      <c r="DQ120" s="1088"/>
      <c r="DR120" s="53"/>
      <c r="DS120" s="32">
        <f t="shared" si="340"/>
        <v>0</v>
      </c>
      <c r="DT120" s="1088"/>
      <c r="DU120" s="53"/>
      <c r="DV120" s="32">
        <f t="shared" si="341"/>
        <v>0</v>
      </c>
      <c r="DW120" s="1088"/>
      <c r="DX120" s="53"/>
      <c r="DY120" s="32">
        <f t="shared" si="342"/>
        <v>0</v>
      </c>
      <c r="DZ120" s="1088"/>
      <c r="EA120" s="53"/>
      <c r="EB120" s="32">
        <f t="shared" si="343"/>
        <v>0</v>
      </c>
      <c r="EC120" s="1088"/>
      <c r="ED120" s="53"/>
      <c r="EE120" s="32">
        <f t="shared" si="344"/>
        <v>0</v>
      </c>
      <c r="EF120" s="1088"/>
      <c r="EG120" s="53"/>
      <c r="EH120" s="32">
        <f t="shared" si="345"/>
        <v>0</v>
      </c>
      <c r="EI120" s="1088"/>
      <c r="EJ120" s="53"/>
      <c r="EK120" s="32">
        <f t="shared" si="346"/>
        <v>0</v>
      </c>
      <c r="EL120" s="1088"/>
      <c r="EM120" s="53"/>
      <c r="EN120" s="32">
        <f t="shared" si="347"/>
        <v>0</v>
      </c>
      <c r="EO120" s="1088"/>
      <c r="EP120" s="53"/>
      <c r="EQ120" s="32">
        <f t="shared" si="348"/>
        <v>0</v>
      </c>
      <c r="ER120" s="1088"/>
      <c r="ES120" s="53"/>
      <c r="ET120" s="32">
        <f t="shared" si="349"/>
        <v>0</v>
      </c>
      <c r="EU120" s="1088"/>
      <c r="EV120" s="53"/>
      <c r="EW120" s="32">
        <f t="shared" si="350"/>
        <v>0</v>
      </c>
      <c r="EX120" s="1088"/>
      <c r="EY120" s="53"/>
      <c r="EZ120" s="32">
        <f t="shared" si="351"/>
        <v>0</v>
      </c>
      <c r="FA120" s="1088"/>
      <c r="FD120"/>
      <c r="FE120"/>
      <c r="FF120"/>
      <c r="FG120"/>
      <c r="FH120"/>
      <c r="FI120"/>
    </row>
    <row r="121" spans="2:169" s="33" customFormat="1" hidden="1" outlineLevel="2">
      <c r="B121" s="54" t="s">
        <v>531</v>
      </c>
      <c r="D121" s="2" t="s">
        <v>506</v>
      </c>
      <c r="E121" s="53"/>
      <c r="F121" s="32">
        <f t="shared" si="301"/>
        <v>0</v>
      </c>
      <c r="G121" s="53"/>
      <c r="H121" s="53"/>
      <c r="I121" s="32">
        <f t="shared" si="302"/>
        <v>0</v>
      </c>
      <c r="J121" s="53"/>
      <c r="K121" s="53"/>
      <c r="L121" s="32">
        <f t="shared" si="303"/>
        <v>0</v>
      </c>
      <c r="M121" s="53"/>
      <c r="N121" s="53"/>
      <c r="O121" s="32">
        <f t="shared" si="304"/>
        <v>0</v>
      </c>
      <c r="P121" s="53"/>
      <c r="Q121" s="53"/>
      <c r="R121" s="32">
        <f t="shared" si="305"/>
        <v>0</v>
      </c>
      <c r="S121" s="53"/>
      <c r="T121" s="53"/>
      <c r="U121" s="32">
        <f t="shared" si="306"/>
        <v>0</v>
      </c>
      <c r="V121" s="53"/>
      <c r="W121" s="53"/>
      <c r="X121" s="32">
        <f t="shared" si="307"/>
        <v>0</v>
      </c>
      <c r="Y121" s="53"/>
      <c r="Z121" s="53"/>
      <c r="AA121" s="32">
        <f t="shared" si="308"/>
        <v>0</v>
      </c>
      <c r="AB121" s="53"/>
      <c r="AC121" s="53"/>
      <c r="AD121" s="32">
        <f t="shared" si="309"/>
        <v>0</v>
      </c>
      <c r="AE121" s="53"/>
      <c r="AF121" s="53"/>
      <c r="AG121" s="32">
        <f t="shared" si="310"/>
        <v>0</v>
      </c>
      <c r="AH121" s="53"/>
      <c r="AI121" s="53"/>
      <c r="AJ121" s="32">
        <f t="shared" si="311"/>
        <v>0</v>
      </c>
      <c r="AK121" s="53"/>
      <c r="AL121" s="53"/>
      <c r="AM121" s="32">
        <f t="shared" si="312"/>
        <v>0</v>
      </c>
      <c r="AN121" s="53"/>
      <c r="AO121" s="53"/>
      <c r="AP121" s="32">
        <f t="shared" si="313"/>
        <v>0</v>
      </c>
      <c r="AQ121" s="53"/>
      <c r="AR121" s="53"/>
      <c r="AS121" s="32">
        <f t="shared" si="314"/>
        <v>0</v>
      </c>
      <c r="AT121" s="53"/>
      <c r="AU121" s="53"/>
      <c r="AV121" s="32">
        <f t="shared" si="315"/>
        <v>0</v>
      </c>
      <c r="AW121" s="53"/>
      <c r="AX121" s="53"/>
      <c r="AY121" s="32">
        <f t="shared" si="316"/>
        <v>0</v>
      </c>
      <c r="AZ121" s="53"/>
      <c r="BA121" s="53"/>
      <c r="BB121" s="32">
        <f t="shared" si="317"/>
        <v>0</v>
      </c>
      <c r="BC121" s="53"/>
      <c r="BD121" s="53"/>
      <c r="BE121" s="32">
        <f t="shared" si="318"/>
        <v>0</v>
      </c>
      <c r="BF121" s="1098"/>
      <c r="BG121" s="1088"/>
      <c r="BH121" s="32">
        <f t="shared" si="319"/>
        <v>0</v>
      </c>
      <c r="BI121" s="1098"/>
      <c r="BJ121" s="1088"/>
      <c r="BK121" s="32">
        <f t="shared" si="320"/>
        <v>0</v>
      </c>
      <c r="BL121" s="1098"/>
      <c r="BM121" s="1088"/>
      <c r="BN121" s="32">
        <f t="shared" si="321"/>
        <v>0</v>
      </c>
      <c r="BO121" s="1098"/>
      <c r="BP121" s="1088"/>
      <c r="BQ121" s="32">
        <f t="shared" si="322"/>
        <v>0</v>
      </c>
      <c r="BR121" s="1098"/>
      <c r="BS121" s="1088"/>
      <c r="BT121" s="32">
        <f t="shared" si="323"/>
        <v>0</v>
      </c>
      <c r="BU121" s="1098"/>
      <c r="BV121" s="1088"/>
      <c r="BW121" s="32">
        <f t="shared" si="324"/>
        <v>0</v>
      </c>
      <c r="BX121" s="1098"/>
      <c r="BY121" s="1088"/>
      <c r="BZ121" s="32">
        <f t="shared" si="325"/>
        <v>0</v>
      </c>
      <c r="CA121" s="1098"/>
      <c r="CB121" s="1088"/>
      <c r="CC121" s="32">
        <f t="shared" si="326"/>
        <v>0</v>
      </c>
      <c r="CD121" s="1098"/>
      <c r="CE121" s="1088"/>
      <c r="CF121" s="32">
        <f t="shared" si="327"/>
        <v>0</v>
      </c>
      <c r="CG121" s="1098"/>
      <c r="CH121" s="1088"/>
      <c r="CI121" s="32">
        <f t="shared" si="328"/>
        <v>0</v>
      </c>
      <c r="CJ121" s="1098"/>
      <c r="CK121" s="1088"/>
      <c r="CL121" s="32">
        <f t="shared" si="329"/>
        <v>0</v>
      </c>
      <c r="CM121" s="1098"/>
      <c r="CN121" s="1088"/>
      <c r="CO121" s="32">
        <f t="shared" si="330"/>
        <v>0</v>
      </c>
      <c r="CP121" s="1098"/>
      <c r="CQ121" s="1088"/>
      <c r="CR121" s="32">
        <f t="shared" si="331"/>
        <v>0</v>
      </c>
      <c r="CS121" s="1098"/>
      <c r="CT121" s="1088"/>
      <c r="CU121" s="32">
        <f t="shared" si="332"/>
        <v>0</v>
      </c>
      <c r="CV121" s="1098"/>
      <c r="CW121" s="1088"/>
      <c r="CX121" s="32">
        <f t="shared" si="333"/>
        <v>0</v>
      </c>
      <c r="CY121" s="1098"/>
      <c r="CZ121" s="1088"/>
      <c r="DA121" s="32">
        <f t="shared" si="334"/>
        <v>0</v>
      </c>
      <c r="DB121" s="1098"/>
      <c r="DC121" s="1088"/>
      <c r="DD121" s="32">
        <f t="shared" si="335"/>
        <v>0</v>
      </c>
      <c r="DE121" s="1101"/>
      <c r="DF121" s="1088"/>
      <c r="DG121" s="32">
        <f t="shared" si="336"/>
        <v>0</v>
      </c>
      <c r="DH121" s="1101"/>
      <c r="DI121" s="1088"/>
      <c r="DJ121" s="32">
        <f t="shared" si="337"/>
        <v>0</v>
      </c>
      <c r="DK121" s="1101"/>
      <c r="DL121" s="53"/>
      <c r="DM121" s="32">
        <f t="shared" si="338"/>
        <v>0</v>
      </c>
      <c r="DN121" s="1088"/>
      <c r="DO121" s="53"/>
      <c r="DP121" s="32">
        <f t="shared" si="339"/>
        <v>0</v>
      </c>
      <c r="DQ121" s="1088"/>
      <c r="DR121" s="53"/>
      <c r="DS121" s="32">
        <f t="shared" si="340"/>
        <v>0</v>
      </c>
      <c r="DT121" s="1088"/>
      <c r="DU121" s="53"/>
      <c r="DV121" s="32">
        <f t="shared" si="341"/>
        <v>0</v>
      </c>
      <c r="DW121" s="1088"/>
      <c r="DX121" s="53"/>
      <c r="DY121" s="32">
        <f t="shared" si="342"/>
        <v>0</v>
      </c>
      <c r="DZ121" s="1088"/>
      <c r="EA121" s="53"/>
      <c r="EB121" s="32">
        <f t="shared" si="343"/>
        <v>0</v>
      </c>
      <c r="EC121" s="1088"/>
      <c r="ED121" s="53"/>
      <c r="EE121" s="32">
        <f t="shared" si="344"/>
        <v>0</v>
      </c>
      <c r="EF121" s="1088"/>
      <c r="EG121" s="53"/>
      <c r="EH121" s="32">
        <f t="shared" si="345"/>
        <v>0</v>
      </c>
      <c r="EI121" s="1088"/>
      <c r="EJ121" s="53"/>
      <c r="EK121" s="32">
        <f t="shared" si="346"/>
        <v>0</v>
      </c>
      <c r="EL121" s="1088"/>
      <c r="EM121" s="53"/>
      <c r="EN121" s="32">
        <f t="shared" si="347"/>
        <v>0</v>
      </c>
      <c r="EO121" s="1088"/>
      <c r="EP121" s="53"/>
      <c r="EQ121" s="32">
        <f t="shared" si="348"/>
        <v>0</v>
      </c>
      <c r="ER121" s="1088"/>
      <c r="ES121" s="53"/>
      <c r="ET121" s="32">
        <f t="shared" si="349"/>
        <v>0</v>
      </c>
      <c r="EU121" s="1088"/>
      <c r="EV121" s="53"/>
      <c r="EW121" s="32">
        <f t="shared" si="350"/>
        <v>0</v>
      </c>
      <c r="EX121" s="1088"/>
      <c r="EY121" s="53"/>
      <c r="EZ121" s="32">
        <f t="shared" si="351"/>
        <v>0</v>
      </c>
      <c r="FA121" s="1088"/>
      <c r="FD121"/>
      <c r="FE121"/>
      <c r="FF121"/>
      <c r="FG121"/>
      <c r="FH121"/>
      <c r="FI121"/>
    </row>
    <row r="122" spans="2:169" s="33" customFormat="1" hidden="1" outlineLevel="2">
      <c r="B122" s="54" t="s">
        <v>545</v>
      </c>
      <c r="D122" s="2" t="s">
        <v>506</v>
      </c>
      <c r="E122" s="53"/>
      <c r="F122" s="32">
        <f t="shared" si="301"/>
        <v>0</v>
      </c>
      <c r="G122" s="53"/>
      <c r="H122" s="53"/>
      <c r="I122" s="32">
        <f t="shared" si="302"/>
        <v>0</v>
      </c>
      <c r="J122" s="53"/>
      <c r="K122" s="53"/>
      <c r="L122" s="32">
        <f t="shared" si="303"/>
        <v>0</v>
      </c>
      <c r="M122" s="53"/>
      <c r="N122" s="53"/>
      <c r="O122" s="32">
        <f t="shared" si="304"/>
        <v>0</v>
      </c>
      <c r="P122" s="53"/>
      <c r="Q122" s="53"/>
      <c r="R122" s="32">
        <f t="shared" si="305"/>
        <v>0</v>
      </c>
      <c r="S122" s="53"/>
      <c r="T122" s="53"/>
      <c r="U122" s="32">
        <f t="shared" si="306"/>
        <v>0</v>
      </c>
      <c r="V122" s="53"/>
      <c r="W122" s="53"/>
      <c r="X122" s="32">
        <f t="shared" si="307"/>
        <v>0</v>
      </c>
      <c r="Y122" s="53"/>
      <c r="Z122" s="53"/>
      <c r="AA122" s="32">
        <f t="shared" si="308"/>
        <v>0</v>
      </c>
      <c r="AB122" s="53"/>
      <c r="AC122" s="53"/>
      <c r="AD122" s="32">
        <f t="shared" si="309"/>
        <v>0</v>
      </c>
      <c r="AE122" s="53"/>
      <c r="AF122" s="53"/>
      <c r="AG122" s="32">
        <f t="shared" si="310"/>
        <v>0</v>
      </c>
      <c r="AH122" s="53"/>
      <c r="AI122" s="53"/>
      <c r="AJ122" s="32">
        <f t="shared" si="311"/>
        <v>0</v>
      </c>
      <c r="AK122" s="53"/>
      <c r="AL122" s="53"/>
      <c r="AM122" s="32">
        <f t="shared" si="312"/>
        <v>0</v>
      </c>
      <c r="AN122" s="53"/>
      <c r="AO122" s="53"/>
      <c r="AP122" s="32">
        <f t="shared" si="313"/>
        <v>0</v>
      </c>
      <c r="AQ122" s="53"/>
      <c r="AR122" s="53"/>
      <c r="AS122" s="32">
        <f t="shared" si="314"/>
        <v>0</v>
      </c>
      <c r="AT122" s="53"/>
      <c r="AU122" s="53"/>
      <c r="AV122" s="32">
        <f t="shared" si="315"/>
        <v>0</v>
      </c>
      <c r="AW122" s="53"/>
      <c r="AX122" s="53"/>
      <c r="AY122" s="32">
        <f t="shared" si="316"/>
        <v>0</v>
      </c>
      <c r="AZ122" s="53"/>
      <c r="BA122" s="53"/>
      <c r="BB122" s="32">
        <f t="shared" si="317"/>
        <v>0</v>
      </c>
      <c r="BC122" s="53"/>
      <c r="BD122" s="53"/>
      <c r="BE122" s="32">
        <f t="shared" si="318"/>
        <v>0</v>
      </c>
      <c r="BF122" s="1098"/>
      <c r="BG122" s="1088"/>
      <c r="BH122" s="32">
        <f t="shared" si="319"/>
        <v>0</v>
      </c>
      <c r="BI122" s="1098"/>
      <c r="BJ122" s="1088"/>
      <c r="BK122" s="32">
        <f t="shared" si="320"/>
        <v>0</v>
      </c>
      <c r="BL122" s="1098"/>
      <c r="BM122" s="1088"/>
      <c r="BN122" s="32">
        <f t="shared" si="321"/>
        <v>0</v>
      </c>
      <c r="BO122" s="1098"/>
      <c r="BP122" s="1088"/>
      <c r="BQ122" s="32">
        <f t="shared" si="322"/>
        <v>0</v>
      </c>
      <c r="BR122" s="1098"/>
      <c r="BS122" s="1088"/>
      <c r="BT122" s="32">
        <f t="shared" si="323"/>
        <v>0</v>
      </c>
      <c r="BU122" s="1098"/>
      <c r="BV122" s="1088"/>
      <c r="BW122" s="32">
        <f t="shared" si="324"/>
        <v>0</v>
      </c>
      <c r="BX122" s="1098"/>
      <c r="BY122" s="1088"/>
      <c r="BZ122" s="32">
        <f t="shared" si="325"/>
        <v>0</v>
      </c>
      <c r="CA122" s="1098"/>
      <c r="CB122" s="1088"/>
      <c r="CC122" s="32">
        <f t="shared" si="326"/>
        <v>0</v>
      </c>
      <c r="CD122" s="1098"/>
      <c r="CE122" s="1088"/>
      <c r="CF122" s="32">
        <f t="shared" si="327"/>
        <v>0</v>
      </c>
      <c r="CG122" s="1098"/>
      <c r="CH122" s="1088"/>
      <c r="CI122" s="32">
        <f t="shared" si="328"/>
        <v>0</v>
      </c>
      <c r="CJ122" s="1098"/>
      <c r="CK122" s="1088"/>
      <c r="CL122" s="32">
        <f t="shared" si="329"/>
        <v>0</v>
      </c>
      <c r="CM122" s="1098"/>
      <c r="CN122" s="1088"/>
      <c r="CO122" s="32">
        <f t="shared" si="330"/>
        <v>0</v>
      </c>
      <c r="CP122" s="1098"/>
      <c r="CQ122" s="1088"/>
      <c r="CR122" s="32">
        <f t="shared" si="331"/>
        <v>0</v>
      </c>
      <c r="CS122" s="1098"/>
      <c r="CT122" s="1088"/>
      <c r="CU122" s="32">
        <f t="shared" si="332"/>
        <v>0</v>
      </c>
      <c r="CV122" s="1098"/>
      <c r="CW122" s="1088"/>
      <c r="CX122" s="32">
        <f t="shared" si="333"/>
        <v>0</v>
      </c>
      <c r="CY122" s="1098"/>
      <c r="CZ122" s="1088"/>
      <c r="DA122" s="32">
        <f t="shared" si="334"/>
        <v>0</v>
      </c>
      <c r="DB122" s="1098"/>
      <c r="DC122" s="1088"/>
      <c r="DD122" s="32">
        <f t="shared" si="335"/>
        <v>0</v>
      </c>
      <c r="DE122" s="1101"/>
      <c r="DF122" s="1088"/>
      <c r="DG122" s="32">
        <f t="shared" si="336"/>
        <v>0</v>
      </c>
      <c r="DH122" s="1101"/>
      <c r="DI122" s="1088"/>
      <c r="DJ122" s="32">
        <f t="shared" si="337"/>
        <v>0</v>
      </c>
      <c r="DK122" s="1101"/>
      <c r="DL122" s="53"/>
      <c r="DM122" s="32">
        <f t="shared" si="338"/>
        <v>0</v>
      </c>
      <c r="DN122" s="1088"/>
      <c r="DO122" s="53"/>
      <c r="DP122" s="32">
        <f t="shared" si="339"/>
        <v>0</v>
      </c>
      <c r="DQ122" s="1088"/>
      <c r="DR122" s="53"/>
      <c r="DS122" s="32">
        <f t="shared" si="340"/>
        <v>0</v>
      </c>
      <c r="DT122" s="1088"/>
      <c r="DU122" s="53"/>
      <c r="DV122" s="32">
        <f t="shared" si="341"/>
        <v>0</v>
      </c>
      <c r="DW122" s="1088"/>
      <c r="DX122" s="53"/>
      <c r="DY122" s="32">
        <f t="shared" si="342"/>
        <v>0</v>
      </c>
      <c r="DZ122" s="1088"/>
      <c r="EA122" s="53"/>
      <c r="EB122" s="32">
        <f t="shared" si="343"/>
        <v>0</v>
      </c>
      <c r="EC122" s="1088"/>
      <c r="ED122" s="53"/>
      <c r="EE122" s="32">
        <f t="shared" si="344"/>
        <v>0</v>
      </c>
      <c r="EF122" s="1088"/>
      <c r="EG122" s="53"/>
      <c r="EH122" s="32">
        <f t="shared" si="345"/>
        <v>0</v>
      </c>
      <c r="EI122" s="1088"/>
      <c r="EJ122" s="53"/>
      <c r="EK122" s="32">
        <f t="shared" si="346"/>
        <v>0</v>
      </c>
      <c r="EL122" s="1088"/>
      <c r="EM122" s="53"/>
      <c r="EN122" s="32">
        <f t="shared" si="347"/>
        <v>0</v>
      </c>
      <c r="EO122" s="1088"/>
      <c r="EP122" s="53"/>
      <c r="EQ122" s="32">
        <f t="shared" si="348"/>
        <v>0</v>
      </c>
      <c r="ER122" s="1088"/>
      <c r="ES122" s="53"/>
      <c r="ET122" s="32">
        <f t="shared" si="349"/>
        <v>0</v>
      </c>
      <c r="EU122" s="1088"/>
      <c r="EV122" s="53"/>
      <c r="EW122" s="32">
        <f t="shared" si="350"/>
        <v>0</v>
      </c>
      <c r="EX122" s="1088"/>
      <c r="EY122" s="53"/>
      <c r="EZ122" s="32">
        <f t="shared" si="351"/>
        <v>0</v>
      </c>
      <c r="FA122" s="1088"/>
      <c r="FD122"/>
      <c r="FE122"/>
      <c r="FF122"/>
      <c r="FG122"/>
      <c r="FH122"/>
      <c r="FI122"/>
    </row>
    <row r="123" spans="2:169" s="33" customFormat="1" hidden="1" outlineLevel="2">
      <c r="B123" s="54" t="s">
        <v>532</v>
      </c>
      <c r="D123" s="2" t="s">
        <v>506</v>
      </c>
      <c r="E123" s="53"/>
      <c r="F123" s="32">
        <f t="shared" si="301"/>
        <v>0</v>
      </c>
      <c r="G123" s="53"/>
      <c r="H123" s="53"/>
      <c r="I123" s="32">
        <f t="shared" si="302"/>
        <v>0</v>
      </c>
      <c r="J123" s="53"/>
      <c r="K123" s="53"/>
      <c r="L123" s="32">
        <f t="shared" si="303"/>
        <v>0</v>
      </c>
      <c r="M123" s="53"/>
      <c r="N123" s="53"/>
      <c r="O123" s="32">
        <f t="shared" si="304"/>
        <v>0</v>
      </c>
      <c r="P123" s="53"/>
      <c r="Q123" s="53"/>
      <c r="R123" s="32">
        <f t="shared" si="305"/>
        <v>0</v>
      </c>
      <c r="S123" s="53"/>
      <c r="T123" s="53"/>
      <c r="U123" s="32">
        <f t="shared" si="306"/>
        <v>0</v>
      </c>
      <c r="V123" s="53"/>
      <c r="W123" s="53"/>
      <c r="X123" s="32">
        <f t="shared" si="307"/>
        <v>0</v>
      </c>
      <c r="Y123" s="53"/>
      <c r="Z123" s="53"/>
      <c r="AA123" s="32">
        <f t="shared" si="308"/>
        <v>0</v>
      </c>
      <c r="AB123" s="53"/>
      <c r="AC123" s="53"/>
      <c r="AD123" s="32">
        <f t="shared" si="309"/>
        <v>0</v>
      </c>
      <c r="AE123" s="53"/>
      <c r="AF123" s="53"/>
      <c r="AG123" s="32">
        <f t="shared" si="310"/>
        <v>0</v>
      </c>
      <c r="AH123" s="53"/>
      <c r="AI123" s="53"/>
      <c r="AJ123" s="32">
        <f t="shared" si="311"/>
        <v>0</v>
      </c>
      <c r="AK123" s="53"/>
      <c r="AL123" s="53"/>
      <c r="AM123" s="32">
        <f t="shared" si="312"/>
        <v>0</v>
      </c>
      <c r="AN123" s="53"/>
      <c r="AO123" s="53"/>
      <c r="AP123" s="32">
        <f t="shared" si="313"/>
        <v>0</v>
      </c>
      <c r="AQ123" s="53"/>
      <c r="AR123" s="53"/>
      <c r="AS123" s="32">
        <f t="shared" si="314"/>
        <v>0</v>
      </c>
      <c r="AT123" s="53"/>
      <c r="AU123" s="53"/>
      <c r="AV123" s="32">
        <f t="shared" si="315"/>
        <v>0</v>
      </c>
      <c r="AW123" s="53"/>
      <c r="AX123" s="53"/>
      <c r="AY123" s="32">
        <f t="shared" si="316"/>
        <v>0</v>
      </c>
      <c r="AZ123" s="53"/>
      <c r="BA123" s="53"/>
      <c r="BB123" s="32">
        <f t="shared" si="317"/>
        <v>0</v>
      </c>
      <c r="BC123" s="53"/>
      <c r="BD123" s="53"/>
      <c r="BE123" s="32">
        <f t="shared" si="318"/>
        <v>0</v>
      </c>
      <c r="BF123" s="1098"/>
      <c r="BG123" s="1088"/>
      <c r="BH123" s="32">
        <f t="shared" si="319"/>
        <v>0</v>
      </c>
      <c r="BI123" s="1098"/>
      <c r="BJ123" s="1088"/>
      <c r="BK123" s="32">
        <f t="shared" si="320"/>
        <v>0</v>
      </c>
      <c r="BL123" s="1098"/>
      <c r="BM123" s="1088"/>
      <c r="BN123" s="32">
        <f t="shared" si="321"/>
        <v>0</v>
      </c>
      <c r="BO123" s="1098"/>
      <c r="BP123" s="1088"/>
      <c r="BQ123" s="32">
        <f t="shared" si="322"/>
        <v>0</v>
      </c>
      <c r="BR123" s="1098"/>
      <c r="BS123" s="1088"/>
      <c r="BT123" s="32">
        <f t="shared" si="323"/>
        <v>0</v>
      </c>
      <c r="BU123" s="1098"/>
      <c r="BV123" s="1088"/>
      <c r="BW123" s="32">
        <f t="shared" si="324"/>
        <v>0</v>
      </c>
      <c r="BX123" s="1098"/>
      <c r="BY123" s="1088"/>
      <c r="BZ123" s="32">
        <f t="shared" si="325"/>
        <v>0</v>
      </c>
      <c r="CA123" s="1098"/>
      <c r="CB123" s="1088"/>
      <c r="CC123" s="32">
        <f t="shared" si="326"/>
        <v>0</v>
      </c>
      <c r="CD123" s="1098"/>
      <c r="CE123" s="1088"/>
      <c r="CF123" s="32">
        <f t="shared" si="327"/>
        <v>0</v>
      </c>
      <c r="CG123" s="1098"/>
      <c r="CH123" s="1088"/>
      <c r="CI123" s="32">
        <f t="shared" si="328"/>
        <v>0</v>
      </c>
      <c r="CJ123" s="1098"/>
      <c r="CK123" s="1088"/>
      <c r="CL123" s="32">
        <f t="shared" si="329"/>
        <v>0</v>
      </c>
      <c r="CM123" s="1098"/>
      <c r="CN123" s="1088"/>
      <c r="CO123" s="32">
        <f t="shared" si="330"/>
        <v>0</v>
      </c>
      <c r="CP123" s="1098"/>
      <c r="CQ123" s="1088"/>
      <c r="CR123" s="32">
        <f t="shared" si="331"/>
        <v>0</v>
      </c>
      <c r="CS123" s="1098"/>
      <c r="CT123" s="1088"/>
      <c r="CU123" s="32">
        <f t="shared" si="332"/>
        <v>0</v>
      </c>
      <c r="CV123" s="1098"/>
      <c r="CW123" s="1088"/>
      <c r="CX123" s="32">
        <f t="shared" si="333"/>
        <v>0</v>
      </c>
      <c r="CY123" s="1098"/>
      <c r="CZ123" s="1088"/>
      <c r="DA123" s="32">
        <f t="shared" si="334"/>
        <v>0</v>
      </c>
      <c r="DB123" s="1098"/>
      <c r="DC123" s="1088"/>
      <c r="DD123" s="32">
        <f t="shared" si="335"/>
        <v>0</v>
      </c>
      <c r="DE123" s="1101"/>
      <c r="DF123" s="1088"/>
      <c r="DG123" s="32">
        <f t="shared" si="336"/>
        <v>0</v>
      </c>
      <c r="DH123" s="1101"/>
      <c r="DI123" s="1088"/>
      <c r="DJ123" s="32">
        <f t="shared" si="337"/>
        <v>0</v>
      </c>
      <c r="DK123" s="1101"/>
      <c r="DL123" s="53"/>
      <c r="DM123" s="32">
        <f t="shared" si="338"/>
        <v>0</v>
      </c>
      <c r="DN123" s="1088"/>
      <c r="DO123" s="53"/>
      <c r="DP123" s="32">
        <f t="shared" si="339"/>
        <v>0</v>
      </c>
      <c r="DQ123" s="1088"/>
      <c r="DR123" s="53"/>
      <c r="DS123" s="32">
        <f t="shared" si="340"/>
        <v>0</v>
      </c>
      <c r="DT123" s="1088"/>
      <c r="DU123" s="53"/>
      <c r="DV123" s="32">
        <f t="shared" si="341"/>
        <v>0</v>
      </c>
      <c r="DW123" s="1088"/>
      <c r="DX123" s="53"/>
      <c r="DY123" s="32">
        <f t="shared" si="342"/>
        <v>0</v>
      </c>
      <c r="DZ123" s="1088"/>
      <c r="EA123" s="53"/>
      <c r="EB123" s="32">
        <f t="shared" si="343"/>
        <v>0</v>
      </c>
      <c r="EC123" s="1088"/>
      <c r="ED123" s="53"/>
      <c r="EE123" s="32">
        <f t="shared" si="344"/>
        <v>0</v>
      </c>
      <c r="EF123" s="1088"/>
      <c r="EG123" s="53"/>
      <c r="EH123" s="32">
        <f t="shared" si="345"/>
        <v>0</v>
      </c>
      <c r="EI123" s="1088"/>
      <c r="EJ123" s="53"/>
      <c r="EK123" s="32">
        <f t="shared" si="346"/>
        <v>0</v>
      </c>
      <c r="EL123" s="1088"/>
      <c r="EM123" s="53"/>
      <c r="EN123" s="32">
        <f t="shared" si="347"/>
        <v>0</v>
      </c>
      <c r="EO123" s="1088"/>
      <c r="EP123" s="53"/>
      <c r="EQ123" s="32">
        <f t="shared" si="348"/>
        <v>0</v>
      </c>
      <c r="ER123" s="1088"/>
      <c r="ES123" s="53"/>
      <c r="ET123" s="32">
        <f t="shared" si="349"/>
        <v>0</v>
      </c>
      <c r="EU123" s="1088"/>
      <c r="EV123" s="53"/>
      <c r="EW123" s="32">
        <f t="shared" si="350"/>
        <v>0</v>
      </c>
      <c r="EX123" s="1088"/>
      <c r="EY123" s="53"/>
      <c r="EZ123" s="32">
        <f t="shared" si="351"/>
        <v>0</v>
      </c>
      <c r="FA123" s="1088"/>
      <c r="FD123"/>
      <c r="FE123"/>
      <c r="FF123"/>
      <c r="FG123"/>
      <c r="FH123"/>
      <c r="FI123"/>
    </row>
    <row r="124" spans="2:169" s="33" customFormat="1" hidden="1" outlineLevel="2">
      <c r="B124" s="54" t="s">
        <v>545</v>
      </c>
      <c r="D124" s="2" t="s">
        <v>506</v>
      </c>
      <c r="E124" s="53"/>
      <c r="F124" s="32">
        <f t="shared" si="301"/>
        <v>0</v>
      </c>
      <c r="G124" s="53"/>
      <c r="H124" s="53"/>
      <c r="I124" s="32">
        <f t="shared" si="302"/>
        <v>0</v>
      </c>
      <c r="J124" s="53"/>
      <c r="K124" s="53"/>
      <c r="L124" s="32">
        <f t="shared" si="303"/>
        <v>0</v>
      </c>
      <c r="M124" s="53"/>
      <c r="N124" s="53"/>
      <c r="O124" s="32">
        <f t="shared" si="304"/>
        <v>0</v>
      </c>
      <c r="P124" s="53"/>
      <c r="Q124" s="53"/>
      <c r="R124" s="32">
        <f t="shared" si="305"/>
        <v>0</v>
      </c>
      <c r="S124" s="53"/>
      <c r="T124" s="53"/>
      <c r="U124" s="32">
        <f t="shared" si="306"/>
        <v>0</v>
      </c>
      <c r="V124" s="53"/>
      <c r="W124" s="53"/>
      <c r="X124" s="32">
        <f t="shared" si="307"/>
        <v>0</v>
      </c>
      <c r="Y124" s="53"/>
      <c r="Z124" s="53"/>
      <c r="AA124" s="32">
        <f t="shared" si="308"/>
        <v>0</v>
      </c>
      <c r="AB124" s="53"/>
      <c r="AC124" s="53"/>
      <c r="AD124" s="32">
        <f t="shared" si="309"/>
        <v>0</v>
      </c>
      <c r="AE124" s="53"/>
      <c r="AF124" s="53"/>
      <c r="AG124" s="32">
        <f t="shared" si="310"/>
        <v>0</v>
      </c>
      <c r="AH124" s="53"/>
      <c r="AI124" s="53"/>
      <c r="AJ124" s="32">
        <f t="shared" si="311"/>
        <v>0</v>
      </c>
      <c r="AK124" s="53"/>
      <c r="AL124" s="53"/>
      <c r="AM124" s="32">
        <f t="shared" si="312"/>
        <v>0</v>
      </c>
      <c r="AN124" s="53"/>
      <c r="AO124" s="53"/>
      <c r="AP124" s="32">
        <f t="shared" si="313"/>
        <v>0</v>
      </c>
      <c r="AQ124" s="53"/>
      <c r="AR124" s="53"/>
      <c r="AS124" s="32">
        <f t="shared" si="314"/>
        <v>0</v>
      </c>
      <c r="AT124" s="53"/>
      <c r="AU124" s="53"/>
      <c r="AV124" s="32">
        <f t="shared" si="315"/>
        <v>0</v>
      </c>
      <c r="AW124" s="53"/>
      <c r="AX124" s="53"/>
      <c r="AY124" s="32">
        <f t="shared" si="316"/>
        <v>0</v>
      </c>
      <c r="AZ124" s="53"/>
      <c r="BA124" s="53"/>
      <c r="BB124" s="32">
        <f t="shared" si="317"/>
        <v>0</v>
      </c>
      <c r="BC124" s="53"/>
      <c r="BD124" s="53"/>
      <c r="BE124" s="32">
        <f t="shared" si="318"/>
        <v>0</v>
      </c>
      <c r="BF124" s="1098"/>
      <c r="BG124" s="1088"/>
      <c r="BH124" s="32">
        <f t="shared" si="319"/>
        <v>0</v>
      </c>
      <c r="BI124" s="1098"/>
      <c r="BJ124" s="1088"/>
      <c r="BK124" s="32">
        <f t="shared" si="320"/>
        <v>0</v>
      </c>
      <c r="BL124" s="1098"/>
      <c r="BM124" s="1088"/>
      <c r="BN124" s="32">
        <f t="shared" si="321"/>
        <v>0</v>
      </c>
      <c r="BO124" s="1098"/>
      <c r="BP124" s="1088"/>
      <c r="BQ124" s="32">
        <f t="shared" si="322"/>
        <v>0</v>
      </c>
      <c r="BR124" s="1098"/>
      <c r="BS124" s="1088"/>
      <c r="BT124" s="32">
        <f t="shared" si="323"/>
        <v>0</v>
      </c>
      <c r="BU124" s="1098"/>
      <c r="BV124" s="1088"/>
      <c r="BW124" s="32">
        <f t="shared" si="324"/>
        <v>0</v>
      </c>
      <c r="BX124" s="1098"/>
      <c r="BY124" s="1088"/>
      <c r="BZ124" s="32">
        <f t="shared" si="325"/>
        <v>0</v>
      </c>
      <c r="CA124" s="1098"/>
      <c r="CB124" s="1088"/>
      <c r="CC124" s="32">
        <f t="shared" si="326"/>
        <v>0</v>
      </c>
      <c r="CD124" s="1098"/>
      <c r="CE124" s="1088"/>
      <c r="CF124" s="32">
        <f t="shared" si="327"/>
        <v>0</v>
      </c>
      <c r="CG124" s="1098"/>
      <c r="CH124" s="1088"/>
      <c r="CI124" s="32">
        <f t="shared" si="328"/>
        <v>0</v>
      </c>
      <c r="CJ124" s="1098"/>
      <c r="CK124" s="1088"/>
      <c r="CL124" s="32">
        <f t="shared" si="329"/>
        <v>0</v>
      </c>
      <c r="CM124" s="1098"/>
      <c r="CN124" s="1088"/>
      <c r="CO124" s="32">
        <f t="shared" si="330"/>
        <v>0</v>
      </c>
      <c r="CP124" s="1098"/>
      <c r="CQ124" s="1088"/>
      <c r="CR124" s="32">
        <f t="shared" si="331"/>
        <v>0</v>
      </c>
      <c r="CS124" s="1098"/>
      <c r="CT124" s="1088"/>
      <c r="CU124" s="32">
        <f t="shared" si="332"/>
        <v>0</v>
      </c>
      <c r="CV124" s="1098"/>
      <c r="CW124" s="1088"/>
      <c r="CX124" s="32">
        <f t="shared" si="333"/>
        <v>0</v>
      </c>
      <c r="CY124" s="1098"/>
      <c r="CZ124" s="1088"/>
      <c r="DA124" s="32">
        <f t="shared" si="334"/>
        <v>0</v>
      </c>
      <c r="DB124" s="1098"/>
      <c r="DC124" s="1088"/>
      <c r="DD124" s="32">
        <f t="shared" si="335"/>
        <v>0</v>
      </c>
      <c r="DE124" s="1101"/>
      <c r="DF124" s="1088"/>
      <c r="DG124" s="32">
        <f t="shared" si="336"/>
        <v>0</v>
      </c>
      <c r="DH124" s="1101"/>
      <c r="DI124" s="1088"/>
      <c r="DJ124" s="32">
        <f t="shared" si="337"/>
        <v>0</v>
      </c>
      <c r="DK124" s="1101"/>
      <c r="DL124" s="53"/>
      <c r="DM124" s="32">
        <f t="shared" si="338"/>
        <v>0</v>
      </c>
      <c r="DN124" s="1088"/>
      <c r="DO124" s="53"/>
      <c r="DP124" s="32">
        <f t="shared" si="339"/>
        <v>0</v>
      </c>
      <c r="DQ124" s="1088"/>
      <c r="DR124" s="53"/>
      <c r="DS124" s="32">
        <f t="shared" si="340"/>
        <v>0</v>
      </c>
      <c r="DT124" s="1088"/>
      <c r="DU124" s="53"/>
      <c r="DV124" s="32">
        <f t="shared" si="341"/>
        <v>0</v>
      </c>
      <c r="DW124" s="1088"/>
      <c r="DX124" s="53"/>
      <c r="DY124" s="32">
        <f t="shared" si="342"/>
        <v>0</v>
      </c>
      <c r="DZ124" s="1088"/>
      <c r="EA124" s="53"/>
      <c r="EB124" s="32">
        <f t="shared" si="343"/>
        <v>0</v>
      </c>
      <c r="EC124" s="1088"/>
      <c r="ED124" s="53"/>
      <c r="EE124" s="32">
        <f t="shared" si="344"/>
        <v>0</v>
      </c>
      <c r="EF124" s="1088"/>
      <c r="EG124" s="53"/>
      <c r="EH124" s="32">
        <f t="shared" si="345"/>
        <v>0</v>
      </c>
      <c r="EI124" s="1088"/>
      <c r="EJ124" s="53"/>
      <c r="EK124" s="32">
        <f t="shared" si="346"/>
        <v>0</v>
      </c>
      <c r="EL124" s="1088"/>
      <c r="EM124" s="53"/>
      <c r="EN124" s="32">
        <f t="shared" si="347"/>
        <v>0</v>
      </c>
      <c r="EO124" s="1088"/>
      <c r="EP124" s="53"/>
      <c r="EQ124" s="32">
        <f t="shared" si="348"/>
        <v>0</v>
      </c>
      <c r="ER124" s="1088"/>
      <c r="ES124" s="53"/>
      <c r="ET124" s="32">
        <f t="shared" si="349"/>
        <v>0</v>
      </c>
      <c r="EU124" s="1088"/>
      <c r="EV124" s="53"/>
      <c r="EW124" s="32">
        <f t="shared" si="350"/>
        <v>0</v>
      </c>
      <c r="EX124" s="1088"/>
      <c r="EY124" s="53"/>
      <c r="EZ124" s="32">
        <f t="shared" si="351"/>
        <v>0</v>
      </c>
      <c r="FA124" s="1088"/>
      <c r="FD124"/>
      <c r="FE124"/>
      <c r="FF124"/>
      <c r="FG124"/>
      <c r="FH124"/>
      <c r="FI124"/>
    </row>
    <row r="125" spans="2:169" s="33" customFormat="1" hidden="1" outlineLevel="2">
      <c r="B125" s="54" t="s">
        <v>533</v>
      </c>
      <c r="D125" s="2" t="s">
        <v>506</v>
      </c>
      <c r="E125" s="53"/>
      <c r="F125" s="32">
        <f t="shared" si="301"/>
        <v>0</v>
      </c>
      <c r="G125" s="53"/>
      <c r="H125" s="53"/>
      <c r="I125" s="32">
        <f t="shared" si="302"/>
        <v>0</v>
      </c>
      <c r="J125" s="53"/>
      <c r="K125" s="53"/>
      <c r="L125" s="32">
        <f t="shared" si="303"/>
        <v>0</v>
      </c>
      <c r="M125" s="53"/>
      <c r="N125" s="53"/>
      <c r="O125" s="32">
        <f t="shared" si="304"/>
        <v>0</v>
      </c>
      <c r="P125" s="53"/>
      <c r="Q125" s="53"/>
      <c r="R125" s="32">
        <f t="shared" si="305"/>
        <v>0</v>
      </c>
      <c r="S125" s="53"/>
      <c r="T125" s="53"/>
      <c r="U125" s="32">
        <f t="shared" si="306"/>
        <v>0</v>
      </c>
      <c r="V125" s="53"/>
      <c r="W125" s="53"/>
      <c r="X125" s="32">
        <f t="shared" si="307"/>
        <v>0</v>
      </c>
      <c r="Y125" s="53"/>
      <c r="Z125" s="53"/>
      <c r="AA125" s="32">
        <f t="shared" si="308"/>
        <v>0</v>
      </c>
      <c r="AB125" s="53"/>
      <c r="AC125" s="53"/>
      <c r="AD125" s="32">
        <f t="shared" si="309"/>
        <v>0</v>
      </c>
      <c r="AE125" s="53"/>
      <c r="AF125" s="53"/>
      <c r="AG125" s="32">
        <f t="shared" si="310"/>
        <v>0</v>
      </c>
      <c r="AH125" s="53"/>
      <c r="AI125" s="53"/>
      <c r="AJ125" s="32">
        <f t="shared" si="311"/>
        <v>0</v>
      </c>
      <c r="AK125" s="53"/>
      <c r="AL125" s="53"/>
      <c r="AM125" s="32">
        <f t="shared" si="312"/>
        <v>0</v>
      </c>
      <c r="AN125" s="53"/>
      <c r="AO125" s="53"/>
      <c r="AP125" s="32">
        <f t="shared" si="313"/>
        <v>0</v>
      </c>
      <c r="AQ125" s="53"/>
      <c r="AR125" s="53"/>
      <c r="AS125" s="32">
        <f t="shared" si="314"/>
        <v>0</v>
      </c>
      <c r="AT125" s="53"/>
      <c r="AU125" s="53"/>
      <c r="AV125" s="32">
        <f t="shared" si="315"/>
        <v>0</v>
      </c>
      <c r="AW125" s="53"/>
      <c r="AX125" s="53"/>
      <c r="AY125" s="32">
        <f t="shared" si="316"/>
        <v>0</v>
      </c>
      <c r="AZ125" s="53"/>
      <c r="BA125" s="53"/>
      <c r="BB125" s="32">
        <f t="shared" si="317"/>
        <v>0</v>
      </c>
      <c r="BC125" s="53"/>
      <c r="BD125" s="53"/>
      <c r="BE125" s="32">
        <f t="shared" si="318"/>
        <v>0</v>
      </c>
      <c r="BF125" s="1098"/>
      <c r="BG125" s="1088"/>
      <c r="BH125" s="32">
        <f t="shared" si="319"/>
        <v>0</v>
      </c>
      <c r="BI125" s="1098"/>
      <c r="BJ125" s="1088"/>
      <c r="BK125" s="32">
        <f t="shared" si="320"/>
        <v>0</v>
      </c>
      <c r="BL125" s="1098"/>
      <c r="BM125" s="1088"/>
      <c r="BN125" s="32">
        <f t="shared" si="321"/>
        <v>0</v>
      </c>
      <c r="BO125" s="1098"/>
      <c r="BP125" s="1088"/>
      <c r="BQ125" s="32">
        <f t="shared" si="322"/>
        <v>0</v>
      </c>
      <c r="BR125" s="1098"/>
      <c r="BS125" s="1088"/>
      <c r="BT125" s="32">
        <f t="shared" si="323"/>
        <v>0</v>
      </c>
      <c r="BU125" s="1098"/>
      <c r="BV125" s="1088"/>
      <c r="BW125" s="32">
        <f t="shared" si="324"/>
        <v>0</v>
      </c>
      <c r="BX125" s="1098"/>
      <c r="BY125" s="1088"/>
      <c r="BZ125" s="32">
        <f t="shared" si="325"/>
        <v>0</v>
      </c>
      <c r="CA125" s="1098"/>
      <c r="CB125" s="1088"/>
      <c r="CC125" s="32">
        <f t="shared" si="326"/>
        <v>0</v>
      </c>
      <c r="CD125" s="1098"/>
      <c r="CE125" s="1088"/>
      <c r="CF125" s="32">
        <f t="shared" si="327"/>
        <v>0</v>
      </c>
      <c r="CG125" s="1098"/>
      <c r="CH125" s="1088"/>
      <c r="CI125" s="32">
        <f t="shared" si="328"/>
        <v>0</v>
      </c>
      <c r="CJ125" s="1098"/>
      <c r="CK125" s="1088"/>
      <c r="CL125" s="32">
        <f t="shared" si="329"/>
        <v>0</v>
      </c>
      <c r="CM125" s="1098"/>
      <c r="CN125" s="1088"/>
      <c r="CO125" s="32">
        <f t="shared" si="330"/>
        <v>0</v>
      </c>
      <c r="CP125" s="1098"/>
      <c r="CQ125" s="1088"/>
      <c r="CR125" s="32">
        <f t="shared" si="331"/>
        <v>0</v>
      </c>
      <c r="CS125" s="1098"/>
      <c r="CT125" s="1088"/>
      <c r="CU125" s="32">
        <f t="shared" si="332"/>
        <v>0</v>
      </c>
      <c r="CV125" s="1098"/>
      <c r="CW125" s="1088"/>
      <c r="CX125" s="32">
        <f t="shared" si="333"/>
        <v>0</v>
      </c>
      <c r="CY125" s="1098"/>
      <c r="CZ125" s="1088"/>
      <c r="DA125" s="32">
        <f t="shared" si="334"/>
        <v>0</v>
      </c>
      <c r="DB125" s="1098"/>
      <c r="DC125" s="1088"/>
      <c r="DD125" s="32">
        <f t="shared" si="335"/>
        <v>0</v>
      </c>
      <c r="DE125" s="1101"/>
      <c r="DF125" s="1088"/>
      <c r="DG125" s="32">
        <f t="shared" si="336"/>
        <v>0</v>
      </c>
      <c r="DH125" s="1101"/>
      <c r="DI125" s="1088"/>
      <c r="DJ125" s="32">
        <f t="shared" si="337"/>
        <v>0</v>
      </c>
      <c r="DK125" s="1101"/>
      <c r="DL125" s="53"/>
      <c r="DM125" s="32">
        <f t="shared" si="338"/>
        <v>0</v>
      </c>
      <c r="DN125" s="1088"/>
      <c r="DO125" s="53"/>
      <c r="DP125" s="32">
        <f t="shared" si="339"/>
        <v>0</v>
      </c>
      <c r="DQ125" s="1088"/>
      <c r="DR125" s="53"/>
      <c r="DS125" s="32">
        <f t="shared" si="340"/>
        <v>0</v>
      </c>
      <c r="DT125" s="1088"/>
      <c r="DU125" s="53"/>
      <c r="DV125" s="32">
        <f t="shared" si="341"/>
        <v>0</v>
      </c>
      <c r="DW125" s="1088"/>
      <c r="DX125" s="53"/>
      <c r="DY125" s="32">
        <f t="shared" si="342"/>
        <v>0</v>
      </c>
      <c r="DZ125" s="1088"/>
      <c r="EA125" s="53"/>
      <c r="EB125" s="32">
        <f t="shared" si="343"/>
        <v>0</v>
      </c>
      <c r="EC125" s="1088"/>
      <c r="ED125" s="53"/>
      <c r="EE125" s="32">
        <f t="shared" si="344"/>
        <v>0</v>
      </c>
      <c r="EF125" s="1088"/>
      <c r="EG125" s="53"/>
      <c r="EH125" s="32">
        <f t="shared" si="345"/>
        <v>0</v>
      </c>
      <c r="EI125" s="1088"/>
      <c r="EJ125" s="53"/>
      <c r="EK125" s="32">
        <f t="shared" si="346"/>
        <v>0</v>
      </c>
      <c r="EL125" s="1088"/>
      <c r="EM125" s="53"/>
      <c r="EN125" s="32">
        <f t="shared" si="347"/>
        <v>0</v>
      </c>
      <c r="EO125" s="1088"/>
      <c r="EP125" s="53"/>
      <c r="EQ125" s="32">
        <f t="shared" si="348"/>
        <v>0</v>
      </c>
      <c r="ER125" s="1088"/>
      <c r="ES125" s="53"/>
      <c r="ET125" s="32">
        <f t="shared" si="349"/>
        <v>0</v>
      </c>
      <c r="EU125" s="1088"/>
      <c r="EV125" s="53"/>
      <c r="EW125" s="32">
        <f t="shared" si="350"/>
        <v>0</v>
      </c>
      <c r="EX125" s="1088"/>
      <c r="EY125" s="53"/>
      <c r="EZ125" s="32">
        <f t="shared" si="351"/>
        <v>0</v>
      </c>
      <c r="FA125" s="1088"/>
      <c r="FD125"/>
      <c r="FE125"/>
      <c r="FF125"/>
      <c r="FG125"/>
      <c r="FH125"/>
      <c r="FI125"/>
    </row>
    <row r="126" spans="2:169" s="33" customFormat="1" hidden="1" outlineLevel="2">
      <c r="B126" s="54" t="s">
        <v>545</v>
      </c>
      <c r="D126" s="2" t="s">
        <v>506</v>
      </c>
      <c r="E126" s="53"/>
      <c r="F126" s="32">
        <f t="shared" si="301"/>
        <v>0</v>
      </c>
      <c r="G126" s="53"/>
      <c r="H126" s="53"/>
      <c r="I126" s="32">
        <f t="shared" si="302"/>
        <v>0</v>
      </c>
      <c r="J126" s="53"/>
      <c r="K126" s="53"/>
      <c r="L126" s="32">
        <f t="shared" si="303"/>
        <v>0</v>
      </c>
      <c r="M126" s="53"/>
      <c r="N126" s="53"/>
      <c r="O126" s="32">
        <f t="shared" si="304"/>
        <v>0</v>
      </c>
      <c r="P126" s="53"/>
      <c r="Q126" s="53"/>
      <c r="R126" s="32">
        <f t="shared" si="305"/>
        <v>0</v>
      </c>
      <c r="S126" s="53"/>
      <c r="T126" s="53"/>
      <c r="U126" s="32">
        <f t="shared" si="306"/>
        <v>0</v>
      </c>
      <c r="V126" s="53"/>
      <c r="W126" s="53"/>
      <c r="X126" s="32">
        <f t="shared" si="307"/>
        <v>0</v>
      </c>
      <c r="Y126" s="53"/>
      <c r="Z126" s="53"/>
      <c r="AA126" s="32">
        <f t="shared" si="308"/>
        <v>0</v>
      </c>
      <c r="AB126" s="53"/>
      <c r="AC126" s="53"/>
      <c r="AD126" s="32">
        <f t="shared" si="309"/>
        <v>0</v>
      </c>
      <c r="AE126" s="53"/>
      <c r="AF126" s="53"/>
      <c r="AG126" s="32">
        <f t="shared" si="310"/>
        <v>0</v>
      </c>
      <c r="AH126" s="53"/>
      <c r="AI126" s="53"/>
      <c r="AJ126" s="32">
        <f t="shared" si="311"/>
        <v>0</v>
      </c>
      <c r="AK126" s="53"/>
      <c r="AL126" s="53"/>
      <c r="AM126" s="32">
        <f t="shared" si="312"/>
        <v>0</v>
      </c>
      <c r="AN126" s="53"/>
      <c r="AO126" s="53"/>
      <c r="AP126" s="32">
        <f t="shared" si="313"/>
        <v>0</v>
      </c>
      <c r="AQ126" s="53"/>
      <c r="AR126" s="53"/>
      <c r="AS126" s="32">
        <f t="shared" si="314"/>
        <v>0</v>
      </c>
      <c r="AT126" s="53"/>
      <c r="AU126" s="53"/>
      <c r="AV126" s="32">
        <f t="shared" si="315"/>
        <v>0</v>
      </c>
      <c r="AW126" s="53"/>
      <c r="AX126" s="53"/>
      <c r="AY126" s="32">
        <f t="shared" si="316"/>
        <v>0</v>
      </c>
      <c r="AZ126" s="53"/>
      <c r="BA126" s="53"/>
      <c r="BB126" s="32">
        <f t="shared" si="317"/>
        <v>0</v>
      </c>
      <c r="BC126" s="53"/>
      <c r="BD126" s="53"/>
      <c r="BE126" s="32">
        <f t="shared" si="318"/>
        <v>0</v>
      </c>
      <c r="BF126" s="1098"/>
      <c r="BG126" s="1088"/>
      <c r="BH126" s="32">
        <f t="shared" si="319"/>
        <v>0</v>
      </c>
      <c r="BI126" s="1098"/>
      <c r="BJ126" s="1088"/>
      <c r="BK126" s="32">
        <f t="shared" si="320"/>
        <v>0</v>
      </c>
      <c r="BL126" s="1098"/>
      <c r="BM126" s="1088"/>
      <c r="BN126" s="32">
        <f t="shared" si="321"/>
        <v>0</v>
      </c>
      <c r="BO126" s="1098"/>
      <c r="BP126" s="1088"/>
      <c r="BQ126" s="32">
        <f t="shared" si="322"/>
        <v>0</v>
      </c>
      <c r="BR126" s="1098"/>
      <c r="BS126" s="1088"/>
      <c r="BT126" s="32">
        <f t="shared" si="323"/>
        <v>0</v>
      </c>
      <c r="BU126" s="1098"/>
      <c r="BV126" s="1088"/>
      <c r="BW126" s="32">
        <f t="shared" si="324"/>
        <v>0</v>
      </c>
      <c r="BX126" s="1098"/>
      <c r="BY126" s="1088"/>
      <c r="BZ126" s="32">
        <f t="shared" si="325"/>
        <v>0</v>
      </c>
      <c r="CA126" s="1098"/>
      <c r="CB126" s="1088"/>
      <c r="CC126" s="32">
        <f t="shared" si="326"/>
        <v>0</v>
      </c>
      <c r="CD126" s="1098"/>
      <c r="CE126" s="1088"/>
      <c r="CF126" s="32">
        <f t="shared" si="327"/>
        <v>0</v>
      </c>
      <c r="CG126" s="1098"/>
      <c r="CH126" s="1088"/>
      <c r="CI126" s="32">
        <f t="shared" si="328"/>
        <v>0</v>
      </c>
      <c r="CJ126" s="1098"/>
      <c r="CK126" s="1088"/>
      <c r="CL126" s="32">
        <f t="shared" si="329"/>
        <v>0</v>
      </c>
      <c r="CM126" s="1098"/>
      <c r="CN126" s="1088"/>
      <c r="CO126" s="32">
        <f t="shared" si="330"/>
        <v>0</v>
      </c>
      <c r="CP126" s="1098"/>
      <c r="CQ126" s="1088"/>
      <c r="CR126" s="32">
        <f t="shared" si="331"/>
        <v>0</v>
      </c>
      <c r="CS126" s="1098"/>
      <c r="CT126" s="1088"/>
      <c r="CU126" s="32">
        <f t="shared" si="332"/>
        <v>0</v>
      </c>
      <c r="CV126" s="1098"/>
      <c r="CW126" s="1088"/>
      <c r="CX126" s="32">
        <f t="shared" si="333"/>
        <v>0</v>
      </c>
      <c r="CY126" s="1098"/>
      <c r="CZ126" s="1088"/>
      <c r="DA126" s="32">
        <f t="shared" si="334"/>
        <v>0</v>
      </c>
      <c r="DB126" s="1098"/>
      <c r="DC126" s="1088"/>
      <c r="DD126" s="32">
        <f t="shared" si="335"/>
        <v>0</v>
      </c>
      <c r="DE126" s="1101"/>
      <c r="DF126" s="1088"/>
      <c r="DG126" s="32">
        <f t="shared" si="336"/>
        <v>0</v>
      </c>
      <c r="DH126" s="1101"/>
      <c r="DI126" s="1088"/>
      <c r="DJ126" s="32">
        <f t="shared" si="337"/>
        <v>0</v>
      </c>
      <c r="DK126" s="1101"/>
      <c r="DL126" s="53"/>
      <c r="DM126" s="32">
        <f t="shared" si="338"/>
        <v>0</v>
      </c>
      <c r="DN126" s="1088"/>
      <c r="DO126" s="53"/>
      <c r="DP126" s="32">
        <f t="shared" si="339"/>
        <v>0</v>
      </c>
      <c r="DQ126" s="1088"/>
      <c r="DR126" s="53"/>
      <c r="DS126" s="32">
        <f t="shared" si="340"/>
        <v>0</v>
      </c>
      <c r="DT126" s="1088"/>
      <c r="DU126" s="53"/>
      <c r="DV126" s="32">
        <f t="shared" si="341"/>
        <v>0</v>
      </c>
      <c r="DW126" s="1088"/>
      <c r="DX126" s="53"/>
      <c r="DY126" s="32">
        <f t="shared" si="342"/>
        <v>0</v>
      </c>
      <c r="DZ126" s="1088"/>
      <c r="EA126" s="53"/>
      <c r="EB126" s="32">
        <f t="shared" si="343"/>
        <v>0</v>
      </c>
      <c r="EC126" s="1088"/>
      <c r="ED126" s="53"/>
      <c r="EE126" s="32">
        <f t="shared" si="344"/>
        <v>0</v>
      </c>
      <c r="EF126" s="1088"/>
      <c r="EG126" s="53"/>
      <c r="EH126" s="32">
        <f t="shared" si="345"/>
        <v>0</v>
      </c>
      <c r="EI126" s="1088"/>
      <c r="EJ126" s="53"/>
      <c r="EK126" s="32">
        <f t="shared" si="346"/>
        <v>0</v>
      </c>
      <c r="EL126" s="1088"/>
      <c r="EM126" s="53"/>
      <c r="EN126" s="32">
        <f t="shared" si="347"/>
        <v>0</v>
      </c>
      <c r="EO126" s="1088"/>
      <c r="EP126" s="53"/>
      <c r="EQ126" s="32">
        <f t="shared" si="348"/>
        <v>0</v>
      </c>
      <c r="ER126" s="1088"/>
      <c r="ES126" s="53"/>
      <c r="ET126" s="32">
        <f t="shared" si="349"/>
        <v>0</v>
      </c>
      <c r="EU126" s="1088"/>
      <c r="EV126" s="53"/>
      <c r="EW126" s="32">
        <f t="shared" si="350"/>
        <v>0</v>
      </c>
      <c r="EX126" s="1088"/>
      <c r="EY126" s="53"/>
      <c r="EZ126" s="32">
        <f t="shared" si="351"/>
        <v>0</v>
      </c>
      <c r="FA126" s="1088"/>
      <c r="FD126"/>
      <c r="FE126"/>
      <c r="FF126"/>
      <c r="FG126"/>
      <c r="FH126"/>
      <c r="FI126"/>
    </row>
    <row r="127" spans="2:169" s="33" customFormat="1" hidden="1" outlineLevel="2">
      <c r="B127" s="54" t="s">
        <v>534</v>
      </c>
      <c r="D127" s="2" t="s">
        <v>506</v>
      </c>
      <c r="E127" s="53"/>
      <c r="F127" s="32">
        <f t="shared" si="301"/>
        <v>0</v>
      </c>
      <c r="G127" s="53"/>
      <c r="H127" s="53"/>
      <c r="I127" s="32">
        <f t="shared" si="302"/>
        <v>0</v>
      </c>
      <c r="J127" s="53"/>
      <c r="K127" s="53"/>
      <c r="L127" s="32">
        <f t="shared" si="303"/>
        <v>0</v>
      </c>
      <c r="M127" s="53"/>
      <c r="N127" s="53"/>
      <c r="O127" s="32">
        <f t="shared" si="304"/>
        <v>0</v>
      </c>
      <c r="P127" s="53"/>
      <c r="Q127" s="53"/>
      <c r="R127" s="32">
        <f t="shared" si="305"/>
        <v>0</v>
      </c>
      <c r="S127" s="53"/>
      <c r="T127" s="53"/>
      <c r="U127" s="32">
        <f t="shared" si="306"/>
        <v>0</v>
      </c>
      <c r="V127" s="53"/>
      <c r="W127" s="53"/>
      <c r="X127" s="32">
        <f t="shared" si="307"/>
        <v>0</v>
      </c>
      <c r="Y127" s="53"/>
      <c r="Z127" s="53"/>
      <c r="AA127" s="32">
        <f t="shared" si="308"/>
        <v>0</v>
      </c>
      <c r="AB127" s="53"/>
      <c r="AC127" s="53"/>
      <c r="AD127" s="32">
        <f t="shared" si="309"/>
        <v>0</v>
      </c>
      <c r="AE127" s="53"/>
      <c r="AF127" s="53"/>
      <c r="AG127" s="32">
        <f t="shared" si="310"/>
        <v>0</v>
      </c>
      <c r="AH127" s="53"/>
      <c r="AI127" s="53"/>
      <c r="AJ127" s="32">
        <f t="shared" si="311"/>
        <v>0</v>
      </c>
      <c r="AK127" s="53"/>
      <c r="AL127" s="53"/>
      <c r="AM127" s="32">
        <f t="shared" si="312"/>
        <v>0</v>
      </c>
      <c r="AN127" s="53"/>
      <c r="AO127" s="53"/>
      <c r="AP127" s="32">
        <f t="shared" si="313"/>
        <v>0</v>
      </c>
      <c r="AQ127" s="53"/>
      <c r="AR127" s="53"/>
      <c r="AS127" s="32">
        <f t="shared" si="314"/>
        <v>0</v>
      </c>
      <c r="AT127" s="53"/>
      <c r="AU127" s="53"/>
      <c r="AV127" s="32">
        <f t="shared" si="315"/>
        <v>0</v>
      </c>
      <c r="AW127" s="53"/>
      <c r="AX127" s="53"/>
      <c r="AY127" s="32">
        <f t="shared" si="316"/>
        <v>0</v>
      </c>
      <c r="AZ127" s="53"/>
      <c r="BA127" s="53"/>
      <c r="BB127" s="32">
        <f t="shared" si="317"/>
        <v>0</v>
      </c>
      <c r="BC127" s="53"/>
      <c r="BD127" s="53"/>
      <c r="BE127" s="32">
        <f t="shared" si="318"/>
        <v>0</v>
      </c>
      <c r="BF127" s="1098"/>
      <c r="BG127" s="1088"/>
      <c r="BH127" s="32">
        <f t="shared" si="319"/>
        <v>0</v>
      </c>
      <c r="BI127" s="1098"/>
      <c r="BJ127" s="1088"/>
      <c r="BK127" s="32">
        <f t="shared" si="320"/>
        <v>0</v>
      </c>
      <c r="BL127" s="1098"/>
      <c r="BM127" s="1088"/>
      <c r="BN127" s="32">
        <f t="shared" si="321"/>
        <v>0</v>
      </c>
      <c r="BO127" s="1098"/>
      <c r="BP127" s="1088"/>
      <c r="BQ127" s="32">
        <f t="shared" si="322"/>
        <v>0</v>
      </c>
      <c r="BR127" s="1098"/>
      <c r="BS127" s="1088"/>
      <c r="BT127" s="32">
        <f t="shared" si="323"/>
        <v>0</v>
      </c>
      <c r="BU127" s="1098"/>
      <c r="BV127" s="1088"/>
      <c r="BW127" s="32">
        <f t="shared" si="324"/>
        <v>0</v>
      </c>
      <c r="BX127" s="1098"/>
      <c r="BY127" s="1088"/>
      <c r="BZ127" s="32">
        <f t="shared" si="325"/>
        <v>0</v>
      </c>
      <c r="CA127" s="1098"/>
      <c r="CB127" s="1088"/>
      <c r="CC127" s="32">
        <f t="shared" si="326"/>
        <v>0</v>
      </c>
      <c r="CD127" s="1098"/>
      <c r="CE127" s="1088"/>
      <c r="CF127" s="32">
        <f t="shared" si="327"/>
        <v>0</v>
      </c>
      <c r="CG127" s="1098"/>
      <c r="CH127" s="1088"/>
      <c r="CI127" s="32">
        <f t="shared" si="328"/>
        <v>0</v>
      </c>
      <c r="CJ127" s="1098"/>
      <c r="CK127" s="1088"/>
      <c r="CL127" s="32">
        <f t="shared" si="329"/>
        <v>0</v>
      </c>
      <c r="CM127" s="1098"/>
      <c r="CN127" s="1088"/>
      <c r="CO127" s="32">
        <f t="shared" si="330"/>
        <v>0</v>
      </c>
      <c r="CP127" s="1098"/>
      <c r="CQ127" s="1088"/>
      <c r="CR127" s="32">
        <f t="shared" si="331"/>
        <v>0</v>
      </c>
      <c r="CS127" s="1098"/>
      <c r="CT127" s="1088"/>
      <c r="CU127" s="32">
        <f t="shared" si="332"/>
        <v>0</v>
      </c>
      <c r="CV127" s="1098"/>
      <c r="CW127" s="1088"/>
      <c r="CX127" s="32">
        <f t="shared" si="333"/>
        <v>0</v>
      </c>
      <c r="CY127" s="1098"/>
      <c r="CZ127" s="1088"/>
      <c r="DA127" s="32">
        <f t="shared" si="334"/>
        <v>0</v>
      </c>
      <c r="DB127" s="1098"/>
      <c r="DC127" s="1088"/>
      <c r="DD127" s="32">
        <f t="shared" si="335"/>
        <v>0</v>
      </c>
      <c r="DE127" s="1101"/>
      <c r="DF127" s="1088"/>
      <c r="DG127" s="32">
        <f t="shared" si="336"/>
        <v>0</v>
      </c>
      <c r="DH127" s="1101"/>
      <c r="DI127" s="1088"/>
      <c r="DJ127" s="32">
        <f t="shared" si="337"/>
        <v>0</v>
      </c>
      <c r="DK127" s="1101"/>
      <c r="DL127" s="53"/>
      <c r="DM127" s="32">
        <f t="shared" si="338"/>
        <v>0</v>
      </c>
      <c r="DN127" s="1088"/>
      <c r="DO127" s="53"/>
      <c r="DP127" s="32">
        <f t="shared" si="339"/>
        <v>0</v>
      </c>
      <c r="DQ127" s="1088"/>
      <c r="DR127" s="53"/>
      <c r="DS127" s="32">
        <f t="shared" si="340"/>
        <v>0</v>
      </c>
      <c r="DT127" s="1088"/>
      <c r="DU127" s="53"/>
      <c r="DV127" s="32">
        <f t="shared" si="341"/>
        <v>0</v>
      </c>
      <c r="DW127" s="1088"/>
      <c r="DX127" s="53"/>
      <c r="DY127" s="32">
        <f t="shared" si="342"/>
        <v>0</v>
      </c>
      <c r="DZ127" s="1088"/>
      <c r="EA127" s="53"/>
      <c r="EB127" s="32">
        <f t="shared" si="343"/>
        <v>0</v>
      </c>
      <c r="EC127" s="1088"/>
      <c r="ED127" s="53"/>
      <c r="EE127" s="32">
        <f t="shared" si="344"/>
        <v>0</v>
      </c>
      <c r="EF127" s="1088"/>
      <c r="EG127" s="53"/>
      <c r="EH127" s="32">
        <f t="shared" si="345"/>
        <v>0</v>
      </c>
      <c r="EI127" s="1088"/>
      <c r="EJ127" s="53"/>
      <c r="EK127" s="32">
        <f t="shared" si="346"/>
        <v>0</v>
      </c>
      <c r="EL127" s="1088"/>
      <c r="EM127" s="53"/>
      <c r="EN127" s="32">
        <f t="shared" si="347"/>
        <v>0</v>
      </c>
      <c r="EO127" s="1088"/>
      <c r="EP127" s="53"/>
      <c r="EQ127" s="32">
        <f t="shared" si="348"/>
        <v>0</v>
      </c>
      <c r="ER127" s="1088"/>
      <c r="ES127" s="53"/>
      <c r="ET127" s="32">
        <f t="shared" si="349"/>
        <v>0</v>
      </c>
      <c r="EU127" s="1088"/>
      <c r="EV127" s="53"/>
      <c r="EW127" s="32">
        <f t="shared" si="350"/>
        <v>0</v>
      </c>
      <c r="EX127" s="1088"/>
      <c r="EY127" s="53"/>
      <c r="EZ127" s="32">
        <f t="shared" si="351"/>
        <v>0</v>
      </c>
      <c r="FA127" s="1088"/>
      <c r="FD127"/>
      <c r="FE127"/>
      <c r="FF127"/>
      <c r="FG127"/>
      <c r="FH127"/>
      <c r="FI127"/>
    </row>
    <row r="128" spans="2:169" s="33" customFormat="1" hidden="1" outlineLevel="2">
      <c r="B128" s="54" t="s">
        <v>545</v>
      </c>
      <c r="D128" s="2" t="s">
        <v>506</v>
      </c>
      <c r="E128" s="53"/>
      <c r="F128" s="32">
        <f t="shared" si="301"/>
        <v>0</v>
      </c>
      <c r="G128" s="53"/>
      <c r="H128" s="53"/>
      <c r="I128" s="32">
        <f t="shared" si="302"/>
        <v>0</v>
      </c>
      <c r="J128" s="53"/>
      <c r="K128" s="53"/>
      <c r="L128" s="32">
        <f t="shared" si="303"/>
        <v>0</v>
      </c>
      <c r="M128" s="53"/>
      <c r="N128" s="53"/>
      <c r="O128" s="32">
        <f t="shared" si="304"/>
        <v>0</v>
      </c>
      <c r="P128" s="53"/>
      <c r="Q128" s="53"/>
      <c r="R128" s="32">
        <f t="shared" si="305"/>
        <v>0</v>
      </c>
      <c r="S128" s="53"/>
      <c r="T128" s="53"/>
      <c r="U128" s="32">
        <f t="shared" si="306"/>
        <v>0</v>
      </c>
      <c r="V128" s="53"/>
      <c r="W128" s="53"/>
      <c r="X128" s="32">
        <f t="shared" si="307"/>
        <v>0</v>
      </c>
      <c r="Y128" s="53"/>
      <c r="Z128" s="53"/>
      <c r="AA128" s="32">
        <f t="shared" si="308"/>
        <v>0</v>
      </c>
      <c r="AB128" s="53"/>
      <c r="AC128" s="53"/>
      <c r="AD128" s="32">
        <f t="shared" si="309"/>
        <v>0</v>
      </c>
      <c r="AE128" s="53"/>
      <c r="AF128" s="53"/>
      <c r="AG128" s="32">
        <f t="shared" si="310"/>
        <v>0</v>
      </c>
      <c r="AH128" s="53"/>
      <c r="AI128" s="53"/>
      <c r="AJ128" s="32">
        <f t="shared" si="311"/>
        <v>0</v>
      </c>
      <c r="AK128" s="53"/>
      <c r="AL128" s="53"/>
      <c r="AM128" s="32">
        <f t="shared" si="312"/>
        <v>0</v>
      </c>
      <c r="AN128" s="53"/>
      <c r="AO128" s="53"/>
      <c r="AP128" s="32">
        <f t="shared" si="313"/>
        <v>0</v>
      </c>
      <c r="AQ128" s="53"/>
      <c r="AR128" s="53"/>
      <c r="AS128" s="32">
        <f t="shared" si="314"/>
        <v>0</v>
      </c>
      <c r="AT128" s="53"/>
      <c r="AU128" s="53"/>
      <c r="AV128" s="32">
        <f t="shared" si="315"/>
        <v>0</v>
      </c>
      <c r="AW128" s="53"/>
      <c r="AX128" s="53"/>
      <c r="AY128" s="32">
        <f t="shared" si="316"/>
        <v>0</v>
      </c>
      <c r="AZ128" s="53"/>
      <c r="BA128" s="53"/>
      <c r="BB128" s="32">
        <f t="shared" si="317"/>
        <v>0</v>
      </c>
      <c r="BC128" s="53"/>
      <c r="BD128" s="53"/>
      <c r="BE128" s="32">
        <f t="shared" si="318"/>
        <v>0</v>
      </c>
      <c r="BF128" s="1098"/>
      <c r="BG128" s="1088"/>
      <c r="BH128" s="32">
        <f t="shared" si="319"/>
        <v>0</v>
      </c>
      <c r="BI128" s="1098"/>
      <c r="BJ128" s="1088"/>
      <c r="BK128" s="32">
        <f t="shared" si="320"/>
        <v>0</v>
      </c>
      <c r="BL128" s="1098"/>
      <c r="BM128" s="1088"/>
      <c r="BN128" s="32">
        <f t="shared" si="321"/>
        <v>0</v>
      </c>
      <c r="BO128" s="1098"/>
      <c r="BP128" s="1088"/>
      <c r="BQ128" s="32">
        <f t="shared" si="322"/>
        <v>0</v>
      </c>
      <c r="BR128" s="1098"/>
      <c r="BS128" s="1088"/>
      <c r="BT128" s="32">
        <f t="shared" si="323"/>
        <v>0</v>
      </c>
      <c r="BU128" s="1098"/>
      <c r="BV128" s="1088"/>
      <c r="BW128" s="32">
        <f t="shared" si="324"/>
        <v>0</v>
      </c>
      <c r="BX128" s="1098"/>
      <c r="BY128" s="1088"/>
      <c r="BZ128" s="32">
        <f t="shared" si="325"/>
        <v>0</v>
      </c>
      <c r="CA128" s="1098"/>
      <c r="CB128" s="1088"/>
      <c r="CC128" s="32">
        <f t="shared" si="326"/>
        <v>0</v>
      </c>
      <c r="CD128" s="1098"/>
      <c r="CE128" s="1088"/>
      <c r="CF128" s="32">
        <f t="shared" si="327"/>
        <v>0</v>
      </c>
      <c r="CG128" s="1098"/>
      <c r="CH128" s="1088"/>
      <c r="CI128" s="32">
        <f t="shared" si="328"/>
        <v>0</v>
      </c>
      <c r="CJ128" s="1098"/>
      <c r="CK128" s="1088"/>
      <c r="CL128" s="32">
        <f t="shared" si="329"/>
        <v>0</v>
      </c>
      <c r="CM128" s="1098"/>
      <c r="CN128" s="1088"/>
      <c r="CO128" s="32">
        <f t="shared" si="330"/>
        <v>0</v>
      </c>
      <c r="CP128" s="1098"/>
      <c r="CQ128" s="1088"/>
      <c r="CR128" s="32">
        <f t="shared" si="331"/>
        <v>0</v>
      </c>
      <c r="CS128" s="1098"/>
      <c r="CT128" s="1088"/>
      <c r="CU128" s="32">
        <f t="shared" si="332"/>
        <v>0</v>
      </c>
      <c r="CV128" s="1098"/>
      <c r="CW128" s="1088"/>
      <c r="CX128" s="32">
        <f t="shared" si="333"/>
        <v>0</v>
      </c>
      <c r="CY128" s="1098"/>
      <c r="CZ128" s="1088"/>
      <c r="DA128" s="32">
        <f t="shared" si="334"/>
        <v>0</v>
      </c>
      <c r="DB128" s="1098"/>
      <c r="DC128" s="1088"/>
      <c r="DD128" s="32">
        <f t="shared" si="335"/>
        <v>0</v>
      </c>
      <c r="DE128" s="1101"/>
      <c r="DF128" s="1088"/>
      <c r="DG128" s="32">
        <f t="shared" si="336"/>
        <v>0</v>
      </c>
      <c r="DH128" s="1101"/>
      <c r="DI128" s="1088"/>
      <c r="DJ128" s="32">
        <f t="shared" si="337"/>
        <v>0</v>
      </c>
      <c r="DK128" s="1101"/>
      <c r="DL128" s="53"/>
      <c r="DM128" s="32">
        <f t="shared" si="338"/>
        <v>0</v>
      </c>
      <c r="DN128" s="1088"/>
      <c r="DO128" s="53"/>
      <c r="DP128" s="32">
        <f t="shared" si="339"/>
        <v>0</v>
      </c>
      <c r="DQ128" s="1088"/>
      <c r="DR128" s="53"/>
      <c r="DS128" s="32">
        <f t="shared" si="340"/>
        <v>0</v>
      </c>
      <c r="DT128" s="1088"/>
      <c r="DU128" s="53"/>
      <c r="DV128" s="32">
        <f t="shared" si="341"/>
        <v>0</v>
      </c>
      <c r="DW128" s="1088"/>
      <c r="DX128" s="53"/>
      <c r="DY128" s="32">
        <f t="shared" si="342"/>
        <v>0</v>
      </c>
      <c r="DZ128" s="1088"/>
      <c r="EA128" s="53"/>
      <c r="EB128" s="32">
        <f t="shared" si="343"/>
        <v>0</v>
      </c>
      <c r="EC128" s="1088"/>
      <c r="ED128" s="53"/>
      <c r="EE128" s="32">
        <f t="shared" si="344"/>
        <v>0</v>
      </c>
      <c r="EF128" s="1088"/>
      <c r="EG128" s="53"/>
      <c r="EH128" s="32">
        <f t="shared" si="345"/>
        <v>0</v>
      </c>
      <c r="EI128" s="1088"/>
      <c r="EJ128" s="53"/>
      <c r="EK128" s="32">
        <f t="shared" si="346"/>
        <v>0</v>
      </c>
      <c r="EL128" s="1088"/>
      <c r="EM128" s="53"/>
      <c r="EN128" s="32">
        <f t="shared" si="347"/>
        <v>0</v>
      </c>
      <c r="EO128" s="1088"/>
      <c r="EP128" s="53"/>
      <c r="EQ128" s="32">
        <f t="shared" si="348"/>
        <v>0</v>
      </c>
      <c r="ER128" s="1088"/>
      <c r="ES128" s="53"/>
      <c r="ET128" s="32">
        <f t="shared" si="349"/>
        <v>0</v>
      </c>
      <c r="EU128" s="1088"/>
      <c r="EV128" s="53"/>
      <c r="EW128" s="32">
        <f t="shared" si="350"/>
        <v>0</v>
      </c>
      <c r="EX128" s="1088"/>
      <c r="EY128" s="53"/>
      <c r="EZ128" s="32">
        <f t="shared" si="351"/>
        <v>0</v>
      </c>
      <c r="FA128" s="1088"/>
      <c r="FD128"/>
      <c r="FE128"/>
      <c r="FF128"/>
      <c r="FG128"/>
      <c r="FH128"/>
      <c r="FI128"/>
    </row>
    <row r="129" spans="2:169" s="33" customFormat="1" hidden="1" outlineLevel="2">
      <c r="B129" s="54" t="s">
        <v>535</v>
      </c>
      <c r="D129" s="2" t="s">
        <v>506</v>
      </c>
      <c r="E129" s="53"/>
      <c r="F129" s="32">
        <f t="shared" si="301"/>
        <v>0</v>
      </c>
      <c r="G129" s="53"/>
      <c r="H129" s="53"/>
      <c r="I129" s="32">
        <f t="shared" si="302"/>
        <v>0</v>
      </c>
      <c r="J129" s="53"/>
      <c r="K129" s="53"/>
      <c r="L129" s="32">
        <f t="shared" si="303"/>
        <v>0</v>
      </c>
      <c r="M129" s="53"/>
      <c r="N129" s="53"/>
      <c r="O129" s="32">
        <f t="shared" si="304"/>
        <v>0</v>
      </c>
      <c r="P129" s="53"/>
      <c r="Q129" s="53"/>
      <c r="R129" s="32">
        <f t="shared" si="305"/>
        <v>0</v>
      </c>
      <c r="S129" s="53"/>
      <c r="T129" s="53"/>
      <c r="U129" s="32">
        <f t="shared" si="306"/>
        <v>0</v>
      </c>
      <c r="V129" s="53"/>
      <c r="W129" s="53"/>
      <c r="X129" s="32">
        <f t="shared" si="307"/>
        <v>0</v>
      </c>
      <c r="Y129" s="53"/>
      <c r="Z129" s="53"/>
      <c r="AA129" s="32">
        <f t="shared" si="308"/>
        <v>0</v>
      </c>
      <c r="AB129" s="53"/>
      <c r="AC129" s="53"/>
      <c r="AD129" s="32">
        <f t="shared" si="309"/>
        <v>0</v>
      </c>
      <c r="AE129" s="53"/>
      <c r="AF129" s="53"/>
      <c r="AG129" s="32">
        <f t="shared" si="310"/>
        <v>0</v>
      </c>
      <c r="AH129" s="53"/>
      <c r="AI129" s="53"/>
      <c r="AJ129" s="32">
        <f t="shared" si="311"/>
        <v>0</v>
      </c>
      <c r="AK129" s="53"/>
      <c r="AL129" s="53"/>
      <c r="AM129" s="32">
        <f t="shared" si="312"/>
        <v>0</v>
      </c>
      <c r="AN129" s="53"/>
      <c r="AO129" s="53"/>
      <c r="AP129" s="32">
        <f t="shared" si="313"/>
        <v>0</v>
      </c>
      <c r="AQ129" s="53"/>
      <c r="AR129" s="53"/>
      <c r="AS129" s="32">
        <f t="shared" si="314"/>
        <v>0</v>
      </c>
      <c r="AT129" s="53"/>
      <c r="AU129" s="53"/>
      <c r="AV129" s="32">
        <f t="shared" si="315"/>
        <v>0</v>
      </c>
      <c r="AW129" s="53"/>
      <c r="AX129" s="53"/>
      <c r="AY129" s="32">
        <f t="shared" si="316"/>
        <v>0</v>
      </c>
      <c r="AZ129" s="53"/>
      <c r="BA129" s="53"/>
      <c r="BB129" s="32">
        <f t="shared" si="317"/>
        <v>0</v>
      </c>
      <c r="BC129" s="53"/>
      <c r="BD129" s="53"/>
      <c r="BE129" s="32">
        <f t="shared" si="318"/>
        <v>0</v>
      </c>
      <c r="BF129" s="1098"/>
      <c r="BG129" s="1088"/>
      <c r="BH129" s="32">
        <f t="shared" si="319"/>
        <v>0</v>
      </c>
      <c r="BI129" s="1098"/>
      <c r="BJ129" s="1088"/>
      <c r="BK129" s="32">
        <f t="shared" si="320"/>
        <v>0</v>
      </c>
      <c r="BL129" s="1098"/>
      <c r="BM129" s="1088"/>
      <c r="BN129" s="32">
        <f t="shared" si="321"/>
        <v>0</v>
      </c>
      <c r="BO129" s="1098"/>
      <c r="BP129" s="1088"/>
      <c r="BQ129" s="32">
        <f t="shared" si="322"/>
        <v>0</v>
      </c>
      <c r="BR129" s="1098"/>
      <c r="BS129" s="1088"/>
      <c r="BT129" s="32">
        <f t="shared" si="323"/>
        <v>0</v>
      </c>
      <c r="BU129" s="1098"/>
      <c r="BV129" s="1088"/>
      <c r="BW129" s="32">
        <f t="shared" si="324"/>
        <v>0</v>
      </c>
      <c r="BX129" s="1098"/>
      <c r="BY129" s="1088"/>
      <c r="BZ129" s="32">
        <f t="shared" si="325"/>
        <v>0</v>
      </c>
      <c r="CA129" s="1098"/>
      <c r="CB129" s="1088"/>
      <c r="CC129" s="32">
        <f t="shared" si="326"/>
        <v>0</v>
      </c>
      <c r="CD129" s="1098"/>
      <c r="CE129" s="1088"/>
      <c r="CF129" s="32">
        <f t="shared" si="327"/>
        <v>0</v>
      </c>
      <c r="CG129" s="1098"/>
      <c r="CH129" s="1088"/>
      <c r="CI129" s="32">
        <f t="shared" si="328"/>
        <v>0</v>
      </c>
      <c r="CJ129" s="1098"/>
      <c r="CK129" s="1088"/>
      <c r="CL129" s="32">
        <f t="shared" si="329"/>
        <v>0</v>
      </c>
      <c r="CM129" s="1098"/>
      <c r="CN129" s="1088"/>
      <c r="CO129" s="32">
        <f t="shared" si="330"/>
        <v>0</v>
      </c>
      <c r="CP129" s="1098"/>
      <c r="CQ129" s="1088"/>
      <c r="CR129" s="32">
        <f t="shared" si="331"/>
        <v>0</v>
      </c>
      <c r="CS129" s="1098"/>
      <c r="CT129" s="1088"/>
      <c r="CU129" s="32">
        <f t="shared" si="332"/>
        <v>0</v>
      </c>
      <c r="CV129" s="1098"/>
      <c r="CW129" s="1088"/>
      <c r="CX129" s="32">
        <f t="shared" si="333"/>
        <v>0</v>
      </c>
      <c r="CY129" s="1098"/>
      <c r="CZ129" s="1088"/>
      <c r="DA129" s="32">
        <f t="shared" si="334"/>
        <v>0</v>
      </c>
      <c r="DB129" s="1098"/>
      <c r="DC129" s="1088"/>
      <c r="DD129" s="32">
        <f t="shared" si="335"/>
        <v>0</v>
      </c>
      <c r="DE129" s="1101"/>
      <c r="DF129" s="1088"/>
      <c r="DG129" s="32">
        <f t="shared" si="336"/>
        <v>0</v>
      </c>
      <c r="DH129" s="1101"/>
      <c r="DI129" s="1088"/>
      <c r="DJ129" s="32">
        <f t="shared" si="337"/>
        <v>0</v>
      </c>
      <c r="DK129" s="1101"/>
      <c r="DL129" s="53"/>
      <c r="DM129" s="32">
        <f t="shared" si="338"/>
        <v>0</v>
      </c>
      <c r="DN129" s="1088"/>
      <c r="DO129" s="53"/>
      <c r="DP129" s="32">
        <f t="shared" si="339"/>
        <v>0</v>
      </c>
      <c r="DQ129" s="1088"/>
      <c r="DR129" s="53"/>
      <c r="DS129" s="32">
        <f t="shared" si="340"/>
        <v>0</v>
      </c>
      <c r="DT129" s="1088"/>
      <c r="DU129" s="53"/>
      <c r="DV129" s="32">
        <f t="shared" si="341"/>
        <v>0</v>
      </c>
      <c r="DW129" s="1088"/>
      <c r="DX129" s="53"/>
      <c r="DY129" s="32">
        <f t="shared" si="342"/>
        <v>0</v>
      </c>
      <c r="DZ129" s="1088"/>
      <c r="EA129" s="53"/>
      <c r="EB129" s="32">
        <f t="shared" si="343"/>
        <v>0</v>
      </c>
      <c r="EC129" s="1088"/>
      <c r="ED129" s="53"/>
      <c r="EE129" s="32">
        <f t="shared" si="344"/>
        <v>0</v>
      </c>
      <c r="EF129" s="1088"/>
      <c r="EG129" s="53"/>
      <c r="EH129" s="32">
        <f t="shared" si="345"/>
        <v>0</v>
      </c>
      <c r="EI129" s="1088"/>
      <c r="EJ129" s="53"/>
      <c r="EK129" s="32">
        <f t="shared" si="346"/>
        <v>0</v>
      </c>
      <c r="EL129" s="1088"/>
      <c r="EM129" s="53"/>
      <c r="EN129" s="32">
        <f t="shared" si="347"/>
        <v>0</v>
      </c>
      <c r="EO129" s="1088"/>
      <c r="EP129" s="53"/>
      <c r="EQ129" s="32">
        <f t="shared" si="348"/>
        <v>0</v>
      </c>
      <c r="ER129" s="1088"/>
      <c r="ES129" s="53"/>
      <c r="ET129" s="32">
        <f t="shared" si="349"/>
        <v>0</v>
      </c>
      <c r="EU129" s="1088"/>
      <c r="EV129" s="53"/>
      <c r="EW129" s="32">
        <f t="shared" si="350"/>
        <v>0</v>
      </c>
      <c r="EX129" s="1088"/>
      <c r="EY129" s="53"/>
      <c r="EZ129" s="32">
        <f t="shared" si="351"/>
        <v>0</v>
      </c>
      <c r="FA129" s="1088"/>
      <c r="FD129"/>
      <c r="FE129"/>
      <c r="FF129"/>
      <c r="FG129"/>
      <c r="FH129"/>
      <c r="FI129"/>
    </row>
    <row r="130" spans="2:169" s="33" customFormat="1" hidden="1" outlineLevel="2">
      <c r="B130" s="54" t="s">
        <v>545</v>
      </c>
      <c r="D130" s="2" t="s">
        <v>506</v>
      </c>
      <c r="E130" s="53"/>
      <c r="F130" s="32">
        <f t="shared" si="301"/>
        <v>0</v>
      </c>
      <c r="G130" s="53"/>
      <c r="H130" s="53"/>
      <c r="I130" s="32">
        <f t="shared" si="302"/>
        <v>0</v>
      </c>
      <c r="J130" s="53"/>
      <c r="K130" s="53"/>
      <c r="L130" s="32">
        <f t="shared" si="303"/>
        <v>0</v>
      </c>
      <c r="M130" s="53"/>
      <c r="N130" s="53"/>
      <c r="O130" s="32">
        <f t="shared" si="304"/>
        <v>0</v>
      </c>
      <c r="P130" s="53"/>
      <c r="Q130" s="53"/>
      <c r="R130" s="32">
        <f t="shared" si="305"/>
        <v>0</v>
      </c>
      <c r="S130" s="53"/>
      <c r="T130" s="53"/>
      <c r="U130" s="32">
        <f t="shared" si="306"/>
        <v>0</v>
      </c>
      <c r="V130" s="53"/>
      <c r="W130" s="53"/>
      <c r="X130" s="32">
        <f t="shared" si="307"/>
        <v>0</v>
      </c>
      <c r="Y130" s="53"/>
      <c r="Z130" s="53"/>
      <c r="AA130" s="32">
        <f t="shared" si="308"/>
        <v>0</v>
      </c>
      <c r="AB130" s="53"/>
      <c r="AC130" s="53"/>
      <c r="AD130" s="32">
        <f t="shared" si="309"/>
        <v>0</v>
      </c>
      <c r="AE130" s="53"/>
      <c r="AF130" s="53"/>
      <c r="AG130" s="32">
        <f t="shared" si="310"/>
        <v>0</v>
      </c>
      <c r="AH130" s="53"/>
      <c r="AI130" s="53"/>
      <c r="AJ130" s="32">
        <f t="shared" si="311"/>
        <v>0</v>
      </c>
      <c r="AK130" s="53"/>
      <c r="AL130" s="53"/>
      <c r="AM130" s="32">
        <f t="shared" si="312"/>
        <v>0</v>
      </c>
      <c r="AN130" s="53"/>
      <c r="AO130" s="53"/>
      <c r="AP130" s="32">
        <f t="shared" si="313"/>
        <v>0</v>
      </c>
      <c r="AQ130" s="53"/>
      <c r="AR130" s="53"/>
      <c r="AS130" s="32">
        <f t="shared" si="314"/>
        <v>0</v>
      </c>
      <c r="AT130" s="53"/>
      <c r="AU130" s="53"/>
      <c r="AV130" s="32">
        <f t="shared" si="315"/>
        <v>0</v>
      </c>
      <c r="AW130" s="53"/>
      <c r="AX130" s="53"/>
      <c r="AY130" s="32">
        <f t="shared" si="316"/>
        <v>0</v>
      </c>
      <c r="AZ130" s="53"/>
      <c r="BA130" s="53"/>
      <c r="BB130" s="32">
        <f t="shared" si="317"/>
        <v>0</v>
      </c>
      <c r="BC130" s="53"/>
      <c r="BD130" s="53"/>
      <c r="BE130" s="32">
        <f t="shared" si="318"/>
        <v>0</v>
      </c>
      <c r="BF130" s="1098"/>
      <c r="BG130" s="1088"/>
      <c r="BH130" s="32">
        <f t="shared" si="319"/>
        <v>0</v>
      </c>
      <c r="BI130" s="1098"/>
      <c r="BJ130" s="1088"/>
      <c r="BK130" s="32">
        <f t="shared" si="320"/>
        <v>0</v>
      </c>
      <c r="BL130" s="1098"/>
      <c r="BM130" s="1088"/>
      <c r="BN130" s="32">
        <f t="shared" si="321"/>
        <v>0</v>
      </c>
      <c r="BO130" s="1098"/>
      <c r="BP130" s="1088"/>
      <c r="BQ130" s="32">
        <f t="shared" si="322"/>
        <v>0</v>
      </c>
      <c r="BR130" s="1098"/>
      <c r="BS130" s="1088"/>
      <c r="BT130" s="32">
        <f t="shared" si="323"/>
        <v>0</v>
      </c>
      <c r="BU130" s="1098"/>
      <c r="BV130" s="1088"/>
      <c r="BW130" s="32">
        <f t="shared" si="324"/>
        <v>0</v>
      </c>
      <c r="BX130" s="1098"/>
      <c r="BY130" s="1088"/>
      <c r="BZ130" s="32">
        <f t="shared" si="325"/>
        <v>0</v>
      </c>
      <c r="CA130" s="1098"/>
      <c r="CB130" s="1088"/>
      <c r="CC130" s="32">
        <f t="shared" si="326"/>
        <v>0</v>
      </c>
      <c r="CD130" s="1098"/>
      <c r="CE130" s="1088"/>
      <c r="CF130" s="32">
        <f t="shared" si="327"/>
        <v>0</v>
      </c>
      <c r="CG130" s="1098"/>
      <c r="CH130" s="1088"/>
      <c r="CI130" s="32">
        <f t="shared" si="328"/>
        <v>0</v>
      </c>
      <c r="CJ130" s="1098"/>
      <c r="CK130" s="1088"/>
      <c r="CL130" s="32">
        <f t="shared" si="329"/>
        <v>0</v>
      </c>
      <c r="CM130" s="1098"/>
      <c r="CN130" s="1088"/>
      <c r="CO130" s="32">
        <f t="shared" si="330"/>
        <v>0</v>
      </c>
      <c r="CP130" s="1098"/>
      <c r="CQ130" s="1088"/>
      <c r="CR130" s="32">
        <f t="shared" si="331"/>
        <v>0</v>
      </c>
      <c r="CS130" s="1098"/>
      <c r="CT130" s="1088"/>
      <c r="CU130" s="32">
        <f t="shared" si="332"/>
        <v>0</v>
      </c>
      <c r="CV130" s="1098"/>
      <c r="CW130" s="1088"/>
      <c r="CX130" s="32">
        <f t="shared" si="333"/>
        <v>0</v>
      </c>
      <c r="CY130" s="1098"/>
      <c r="CZ130" s="1088"/>
      <c r="DA130" s="32">
        <f t="shared" si="334"/>
        <v>0</v>
      </c>
      <c r="DB130" s="1098"/>
      <c r="DC130" s="1088"/>
      <c r="DD130" s="32">
        <f t="shared" si="335"/>
        <v>0</v>
      </c>
      <c r="DE130" s="1101"/>
      <c r="DF130" s="1088"/>
      <c r="DG130" s="32">
        <f t="shared" si="336"/>
        <v>0</v>
      </c>
      <c r="DH130" s="1101"/>
      <c r="DI130" s="1088"/>
      <c r="DJ130" s="32">
        <f t="shared" si="337"/>
        <v>0</v>
      </c>
      <c r="DK130" s="1101"/>
      <c r="DL130" s="53"/>
      <c r="DM130" s="32">
        <f t="shared" si="338"/>
        <v>0</v>
      </c>
      <c r="DN130" s="1088"/>
      <c r="DO130" s="53"/>
      <c r="DP130" s="32">
        <f t="shared" si="339"/>
        <v>0</v>
      </c>
      <c r="DQ130" s="1088"/>
      <c r="DR130" s="53"/>
      <c r="DS130" s="32">
        <f t="shared" si="340"/>
        <v>0</v>
      </c>
      <c r="DT130" s="1088"/>
      <c r="DU130" s="53"/>
      <c r="DV130" s="32">
        <f t="shared" si="341"/>
        <v>0</v>
      </c>
      <c r="DW130" s="1088"/>
      <c r="DX130" s="53"/>
      <c r="DY130" s="32">
        <f t="shared" si="342"/>
        <v>0</v>
      </c>
      <c r="DZ130" s="1088"/>
      <c r="EA130" s="53"/>
      <c r="EB130" s="32">
        <f t="shared" si="343"/>
        <v>0</v>
      </c>
      <c r="EC130" s="1088"/>
      <c r="ED130" s="53"/>
      <c r="EE130" s="32">
        <f t="shared" si="344"/>
        <v>0</v>
      </c>
      <c r="EF130" s="1088"/>
      <c r="EG130" s="53"/>
      <c r="EH130" s="32">
        <f t="shared" si="345"/>
        <v>0</v>
      </c>
      <c r="EI130" s="1088"/>
      <c r="EJ130" s="53"/>
      <c r="EK130" s="32">
        <f t="shared" si="346"/>
        <v>0</v>
      </c>
      <c r="EL130" s="1088"/>
      <c r="EM130" s="53"/>
      <c r="EN130" s="32">
        <f t="shared" si="347"/>
        <v>0</v>
      </c>
      <c r="EO130" s="1088"/>
      <c r="EP130" s="53"/>
      <c r="EQ130" s="32">
        <f t="shared" si="348"/>
        <v>0</v>
      </c>
      <c r="ER130" s="1088"/>
      <c r="ES130" s="53"/>
      <c r="ET130" s="32">
        <f t="shared" si="349"/>
        <v>0</v>
      </c>
      <c r="EU130" s="1088"/>
      <c r="EV130" s="53"/>
      <c r="EW130" s="32">
        <f t="shared" si="350"/>
        <v>0</v>
      </c>
      <c r="EX130" s="1088"/>
      <c r="EY130" s="53"/>
      <c r="EZ130" s="32">
        <f t="shared" si="351"/>
        <v>0</v>
      </c>
      <c r="FA130" s="1088"/>
      <c r="FD130"/>
      <c r="FE130"/>
      <c r="FF130"/>
      <c r="FG130"/>
      <c r="FH130"/>
      <c r="FI130"/>
    </row>
    <row r="131" spans="2:169" s="33" customFormat="1" hidden="1" outlineLevel="2">
      <c r="B131" s="54" t="s">
        <v>644</v>
      </c>
      <c r="D131" s="2" t="s">
        <v>506</v>
      </c>
      <c r="E131" s="53"/>
      <c r="F131" s="32">
        <f t="shared" si="301"/>
        <v>0</v>
      </c>
      <c r="G131" s="53"/>
      <c r="H131" s="53"/>
      <c r="I131" s="32">
        <f t="shared" si="302"/>
        <v>0</v>
      </c>
      <c r="J131" s="53"/>
      <c r="K131" s="53"/>
      <c r="L131" s="32">
        <f t="shared" si="303"/>
        <v>0</v>
      </c>
      <c r="M131" s="53"/>
      <c r="N131" s="53"/>
      <c r="O131" s="32">
        <f t="shared" si="304"/>
        <v>0</v>
      </c>
      <c r="P131" s="53"/>
      <c r="Q131" s="53"/>
      <c r="R131" s="32">
        <f t="shared" si="305"/>
        <v>0</v>
      </c>
      <c r="S131" s="53"/>
      <c r="T131" s="53"/>
      <c r="U131" s="32">
        <f t="shared" si="306"/>
        <v>0</v>
      </c>
      <c r="V131" s="53"/>
      <c r="W131" s="53"/>
      <c r="X131" s="32">
        <f t="shared" si="307"/>
        <v>0</v>
      </c>
      <c r="Y131" s="53"/>
      <c r="Z131" s="53"/>
      <c r="AA131" s="32">
        <f t="shared" si="308"/>
        <v>0</v>
      </c>
      <c r="AB131" s="53"/>
      <c r="AC131" s="53"/>
      <c r="AD131" s="32">
        <f t="shared" si="309"/>
        <v>0</v>
      </c>
      <c r="AE131" s="53"/>
      <c r="AF131" s="53"/>
      <c r="AG131" s="32">
        <f t="shared" si="310"/>
        <v>0</v>
      </c>
      <c r="AH131" s="53"/>
      <c r="AI131" s="53"/>
      <c r="AJ131" s="32">
        <f t="shared" si="311"/>
        <v>0</v>
      </c>
      <c r="AK131" s="53"/>
      <c r="AL131" s="53"/>
      <c r="AM131" s="32">
        <f t="shared" si="312"/>
        <v>0</v>
      </c>
      <c r="AN131" s="53"/>
      <c r="AO131" s="53"/>
      <c r="AP131" s="32">
        <f t="shared" si="313"/>
        <v>0</v>
      </c>
      <c r="AQ131" s="53"/>
      <c r="AR131" s="53"/>
      <c r="AS131" s="32">
        <f t="shared" si="314"/>
        <v>0</v>
      </c>
      <c r="AT131" s="53"/>
      <c r="AU131" s="53"/>
      <c r="AV131" s="32">
        <f t="shared" si="315"/>
        <v>0</v>
      </c>
      <c r="AW131" s="53"/>
      <c r="AX131" s="53"/>
      <c r="AY131" s="32">
        <f t="shared" si="316"/>
        <v>0</v>
      </c>
      <c r="AZ131" s="53"/>
      <c r="BA131" s="53"/>
      <c r="BB131" s="32">
        <f t="shared" si="317"/>
        <v>0</v>
      </c>
      <c r="BC131" s="53"/>
      <c r="BD131" s="53"/>
      <c r="BE131" s="32">
        <f t="shared" si="318"/>
        <v>0</v>
      </c>
      <c r="BF131" s="1098"/>
      <c r="BG131" s="1088"/>
      <c r="BH131" s="32">
        <f t="shared" si="319"/>
        <v>0</v>
      </c>
      <c r="BI131" s="1098"/>
      <c r="BJ131" s="1088"/>
      <c r="BK131" s="32">
        <f t="shared" si="320"/>
        <v>0</v>
      </c>
      <c r="BL131" s="1098"/>
      <c r="BM131" s="1088"/>
      <c r="BN131" s="32">
        <f t="shared" si="321"/>
        <v>0</v>
      </c>
      <c r="BO131" s="1098"/>
      <c r="BP131" s="1088"/>
      <c r="BQ131" s="32">
        <f t="shared" si="322"/>
        <v>0</v>
      </c>
      <c r="BR131" s="1098"/>
      <c r="BS131" s="1088"/>
      <c r="BT131" s="32">
        <f t="shared" si="323"/>
        <v>0</v>
      </c>
      <c r="BU131" s="1098"/>
      <c r="BV131" s="1088"/>
      <c r="BW131" s="32">
        <f t="shared" si="324"/>
        <v>0</v>
      </c>
      <c r="BX131" s="1098"/>
      <c r="BY131" s="1088"/>
      <c r="BZ131" s="32">
        <f t="shared" si="325"/>
        <v>0</v>
      </c>
      <c r="CA131" s="1098"/>
      <c r="CB131" s="1088"/>
      <c r="CC131" s="32">
        <f t="shared" si="326"/>
        <v>0</v>
      </c>
      <c r="CD131" s="1098"/>
      <c r="CE131" s="1088"/>
      <c r="CF131" s="32">
        <f t="shared" si="327"/>
        <v>0</v>
      </c>
      <c r="CG131" s="1098"/>
      <c r="CH131" s="1088"/>
      <c r="CI131" s="32">
        <f t="shared" si="328"/>
        <v>0</v>
      </c>
      <c r="CJ131" s="1098"/>
      <c r="CK131" s="1088"/>
      <c r="CL131" s="32">
        <f t="shared" si="329"/>
        <v>0</v>
      </c>
      <c r="CM131" s="1098"/>
      <c r="CN131" s="1088"/>
      <c r="CO131" s="32">
        <f t="shared" si="330"/>
        <v>0</v>
      </c>
      <c r="CP131" s="1098"/>
      <c r="CQ131" s="1088"/>
      <c r="CR131" s="32">
        <f t="shared" si="331"/>
        <v>0</v>
      </c>
      <c r="CS131" s="1098"/>
      <c r="CT131" s="1088"/>
      <c r="CU131" s="32">
        <f t="shared" si="332"/>
        <v>0</v>
      </c>
      <c r="CV131" s="1098"/>
      <c r="CW131" s="1088"/>
      <c r="CX131" s="32">
        <f t="shared" si="333"/>
        <v>0</v>
      </c>
      <c r="CY131" s="1098"/>
      <c r="CZ131" s="1088"/>
      <c r="DA131" s="32">
        <f t="shared" si="334"/>
        <v>0</v>
      </c>
      <c r="DB131" s="1098"/>
      <c r="DC131" s="1088"/>
      <c r="DD131" s="32">
        <f t="shared" si="335"/>
        <v>0</v>
      </c>
      <c r="DE131" s="1101"/>
      <c r="DF131" s="1088"/>
      <c r="DG131" s="32">
        <f t="shared" si="336"/>
        <v>0</v>
      </c>
      <c r="DH131" s="1101"/>
      <c r="DI131" s="1088"/>
      <c r="DJ131" s="32">
        <f t="shared" si="337"/>
        <v>0</v>
      </c>
      <c r="DK131" s="1101"/>
      <c r="DL131" s="53"/>
      <c r="DM131" s="32">
        <f t="shared" si="338"/>
        <v>0</v>
      </c>
      <c r="DN131" s="1088"/>
      <c r="DO131" s="53"/>
      <c r="DP131" s="32">
        <f t="shared" si="339"/>
        <v>0</v>
      </c>
      <c r="DQ131" s="1088"/>
      <c r="DR131" s="53"/>
      <c r="DS131" s="32">
        <f t="shared" si="340"/>
        <v>0</v>
      </c>
      <c r="DT131" s="1088"/>
      <c r="DU131" s="53"/>
      <c r="DV131" s="32">
        <f t="shared" si="341"/>
        <v>0</v>
      </c>
      <c r="DW131" s="1088"/>
      <c r="DX131" s="53"/>
      <c r="DY131" s="32">
        <f t="shared" si="342"/>
        <v>0</v>
      </c>
      <c r="DZ131" s="1088"/>
      <c r="EA131" s="53"/>
      <c r="EB131" s="32">
        <f t="shared" si="343"/>
        <v>0</v>
      </c>
      <c r="EC131" s="1088"/>
      <c r="ED131" s="53"/>
      <c r="EE131" s="32">
        <f t="shared" si="344"/>
        <v>0</v>
      </c>
      <c r="EF131" s="1088"/>
      <c r="EG131" s="53"/>
      <c r="EH131" s="32">
        <f t="shared" si="345"/>
        <v>0</v>
      </c>
      <c r="EI131" s="1088"/>
      <c r="EJ131" s="53"/>
      <c r="EK131" s="32">
        <f t="shared" si="346"/>
        <v>0</v>
      </c>
      <c r="EL131" s="1088"/>
      <c r="EM131" s="53"/>
      <c r="EN131" s="32">
        <f t="shared" si="347"/>
        <v>0</v>
      </c>
      <c r="EO131" s="1088"/>
      <c r="EP131" s="53"/>
      <c r="EQ131" s="32">
        <f t="shared" si="348"/>
        <v>0</v>
      </c>
      <c r="ER131" s="1088"/>
      <c r="ES131" s="53"/>
      <c r="ET131" s="32">
        <f t="shared" si="349"/>
        <v>0</v>
      </c>
      <c r="EU131" s="1088"/>
      <c r="EV131" s="53"/>
      <c r="EW131" s="32">
        <f t="shared" si="350"/>
        <v>0</v>
      </c>
      <c r="EX131" s="1088"/>
      <c r="EY131" s="53"/>
      <c r="EZ131" s="32">
        <f t="shared" si="351"/>
        <v>0</v>
      </c>
      <c r="FA131" s="1088"/>
      <c r="FD131"/>
      <c r="FE131"/>
      <c r="FF131"/>
      <c r="FG131"/>
      <c r="FH131"/>
      <c r="FI131"/>
    </row>
    <row r="132" spans="2:169" s="33" customFormat="1" hidden="1" outlineLevel="2">
      <c r="B132" s="54" t="s">
        <v>545</v>
      </c>
      <c r="D132" s="2" t="s">
        <v>506</v>
      </c>
      <c r="E132" s="53"/>
      <c r="F132" s="32">
        <f t="shared" si="301"/>
        <v>0</v>
      </c>
      <c r="G132" s="53"/>
      <c r="H132" s="53"/>
      <c r="I132" s="32">
        <f t="shared" si="302"/>
        <v>0</v>
      </c>
      <c r="J132" s="53"/>
      <c r="K132" s="53"/>
      <c r="L132" s="32">
        <f t="shared" si="303"/>
        <v>0</v>
      </c>
      <c r="M132" s="53"/>
      <c r="N132" s="53"/>
      <c r="O132" s="32">
        <f t="shared" si="304"/>
        <v>0</v>
      </c>
      <c r="P132" s="53"/>
      <c r="Q132" s="53"/>
      <c r="R132" s="32">
        <f t="shared" si="305"/>
        <v>0</v>
      </c>
      <c r="S132" s="53"/>
      <c r="T132" s="53"/>
      <c r="U132" s="32">
        <f t="shared" si="306"/>
        <v>0</v>
      </c>
      <c r="V132" s="53"/>
      <c r="W132" s="53"/>
      <c r="X132" s="32">
        <f t="shared" si="307"/>
        <v>0</v>
      </c>
      <c r="Y132" s="53"/>
      <c r="Z132" s="53"/>
      <c r="AA132" s="32">
        <f t="shared" si="308"/>
        <v>0</v>
      </c>
      <c r="AB132" s="53"/>
      <c r="AC132" s="53"/>
      <c r="AD132" s="32">
        <f t="shared" si="309"/>
        <v>0</v>
      </c>
      <c r="AE132" s="53"/>
      <c r="AF132" s="53"/>
      <c r="AG132" s="32">
        <f t="shared" si="310"/>
        <v>0</v>
      </c>
      <c r="AH132" s="53"/>
      <c r="AI132" s="53"/>
      <c r="AJ132" s="32">
        <f t="shared" si="311"/>
        <v>0</v>
      </c>
      <c r="AK132" s="53"/>
      <c r="AL132" s="53"/>
      <c r="AM132" s="32">
        <f t="shared" si="312"/>
        <v>0</v>
      </c>
      <c r="AN132" s="53"/>
      <c r="AO132" s="53"/>
      <c r="AP132" s="32">
        <f t="shared" si="313"/>
        <v>0</v>
      </c>
      <c r="AQ132" s="53"/>
      <c r="AR132" s="53"/>
      <c r="AS132" s="32">
        <f t="shared" si="314"/>
        <v>0</v>
      </c>
      <c r="AT132" s="53"/>
      <c r="AU132" s="53"/>
      <c r="AV132" s="32">
        <f t="shared" si="315"/>
        <v>0</v>
      </c>
      <c r="AW132" s="53"/>
      <c r="AX132" s="53"/>
      <c r="AY132" s="32">
        <f t="shared" si="316"/>
        <v>0</v>
      </c>
      <c r="AZ132" s="53"/>
      <c r="BA132" s="53"/>
      <c r="BB132" s="32">
        <f t="shared" si="317"/>
        <v>0</v>
      </c>
      <c r="BC132" s="53"/>
      <c r="BD132" s="53"/>
      <c r="BE132" s="32">
        <f t="shared" si="318"/>
        <v>0</v>
      </c>
      <c r="BF132" s="1098"/>
      <c r="BG132" s="1088"/>
      <c r="BH132" s="32">
        <f t="shared" si="319"/>
        <v>0</v>
      </c>
      <c r="BI132" s="1098"/>
      <c r="BJ132" s="1088"/>
      <c r="BK132" s="32">
        <f t="shared" si="320"/>
        <v>0</v>
      </c>
      <c r="BL132" s="1098"/>
      <c r="BM132" s="1088"/>
      <c r="BN132" s="32">
        <f t="shared" si="321"/>
        <v>0</v>
      </c>
      <c r="BO132" s="1098"/>
      <c r="BP132" s="1088"/>
      <c r="BQ132" s="32">
        <f t="shared" si="322"/>
        <v>0</v>
      </c>
      <c r="BR132" s="1098"/>
      <c r="BS132" s="1088"/>
      <c r="BT132" s="32">
        <f t="shared" si="323"/>
        <v>0</v>
      </c>
      <c r="BU132" s="1098"/>
      <c r="BV132" s="1088"/>
      <c r="BW132" s="32">
        <f t="shared" si="324"/>
        <v>0</v>
      </c>
      <c r="BX132" s="1098"/>
      <c r="BY132" s="1088"/>
      <c r="BZ132" s="32">
        <f t="shared" si="325"/>
        <v>0</v>
      </c>
      <c r="CA132" s="1098"/>
      <c r="CB132" s="1088"/>
      <c r="CC132" s="32">
        <f t="shared" si="326"/>
        <v>0</v>
      </c>
      <c r="CD132" s="1098"/>
      <c r="CE132" s="1088"/>
      <c r="CF132" s="32">
        <f t="shared" si="327"/>
        <v>0</v>
      </c>
      <c r="CG132" s="1098"/>
      <c r="CH132" s="1088"/>
      <c r="CI132" s="32">
        <f t="shared" si="328"/>
        <v>0</v>
      </c>
      <c r="CJ132" s="1098"/>
      <c r="CK132" s="1088"/>
      <c r="CL132" s="32">
        <f t="shared" si="329"/>
        <v>0</v>
      </c>
      <c r="CM132" s="1098"/>
      <c r="CN132" s="1088"/>
      <c r="CO132" s="32">
        <f t="shared" si="330"/>
        <v>0</v>
      </c>
      <c r="CP132" s="1098"/>
      <c r="CQ132" s="1088"/>
      <c r="CR132" s="32">
        <f t="shared" si="331"/>
        <v>0</v>
      </c>
      <c r="CS132" s="1098"/>
      <c r="CT132" s="1088"/>
      <c r="CU132" s="32">
        <f t="shared" si="332"/>
        <v>0</v>
      </c>
      <c r="CV132" s="1098"/>
      <c r="CW132" s="1088"/>
      <c r="CX132" s="32">
        <f t="shared" si="333"/>
        <v>0</v>
      </c>
      <c r="CY132" s="1098"/>
      <c r="CZ132" s="1088"/>
      <c r="DA132" s="32">
        <f t="shared" si="334"/>
        <v>0</v>
      </c>
      <c r="DB132" s="1098"/>
      <c r="DC132" s="1088"/>
      <c r="DD132" s="32">
        <f t="shared" si="335"/>
        <v>0</v>
      </c>
      <c r="DE132" s="1101"/>
      <c r="DF132" s="1088"/>
      <c r="DG132" s="32">
        <f t="shared" si="336"/>
        <v>0</v>
      </c>
      <c r="DH132" s="1101"/>
      <c r="DI132" s="1088"/>
      <c r="DJ132" s="32">
        <f t="shared" si="337"/>
        <v>0</v>
      </c>
      <c r="DK132" s="1101"/>
      <c r="DL132" s="53"/>
      <c r="DM132" s="32">
        <f t="shared" si="338"/>
        <v>0</v>
      </c>
      <c r="DN132" s="1088"/>
      <c r="DO132" s="53"/>
      <c r="DP132" s="32">
        <f t="shared" si="339"/>
        <v>0</v>
      </c>
      <c r="DQ132" s="1088"/>
      <c r="DR132" s="53"/>
      <c r="DS132" s="32">
        <f t="shared" si="340"/>
        <v>0</v>
      </c>
      <c r="DT132" s="1088"/>
      <c r="DU132" s="53"/>
      <c r="DV132" s="32">
        <f t="shared" si="341"/>
        <v>0</v>
      </c>
      <c r="DW132" s="1088"/>
      <c r="DX132" s="53"/>
      <c r="DY132" s="32">
        <f t="shared" si="342"/>
        <v>0</v>
      </c>
      <c r="DZ132" s="1088"/>
      <c r="EA132" s="53"/>
      <c r="EB132" s="32">
        <f t="shared" si="343"/>
        <v>0</v>
      </c>
      <c r="EC132" s="1088"/>
      <c r="ED132" s="53"/>
      <c r="EE132" s="32">
        <f t="shared" si="344"/>
        <v>0</v>
      </c>
      <c r="EF132" s="1088"/>
      <c r="EG132" s="53"/>
      <c r="EH132" s="32">
        <f t="shared" si="345"/>
        <v>0</v>
      </c>
      <c r="EI132" s="1088"/>
      <c r="EJ132" s="53"/>
      <c r="EK132" s="32">
        <f t="shared" si="346"/>
        <v>0</v>
      </c>
      <c r="EL132" s="1088"/>
      <c r="EM132" s="53"/>
      <c r="EN132" s="32">
        <f t="shared" si="347"/>
        <v>0</v>
      </c>
      <c r="EO132" s="1088"/>
      <c r="EP132" s="53"/>
      <c r="EQ132" s="32">
        <f t="shared" si="348"/>
        <v>0</v>
      </c>
      <c r="ER132" s="1088"/>
      <c r="ES132" s="53"/>
      <c r="ET132" s="32">
        <f t="shared" si="349"/>
        <v>0</v>
      </c>
      <c r="EU132" s="1088"/>
      <c r="EV132" s="53"/>
      <c r="EW132" s="32">
        <f t="shared" si="350"/>
        <v>0</v>
      </c>
      <c r="EX132" s="1088"/>
      <c r="EY132" s="53"/>
      <c r="EZ132" s="32">
        <f t="shared" si="351"/>
        <v>0</v>
      </c>
      <c r="FA132" s="1088"/>
      <c r="FD132"/>
      <c r="FE132"/>
      <c r="FF132"/>
      <c r="FG132"/>
      <c r="FH132"/>
      <c r="FI132"/>
    </row>
    <row r="133" spans="2:169" s="33" customFormat="1" hidden="1" outlineLevel="2">
      <c r="B133" s="54" t="s">
        <v>645</v>
      </c>
      <c r="D133" s="2" t="s">
        <v>506</v>
      </c>
      <c r="E133" s="53"/>
      <c r="F133" s="32">
        <f t="shared" si="301"/>
        <v>0</v>
      </c>
      <c r="G133" s="53"/>
      <c r="H133" s="53"/>
      <c r="I133" s="32">
        <f t="shared" si="302"/>
        <v>0</v>
      </c>
      <c r="J133" s="53"/>
      <c r="K133" s="53"/>
      <c r="L133" s="32">
        <f t="shared" si="303"/>
        <v>0</v>
      </c>
      <c r="M133" s="53"/>
      <c r="N133" s="53"/>
      <c r="O133" s="32">
        <f t="shared" si="304"/>
        <v>0</v>
      </c>
      <c r="P133" s="53"/>
      <c r="Q133" s="53"/>
      <c r="R133" s="32">
        <f t="shared" si="305"/>
        <v>0</v>
      </c>
      <c r="S133" s="53"/>
      <c r="T133" s="53"/>
      <c r="U133" s="32">
        <f t="shared" si="306"/>
        <v>0</v>
      </c>
      <c r="V133" s="53"/>
      <c r="W133" s="53"/>
      <c r="X133" s="32">
        <f t="shared" si="307"/>
        <v>0</v>
      </c>
      <c r="Y133" s="53"/>
      <c r="Z133" s="53"/>
      <c r="AA133" s="32">
        <f t="shared" si="308"/>
        <v>0</v>
      </c>
      <c r="AB133" s="53"/>
      <c r="AC133" s="53"/>
      <c r="AD133" s="32">
        <f t="shared" si="309"/>
        <v>0</v>
      </c>
      <c r="AE133" s="53"/>
      <c r="AF133" s="53"/>
      <c r="AG133" s="32">
        <f t="shared" si="310"/>
        <v>0</v>
      </c>
      <c r="AH133" s="53"/>
      <c r="AI133" s="53"/>
      <c r="AJ133" s="32">
        <f t="shared" si="311"/>
        <v>0</v>
      </c>
      <c r="AK133" s="53"/>
      <c r="AL133" s="53"/>
      <c r="AM133" s="32">
        <f t="shared" si="312"/>
        <v>0</v>
      </c>
      <c r="AN133" s="53"/>
      <c r="AO133" s="53"/>
      <c r="AP133" s="32">
        <f t="shared" si="313"/>
        <v>0</v>
      </c>
      <c r="AQ133" s="53"/>
      <c r="AR133" s="53"/>
      <c r="AS133" s="32">
        <f t="shared" si="314"/>
        <v>0</v>
      </c>
      <c r="AT133" s="53"/>
      <c r="AU133" s="53"/>
      <c r="AV133" s="32">
        <f t="shared" si="315"/>
        <v>0</v>
      </c>
      <c r="AW133" s="53"/>
      <c r="AX133" s="53"/>
      <c r="AY133" s="32">
        <f t="shared" si="316"/>
        <v>0</v>
      </c>
      <c r="AZ133" s="53"/>
      <c r="BA133" s="53"/>
      <c r="BB133" s="32">
        <f t="shared" si="317"/>
        <v>0</v>
      </c>
      <c r="BC133" s="53"/>
      <c r="BD133" s="53"/>
      <c r="BE133" s="32">
        <f t="shared" si="318"/>
        <v>0</v>
      </c>
      <c r="BF133" s="1098"/>
      <c r="BG133" s="1088"/>
      <c r="BH133" s="32">
        <f t="shared" si="319"/>
        <v>0</v>
      </c>
      <c r="BI133" s="1098"/>
      <c r="BJ133" s="1088"/>
      <c r="BK133" s="32">
        <f t="shared" si="320"/>
        <v>0</v>
      </c>
      <c r="BL133" s="1098"/>
      <c r="BM133" s="1088"/>
      <c r="BN133" s="32">
        <f t="shared" si="321"/>
        <v>0</v>
      </c>
      <c r="BO133" s="1098"/>
      <c r="BP133" s="1088"/>
      <c r="BQ133" s="32">
        <f t="shared" si="322"/>
        <v>0</v>
      </c>
      <c r="BR133" s="1098"/>
      <c r="BS133" s="1088"/>
      <c r="BT133" s="32">
        <f t="shared" si="323"/>
        <v>0</v>
      </c>
      <c r="BU133" s="1098"/>
      <c r="BV133" s="1088"/>
      <c r="BW133" s="32">
        <f t="shared" si="324"/>
        <v>0</v>
      </c>
      <c r="BX133" s="1098"/>
      <c r="BY133" s="1088"/>
      <c r="BZ133" s="32">
        <f t="shared" si="325"/>
        <v>0</v>
      </c>
      <c r="CA133" s="1098"/>
      <c r="CB133" s="1088"/>
      <c r="CC133" s="32">
        <f t="shared" si="326"/>
        <v>0</v>
      </c>
      <c r="CD133" s="1098"/>
      <c r="CE133" s="1088"/>
      <c r="CF133" s="32">
        <f t="shared" si="327"/>
        <v>0</v>
      </c>
      <c r="CG133" s="1098"/>
      <c r="CH133" s="1088"/>
      <c r="CI133" s="32">
        <f t="shared" si="328"/>
        <v>0</v>
      </c>
      <c r="CJ133" s="1098"/>
      <c r="CK133" s="1088"/>
      <c r="CL133" s="32">
        <f t="shared" si="329"/>
        <v>0</v>
      </c>
      <c r="CM133" s="1098"/>
      <c r="CN133" s="1088"/>
      <c r="CO133" s="32">
        <f t="shared" si="330"/>
        <v>0</v>
      </c>
      <c r="CP133" s="1098"/>
      <c r="CQ133" s="1088"/>
      <c r="CR133" s="32">
        <f t="shared" si="331"/>
        <v>0</v>
      </c>
      <c r="CS133" s="1098"/>
      <c r="CT133" s="1088"/>
      <c r="CU133" s="32">
        <f t="shared" si="332"/>
        <v>0</v>
      </c>
      <c r="CV133" s="1098"/>
      <c r="CW133" s="1088"/>
      <c r="CX133" s="32">
        <f t="shared" si="333"/>
        <v>0</v>
      </c>
      <c r="CY133" s="1098"/>
      <c r="CZ133" s="1088"/>
      <c r="DA133" s="32">
        <f t="shared" si="334"/>
        <v>0</v>
      </c>
      <c r="DB133" s="1098"/>
      <c r="DC133" s="1088"/>
      <c r="DD133" s="32">
        <f t="shared" si="335"/>
        <v>0</v>
      </c>
      <c r="DE133" s="1101"/>
      <c r="DF133" s="1088"/>
      <c r="DG133" s="32">
        <f t="shared" si="336"/>
        <v>0</v>
      </c>
      <c r="DH133" s="1101"/>
      <c r="DI133" s="1088"/>
      <c r="DJ133" s="32">
        <f t="shared" si="337"/>
        <v>0</v>
      </c>
      <c r="DK133" s="1101"/>
      <c r="DL133" s="53"/>
      <c r="DM133" s="32">
        <f t="shared" si="338"/>
        <v>0</v>
      </c>
      <c r="DN133" s="1088"/>
      <c r="DO133" s="53"/>
      <c r="DP133" s="32">
        <f t="shared" si="339"/>
        <v>0</v>
      </c>
      <c r="DQ133" s="1088"/>
      <c r="DR133" s="53"/>
      <c r="DS133" s="32">
        <f t="shared" si="340"/>
        <v>0</v>
      </c>
      <c r="DT133" s="1088"/>
      <c r="DU133" s="53"/>
      <c r="DV133" s="32">
        <f t="shared" si="341"/>
        <v>0</v>
      </c>
      <c r="DW133" s="1088"/>
      <c r="DX133" s="53"/>
      <c r="DY133" s="32">
        <f t="shared" si="342"/>
        <v>0</v>
      </c>
      <c r="DZ133" s="1088"/>
      <c r="EA133" s="53"/>
      <c r="EB133" s="32">
        <f t="shared" si="343"/>
        <v>0</v>
      </c>
      <c r="EC133" s="1088"/>
      <c r="ED133" s="53"/>
      <c r="EE133" s="32">
        <f t="shared" si="344"/>
        <v>0</v>
      </c>
      <c r="EF133" s="1088"/>
      <c r="EG133" s="53"/>
      <c r="EH133" s="32">
        <f t="shared" si="345"/>
        <v>0</v>
      </c>
      <c r="EI133" s="1088"/>
      <c r="EJ133" s="53"/>
      <c r="EK133" s="32">
        <f t="shared" si="346"/>
        <v>0</v>
      </c>
      <c r="EL133" s="1088"/>
      <c r="EM133" s="53"/>
      <c r="EN133" s="32">
        <f t="shared" si="347"/>
        <v>0</v>
      </c>
      <c r="EO133" s="1088"/>
      <c r="EP133" s="53"/>
      <c r="EQ133" s="32">
        <f t="shared" si="348"/>
        <v>0</v>
      </c>
      <c r="ER133" s="1088"/>
      <c r="ES133" s="53"/>
      <c r="ET133" s="32">
        <f t="shared" si="349"/>
        <v>0</v>
      </c>
      <c r="EU133" s="1088"/>
      <c r="EV133" s="53"/>
      <c r="EW133" s="32">
        <f t="shared" si="350"/>
        <v>0</v>
      </c>
      <c r="EX133" s="1088"/>
      <c r="EY133" s="53"/>
      <c r="EZ133" s="32">
        <f t="shared" si="351"/>
        <v>0</v>
      </c>
      <c r="FA133" s="1088"/>
      <c r="FD133"/>
      <c r="FE133"/>
      <c r="FF133"/>
      <c r="FG133"/>
      <c r="FH133"/>
      <c r="FI133"/>
    </row>
    <row r="134" spans="2:169" s="33" customFormat="1" hidden="1" outlineLevel="2">
      <c r="B134" s="54" t="s">
        <v>545</v>
      </c>
      <c r="D134" s="2" t="s">
        <v>506</v>
      </c>
      <c r="E134" s="53"/>
      <c r="F134" s="32">
        <f t="shared" si="301"/>
        <v>0</v>
      </c>
      <c r="G134" s="53"/>
      <c r="H134" s="53"/>
      <c r="I134" s="32">
        <f t="shared" si="302"/>
        <v>0</v>
      </c>
      <c r="J134" s="53"/>
      <c r="K134" s="53"/>
      <c r="L134" s="32">
        <f t="shared" si="303"/>
        <v>0</v>
      </c>
      <c r="M134" s="53"/>
      <c r="N134" s="53"/>
      <c r="O134" s="32">
        <f t="shared" si="304"/>
        <v>0</v>
      </c>
      <c r="P134" s="53"/>
      <c r="Q134" s="53"/>
      <c r="R134" s="32">
        <f t="shared" si="305"/>
        <v>0</v>
      </c>
      <c r="S134" s="53"/>
      <c r="T134" s="53"/>
      <c r="U134" s="32">
        <f t="shared" si="306"/>
        <v>0</v>
      </c>
      <c r="V134" s="53"/>
      <c r="W134" s="53"/>
      <c r="X134" s="32">
        <f t="shared" si="307"/>
        <v>0</v>
      </c>
      <c r="Y134" s="53"/>
      <c r="Z134" s="53"/>
      <c r="AA134" s="32">
        <f t="shared" si="308"/>
        <v>0</v>
      </c>
      <c r="AB134" s="53"/>
      <c r="AC134" s="53"/>
      <c r="AD134" s="32">
        <f t="shared" si="309"/>
        <v>0</v>
      </c>
      <c r="AE134" s="53"/>
      <c r="AF134" s="53"/>
      <c r="AG134" s="32">
        <f t="shared" si="310"/>
        <v>0</v>
      </c>
      <c r="AH134" s="53"/>
      <c r="AI134" s="53"/>
      <c r="AJ134" s="32">
        <f t="shared" si="311"/>
        <v>0</v>
      </c>
      <c r="AK134" s="53"/>
      <c r="AL134" s="53"/>
      <c r="AM134" s="32">
        <f t="shared" si="312"/>
        <v>0</v>
      </c>
      <c r="AN134" s="53"/>
      <c r="AO134" s="53"/>
      <c r="AP134" s="32">
        <f t="shared" si="313"/>
        <v>0</v>
      </c>
      <c r="AQ134" s="53"/>
      <c r="AR134" s="53"/>
      <c r="AS134" s="32">
        <f t="shared" si="314"/>
        <v>0</v>
      </c>
      <c r="AT134" s="53"/>
      <c r="AU134" s="53"/>
      <c r="AV134" s="32">
        <f t="shared" si="315"/>
        <v>0</v>
      </c>
      <c r="AW134" s="53"/>
      <c r="AX134" s="53"/>
      <c r="AY134" s="32">
        <f t="shared" si="316"/>
        <v>0</v>
      </c>
      <c r="AZ134" s="53"/>
      <c r="BA134" s="53"/>
      <c r="BB134" s="32">
        <f t="shared" si="317"/>
        <v>0</v>
      </c>
      <c r="BC134" s="53"/>
      <c r="BD134" s="53"/>
      <c r="BE134" s="32">
        <f t="shared" si="318"/>
        <v>0</v>
      </c>
      <c r="BF134" s="1098"/>
      <c r="BG134" s="1088"/>
      <c r="BH134" s="32">
        <f t="shared" si="319"/>
        <v>0</v>
      </c>
      <c r="BI134" s="1098"/>
      <c r="BJ134" s="1088"/>
      <c r="BK134" s="32">
        <f t="shared" si="320"/>
        <v>0</v>
      </c>
      <c r="BL134" s="1098"/>
      <c r="BM134" s="1088"/>
      <c r="BN134" s="32">
        <f t="shared" si="321"/>
        <v>0</v>
      </c>
      <c r="BO134" s="1098"/>
      <c r="BP134" s="1088"/>
      <c r="BQ134" s="32">
        <f t="shared" si="322"/>
        <v>0</v>
      </c>
      <c r="BR134" s="1098"/>
      <c r="BS134" s="1088"/>
      <c r="BT134" s="32">
        <f t="shared" si="323"/>
        <v>0</v>
      </c>
      <c r="BU134" s="1098"/>
      <c r="BV134" s="1088"/>
      <c r="BW134" s="32">
        <f t="shared" si="324"/>
        <v>0</v>
      </c>
      <c r="BX134" s="1098"/>
      <c r="BY134" s="1088"/>
      <c r="BZ134" s="32">
        <f t="shared" si="325"/>
        <v>0</v>
      </c>
      <c r="CA134" s="1098"/>
      <c r="CB134" s="1088"/>
      <c r="CC134" s="32">
        <f t="shared" si="326"/>
        <v>0</v>
      </c>
      <c r="CD134" s="1098"/>
      <c r="CE134" s="1088"/>
      <c r="CF134" s="32">
        <f t="shared" si="327"/>
        <v>0</v>
      </c>
      <c r="CG134" s="1098"/>
      <c r="CH134" s="1088"/>
      <c r="CI134" s="32">
        <f t="shared" si="328"/>
        <v>0</v>
      </c>
      <c r="CJ134" s="1098"/>
      <c r="CK134" s="1088"/>
      <c r="CL134" s="32">
        <f t="shared" si="329"/>
        <v>0</v>
      </c>
      <c r="CM134" s="1098"/>
      <c r="CN134" s="1088"/>
      <c r="CO134" s="32">
        <f t="shared" si="330"/>
        <v>0</v>
      </c>
      <c r="CP134" s="1098"/>
      <c r="CQ134" s="1088"/>
      <c r="CR134" s="32">
        <f t="shared" si="331"/>
        <v>0</v>
      </c>
      <c r="CS134" s="1098"/>
      <c r="CT134" s="1088"/>
      <c r="CU134" s="32">
        <f t="shared" si="332"/>
        <v>0</v>
      </c>
      <c r="CV134" s="1098"/>
      <c r="CW134" s="1088"/>
      <c r="CX134" s="32">
        <f t="shared" si="333"/>
        <v>0</v>
      </c>
      <c r="CY134" s="1098"/>
      <c r="CZ134" s="1088"/>
      <c r="DA134" s="32">
        <f t="shared" si="334"/>
        <v>0</v>
      </c>
      <c r="DB134" s="1098"/>
      <c r="DC134" s="1088"/>
      <c r="DD134" s="32">
        <f t="shared" si="335"/>
        <v>0</v>
      </c>
      <c r="DE134" s="1101"/>
      <c r="DF134" s="1088"/>
      <c r="DG134" s="32">
        <f t="shared" si="336"/>
        <v>0</v>
      </c>
      <c r="DH134" s="1101"/>
      <c r="DI134" s="1088"/>
      <c r="DJ134" s="32">
        <f t="shared" si="337"/>
        <v>0</v>
      </c>
      <c r="DK134" s="1101"/>
      <c r="DL134" s="53"/>
      <c r="DM134" s="32">
        <f t="shared" si="338"/>
        <v>0</v>
      </c>
      <c r="DN134" s="1088"/>
      <c r="DO134" s="53"/>
      <c r="DP134" s="32">
        <f t="shared" si="339"/>
        <v>0</v>
      </c>
      <c r="DQ134" s="1088"/>
      <c r="DR134" s="53"/>
      <c r="DS134" s="32">
        <f t="shared" si="340"/>
        <v>0</v>
      </c>
      <c r="DT134" s="1088"/>
      <c r="DU134" s="53"/>
      <c r="DV134" s="32">
        <f t="shared" si="341"/>
        <v>0</v>
      </c>
      <c r="DW134" s="1088"/>
      <c r="DX134" s="53"/>
      <c r="DY134" s="32">
        <f t="shared" si="342"/>
        <v>0</v>
      </c>
      <c r="DZ134" s="1088"/>
      <c r="EA134" s="53"/>
      <c r="EB134" s="32">
        <f t="shared" si="343"/>
        <v>0</v>
      </c>
      <c r="EC134" s="1088"/>
      <c r="ED134" s="53"/>
      <c r="EE134" s="32">
        <f t="shared" si="344"/>
        <v>0</v>
      </c>
      <c r="EF134" s="1088"/>
      <c r="EG134" s="53"/>
      <c r="EH134" s="32">
        <f t="shared" si="345"/>
        <v>0</v>
      </c>
      <c r="EI134" s="1088"/>
      <c r="EJ134" s="53"/>
      <c r="EK134" s="32">
        <f t="shared" si="346"/>
        <v>0</v>
      </c>
      <c r="EL134" s="1088"/>
      <c r="EM134" s="53"/>
      <c r="EN134" s="32">
        <f t="shared" si="347"/>
        <v>0</v>
      </c>
      <c r="EO134" s="1088"/>
      <c r="EP134" s="53"/>
      <c r="EQ134" s="32">
        <f t="shared" si="348"/>
        <v>0</v>
      </c>
      <c r="ER134" s="1088"/>
      <c r="ES134" s="53"/>
      <c r="ET134" s="32">
        <f t="shared" si="349"/>
        <v>0</v>
      </c>
      <c r="EU134" s="1088"/>
      <c r="EV134" s="53"/>
      <c r="EW134" s="32">
        <f t="shared" si="350"/>
        <v>0</v>
      </c>
      <c r="EX134" s="1088"/>
      <c r="EY134" s="53"/>
      <c r="EZ134" s="32">
        <f t="shared" si="351"/>
        <v>0</v>
      </c>
      <c r="FA134" s="1088"/>
      <c r="FD134"/>
      <c r="FE134"/>
      <c r="FF134"/>
      <c r="FG134"/>
      <c r="FH134"/>
      <c r="FI134"/>
    </row>
    <row r="135" spans="2:169" s="33" customFormat="1" hidden="1" outlineLevel="2">
      <c r="B135" s="54" t="s">
        <v>519</v>
      </c>
      <c r="D135" s="2" t="s">
        <v>506</v>
      </c>
      <c r="E135" s="53"/>
      <c r="F135" s="32">
        <f t="shared" si="301"/>
        <v>0</v>
      </c>
      <c r="G135" s="53"/>
      <c r="H135" s="53"/>
      <c r="I135" s="32">
        <f t="shared" si="302"/>
        <v>0</v>
      </c>
      <c r="J135" s="53"/>
      <c r="K135" s="53"/>
      <c r="L135" s="32">
        <f t="shared" si="303"/>
        <v>0</v>
      </c>
      <c r="M135" s="53"/>
      <c r="N135" s="53"/>
      <c r="O135" s="32">
        <f t="shared" si="304"/>
        <v>0</v>
      </c>
      <c r="P135" s="53"/>
      <c r="Q135" s="53"/>
      <c r="R135" s="32">
        <f t="shared" si="305"/>
        <v>0</v>
      </c>
      <c r="S135" s="53"/>
      <c r="T135" s="53"/>
      <c r="U135" s="32">
        <f t="shared" si="306"/>
        <v>0</v>
      </c>
      <c r="V135" s="53"/>
      <c r="W135" s="53"/>
      <c r="X135" s="32">
        <f t="shared" si="307"/>
        <v>0</v>
      </c>
      <c r="Y135" s="53"/>
      <c r="Z135" s="53"/>
      <c r="AA135" s="32">
        <f t="shared" si="308"/>
        <v>0</v>
      </c>
      <c r="AB135" s="53"/>
      <c r="AC135" s="53"/>
      <c r="AD135" s="32">
        <f t="shared" si="309"/>
        <v>0</v>
      </c>
      <c r="AE135" s="53"/>
      <c r="AF135" s="53"/>
      <c r="AG135" s="32">
        <f t="shared" si="310"/>
        <v>0</v>
      </c>
      <c r="AH135" s="53"/>
      <c r="AI135" s="53"/>
      <c r="AJ135" s="32">
        <f t="shared" si="311"/>
        <v>0</v>
      </c>
      <c r="AK135" s="53"/>
      <c r="AL135" s="53"/>
      <c r="AM135" s="32">
        <f t="shared" si="312"/>
        <v>0</v>
      </c>
      <c r="AN135" s="53"/>
      <c r="AO135" s="53"/>
      <c r="AP135" s="32">
        <f t="shared" si="313"/>
        <v>0</v>
      </c>
      <c r="AQ135" s="53"/>
      <c r="AR135" s="53"/>
      <c r="AS135" s="32">
        <f t="shared" si="314"/>
        <v>0</v>
      </c>
      <c r="AT135" s="53"/>
      <c r="AU135" s="53"/>
      <c r="AV135" s="32">
        <f t="shared" si="315"/>
        <v>0</v>
      </c>
      <c r="AW135" s="53"/>
      <c r="AX135" s="53"/>
      <c r="AY135" s="32">
        <f t="shared" si="316"/>
        <v>0</v>
      </c>
      <c r="AZ135" s="53"/>
      <c r="BA135" s="53"/>
      <c r="BB135" s="32">
        <f t="shared" si="317"/>
        <v>0</v>
      </c>
      <c r="BC135" s="53"/>
      <c r="BD135" s="53"/>
      <c r="BE135" s="32">
        <f t="shared" si="318"/>
        <v>0</v>
      </c>
      <c r="BF135" s="1098"/>
      <c r="BG135" s="1088"/>
      <c r="BH135" s="32">
        <f t="shared" si="319"/>
        <v>0</v>
      </c>
      <c r="BI135" s="1098"/>
      <c r="BJ135" s="1088"/>
      <c r="BK135" s="32">
        <f t="shared" si="320"/>
        <v>0</v>
      </c>
      <c r="BL135" s="1098"/>
      <c r="BM135" s="1088"/>
      <c r="BN135" s="32">
        <f t="shared" si="321"/>
        <v>0</v>
      </c>
      <c r="BO135" s="1098"/>
      <c r="BP135" s="1088"/>
      <c r="BQ135" s="32">
        <f t="shared" si="322"/>
        <v>0</v>
      </c>
      <c r="BR135" s="1098"/>
      <c r="BS135" s="1088"/>
      <c r="BT135" s="32">
        <f t="shared" si="323"/>
        <v>0</v>
      </c>
      <c r="BU135" s="1098"/>
      <c r="BV135" s="1088"/>
      <c r="BW135" s="32">
        <f t="shared" si="324"/>
        <v>0</v>
      </c>
      <c r="BX135" s="1098"/>
      <c r="BY135" s="1088"/>
      <c r="BZ135" s="32">
        <f t="shared" si="325"/>
        <v>0</v>
      </c>
      <c r="CA135" s="1098"/>
      <c r="CB135" s="1088"/>
      <c r="CC135" s="32">
        <f t="shared" si="326"/>
        <v>0</v>
      </c>
      <c r="CD135" s="1098"/>
      <c r="CE135" s="1088"/>
      <c r="CF135" s="32">
        <f t="shared" si="327"/>
        <v>0</v>
      </c>
      <c r="CG135" s="1098"/>
      <c r="CH135" s="1088"/>
      <c r="CI135" s="32">
        <f t="shared" si="328"/>
        <v>0</v>
      </c>
      <c r="CJ135" s="1098"/>
      <c r="CK135" s="1088"/>
      <c r="CL135" s="32">
        <f t="shared" si="329"/>
        <v>0</v>
      </c>
      <c r="CM135" s="1098"/>
      <c r="CN135" s="1088"/>
      <c r="CO135" s="32">
        <f t="shared" si="330"/>
        <v>0</v>
      </c>
      <c r="CP135" s="1098"/>
      <c r="CQ135" s="1088"/>
      <c r="CR135" s="32">
        <f t="shared" si="331"/>
        <v>0</v>
      </c>
      <c r="CS135" s="1098"/>
      <c r="CT135" s="1088"/>
      <c r="CU135" s="32">
        <f t="shared" si="332"/>
        <v>0</v>
      </c>
      <c r="CV135" s="1098"/>
      <c r="CW135" s="1088"/>
      <c r="CX135" s="32">
        <f t="shared" si="333"/>
        <v>0</v>
      </c>
      <c r="CY135" s="1098"/>
      <c r="CZ135" s="1088"/>
      <c r="DA135" s="32">
        <f t="shared" si="334"/>
        <v>0</v>
      </c>
      <c r="DB135" s="1098"/>
      <c r="DC135" s="1088"/>
      <c r="DD135" s="32">
        <f t="shared" si="335"/>
        <v>0</v>
      </c>
      <c r="DE135" s="1101"/>
      <c r="DF135" s="1088"/>
      <c r="DG135" s="32">
        <f t="shared" si="336"/>
        <v>0</v>
      </c>
      <c r="DH135" s="1101"/>
      <c r="DI135" s="1088"/>
      <c r="DJ135" s="32">
        <f t="shared" si="337"/>
        <v>0</v>
      </c>
      <c r="DK135" s="1101"/>
      <c r="DL135" s="53"/>
      <c r="DM135" s="32">
        <f t="shared" si="338"/>
        <v>0</v>
      </c>
      <c r="DN135" s="1088"/>
      <c r="DO135" s="53"/>
      <c r="DP135" s="32">
        <f t="shared" si="339"/>
        <v>0</v>
      </c>
      <c r="DQ135" s="1088"/>
      <c r="DR135" s="53"/>
      <c r="DS135" s="32">
        <f t="shared" si="340"/>
        <v>0</v>
      </c>
      <c r="DT135" s="1088"/>
      <c r="DU135" s="53"/>
      <c r="DV135" s="32">
        <f t="shared" si="341"/>
        <v>0</v>
      </c>
      <c r="DW135" s="1088"/>
      <c r="DX135" s="53"/>
      <c r="DY135" s="32">
        <f t="shared" si="342"/>
        <v>0</v>
      </c>
      <c r="DZ135" s="1088"/>
      <c r="EA135" s="53"/>
      <c r="EB135" s="32">
        <f t="shared" si="343"/>
        <v>0</v>
      </c>
      <c r="EC135" s="1088"/>
      <c r="ED135" s="53"/>
      <c r="EE135" s="32">
        <f t="shared" si="344"/>
        <v>0</v>
      </c>
      <c r="EF135" s="1088"/>
      <c r="EG135" s="53"/>
      <c r="EH135" s="32">
        <f t="shared" si="345"/>
        <v>0</v>
      </c>
      <c r="EI135" s="1088"/>
      <c r="EJ135" s="53"/>
      <c r="EK135" s="32">
        <f t="shared" si="346"/>
        <v>0</v>
      </c>
      <c r="EL135" s="1088"/>
      <c r="EM135" s="53"/>
      <c r="EN135" s="32">
        <f t="shared" si="347"/>
        <v>0</v>
      </c>
      <c r="EO135" s="1088"/>
      <c r="EP135" s="53"/>
      <c r="EQ135" s="32">
        <f t="shared" si="348"/>
        <v>0</v>
      </c>
      <c r="ER135" s="1088"/>
      <c r="ES135" s="53"/>
      <c r="ET135" s="32">
        <f t="shared" si="349"/>
        <v>0</v>
      </c>
      <c r="EU135" s="1088"/>
      <c r="EV135" s="53"/>
      <c r="EW135" s="32">
        <f t="shared" si="350"/>
        <v>0</v>
      </c>
      <c r="EX135" s="1088"/>
      <c r="EY135" s="53"/>
      <c r="EZ135" s="32">
        <f t="shared" si="351"/>
        <v>0</v>
      </c>
      <c r="FA135" s="1088"/>
      <c r="FD135"/>
      <c r="FE135"/>
      <c r="FF135"/>
      <c r="FG135"/>
      <c r="FH135"/>
      <c r="FI135"/>
    </row>
    <row r="136" spans="2:169" s="33" customFormat="1" hidden="1" outlineLevel="2">
      <c r="B136" s="54" t="s">
        <v>545</v>
      </c>
      <c r="D136" s="2" t="s">
        <v>506</v>
      </c>
      <c r="E136" s="53"/>
      <c r="F136" s="32">
        <f t="shared" si="301"/>
        <v>0</v>
      </c>
      <c r="G136" s="53"/>
      <c r="H136" s="53"/>
      <c r="I136" s="32">
        <f t="shared" si="302"/>
        <v>0</v>
      </c>
      <c r="J136" s="53"/>
      <c r="K136" s="53"/>
      <c r="L136" s="32">
        <f t="shared" si="303"/>
        <v>0</v>
      </c>
      <c r="M136" s="53"/>
      <c r="N136" s="53"/>
      <c r="O136" s="32">
        <f t="shared" si="304"/>
        <v>0</v>
      </c>
      <c r="P136" s="53"/>
      <c r="Q136" s="53"/>
      <c r="R136" s="32">
        <f t="shared" si="305"/>
        <v>0</v>
      </c>
      <c r="S136" s="53"/>
      <c r="T136" s="53"/>
      <c r="U136" s="32">
        <f t="shared" si="306"/>
        <v>0</v>
      </c>
      <c r="V136" s="53"/>
      <c r="W136" s="53"/>
      <c r="X136" s="32">
        <f t="shared" si="307"/>
        <v>0</v>
      </c>
      <c r="Y136" s="53"/>
      <c r="Z136" s="53"/>
      <c r="AA136" s="32">
        <f t="shared" si="308"/>
        <v>0</v>
      </c>
      <c r="AB136" s="53"/>
      <c r="AC136" s="53"/>
      <c r="AD136" s="32">
        <f t="shared" si="309"/>
        <v>0</v>
      </c>
      <c r="AE136" s="53"/>
      <c r="AF136" s="53"/>
      <c r="AG136" s="32">
        <f t="shared" si="310"/>
        <v>0</v>
      </c>
      <c r="AH136" s="53"/>
      <c r="AI136" s="53"/>
      <c r="AJ136" s="32">
        <f t="shared" si="311"/>
        <v>0</v>
      </c>
      <c r="AK136" s="53"/>
      <c r="AL136" s="53"/>
      <c r="AM136" s="32">
        <f t="shared" si="312"/>
        <v>0</v>
      </c>
      <c r="AN136" s="53"/>
      <c r="AO136" s="53"/>
      <c r="AP136" s="32">
        <f t="shared" si="313"/>
        <v>0</v>
      </c>
      <c r="AQ136" s="53"/>
      <c r="AR136" s="53"/>
      <c r="AS136" s="32">
        <f t="shared" si="314"/>
        <v>0</v>
      </c>
      <c r="AT136" s="53"/>
      <c r="AU136" s="53"/>
      <c r="AV136" s="32">
        <f t="shared" si="315"/>
        <v>0</v>
      </c>
      <c r="AW136" s="53"/>
      <c r="AX136" s="53"/>
      <c r="AY136" s="32">
        <f t="shared" si="316"/>
        <v>0</v>
      </c>
      <c r="AZ136" s="53"/>
      <c r="BA136" s="53"/>
      <c r="BB136" s="32">
        <f t="shared" si="317"/>
        <v>0</v>
      </c>
      <c r="BC136" s="53"/>
      <c r="BD136" s="53"/>
      <c r="BE136" s="32">
        <f t="shared" si="318"/>
        <v>0</v>
      </c>
      <c r="BF136" s="1098"/>
      <c r="BG136" s="1088"/>
      <c r="BH136" s="32">
        <f t="shared" si="319"/>
        <v>0</v>
      </c>
      <c r="BI136" s="1098"/>
      <c r="BJ136" s="1088"/>
      <c r="BK136" s="32">
        <f t="shared" si="320"/>
        <v>0</v>
      </c>
      <c r="BL136" s="1098"/>
      <c r="BM136" s="1088"/>
      <c r="BN136" s="32">
        <f t="shared" si="321"/>
        <v>0</v>
      </c>
      <c r="BO136" s="1098"/>
      <c r="BP136" s="1088"/>
      <c r="BQ136" s="32">
        <f t="shared" si="322"/>
        <v>0</v>
      </c>
      <c r="BR136" s="1098"/>
      <c r="BS136" s="1088"/>
      <c r="BT136" s="32">
        <f t="shared" si="323"/>
        <v>0</v>
      </c>
      <c r="BU136" s="1098"/>
      <c r="BV136" s="1088"/>
      <c r="BW136" s="32">
        <f t="shared" si="324"/>
        <v>0</v>
      </c>
      <c r="BX136" s="1098"/>
      <c r="BY136" s="1088"/>
      <c r="BZ136" s="32">
        <f t="shared" si="325"/>
        <v>0</v>
      </c>
      <c r="CA136" s="1098"/>
      <c r="CB136" s="1088"/>
      <c r="CC136" s="32">
        <f t="shared" si="326"/>
        <v>0</v>
      </c>
      <c r="CD136" s="1098"/>
      <c r="CE136" s="1088"/>
      <c r="CF136" s="32">
        <f t="shared" si="327"/>
        <v>0</v>
      </c>
      <c r="CG136" s="1098"/>
      <c r="CH136" s="1088"/>
      <c r="CI136" s="32">
        <f t="shared" si="328"/>
        <v>0</v>
      </c>
      <c r="CJ136" s="1098"/>
      <c r="CK136" s="1088"/>
      <c r="CL136" s="32">
        <f t="shared" si="329"/>
        <v>0</v>
      </c>
      <c r="CM136" s="1098"/>
      <c r="CN136" s="1088"/>
      <c r="CO136" s="32">
        <f t="shared" si="330"/>
        <v>0</v>
      </c>
      <c r="CP136" s="1098"/>
      <c r="CQ136" s="1088"/>
      <c r="CR136" s="32">
        <f t="shared" si="331"/>
        <v>0</v>
      </c>
      <c r="CS136" s="1098"/>
      <c r="CT136" s="1088"/>
      <c r="CU136" s="32">
        <f t="shared" si="332"/>
        <v>0</v>
      </c>
      <c r="CV136" s="1098"/>
      <c r="CW136" s="1088"/>
      <c r="CX136" s="32">
        <f t="shared" si="333"/>
        <v>0</v>
      </c>
      <c r="CY136" s="1098"/>
      <c r="CZ136" s="1088"/>
      <c r="DA136" s="32">
        <f t="shared" si="334"/>
        <v>0</v>
      </c>
      <c r="DB136" s="1098"/>
      <c r="DC136" s="1088"/>
      <c r="DD136" s="32">
        <f t="shared" si="335"/>
        <v>0</v>
      </c>
      <c r="DE136" s="1101"/>
      <c r="DF136" s="1088"/>
      <c r="DG136" s="32">
        <f t="shared" si="336"/>
        <v>0</v>
      </c>
      <c r="DH136" s="1101"/>
      <c r="DI136" s="1088"/>
      <c r="DJ136" s="32">
        <f t="shared" si="337"/>
        <v>0</v>
      </c>
      <c r="DK136" s="1101"/>
      <c r="DL136" s="53"/>
      <c r="DM136" s="32">
        <f t="shared" si="338"/>
        <v>0</v>
      </c>
      <c r="DN136" s="1088"/>
      <c r="DO136" s="53"/>
      <c r="DP136" s="32">
        <f t="shared" si="339"/>
        <v>0</v>
      </c>
      <c r="DQ136" s="1088"/>
      <c r="DR136" s="53"/>
      <c r="DS136" s="32">
        <f t="shared" si="340"/>
        <v>0</v>
      </c>
      <c r="DT136" s="1088"/>
      <c r="DU136" s="53"/>
      <c r="DV136" s="32">
        <f t="shared" si="341"/>
        <v>0</v>
      </c>
      <c r="DW136" s="1088"/>
      <c r="DX136" s="53"/>
      <c r="DY136" s="32">
        <f t="shared" si="342"/>
        <v>0</v>
      </c>
      <c r="DZ136" s="1088"/>
      <c r="EA136" s="53"/>
      <c r="EB136" s="32">
        <f t="shared" si="343"/>
        <v>0</v>
      </c>
      <c r="EC136" s="1088"/>
      <c r="ED136" s="53"/>
      <c r="EE136" s="32">
        <f t="shared" si="344"/>
        <v>0</v>
      </c>
      <c r="EF136" s="1088"/>
      <c r="EG136" s="53"/>
      <c r="EH136" s="32">
        <f t="shared" si="345"/>
        <v>0</v>
      </c>
      <c r="EI136" s="1088"/>
      <c r="EJ136" s="53"/>
      <c r="EK136" s="32">
        <f t="shared" si="346"/>
        <v>0</v>
      </c>
      <c r="EL136" s="1088"/>
      <c r="EM136" s="53"/>
      <c r="EN136" s="32">
        <f t="shared" si="347"/>
        <v>0</v>
      </c>
      <c r="EO136" s="1088"/>
      <c r="EP136" s="53"/>
      <c r="EQ136" s="32">
        <f t="shared" si="348"/>
        <v>0</v>
      </c>
      <c r="ER136" s="1088"/>
      <c r="ES136" s="53"/>
      <c r="ET136" s="32">
        <f t="shared" si="349"/>
        <v>0</v>
      </c>
      <c r="EU136" s="1088"/>
      <c r="EV136" s="53"/>
      <c r="EW136" s="32">
        <f t="shared" si="350"/>
        <v>0</v>
      </c>
      <c r="EX136" s="1088"/>
      <c r="EY136" s="53"/>
      <c r="EZ136" s="32">
        <f t="shared" si="351"/>
        <v>0</v>
      </c>
      <c r="FA136" s="1088"/>
      <c r="FD136"/>
      <c r="FE136"/>
      <c r="FF136"/>
      <c r="FG136"/>
      <c r="FH136"/>
      <c r="FI136"/>
    </row>
    <row r="137" spans="2:169" s="33" customFormat="1" hidden="1" outlineLevel="2">
      <c r="B137" s="54" t="s">
        <v>520</v>
      </c>
      <c r="D137" s="2" t="s">
        <v>506</v>
      </c>
      <c r="E137" s="53"/>
      <c r="F137" s="32">
        <f t="shared" si="301"/>
        <v>0</v>
      </c>
      <c r="G137" s="53"/>
      <c r="H137" s="53"/>
      <c r="I137" s="32">
        <f t="shared" si="302"/>
        <v>0</v>
      </c>
      <c r="J137" s="53"/>
      <c r="K137" s="53"/>
      <c r="L137" s="32">
        <f t="shared" si="303"/>
        <v>0</v>
      </c>
      <c r="M137" s="53"/>
      <c r="N137" s="53"/>
      <c r="O137" s="32">
        <f t="shared" si="304"/>
        <v>0</v>
      </c>
      <c r="P137" s="53"/>
      <c r="Q137" s="53"/>
      <c r="R137" s="32">
        <f t="shared" si="305"/>
        <v>0</v>
      </c>
      <c r="S137" s="53"/>
      <c r="T137" s="53"/>
      <c r="U137" s="32">
        <f t="shared" si="306"/>
        <v>0</v>
      </c>
      <c r="V137" s="53"/>
      <c r="W137" s="53"/>
      <c r="X137" s="32">
        <f t="shared" si="307"/>
        <v>0</v>
      </c>
      <c r="Y137" s="53"/>
      <c r="Z137" s="53"/>
      <c r="AA137" s="32">
        <f t="shared" si="308"/>
        <v>0</v>
      </c>
      <c r="AB137" s="53"/>
      <c r="AC137" s="53"/>
      <c r="AD137" s="32">
        <f t="shared" si="309"/>
        <v>0</v>
      </c>
      <c r="AE137" s="53"/>
      <c r="AF137" s="53"/>
      <c r="AG137" s="32">
        <f t="shared" si="310"/>
        <v>0</v>
      </c>
      <c r="AH137" s="53"/>
      <c r="AI137" s="53"/>
      <c r="AJ137" s="32">
        <f t="shared" si="311"/>
        <v>0</v>
      </c>
      <c r="AK137" s="53"/>
      <c r="AL137" s="53"/>
      <c r="AM137" s="32">
        <f t="shared" si="312"/>
        <v>0</v>
      </c>
      <c r="AN137" s="53"/>
      <c r="AO137" s="53"/>
      <c r="AP137" s="32">
        <f t="shared" si="313"/>
        <v>0</v>
      </c>
      <c r="AQ137" s="53"/>
      <c r="AR137" s="53"/>
      <c r="AS137" s="32">
        <f t="shared" si="314"/>
        <v>0</v>
      </c>
      <c r="AT137" s="53"/>
      <c r="AU137" s="53"/>
      <c r="AV137" s="32">
        <f t="shared" si="315"/>
        <v>0</v>
      </c>
      <c r="AW137" s="53"/>
      <c r="AX137" s="53"/>
      <c r="AY137" s="32">
        <f t="shared" si="316"/>
        <v>0</v>
      </c>
      <c r="AZ137" s="53"/>
      <c r="BA137" s="53"/>
      <c r="BB137" s="32">
        <f t="shared" si="317"/>
        <v>0</v>
      </c>
      <c r="BC137" s="53"/>
      <c r="BD137" s="53"/>
      <c r="BE137" s="32">
        <f t="shared" si="318"/>
        <v>0</v>
      </c>
      <c r="BF137" s="1098"/>
      <c r="BG137" s="1088"/>
      <c r="BH137" s="32">
        <f t="shared" si="319"/>
        <v>0</v>
      </c>
      <c r="BI137" s="1098"/>
      <c r="BJ137" s="1088"/>
      <c r="BK137" s="32">
        <f t="shared" si="320"/>
        <v>0</v>
      </c>
      <c r="BL137" s="1098"/>
      <c r="BM137" s="1088"/>
      <c r="BN137" s="32">
        <f t="shared" si="321"/>
        <v>0</v>
      </c>
      <c r="BO137" s="1098"/>
      <c r="BP137" s="1088"/>
      <c r="BQ137" s="32">
        <f t="shared" si="322"/>
        <v>0</v>
      </c>
      <c r="BR137" s="1098"/>
      <c r="BS137" s="1088"/>
      <c r="BT137" s="32">
        <f t="shared" si="323"/>
        <v>0</v>
      </c>
      <c r="BU137" s="1098"/>
      <c r="BV137" s="1088"/>
      <c r="BW137" s="32">
        <f t="shared" si="324"/>
        <v>0</v>
      </c>
      <c r="BX137" s="1098"/>
      <c r="BY137" s="1088"/>
      <c r="BZ137" s="32">
        <f t="shared" si="325"/>
        <v>0</v>
      </c>
      <c r="CA137" s="1098"/>
      <c r="CB137" s="1088"/>
      <c r="CC137" s="32">
        <f t="shared" si="326"/>
        <v>0</v>
      </c>
      <c r="CD137" s="1098"/>
      <c r="CE137" s="1088"/>
      <c r="CF137" s="32">
        <f t="shared" si="327"/>
        <v>0</v>
      </c>
      <c r="CG137" s="1098"/>
      <c r="CH137" s="1088"/>
      <c r="CI137" s="32">
        <f t="shared" si="328"/>
        <v>0</v>
      </c>
      <c r="CJ137" s="1098"/>
      <c r="CK137" s="1088"/>
      <c r="CL137" s="32">
        <f t="shared" si="329"/>
        <v>0</v>
      </c>
      <c r="CM137" s="1098"/>
      <c r="CN137" s="1088"/>
      <c r="CO137" s="32">
        <f t="shared" si="330"/>
        <v>0</v>
      </c>
      <c r="CP137" s="1098"/>
      <c r="CQ137" s="1088"/>
      <c r="CR137" s="32">
        <f t="shared" si="331"/>
        <v>0</v>
      </c>
      <c r="CS137" s="1098"/>
      <c r="CT137" s="1088"/>
      <c r="CU137" s="32">
        <f t="shared" si="332"/>
        <v>0</v>
      </c>
      <c r="CV137" s="1098"/>
      <c r="CW137" s="1088"/>
      <c r="CX137" s="32">
        <f t="shared" si="333"/>
        <v>0</v>
      </c>
      <c r="CY137" s="1098"/>
      <c r="CZ137" s="1088"/>
      <c r="DA137" s="32">
        <f t="shared" si="334"/>
        <v>0</v>
      </c>
      <c r="DB137" s="1098"/>
      <c r="DC137" s="1088"/>
      <c r="DD137" s="32">
        <f t="shared" si="335"/>
        <v>0</v>
      </c>
      <c r="DE137" s="1101"/>
      <c r="DF137" s="1088"/>
      <c r="DG137" s="32">
        <f t="shared" si="336"/>
        <v>0</v>
      </c>
      <c r="DH137" s="1101"/>
      <c r="DI137" s="1088"/>
      <c r="DJ137" s="32">
        <f t="shared" si="337"/>
        <v>0</v>
      </c>
      <c r="DK137" s="1101"/>
      <c r="DL137" s="53"/>
      <c r="DM137" s="32">
        <f t="shared" si="338"/>
        <v>0</v>
      </c>
      <c r="DN137" s="1088"/>
      <c r="DO137" s="53"/>
      <c r="DP137" s="32">
        <f t="shared" si="339"/>
        <v>0</v>
      </c>
      <c r="DQ137" s="1088"/>
      <c r="DR137" s="53"/>
      <c r="DS137" s="32">
        <f t="shared" si="340"/>
        <v>0</v>
      </c>
      <c r="DT137" s="1088"/>
      <c r="DU137" s="53"/>
      <c r="DV137" s="32">
        <f t="shared" si="341"/>
        <v>0</v>
      </c>
      <c r="DW137" s="1088"/>
      <c r="DX137" s="53"/>
      <c r="DY137" s="32">
        <f t="shared" si="342"/>
        <v>0</v>
      </c>
      <c r="DZ137" s="1088"/>
      <c r="EA137" s="53"/>
      <c r="EB137" s="32">
        <f t="shared" si="343"/>
        <v>0</v>
      </c>
      <c r="EC137" s="1088"/>
      <c r="ED137" s="53"/>
      <c r="EE137" s="32">
        <f t="shared" si="344"/>
        <v>0</v>
      </c>
      <c r="EF137" s="1088"/>
      <c r="EG137" s="53"/>
      <c r="EH137" s="32">
        <f t="shared" si="345"/>
        <v>0</v>
      </c>
      <c r="EI137" s="1088"/>
      <c r="EJ137" s="53"/>
      <c r="EK137" s="32">
        <f t="shared" si="346"/>
        <v>0</v>
      </c>
      <c r="EL137" s="1088"/>
      <c r="EM137" s="53"/>
      <c r="EN137" s="32">
        <f t="shared" si="347"/>
        <v>0</v>
      </c>
      <c r="EO137" s="1088"/>
      <c r="EP137" s="53"/>
      <c r="EQ137" s="32">
        <f t="shared" si="348"/>
        <v>0</v>
      </c>
      <c r="ER137" s="1088"/>
      <c r="ES137" s="53"/>
      <c r="ET137" s="32">
        <f t="shared" si="349"/>
        <v>0</v>
      </c>
      <c r="EU137" s="1088"/>
      <c r="EV137" s="53"/>
      <c r="EW137" s="32">
        <f t="shared" si="350"/>
        <v>0</v>
      </c>
      <c r="EX137" s="1088"/>
      <c r="EY137" s="53"/>
      <c r="EZ137" s="32">
        <f t="shared" si="351"/>
        <v>0</v>
      </c>
      <c r="FA137" s="1088"/>
      <c r="FD137"/>
      <c r="FE137"/>
      <c r="FF137"/>
      <c r="FG137"/>
      <c r="FH137"/>
      <c r="FI137"/>
    </row>
    <row r="138" spans="2:169" s="33" customFormat="1" hidden="1" outlineLevel="2">
      <c r="B138" s="54" t="s">
        <v>545</v>
      </c>
      <c r="D138" s="2" t="s">
        <v>506</v>
      </c>
      <c r="E138" s="53"/>
      <c r="F138" s="32">
        <f t="shared" si="301"/>
        <v>0</v>
      </c>
      <c r="G138" s="53"/>
      <c r="H138" s="53"/>
      <c r="I138" s="32">
        <f t="shared" si="302"/>
        <v>0</v>
      </c>
      <c r="J138" s="53"/>
      <c r="K138" s="53"/>
      <c r="L138" s="32">
        <f t="shared" si="303"/>
        <v>0</v>
      </c>
      <c r="M138" s="53"/>
      <c r="N138" s="53"/>
      <c r="O138" s="32">
        <f t="shared" si="304"/>
        <v>0</v>
      </c>
      <c r="P138" s="53"/>
      <c r="Q138" s="53"/>
      <c r="R138" s="32">
        <f t="shared" si="305"/>
        <v>0</v>
      </c>
      <c r="S138" s="53"/>
      <c r="T138" s="53"/>
      <c r="U138" s="32">
        <f t="shared" si="306"/>
        <v>0</v>
      </c>
      <c r="V138" s="53"/>
      <c r="W138" s="53"/>
      <c r="X138" s="32">
        <f t="shared" si="307"/>
        <v>0</v>
      </c>
      <c r="Y138" s="53"/>
      <c r="Z138" s="53"/>
      <c r="AA138" s="32">
        <f t="shared" si="308"/>
        <v>0</v>
      </c>
      <c r="AB138" s="53"/>
      <c r="AC138" s="53"/>
      <c r="AD138" s="32">
        <f t="shared" si="309"/>
        <v>0</v>
      </c>
      <c r="AE138" s="53"/>
      <c r="AF138" s="53"/>
      <c r="AG138" s="32">
        <f t="shared" si="310"/>
        <v>0</v>
      </c>
      <c r="AH138" s="53"/>
      <c r="AI138" s="53"/>
      <c r="AJ138" s="32">
        <f t="shared" si="311"/>
        <v>0</v>
      </c>
      <c r="AK138" s="53"/>
      <c r="AL138" s="53"/>
      <c r="AM138" s="32">
        <f t="shared" si="312"/>
        <v>0</v>
      </c>
      <c r="AN138" s="53"/>
      <c r="AO138" s="53"/>
      <c r="AP138" s="32">
        <f t="shared" si="313"/>
        <v>0</v>
      </c>
      <c r="AQ138" s="53"/>
      <c r="AR138" s="53"/>
      <c r="AS138" s="32">
        <f t="shared" si="314"/>
        <v>0</v>
      </c>
      <c r="AT138" s="53"/>
      <c r="AU138" s="53"/>
      <c r="AV138" s="32">
        <f t="shared" si="315"/>
        <v>0</v>
      </c>
      <c r="AW138" s="53"/>
      <c r="AX138" s="53"/>
      <c r="AY138" s="32">
        <f t="shared" si="316"/>
        <v>0</v>
      </c>
      <c r="AZ138" s="53"/>
      <c r="BA138" s="53"/>
      <c r="BB138" s="32">
        <f t="shared" si="317"/>
        <v>0</v>
      </c>
      <c r="BC138" s="53"/>
      <c r="BD138" s="53"/>
      <c r="BE138" s="32">
        <f t="shared" si="318"/>
        <v>0</v>
      </c>
      <c r="BF138" s="1098"/>
      <c r="BG138" s="1088"/>
      <c r="BH138" s="32">
        <f t="shared" si="319"/>
        <v>0</v>
      </c>
      <c r="BI138" s="1098"/>
      <c r="BJ138" s="1088"/>
      <c r="BK138" s="32">
        <f t="shared" si="320"/>
        <v>0</v>
      </c>
      <c r="BL138" s="1098"/>
      <c r="BM138" s="1088"/>
      <c r="BN138" s="32">
        <f t="shared" si="321"/>
        <v>0</v>
      </c>
      <c r="BO138" s="1098"/>
      <c r="BP138" s="1088"/>
      <c r="BQ138" s="32">
        <f t="shared" si="322"/>
        <v>0</v>
      </c>
      <c r="BR138" s="1098"/>
      <c r="BS138" s="1088"/>
      <c r="BT138" s="32">
        <f t="shared" si="323"/>
        <v>0</v>
      </c>
      <c r="BU138" s="1098"/>
      <c r="BV138" s="1088"/>
      <c r="BW138" s="32">
        <f t="shared" si="324"/>
        <v>0</v>
      </c>
      <c r="BX138" s="1098"/>
      <c r="BY138" s="1088"/>
      <c r="BZ138" s="32">
        <f t="shared" si="325"/>
        <v>0</v>
      </c>
      <c r="CA138" s="1098"/>
      <c r="CB138" s="1088"/>
      <c r="CC138" s="32">
        <f t="shared" si="326"/>
        <v>0</v>
      </c>
      <c r="CD138" s="1098"/>
      <c r="CE138" s="1088"/>
      <c r="CF138" s="32">
        <f t="shared" si="327"/>
        <v>0</v>
      </c>
      <c r="CG138" s="1098"/>
      <c r="CH138" s="1088"/>
      <c r="CI138" s="32">
        <f t="shared" si="328"/>
        <v>0</v>
      </c>
      <c r="CJ138" s="1098"/>
      <c r="CK138" s="1088"/>
      <c r="CL138" s="32">
        <f t="shared" si="329"/>
        <v>0</v>
      </c>
      <c r="CM138" s="1098"/>
      <c r="CN138" s="1088"/>
      <c r="CO138" s="32">
        <f t="shared" si="330"/>
        <v>0</v>
      </c>
      <c r="CP138" s="1098"/>
      <c r="CQ138" s="1088"/>
      <c r="CR138" s="32">
        <f t="shared" si="331"/>
        <v>0</v>
      </c>
      <c r="CS138" s="1098"/>
      <c r="CT138" s="1088"/>
      <c r="CU138" s="32">
        <f t="shared" si="332"/>
        <v>0</v>
      </c>
      <c r="CV138" s="1098"/>
      <c r="CW138" s="1088"/>
      <c r="CX138" s="32">
        <f t="shared" si="333"/>
        <v>0</v>
      </c>
      <c r="CY138" s="1098"/>
      <c r="CZ138" s="1088"/>
      <c r="DA138" s="32">
        <f t="shared" si="334"/>
        <v>0</v>
      </c>
      <c r="DB138" s="1098"/>
      <c r="DC138" s="1088"/>
      <c r="DD138" s="32">
        <f t="shared" si="335"/>
        <v>0</v>
      </c>
      <c r="DE138" s="1101"/>
      <c r="DF138" s="1088"/>
      <c r="DG138" s="32">
        <f t="shared" si="336"/>
        <v>0</v>
      </c>
      <c r="DH138" s="1101"/>
      <c r="DI138" s="1088"/>
      <c r="DJ138" s="32">
        <f t="shared" si="337"/>
        <v>0</v>
      </c>
      <c r="DK138" s="1101"/>
      <c r="DL138" s="53"/>
      <c r="DM138" s="32">
        <f t="shared" si="338"/>
        <v>0</v>
      </c>
      <c r="DN138" s="1088"/>
      <c r="DO138" s="53"/>
      <c r="DP138" s="32">
        <f t="shared" si="339"/>
        <v>0</v>
      </c>
      <c r="DQ138" s="1088"/>
      <c r="DR138" s="53"/>
      <c r="DS138" s="32">
        <f t="shared" si="340"/>
        <v>0</v>
      </c>
      <c r="DT138" s="1088"/>
      <c r="DU138" s="53"/>
      <c r="DV138" s="32">
        <f t="shared" si="341"/>
        <v>0</v>
      </c>
      <c r="DW138" s="1088"/>
      <c r="DX138" s="53"/>
      <c r="DY138" s="32">
        <f t="shared" si="342"/>
        <v>0</v>
      </c>
      <c r="DZ138" s="1088"/>
      <c r="EA138" s="53"/>
      <c r="EB138" s="32">
        <f t="shared" si="343"/>
        <v>0</v>
      </c>
      <c r="EC138" s="1088"/>
      <c r="ED138" s="53"/>
      <c r="EE138" s="32">
        <f t="shared" si="344"/>
        <v>0</v>
      </c>
      <c r="EF138" s="1088"/>
      <c r="EG138" s="53"/>
      <c r="EH138" s="32">
        <f t="shared" si="345"/>
        <v>0</v>
      </c>
      <c r="EI138" s="1088"/>
      <c r="EJ138" s="53"/>
      <c r="EK138" s="32">
        <f t="shared" si="346"/>
        <v>0</v>
      </c>
      <c r="EL138" s="1088"/>
      <c r="EM138" s="53"/>
      <c r="EN138" s="32">
        <f t="shared" si="347"/>
        <v>0</v>
      </c>
      <c r="EO138" s="1088"/>
      <c r="EP138" s="53"/>
      <c r="EQ138" s="32">
        <f t="shared" si="348"/>
        <v>0</v>
      </c>
      <c r="ER138" s="1088"/>
      <c r="ES138" s="53"/>
      <c r="ET138" s="32">
        <f t="shared" si="349"/>
        <v>0</v>
      </c>
      <c r="EU138" s="1088"/>
      <c r="EV138" s="53"/>
      <c r="EW138" s="32">
        <f t="shared" si="350"/>
        <v>0</v>
      </c>
      <c r="EX138" s="1088"/>
      <c r="EY138" s="53"/>
      <c r="EZ138" s="32">
        <f t="shared" si="351"/>
        <v>0</v>
      </c>
      <c r="FA138" s="1088"/>
      <c r="FD138"/>
      <c r="FE138"/>
      <c r="FF138"/>
      <c r="FG138"/>
      <c r="FH138"/>
      <c r="FI138"/>
    </row>
    <row r="139" spans="2:169" s="33" customFormat="1" outlineLevel="1" collapsed="1">
      <c r="B139" s="1730" t="s">
        <v>521</v>
      </c>
      <c r="C139" s="1731"/>
      <c r="D139" s="1732" t="s">
        <v>506</v>
      </c>
      <c r="E139" s="1157"/>
      <c r="F139" s="1421">
        <f t="shared" si="301"/>
        <v>0</v>
      </c>
      <c r="G139" s="1157"/>
      <c r="H139" s="1157"/>
      <c r="I139" s="1421">
        <f t="shared" si="302"/>
        <v>0</v>
      </c>
      <c r="J139" s="1157"/>
      <c r="K139" s="1157"/>
      <c r="L139" s="1421">
        <f t="shared" si="303"/>
        <v>0</v>
      </c>
      <c r="M139" s="1157"/>
      <c r="N139" s="1157"/>
      <c r="O139" s="1421">
        <f t="shared" si="304"/>
        <v>0</v>
      </c>
      <c r="P139" s="1157"/>
      <c r="Q139" s="1157"/>
      <c r="R139" s="1421">
        <f t="shared" si="305"/>
        <v>0</v>
      </c>
      <c r="S139" s="1157"/>
      <c r="T139" s="1157"/>
      <c r="U139" s="1421">
        <f t="shared" si="306"/>
        <v>0</v>
      </c>
      <c r="V139" s="1157"/>
      <c r="W139" s="1157"/>
      <c r="X139" s="1421">
        <f t="shared" si="307"/>
        <v>0</v>
      </c>
      <c r="Y139" s="1157"/>
      <c r="Z139" s="1157"/>
      <c r="AA139" s="1421">
        <f t="shared" si="308"/>
        <v>0</v>
      </c>
      <c r="AB139" s="1157"/>
      <c r="AC139" s="1157"/>
      <c r="AD139" s="1421">
        <f t="shared" si="309"/>
        <v>0</v>
      </c>
      <c r="AE139" s="1157"/>
      <c r="AF139" s="1157"/>
      <c r="AG139" s="1421">
        <f t="shared" si="310"/>
        <v>0</v>
      </c>
      <c r="AH139" s="1157"/>
      <c r="AI139" s="1157"/>
      <c r="AJ139" s="1421">
        <f t="shared" si="311"/>
        <v>0</v>
      </c>
      <c r="AK139" s="1157"/>
      <c r="AL139" s="1157"/>
      <c r="AM139" s="1421">
        <f t="shared" si="312"/>
        <v>0</v>
      </c>
      <c r="AN139" s="1157"/>
      <c r="AO139" s="1157"/>
      <c r="AP139" s="1421">
        <f t="shared" si="313"/>
        <v>0</v>
      </c>
      <c r="AQ139" s="1157"/>
      <c r="AR139" s="1157"/>
      <c r="AS139" s="1421">
        <f t="shared" si="314"/>
        <v>0</v>
      </c>
      <c r="AT139" s="1157"/>
      <c r="AU139" s="1157"/>
      <c r="AV139" s="1421">
        <f t="shared" si="315"/>
        <v>0</v>
      </c>
      <c r="AW139" s="1734">
        <v>0</v>
      </c>
      <c r="AX139" s="1157"/>
      <c r="AY139" s="1421">
        <f t="shared" si="316"/>
        <v>0</v>
      </c>
      <c r="AZ139" s="1734">
        <v>0</v>
      </c>
      <c r="BA139" s="1157"/>
      <c r="BB139" s="1421">
        <f t="shared" si="317"/>
        <v>0</v>
      </c>
      <c r="BC139" s="1734">
        <v>0</v>
      </c>
      <c r="BD139" s="1157"/>
      <c r="BE139" s="1421">
        <f t="shared" si="318"/>
        <v>0</v>
      </c>
      <c r="BF139" s="1116">
        <v>0</v>
      </c>
      <c r="BG139" s="1117"/>
      <c r="BH139" s="1421">
        <f t="shared" si="319"/>
        <v>0</v>
      </c>
      <c r="BI139" s="1116">
        <v>0</v>
      </c>
      <c r="BJ139" s="1117"/>
      <c r="BK139" s="1421">
        <f t="shared" si="320"/>
        <v>0</v>
      </c>
      <c r="BL139" s="1116">
        <v>0</v>
      </c>
      <c r="BM139" s="1117"/>
      <c r="BN139" s="1421">
        <f t="shared" si="321"/>
        <v>0</v>
      </c>
      <c r="BO139" s="1116">
        <v>0</v>
      </c>
      <c r="BP139" s="1117"/>
      <c r="BQ139" s="1421">
        <f t="shared" si="322"/>
        <v>0</v>
      </c>
      <c r="BR139" s="1116">
        <v>0</v>
      </c>
      <c r="BS139" s="1117"/>
      <c r="BT139" s="1421">
        <f t="shared" si="323"/>
        <v>0</v>
      </c>
      <c r="BU139" s="1116">
        <v>0</v>
      </c>
      <c r="BV139" s="1117"/>
      <c r="BW139" s="1421">
        <f t="shared" si="324"/>
        <v>0</v>
      </c>
      <c r="BX139" s="1116">
        <v>0</v>
      </c>
      <c r="BY139" s="1117"/>
      <c r="BZ139" s="1421">
        <f t="shared" si="325"/>
        <v>0</v>
      </c>
      <c r="CA139" s="1116">
        <v>0</v>
      </c>
      <c r="CB139" s="1117"/>
      <c r="CC139" s="1421">
        <f t="shared" si="326"/>
        <v>0</v>
      </c>
      <c r="CD139" s="1116">
        <v>0</v>
      </c>
      <c r="CE139" s="1117"/>
      <c r="CF139" s="1421">
        <f t="shared" si="327"/>
        <v>0</v>
      </c>
      <c r="CG139" s="1116">
        <v>0</v>
      </c>
      <c r="CH139" s="1117"/>
      <c r="CI139" s="1421">
        <f t="shared" si="328"/>
        <v>0</v>
      </c>
      <c r="CJ139" s="1116">
        <v>0</v>
      </c>
      <c r="CK139" s="1117"/>
      <c r="CL139" s="1421">
        <f t="shared" si="329"/>
        <v>0</v>
      </c>
      <c r="CM139" s="1116">
        <v>0</v>
      </c>
      <c r="CN139" s="1117"/>
      <c r="CO139" s="1421">
        <f t="shared" si="330"/>
        <v>0</v>
      </c>
      <c r="CP139" s="1116">
        <v>0</v>
      </c>
      <c r="CQ139" s="1117"/>
      <c r="CR139" s="1421">
        <f t="shared" si="331"/>
        <v>0</v>
      </c>
      <c r="CS139" s="1116">
        <v>0</v>
      </c>
      <c r="CT139" s="1117"/>
      <c r="CU139" s="1421">
        <f t="shared" si="332"/>
        <v>0</v>
      </c>
      <c r="CV139" s="1116">
        <v>0</v>
      </c>
      <c r="CW139" s="1117"/>
      <c r="CX139" s="1421">
        <f t="shared" si="333"/>
        <v>0</v>
      </c>
      <c r="CY139" s="1116">
        <v>0</v>
      </c>
      <c r="CZ139" s="1117"/>
      <c r="DA139" s="1421">
        <f t="shared" si="334"/>
        <v>0</v>
      </c>
      <c r="DB139" s="1116">
        <v>0</v>
      </c>
      <c r="DC139" s="1117"/>
      <c r="DD139" s="1421">
        <f t="shared" si="335"/>
        <v>0</v>
      </c>
      <c r="DE139" s="1118">
        <v>0</v>
      </c>
      <c r="DF139" s="1117"/>
      <c r="DG139" s="1421">
        <f t="shared" si="336"/>
        <v>0</v>
      </c>
      <c r="DH139" s="1118">
        <v>0</v>
      </c>
      <c r="DI139" s="1117"/>
      <c r="DJ139" s="1421">
        <f t="shared" si="337"/>
        <v>0</v>
      </c>
      <c r="DK139" s="1118">
        <v>0</v>
      </c>
      <c r="DL139" s="1157"/>
      <c r="DM139" s="1421">
        <f t="shared" si="338"/>
        <v>0</v>
      </c>
      <c r="DN139" s="1150">
        <v>0</v>
      </c>
      <c r="DO139" s="1157"/>
      <c r="DP139" s="1421">
        <f t="shared" si="339"/>
        <v>0</v>
      </c>
      <c r="DQ139" s="1150">
        <v>0</v>
      </c>
      <c r="DR139" s="1157"/>
      <c r="DS139" s="1421">
        <f t="shared" si="340"/>
        <v>0</v>
      </c>
      <c r="DT139" s="1150">
        <v>0</v>
      </c>
      <c r="DU139" s="1157"/>
      <c r="DV139" s="1421">
        <f t="shared" si="341"/>
        <v>0</v>
      </c>
      <c r="DW139" s="1150">
        <v>0</v>
      </c>
      <c r="DX139" s="1157"/>
      <c r="DY139" s="1421">
        <f t="shared" si="342"/>
        <v>0</v>
      </c>
      <c r="DZ139" s="1150">
        <v>0</v>
      </c>
      <c r="EA139" s="1157"/>
      <c r="EB139" s="1421">
        <f t="shared" si="343"/>
        <v>0</v>
      </c>
      <c r="EC139" s="1150">
        <v>0</v>
      </c>
      <c r="ED139" s="1157"/>
      <c r="EE139" s="1421">
        <f t="shared" si="344"/>
        <v>0</v>
      </c>
      <c r="EF139" s="1150">
        <v>0</v>
      </c>
      <c r="EG139" s="1157"/>
      <c r="EH139" s="1421">
        <f t="shared" si="345"/>
        <v>0</v>
      </c>
      <c r="EI139" s="1150">
        <v>0</v>
      </c>
      <c r="EJ139" s="1157"/>
      <c r="EK139" s="1421">
        <f t="shared" si="346"/>
        <v>0</v>
      </c>
      <c r="EL139" s="1150">
        <v>0</v>
      </c>
      <c r="EM139" s="1157"/>
      <c r="EN139" s="1421">
        <f t="shared" si="347"/>
        <v>0</v>
      </c>
      <c r="EO139" s="1150">
        <v>0</v>
      </c>
      <c r="EP139" s="1157"/>
      <c r="EQ139" s="1421">
        <f t="shared" si="348"/>
        <v>0</v>
      </c>
      <c r="ER139" s="1150">
        <v>0</v>
      </c>
      <c r="ES139" s="1157"/>
      <c r="ET139" s="1421">
        <f t="shared" si="349"/>
        <v>0</v>
      </c>
      <c r="EU139" s="1150">
        <v>0</v>
      </c>
      <c r="EV139" s="1157"/>
      <c r="EW139" s="1421">
        <f t="shared" si="350"/>
        <v>0</v>
      </c>
      <c r="EX139" s="1150">
        <v>0</v>
      </c>
      <c r="EY139" s="1157"/>
      <c r="EZ139" s="1421">
        <f t="shared" si="351"/>
        <v>0</v>
      </c>
      <c r="FA139" s="1150">
        <v>0</v>
      </c>
      <c r="FD139"/>
      <c r="FE139"/>
      <c r="FF139"/>
      <c r="FG139"/>
      <c r="FH139"/>
      <c r="FI139"/>
    </row>
    <row r="140" spans="2:169" s="61" customFormat="1" outlineLevel="1">
      <c r="B140" s="60" t="s">
        <v>351</v>
      </c>
      <c r="D140" s="1658" t="s">
        <v>506</v>
      </c>
      <c r="E140" s="1495">
        <f>+E116+E117+E118+E139</f>
        <v>0</v>
      </c>
      <c r="F140" s="1272">
        <f t="shared" si="301"/>
        <v>0</v>
      </c>
      <c r="G140" s="1495">
        <f>+G116+G117+G118+G139</f>
        <v>0</v>
      </c>
      <c r="H140" s="1495">
        <f>+H116+H117+H118+H139</f>
        <v>0</v>
      </c>
      <c r="I140" s="1272">
        <f t="shared" si="302"/>
        <v>0</v>
      </c>
      <c r="J140" s="1495">
        <f>+J116+J117+J118+J139</f>
        <v>0</v>
      </c>
      <c r="K140" s="1495">
        <f>+K116+K117+K118+K139</f>
        <v>0</v>
      </c>
      <c r="L140" s="1272">
        <f t="shared" si="303"/>
        <v>0</v>
      </c>
      <c r="M140" s="1495">
        <f>+M116+M117+M118+M139</f>
        <v>0</v>
      </c>
      <c r="N140" s="1495">
        <f>+N116+N117+N118+N139</f>
        <v>0</v>
      </c>
      <c r="O140" s="1272">
        <f t="shared" si="304"/>
        <v>0</v>
      </c>
      <c r="P140" s="1495">
        <f>+P116+P117+P118+P139</f>
        <v>0</v>
      </c>
      <c r="Q140" s="1495">
        <f>+Q116+Q117+Q118+Q139</f>
        <v>0</v>
      </c>
      <c r="R140" s="1272">
        <f t="shared" si="305"/>
        <v>0</v>
      </c>
      <c r="S140" s="1495">
        <f>+S116+S117+S118+S139</f>
        <v>0</v>
      </c>
      <c r="T140" s="1495">
        <f>+T116+T117+T118+T139</f>
        <v>0</v>
      </c>
      <c r="U140" s="1272">
        <f t="shared" si="306"/>
        <v>0</v>
      </c>
      <c r="V140" s="1495">
        <f>+V116+V117+V118+V139</f>
        <v>0</v>
      </c>
      <c r="W140" s="1495">
        <f>+W116+W117+W118+W139</f>
        <v>0</v>
      </c>
      <c r="X140" s="1272">
        <f t="shared" si="307"/>
        <v>0</v>
      </c>
      <c r="Y140" s="1495">
        <f>+Y116+Y117+Y118+Y139</f>
        <v>0</v>
      </c>
      <c r="Z140" s="1495">
        <f>+Z116+Z117+Z118+Z139</f>
        <v>0</v>
      </c>
      <c r="AA140" s="1272">
        <f t="shared" si="308"/>
        <v>0</v>
      </c>
      <c r="AB140" s="1495">
        <f>+AB116+AB117+AB118+AB139</f>
        <v>0</v>
      </c>
      <c r="AC140" s="1495">
        <f>+AC116+AC117+AC118+AC139</f>
        <v>0</v>
      </c>
      <c r="AD140" s="1272">
        <f t="shared" si="309"/>
        <v>0</v>
      </c>
      <c r="AE140" s="1495">
        <f>+AE116+AE117+AE118+AE139</f>
        <v>0</v>
      </c>
      <c r="AF140" s="1495">
        <f>+AF116+AF117+AF118+AF139</f>
        <v>0</v>
      </c>
      <c r="AG140" s="1272">
        <f t="shared" si="310"/>
        <v>0</v>
      </c>
      <c r="AH140" s="1495">
        <f>+AH116+AH117+AH118+AH139</f>
        <v>0</v>
      </c>
      <c r="AI140" s="1495">
        <f>+AI116+AI117+AI118+AI139</f>
        <v>0</v>
      </c>
      <c r="AJ140" s="1272"/>
      <c r="AK140" s="1272"/>
      <c r="AL140" s="1495">
        <f>+AL116+AL117+AL118+AL139</f>
        <v>0</v>
      </c>
      <c r="AM140" s="1272">
        <f t="shared" si="312"/>
        <v>28.995000000000005</v>
      </c>
      <c r="AN140" s="1495">
        <f>+AN116+AN117+AN118+AN139</f>
        <v>28.995000000000005</v>
      </c>
      <c r="AO140" s="1495">
        <f>+AO116+AO117+AO118+AO139</f>
        <v>12.447000000000001</v>
      </c>
      <c r="AP140" s="1272">
        <f t="shared" si="313"/>
        <v>22.704999999999998</v>
      </c>
      <c r="AQ140" s="1495">
        <f>+AQ116+AQ117+AQ118+AQ139</f>
        <v>35.152000000000001</v>
      </c>
      <c r="AR140" s="1495">
        <f>+AR116+AR117+AR118+AR139</f>
        <v>17.733999999999998</v>
      </c>
      <c r="AS140" s="1272">
        <f t="shared" si="314"/>
        <v>23.170000000000005</v>
      </c>
      <c r="AT140" s="1495">
        <f>+AT116+AT117+AT118+AT139</f>
        <v>40.904000000000003</v>
      </c>
      <c r="AU140" s="1495">
        <f>+AU116+AU117+AU118+AU139</f>
        <v>16.207999999999998</v>
      </c>
      <c r="AV140" s="1272">
        <f t="shared" si="315"/>
        <v>27.911000000000001</v>
      </c>
      <c r="AW140" s="1495">
        <f>+AW116+AW117+AW118+AW139</f>
        <v>44.119</v>
      </c>
      <c r="AX140" s="1495">
        <f>+AX116+AX117+AX118+AX139</f>
        <v>18.61</v>
      </c>
      <c r="AY140" s="1272">
        <f t="shared" si="316"/>
        <v>35.792000000000002</v>
      </c>
      <c r="AZ140" s="1495">
        <f>+AZ116+AZ117+AZ118+AZ139</f>
        <v>54.402000000000001</v>
      </c>
      <c r="BA140" s="1495">
        <f>+BA116+BA117+BA118+BA139</f>
        <v>27.253000000000004</v>
      </c>
      <c r="BB140" s="1272">
        <f t="shared" si="317"/>
        <v>50.988000000000014</v>
      </c>
      <c r="BC140" s="1495">
        <f>+BC116+BC117+BC118+BC139</f>
        <v>78.241000000000014</v>
      </c>
      <c r="BD140" s="1495">
        <f>+BD116+BD117+BD118+BD139</f>
        <v>57.541000000000004</v>
      </c>
      <c r="BE140" s="1272">
        <f t="shared" si="318"/>
        <v>66.266999999999996</v>
      </c>
      <c r="BF140" s="1495">
        <f>+BF116+BF117+BF118+BF139</f>
        <v>123.80799999999999</v>
      </c>
      <c r="BG140" s="1495">
        <f>+BG116+BG117+BG118+BG139</f>
        <v>40.1</v>
      </c>
      <c r="BH140" s="1272">
        <f t="shared" si="319"/>
        <v>30.323</v>
      </c>
      <c r="BI140" s="1495">
        <f>+BI116+BI117+BI118+BI139</f>
        <v>70.423000000000002</v>
      </c>
      <c r="BJ140" s="1495">
        <f>+BJ116+BJ117+BJ118+BJ139</f>
        <v>25.382000000000001</v>
      </c>
      <c r="BK140" s="1275">
        <v>0</v>
      </c>
      <c r="BL140" s="1706">
        <v>0</v>
      </c>
      <c r="BM140" s="1495">
        <f>+BM116+BM117+BM118+BM139</f>
        <v>160.11100000000002</v>
      </c>
      <c r="BN140" s="1272">
        <f t="shared" si="321"/>
        <v>386.40700000000004</v>
      </c>
      <c r="BO140" s="1495">
        <f>+BO116+BO117+BO118+BO139</f>
        <v>546.51800000000003</v>
      </c>
      <c r="BP140" s="1495">
        <f>+BP116+BP117+BP118+BP139</f>
        <v>176.423</v>
      </c>
      <c r="BQ140" s="1272">
        <f t="shared" si="322"/>
        <v>-59.06599999999996</v>
      </c>
      <c r="BR140" s="1495">
        <f>+BR116+BR117+BR118+BR139</f>
        <v>117.35700000000004</v>
      </c>
      <c r="BS140" s="1495">
        <f>+BS116+BS117+BS118+BS139</f>
        <v>257.28599999999994</v>
      </c>
      <c r="BT140" s="1272">
        <f t="shared" si="323"/>
        <v>282.01300000000003</v>
      </c>
      <c r="BU140" s="1495">
        <f>+BU116+BU117+BU118+BU139</f>
        <v>539.29899999999998</v>
      </c>
      <c r="BV140" s="1495">
        <f>+BV116+BV117+BV118+BV139</f>
        <v>348.72799999999995</v>
      </c>
      <c r="BW140" s="1272">
        <f t="shared" si="324"/>
        <v>353.07400000000007</v>
      </c>
      <c r="BX140" s="1495">
        <f>+BX116+BX117+BX118+BX139</f>
        <v>701.80200000000002</v>
      </c>
      <c r="BY140" s="1495">
        <f>+BY116+BY117+BY118+BY139</f>
        <v>501.85699999999997</v>
      </c>
      <c r="BZ140" s="1272">
        <f t="shared" si="325"/>
        <v>518.03700000000003</v>
      </c>
      <c r="CA140" s="1495">
        <f>+CA116+CA117+CA118+CA139</f>
        <v>1019.894</v>
      </c>
      <c r="CB140" s="1495">
        <f>+CB116+CB117+CB118+CB139</f>
        <v>617.39400000000001</v>
      </c>
      <c r="CC140" s="1272">
        <f t="shared" si="326"/>
        <v>435.50699999999983</v>
      </c>
      <c r="CD140" s="1495">
        <f>+CD116+CD117+CD118+CD139</f>
        <v>1052.9009999999998</v>
      </c>
      <c r="CE140" s="1495">
        <f>+CE116+CE117+CE118+CE139</f>
        <v>500.21500000000003</v>
      </c>
      <c r="CF140" s="1272">
        <f t="shared" si="327"/>
        <v>440.38599999999985</v>
      </c>
      <c r="CG140" s="1495">
        <f>+CG116+CG117+CG118+CG139</f>
        <v>940.60099999999989</v>
      </c>
      <c r="CH140" s="1495">
        <f>+CH116+CH117+CH118+CH139</f>
        <v>504.29999999999995</v>
      </c>
      <c r="CI140" s="1272">
        <f t="shared" si="328"/>
        <v>519.6</v>
      </c>
      <c r="CJ140" s="1495">
        <f>+CJ116+CJ117+CJ118+CJ139</f>
        <v>1023.9</v>
      </c>
      <c r="CK140" s="1495">
        <f>+CK116+CK117+CK118+CK139</f>
        <v>624.59999999999991</v>
      </c>
      <c r="CL140" s="1272">
        <f t="shared" si="329"/>
        <v>591.70000000000027</v>
      </c>
      <c r="CM140" s="1495">
        <f>+CM116+CM117+CM118+CM139</f>
        <v>1216.3000000000002</v>
      </c>
      <c r="CN140" s="1495">
        <f>+CN116+CN117+CN118+CN139</f>
        <v>645.70000000000005</v>
      </c>
      <c r="CO140" s="1272">
        <f t="shared" si="330"/>
        <v>661.3</v>
      </c>
      <c r="CP140" s="1495">
        <f>+CP116+CP117+CP118+CP139</f>
        <v>1307</v>
      </c>
      <c r="CQ140" s="1495">
        <f>+CQ116+CQ117+CQ118+CQ139</f>
        <v>692.2</v>
      </c>
      <c r="CR140" s="1272">
        <f t="shared" si="331"/>
        <v>686.8</v>
      </c>
      <c r="CS140" s="1495">
        <f>+CS116+CS117+CS118+CS139</f>
        <v>1379</v>
      </c>
      <c r="CT140" s="1495">
        <f>+CT116+CT117+CT118+CT139</f>
        <v>718.80000000000007</v>
      </c>
      <c r="CU140" s="1272">
        <f t="shared" si="332"/>
        <v>523.6</v>
      </c>
      <c r="CV140" s="1495">
        <f>+CV116+CV117+CV118+CV139</f>
        <v>1242.4000000000001</v>
      </c>
      <c r="CW140" s="1495">
        <f>+CW116+CW117+CW118+CW139</f>
        <v>805.49999999999989</v>
      </c>
      <c r="CX140" s="1272">
        <f t="shared" si="333"/>
        <v>531.91454610013022</v>
      </c>
      <c r="CY140" s="1495">
        <f>+CY116+CY117+CY118+CY139</f>
        <v>1337.4145461001301</v>
      </c>
      <c r="CZ140" s="1495">
        <f>+CZ116+CZ117+CZ118+CZ139</f>
        <v>1086.3</v>
      </c>
      <c r="DA140" s="1272">
        <f t="shared" si="334"/>
        <v>642.59999999999991</v>
      </c>
      <c r="DB140" s="1495">
        <f>+DB116+DB117+DB118+DB139</f>
        <v>1728.8999999999999</v>
      </c>
      <c r="DC140" s="1495">
        <f>+DC116+DC117+DC118+DC139</f>
        <v>1160.7</v>
      </c>
      <c r="DD140" s="1272">
        <f t="shared" si="335"/>
        <v>757.99999999999977</v>
      </c>
      <c r="DE140" s="1496">
        <f>+DE116+DE117+DE118+DE139</f>
        <v>1918.6999999999998</v>
      </c>
      <c r="DF140" s="1495">
        <f>+DF116+DF117+DF118+DF139</f>
        <v>1248</v>
      </c>
      <c r="DG140" s="1272">
        <f t="shared" si="336"/>
        <v>854.5</v>
      </c>
      <c r="DH140" s="1496">
        <f>+DH116+DH117+DH118+DH139</f>
        <v>2102.5</v>
      </c>
      <c r="DI140" s="1495">
        <f>+DI116+DI117+DI118+DI139</f>
        <v>1810</v>
      </c>
      <c r="DJ140" s="1272">
        <f t="shared" si="337"/>
        <v>581.19999999999982</v>
      </c>
      <c r="DK140" s="1496">
        <f>+DK116+DK117+DK118+DK139</f>
        <v>2391.1999999999998</v>
      </c>
      <c r="DL140" s="1495">
        <f>+DL116+DL117+DL118+DL139</f>
        <v>1777</v>
      </c>
      <c r="DM140" s="1272">
        <f t="shared" si="338"/>
        <v>603.69999999999982</v>
      </c>
      <c r="DN140" s="1496">
        <f>+DN116+DN117+DN118+DN139</f>
        <v>2380.6999999999998</v>
      </c>
      <c r="DO140" s="1495">
        <f>+DO116+DO117+DO118+DO139</f>
        <v>1818.4</v>
      </c>
      <c r="DP140" s="1272">
        <f t="shared" si="339"/>
        <v>791.60000000000036</v>
      </c>
      <c r="DQ140" s="1496">
        <f>+DQ116+DQ117+DQ118+DQ139</f>
        <v>2610.0000000000005</v>
      </c>
      <c r="DR140" s="1495">
        <f>+DR116+DR117+DR118+DR139</f>
        <v>2017.0050799999999</v>
      </c>
      <c r="DS140" s="1272">
        <f t="shared" si="340"/>
        <v>889.99492000000009</v>
      </c>
      <c r="DT140" s="1496">
        <f>+DT116+DT117+DT118+DT139</f>
        <v>2907</v>
      </c>
      <c r="DU140" s="1495">
        <f>+DU116+DU117+DU118+DU139</f>
        <v>2073.9999999999995</v>
      </c>
      <c r="DV140" s="1272">
        <f t="shared" si="341"/>
        <v>1145.0000000000005</v>
      </c>
      <c r="DW140" s="1496">
        <f>+DW116+DW117+DW118+DW139</f>
        <v>3219</v>
      </c>
      <c r="DX140" s="1495">
        <f>+DX116+DX117+DX118+DX139</f>
        <v>1946</v>
      </c>
      <c r="DY140" s="1272">
        <f t="shared" si="342"/>
        <v>1476.8577022481932</v>
      </c>
      <c r="DZ140" s="1496">
        <f>+DZ116+DZ117+DZ118+DZ139</f>
        <v>3422.8577022481932</v>
      </c>
      <c r="EA140" s="1495">
        <f>+EA116+EA117+EA118+EA139</f>
        <v>2123.9420938760486</v>
      </c>
      <c r="EB140" s="1272">
        <f t="shared" si="343"/>
        <v>1520.6667349904319</v>
      </c>
      <c r="EC140" s="1496">
        <f>+EC116+EC117+EC118+EC139</f>
        <v>3644.6088288664805</v>
      </c>
      <c r="ED140" s="1495">
        <f>+ED116+ED117+ED118+ED139</f>
        <v>2312.0038583265168</v>
      </c>
      <c r="EE140" s="1272">
        <f t="shared" si="344"/>
        <v>1653.7883932636632</v>
      </c>
      <c r="EF140" s="1496">
        <f>+EF116+EF117+EF118+EF139</f>
        <v>3965.7922515901801</v>
      </c>
      <c r="EG140" s="1495">
        <f>+EG116+EG117+EG118+EG139</f>
        <v>2508.786779520055</v>
      </c>
      <c r="EH140" s="1272">
        <f t="shared" si="345"/>
        <v>1843.8151320194243</v>
      </c>
      <c r="EI140" s="1496">
        <f>+EI116+EI117+EI118+EI139</f>
        <v>4352.6019115394793</v>
      </c>
      <c r="EJ140" s="1495">
        <f>+EJ116+EJ117+EJ118+EJ139</f>
        <v>2731.5065495174135</v>
      </c>
      <c r="EK140" s="1272">
        <f t="shared" si="346"/>
        <v>2059.5985794968633</v>
      </c>
      <c r="EL140" s="1496">
        <f>+EL116+EL117+EL118+EL139</f>
        <v>4791.1051290142768</v>
      </c>
      <c r="EM140" s="1495">
        <f>+EM116+EM117+EM118+EM139</f>
        <v>2993.5062992679455</v>
      </c>
      <c r="EN140" s="1272">
        <f t="shared" si="347"/>
        <v>2268.9941550467115</v>
      </c>
      <c r="EO140" s="1496">
        <f>+EO116+EO117+EO118+EO139</f>
        <v>5262.500454314657</v>
      </c>
      <c r="EP140" s="1495">
        <f>+EP116+EP117+EP118+EP139</f>
        <v>3244.2368047422647</v>
      </c>
      <c r="EQ140" s="1272">
        <f t="shared" si="348"/>
        <v>2505.6281450045294</v>
      </c>
      <c r="ER140" s="1496">
        <f>+ER116+ER117+ER118+ER139</f>
        <v>5749.8649497467941</v>
      </c>
      <c r="ES140" s="1495">
        <f>+ES116+ES117+ES118+ES139</f>
        <v>3483.5110744594012</v>
      </c>
      <c r="ET140" s="1272">
        <f t="shared" si="349"/>
        <v>2724.3430891766284</v>
      </c>
      <c r="EU140" s="1496">
        <f>+EU116+EU117+EU118+EU139</f>
        <v>6207.8541636360296</v>
      </c>
      <c r="EV140" s="1495">
        <f>+EV116+EV117+EV118+EV139</f>
        <v>3702.5824953413012</v>
      </c>
      <c r="EW140" s="1272">
        <f t="shared" si="350"/>
        <v>2919.107026284978</v>
      </c>
      <c r="EX140" s="1496">
        <f>+EX116+EX117+EX118+EX139</f>
        <v>6621.6895216262792</v>
      </c>
      <c r="EY140" s="1495">
        <f>+EY116+EY117+EY118+EY139</f>
        <v>3935.4684373353016</v>
      </c>
      <c r="EZ140" s="1272">
        <f t="shared" si="351"/>
        <v>3126.8470762413112</v>
      </c>
      <c r="FA140" s="1496">
        <f>+FA116+FA117+FA118+FA139</f>
        <v>7062.3155135766128</v>
      </c>
      <c r="FD140"/>
      <c r="FE140"/>
      <c r="FF140"/>
      <c r="FG140"/>
      <c r="FH140"/>
      <c r="FI140"/>
      <c r="FJ140" s="33"/>
      <c r="FK140" s="33"/>
      <c r="FL140" s="33"/>
      <c r="FM140" s="33"/>
    </row>
    <row r="141" spans="2:169" s="33" customFormat="1" outlineLevel="1">
      <c r="B141" s="54" t="s">
        <v>352</v>
      </c>
      <c r="D141" s="2" t="s">
        <v>506</v>
      </c>
      <c r="E141" s="53"/>
      <c r="F141" s="32"/>
      <c r="G141" s="53"/>
      <c r="H141" s="53"/>
      <c r="I141" s="32"/>
      <c r="J141" s="53"/>
      <c r="K141" s="53"/>
      <c r="L141" s="32"/>
      <c r="M141" s="53"/>
      <c r="N141" s="53"/>
      <c r="O141" s="32"/>
      <c r="P141" s="53"/>
      <c r="Q141" s="53"/>
      <c r="R141" s="32"/>
      <c r="S141" s="53"/>
      <c r="T141" s="53"/>
      <c r="U141" s="32"/>
      <c r="V141" s="53"/>
      <c r="W141" s="53"/>
      <c r="X141" s="32"/>
      <c r="Y141" s="53"/>
      <c r="Z141" s="53"/>
      <c r="AA141" s="32"/>
      <c r="AB141" s="53"/>
      <c r="AC141" s="53"/>
      <c r="AD141" s="32"/>
      <c r="AE141" s="53"/>
      <c r="AF141" s="53"/>
      <c r="AG141" s="32"/>
      <c r="AH141" s="53"/>
      <c r="AI141" s="53"/>
      <c r="AJ141" s="32"/>
      <c r="AK141" s="32"/>
      <c r="AL141" s="32"/>
      <c r="AM141" s="32"/>
      <c r="AN141" s="32">
        <f>((AN140+AN400)/AN393)*100</f>
        <v>7.3631924181592412</v>
      </c>
      <c r="AO141" s="32"/>
      <c r="AP141" s="32"/>
      <c r="AQ141" s="32">
        <f t="shared" ref="AQ141:BK141" si="352">((AQ140+AQ400)/AQ393)*100</f>
        <v>8.9267439173351821</v>
      </c>
      <c r="AR141" s="32"/>
      <c r="AS141" s="32"/>
      <c r="AT141" s="32">
        <f t="shared" si="352"/>
        <v>10.387446893339733</v>
      </c>
      <c r="AU141" s="32">
        <f t="shared" si="352"/>
        <v>4.0555959184386801</v>
      </c>
      <c r="AV141" s="32">
        <f t="shared" si="352"/>
        <v>7.091195326141615</v>
      </c>
      <c r="AW141" s="32">
        <f t="shared" si="352"/>
        <v>11.128492237518618</v>
      </c>
      <c r="AX141" s="32">
        <f t="shared" si="352"/>
        <v>4.6910597915551433</v>
      </c>
      <c r="AY141" s="32">
        <f t="shared" si="352"/>
        <v>8.9881473690822453</v>
      </c>
      <c r="AZ141" s="32">
        <f t="shared" si="352"/>
        <v>13.684243521636155</v>
      </c>
      <c r="BA141" s="32">
        <f t="shared" si="352"/>
        <v>6.054158923532742</v>
      </c>
      <c r="BB141" s="32">
        <f t="shared" si="352"/>
        <v>11.273226382062886</v>
      </c>
      <c r="BC141" s="32">
        <f t="shared" si="352"/>
        <v>17.337203413811984</v>
      </c>
      <c r="BD141" s="32">
        <f t="shared" si="352"/>
        <v>12.059897667511184</v>
      </c>
      <c r="BE141" s="32">
        <f t="shared" si="352"/>
        <v>13.876857661518541</v>
      </c>
      <c r="BF141" s="32">
        <f t="shared" si="352"/>
        <v>25.937407835385372</v>
      </c>
      <c r="BG141" s="32">
        <f t="shared" si="352"/>
        <v>8.4026667298498978</v>
      </c>
      <c r="BH141" s="32">
        <f t="shared" si="352"/>
        <v>6.3309513569148006</v>
      </c>
      <c r="BI141" s="32">
        <f t="shared" si="352"/>
        <v>14.733618086764697</v>
      </c>
      <c r="BJ141" s="32">
        <f t="shared" si="352"/>
        <v>5.1909623960279845</v>
      </c>
      <c r="BK141" s="32">
        <f t="shared" si="352"/>
        <v>0</v>
      </c>
      <c r="BL141" s="1064">
        <v>0</v>
      </c>
      <c r="BM141" s="32">
        <f t="shared" ref="BM141:CR141" si="353">((BM140+BM400)/BM393)*100</f>
        <v>27.250877413968226</v>
      </c>
      <c r="BN141" s="32">
        <f t="shared" si="353"/>
        <v>67.298242138706371</v>
      </c>
      <c r="BO141" s="32">
        <f t="shared" si="353"/>
        <v>94.088104567381578</v>
      </c>
      <c r="BP141" s="32">
        <f t="shared" si="353"/>
        <v>32.245175016261115</v>
      </c>
      <c r="BQ141" s="32">
        <f t="shared" si="353"/>
        <v>-10.543629365879305</v>
      </c>
      <c r="BR141" s="32">
        <f t="shared" si="353"/>
        <v>21.196286063481722</v>
      </c>
      <c r="BS141" s="32">
        <f t="shared" si="353"/>
        <v>47.00604762657656</v>
      </c>
      <c r="BT141" s="32">
        <f t="shared" si="353"/>
        <v>51.523660476332722</v>
      </c>
      <c r="BU141" s="32">
        <f t="shared" si="353"/>
        <v>98.529708102909282</v>
      </c>
      <c r="BV141" s="32">
        <f t="shared" si="353"/>
        <v>63.198478650777055</v>
      </c>
      <c r="BW141" s="32">
        <f t="shared" si="353"/>
        <v>64.094167790164107</v>
      </c>
      <c r="BX141" s="32">
        <f t="shared" si="353"/>
        <v>127.29189060183386</v>
      </c>
      <c r="BY141" s="32">
        <f t="shared" si="353"/>
        <v>84.702096640046733</v>
      </c>
      <c r="BZ141" s="32">
        <f t="shared" si="353"/>
        <v>85.727593440659959</v>
      </c>
      <c r="CA141" s="32">
        <f t="shared" si="353"/>
        <v>170.43978938705436</v>
      </c>
      <c r="CB141" s="32">
        <f t="shared" si="353"/>
        <v>106.00344997114726</v>
      </c>
      <c r="CC141" s="32">
        <f t="shared" si="353"/>
        <v>78.479266063701985</v>
      </c>
      <c r="CD141" s="32">
        <f t="shared" si="353"/>
        <v>185.14811214474113</v>
      </c>
      <c r="CE141" s="32">
        <f t="shared" si="353"/>
        <v>91.228912256330759</v>
      </c>
      <c r="CF141" s="32">
        <f t="shared" si="353"/>
        <v>81.280355274216973</v>
      </c>
      <c r="CG141" s="32">
        <f t="shared" si="353"/>
        <v>173.60311965249525</v>
      </c>
      <c r="CH141" s="32">
        <f t="shared" si="353"/>
        <v>96.059529524767854</v>
      </c>
      <c r="CI141" s="32">
        <f t="shared" si="353"/>
        <v>100.84433253610115</v>
      </c>
      <c r="CJ141" s="32">
        <f t="shared" si="353"/>
        <v>196.85907280029443</v>
      </c>
      <c r="CK141" s="32">
        <f t="shared" si="353"/>
        <v>123.84407217582559</v>
      </c>
      <c r="CL141" s="32">
        <f t="shared" si="353"/>
        <v>121.41117283435091</v>
      </c>
      <c r="CM141" s="32">
        <f t="shared" si="353"/>
        <v>243.10658807380923</v>
      </c>
      <c r="CN141" s="32">
        <f t="shared" si="353"/>
        <v>132.61094971507592</v>
      </c>
      <c r="CO141" s="32">
        <f t="shared" si="353"/>
        <v>135.74713985928673</v>
      </c>
      <c r="CP141" s="32">
        <f t="shared" si="353"/>
        <v>269.13811371083244</v>
      </c>
      <c r="CQ141" s="32">
        <f t="shared" si="353"/>
        <v>145.49115154953805</v>
      </c>
      <c r="CR141" s="32">
        <f t="shared" si="353"/>
        <v>145.60795720600464</v>
      </c>
      <c r="CS141" s="32">
        <f t="shared" ref="CS141:DQ141" si="354">((CS140+CS400)/CS393)*100</f>
        <v>291.44153609344386</v>
      </c>
      <c r="CT141" s="32">
        <f t="shared" si="354"/>
        <v>154.498718976064</v>
      </c>
      <c r="CU141" s="32">
        <f t="shared" si="354"/>
        <v>113.84669066140685</v>
      </c>
      <c r="CV141" s="32">
        <f t="shared" si="354"/>
        <v>268.57960420573067</v>
      </c>
      <c r="CW141" s="32">
        <f t="shared" si="354"/>
        <v>176.05669243190238</v>
      </c>
      <c r="CX141" s="32">
        <f t="shared" si="354"/>
        <v>116.66577573580908</v>
      </c>
      <c r="CY141" s="32">
        <f t="shared" si="354"/>
        <v>293.05189321123947</v>
      </c>
      <c r="CZ141" s="32">
        <f t="shared" si="354"/>
        <v>238.97755200015021</v>
      </c>
      <c r="DA141" s="32">
        <f t="shared" si="354"/>
        <v>141.36700259163814</v>
      </c>
      <c r="DB141" s="32">
        <f t="shared" si="354"/>
        <v>380.34455459178832</v>
      </c>
      <c r="DC141" s="32">
        <f t="shared" si="354"/>
        <v>255.36675556944064</v>
      </c>
      <c r="DD141" s="32">
        <f t="shared" si="354"/>
        <v>166.93094941138409</v>
      </c>
      <c r="DE141" s="1061">
        <f t="shared" si="354"/>
        <v>422.34080178300843</v>
      </c>
      <c r="DF141" s="32">
        <f t="shared" si="354"/>
        <v>274.03795867526026</v>
      </c>
      <c r="DG141" s="32">
        <f t="shared" si="354"/>
        <v>187.5293546292155</v>
      </c>
      <c r="DH141" s="1061">
        <f t="shared" si="354"/>
        <v>461.54351502378006</v>
      </c>
      <c r="DI141" s="32">
        <f t="shared" si="354"/>
        <v>396.87591863461364</v>
      </c>
      <c r="DJ141" s="32">
        <f t="shared" si="354"/>
        <v>127.34098791877331</v>
      </c>
      <c r="DK141" s="1061">
        <f t="shared" si="354"/>
        <v>524.11339718390445</v>
      </c>
      <c r="DL141" s="32">
        <f t="shared" si="354"/>
        <v>387.89529278016909</v>
      </c>
      <c r="DM141" s="32">
        <f>((DM140+DM400)/DM393)*100</f>
        <v>125.7418283610004</v>
      </c>
      <c r="DN141" s="1061">
        <f t="shared" si="354"/>
        <v>507.49072630084095</v>
      </c>
      <c r="DO141" s="32">
        <f t="shared" si="354"/>
        <v>375.99171718202439</v>
      </c>
      <c r="DP141" s="32">
        <f t="shared" si="354"/>
        <v>163.5920989314746</v>
      </c>
      <c r="DQ141" s="1061">
        <f t="shared" si="354"/>
        <v>539.52700690545475</v>
      </c>
      <c r="DR141" s="32">
        <f t="shared" ref="DR141:DZ141" si="355">((DR140+DR400)/DR393)*100</f>
        <v>415.91557544623657</v>
      </c>
      <c r="DS141" s="32">
        <f t="shared" si="355"/>
        <v>183.39758044828699</v>
      </c>
      <c r="DT141" s="1061">
        <f t="shared" si="355"/>
        <v>599.23495691602704</v>
      </c>
      <c r="DU141" s="32">
        <f>((DU140+DU400)/DU393)*100</f>
        <v>427.22380495984993</v>
      </c>
      <c r="DV141" s="32">
        <f>((DV140+DV400)/DV393)*100</f>
        <v>235.78139742515026</v>
      </c>
      <c r="DW141" s="1061">
        <f>((DW140+DW400)/DW393)*100</f>
        <v>662.97376344044915</v>
      </c>
      <c r="DX141" s="32">
        <f t="shared" ref="DX141" si="356">((DX140+DX400)/DX393)*100</f>
        <v>401.96081142478118</v>
      </c>
      <c r="DY141" s="32">
        <f t="shared" si="355"/>
        <v>306.3718583110911</v>
      </c>
      <c r="DZ141" s="1061">
        <f t="shared" si="355"/>
        <v>708.53839189248959</v>
      </c>
      <c r="EA141" s="32">
        <f t="shared" ref="EA141:EF141" si="357">((EA140+EA400)/EA393)*100</f>
        <v>442.38308422028121</v>
      </c>
      <c r="EB141" s="32">
        <f t="shared" si="357"/>
        <v>317.94502617878697</v>
      </c>
      <c r="EC141" s="1061">
        <f t="shared" si="357"/>
        <v>760.56623734046741</v>
      </c>
      <c r="ED141" s="32">
        <f t="shared" si="357"/>
        <v>485.16399048628324</v>
      </c>
      <c r="EE141" s="32">
        <f t="shared" si="357"/>
        <v>348.24513477355327</v>
      </c>
      <c r="EF141" s="1061">
        <f t="shared" si="357"/>
        <v>833.64638151648785</v>
      </c>
      <c r="EG141" s="32">
        <f t="shared" ref="EG141:EL141" si="358">((EG140+EG400)/EG393)*100</f>
        <v>528.10837643087712</v>
      </c>
      <c r="EH141" s="32">
        <f t="shared" si="358"/>
        <v>387.99927382872539</v>
      </c>
      <c r="EI141" s="1061">
        <f t="shared" si="358"/>
        <v>916.08413730467782</v>
      </c>
      <c r="EJ141" s="32">
        <f t="shared" si="358"/>
        <v>574.60588199276799</v>
      </c>
      <c r="EK141" s="32">
        <f t="shared" si="358"/>
        <v>433.11650799569162</v>
      </c>
      <c r="EL141" s="1061">
        <f t="shared" si="358"/>
        <v>1007.6986613263848</v>
      </c>
      <c r="EM141" s="32">
        <f t="shared" ref="EM141:ER141" si="359">((EM140+EM400)/EM393)*100</f>
        <v>629.29852044711106</v>
      </c>
      <c r="EN141" s="32">
        <f t="shared" si="359"/>
        <v>476.83084517795658</v>
      </c>
      <c r="EO141" s="1061">
        <f t="shared" si="359"/>
        <v>1106.1038129738631</v>
      </c>
      <c r="EP141" s="32">
        <f t="shared" si="359"/>
        <v>681.55041969577496</v>
      </c>
      <c r="EQ141" s="32">
        <f t="shared" si="359"/>
        <v>526.20696072962198</v>
      </c>
      <c r="ER141" s="1061">
        <f t="shared" si="359"/>
        <v>1207.7313632516859</v>
      </c>
      <c r="ES141" s="32">
        <f t="shared" ref="ES141:FA141" si="360">((ES140+ES400)/ES393)*100</f>
        <v>731.3272256896762</v>
      </c>
      <c r="ET141" s="32">
        <f t="shared" si="360"/>
        <v>571.756315082838</v>
      </c>
      <c r="EU141" s="1061">
        <f t="shared" si="360"/>
        <v>1303.0568334702948</v>
      </c>
      <c r="EV141" s="32">
        <f t="shared" si="360"/>
        <v>776.79887450016429</v>
      </c>
      <c r="EW141" s="32">
        <f t="shared" si="360"/>
        <v>612.22151016840621</v>
      </c>
      <c r="EX141" s="1061">
        <f t="shared" si="360"/>
        <v>1388.9928578673223</v>
      </c>
      <c r="EY141" s="32">
        <f t="shared" si="360"/>
        <v>825.10604754966289</v>
      </c>
      <c r="EZ141" s="32">
        <f t="shared" si="360"/>
        <v>655.3522540824606</v>
      </c>
      <c r="FA141" s="1061">
        <f t="shared" si="360"/>
        <v>1480.4299280169948</v>
      </c>
      <c r="FD141"/>
      <c r="FE141"/>
      <c r="FF141"/>
      <c r="FG141"/>
      <c r="FH141"/>
      <c r="FI141"/>
    </row>
    <row r="142" spans="2:169" s="33" customFormat="1" outlineLevel="1">
      <c r="B142" s="54"/>
      <c r="D142" s="2"/>
      <c r="E142" s="53"/>
      <c r="F142" s="32"/>
      <c r="G142" s="53"/>
      <c r="H142" s="53"/>
      <c r="I142" s="32"/>
      <c r="J142" s="53"/>
      <c r="K142" s="53"/>
      <c r="L142" s="32"/>
      <c r="M142" s="53"/>
      <c r="N142" s="53"/>
      <c r="O142" s="32"/>
      <c r="P142" s="53"/>
      <c r="Q142" s="53"/>
      <c r="R142" s="32"/>
      <c r="S142" s="53"/>
      <c r="T142" s="53"/>
      <c r="U142" s="32"/>
      <c r="V142" s="53"/>
      <c r="W142" s="53"/>
      <c r="X142" s="32"/>
      <c r="Y142" s="53"/>
      <c r="Z142" s="53"/>
      <c r="AA142" s="32"/>
      <c r="AB142" s="53"/>
      <c r="AC142" s="53"/>
      <c r="AD142" s="32"/>
      <c r="AE142" s="53"/>
      <c r="AF142" s="53"/>
      <c r="AG142" s="32"/>
      <c r="AH142" s="53"/>
      <c r="AI142" s="53"/>
      <c r="AJ142" s="32"/>
      <c r="AK142" s="53"/>
      <c r="AL142" s="53"/>
      <c r="AM142" s="32"/>
      <c r="AN142" s="53"/>
      <c r="AO142" s="53"/>
      <c r="AP142" s="32"/>
      <c r="AQ142" s="53"/>
      <c r="AR142" s="53"/>
      <c r="AS142" s="32"/>
      <c r="AT142" s="53"/>
      <c r="AU142" s="53"/>
      <c r="AV142" s="32"/>
      <c r="AW142" s="53"/>
      <c r="AX142" s="53"/>
      <c r="AY142" s="32"/>
      <c r="AZ142" s="53"/>
      <c r="BA142" s="53"/>
      <c r="BB142" s="32"/>
      <c r="BC142" s="53"/>
      <c r="BD142" s="53"/>
      <c r="BE142" s="32"/>
      <c r="BF142" s="53"/>
      <c r="BG142" s="53"/>
      <c r="BH142" s="32"/>
      <c r="BI142" s="53"/>
      <c r="BJ142" s="53"/>
      <c r="BK142" s="32"/>
      <c r="BL142" s="53"/>
      <c r="BM142" s="53"/>
      <c r="BN142" s="32"/>
      <c r="BO142" s="1162"/>
      <c r="BP142" s="53"/>
      <c r="BQ142" s="32"/>
      <c r="BR142" s="1162"/>
      <c r="BS142" s="53"/>
      <c r="BT142" s="32"/>
      <c r="BU142" s="1162"/>
      <c r="BV142" s="53"/>
      <c r="BW142" s="32"/>
      <c r="BX142" s="1162"/>
      <c r="BY142" s="53"/>
      <c r="BZ142" s="32"/>
      <c r="CA142" s="1162"/>
      <c r="CB142" s="53"/>
      <c r="CC142" s="32"/>
      <c r="CD142" s="1162"/>
      <c r="CE142" s="53"/>
      <c r="CF142" s="32"/>
      <c r="CG142" s="1162"/>
      <c r="CH142" s="53"/>
      <c r="CI142" s="32"/>
      <c r="CJ142" s="1162"/>
      <c r="CK142" s="53"/>
      <c r="CL142" s="32"/>
      <c r="CM142" s="1162"/>
      <c r="CN142" s="53"/>
      <c r="CO142" s="32"/>
      <c r="CP142" s="1162"/>
      <c r="CQ142" s="53"/>
      <c r="CR142" s="32"/>
      <c r="CS142" s="1162"/>
      <c r="CT142" s="53"/>
      <c r="CU142" s="32"/>
      <c r="CV142" s="1162"/>
      <c r="CW142" s="53"/>
      <c r="CX142" s="32"/>
      <c r="CY142" s="1162"/>
      <c r="CZ142" s="53"/>
      <c r="DA142" s="32"/>
      <c r="DB142" s="1162"/>
      <c r="DC142" s="53"/>
      <c r="DD142" s="32"/>
      <c r="DE142" s="1163"/>
      <c r="DF142" s="53"/>
      <c r="DG142" s="32"/>
      <c r="DH142" s="1163"/>
      <c r="DI142" s="53"/>
      <c r="DJ142" s="32"/>
      <c r="DK142" s="1163"/>
      <c r="DL142" s="53"/>
      <c r="DM142" s="32"/>
      <c r="DN142" s="1163"/>
      <c r="DO142" s="53"/>
      <c r="DP142" s="32"/>
      <c r="DQ142" s="1163"/>
      <c r="DR142" s="53"/>
      <c r="DS142" s="32"/>
      <c r="DT142" s="1163"/>
      <c r="DU142" s="53"/>
      <c r="DV142" s="32"/>
      <c r="DW142" s="1163"/>
      <c r="DX142" s="53"/>
      <c r="DY142" s="32"/>
      <c r="DZ142" s="1163"/>
      <c r="EA142" s="53"/>
      <c r="EB142" s="32"/>
      <c r="EC142" s="1163"/>
      <c r="ED142" s="53"/>
      <c r="EE142" s="32"/>
      <c r="EF142" s="1163"/>
      <c r="EG142" s="53"/>
      <c r="EH142" s="32"/>
      <c r="EI142" s="1163"/>
      <c r="EJ142" s="53"/>
      <c r="EK142" s="32"/>
      <c r="EL142" s="1163"/>
      <c r="EM142" s="53"/>
      <c r="EN142" s="32"/>
      <c r="EO142" s="1163"/>
      <c r="EP142" s="53"/>
      <c r="EQ142" s="32"/>
      <c r="ER142" s="1163"/>
      <c r="ES142" s="53"/>
      <c r="ET142" s="32"/>
      <c r="EU142" s="1163"/>
      <c r="EV142" s="53"/>
      <c r="EW142" s="32"/>
      <c r="EX142" s="1163"/>
      <c r="EY142" s="53"/>
      <c r="EZ142" s="32"/>
      <c r="FA142" s="1163"/>
      <c r="FD142"/>
      <c r="FE142"/>
      <c r="FF142"/>
      <c r="FG142"/>
      <c r="FH142"/>
      <c r="FI142"/>
    </row>
    <row r="143" spans="2:169" s="33" customFormat="1" outlineLevel="1">
      <c r="B143" s="54" t="s">
        <v>353</v>
      </c>
      <c r="C143" s="54"/>
      <c r="D143" s="2" t="s">
        <v>506</v>
      </c>
      <c r="E143" s="53"/>
      <c r="F143" s="32">
        <f>+E147</f>
        <v>0</v>
      </c>
      <c r="G143" s="32">
        <f>+E143</f>
        <v>0</v>
      </c>
      <c r="H143" s="53">
        <f>+G147</f>
        <v>0</v>
      </c>
      <c r="I143" s="32">
        <f>+H147</f>
        <v>0</v>
      </c>
      <c r="J143" s="32">
        <f>+G147</f>
        <v>0</v>
      </c>
      <c r="K143" s="53">
        <f>+J147</f>
        <v>0</v>
      </c>
      <c r="L143" s="32">
        <f>+K147</f>
        <v>0</v>
      </c>
      <c r="M143" s="32">
        <f>+J147</f>
        <v>0</v>
      </c>
      <c r="N143" s="53">
        <f>+M147</f>
        <v>0</v>
      </c>
      <c r="O143" s="32">
        <f>+N147</f>
        <v>0</v>
      </c>
      <c r="P143" s="32">
        <f>+M147</f>
        <v>0</v>
      </c>
      <c r="Q143" s="53">
        <f>+P147</f>
        <v>0</v>
      </c>
      <c r="R143" s="32">
        <f>+Q147</f>
        <v>0</v>
      </c>
      <c r="S143" s="32">
        <f>+P147</f>
        <v>0</v>
      </c>
      <c r="T143" s="53">
        <f>+S147</f>
        <v>0</v>
      </c>
      <c r="U143" s="32">
        <f>+T147</f>
        <v>0</v>
      </c>
      <c r="V143" s="32">
        <f>+S147</f>
        <v>0</v>
      </c>
      <c r="W143" s="53">
        <f>+V147</f>
        <v>0</v>
      </c>
      <c r="X143" s="32">
        <f>+W147</f>
        <v>0</v>
      </c>
      <c r="Y143" s="32">
        <f>+V147</f>
        <v>0</v>
      </c>
      <c r="Z143" s="53">
        <f>+Y147</f>
        <v>0</v>
      </c>
      <c r="AA143" s="32">
        <f>+Z147</f>
        <v>0</v>
      </c>
      <c r="AB143" s="32">
        <f>+Y147</f>
        <v>0</v>
      </c>
      <c r="AC143" s="53">
        <f>+AB147</f>
        <v>0</v>
      </c>
      <c r="AD143" s="32">
        <f>+AC147</f>
        <v>0</v>
      </c>
      <c r="AE143" s="32">
        <f>+AB147</f>
        <v>0</v>
      </c>
      <c r="AF143" s="53">
        <f>+AE147</f>
        <v>0</v>
      </c>
      <c r="AG143" s="32">
        <f>+AF147</f>
        <v>0</v>
      </c>
      <c r="AH143" s="32">
        <f>+AE147</f>
        <v>0</v>
      </c>
      <c r="AI143" s="53">
        <f>+AH147</f>
        <v>0</v>
      </c>
      <c r="AJ143" s="32">
        <f>+AI147</f>
        <v>0</v>
      </c>
      <c r="AK143" s="32">
        <f>+AH147</f>
        <v>0</v>
      </c>
      <c r="AL143" s="53">
        <f>+AK147</f>
        <v>76.667000000000002</v>
      </c>
      <c r="AM143" s="32">
        <f>+AL147</f>
        <v>76.667000000000002</v>
      </c>
      <c r="AN143" s="32">
        <f>+AK147</f>
        <v>76.667000000000002</v>
      </c>
      <c r="AO143" s="53">
        <f>+AN147</f>
        <v>88.762</v>
      </c>
      <c r="AP143" s="32">
        <f>+AO147</f>
        <v>94.058999999999997</v>
      </c>
      <c r="AQ143" s="32">
        <f>+AN147</f>
        <v>88.762</v>
      </c>
      <c r="AR143" s="53">
        <f>+AQ147</f>
        <v>103.764</v>
      </c>
      <c r="AS143" s="32">
        <f>+AR147</f>
        <v>113.496</v>
      </c>
      <c r="AT143" s="32">
        <f>+AQ147</f>
        <v>103.764</v>
      </c>
      <c r="AU143" s="1097">
        <v>124.86499999999999</v>
      </c>
      <c r="AV143" s="32">
        <f>+AU147</f>
        <v>131.85699999999997</v>
      </c>
      <c r="AW143" s="1064">
        <v>124.86499999999999</v>
      </c>
      <c r="AX143" s="53">
        <f>+AW147</f>
        <v>144.553</v>
      </c>
      <c r="AY143" s="32">
        <f>+AX147</f>
        <v>152.566</v>
      </c>
      <c r="AZ143" s="32">
        <f>+AW147</f>
        <v>144.553</v>
      </c>
      <c r="BA143" s="53">
        <f>+AZ147</f>
        <v>165.881</v>
      </c>
      <c r="BB143" s="32">
        <f>+BA147</f>
        <v>152.64639966000001</v>
      </c>
      <c r="BC143" s="32">
        <f>+AZ147</f>
        <v>165.881</v>
      </c>
      <c r="BD143" s="53">
        <f>+BC147</f>
        <v>178.05911901333334</v>
      </c>
      <c r="BE143" s="32">
        <f>+BD147</f>
        <v>215.09611901333335</v>
      </c>
      <c r="BF143" s="32">
        <f>+BC147</f>
        <v>178.05911901333334</v>
      </c>
      <c r="BG143" s="1097">
        <v>279.20600000000002</v>
      </c>
      <c r="BH143" s="32">
        <f>+BG147</f>
        <v>319.24600000000004</v>
      </c>
      <c r="BI143" s="32">
        <f>+BF147</f>
        <v>253.64782751333331</v>
      </c>
      <c r="BJ143" s="53">
        <f>+BI147</f>
        <v>304.3428275133333</v>
      </c>
      <c r="BK143" s="32">
        <f>+BJ147</f>
        <v>307.03682751333332</v>
      </c>
      <c r="BL143" s="32">
        <f>+BI147</f>
        <v>304.3428275133333</v>
      </c>
      <c r="BM143" s="53">
        <f>+BL147</f>
        <v>257.48787151333335</v>
      </c>
      <c r="BN143" s="32">
        <f>+BM147</f>
        <v>387.86187151333337</v>
      </c>
      <c r="BO143" s="32">
        <f>+BL147</f>
        <v>257.48787151333335</v>
      </c>
      <c r="BP143" s="53">
        <f>+BO147</f>
        <v>697.46087151333336</v>
      </c>
      <c r="BQ143" s="32">
        <f>+BP147</f>
        <v>873.88387151333336</v>
      </c>
      <c r="BR143" s="32">
        <f>+BO147</f>
        <v>697.46087151333336</v>
      </c>
      <c r="BS143" s="53">
        <f>+BR147</f>
        <v>690.42387151333344</v>
      </c>
      <c r="BT143" s="32">
        <f>+BS147</f>
        <v>874.78387151333334</v>
      </c>
      <c r="BU143" s="32">
        <f>+BR147</f>
        <v>690.42387151333344</v>
      </c>
      <c r="BV143" s="53">
        <f>+BU147</f>
        <v>1067.1888715133332</v>
      </c>
      <c r="BW143" s="32">
        <f>+BV147</f>
        <v>1315.0768715133333</v>
      </c>
      <c r="BX143" s="32">
        <f>+BU147</f>
        <v>1067.1888715133332</v>
      </c>
      <c r="BY143" s="53">
        <f>+BX147</f>
        <v>1541.5598715133333</v>
      </c>
      <c r="BZ143" s="32">
        <f>+BY147</f>
        <v>1904.9068715133333</v>
      </c>
      <c r="CA143" s="32">
        <f>+BX147</f>
        <v>1541.5598715133333</v>
      </c>
      <c r="CB143" s="53">
        <f>+CA147</f>
        <v>2561.4538715133331</v>
      </c>
      <c r="CC143" s="32">
        <f>+CB147</f>
        <v>2943.1828715133333</v>
      </c>
      <c r="CD143" s="32">
        <f>+CA147</f>
        <v>2561.4538715133331</v>
      </c>
      <c r="CE143" s="53">
        <f>+CD147</f>
        <v>3184.877871513333</v>
      </c>
      <c r="CF143" s="32">
        <f>+CE147</f>
        <v>3437.6038715133332</v>
      </c>
      <c r="CG143" s="32">
        <f>+CD147</f>
        <v>3184.877871513333</v>
      </c>
      <c r="CH143" s="53">
        <f>+CG147</f>
        <v>3689.5968715133326</v>
      </c>
      <c r="CI143" s="32">
        <f>+CH147</f>
        <v>3962.8968715133324</v>
      </c>
      <c r="CJ143" s="32">
        <f>+CG147</f>
        <v>3689.5968715133326</v>
      </c>
      <c r="CK143" s="53">
        <f>+CJ147</f>
        <v>4289.1968715133326</v>
      </c>
      <c r="CL143" s="32">
        <f>+CK147</f>
        <v>4666.6968715133316</v>
      </c>
      <c r="CM143" s="32">
        <f>+CJ147</f>
        <v>4289.1968715133326</v>
      </c>
      <c r="CN143" s="53">
        <f>+CM147</f>
        <v>5006.0968715133331</v>
      </c>
      <c r="CO143" s="32">
        <f>+CN147</f>
        <v>5395.9968715133327</v>
      </c>
      <c r="CP143" s="32">
        <f>+CM147</f>
        <v>5006.0968715133331</v>
      </c>
      <c r="CQ143" s="53">
        <f>+CP147</f>
        <v>5791.5968715133331</v>
      </c>
      <c r="CR143" s="32">
        <f>+CQ147</f>
        <v>6215.3968715133333</v>
      </c>
      <c r="CS143" s="32">
        <f>+CP147</f>
        <v>5791.5968715133331</v>
      </c>
      <c r="CT143" s="53">
        <f>+CS147</f>
        <v>6635.1968715133335</v>
      </c>
      <c r="CU143" s="32">
        <f>+CT147</f>
        <v>7060.596871513334</v>
      </c>
      <c r="CV143" s="32">
        <f>+CS147</f>
        <v>6635.1968715133335</v>
      </c>
      <c r="CW143" s="53">
        <f>+CV147</f>
        <v>7298.5968715133331</v>
      </c>
      <c r="CX143" s="32">
        <f>+CW147</f>
        <v>7794.0968715133331</v>
      </c>
      <c r="CY143" s="32">
        <f>+CV147</f>
        <v>7298.5968715133331</v>
      </c>
      <c r="CZ143" s="53">
        <f>+CY147</f>
        <v>8034.6114176134633</v>
      </c>
      <c r="DA143" s="32">
        <f>+CZ147</f>
        <v>8797.3114176134623</v>
      </c>
      <c r="DB143" s="32">
        <f>+CY147</f>
        <v>8034.6114176134633</v>
      </c>
      <c r="DC143" s="53">
        <f>+DB147</f>
        <v>9091.3114176134623</v>
      </c>
      <c r="DD143" s="32">
        <f>+DC147</f>
        <v>9831.7114176134637</v>
      </c>
      <c r="DE143" s="1061">
        <f>+DB147</f>
        <v>9091.3114176134623</v>
      </c>
      <c r="DF143" s="53">
        <f>+DE147</f>
        <v>10203.211417613464</v>
      </c>
      <c r="DG143" s="32">
        <f>+DF147</f>
        <v>10997.311417613464</v>
      </c>
      <c r="DH143" s="1061">
        <f>+DE147</f>
        <v>10203.211417613464</v>
      </c>
      <c r="DI143" s="53">
        <f>+DH147</f>
        <v>11422.611417613463</v>
      </c>
      <c r="DJ143" s="32">
        <f>+DI147</f>
        <v>12747.911417613463</v>
      </c>
      <c r="DK143" s="1061">
        <f>+DH147</f>
        <v>11422.611417613463</v>
      </c>
      <c r="DL143" s="53">
        <f>+DK147</f>
        <v>12855.811417613462</v>
      </c>
      <c r="DM143" s="32">
        <f>+DL147</f>
        <v>14095.111417613462</v>
      </c>
      <c r="DN143" s="1061">
        <f>+DK147</f>
        <v>12855.811417613462</v>
      </c>
      <c r="DO143" s="53">
        <f>+DN147</f>
        <v>14197.811417613462</v>
      </c>
      <c r="DP143" s="32">
        <f>+DO147</f>
        <v>15447.211417613462</v>
      </c>
      <c r="DQ143" s="1061">
        <f>+DN147</f>
        <v>14197.811417613462</v>
      </c>
      <c r="DR143" s="53">
        <f>+DQ147</f>
        <v>15722.811417613462</v>
      </c>
      <c r="DS143" s="32">
        <f>+DR147</f>
        <v>17042.816497613461</v>
      </c>
      <c r="DT143" s="1061">
        <f>+DQ147</f>
        <v>15722.811417613462</v>
      </c>
      <c r="DU143" s="53">
        <f>+DT147</f>
        <v>17437.811417613462</v>
      </c>
      <c r="DV143" s="32">
        <f>+DU147</f>
        <v>18708.811417613462</v>
      </c>
      <c r="DW143" s="1061">
        <f>+DT147</f>
        <v>17437.811417613462</v>
      </c>
      <c r="DX143" s="53">
        <f>+DW147</f>
        <v>19322.811417613462</v>
      </c>
      <c r="DY143" s="32">
        <f>+DX147</f>
        <v>20327.811417613462</v>
      </c>
      <c r="DZ143" s="1061">
        <f>+DW147</f>
        <v>19322.811417613462</v>
      </c>
      <c r="EA143" s="53">
        <f>+DZ147</f>
        <v>21126.410725342528</v>
      </c>
      <c r="EB143" s="32">
        <f>+EA147</f>
        <v>22444.409934425388</v>
      </c>
      <c r="EC143" s="1061">
        <f>+DZ147</f>
        <v>21126.410725342528</v>
      </c>
      <c r="ED143" s="53">
        <f>+EC147</f>
        <v>23224.824301618275</v>
      </c>
      <c r="EE143" s="32">
        <f>+ED147</f>
        <v>24782.545402353819</v>
      </c>
      <c r="EF143" s="1061">
        <f>+EC147</f>
        <v>23224.824301618275</v>
      </c>
      <c r="EG143" s="53">
        <f>+EF147</f>
        <v>25630.562243868408</v>
      </c>
      <c r="EH143" s="32">
        <f>+EG147</f>
        <v>27318.771339611565</v>
      </c>
      <c r="EI143" s="1061">
        <f>+EF147</f>
        <v>25630.562243868408</v>
      </c>
      <c r="EJ143" s="53">
        <f>+EI147</f>
        <v>28288.244486766926</v>
      </c>
      <c r="EK143" s="32">
        <f>+EJ147</f>
        <v>30101.467143174439</v>
      </c>
      <c r="EL143" s="1061">
        <f>+EI147</f>
        <v>28288.244486766926</v>
      </c>
      <c r="EM143" s="53">
        <f>+EL147</f>
        <v>31209.100525890834</v>
      </c>
      <c r="EN143" s="32">
        <f>+EM147</f>
        <v>33176.860898417253</v>
      </c>
      <c r="EO143" s="1061">
        <f>+EL147</f>
        <v>31209.100525890834</v>
      </c>
      <c r="EP143" s="53">
        <f>+EO147</f>
        <v>34402.576586194045</v>
      </c>
      <c r="EQ143" s="32">
        <f>+EP147</f>
        <v>36516.780624421241</v>
      </c>
      <c r="ER143" s="1061">
        <f>+EO147</f>
        <v>34402.576586194045</v>
      </c>
      <c r="ES143" s="53">
        <f>+ER147</f>
        <v>37891.744012700183</v>
      </c>
      <c r="ET143" s="32">
        <f>+ES147</f>
        <v>40127.374814751463</v>
      </c>
      <c r="EU143" s="1061">
        <f>+ER147</f>
        <v>37891.744012700183</v>
      </c>
      <c r="EV143" s="53">
        <f>+EU147</f>
        <v>41637.659042937841</v>
      </c>
      <c r="EW143" s="32">
        <f>+EV147</f>
        <v>43983.436017562468</v>
      </c>
      <c r="EX143" s="1061">
        <f>+EU147</f>
        <v>41637.659042937841</v>
      </c>
      <c r="EY143" s="53">
        <f>+EX147</f>
        <v>45612.13064098102</v>
      </c>
      <c r="EZ143" s="32">
        <f>+EY147</f>
        <v>48093.794870398451</v>
      </c>
      <c r="FA143" s="1061">
        <f>+EX147</f>
        <v>45612.13064098102</v>
      </c>
      <c r="FD143"/>
      <c r="FE143"/>
      <c r="FF143"/>
      <c r="FG143"/>
      <c r="FH143"/>
      <c r="FI143"/>
    </row>
    <row r="144" spans="2:169" s="33" customFormat="1" outlineLevel="1">
      <c r="B144" s="54" t="s">
        <v>721</v>
      </c>
      <c r="C144" s="54"/>
      <c r="D144" s="2" t="s">
        <v>506</v>
      </c>
      <c r="E144" s="32">
        <f t="shared" ref="E144:AI144" si="361">+E143+E140</f>
        <v>0</v>
      </c>
      <c r="F144" s="32">
        <f t="shared" si="361"/>
        <v>0</v>
      </c>
      <c r="G144" s="32">
        <f t="shared" si="361"/>
        <v>0</v>
      </c>
      <c r="H144" s="32">
        <f t="shared" si="361"/>
        <v>0</v>
      </c>
      <c r="I144" s="32">
        <f t="shared" si="361"/>
        <v>0</v>
      </c>
      <c r="J144" s="32">
        <f t="shared" si="361"/>
        <v>0</v>
      </c>
      <c r="K144" s="32">
        <f t="shared" si="361"/>
        <v>0</v>
      </c>
      <c r="L144" s="32">
        <f t="shared" si="361"/>
        <v>0</v>
      </c>
      <c r="M144" s="32">
        <f t="shared" si="361"/>
        <v>0</v>
      </c>
      <c r="N144" s="32">
        <f t="shared" si="361"/>
        <v>0</v>
      </c>
      <c r="O144" s="32">
        <f t="shared" si="361"/>
        <v>0</v>
      </c>
      <c r="P144" s="32">
        <f t="shared" si="361"/>
        <v>0</v>
      </c>
      <c r="Q144" s="32">
        <f t="shared" si="361"/>
        <v>0</v>
      </c>
      <c r="R144" s="32">
        <f t="shared" si="361"/>
        <v>0</v>
      </c>
      <c r="S144" s="32">
        <f t="shared" si="361"/>
        <v>0</v>
      </c>
      <c r="T144" s="32">
        <f t="shared" si="361"/>
        <v>0</v>
      </c>
      <c r="U144" s="32">
        <f t="shared" si="361"/>
        <v>0</v>
      </c>
      <c r="V144" s="32">
        <f t="shared" si="361"/>
        <v>0</v>
      </c>
      <c r="W144" s="32">
        <f t="shared" si="361"/>
        <v>0</v>
      </c>
      <c r="X144" s="32">
        <f t="shared" si="361"/>
        <v>0</v>
      </c>
      <c r="Y144" s="32">
        <f t="shared" si="361"/>
        <v>0</v>
      </c>
      <c r="Z144" s="32">
        <f t="shared" si="361"/>
        <v>0</v>
      </c>
      <c r="AA144" s="32">
        <f t="shared" si="361"/>
        <v>0</v>
      </c>
      <c r="AB144" s="32">
        <f t="shared" si="361"/>
        <v>0</v>
      </c>
      <c r="AC144" s="32">
        <f t="shared" si="361"/>
        <v>0</v>
      </c>
      <c r="AD144" s="32">
        <f t="shared" si="361"/>
        <v>0</v>
      </c>
      <c r="AE144" s="32">
        <f t="shared" si="361"/>
        <v>0</v>
      </c>
      <c r="AF144" s="32">
        <f t="shared" si="361"/>
        <v>0</v>
      </c>
      <c r="AG144" s="32">
        <f t="shared" si="361"/>
        <v>0</v>
      </c>
      <c r="AH144" s="32">
        <f t="shared" si="361"/>
        <v>0</v>
      </c>
      <c r="AI144" s="32">
        <f t="shared" si="361"/>
        <v>0</v>
      </c>
      <c r="AJ144" s="32"/>
      <c r="AK144" s="32"/>
      <c r="AL144" s="32">
        <f t="shared" ref="AL144:BP144" si="362">+AL143+AL140</f>
        <v>76.667000000000002</v>
      </c>
      <c r="AM144" s="32">
        <f t="shared" si="362"/>
        <v>105.66200000000001</v>
      </c>
      <c r="AN144" s="32">
        <f t="shared" si="362"/>
        <v>105.66200000000001</v>
      </c>
      <c r="AO144" s="32">
        <f t="shared" si="362"/>
        <v>101.209</v>
      </c>
      <c r="AP144" s="32">
        <f t="shared" si="362"/>
        <v>116.764</v>
      </c>
      <c r="AQ144" s="32">
        <f t="shared" si="362"/>
        <v>123.914</v>
      </c>
      <c r="AR144" s="32">
        <f t="shared" si="362"/>
        <v>121.49799999999999</v>
      </c>
      <c r="AS144" s="32">
        <f t="shared" si="362"/>
        <v>136.666</v>
      </c>
      <c r="AT144" s="32">
        <f t="shared" si="362"/>
        <v>144.66800000000001</v>
      </c>
      <c r="AU144" s="32">
        <f t="shared" si="362"/>
        <v>141.07299999999998</v>
      </c>
      <c r="AV144" s="32">
        <f t="shared" si="362"/>
        <v>159.76799999999997</v>
      </c>
      <c r="AW144" s="32">
        <f t="shared" si="362"/>
        <v>168.98399999999998</v>
      </c>
      <c r="AX144" s="32">
        <f t="shared" si="362"/>
        <v>163.16300000000001</v>
      </c>
      <c r="AY144" s="32">
        <f t="shared" si="362"/>
        <v>188.358</v>
      </c>
      <c r="AZ144" s="32">
        <f t="shared" si="362"/>
        <v>198.95499999999998</v>
      </c>
      <c r="BA144" s="32">
        <f t="shared" si="362"/>
        <v>193.13400000000001</v>
      </c>
      <c r="BB144" s="32">
        <f t="shared" si="362"/>
        <v>203.63439966000004</v>
      </c>
      <c r="BC144" s="32">
        <f t="shared" si="362"/>
        <v>244.12200000000001</v>
      </c>
      <c r="BD144" s="32">
        <f t="shared" si="362"/>
        <v>235.60011901333334</v>
      </c>
      <c r="BE144" s="32">
        <f t="shared" si="362"/>
        <v>281.36311901333335</v>
      </c>
      <c r="BF144" s="32">
        <f t="shared" si="362"/>
        <v>301.86711901333331</v>
      </c>
      <c r="BG144" s="32">
        <f t="shared" si="362"/>
        <v>319.30600000000004</v>
      </c>
      <c r="BH144" s="32">
        <f t="shared" si="362"/>
        <v>349.56900000000002</v>
      </c>
      <c r="BI144" s="32">
        <f t="shared" si="362"/>
        <v>324.07082751333331</v>
      </c>
      <c r="BJ144" s="32">
        <f t="shared" si="362"/>
        <v>329.72482751333331</v>
      </c>
      <c r="BK144" s="32">
        <f t="shared" si="362"/>
        <v>307.03682751333332</v>
      </c>
      <c r="BL144" s="32">
        <f t="shared" si="362"/>
        <v>304.3428275133333</v>
      </c>
      <c r="BM144" s="32">
        <f t="shared" si="362"/>
        <v>417.59887151333339</v>
      </c>
      <c r="BN144" s="32">
        <f t="shared" si="362"/>
        <v>774.26887151333335</v>
      </c>
      <c r="BO144" s="32">
        <f t="shared" si="362"/>
        <v>804.00587151333343</v>
      </c>
      <c r="BP144" s="32">
        <f t="shared" si="362"/>
        <v>873.88387151333336</v>
      </c>
      <c r="BQ144" s="32">
        <f t="shared" ref="BQ144:CV144" si="363">+BQ143+BQ140</f>
        <v>814.81787151333344</v>
      </c>
      <c r="BR144" s="32">
        <f t="shared" si="363"/>
        <v>814.81787151333344</v>
      </c>
      <c r="BS144" s="32">
        <f t="shared" si="363"/>
        <v>947.70987151333338</v>
      </c>
      <c r="BT144" s="32">
        <f t="shared" si="363"/>
        <v>1156.7968715133334</v>
      </c>
      <c r="BU144" s="32">
        <f t="shared" si="363"/>
        <v>1229.7228715133333</v>
      </c>
      <c r="BV144" s="32">
        <f t="shared" si="363"/>
        <v>1415.9168715133333</v>
      </c>
      <c r="BW144" s="32">
        <f t="shared" si="363"/>
        <v>1668.1508715133334</v>
      </c>
      <c r="BX144" s="32">
        <f t="shared" si="363"/>
        <v>1768.9908715133333</v>
      </c>
      <c r="BY144" s="32">
        <f t="shared" si="363"/>
        <v>2043.4168715133333</v>
      </c>
      <c r="BZ144" s="32">
        <f t="shared" si="363"/>
        <v>2422.9438715133333</v>
      </c>
      <c r="CA144" s="32">
        <f t="shared" si="363"/>
        <v>2561.4538715133331</v>
      </c>
      <c r="CB144" s="32">
        <f t="shared" si="363"/>
        <v>3178.8478715133333</v>
      </c>
      <c r="CC144" s="32">
        <f t="shared" si="363"/>
        <v>3378.6898715133329</v>
      </c>
      <c r="CD144" s="32">
        <f t="shared" si="363"/>
        <v>3614.3548715133329</v>
      </c>
      <c r="CE144" s="32">
        <f t="shared" si="363"/>
        <v>3685.0928715133332</v>
      </c>
      <c r="CF144" s="32">
        <f t="shared" si="363"/>
        <v>3877.9898715133331</v>
      </c>
      <c r="CG144" s="32">
        <f t="shared" si="363"/>
        <v>4125.4788715133327</v>
      </c>
      <c r="CH144" s="32">
        <f t="shared" si="363"/>
        <v>4193.8968715133324</v>
      </c>
      <c r="CI144" s="32">
        <f t="shared" si="363"/>
        <v>4482.4968715133327</v>
      </c>
      <c r="CJ144" s="32">
        <f t="shared" si="363"/>
        <v>4713.4968715133327</v>
      </c>
      <c r="CK144" s="32">
        <f t="shared" si="363"/>
        <v>4913.796871513332</v>
      </c>
      <c r="CL144" s="32">
        <f t="shared" si="363"/>
        <v>5258.3968715133324</v>
      </c>
      <c r="CM144" s="32">
        <f t="shared" si="363"/>
        <v>5505.4968715133327</v>
      </c>
      <c r="CN144" s="32">
        <f t="shared" si="363"/>
        <v>5651.7968715133329</v>
      </c>
      <c r="CO144" s="32">
        <f t="shared" si="363"/>
        <v>6057.2968715133329</v>
      </c>
      <c r="CP144" s="32">
        <f t="shared" si="363"/>
        <v>6313.0968715133331</v>
      </c>
      <c r="CQ144" s="32">
        <f t="shared" si="363"/>
        <v>6483.7968715133329</v>
      </c>
      <c r="CR144" s="32">
        <f t="shared" si="363"/>
        <v>6902.1968715133335</v>
      </c>
      <c r="CS144" s="32">
        <f t="shared" si="363"/>
        <v>7170.5968715133331</v>
      </c>
      <c r="CT144" s="32">
        <f t="shared" si="363"/>
        <v>7353.9968715133336</v>
      </c>
      <c r="CU144" s="32">
        <f t="shared" si="363"/>
        <v>7584.1968715133344</v>
      </c>
      <c r="CV144" s="32">
        <f t="shared" si="363"/>
        <v>7877.5968715133331</v>
      </c>
      <c r="CW144" s="32">
        <f t="shared" ref="CW144:DQ144" si="364">+CW143+CW140</f>
        <v>8104.0968715133331</v>
      </c>
      <c r="CX144" s="32">
        <f t="shared" si="364"/>
        <v>8326.011417613463</v>
      </c>
      <c r="CY144" s="32">
        <f t="shared" si="364"/>
        <v>8636.011417613463</v>
      </c>
      <c r="CZ144" s="32">
        <f t="shared" si="364"/>
        <v>9120.9114176134626</v>
      </c>
      <c r="DA144" s="32">
        <f t="shared" si="364"/>
        <v>9439.9114176134626</v>
      </c>
      <c r="DB144" s="32">
        <f t="shared" si="364"/>
        <v>9763.511417613463</v>
      </c>
      <c r="DC144" s="32">
        <f t="shared" si="364"/>
        <v>10252.011417613463</v>
      </c>
      <c r="DD144" s="32">
        <f t="shared" si="364"/>
        <v>10589.711417613464</v>
      </c>
      <c r="DE144" s="1061">
        <f t="shared" si="364"/>
        <v>11010.011417613463</v>
      </c>
      <c r="DF144" s="32">
        <f t="shared" si="364"/>
        <v>11451.211417613464</v>
      </c>
      <c r="DG144" s="32">
        <f t="shared" si="364"/>
        <v>11851.811417613464</v>
      </c>
      <c r="DH144" s="1061">
        <f t="shared" si="364"/>
        <v>12305.711417613464</v>
      </c>
      <c r="DI144" s="32">
        <f t="shared" si="364"/>
        <v>13232.611417613463</v>
      </c>
      <c r="DJ144" s="32">
        <f t="shared" si="364"/>
        <v>13329.111417613462</v>
      </c>
      <c r="DK144" s="1061">
        <f t="shared" si="364"/>
        <v>13813.811417613462</v>
      </c>
      <c r="DL144" s="32">
        <f t="shared" si="364"/>
        <v>14632.811417613462</v>
      </c>
      <c r="DM144" s="32">
        <f t="shared" si="364"/>
        <v>14698.811417613462</v>
      </c>
      <c r="DN144" s="1061">
        <f t="shared" si="364"/>
        <v>15236.511417613463</v>
      </c>
      <c r="DO144" s="32">
        <f t="shared" si="364"/>
        <v>16016.211417613462</v>
      </c>
      <c r="DP144" s="32">
        <f t="shared" si="364"/>
        <v>16238.811417613462</v>
      </c>
      <c r="DQ144" s="1061">
        <f t="shared" si="364"/>
        <v>16807.811417613462</v>
      </c>
      <c r="DR144" s="32">
        <f t="shared" ref="DR144:DZ144" si="365">+DR143+DR140</f>
        <v>17739.816497613461</v>
      </c>
      <c r="DS144" s="32">
        <f t="shared" si="365"/>
        <v>17932.811417613462</v>
      </c>
      <c r="DT144" s="1061">
        <f t="shared" si="365"/>
        <v>18629.811417613462</v>
      </c>
      <c r="DU144" s="32">
        <f t="shared" si="365"/>
        <v>19511.811417613462</v>
      </c>
      <c r="DV144" s="32">
        <f>+DV143+DV140</f>
        <v>19853.811417613462</v>
      </c>
      <c r="DW144" s="1061">
        <f>+DW143+DW140</f>
        <v>20656.811417613462</v>
      </c>
      <c r="DX144" s="32">
        <f t="shared" ref="DX144" si="366">+DX143+DX140</f>
        <v>21268.811417613462</v>
      </c>
      <c r="DY144" s="32">
        <f t="shared" si="365"/>
        <v>21804.669119861654</v>
      </c>
      <c r="DZ144" s="1061">
        <f t="shared" si="365"/>
        <v>22745.669119861654</v>
      </c>
      <c r="EA144" s="32">
        <f t="shared" ref="EA144:EF144" si="367">+EA143+EA140</f>
        <v>23250.352819218577</v>
      </c>
      <c r="EB144" s="32">
        <f t="shared" si="367"/>
        <v>23965.076669415819</v>
      </c>
      <c r="EC144" s="1061">
        <f t="shared" si="367"/>
        <v>24771.019554209008</v>
      </c>
      <c r="ED144" s="32">
        <f t="shared" si="367"/>
        <v>25536.828159944791</v>
      </c>
      <c r="EE144" s="32">
        <f t="shared" si="367"/>
        <v>26436.33379561748</v>
      </c>
      <c r="EF144" s="1061">
        <f t="shared" si="367"/>
        <v>27190.616553208456</v>
      </c>
      <c r="EG144" s="32">
        <f t="shared" ref="EG144:EL144" si="368">+EG143+EG140</f>
        <v>28139.349023388462</v>
      </c>
      <c r="EH144" s="32">
        <f t="shared" si="368"/>
        <v>29162.586471630988</v>
      </c>
      <c r="EI144" s="1061">
        <f t="shared" si="368"/>
        <v>29983.164155407889</v>
      </c>
      <c r="EJ144" s="32">
        <f t="shared" si="368"/>
        <v>31019.751036284339</v>
      </c>
      <c r="EK144" s="32">
        <f t="shared" si="368"/>
        <v>32161.065722671301</v>
      </c>
      <c r="EL144" s="1061">
        <f t="shared" si="368"/>
        <v>33079.349615781204</v>
      </c>
      <c r="EM144" s="32">
        <f t="shared" ref="EM144:ER144" si="369">+EM143+EM140</f>
        <v>34202.606825158779</v>
      </c>
      <c r="EN144" s="32">
        <f t="shared" si="369"/>
        <v>35445.855053463965</v>
      </c>
      <c r="EO144" s="1061">
        <f t="shared" si="369"/>
        <v>36471.60098020549</v>
      </c>
      <c r="EP144" s="32">
        <f t="shared" si="369"/>
        <v>37646.81339093631</v>
      </c>
      <c r="EQ144" s="32">
        <f t="shared" si="369"/>
        <v>39022.408769425769</v>
      </c>
      <c r="ER144" s="1061">
        <f t="shared" si="369"/>
        <v>40152.441535940838</v>
      </c>
      <c r="ES144" s="32">
        <f t="shared" ref="ES144:FA144" si="370">+ES143+ES140</f>
        <v>41375.255087159581</v>
      </c>
      <c r="ET144" s="32">
        <f t="shared" si="370"/>
        <v>42851.717903928089</v>
      </c>
      <c r="EU144" s="1061">
        <f t="shared" si="370"/>
        <v>44099.598176336214</v>
      </c>
      <c r="EV144" s="32">
        <f t="shared" si="370"/>
        <v>45340.241538279144</v>
      </c>
      <c r="EW144" s="32">
        <f t="shared" si="370"/>
        <v>46902.543043847443</v>
      </c>
      <c r="EX144" s="1061">
        <f t="shared" si="370"/>
        <v>48259.348564564119</v>
      </c>
      <c r="EY144" s="32">
        <f t="shared" si="370"/>
        <v>49547.599078316322</v>
      </c>
      <c r="EZ144" s="32">
        <f t="shared" si="370"/>
        <v>51220.641946639764</v>
      </c>
      <c r="FA144" s="1061">
        <f t="shared" si="370"/>
        <v>52674.446154557634</v>
      </c>
      <c r="FD144"/>
      <c r="FE144"/>
      <c r="FF144"/>
      <c r="FG144"/>
      <c r="FH144"/>
      <c r="FI144"/>
    </row>
    <row r="145" spans="1:169" s="33" customFormat="1" outlineLevel="1">
      <c r="B145" s="54" t="s">
        <v>722</v>
      </c>
      <c r="C145" s="54"/>
      <c r="D145" s="2" t="s">
        <v>506</v>
      </c>
      <c r="E145" s="32">
        <f>+E342</f>
        <v>0</v>
      </c>
      <c r="F145" s="32">
        <f>+G145-E145</f>
        <v>0</v>
      </c>
      <c r="G145" s="32">
        <f>+G342</f>
        <v>0</v>
      </c>
      <c r="H145" s="32">
        <f>+H342</f>
        <v>0</v>
      </c>
      <c r="I145" s="32">
        <f>+J145-H145</f>
        <v>0</v>
      </c>
      <c r="J145" s="32">
        <f>+J342</f>
        <v>0</v>
      </c>
      <c r="K145" s="32">
        <f>+K342</f>
        <v>0</v>
      </c>
      <c r="L145" s="32">
        <f>+M145-K145</f>
        <v>0</v>
      </c>
      <c r="M145" s="32">
        <f>+M342</f>
        <v>0</v>
      </c>
      <c r="N145" s="32">
        <f>+N342</f>
        <v>0</v>
      </c>
      <c r="O145" s="32">
        <f>+P145-N145</f>
        <v>0</v>
      </c>
      <c r="P145" s="32">
        <f>+P342</f>
        <v>0</v>
      </c>
      <c r="Q145" s="32">
        <f>+Q342</f>
        <v>0</v>
      </c>
      <c r="R145" s="32">
        <f>+S145-Q145</f>
        <v>0</v>
      </c>
      <c r="S145" s="32">
        <f>+S342</f>
        <v>0</v>
      </c>
      <c r="T145" s="32">
        <f>+T342</f>
        <v>0</v>
      </c>
      <c r="U145" s="32">
        <f>+V145-T145</f>
        <v>0</v>
      </c>
      <c r="V145" s="32">
        <f>+V342</f>
        <v>0</v>
      </c>
      <c r="W145" s="32">
        <f>+W342</f>
        <v>0</v>
      </c>
      <c r="X145" s="32">
        <f>+Y145-W145</f>
        <v>0</v>
      </c>
      <c r="Y145" s="32">
        <f>+Y342</f>
        <v>0</v>
      </c>
      <c r="Z145" s="32">
        <f>+Z342</f>
        <v>0</v>
      </c>
      <c r="AA145" s="32">
        <f>+AB145-Z145</f>
        <v>0</v>
      </c>
      <c r="AB145" s="32">
        <f>+AB342</f>
        <v>0</v>
      </c>
      <c r="AC145" s="32">
        <f>+AC342</f>
        <v>0</v>
      </c>
      <c r="AD145" s="32">
        <f>+AE145-AC145</f>
        <v>0</v>
      </c>
      <c r="AE145" s="32">
        <f>+AE342</f>
        <v>0</v>
      </c>
      <c r="AF145" s="32">
        <f>+AF342</f>
        <v>0</v>
      </c>
      <c r="AG145" s="32">
        <f>+AH145-AF145</f>
        <v>0</v>
      </c>
      <c r="AH145" s="32">
        <f>+AH342</f>
        <v>0</v>
      </c>
      <c r="AI145" s="32">
        <f>+AI342</f>
        <v>0</v>
      </c>
      <c r="AJ145" s="32">
        <f>+AK145-AI145</f>
        <v>0</v>
      </c>
      <c r="AK145" s="32">
        <f>+AK342</f>
        <v>0</v>
      </c>
      <c r="AL145" s="32">
        <f>+AL342</f>
        <v>0</v>
      </c>
      <c r="AM145" s="32">
        <f>+AN145-AL145</f>
        <v>16.899999999999999</v>
      </c>
      <c r="AN145" s="32">
        <f>+AN342</f>
        <v>16.899999999999999</v>
      </c>
      <c r="AO145" s="32">
        <f>+AO342</f>
        <v>7.15</v>
      </c>
      <c r="AP145" s="32">
        <f>+AQ145-AO145</f>
        <v>12.999999999999998</v>
      </c>
      <c r="AQ145" s="32">
        <f>+AQ342</f>
        <v>20.149999999999999</v>
      </c>
      <c r="AR145" s="32">
        <f>+AR342</f>
        <v>8.0020000000000007</v>
      </c>
      <c r="AS145" s="32">
        <f>+AT145-AR145</f>
        <v>15.750999999999999</v>
      </c>
      <c r="AT145" s="32">
        <f>+AT342</f>
        <v>23.753</v>
      </c>
      <c r="AU145" s="32">
        <f>+AU342</f>
        <v>9.2159999999999993</v>
      </c>
      <c r="AV145" s="32">
        <f>+AW145-AU145</f>
        <v>18.478000000000002</v>
      </c>
      <c r="AW145" s="32">
        <f>+AW342</f>
        <v>27.693999999999999</v>
      </c>
      <c r="AX145" s="32">
        <f>+AX342</f>
        <v>10.597</v>
      </c>
      <c r="AY145" s="32">
        <f>+AZ145-AX145</f>
        <v>18.546999999999997</v>
      </c>
      <c r="AZ145" s="32">
        <f>+AZ342</f>
        <v>29.143999999999998</v>
      </c>
      <c r="BA145" s="32">
        <f>+BA342</f>
        <v>40.48760034</v>
      </c>
      <c r="BB145" s="32">
        <f>+BC145-BA145</f>
        <v>25.57528064666667</v>
      </c>
      <c r="BC145" s="32">
        <f>+BC342</f>
        <v>66.06288098666667</v>
      </c>
      <c r="BD145" s="32">
        <f>+BD342</f>
        <v>20.504000000000001</v>
      </c>
      <c r="BE145" s="32">
        <f>+BF145-BD145</f>
        <v>33.333291500000001</v>
      </c>
      <c r="BF145" s="32">
        <f>+BF342</f>
        <v>53.837291499999999</v>
      </c>
      <c r="BG145" s="32">
        <f>+BG342</f>
        <v>34.923999999999999</v>
      </c>
      <c r="BH145" s="32">
        <f>+BI145-BG145</f>
        <v>19.167000000000002</v>
      </c>
      <c r="BI145" s="32">
        <f>+BI342</f>
        <v>54.091000000000001</v>
      </c>
      <c r="BJ145" s="32">
        <f>-BJ208</f>
        <v>22.687999999999999</v>
      </c>
      <c r="BK145" s="32">
        <f>+BL145-BJ145</f>
        <v>12.675999999999998</v>
      </c>
      <c r="BL145" s="32">
        <f>-BL208</f>
        <v>35.363999999999997</v>
      </c>
      <c r="BM145" s="32">
        <f>-BM208</f>
        <v>29.736999999999998</v>
      </c>
      <c r="BN145" s="32">
        <f>+BO145-BM145</f>
        <v>55.213999999999999</v>
      </c>
      <c r="BO145" s="1064">
        <v>84.950999999999993</v>
      </c>
      <c r="BP145" s="32">
        <f>-BP208</f>
        <v>0</v>
      </c>
      <c r="BQ145" s="32">
        <f>+BR145-BP145</f>
        <v>124.39400000000001</v>
      </c>
      <c r="BR145" s="32">
        <f>-BR208</f>
        <v>124.39400000000001</v>
      </c>
      <c r="BS145" s="32">
        <f>-BS208</f>
        <v>72.926000000000002</v>
      </c>
      <c r="BT145" s="32">
        <f>+BU145-BS145</f>
        <v>89.60799999999999</v>
      </c>
      <c r="BU145" s="32">
        <f>-BU208</f>
        <v>162.53399999999999</v>
      </c>
      <c r="BV145" s="32">
        <f>-BV208</f>
        <v>100.84</v>
      </c>
      <c r="BW145" s="32">
        <f>+BX145-BV145</f>
        <v>126.59100000000001</v>
      </c>
      <c r="BX145" s="32">
        <f>-BX208</f>
        <v>227.43100000000001</v>
      </c>
      <c r="BY145" s="32">
        <f>-BY208</f>
        <v>138.51</v>
      </c>
      <c r="BZ145" s="32">
        <f>+CA145-BY145</f>
        <v>-138.51</v>
      </c>
      <c r="CA145" s="32">
        <f>-CA208</f>
        <v>0</v>
      </c>
      <c r="CB145" s="32">
        <f>-CB208</f>
        <v>235.66499999999999</v>
      </c>
      <c r="CC145" s="32">
        <f>+CD145-CB145</f>
        <v>193.81199999999998</v>
      </c>
      <c r="CD145" s="32">
        <f>-CD208</f>
        <v>429.47699999999998</v>
      </c>
      <c r="CE145" s="32">
        <f>-CE208</f>
        <v>247.489</v>
      </c>
      <c r="CF145" s="32">
        <f>+CG145-CE145</f>
        <v>188.393</v>
      </c>
      <c r="CG145" s="32">
        <f>-CG208</f>
        <v>435.88200000000001</v>
      </c>
      <c r="CH145" s="32">
        <f>-CH208</f>
        <v>231</v>
      </c>
      <c r="CI145" s="32">
        <f>+CJ145-CH145</f>
        <v>193.3</v>
      </c>
      <c r="CJ145" s="32">
        <f>-CJ208</f>
        <v>424.3</v>
      </c>
      <c r="CK145" s="32">
        <f>-CK208</f>
        <v>247.1</v>
      </c>
      <c r="CL145" s="32">
        <f>+CM145-CK145</f>
        <v>252.29999999999998</v>
      </c>
      <c r="CM145" s="32">
        <f>-CM208</f>
        <v>499.4</v>
      </c>
      <c r="CN145" s="32">
        <f>-CN208</f>
        <v>255.8</v>
      </c>
      <c r="CO145" s="32">
        <f>+CP145-CN145</f>
        <v>265.7</v>
      </c>
      <c r="CP145" s="32">
        <f>-CP208</f>
        <v>521.5</v>
      </c>
      <c r="CQ145" s="32">
        <f>-CQ208</f>
        <v>268.39999999999998</v>
      </c>
      <c r="CR145" s="32">
        <f>+CS145-CQ145</f>
        <v>267</v>
      </c>
      <c r="CS145" s="32">
        <f>-CS208</f>
        <v>535.4</v>
      </c>
      <c r="CT145" s="32">
        <f>-CT208</f>
        <v>293.39999999999998</v>
      </c>
      <c r="CU145" s="32">
        <f>+CV145-CT145</f>
        <v>285.60000000000002</v>
      </c>
      <c r="CV145" s="32">
        <f>-CV208</f>
        <v>579</v>
      </c>
      <c r="CW145" s="32">
        <f>-CW208</f>
        <v>310</v>
      </c>
      <c r="CX145" s="32">
        <f>+CY145-CW145</f>
        <v>291.39999999999998</v>
      </c>
      <c r="CY145" s="32">
        <f>-CY208</f>
        <v>601.4</v>
      </c>
      <c r="CZ145" s="32">
        <f>-CZ208</f>
        <v>323.60000000000002</v>
      </c>
      <c r="DA145" s="32">
        <f>+DB145-CZ145</f>
        <v>348.6</v>
      </c>
      <c r="DB145" s="32">
        <f>-DB208</f>
        <v>672.2</v>
      </c>
      <c r="DC145" s="32">
        <f>-DC208</f>
        <v>420.3</v>
      </c>
      <c r="DD145" s="32">
        <f>+DE145-DC145</f>
        <v>386.49999999999994</v>
      </c>
      <c r="DE145" s="1061">
        <f>-DE208</f>
        <v>806.8</v>
      </c>
      <c r="DF145" s="32">
        <f>-DF208</f>
        <v>453.9</v>
      </c>
      <c r="DG145" s="32">
        <f>+DH145-DF145</f>
        <v>429.20000000000005</v>
      </c>
      <c r="DH145" s="1061">
        <f>-DH208</f>
        <v>883.1</v>
      </c>
      <c r="DI145" s="32">
        <f>-DI208</f>
        <v>484.7</v>
      </c>
      <c r="DJ145" s="32">
        <f>+DK145-DI145</f>
        <v>473.3</v>
      </c>
      <c r="DK145" s="1061">
        <f>-DK208</f>
        <v>958</v>
      </c>
      <c r="DL145" s="32">
        <f>-DL208</f>
        <v>537.70000000000005</v>
      </c>
      <c r="DM145" s="32">
        <f>+DN145-DL145</f>
        <v>501</v>
      </c>
      <c r="DN145" s="1061">
        <f>-DN208</f>
        <v>1038.7</v>
      </c>
      <c r="DO145" s="32">
        <f>-DO208</f>
        <v>569</v>
      </c>
      <c r="DP145" s="32">
        <f>+DQ145-DO145</f>
        <v>516</v>
      </c>
      <c r="DQ145" s="1061">
        <f>-DQ208</f>
        <v>1085</v>
      </c>
      <c r="DR145" s="32">
        <f>-DR208</f>
        <v>697</v>
      </c>
      <c r="DS145" s="32">
        <f>+DT145-DR145</f>
        <v>495</v>
      </c>
      <c r="DT145" s="1061">
        <f>-DT208</f>
        <v>1192</v>
      </c>
      <c r="DU145" s="32">
        <f>-DU208</f>
        <v>803</v>
      </c>
      <c r="DV145" s="32">
        <f>+DW145-DU145</f>
        <v>531</v>
      </c>
      <c r="DW145" s="1061">
        <f>-DW208</f>
        <v>1334</v>
      </c>
      <c r="DX145" s="32">
        <f>-DX208</f>
        <v>941</v>
      </c>
      <c r="DY145" s="32">
        <f>+DZ145-DX145</f>
        <v>678.25839451912657</v>
      </c>
      <c r="DZ145" s="1061">
        <f>-DZ208</f>
        <v>1619.2583945191266</v>
      </c>
      <c r="EA145" s="32">
        <f>-EA208</f>
        <v>805.94288479318925</v>
      </c>
      <c r="EB145" s="32">
        <f>+EC145-EA145</f>
        <v>740.25236779754505</v>
      </c>
      <c r="EC145" s="1061">
        <f>-EC208</f>
        <v>1546.1952525907343</v>
      </c>
      <c r="ED145" s="32">
        <f>-ED208</f>
        <v>754.28275759097141</v>
      </c>
      <c r="EE145" s="32">
        <f>+EF145-ED145</f>
        <v>805.77155174907875</v>
      </c>
      <c r="EF145" s="1061">
        <f>-EF208</f>
        <v>1560.0543093400502</v>
      </c>
      <c r="EG145" s="32">
        <f>-EG208</f>
        <v>820.57768377689672</v>
      </c>
      <c r="EH145" s="32">
        <f>+EI145-EG145</f>
        <v>874.34198486406808</v>
      </c>
      <c r="EI145" s="1061">
        <f>-EI208</f>
        <v>1694.9196686409648</v>
      </c>
      <c r="EJ145" s="32">
        <f>-EJ208</f>
        <v>918.28389310989928</v>
      </c>
      <c r="EK145" s="32">
        <f>+EL145-EJ145</f>
        <v>951.96519678047321</v>
      </c>
      <c r="EL145" s="1061">
        <f>-EL208</f>
        <v>1870.2490898903725</v>
      </c>
      <c r="EM145" s="32">
        <f>-EM208</f>
        <v>1025.7459267415259</v>
      </c>
      <c r="EN145" s="32">
        <f>+EO145-EM145</f>
        <v>1043.278467269922</v>
      </c>
      <c r="EO145" s="1061">
        <f>-EO208</f>
        <v>2069.0243940114478</v>
      </c>
      <c r="EP145" s="32">
        <f>-EP208</f>
        <v>1130.0327665150662</v>
      </c>
      <c r="EQ145" s="32">
        <f>+ER145-EP145</f>
        <v>1130.6647567255873</v>
      </c>
      <c r="ER145" s="1061">
        <f>-ER208</f>
        <v>2260.6975232406535</v>
      </c>
      <c r="ES145" s="32">
        <f>-ES208</f>
        <v>1247.8802724081183</v>
      </c>
      <c r="ET145" s="32">
        <f>+EU145-ES145</f>
        <v>1214.058860990252</v>
      </c>
      <c r="EU145" s="1061">
        <f>-EU208</f>
        <v>2461.9391333983704</v>
      </c>
      <c r="EV145" s="32">
        <f>-EV208</f>
        <v>1356.8055207166788</v>
      </c>
      <c r="EW145" s="32">
        <f>+EX145-EV145</f>
        <v>1290.4124028664185</v>
      </c>
      <c r="EX145" s="1061">
        <f>-EX208</f>
        <v>2647.2179235830972</v>
      </c>
      <c r="EY145" s="32">
        <f>-EY208</f>
        <v>1453.8042079178697</v>
      </c>
      <c r="EZ145" s="32">
        <f>+FA145-EY145</f>
        <v>1371.5809817916027</v>
      </c>
      <c r="FA145" s="1061">
        <f>-FA208</f>
        <v>2825.3851897094723</v>
      </c>
      <c r="FD145"/>
      <c r="FE145"/>
      <c r="FF145"/>
      <c r="FG145"/>
      <c r="FH145"/>
      <c r="FI145"/>
    </row>
    <row r="146" spans="1:169" s="33" customFormat="1" outlineLevel="1">
      <c r="B146" s="54" t="s">
        <v>689</v>
      </c>
      <c r="C146" s="54"/>
      <c r="D146" s="2" t="s">
        <v>506</v>
      </c>
      <c r="E146" s="32"/>
      <c r="F146" s="32">
        <f>+G146-E146</f>
        <v>0</v>
      </c>
      <c r="G146" s="32"/>
      <c r="H146" s="32"/>
      <c r="I146" s="32">
        <f>+J146-H146</f>
        <v>0</v>
      </c>
      <c r="J146" s="32"/>
      <c r="K146" s="32"/>
      <c r="L146" s="32">
        <f>+M146-K146</f>
        <v>0</v>
      </c>
      <c r="M146" s="32"/>
      <c r="N146" s="32"/>
      <c r="O146" s="32">
        <f>+P146-N146</f>
        <v>0</v>
      </c>
      <c r="P146" s="32"/>
      <c r="Q146" s="32"/>
      <c r="R146" s="32">
        <f>+S146-Q146</f>
        <v>0</v>
      </c>
      <c r="S146" s="32"/>
      <c r="T146" s="32"/>
      <c r="U146" s="32">
        <f>+V146-T146</f>
        <v>0</v>
      </c>
      <c r="V146" s="32"/>
      <c r="W146" s="32"/>
      <c r="X146" s="32">
        <f>+Y146-W146</f>
        <v>0</v>
      </c>
      <c r="Y146" s="32"/>
      <c r="Z146" s="32"/>
      <c r="AA146" s="32">
        <f>+AB146-Z146</f>
        <v>0</v>
      </c>
      <c r="AB146" s="32"/>
      <c r="AC146" s="32"/>
      <c r="AD146" s="32">
        <f>+AE146-AC146</f>
        <v>0</v>
      </c>
      <c r="AE146" s="32"/>
      <c r="AF146" s="32"/>
      <c r="AG146" s="32">
        <f>+AH146-AF146</f>
        <v>0</v>
      </c>
      <c r="AH146" s="32"/>
      <c r="AI146" s="32"/>
      <c r="AJ146" s="32">
        <f>+AK146-AI146</f>
        <v>0</v>
      </c>
      <c r="AK146" s="32"/>
      <c r="AL146" s="32"/>
      <c r="AM146" s="32">
        <f>+AN146-AL146</f>
        <v>0</v>
      </c>
      <c r="AN146" s="32"/>
      <c r="AO146" s="32"/>
      <c r="AP146" s="32">
        <f>+AQ146-AO146</f>
        <v>0</v>
      </c>
      <c r="AQ146" s="32"/>
      <c r="AR146" s="32"/>
      <c r="AS146" s="32">
        <f>+AT146-AR146</f>
        <v>0</v>
      </c>
      <c r="AT146" s="1064">
        <v>0</v>
      </c>
      <c r="AU146" s="1064">
        <v>0</v>
      </c>
      <c r="AV146" s="32">
        <f>+AW146-AU146</f>
        <v>0</v>
      </c>
      <c r="AW146" s="1064">
        <v>0</v>
      </c>
      <c r="AX146" s="1064">
        <v>0</v>
      </c>
      <c r="AY146" s="32">
        <f>+AZ146-AX146</f>
        <v>0</v>
      </c>
      <c r="AZ146" s="1064">
        <v>0</v>
      </c>
      <c r="BA146" s="1064">
        <v>0</v>
      </c>
      <c r="BB146" s="32">
        <f>+BC146-BA146</f>
        <v>0</v>
      </c>
      <c r="BC146" s="1064">
        <v>0</v>
      </c>
      <c r="BD146" s="1064">
        <v>0</v>
      </c>
      <c r="BE146" s="32">
        <f>+BF146-BD146</f>
        <v>5.6180000000000003</v>
      </c>
      <c r="BF146" s="32">
        <f>5.618</f>
        <v>5.6180000000000003</v>
      </c>
      <c r="BG146" s="1064">
        <v>34.863999999999997</v>
      </c>
      <c r="BH146" s="32">
        <f>+BI146-BG146</f>
        <v>-0.50099999999999767</v>
      </c>
      <c r="BI146" s="32">
        <f>BG146-0.501</f>
        <v>34.363</v>
      </c>
      <c r="BJ146" s="1064">
        <v>0</v>
      </c>
      <c r="BK146" s="32">
        <f>+BL146-BJ146</f>
        <v>-11.490956000000001</v>
      </c>
      <c r="BL146" s="1064">
        <v>-11.490956000000001</v>
      </c>
      <c r="BM146" s="1064">
        <v>0</v>
      </c>
      <c r="BN146" s="32">
        <f>+BO146-BM146</f>
        <v>-21.594000000000001</v>
      </c>
      <c r="BO146" s="1064">
        <v>-21.594000000000001</v>
      </c>
      <c r="BP146" s="1064">
        <v>0</v>
      </c>
      <c r="BQ146" s="32">
        <f>+BR146-BP146</f>
        <v>0</v>
      </c>
      <c r="BR146" s="1064">
        <v>0</v>
      </c>
      <c r="BS146" s="1064">
        <v>0</v>
      </c>
      <c r="BT146" s="32">
        <f>+BU146-BS146</f>
        <v>0</v>
      </c>
      <c r="BU146" s="1064">
        <v>0</v>
      </c>
      <c r="BV146" s="1064">
        <v>0</v>
      </c>
      <c r="BW146" s="32">
        <f>+BX146-BV146</f>
        <v>0</v>
      </c>
      <c r="BX146" s="1064">
        <v>0</v>
      </c>
      <c r="BY146" s="1064">
        <v>0</v>
      </c>
      <c r="BZ146" s="32">
        <f>+CA146-BY146</f>
        <v>0</v>
      </c>
      <c r="CA146" s="1064">
        <v>0</v>
      </c>
      <c r="CB146" s="32"/>
      <c r="CC146" s="32">
        <f>+CD146-CB146</f>
        <v>0</v>
      </c>
      <c r="CD146" s="1064">
        <v>0</v>
      </c>
      <c r="CE146" s="1064">
        <v>0</v>
      </c>
      <c r="CF146" s="32">
        <f>+CG146-CE146</f>
        <v>0</v>
      </c>
      <c r="CG146" s="1064">
        <v>0</v>
      </c>
      <c r="CH146" s="1064">
        <v>0</v>
      </c>
      <c r="CI146" s="32">
        <f>+CJ146-CH146</f>
        <v>0</v>
      </c>
      <c r="CJ146" s="1064">
        <v>0</v>
      </c>
      <c r="CK146" s="1064">
        <v>0</v>
      </c>
      <c r="CL146" s="32">
        <f>+CM146-CK146</f>
        <v>0</v>
      </c>
      <c r="CM146" s="1064">
        <v>0</v>
      </c>
      <c r="CN146" s="1064">
        <v>0</v>
      </c>
      <c r="CO146" s="32">
        <f>+CP146-CN146</f>
        <v>0</v>
      </c>
      <c r="CP146" s="1064">
        <v>0</v>
      </c>
      <c r="CQ146" s="1064">
        <v>0</v>
      </c>
      <c r="CR146" s="32">
        <f>+CS146-CQ146</f>
        <v>0</v>
      </c>
      <c r="CS146" s="1064">
        <v>0</v>
      </c>
      <c r="CT146" s="1064">
        <v>0</v>
      </c>
      <c r="CU146" s="32">
        <f>+CV146-CT146</f>
        <v>0</v>
      </c>
      <c r="CV146" s="1064">
        <v>0</v>
      </c>
      <c r="CW146" s="1064">
        <v>0</v>
      </c>
      <c r="CX146" s="32">
        <f>+CY146-CW146</f>
        <v>0</v>
      </c>
      <c r="CY146" s="1064">
        <v>0</v>
      </c>
      <c r="CZ146" s="1064">
        <v>0</v>
      </c>
      <c r="DA146" s="32">
        <f>+DB146-CZ146</f>
        <v>0</v>
      </c>
      <c r="DB146" s="1064">
        <v>0</v>
      </c>
      <c r="DC146" s="1064">
        <v>0</v>
      </c>
      <c r="DD146" s="32">
        <f>+DE146-DC146</f>
        <v>0</v>
      </c>
      <c r="DE146" s="1095">
        <v>0</v>
      </c>
      <c r="DF146" s="1064">
        <v>0</v>
      </c>
      <c r="DG146" s="32">
        <f>+DH146-DF146</f>
        <v>0</v>
      </c>
      <c r="DH146" s="1095">
        <v>0</v>
      </c>
      <c r="DI146" s="1064">
        <v>0</v>
      </c>
      <c r="DJ146" s="32">
        <f>+DK146-DI146</f>
        <v>0</v>
      </c>
      <c r="DK146" s="1095">
        <v>0</v>
      </c>
      <c r="DL146" s="1064">
        <v>0</v>
      </c>
      <c r="DM146" s="32">
        <f>+DN146-DL146</f>
        <v>0</v>
      </c>
      <c r="DN146" s="1095">
        <v>0</v>
      </c>
      <c r="DO146" s="1064">
        <v>0</v>
      </c>
      <c r="DP146" s="32">
        <f>+DQ146-DO146</f>
        <v>0</v>
      </c>
      <c r="DQ146" s="1095">
        <v>0</v>
      </c>
      <c r="DR146" s="1064">
        <v>0</v>
      </c>
      <c r="DS146" s="32">
        <f>+DT146-DR146</f>
        <v>0</v>
      </c>
      <c r="DT146" s="1095">
        <v>0</v>
      </c>
      <c r="DU146" s="1064">
        <v>0</v>
      </c>
      <c r="DV146" s="32">
        <f>+DW146-DU146</f>
        <v>0</v>
      </c>
      <c r="DW146" s="1095">
        <v>0</v>
      </c>
      <c r="DX146" s="1064">
        <v>0</v>
      </c>
      <c r="DY146" s="32">
        <f>+DZ146-DX146</f>
        <v>0</v>
      </c>
      <c r="DZ146" s="1095">
        <v>0</v>
      </c>
      <c r="EA146" s="1064">
        <v>0</v>
      </c>
      <c r="EB146" s="32">
        <f>+EC146-EA146</f>
        <v>0</v>
      </c>
      <c r="EC146" s="1095">
        <v>0</v>
      </c>
      <c r="ED146" s="1064">
        <v>0</v>
      </c>
      <c r="EE146" s="32">
        <f>+EF146-ED146</f>
        <v>0</v>
      </c>
      <c r="EF146" s="1095">
        <v>0</v>
      </c>
      <c r="EG146" s="1064">
        <v>0</v>
      </c>
      <c r="EH146" s="32">
        <f>+EI146-EG146</f>
        <v>0</v>
      </c>
      <c r="EI146" s="1095">
        <v>0</v>
      </c>
      <c r="EJ146" s="1064">
        <v>0</v>
      </c>
      <c r="EK146" s="32">
        <f>+EL146-EJ146</f>
        <v>0</v>
      </c>
      <c r="EL146" s="1095">
        <v>0</v>
      </c>
      <c r="EM146" s="1064">
        <v>0</v>
      </c>
      <c r="EN146" s="32">
        <f>+EO146-EM146</f>
        <v>0</v>
      </c>
      <c r="EO146" s="1095">
        <v>0</v>
      </c>
      <c r="EP146" s="1064">
        <v>0</v>
      </c>
      <c r="EQ146" s="32">
        <f>+ER146-EP146</f>
        <v>0</v>
      </c>
      <c r="ER146" s="1095">
        <v>0</v>
      </c>
      <c r="ES146" s="1064">
        <v>0</v>
      </c>
      <c r="ET146" s="32">
        <f>+EU146-ES146</f>
        <v>0</v>
      </c>
      <c r="EU146" s="1095">
        <v>0</v>
      </c>
      <c r="EV146" s="1064">
        <v>0</v>
      </c>
      <c r="EW146" s="32">
        <f>+EX146-EV146</f>
        <v>0</v>
      </c>
      <c r="EX146" s="1095">
        <v>0</v>
      </c>
      <c r="EY146" s="1064">
        <v>0</v>
      </c>
      <c r="EZ146" s="32">
        <f>+FA146-EY146</f>
        <v>0</v>
      </c>
      <c r="FA146" s="1095">
        <v>0</v>
      </c>
      <c r="FD146"/>
      <c r="FE146"/>
      <c r="FF146"/>
      <c r="FG146"/>
      <c r="FH146"/>
      <c r="FI146"/>
    </row>
    <row r="147" spans="1:169" s="33" customFormat="1" outlineLevel="1">
      <c r="B147" s="54" t="s">
        <v>265</v>
      </c>
      <c r="C147" s="54"/>
      <c r="D147" s="2" t="s">
        <v>506</v>
      </c>
      <c r="E147" s="32">
        <f t="shared" ref="E147:AG147" si="371">+E144-E145+E146</f>
        <v>0</v>
      </c>
      <c r="F147" s="32">
        <f t="shared" si="371"/>
        <v>0</v>
      </c>
      <c r="G147" s="32">
        <f t="shared" si="371"/>
        <v>0</v>
      </c>
      <c r="H147" s="32">
        <f t="shared" si="371"/>
        <v>0</v>
      </c>
      <c r="I147" s="32">
        <f t="shared" si="371"/>
        <v>0</v>
      </c>
      <c r="J147" s="32">
        <f t="shared" si="371"/>
        <v>0</v>
      </c>
      <c r="K147" s="32">
        <f t="shared" si="371"/>
        <v>0</v>
      </c>
      <c r="L147" s="32">
        <f t="shared" si="371"/>
        <v>0</v>
      </c>
      <c r="M147" s="32">
        <f t="shared" si="371"/>
        <v>0</v>
      </c>
      <c r="N147" s="32">
        <f t="shared" si="371"/>
        <v>0</v>
      </c>
      <c r="O147" s="32">
        <f t="shared" si="371"/>
        <v>0</v>
      </c>
      <c r="P147" s="32">
        <f t="shared" si="371"/>
        <v>0</v>
      </c>
      <c r="Q147" s="32">
        <f t="shared" si="371"/>
        <v>0</v>
      </c>
      <c r="R147" s="32">
        <f t="shared" si="371"/>
        <v>0</v>
      </c>
      <c r="S147" s="32">
        <f t="shared" si="371"/>
        <v>0</v>
      </c>
      <c r="T147" s="32">
        <f t="shared" si="371"/>
        <v>0</v>
      </c>
      <c r="U147" s="32">
        <f t="shared" si="371"/>
        <v>0</v>
      </c>
      <c r="V147" s="32">
        <f t="shared" si="371"/>
        <v>0</v>
      </c>
      <c r="W147" s="32">
        <f t="shared" si="371"/>
        <v>0</v>
      </c>
      <c r="X147" s="32">
        <f t="shared" si="371"/>
        <v>0</v>
      </c>
      <c r="Y147" s="32">
        <f t="shared" si="371"/>
        <v>0</v>
      </c>
      <c r="Z147" s="32">
        <f t="shared" si="371"/>
        <v>0</v>
      </c>
      <c r="AA147" s="32">
        <f t="shared" si="371"/>
        <v>0</v>
      </c>
      <c r="AB147" s="32">
        <f t="shared" si="371"/>
        <v>0</v>
      </c>
      <c r="AC147" s="32">
        <f t="shared" si="371"/>
        <v>0</v>
      </c>
      <c r="AD147" s="32">
        <f t="shared" si="371"/>
        <v>0</v>
      </c>
      <c r="AE147" s="32">
        <f t="shared" si="371"/>
        <v>0</v>
      </c>
      <c r="AF147" s="32">
        <f t="shared" si="371"/>
        <v>0</v>
      </c>
      <c r="AG147" s="32">
        <f t="shared" si="371"/>
        <v>0</v>
      </c>
      <c r="AH147" s="32"/>
      <c r="AI147" s="32">
        <f>+AI144-AI145+AI146</f>
        <v>0</v>
      </c>
      <c r="AJ147" s="32"/>
      <c r="AK147" s="1064">
        <v>76.667000000000002</v>
      </c>
      <c r="AL147" s="32">
        <f>+AL144-AL145+AL146</f>
        <v>76.667000000000002</v>
      </c>
      <c r="AM147" s="32">
        <f>+AM144-AM145+AM146</f>
        <v>88.762</v>
      </c>
      <c r="AN147" s="32">
        <f>+AN144-AN145+AN146</f>
        <v>88.762</v>
      </c>
      <c r="AO147" s="32">
        <f>+AO144-AO145+AO146</f>
        <v>94.058999999999997</v>
      </c>
      <c r="AP147" s="32">
        <f>+AP144-AP145+AP146</f>
        <v>103.764</v>
      </c>
      <c r="AQ147" s="1064">
        <v>103.764</v>
      </c>
      <c r="AR147" s="32">
        <f>+AR144-AR145+AR146</f>
        <v>113.496</v>
      </c>
      <c r="AS147" s="32">
        <f>+AS144-AS145+AS146</f>
        <v>120.91499999999999</v>
      </c>
      <c r="AT147" s="32">
        <f>+AT144-AT145+AT146</f>
        <v>120.91500000000001</v>
      </c>
      <c r="AU147" s="32">
        <f>+AU144-AU145+AU146</f>
        <v>131.85699999999997</v>
      </c>
      <c r="AV147" s="32">
        <f>+AV144-AV145+AV146</f>
        <v>141.28999999999996</v>
      </c>
      <c r="AW147" s="1064">
        <v>144.553</v>
      </c>
      <c r="AX147" s="32">
        <f>+AX144-AX145+AX146</f>
        <v>152.566</v>
      </c>
      <c r="AY147" s="32">
        <f>+AY144-AY145+AY146</f>
        <v>169.81100000000001</v>
      </c>
      <c r="AZ147" s="1064">
        <v>165.881</v>
      </c>
      <c r="BA147" s="32">
        <f t="shared" ref="BA147:CF147" si="372">+BA144-BA145+BA146</f>
        <v>152.64639966000001</v>
      </c>
      <c r="BB147" s="32">
        <f t="shared" si="372"/>
        <v>178.05911901333337</v>
      </c>
      <c r="BC147" s="32">
        <f t="shared" si="372"/>
        <v>178.05911901333334</v>
      </c>
      <c r="BD147" s="32">
        <f t="shared" si="372"/>
        <v>215.09611901333335</v>
      </c>
      <c r="BE147" s="32">
        <f t="shared" si="372"/>
        <v>253.64782751333334</v>
      </c>
      <c r="BF147" s="32">
        <f t="shared" si="372"/>
        <v>253.64782751333331</v>
      </c>
      <c r="BG147" s="32">
        <f t="shared" si="372"/>
        <v>319.24600000000004</v>
      </c>
      <c r="BH147" s="32">
        <f t="shared" si="372"/>
        <v>329.90100000000007</v>
      </c>
      <c r="BI147" s="32">
        <f t="shared" si="372"/>
        <v>304.3428275133333</v>
      </c>
      <c r="BJ147" s="32">
        <f t="shared" si="372"/>
        <v>307.03682751333332</v>
      </c>
      <c r="BK147" s="32">
        <f t="shared" si="372"/>
        <v>282.86987151333335</v>
      </c>
      <c r="BL147" s="32">
        <f t="shared" si="372"/>
        <v>257.48787151333335</v>
      </c>
      <c r="BM147" s="32">
        <f t="shared" si="372"/>
        <v>387.86187151333337</v>
      </c>
      <c r="BN147" s="32">
        <f t="shared" si="372"/>
        <v>697.46087151333336</v>
      </c>
      <c r="BO147" s="32">
        <f t="shared" si="372"/>
        <v>697.46087151333336</v>
      </c>
      <c r="BP147" s="32">
        <f t="shared" si="372"/>
        <v>873.88387151333336</v>
      </c>
      <c r="BQ147" s="32">
        <f t="shared" si="372"/>
        <v>690.42387151333344</v>
      </c>
      <c r="BR147" s="32">
        <f t="shared" si="372"/>
        <v>690.42387151333344</v>
      </c>
      <c r="BS147" s="32">
        <f t="shared" si="372"/>
        <v>874.78387151333334</v>
      </c>
      <c r="BT147" s="32">
        <f t="shared" si="372"/>
        <v>1067.1888715133334</v>
      </c>
      <c r="BU147" s="32">
        <f t="shared" si="372"/>
        <v>1067.1888715133332</v>
      </c>
      <c r="BV147" s="32">
        <f t="shared" si="372"/>
        <v>1315.0768715133333</v>
      </c>
      <c r="BW147" s="32">
        <f t="shared" si="372"/>
        <v>1541.5598715133333</v>
      </c>
      <c r="BX147" s="32">
        <f t="shared" si="372"/>
        <v>1541.5598715133333</v>
      </c>
      <c r="BY147" s="32">
        <f t="shared" si="372"/>
        <v>1904.9068715133333</v>
      </c>
      <c r="BZ147" s="32">
        <f t="shared" si="372"/>
        <v>2561.4538715133331</v>
      </c>
      <c r="CA147" s="32">
        <f t="shared" si="372"/>
        <v>2561.4538715133331</v>
      </c>
      <c r="CB147" s="32">
        <f t="shared" si="372"/>
        <v>2943.1828715133333</v>
      </c>
      <c r="CC147" s="32">
        <f t="shared" si="372"/>
        <v>3184.877871513333</v>
      </c>
      <c r="CD147" s="32">
        <f t="shared" si="372"/>
        <v>3184.877871513333</v>
      </c>
      <c r="CE147" s="32">
        <f t="shared" si="372"/>
        <v>3437.6038715133332</v>
      </c>
      <c r="CF147" s="32">
        <f t="shared" si="372"/>
        <v>3689.5968715133331</v>
      </c>
      <c r="CG147" s="32">
        <f t="shared" ref="CG147:DL147" si="373">+CG144-CG145+CG146</f>
        <v>3689.5968715133326</v>
      </c>
      <c r="CH147" s="32">
        <f t="shared" si="373"/>
        <v>3962.8968715133324</v>
      </c>
      <c r="CI147" s="32">
        <f t="shared" si="373"/>
        <v>4289.1968715133326</v>
      </c>
      <c r="CJ147" s="32">
        <f t="shared" si="373"/>
        <v>4289.1968715133326</v>
      </c>
      <c r="CK147" s="32">
        <f t="shared" si="373"/>
        <v>4666.6968715133316</v>
      </c>
      <c r="CL147" s="32">
        <f t="shared" si="373"/>
        <v>5006.0968715133322</v>
      </c>
      <c r="CM147" s="32">
        <f t="shared" si="373"/>
        <v>5006.0968715133331</v>
      </c>
      <c r="CN147" s="32">
        <f t="shared" si="373"/>
        <v>5395.9968715133327</v>
      </c>
      <c r="CO147" s="32">
        <f t="shared" si="373"/>
        <v>5791.5968715133331</v>
      </c>
      <c r="CP147" s="32">
        <f t="shared" si="373"/>
        <v>5791.5968715133331</v>
      </c>
      <c r="CQ147" s="32">
        <f t="shared" si="373"/>
        <v>6215.3968715133333</v>
      </c>
      <c r="CR147" s="32">
        <f t="shared" si="373"/>
        <v>6635.1968715133335</v>
      </c>
      <c r="CS147" s="32">
        <f t="shared" si="373"/>
        <v>6635.1968715133335</v>
      </c>
      <c r="CT147" s="32">
        <f t="shared" si="373"/>
        <v>7060.596871513334</v>
      </c>
      <c r="CU147" s="32">
        <f t="shared" si="373"/>
        <v>7298.596871513334</v>
      </c>
      <c r="CV147" s="32">
        <f t="shared" si="373"/>
        <v>7298.5968715133331</v>
      </c>
      <c r="CW147" s="32">
        <f t="shared" si="373"/>
        <v>7794.0968715133331</v>
      </c>
      <c r="CX147" s="32">
        <f t="shared" si="373"/>
        <v>8034.6114176134633</v>
      </c>
      <c r="CY147" s="32">
        <f t="shared" si="373"/>
        <v>8034.6114176134633</v>
      </c>
      <c r="CZ147" s="32">
        <f t="shared" si="373"/>
        <v>8797.3114176134623</v>
      </c>
      <c r="DA147" s="32">
        <f t="shared" si="373"/>
        <v>9091.3114176134623</v>
      </c>
      <c r="DB147" s="32">
        <f t="shared" si="373"/>
        <v>9091.3114176134623</v>
      </c>
      <c r="DC147" s="32">
        <f t="shared" si="373"/>
        <v>9831.7114176134637</v>
      </c>
      <c r="DD147" s="32">
        <f t="shared" si="373"/>
        <v>10203.211417613464</v>
      </c>
      <c r="DE147" s="1061">
        <f t="shared" si="373"/>
        <v>10203.211417613464</v>
      </c>
      <c r="DF147" s="32">
        <f t="shared" si="373"/>
        <v>10997.311417613464</v>
      </c>
      <c r="DG147" s="32">
        <f t="shared" si="373"/>
        <v>11422.611417613463</v>
      </c>
      <c r="DH147" s="1061">
        <f t="shared" si="373"/>
        <v>11422.611417613463</v>
      </c>
      <c r="DI147" s="32">
        <f t="shared" si="373"/>
        <v>12747.911417613463</v>
      </c>
      <c r="DJ147" s="32">
        <f t="shared" si="373"/>
        <v>12855.811417613462</v>
      </c>
      <c r="DK147" s="1061">
        <f t="shared" si="373"/>
        <v>12855.811417613462</v>
      </c>
      <c r="DL147" s="32">
        <f t="shared" si="373"/>
        <v>14095.111417613462</v>
      </c>
      <c r="DM147" s="32">
        <f t="shared" ref="DM147:DT147" si="374">+DM144-DM145+DM146</f>
        <v>14197.811417613462</v>
      </c>
      <c r="DN147" s="1061">
        <f t="shared" si="374"/>
        <v>14197.811417613462</v>
      </c>
      <c r="DO147" s="32">
        <f t="shared" si="374"/>
        <v>15447.211417613462</v>
      </c>
      <c r="DP147" s="32">
        <f t="shared" si="374"/>
        <v>15722.811417613462</v>
      </c>
      <c r="DQ147" s="1061">
        <f t="shared" si="374"/>
        <v>15722.811417613462</v>
      </c>
      <c r="DR147" s="32">
        <f t="shared" si="374"/>
        <v>17042.816497613461</v>
      </c>
      <c r="DS147" s="32">
        <f t="shared" si="374"/>
        <v>17437.811417613462</v>
      </c>
      <c r="DT147" s="1061">
        <f t="shared" si="374"/>
        <v>17437.811417613462</v>
      </c>
      <c r="DU147" s="32">
        <f t="shared" ref="DU147:DZ147" si="375">+DU144-DU145+DU146</f>
        <v>18708.811417613462</v>
      </c>
      <c r="DV147" s="32">
        <f t="shared" si="375"/>
        <v>19322.811417613462</v>
      </c>
      <c r="DW147" s="1061">
        <f t="shared" si="375"/>
        <v>19322.811417613462</v>
      </c>
      <c r="DX147" s="32">
        <f t="shared" ref="DX147" si="376">+DX144-DX145+DX146</f>
        <v>20327.811417613462</v>
      </c>
      <c r="DY147" s="32">
        <f t="shared" si="375"/>
        <v>21126.410725342528</v>
      </c>
      <c r="DZ147" s="1061">
        <f t="shared" si="375"/>
        <v>21126.410725342528</v>
      </c>
      <c r="EA147" s="32">
        <f t="shared" ref="EA147:EF147" si="377">+EA144-EA145+EA146</f>
        <v>22444.409934425388</v>
      </c>
      <c r="EB147" s="32">
        <f t="shared" si="377"/>
        <v>23224.824301618275</v>
      </c>
      <c r="EC147" s="1061">
        <f t="shared" si="377"/>
        <v>23224.824301618275</v>
      </c>
      <c r="ED147" s="32">
        <f t="shared" si="377"/>
        <v>24782.545402353819</v>
      </c>
      <c r="EE147" s="32">
        <f t="shared" si="377"/>
        <v>25630.5622438684</v>
      </c>
      <c r="EF147" s="1061">
        <f t="shared" si="377"/>
        <v>25630.562243868408</v>
      </c>
      <c r="EG147" s="32">
        <f t="shared" ref="EG147:EL147" si="378">+EG144-EG145+EG146</f>
        <v>27318.771339611565</v>
      </c>
      <c r="EH147" s="32">
        <f t="shared" si="378"/>
        <v>28288.244486766918</v>
      </c>
      <c r="EI147" s="1061">
        <f t="shared" si="378"/>
        <v>28288.244486766926</v>
      </c>
      <c r="EJ147" s="32">
        <f t="shared" si="378"/>
        <v>30101.467143174439</v>
      </c>
      <c r="EK147" s="32">
        <f t="shared" si="378"/>
        <v>31209.100525890826</v>
      </c>
      <c r="EL147" s="1061">
        <f t="shared" si="378"/>
        <v>31209.100525890834</v>
      </c>
      <c r="EM147" s="32">
        <f t="shared" ref="EM147:ER147" si="379">+EM144-EM145+EM146</f>
        <v>33176.860898417253</v>
      </c>
      <c r="EN147" s="32">
        <f t="shared" si="379"/>
        <v>34402.576586194045</v>
      </c>
      <c r="EO147" s="1061">
        <f t="shared" si="379"/>
        <v>34402.576586194045</v>
      </c>
      <c r="EP147" s="32">
        <f t="shared" si="379"/>
        <v>36516.780624421241</v>
      </c>
      <c r="EQ147" s="32">
        <f t="shared" si="379"/>
        <v>37891.744012700183</v>
      </c>
      <c r="ER147" s="1061">
        <f t="shared" si="379"/>
        <v>37891.744012700183</v>
      </c>
      <c r="ES147" s="32">
        <f t="shared" ref="ES147:FA147" si="380">+ES144-ES145+ES146</f>
        <v>40127.374814751463</v>
      </c>
      <c r="ET147" s="32">
        <f t="shared" si="380"/>
        <v>41637.659042937834</v>
      </c>
      <c r="EU147" s="1061">
        <f t="shared" si="380"/>
        <v>41637.659042937841</v>
      </c>
      <c r="EV147" s="32">
        <f t="shared" si="380"/>
        <v>43983.436017562468</v>
      </c>
      <c r="EW147" s="32">
        <f t="shared" si="380"/>
        <v>45612.130640981028</v>
      </c>
      <c r="EX147" s="1061">
        <f t="shared" si="380"/>
        <v>45612.13064098102</v>
      </c>
      <c r="EY147" s="32">
        <f t="shared" si="380"/>
        <v>48093.794870398451</v>
      </c>
      <c r="EZ147" s="32">
        <f t="shared" si="380"/>
        <v>49849.060964848162</v>
      </c>
      <c r="FA147" s="1061">
        <f t="shared" si="380"/>
        <v>49849.060964848162</v>
      </c>
      <c r="FD147"/>
      <c r="FE147"/>
      <c r="FF147"/>
      <c r="FG147"/>
      <c r="FH147"/>
      <c r="FI147"/>
    </row>
    <row r="148" spans="1:169" s="33" customFormat="1" outlineLevel="1">
      <c r="B148" s="54"/>
      <c r="C148" s="54"/>
      <c r="D148" s="2"/>
      <c r="E148" s="2"/>
      <c r="F148" s="2"/>
      <c r="G148" s="2"/>
      <c r="H148" s="2"/>
      <c r="I148" s="2"/>
      <c r="J148" s="2"/>
      <c r="K148" s="2"/>
      <c r="L148" s="2"/>
      <c r="M148" s="2"/>
      <c r="N148" s="2"/>
      <c r="O148" s="2"/>
      <c r="P148" s="2"/>
      <c r="Q148" s="32"/>
      <c r="R148" s="32"/>
      <c r="S148" s="32"/>
      <c r="T148" s="32"/>
      <c r="U148" s="32"/>
      <c r="V148" s="32"/>
      <c r="W148" s="32"/>
      <c r="X148" s="32"/>
      <c r="Y148" s="32"/>
      <c r="Z148" s="32"/>
      <c r="AA148" s="32"/>
      <c r="AB148" s="32"/>
      <c r="AC148" s="32"/>
      <c r="AD148" s="32"/>
      <c r="AE148" s="32"/>
      <c r="AF148" s="32"/>
      <c r="AG148" s="32"/>
      <c r="AH148" s="32"/>
      <c r="AI148" s="32"/>
      <c r="AJ148" s="32"/>
      <c r="AK148" s="32"/>
      <c r="AL148" s="32"/>
      <c r="AM148" s="32"/>
      <c r="AN148" s="32"/>
      <c r="AO148" s="32"/>
      <c r="AP148" s="32"/>
      <c r="AQ148" s="32"/>
      <c r="AR148" s="32"/>
      <c r="AS148" s="32"/>
      <c r="AT148" s="32"/>
      <c r="AU148" s="1164"/>
      <c r="AV148" s="1164"/>
      <c r="AW148" s="1164"/>
      <c r="AX148" s="1164"/>
      <c r="AY148" s="1164"/>
      <c r="AZ148" s="1164"/>
      <c r="BA148" s="1164"/>
      <c r="BB148" s="1164"/>
      <c r="BC148" s="1164"/>
      <c r="BD148" s="1164"/>
      <c r="BE148" s="1164"/>
      <c r="BF148" s="1164"/>
      <c r="BG148" s="1164"/>
      <c r="BH148" s="1164"/>
      <c r="BI148" s="1164"/>
      <c r="BJ148" s="1164"/>
      <c r="BK148" s="1164"/>
      <c r="BL148" s="1164"/>
      <c r="BM148" s="1164"/>
      <c r="BN148" s="1164"/>
      <c r="BO148" s="1164"/>
      <c r="BP148" s="1164"/>
      <c r="BQ148" s="1164"/>
      <c r="BR148" s="1164"/>
      <c r="BS148" s="1164"/>
      <c r="BT148" s="1164"/>
      <c r="BU148" s="1164"/>
      <c r="BV148" s="1164"/>
      <c r="BW148" s="1164"/>
      <c r="BX148" s="1164"/>
      <c r="BY148" s="1164"/>
      <c r="BZ148" s="1164"/>
      <c r="CA148" s="1164"/>
      <c r="CB148" s="1164"/>
      <c r="CC148" s="1164"/>
      <c r="CD148" s="1164"/>
      <c r="CE148" s="1164"/>
      <c r="CF148" s="1164"/>
      <c r="CG148" s="1164"/>
      <c r="CH148" s="1164"/>
      <c r="CI148" s="1164"/>
      <c r="CJ148" s="1164"/>
      <c r="CK148" s="1164"/>
      <c r="CL148" s="1164"/>
      <c r="CM148" s="1164"/>
      <c r="CN148" s="1164"/>
      <c r="CO148" s="1164"/>
      <c r="CP148" s="1164"/>
      <c r="CQ148" s="1164"/>
      <c r="CR148" s="1164"/>
      <c r="CS148" s="1164"/>
      <c r="CT148" s="1164"/>
      <c r="CU148" s="1164"/>
      <c r="CV148" s="1164"/>
      <c r="CW148" s="1164"/>
      <c r="CX148" s="1164"/>
      <c r="CY148" s="1164"/>
      <c r="CZ148" s="1164"/>
      <c r="DA148" s="1164"/>
      <c r="DB148" s="1164"/>
      <c r="DC148" s="1164"/>
      <c r="DD148" s="1164"/>
      <c r="DE148" s="1165"/>
      <c r="DF148" s="1164"/>
      <c r="DG148" s="1164"/>
      <c r="DH148" s="1165"/>
      <c r="DI148" s="1164"/>
      <c r="DJ148" s="1164"/>
      <c r="DK148" s="1165"/>
      <c r="DL148" s="1164"/>
      <c r="DM148" s="1164"/>
      <c r="DN148" s="1165"/>
      <c r="DO148" s="1164"/>
      <c r="DP148" s="1164"/>
      <c r="DQ148" s="1165"/>
      <c r="DR148" s="1164"/>
      <c r="DS148" s="1164"/>
      <c r="DT148" s="1165"/>
      <c r="DU148" s="1164"/>
      <c r="DV148" s="1164"/>
      <c r="DW148" s="1165"/>
      <c r="DX148" s="1164"/>
      <c r="DY148" s="1164"/>
      <c r="DZ148" s="1519"/>
      <c r="EA148" s="1164"/>
      <c r="EB148" s="1164"/>
      <c r="EC148" s="1165"/>
      <c r="ED148" s="1164"/>
      <c r="EE148" s="1164"/>
      <c r="EF148" s="1165"/>
      <c r="EG148" s="1164"/>
      <c r="EH148" s="1164"/>
      <c r="EI148" s="1165"/>
      <c r="EJ148" s="1164"/>
      <c r="EK148" s="1164"/>
      <c r="EL148" s="1165"/>
      <c r="EM148" s="1164"/>
      <c r="EN148" s="1164"/>
      <c r="EO148" s="1165"/>
      <c r="EP148" s="1164"/>
      <c r="EQ148" s="1164"/>
      <c r="ER148" s="1165"/>
      <c r="ES148" s="1164"/>
      <c r="ET148" s="1164"/>
      <c r="EU148" s="1165"/>
      <c r="EV148" s="1164"/>
      <c r="EW148" s="1164"/>
      <c r="EX148" s="1165"/>
      <c r="EY148" s="1164"/>
      <c r="EZ148" s="1164"/>
      <c r="FA148" s="1165"/>
      <c r="FD148"/>
      <c r="FE148"/>
      <c r="FF148"/>
      <c r="FG148"/>
      <c r="FH148"/>
      <c r="FI148"/>
    </row>
    <row r="149" spans="1:169" s="1059" customFormat="1">
      <c r="A149" s="48" t="s">
        <v>266</v>
      </c>
      <c r="B149" s="48"/>
      <c r="C149" s="48"/>
      <c r="D149" s="49" t="str">
        <f t="shared" ref="D149:AI149" si="381">+D4</f>
        <v xml:space="preserve">Year ending Jun </v>
      </c>
      <c r="E149" s="49" t="str">
        <f t="shared" si="381"/>
        <v>1h85</v>
      </c>
      <c r="F149" s="49" t="str">
        <f t="shared" si="381"/>
        <v>2h85</v>
      </c>
      <c r="G149" s="49" t="str">
        <f t="shared" si="381"/>
        <v>1985</v>
      </c>
      <c r="H149" s="49" t="str">
        <f t="shared" si="381"/>
        <v>1h86</v>
      </c>
      <c r="I149" s="49" t="str">
        <f t="shared" si="381"/>
        <v>2h86</v>
      </c>
      <c r="J149" s="49" t="str">
        <f t="shared" si="381"/>
        <v>1986</v>
      </c>
      <c r="K149" s="49" t="str">
        <f t="shared" si="381"/>
        <v>1h87</v>
      </c>
      <c r="L149" s="49" t="str">
        <f t="shared" si="381"/>
        <v>2h87</v>
      </c>
      <c r="M149" s="49" t="str">
        <f t="shared" si="381"/>
        <v>1987</v>
      </c>
      <c r="N149" s="49" t="str">
        <f t="shared" si="381"/>
        <v>1h88</v>
      </c>
      <c r="O149" s="49" t="str">
        <f t="shared" si="381"/>
        <v>2h88</v>
      </c>
      <c r="P149" s="49" t="str">
        <f t="shared" si="381"/>
        <v>1988</v>
      </c>
      <c r="Q149" s="49" t="str">
        <f t="shared" si="381"/>
        <v>1h89</v>
      </c>
      <c r="R149" s="49" t="str">
        <f t="shared" si="381"/>
        <v>2h89</v>
      </c>
      <c r="S149" s="49" t="str">
        <f t="shared" si="381"/>
        <v>1989</v>
      </c>
      <c r="T149" s="49" t="str">
        <f t="shared" si="381"/>
        <v>1h90</v>
      </c>
      <c r="U149" s="49" t="str">
        <f t="shared" si="381"/>
        <v>2h90</v>
      </c>
      <c r="V149" s="49" t="str">
        <f t="shared" si="381"/>
        <v>1990</v>
      </c>
      <c r="W149" s="49" t="str">
        <f t="shared" si="381"/>
        <v>1h91</v>
      </c>
      <c r="X149" s="49" t="str">
        <f t="shared" si="381"/>
        <v>2h91</v>
      </c>
      <c r="Y149" s="49" t="str">
        <f t="shared" si="381"/>
        <v>1991</v>
      </c>
      <c r="Z149" s="49" t="str">
        <f t="shared" si="381"/>
        <v>1h92</v>
      </c>
      <c r="AA149" s="49" t="str">
        <f t="shared" si="381"/>
        <v>2h92</v>
      </c>
      <c r="AB149" s="49" t="str">
        <f t="shared" si="381"/>
        <v>1992</v>
      </c>
      <c r="AC149" s="49" t="str">
        <f t="shared" si="381"/>
        <v>1h93</v>
      </c>
      <c r="AD149" s="49" t="str">
        <f t="shared" si="381"/>
        <v>2h93</v>
      </c>
      <c r="AE149" s="49" t="str">
        <f t="shared" si="381"/>
        <v>1993</v>
      </c>
      <c r="AF149" s="49" t="str">
        <f t="shared" si="381"/>
        <v>1h94</v>
      </c>
      <c r="AG149" s="49" t="str">
        <f t="shared" si="381"/>
        <v>2h94</v>
      </c>
      <c r="AH149" s="49" t="str">
        <f t="shared" si="381"/>
        <v>1994</v>
      </c>
      <c r="AI149" s="49" t="str">
        <f t="shared" si="381"/>
        <v>1h95</v>
      </c>
      <c r="AJ149" s="49" t="str">
        <f t="shared" ref="AJ149:BO149" si="382">+AJ4</f>
        <v>2h95</v>
      </c>
      <c r="AK149" s="49" t="str">
        <f t="shared" si="382"/>
        <v>1995</v>
      </c>
      <c r="AL149" s="49" t="str">
        <f t="shared" si="382"/>
        <v>1h96</v>
      </c>
      <c r="AM149" s="49" t="str">
        <f t="shared" si="382"/>
        <v>2h96</v>
      </c>
      <c r="AN149" s="49" t="str">
        <f t="shared" si="382"/>
        <v>1996</v>
      </c>
      <c r="AO149" s="49" t="str">
        <f t="shared" si="382"/>
        <v>1h97</v>
      </c>
      <c r="AP149" s="49" t="str">
        <f t="shared" si="382"/>
        <v>2h97</v>
      </c>
      <c r="AQ149" s="49" t="str">
        <f t="shared" si="382"/>
        <v>1997</v>
      </c>
      <c r="AR149" s="49" t="str">
        <f t="shared" si="382"/>
        <v>1h98</v>
      </c>
      <c r="AS149" s="49" t="str">
        <f t="shared" si="382"/>
        <v>2h98</v>
      </c>
      <c r="AT149" s="49" t="str">
        <f t="shared" si="382"/>
        <v>1998a</v>
      </c>
      <c r="AU149" s="49" t="str">
        <f t="shared" si="382"/>
        <v>1h99</v>
      </c>
      <c r="AV149" s="49" t="str">
        <f t="shared" si="382"/>
        <v>2h99</v>
      </c>
      <c r="AW149" s="49" t="str">
        <f t="shared" si="382"/>
        <v>1999a</v>
      </c>
      <c r="AX149" s="49" t="str">
        <f t="shared" si="382"/>
        <v>1h00</v>
      </c>
      <c r="AY149" s="49" t="str">
        <f t="shared" si="382"/>
        <v>2h00</v>
      </c>
      <c r="AZ149" s="49" t="str">
        <f t="shared" si="382"/>
        <v>2000a</v>
      </c>
      <c r="BA149" s="49" t="str">
        <f t="shared" si="382"/>
        <v>1h01</v>
      </c>
      <c r="BB149" s="49" t="str">
        <f t="shared" si="382"/>
        <v>2h01</v>
      </c>
      <c r="BC149" s="49" t="str">
        <f t="shared" si="382"/>
        <v>2001a</v>
      </c>
      <c r="BD149" s="49" t="str">
        <f t="shared" si="382"/>
        <v>1h02</v>
      </c>
      <c r="BE149" s="49" t="str">
        <f t="shared" si="382"/>
        <v>2h02f</v>
      </c>
      <c r="BF149" s="49" t="str">
        <f t="shared" si="382"/>
        <v>2002</v>
      </c>
      <c r="BG149" s="49" t="str">
        <f t="shared" si="382"/>
        <v>1h03</v>
      </c>
      <c r="BH149" s="49" t="str">
        <f t="shared" si="382"/>
        <v>2h03</v>
      </c>
      <c r="BI149" s="49" t="str">
        <f t="shared" si="382"/>
        <v>2003</v>
      </c>
      <c r="BJ149" s="49" t="str">
        <f t="shared" si="382"/>
        <v>1h04</v>
      </c>
      <c r="BK149" s="49" t="str">
        <f t="shared" si="382"/>
        <v>2h04</v>
      </c>
      <c r="BL149" s="49" t="str">
        <f t="shared" si="382"/>
        <v>2004</v>
      </c>
      <c r="BM149" s="49" t="str">
        <f t="shared" si="382"/>
        <v>1h05</v>
      </c>
      <c r="BN149" s="49" t="str">
        <f t="shared" si="382"/>
        <v>2h05</v>
      </c>
      <c r="BO149" s="49" t="str">
        <f t="shared" si="382"/>
        <v>2005</v>
      </c>
      <c r="BP149" s="49" t="str">
        <f t="shared" ref="BP149:CU149" si="383">+BP4</f>
        <v>1h06</v>
      </c>
      <c r="BQ149" s="49" t="str">
        <f t="shared" si="383"/>
        <v>2h06</v>
      </c>
      <c r="BR149" s="49" t="str">
        <f t="shared" si="383"/>
        <v>2006</v>
      </c>
      <c r="BS149" s="49" t="str">
        <f t="shared" si="383"/>
        <v>1h07</v>
      </c>
      <c r="BT149" s="49" t="str">
        <f t="shared" si="383"/>
        <v>2h07</v>
      </c>
      <c r="BU149" s="49" t="str">
        <f t="shared" si="383"/>
        <v>2007</v>
      </c>
      <c r="BV149" s="49" t="str">
        <f t="shared" si="383"/>
        <v>1h08</v>
      </c>
      <c r="BW149" s="49" t="str">
        <f t="shared" si="383"/>
        <v>2h08</v>
      </c>
      <c r="BX149" s="49" t="str">
        <f t="shared" si="383"/>
        <v>2008</v>
      </c>
      <c r="BY149" s="49" t="str">
        <f t="shared" si="383"/>
        <v>1h09</v>
      </c>
      <c r="BZ149" s="49" t="str">
        <f t="shared" si="383"/>
        <v>2h09</v>
      </c>
      <c r="CA149" s="49" t="str">
        <f t="shared" si="383"/>
        <v>2009</v>
      </c>
      <c r="CB149" s="49" t="str">
        <f t="shared" si="383"/>
        <v>1h10</v>
      </c>
      <c r="CC149" s="49" t="str">
        <f t="shared" si="383"/>
        <v>2h10</v>
      </c>
      <c r="CD149" s="49" t="str">
        <f t="shared" si="383"/>
        <v>2010</v>
      </c>
      <c r="CE149" s="49" t="str">
        <f t="shared" si="383"/>
        <v>1h11</v>
      </c>
      <c r="CF149" s="49" t="str">
        <f t="shared" si="383"/>
        <v>2h11</v>
      </c>
      <c r="CG149" s="49" t="str">
        <f t="shared" si="383"/>
        <v>2011</v>
      </c>
      <c r="CH149" s="49" t="str">
        <f t="shared" si="383"/>
        <v>1h12</v>
      </c>
      <c r="CI149" s="49" t="str">
        <f t="shared" si="383"/>
        <v>2h12</v>
      </c>
      <c r="CJ149" s="49" t="str">
        <f t="shared" si="383"/>
        <v>2012</v>
      </c>
      <c r="CK149" s="49" t="str">
        <f t="shared" si="383"/>
        <v>1h13</v>
      </c>
      <c r="CL149" s="49" t="str">
        <f t="shared" si="383"/>
        <v>2h13</v>
      </c>
      <c r="CM149" s="49" t="str">
        <f t="shared" si="383"/>
        <v>2013</v>
      </c>
      <c r="CN149" s="49" t="str">
        <f t="shared" si="383"/>
        <v>1h14</v>
      </c>
      <c r="CO149" s="49" t="str">
        <f t="shared" si="383"/>
        <v>2h14</v>
      </c>
      <c r="CP149" s="49" t="str">
        <f t="shared" si="383"/>
        <v>2014</v>
      </c>
      <c r="CQ149" s="49" t="str">
        <f t="shared" si="383"/>
        <v>1h15</v>
      </c>
      <c r="CR149" s="49" t="str">
        <f t="shared" si="383"/>
        <v>2h15</v>
      </c>
      <c r="CS149" s="49" t="str">
        <f t="shared" si="383"/>
        <v>2015</v>
      </c>
      <c r="CT149" s="49" t="str">
        <f t="shared" si="383"/>
        <v>1h16</v>
      </c>
      <c r="CU149" s="49" t="str">
        <f t="shared" si="383"/>
        <v>2h16</v>
      </c>
      <c r="CV149" s="49" t="str">
        <f t="shared" ref="CV149:EC149" si="384">+CV4</f>
        <v>2016</v>
      </c>
      <c r="CW149" s="49" t="str">
        <f t="shared" si="384"/>
        <v>1h17</v>
      </c>
      <c r="CX149" s="49" t="str">
        <f t="shared" si="384"/>
        <v>2h17</v>
      </c>
      <c r="CY149" s="49" t="str">
        <f t="shared" si="384"/>
        <v>2017</v>
      </c>
      <c r="CZ149" s="49" t="str">
        <f t="shared" si="384"/>
        <v>1h18</v>
      </c>
      <c r="DA149" s="49" t="str">
        <f t="shared" si="384"/>
        <v>2h18</v>
      </c>
      <c r="DB149" s="49" t="str">
        <f t="shared" si="384"/>
        <v>2018</v>
      </c>
      <c r="DC149" s="49" t="str">
        <f t="shared" si="384"/>
        <v>1h19</v>
      </c>
      <c r="DD149" s="49" t="str">
        <f t="shared" si="384"/>
        <v>2h19</v>
      </c>
      <c r="DE149" s="63" t="str">
        <f t="shared" si="384"/>
        <v>2019</v>
      </c>
      <c r="DF149" s="49" t="str">
        <f t="shared" si="384"/>
        <v>1h20</v>
      </c>
      <c r="DG149" s="49" t="str">
        <f t="shared" si="384"/>
        <v>2h20</v>
      </c>
      <c r="DH149" s="63" t="str">
        <f t="shared" si="384"/>
        <v>2020</v>
      </c>
      <c r="DI149" s="49" t="str">
        <f t="shared" si="384"/>
        <v>1h21</v>
      </c>
      <c r="DJ149" s="49" t="str">
        <f t="shared" si="384"/>
        <v>2h21</v>
      </c>
      <c r="DK149" s="63" t="str">
        <f t="shared" si="384"/>
        <v>2021</v>
      </c>
      <c r="DL149" s="49" t="str">
        <f t="shared" si="384"/>
        <v>1h22</v>
      </c>
      <c r="DM149" s="49" t="str">
        <f t="shared" si="384"/>
        <v>2h22</v>
      </c>
      <c r="DN149" s="63" t="str">
        <f t="shared" si="384"/>
        <v>2022</v>
      </c>
      <c r="DO149" s="49" t="str">
        <f t="shared" si="384"/>
        <v>1h23</v>
      </c>
      <c r="DP149" s="49" t="str">
        <f t="shared" si="384"/>
        <v>2h23</v>
      </c>
      <c r="DQ149" s="63" t="str">
        <f t="shared" si="384"/>
        <v>2023</v>
      </c>
      <c r="DR149" s="49" t="str">
        <f t="shared" si="384"/>
        <v>1h24</v>
      </c>
      <c r="DS149" s="49" t="str">
        <f t="shared" si="384"/>
        <v>2h24</v>
      </c>
      <c r="DT149" s="63" t="str">
        <f t="shared" si="384"/>
        <v>2024</v>
      </c>
      <c r="DU149" s="49" t="str">
        <f t="shared" si="384"/>
        <v>1h25</v>
      </c>
      <c r="DV149" s="49" t="str">
        <f>+DV4</f>
        <v>2h25</v>
      </c>
      <c r="DW149" s="63" t="str">
        <f>+DW4</f>
        <v>2025</v>
      </c>
      <c r="DX149" s="49" t="str">
        <f t="shared" si="384"/>
        <v>1h26</v>
      </c>
      <c r="DY149" s="49" t="str">
        <f t="shared" si="384"/>
        <v>2h26E</v>
      </c>
      <c r="DZ149" s="63" t="str">
        <f t="shared" si="384"/>
        <v>2026E</v>
      </c>
      <c r="EA149" s="49" t="str">
        <f t="shared" si="384"/>
        <v>1h27E</v>
      </c>
      <c r="EB149" s="49" t="str">
        <f t="shared" si="384"/>
        <v>2h27E</v>
      </c>
      <c r="EC149" s="63" t="str">
        <f t="shared" si="384"/>
        <v>2027E</v>
      </c>
      <c r="ED149" s="49" t="str">
        <f t="shared" ref="ED149:EL149" si="385">+ED4</f>
        <v>1h28E</v>
      </c>
      <c r="EE149" s="49" t="str">
        <f t="shared" si="385"/>
        <v>2h28E</v>
      </c>
      <c r="EF149" s="63" t="str">
        <f t="shared" si="385"/>
        <v>2028E</v>
      </c>
      <c r="EG149" s="49" t="str">
        <f t="shared" si="385"/>
        <v>1h29E</v>
      </c>
      <c r="EH149" s="49" t="str">
        <f t="shared" si="385"/>
        <v>2h29E</v>
      </c>
      <c r="EI149" s="63" t="str">
        <f t="shared" si="385"/>
        <v>2029E</v>
      </c>
      <c r="EJ149" s="49" t="str">
        <f t="shared" si="385"/>
        <v>1h30E</v>
      </c>
      <c r="EK149" s="49" t="str">
        <f t="shared" si="385"/>
        <v>2h30E</v>
      </c>
      <c r="EL149" s="63" t="str">
        <f t="shared" si="385"/>
        <v>2030E</v>
      </c>
      <c r="EM149" s="49" t="str">
        <f t="shared" ref="EM149:ER149" si="386">+EM4</f>
        <v>1h31E</v>
      </c>
      <c r="EN149" s="49" t="str">
        <f t="shared" si="386"/>
        <v>2h31E</v>
      </c>
      <c r="EO149" s="63" t="str">
        <f t="shared" si="386"/>
        <v>2031E</v>
      </c>
      <c r="EP149" s="49" t="str">
        <f t="shared" si="386"/>
        <v>1h32E</v>
      </c>
      <c r="EQ149" s="49" t="str">
        <f t="shared" si="386"/>
        <v>2h32E</v>
      </c>
      <c r="ER149" s="63" t="str">
        <f t="shared" si="386"/>
        <v>2032E</v>
      </c>
      <c r="ES149" s="49" t="str">
        <f t="shared" ref="ES149:FA149" si="387">+ES4</f>
        <v>1h33E</v>
      </c>
      <c r="ET149" s="49" t="str">
        <f t="shared" si="387"/>
        <v>2h33E</v>
      </c>
      <c r="EU149" s="63" t="str">
        <f t="shared" si="387"/>
        <v>2033E</v>
      </c>
      <c r="EV149" s="49" t="str">
        <f t="shared" si="387"/>
        <v>1h34E</v>
      </c>
      <c r="EW149" s="49" t="str">
        <f t="shared" si="387"/>
        <v>2h34E</v>
      </c>
      <c r="EX149" s="63" t="str">
        <f t="shared" si="387"/>
        <v>2034E</v>
      </c>
      <c r="EY149" s="49" t="str">
        <f t="shared" si="387"/>
        <v>1h35E</v>
      </c>
      <c r="EZ149" s="49" t="str">
        <f t="shared" si="387"/>
        <v>2h35E</v>
      </c>
      <c r="FA149" s="63" t="str">
        <f t="shared" si="387"/>
        <v>2035E</v>
      </c>
      <c r="FB149" s="1057"/>
      <c r="FC149" s="1057"/>
      <c r="FD149"/>
      <c r="FE149"/>
      <c r="FF149"/>
      <c r="FG149"/>
      <c r="FH149"/>
      <c r="FI149"/>
      <c r="FJ149" s="1171"/>
      <c r="FK149" s="1171"/>
      <c r="FL149" s="1171"/>
      <c r="FM149" s="1171"/>
    </row>
    <row r="150" spans="1:169" s="33" customFormat="1">
      <c r="B150" s="54" t="s">
        <v>267</v>
      </c>
      <c r="C150" s="54"/>
      <c r="D150" s="2"/>
      <c r="E150" s="1039"/>
      <c r="F150" s="1039"/>
      <c r="G150" s="1039"/>
      <c r="H150" s="1039"/>
      <c r="I150" s="1039"/>
      <c r="J150" s="1039"/>
      <c r="K150" s="1039"/>
      <c r="L150" s="1039"/>
      <c r="M150" s="1039"/>
      <c r="N150" s="1039"/>
      <c r="O150" s="1039"/>
      <c r="P150" s="1039"/>
      <c r="Q150" s="1039"/>
      <c r="R150" s="1039"/>
      <c r="S150" s="1039"/>
      <c r="T150" s="1039"/>
      <c r="U150" s="1039"/>
      <c r="V150" s="1039"/>
      <c r="W150" s="1039"/>
      <c r="X150" s="1039"/>
      <c r="Y150" s="1039"/>
      <c r="Z150" s="1039"/>
      <c r="AA150" s="1039"/>
      <c r="AB150" s="1039"/>
      <c r="AC150" s="1039"/>
      <c r="AD150" s="1039"/>
      <c r="AE150" s="1039"/>
      <c r="AF150" s="1039"/>
      <c r="AG150" s="1039"/>
      <c r="AH150" s="1039"/>
      <c r="AI150" s="1039"/>
      <c r="AJ150" s="1039"/>
      <c r="AK150" s="1039"/>
      <c r="AL150" s="1039"/>
      <c r="AM150" s="1039"/>
      <c r="AN150" s="1039"/>
      <c r="AO150" s="1039"/>
      <c r="AP150" s="1039"/>
      <c r="AQ150" s="1039"/>
      <c r="AR150" s="1039"/>
      <c r="AS150" s="1039"/>
      <c r="AT150" s="1039"/>
      <c r="AU150" s="1039"/>
      <c r="AV150" s="1039"/>
      <c r="AW150" s="1039"/>
      <c r="AX150" s="1039"/>
      <c r="AY150" s="1039"/>
      <c r="AZ150" s="1039"/>
      <c r="BA150" s="1039"/>
      <c r="BB150" s="1039"/>
      <c r="BC150" s="1039"/>
      <c r="BD150" s="1039"/>
      <c r="BE150" s="1039"/>
      <c r="BF150" s="1039"/>
      <c r="BG150" s="1039"/>
      <c r="BH150" s="1039"/>
      <c r="BI150" s="1039"/>
      <c r="BJ150" s="1039"/>
      <c r="BK150" s="1039"/>
      <c r="BL150" s="1039"/>
      <c r="BM150" s="1039"/>
      <c r="BN150" s="1039"/>
      <c r="BO150" s="1039"/>
      <c r="BP150" s="1039"/>
      <c r="BQ150" s="1039"/>
      <c r="BR150" s="1039"/>
      <c r="BS150" s="1039"/>
      <c r="BT150" s="1039"/>
      <c r="BU150" s="1039"/>
      <c r="BV150" s="1039"/>
      <c r="BW150" s="1039"/>
      <c r="BX150" s="1039"/>
      <c r="BY150" s="1039"/>
      <c r="BZ150" s="1039"/>
      <c r="CA150" s="1039"/>
      <c r="CB150" s="1039"/>
      <c r="CC150" s="1039"/>
      <c r="CD150" s="1039"/>
      <c r="CE150" s="1039"/>
      <c r="CF150" s="1039"/>
      <c r="CG150" s="1039"/>
      <c r="CH150" s="1039"/>
      <c r="CI150" s="1039"/>
      <c r="CJ150" s="1039"/>
      <c r="CK150" s="1039"/>
      <c r="CL150" s="1039"/>
      <c r="CM150" s="1039"/>
      <c r="CN150" s="1039"/>
      <c r="CO150" s="1039"/>
      <c r="CP150" s="1039"/>
      <c r="CQ150" s="1039"/>
      <c r="CR150" s="1039"/>
      <c r="CS150" s="1039"/>
      <c r="CT150" s="1039"/>
      <c r="CU150" s="1039"/>
      <c r="CV150" s="1039"/>
      <c r="CW150" s="1039"/>
      <c r="CX150" s="1039"/>
      <c r="CY150" s="1039"/>
      <c r="CZ150" s="1039"/>
      <c r="DA150" s="1039"/>
      <c r="DB150" s="1039"/>
      <c r="DC150" s="1039"/>
      <c r="DD150" s="1039"/>
      <c r="DE150" s="1166"/>
      <c r="DF150" s="1039"/>
      <c r="DG150" s="1039"/>
      <c r="DH150" s="1166"/>
      <c r="DI150" s="1039"/>
      <c r="DJ150" s="1039"/>
      <c r="DK150" s="1166"/>
      <c r="DL150" s="1039"/>
      <c r="DM150" s="1039"/>
      <c r="DN150" s="1166"/>
      <c r="DO150" s="1039"/>
      <c r="DP150" s="1039"/>
      <c r="DQ150" s="1166"/>
      <c r="DR150" s="1039"/>
      <c r="DS150" s="1039"/>
      <c r="DT150" s="1166"/>
      <c r="DU150" s="1039"/>
      <c r="DV150" s="1039"/>
      <c r="DW150" s="1166"/>
      <c r="DX150" s="1039"/>
      <c r="DY150" s="1039"/>
      <c r="DZ150" s="1166"/>
      <c r="EA150" s="1039"/>
      <c r="EB150" s="1039"/>
      <c r="EC150" s="1166"/>
      <c r="ED150" s="1039"/>
      <c r="EE150" s="1039"/>
      <c r="EF150" s="1166"/>
      <c r="EG150" s="1039"/>
      <c r="EH150" s="1039"/>
      <c r="EI150" s="1166"/>
      <c r="EJ150" s="1039"/>
      <c r="EK150" s="1039"/>
      <c r="EL150" s="1166"/>
      <c r="EM150" s="1039"/>
      <c r="EN150" s="1039"/>
      <c r="EO150" s="1166"/>
      <c r="EP150" s="1039"/>
      <c r="EQ150" s="1039"/>
      <c r="ER150" s="1166"/>
      <c r="ES150" s="1039"/>
      <c r="ET150" s="1039"/>
      <c r="EU150" s="1166"/>
      <c r="EV150" s="1039"/>
      <c r="EW150" s="1039"/>
      <c r="EX150" s="1166"/>
      <c r="EY150" s="1039"/>
      <c r="EZ150" s="1039"/>
      <c r="FA150" s="1166"/>
      <c r="FD150"/>
      <c r="FE150"/>
      <c r="FF150"/>
      <c r="FG150"/>
      <c r="FH150"/>
      <c r="FI150"/>
    </row>
    <row r="151" spans="1:169" s="33" customFormat="1" outlineLevel="1">
      <c r="B151" s="54" t="s">
        <v>268</v>
      </c>
      <c r="C151" s="54"/>
      <c r="D151" s="2" t="s">
        <v>507</v>
      </c>
      <c r="E151" s="51"/>
      <c r="F151" s="51"/>
      <c r="G151" s="51"/>
      <c r="H151" s="51"/>
      <c r="I151" s="51"/>
      <c r="J151" s="51"/>
      <c r="K151" s="51"/>
      <c r="L151" s="51"/>
      <c r="M151" s="51"/>
      <c r="N151" s="51"/>
      <c r="O151" s="51"/>
      <c r="P151" s="51"/>
      <c r="Q151" s="51"/>
      <c r="R151" s="51"/>
      <c r="S151" s="51"/>
      <c r="T151" s="51"/>
      <c r="U151" s="51"/>
      <c r="V151" s="51"/>
      <c r="W151" s="51"/>
      <c r="X151" s="51"/>
      <c r="Y151" s="51"/>
      <c r="Z151" s="51"/>
      <c r="AA151" s="51"/>
      <c r="AB151" s="51"/>
      <c r="AC151" s="51"/>
      <c r="AD151" s="51"/>
      <c r="AE151" s="51"/>
      <c r="AF151" s="51"/>
      <c r="AG151" s="51"/>
      <c r="AH151" s="51"/>
      <c r="AI151" s="51"/>
      <c r="AJ151" s="51"/>
      <c r="AK151" s="51"/>
      <c r="AL151" s="51"/>
      <c r="AM151" s="51"/>
      <c r="AN151" s="51"/>
      <c r="AO151" s="51"/>
      <c r="AP151" s="51">
        <f t="shared" ref="AP151:AZ151" si="388">+(AP30-AM30)/AM30</f>
        <v>-0.38276497499128437</v>
      </c>
      <c r="AQ151" s="51">
        <f t="shared" si="388"/>
        <v>8.5026075943963442E-2</v>
      </c>
      <c r="AR151" s="51">
        <f t="shared" si="388"/>
        <v>0.18872673901305714</v>
      </c>
      <c r="AS151" s="51">
        <f t="shared" si="388"/>
        <v>0.13642755870114015</v>
      </c>
      <c r="AT151" s="51">
        <f t="shared" si="388"/>
        <v>0.158975485487028</v>
      </c>
      <c r="AU151" s="51">
        <f t="shared" si="388"/>
        <v>0.2124185933441663</v>
      </c>
      <c r="AV151" s="51">
        <f t="shared" si="388"/>
        <v>0.13579677142871638</v>
      </c>
      <c r="AW151" s="51">
        <f t="shared" si="388"/>
        <v>0.16967900172847405</v>
      </c>
      <c r="AX151" s="51">
        <f t="shared" si="388"/>
        <v>0.10308255680199244</v>
      </c>
      <c r="AY151" s="51">
        <f t="shared" si="388"/>
        <v>7.8547730997128903E-2</v>
      </c>
      <c r="AZ151" s="51">
        <f t="shared" si="388"/>
        <v>8.9793480074781565E-2</v>
      </c>
      <c r="BA151" s="51"/>
      <c r="BB151" s="51"/>
      <c r="BC151" s="51">
        <f>+(BC30-AZ30)/AZ30</f>
        <v>0.89708786989733624</v>
      </c>
      <c r="BD151" s="51"/>
      <c r="BE151" s="51"/>
      <c r="BF151" s="51">
        <f t="shared" ref="BF151:BR151" si="389">+(BF30-BC30)/BC30</f>
        <v>0.57948536774821491</v>
      </c>
      <c r="BG151" s="51">
        <f t="shared" si="389"/>
        <v>8.4853468519256417E-2</v>
      </c>
      <c r="BH151" s="51">
        <f t="shared" si="389"/>
        <v>-0.13136246888056843</v>
      </c>
      <c r="BI151" s="51">
        <f t="shared" si="389"/>
        <v>-3.691206074440332E-2</v>
      </c>
      <c r="BJ151" s="51">
        <f t="shared" si="389"/>
        <v>-5.8044672830591167E-3</v>
      </c>
      <c r="BK151" s="51">
        <f t="shared" si="389"/>
        <v>0.53530701355958854</v>
      </c>
      <c r="BL151" s="51">
        <f t="shared" si="389"/>
        <v>0.26904572943774868</v>
      </c>
      <c r="BM151" s="51">
        <f t="shared" si="389"/>
        <v>1.2230176471143053</v>
      </c>
      <c r="BN151" s="51">
        <f t="shared" si="389"/>
        <v>0.31726982085837341</v>
      </c>
      <c r="BO151" s="51">
        <f t="shared" si="389"/>
        <v>0.66642871513444479</v>
      </c>
      <c r="BP151" s="51">
        <f t="shared" si="389"/>
        <v>-1</v>
      </c>
      <c r="BQ151" s="51">
        <f t="shared" si="389"/>
        <v>-1</v>
      </c>
      <c r="BR151" s="51">
        <f t="shared" si="389"/>
        <v>-1</v>
      </c>
      <c r="BS151" s="51"/>
      <c r="BT151" s="51"/>
      <c r="BU151" s="51"/>
      <c r="BV151" s="51"/>
      <c r="BW151" s="51"/>
      <c r="BX151" s="51"/>
      <c r="BY151" s="51">
        <f t="shared" ref="BY151:DD151" si="390">+(BY30-BV30)/BV30</f>
        <v>0.16413670462720378</v>
      </c>
      <c r="BZ151" s="51">
        <f t="shared" si="390"/>
        <v>2.8047289672183248E-3</v>
      </c>
      <c r="CA151" s="51">
        <f t="shared" si="390"/>
        <v>7.9552712946703741E-2</v>
      </c>
      <c r="CB151" s="51">
        <f t="shared" si="390"/>
        <v>0.16277976264615057</v>
      </c>
      <c r="CC151" s="51">
        <f t="shared" si="390"/>
        <v>0.15425444702974178</v>
      </c>
      <c r="CD151" s="51">
        <f t="shared" si="390"/>
        <v>0.15862782607225842</v>
      </c>
      <c r="CE151" s="51">
        <f t="shared" si="390"/>
        <v>-2.2395736706748971E-2</v>
      </c>
      <c r="CF151" s="51">
        <f t="shared" si="390"/>
        <v>0.1144250922158411</v>
      </c>
      <c r="CG151" s="51">
        <f t="shared" si="390"/>
        <v>4.3986222133241229E-2</v>
      </c>
      <c r="CH151" s="51">
        <f t="shared" si="390"/>
        <v>0.12785498887303037</v>
      </c>
      <c r="CI151" s="51">
        <f t="shared" si="390"/>
        <v>5.534911103121961E-2</v>
      </c>
      <c r="CJ151" s="51">
        <f t="shared" si="390"/>
        <v>9.0303498672466676E-2</v>
      </c>
      <c r="CK151" s="51">
        <f t="shared" si="390"/>
        <v>8.0736885076078083E-2</v>
      </c>
      <c r="CL151" s="51">
        <f t="shared" si="390"/>
        <v>6.4710758974222182E-2</v>
      </c>
      <c r="CM151" s="51">
        <f t="shared" si="390"/>
        <v>7.2702895573384427E-2</v>
      </c>
      <c r="CN151" s="51">
        <f t="shared" si="390"/>
        <v>3.2861212534606631E-2</v>
      </c>
      <c r="CO151" s="51">
        <f t="shared" si="390"/>
        <v>0.11846689895470268</v>
      </c>
      <c r="CP151" s="51">
        <f t="shared" si="390"/>
        <v>7.5456103215401138E-2</v>
      </c>
      <c r="CQ151" s="51">
        <f t="shared" si="390"/>
        <v>0.10158495843368832</v>
      </c>
      <c r="CR151" s="51">
        <f t="shared" si="390"/>
        <v>-2.8979207418568389E-4</v>
      </c>
      <c r="CS151" s="51">
        <f t="shared" si="390"/>
        <v>4.8867811351878718E-2</v>
      </c>
      <c r="CT151" s="51">
        <f t="shared" si="390"/>
        <v>0.10579670628063619</v>
      </c>
      <c r="CU151" s="51">
        <f t="shared" si="390"/>
        <v>5.7936183781433406E-2</v>
      </c>
      <c r="CV151" s="51">
        <f t="shared" si="390"/>
        <v>8.2191046376552654E-2</v>
      </c>
      <c r="CW151" s="51">
        <f t="shared" si="390"/>
        <v>0.1469181190139747</v>
      </c>
      <c r="CX151" s="51">
        <f t="shared" si="390"/>
        <v>7.4839297790655401E-2</v>
      </c>
      <c r="CY151" s="51">
        <f t="shared" si="390"/>
        <v>0.11216434917594161</v>
      </c>
      <c r="CZ151" s="51">
        <f t="shared" si="390"/>
        <v>0.13433724350667536</v>
      </c>
      <c r="DA151" s="51">
        <f t="shared" si="390"/>
        <v>0.1745489571896606</v>
      </c>
      <c r="DB151" s="51">
        <f t="shared" si="390"/>
        <v>0.15307516407804481</v>
      </c>
      <c r="DC151" s="51">
        <f t="shared" si="390"/>
        <v>8.2624591370771397E-2</v>
      </c>
      <c r="DD151" s="51">
        <f t="shared" si="390"/>
        <v>7.5890606177047459E-2</v>
      </c>
      <c r="DE151" s="1080">
        <f t="shared" ref="DE151:EC151" si="391">+(DE30-DB30)/DB30</f>
        <v>7.942824029360647E-2</v>
      </c>
      <c r="DF151" s="51">
        <f t="shared" si="391"/>
        <v>8.3578412164272281E-2</v>
      </c>
      <c r="DG151" s="51">
        <f t="shared" si="391"/>
        <v>5.2139866602933703E-2</v>
      </c>
      <c r="DH151" s="1080">
        <f t="shared" si="391"/>
        <v>6.8704709226820856E-2</v>
      </c>
      <c r="DI151" s="51">
        <f t="shared" si="391"/>
        <v>0.18714218353341239</v>
      </c>
      <c r="DJ151" s="51">
        <f t="shared" si="391"/>
        <v>7.4892029496207796E-2</v>
      </c>
      <c r="DK151" s="1080">
        <f t="shared" si="391"/>
        <v>0.13485932112264218</v>
      </c>
      <c r="DL151" s="51">
        <f t="shared" si="391"/>
        <v>3.8680132514994282E-2</v>
      </c>
      <c r="DM151" s="51">
        <f t="shared" si="391"/>
        <v>-1.3925643153496006E-2</v>
      </c>
      <c r="DN151" s="1080">
        <f t="shared" si="391"/>
        <v>1.5472616811114568E-2</v>
      </c>
      <c r="DO151" s="51">
        <f t="shared" si="391"/>
        <v>0.1787971734083475</v>
      </c>
      <c r="DP151" s="51">
        <f t="shared" si="391"/>
        <v>0.3231882419446015</v>
      </c>
      <c r="DQ151" s="1080">
        <f t="shared" si="391"/>
        <v>0.24065248556705021</v>
      </c>
      <c r="DR151" s="51">
        <f t="shared" si="391"/>
        <v>0.12202064345475981</v>
      </c>
      <c r="DS151" s="51">
        <f t="shared" si="391"/>
        <v>0.10700980894767419</v>
      </c>
      <c r="DT151" s="1080">
        <f t="shared" si="391"/>
        <v>0.11516239850093692</v>
      </c>
      <c r="DU151" s="51">
        <f t="shared" si="391"/>
        <v>5.4324151185137733E-2</v>
      </c>
      <c r="DV151" s="51">
        <f>+(DV30-DS30)/DS30</f>
        <v>5.4646495832046928E-2</v>
      </c>
      <c r="DW151" s="1080">
        <f>+(DW30-DT30)/DT30</f>
        <v>5.4470349366379615E-2</v>
      </c>
      <c r="DX151" s="51">
        <f t="shared" si="391"/>
        <v>-1.6648438449386318E-2</v>
      </c>
      <c r="DY151" s="51">
        <f t="shared" si="391"/>
        <v>8.0970031450273511E-2</v>
      </c>
      <c r="DZ151" s="1080">
        <f t="shared" si="391"/>
        <v>2.7633440997826806E-2</v>
      </c>
      <c r="EA151" s="51">
        <f t="shared" si="391"/>
        <v>6.8209352469996626E-2</v>
      </c>
      <c r="EB151" s="51">
        <f t="shared" si="391"/>
        <v>4.1431683333708752E-2</v>
      </c>
      <c r="EC151" s="1080">
        <f t="shared" si="391"/>
        <v>5.543195968125262E-2</v>
      </c>
      <c r="ED151" s="51">
        <f t="shared" ref="ED151:EL151" si="392">+(ED30-EA30)/EA30</f>
        <v>4.610009823651133E-2</v>
      </c>
      <c r="EE151" s="51">
        <f t="shared" si="392"/>
        <v>6.4035890179611518E-2</v>
      </c>
      <c r="EF151" s="1080">
        <f t="shared" si="392"/>
        <v>5.4544921733883679E-2</v>
      </c>
      <c r="EG151" s="51">
        <f t="shared" si="392"/>
        <v>5.8439812985168448E-2</v>
      </c>
      <c r="EH151" s="51">
        <f t="shared" si="392"/>
        <v>6.6693479586202337E-2</v>
      </c>
      <c r="EI151" s="1080">
        <f t="shared" si="392"/>
        <v>6.2360914932264033E-2</v>
      </c>
      <c r="EJ151" s="51">
        <f t="shared" si="392"/>
        <v>5.9191246374713978E-2</v>
      </c>
      <c r="EK151" s="51">
        <f t="shared" si="392"/>
        <v>6.8061711419746956E-2</v>
      </c>
      <c r="EL151" s="1080">
        <f t="shared" si="392"/>
        <v>6.3422559419430397E-2</v>
      </c>
      <c r="EM151" s="51">
        <f t="shared" ref="EM151:FA151" si="393">+(EM30-EJ30)/EJ30</f>
        <v>5.4840934157564442E-2</v>
      </c>
      <c r="EN151" s="51">
        <f t="shared" si="393"/>
        <v>5.6056062884460141E-2</v>
      </c>
      <c r="EO151" s="1080">
        <f t="shared" si="393"/>
        <v>5.5423093047050231E-2</v>
      </c>
      <c r="EP151" s="51">
        <f t="shared" si="393"/>
        <v>5.4107825007549598E-2</v>
      </c>
      <c r="EQ151" s="51">
        <f t="shared" si="393"/>
        <v>5.9207846786665796E-2</v>
      </c>
      <c r="ER151" s="1080">
        <f t="shared" si="393"/>
        <v>5.6552671849173862E-2</v>
      </c>
      <c r="ES151" s="51">
        <f t="shared" si="393"/>
        <v>5.5527523396606153E-2</v>
      </c>
      <c r="ET151" s="51">
        <f t="shared" si="393"/>
        <v>5.9506198593081171E-2</v>
      </c>
      <c r="EU151" s="1080">
        <f t="shared" si="393"/>
        <v>5.7439612604837896E-2</v>
      </c>
      <c r="EV151" s="51">
        <f t="shared" si="393"/>
        <v>5.5870314931013174E-2</v>
      </c>
      <c r="EW151" s="51">
        <f t="shared" si="393"/>
        <v>5.9796717407066977E-2</v>
      </c>
      <c r="EX151" s="1080">
        <f t="shared" si="393"/>
        <v>5.776097044332415E-2</v>
      </c>
      <c r="EY151" s="51">
        <f t="shared" si="393"/>
        <v>5.620772627156069E-2</v>
      </c>
      <c r="EZ151" s="51">
        <f t="shared" si="393"/>
        <v>6.0079623514116658E-2</v>
      </c>
      <c r="FA151" s="1080">
        <f t="shared" si="393"/>
        <v>5.8075724435328248E-2</v>
      </c>
      <c r="FD151"/>
      <c r="FE151"/>
      <c r="FF151"/>
      <c r="FG151"/>
      <c r="FH151"/>
      <c r="FI151"/>
    </row>
    <row r="152" spans="1:169" s="33" customFormat="1" outlineLevel="1">
      <c r="B152" s="54" t="s">
        <v>269</v>
      </c>
      <c r="C152" s="54"/>
      <c r="D152" s="2" t="s">
        <v>507</v>
      </c>
      <c r="E152" s="51"/>
      <c r="F152" s="51"/>
      <c r="G152" s="51"/>
      <c r="H152" s="51"/>
      <c r="I152" s="51"/>
      <c r="J152" s="51"/>
      <c r="K152" s="51"/>
      <c r="L152" s="51"/>
      <c r="M152" s="51"/>
      <c r="N152" s="51"/>
      <c r="O152" s="51"/>
      <c r="P152" s="51"/>
      <c r="Q152" s="51"/>
      <c r="R152" s="51"/>
      <c r="S152" s="51"/>
      <c r="T152" s="51"/>
      <c r="U152" s="51"/>
      <c r="V152" s="51"/>
      <c r="W152" s="51"/>
      <c r="X152" s="51"/>
      <c r="Y152" s="51"/>
      <c r="Z152" s="51"/>
      <c r="AA152" s="51"/>
      <c r="AB152" s="51"/>
      <c r="AC152" s="51"/>
      <c r="AD152" s="51"/>
      <c r="AE152" s="51"/>
      <c r="AF152" s="51"/>
      <c r="AG152" s="51"/>
      <c r="AH152" s="51"/>
      <c r="AI152" s="51"/>
      <c r="AJ152" s="51"/>
      <c r="AK152" s="51"/>
      <c r="AL152" s="51"/>
      <c r="AM152" s="51">
        <f>+(AM55-AJ55)/AJ55</f>
        <v>1508.3333333333335</v>
      </c>
      <c r="AN152" s="51">
        <f>+(AN55-AK55)/AK55</f>
        <v>1508.3333333333335</v>
      </c>
      <c r="AO152" s="51"/>
      <c r="AP152" s="51">
        <f t="shared" ref="AP152:BJ152" si="394">+(AP55-AM55)/AM55</f>
        <v>-0.13815426236749134</v>
      </c>
      <c r="AQ152" s="51">
        <f t="shared" si="394"/>
        <v>9.2093639575971484E-2</v>
      </c>
      <c r="AR152" s="51">
        <f t="shared" si="394"/>
        <v>0.21125831784665172</v>
      </c>
      <c r="AS152" s="51">
        <f t="shared" si="394"/>
        <v>0.11906020275789191</v>
      </c>
      <c r="AT152" s="51">
        <f t="shared" si="394"/>
        <v>0.13849848331648146</v>
      </c>
      <c r="AU152" s="51">
        <f t="shared" si="394"/>
        <v>1.0031180400890869</v>
      </c>
      <c r="AV152" s="51">
        <f t="shared" si="394"/>
        <v>-0.11376354242697462</v>
      </c>
      <c r="AW152" s="51">
        <f t="shared" si="394"/>
        <v>0.13675925309176493</v>
      </c>
      <c r="AX152" s="51">
        <f t="shared" si="394"/>
        <v>-0.31282583450695522</v>
      </c>
      <c r="AY152" s="51">
        <f t="shared" si="394"/>
        <v>0.34080485756734058</v>
      </c>
      <c r="AZ152" s="51">
        <f t="shared" si="394"/>
        <v>8.2453587507446482E-2</v>
      </c>
      <c r="BA152" s="51">
        <f t="shared" si="394"/>
        <v>1.7650654393786855</v>
      </c>
      <c r="BB152" s="51">
        <f t="shared" si="394"/>
        <v>0.51750012044129667</v>
      </c>
      <c r="BC152" s="51">
        <f t="shared" si="394"/>
        <v>0.83053951642006485</v>
      </c>
      <c r="BD152" s="51">
        <f t="shared" si="394"/>
        <v>0.79797213769906283</v>
      </c>
      <c r="BE152" s="51">
        <f t="shared" si="394"/>
        <v>0.22634506660317272</v>
      </c>
      <c r="BF152" s="51">
        <f t="shared" si="394"/>
        <v>0.4430031000951225</v>
      </c>
      <c r="BG152" s="51">
        <f t="shared" si="394"/>
        <v>-4.5120121611475474E-2</v>
      </c>
      <c r="BH152" s="51">
        <f t="shared" si="394"/>
        <v>-0.20371927309666746</v>
      </c>
      <c r="BI152" s="51">
        <f t="shared" si="394"/>
        <v>-0.12881983462041613</v>
      </c>
      <c r="BJ152" s="51">
        <f t="shared" si="394"/>
        <v>-0.32519370744306175</v>
      </c>
      <c r="BK152" s="51"/>
      <c r="BL152" s="51"/>
      <c r="BM152" s="51"/>
      <c r="BN152" s="51"/>
      <c r="BO152" s="51"/>
      <c r="BP152" s="51"/>
      <c r="BQ152" s="51"/>
      <c r="BR152" s="51">
        <f t="shared" ref="BR152:CW152" si="395">+(BR55-BO55)/BO55</f>
        <v>-0.19678482291835048</v>
      </c>
      <c r="BS152" s="51">
        <f t="shared" si="395"/>
        <v>0.22106207301751982</v>
      </c>
      <c r="BT152" s="51">
        <f t="shared" si="395"/>
        <v>0.69685680949610562</v>
      </c>
      <c r="BU152" s="51">
        <f t="shared" si="395"/>
        <v>0.45561920154651814</v>
      </c>
      <c r="BV152" s="51">
        <f t="shared" si="395"/>
        <v>0.45443064069578115</v>
      </c>
      <c r="BW152" s="51">
        <f t="shared" si="395"/>
        <v>2.6053052512495675E-2</v>
      </c>
      <c r="BX152" s="51">
        <f t="shared" si="395"/>
        <v>0.20825041578432757</v>
      </c>
      <c r="BY152" s="51">
        <f t="shared" si="395"/>
        <v>0.23395618359146969</v>
      </c>
      <c r="BZ152" s="51">
        <f t="shared" si="395"/>
        <v>0.26615439916465028</v>
      </c>
      <c r="CA152" s="51">
        <f t="shared" si="395"/>
        <v>0.24966961702046694</v>
      </c>
      <c r="CB152" s="51">
        <f t="shared" si="395"/>
        <v>0.23097853967374932</v>
      </c>
      <c r="CC152" s="51">
        <f t="shared" si="395"/>
        <v>-8.3496063004644613E-2</v>
      </c>
      <c r="CD152" s="51">
        <f t="shared" si="395"/>
        <v>7.5483578396434228E-2</v>
      </c>
      <c r="CE152" s="51">
        <f t="shared" si="395"/>
        <v>-0.17045989465289244</v>
      </c>
      <c r="CF152" s="51">
        <f t="shared" si="395"/>
        <v>5.7062179799623929E-3</v>
      </c>
      <c r="CG152" s="51">
        <f t="shared" si="395"/>
        <v>-9.6229175866035785E-2</v>
      </c>
      <c r="CH152" s="51">
        <f t="shared" si="395"/>
        <v>1.2737810972059819E-2</v>
      </c>
      <c r="CI152" s="51">
        <f t="shared" si="395"/>
        <v>9.2553343924572318E-2</v>
      </c>
      <c r="CJ152" s="51">
        <f t="shared" si="395"/>
        <v>5.0162786997824407E-2</v>
      </c>
      <c r="CK152" s="51">
        <f t="shared" si="395"/>
        <v>0.21146837770890506</v>
      </c>
      <c r="CL152" s="51">
        <f t="shared" si="395"/>
        <v>0.14871924727714367</v>
      </c>
      <c r="CM152" s="51">
        <f t="shared" si="395"/>
        <v>0.18085805906435273</v>
      </c>
      <c r="CN152" s="51">
        <f t="shared" si="395"/>
        <v>3.1289522897550694E-2</v>
      </c>
      <c r="CO152" s="51">
        <f t="shared" si="395"/>
        <v>0.15151248022944114</v>
      </c>
      <c r="CP152" s="51">
        <f t="shared" si="395"/>
        <v>8.834058652581013E-2</v>
      </c>
      <c r="CQ152" s="51">
        <f t="shared" si="395"/>
        <v>6.269315673289165E-2</v>
      </c>
      <c r="CR152" s="51">
        <f t="shared" si="395"/>
        <v>8.0669877408056229E-2</v>
      </c>
      <c r="CS152" s="51">
        <f t="shared" si="395"/>
        <v>7.1719059133875579E-2</v>
      </c>
      <c r="CT152" s="51">
        <f t="shared" si="395"/>
        <v>-5.2711503025278716E-2</v>
      </c>
      <c r="CU152" s="51">
        <f t="shared" si="395"/>
        <v>-0.16119656121468781</v>
      </c>
      <c r="CV152" s="51">
        <f t="shared" si="395"/>
        <v>-0.10763550587149359</v>
      </c>
      <c r="CW152" s="51">
        <f t="shared" si="395"/>
        <v>0.34389655558995857</v>
      </c>
      <c r="CX152" s="51">
        <f t="shared" ref="CX152:EC152" si="396">+(CX55-CU55)/CU55</f>
        <v>4.4758182419203443E-3</v>
      </c>
      <c r="CY152" s="51">
        <f t="shared" si="396"/>
        <v>0.18236828343433745</v>
      </c>
      <c r="CZ152" s="51">
        <f t="shared" si="396"/>
        <v>0.31884563357432616</v>
      </c>
      <c r="DA152" s="51">
        <f t="shared" si="396"/>
        <v>0.27484716875668724</v>
      </c>
      <c r="DB152" s="51">
        <f t="shared" si="396"/>
        <v>0.30105733489500286</v>
      </c>
      <c r="DC152" s="51">
        <f t="shared" si="396"/>
        <v>6.3340755314504518E-2</v>
      </c>
      <c r="DD152" s="51">
        <f t="shared" si="396"/>
        <v>9.4304526723156951E-2</v>
      </c>
      <c r="DE152" s="1080">
        <f t="shared" si="396"/>
        <v>7.5607022786701561E-2</v>
      </c>
      <c r="DF152" s="51">
        <f t="shared" si="396"/>
        <v>6.8551178383685477E-2</v>
      </c>
      <c r="DG152" s="51">
        <f t="shared" si="396"/>
        <v>0.12021098878632791</v>
      </c>
      <c r="DH152" s="1080">
        <f t="shared" si="396"/>
        <v>8.9371908387250995E-2</v>
      </c>
      <c r="DI152" s="51">
        <f t="shared" si="396"/>
        <v>0.41856877581728319</v>
      </c>
      <c r="DJ152" s="51">
        <f t="shared" si="396"/>
        <v>-0.19957662137974269</v>
      </c>
      <c r="DK152" s="1080">
        <f t="shared" si="396"/>
        <v>0.16238156767099174</v>
      </c>
      <c r="DL152" s="51">
        <f t="shared" si="396"/>
        <v>-4.2182543888563934E-2</v>
      </c>
      <c r="DM152" s="51">
        <f t="shared" si="396"/>
        <v>8.5168193070505605E-2</v>
      </c>
      <c r="DN152" s="1080">
        <f t="shared" si="396"/>
        <v>-5.837992382390641E-3</v>
      </c>
      <c r="DO152" s="51">
        <f t="shared" si="396"/>
        <v>8.1574085353217432E-2</v>
      </c>
      <c r="DP152" s="51">
        <f t="shared" si="396"/>
        <v>0.37630963092487729</v>
      </c>
      <c r="DQ152" s="1080">
        <f t="shared" si="396"/>
        <v>0.17338837121889314</v>
      </c>
      <c r="DR152" s="51">
        <f t="shared" si="396"/>
        <v>0.14551609859741221</v>
      </c>
      <c r="DS152" s="51">
        <f t="shared" si="396"/>
        <v>0.12092693889773733</v>
      </c>
      <c r="DT152" s="1080">
        <f t="shared" si="396"/>
        <v>0.13653155952609944</v>
      </c>
      <c r="DU152" s="51">
        <f t="shared" si="396"/>
        <v>3.4612418348717075E-2</v>
      </c>
      <c r="DV152" s="51">
        <f>+(DV55-DS55)/DS55</f>
        <v>0.1033114714155289</v>
      </c>
      <c r="DW152" s="1080">
        <f>+(DW55-DT55)/DT55</f>
        <v>5.9369455687243868E-2</v>
      </c>
      <c r="DX152" s="51">
        <f t="shared" si="396"/>
        <v>-2.1569240387621133E-2</v>
      </c>
      <c r="DY152" s="51">
        <f t="shared" si="396"/>
        <v>0.25125358943425441</v>
      </c>
      <c r="DZ152" s="1080">
        <f t="shared" si="396"/>
        <v>8.0825893163959578E-2</v>
      </c>
      <c r="EA152" s="51">
        <f t="shared" si="396"/>
        <v>6.1090731911597765E-2</v>
      </c>
      <c r="EB152" s="51">
        <f t="shared" si="396"/>
        <v>4.6189972151905415E-2</v>
      </c>
      <c r="EC152" s="1080">
        <f t="shared" si="396"/>
        <v>5.4616375311669532E-2</v>
      </c>
      <c r="ED152" s="51">
        <f t="shared" ref="ED152:EL152" si="397">+(ED55-EA55)/EA55</f>
        <v>8.0508551756427862E-2</v>
      </c>
      <c r="EE152" s="51">
        <f t="shared" si="397"/>
        <v>8.1589972588412676E-2</v>
      </c>
      <c r="EF152" s="1080">
        <f t="shared" si="397"/>
        <v>8.0974673086714091E-2</v>
      </c>
      <c r="EG152" s="51">
        <f t="shared" si="397"/>
        <v>8.1064218922542647E-2</v>
      </c>
      <c r="EH152" s="51">
        <f t="shared" si="397"/>
        <v>0.10211722732502625</v>
      </c>
      <c r="EI152" s="1080">
        <f t="shared" si="397"/>
        <v>9.0143794400748586E-2</v>
      </c>
      <c r="EJ152" s="51">
        <f t="shared" si="397"/>
        <v>7.5345022528086003E-2</v>
      </c>
      <c r="EK152" s="51">
        <f t="shared" si="397"/>
        <v>9.4364050856660789E-2</v>
      </c>
      <c r="EL152" s="1080">
        <f t="shared" si="397"/>
        <v>8.363748870482321E-2</v>
      </c>
      <c r="EM152" s="51">
        <f t="shared" ref="EM152:FA152" si="398">+(EM55-EJ55)/EJ55</f>
        <v>8.0641769768471358E-2</v>
      </c>
      <c r="EN152" s="51">
        <f t="shared" si="398"/>
        <v>8.1436830454541365E-2</v>
      </c>
      <c r="EO152" s="1080">
        <f t="shared" si="398"/>
        <v>8.0991854733586333E-2</v>
      </c>
      <c r="EP152" s="51">
        <f t="shared" si="398"/>
        <v>7.0606697212089772E-2</v>
      </c>
      <c r="EQ152" s="51">
        <f t="shared" si="398"/>
        <v>8.4370358778961194E-2</v>
      </c>
      <c r="ER152" s="1080">
        <f t="shared" si="398"/>
        <v>7.6669673931129764E-2</v>
      </c>
      <c r="ES152" s="51">
        <f t="shared" si="398"/>
        <v>6.2997996808521875E-2</v>
      </c>
      <c r="ET152" s="51">
        <f t="shared" si="398"/>
        <v>7.193535218976968E-2</v>
      </c>
      <c r="EU152" s="1080">
        <f t="shared" si="398"/>
        <v>6.6963114657772882E-2</v>
      </c>
      <c r="EV152" s="51">
        <f t="shared" si="398"/>
        <v>5.4390774852444763E-2</v>
      </c>
      <c r="EW152" s="51">
        <f t="shared" si="398"/>
        <v>5.9934615740628305E-2</v>
      </c>
      <c r="EX152" s="1080">
        <f t="shared" si="398"/>
        <v>5.6861799160843274E-2</v>
      </c>
      <c r="EY152" s="51">
        <f t="shared" si="398"/>
        <v>5.4806087130082566E-2</v>
      </c>
      <c r="EZ152" s="51">
        <f t="shared" si="398"/>
        <v>6.0261060307839898E-2</v>
      </c>
      <c r="FA152" s="1080">
        <f t="shared" si="398"/>
        <v>5.7244570259849095E-2</v>
      </c>
      <c r="FD152"/>
      <c r="FE152"/>
      <c r="FF152"/>
      <c r="FG152"/>
      <c r="FH152"/>
      <c r="FI152"/>
    </row>
    <row r="153" spans="1:169" s="33" customFormat="1" outlineLevel="1">
      <c r="B153" s="54" t="s">
        <v>270</v>
      </c>
      <c r="C153" s="54"/>
      <c r="D153" s="2" t="s">
        <v>507</v>
      </c>
      <c r="E153" s="51"/>
      <c r="F153" s="51"/>
      <c r="G153" s="51"/>
      <c r="H153" s="51"/>
      <c r="I153" s="51"/>
      <c r="J153" s="51"/>
      <c r="K153" s="51"/>
      <c r="L153" s="51"/>
      <c r="M153" s="51"/>
      <c r="N153" s="51"/>
      <c r="O153" s="51"/>
      <c r="P153" s="51"/>
      <c r="Q153" s="51"/>
      <c r="R153" s="51"/>
      <c r="S153" s="51"/>
      <c r="T153" s="51"/>
      <c r="U153" s="51"/>
      <c r="V153" s="51"/>
      <c r="W153" s="51"/>
      <c r="X153" s="51"/>
      <c r="Y153" s="51"/>
      <c r="Z153" s="51"/>
      <c r="AA153" s="51"/>
      <c r="AB153" s="51"/>
      <c r="AC153" s="51"/>
      <c r="AD153" s="51"/>
      <c r="AE153" s="51"/>
      <c r="AF153" s="51"/>
      <c r="AG153" s="51"/>
      <c r="AH153" s="51"/>
      <c r="AI153" s="51"/>
      <c r="AJ153" s="51"/>
      <c r="AK153" s="51"/>
      <c r="AL153" s="51"/>
      <c r="AM153" s="51"/>
      <c r="AN153" s="51"/>
      <c r="AO153" s="51"/>
      <c r="AP153" s="51">
        <f t="shared" ref="AP153:BS153" si="399">+(AP61-AM61)/AM61</f>
        <v>-0.24713443779293728</v>
      </c>
      <c r="AQ153" s="51">
        <f t="shared" si="399"/>
        <v>0.13991368508979521</v>
      </c>
      <c r="AR153" s="51">
        <f t="shared" si="399"/>
        <v>0.21125831784665172</v>
      </c>
      <c r="AS153" s="51">
        <f t="shared" si="399"/>
        <v>0.18467038555182338</v>
      </c>
      <c r="AT153" s="51">
        <f t="shared" si="399"/>
        <v>0.19369809477283845</v>
      </c>
      <c r="AU153" s="51">
        <f t="shared" si="399"/>
        <v>0.17366988369215544</v>
      </c>
      <c r="AV153" s="51">
        <f t="shared" si="399"/>
        <v>0.19178438564999106</v>
      </c>
      <c r="AW153" s="51">
        <f t="shared" si="399"/>
        <v>0.18554327808471469</v>
      </c>
      <c r="AX153" s="51">
        <f t="shared" si="399"/>
        <v>8.8470945433077625E-2</v>
      </c>
      <c r="AY153" s="51">
        <f t="shared" si="399"/>
        <v>0.12758944358341878</v>
      </c>
      <c r="AZ153" s="51">
        <f t="shared" si="399"/>
        <v>0.11424667385832431</v>
      </c>
      <c r="BA153" s="51">
        <f t="shared" si="399"/>
        <v>1.0908492174182551</v>
      </c>
      <c r="BB153" s="51">
        <f t="shared" si="399"/>
        <v>0.92107402818646378</v>
      </c>
      <c r="BC153" s="51">
        <f t="shared" si="399"/>
        <v>0.97764238137037196</v>
      </c>
      <c r="BD153" s="51">
        <f t="shared" si="399"/>
        <v>1.0120254220015195</v>
      </c>
      <c r="BE153" s="51">
        <f t="shared" si="399"/>
        <v>0.27604171915150955</v>
      </c>
      <c r="BF153" s="51">
        <f t="shared" si="399"/>
        <v>0.53530586668755431</v>
      </c>
      <c r="BG153" s="51">
        <f t="shared" si="399"/>
        <v>-8.8841205669186837E-2</v>
      </c>
      <c r="BH153" s="51">
        <f t="shared" si="399"/>
        <v>-0.27300439081403832</v>
      </c>
      <c r="BI153" s="51">
        <f t="shared" si="399"/>
        <v>-0.18798546011096245</v>
      </c>
      <c r="BJ153" s="51">
        <f t="shared" si="399"/>
        <v>-0.41750555892460084</v>
      </c>
      <c r="BK153" s="51"/>
      <c r="BL153" s="51"/>
      <c r="BM153" s="51"/>
      <c r="BN153" s="51"/>
      <c r="BO153" s="51"/>
      <c r="BP153" s="51"/>
      <c r="BQ153" s="51"/>
      <c r="BR153" s="51">
        <f t="shared" si="399"/>
        <v>-0.21605737608425815</v>
      </c>
      <c r="BS153" s="51">
        <f t="shared" si="399"/>
        <v>0.43345672807052926</v>
      </c>
      <c r="BT153" s="51">
        <f t="shared" ref="BT153:CY153" si="400">+(BT61-BQ61)/BQ61</f>
        <v>0.69205433847950026</v>
      </c>
      <c r="BU153" s="51">
        <f t="shared" si="400"/>
        <v>0.5580747744202974</v>
      </c>
      <c r="BV153" s="51">
        <f t="shared" si="400"/>
        <v>0.30880723190679615</v>
      </c>
      <c r="BW153" s="51">
        <f t="shared" si="400"/>
        <v>0.15231028526270896</v>
      </c>
      <c r="BX153" s="51">
        <f t="shared" si="400"/>
        <v>0.22690640074369953</v>
      </c>
      <c r="BY153" s="51">
        <f t="shared" si="400"/>
        <v>0.2469082930492327</v>
      </c>
      <c r="BZ153" s="51">
        <f t="shared" si="400"/>
        <v>0.29540592967975593</v>
      </c>
      <c r="CA153" s="51">
        <f t="shared" si="400"/>
        <v>0.27074581038861362</v>
      </c>
      <c r="CB153" s="51">
        <f t="shared" si="400"/>
        <v>0.26693696491219826</v>
      </c>
      <c r="CC153" s="51">
        <f t="shared" si="400"/>
        <v>-0.10561293828838841</v>
      </c>
      <c r="CD153" s="51">
        <f t="shared" si="400"/>
        <v>8.0268010106593249E-2</v>
      </c>
      <c r="CE153" s="51">
        <f t="shared" si="400"/>
        <v>-0.19638243293887406</v>
      </c>
      <c r="CF153" s="51">
        <f t="shared" si="400"/>
        <v>-2.1664079568731214E-2</v>
      </c>
      <c r="CG153" s="51">
        <f t="shared" si="400"/>
        <v>-0.12390210303384099</v>
      </c>
      <c r="CH153" s="51">
        <f t="shared" si="400"/>
        <v>-7.5632595029829293E-4</v>
      </c>
      <c r="CI153" s="51">
        <f t="shared" si="400"/>
        <v>0.12471012731163922</v>
      </c>
      <c r="CJ153" s="51">
        <f t="shared" si="400"/>
        <v>5.7366218220633085E-2</v>
      </c>
      <c r="CK153" s="51">
        <f t="shared" si="400"/>
        <v>0.23772198242639123</v>
      </c>
      <c r="CL153" s="51">
        <f t="shared" si="400"/>
        <v>0.13292413589894361</v>
      </c>
      <c r="CM153" s="51">
        <f t="shared" si="400"/>
        <v>0.18608218522483946</v>
      </c>
      <c r="CN153" s="51">
        <f t="shared" si="400"/>
        <v>3.7475857357656225E-2</v>
      </c>
      <c r="CO153" s="51">
        <f t="shared" si="400"/>
        <v>0.16760914181559772</v>
      </c>
      <c r="CP153" s="51">
        <f t="shared" si="400"/>
        <v>9.8725929833975087E-2</v>
      </c>
      <c r="CQ153" s="51">
        <f t="shared" si="400"/>
        <v>6.9147659063625341E-2</v>
      </c>
      <c r="CR153" s="51">
        <f t="shared" si="400"/>
        <v>9.692898272552776E-2</v>
      </c>
      <c r="CS153" s="51">
        <f t="shared" si="400"/>
        <v>8.3043321732869227E-2</v>
      </c>
      <c r="CT153" s="51">
        <f t="shared" si="400"/>
        <v>-7.4388766127036099E-2</v>
      </c>
      <c r="CU153" s="51">
        <f t="shared" si="400"/>
        <v>-0.19001461601843986</v>
      </c>
      <c r="CV153" s="51">
        <f t="shared" si="400"/>
        <v>-0.13296398891966746</v>
      </c>
      <c r="CW153" s="51">
        <f t="shared" si="400"/>
        <v>0.3647126423805222</v>
      </c>
      <c r="CX153" s="51">
        <f t="shared" si="400"/>
        <v>-2.0725878551906045E-2</v>
      </c>
      <c r="CY153" s="51">
        <f t="shared" si="400"/>
        <v>0.1823003194888177</v>
      </c>
      <c r="CZ153" s="51">
        <f t="shared" ref="CZ153:DQ153" si="401">+(CZ61-CW61)/CW61</f>
        <v>0.33538586050849034</v>
      </c>
      <c r="DA153" s="51">
        <f t="shared" si="401"/>
        <v>0.29021219761195138</v>
      </c>
      <c r="DB153" s="51">
        <f t="shared" si="401"/>
        <v>0.31767821434361992</v>
      </c>
      <c r="DC153" s="51">
        <f t="shared" si="401"/>
        <v>5.7838235372899456E-2</v>
      </c>
      <c r="DD153" s="51">
        <f t="shared" si="401"/>
        <v>8.6888099114979189E-2</v>
      </c>
      <c r="DE153" s="1080">
        <f t="shared" si="401"/>
        <v>6.8988146507526465E-2</v>
      </c>
      <c r="DF153" s="51">
        <f t="shared" si="401"/>
        <v>4.9848351371759407E-2</v>
      </c>
      <c r="DG153" s="51">
        <f t="shared" si="401"/>
        <v>0.10177080670533828</v>
      </c>
      <c r="DH153" s="1080">
        <f t="shared" si="401"/>
        <v>7.0110918735371841E-2</v>
      </c>
      <c r="DI153" s="51">
        <f t="shared" si="401"/>
        <v>0.44198282625647384</v>
      </c>
      <c r="DJ153" s="51">
        <f t="shared" si="401"/>
        <v>-0.24964665651677276</v>
      </c>
      <c r="DK153" s="1080">
        <f t="shared" si="401"/>
        <v>0.16409135770931346</v>
      </c>
      <c r="DL153" s="51">
        <f t="shared" si="401"/>
        <v>-5.2874836151506385E-2</v>
      </c>
      <c r="DM153" s="51">
        <f t="shared" si="401"/>
        <v>7.090661150693138E-2</v>
      </c>
      <c r="DN153" s="1080">
        <f t="shared" si="401"/>
        <v>-2.0816865249985498E-2</v>
      </c>
      <c r="DO153" s="51">
        <f t="shared" si="401"/>
        <v>7.9292697814307048E-2</v>
      </c>
      <c r="DP153" s="51">
        <f t="shared" si="401"/>
        <v>0.44811830056156871</v>
      </c>
      <c r="DQ153" s="1080">
        <f t="shared" si="401"/>
        <v>0.18376212386972543</v>
      </c>
      <c r="DR153" s="51">
        <f t="shared" ref="DR153:DZ153" si="402">+(DR61-DO61)/DO61</f>
        <v>0.15682390634894677</v>
      </c>
      <c r="DS153" s="51">
        <f t="shared" si="402"/>
        <v>0.12042373766032667</v>
      </c>
      <c r="DT153" s="1080">
        <f t="shared" si="402"/>
        <v>0.14421111689244853</v>
      </c>
      <c r="DU153" s="51">
        <f t="shared" si="402"/>
        <v>3.0587526718671501E-2</v>
      </c>
      <c r="DV153" s="51">
        <f>+(DV61-DS61)/DS61</f>
        <v>0.12249694517418623</v>
      </c>
      <c r="DW153" s="1080">
        <f>+(DW61-DT61)/DT61</f>
        <v>6.1772394456526297E-2</v>
      </c>
      <c r="DX153" s="51">
        <f t="shared" si="402"/>
        <v>-2.660300136425648E-2</v>
      </c>
      <c r="DY153" s="51">
        <f t="shared" si="402"/>
        <v>0.31281536518268394</v>
      </c>
      <c r="DZ153" s="1080">
        <f t="shared" si="402"/>
        <v>9.5148118744444815E-2</v>
      </c>
      <c r="EA153" s="51">
        <f t="shared" ref="EA153:EF153" si="403">+(EA61-DX61)/DX61</f>
        <v>5.7699978302995281E-2</v>
      </c>
      <c r="EB153" s="51">
        <f t="shared" si="403"/>
        <v>4.3559344715708749E-2</v>
      </c>
      <c r="EC153" s="1080">
        <f t="shared" si="403"/>
        <v>5.1619506415769442E-2</v>
      </c>
      <c r="ED153" s="51">
        <f t="shared" si="403"/>
        <v>7.6468296949805975E-2</v>
      </c>
      <c r="EE153" s="51">
        <f t="shared" si="403"/>
        <v>7.4587217760609004E-2</v>
      </c>
      <c r="EF153" s="1080">
        <f t="shared" si="403"/>
        <v>7.5665632528731874E-2</v>
      </c>
      <c r="EG153" s="51">
        <f t="shared" ref="EG153:EL153" si="404">+(EG61-ED61)/ED61</f>
        <v>7.606178670451974E-2</v>
      </c>
      <c r="EH153" s="51">
        <f t="shared" si="404"/>
        <v>9.7580844086789215E-2</v>
      </c>
      <c r="EI153" s="1080">
        <f t="shared" si="404"/>
        <v>8.5234853478480838E-2</v>
      </c>
      <c r="EJ153" s="51">
        <f t="shared" si="404"/>
        <v>7.7113627310639227E-2</v>
      </c>
      <c r="EK153" s="51">
        <f t="shared" si="404"/>
        <v>9.7829820910587117E-2</v>
      </c>
      <c r="EL153" s="1080">
        <f t="shared" si="404"/>
        <v>8.6044914568904937E-2</v>
      </c>
      <c r="EM153" s="51">
        <f t="shared" ref="EM153:FA153" si="405">+(EM61-EJ61)/EJ61</f>
        <v>8.3419585088041065E-2</v>
      </c>
      <c r="EN153" s="51">
        <f t="shared" si="405"/>
        <v>8.4690485011186908E-2</v>
      </c>
      <c r="EO153" s="1080">
        <f t="shared" si="405"/>
        <v>8.3973448513761859E-2</v>
      </c>
      <c r="EP153" s="51">
        <f t="shared" si="405"/>
        <v>7.2336171653277992E-2</v>
      </c>
      <c r="EQ153" s="51">
        <f t="shared" si="405"/>
        <v>8.751088069335046E-2</v>
      </c>
      <c r="ER153" s="1080">
        <f t="shared" si="405"/>
        <v>7.8953746969294122E-2</v>
      </c>
      <c r="ES153" s="51">
        <f t="shared" si="405"/>
        <v>6.3767768783206058E-2</v>
      </c>
      <c r="ET153" s="51">
        <f t="shared" si="405"/>
        <v>7.344625652364227E-2</v>
      </c>
      <c r="EU153" s="1080">
        <f t="shared" si="405"/>
        <v>6.8021958051250761E-2</v>
      </c>
      <c r="EV153" s="51">
        <f t="shared" si="405"/>
        <v>5.4239501148760041E-2</v>
      </c>
      <c r="EW153" s="51">
        <f t="shared" si="405"/>
        <v>5.9951161154149474E-2</v>
      </c>
      <c r="EX153" s="1080">
        <f t="shared" si="405"/>
        <v>5.6762817924698075E-2</v>
      </c>
      <c r="EY153" s="51">
        <f t="shared" si="405"/>
        <v>5.4662556623295104E-2</v>
      </c>
      <c r="EZ153" s="51">
        <f t="shared" si="405"/>
        <v>6.0282826411126388E-2</v>
      </c>
      <c r="FA153" s="1080">
        <f t="shared" si="405"/>
        <v>5.7152989962308297E-2</v>
      </c>
      <c r="FD153"/>
      <c r="FE153"/>
      <c r="FF153"/>
      <c r="FG153"/>
      <c r="FH153"/>
      <c r="FI153"/>
    </row>
    <row r="154" spans="1:169" s="33" customFormat="1" outlineLevel="1">
      <c r="B154" s="54" t="s">
        <v>333</v>
      </c>
      <c r="C154" s="54"/>
      <c r="D154" s="2" t="s">
        <v>507</v>
      </c>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f t="shared" ref="AP154:BS154" si="406">+(AP69-AM69)/AM69</f>
        <v>-0.25827366653450584</v>
      </c>
      <c r="AQ154" s="51">
        <f t="shared" si="406"/>
        <v>0.13076941017328619</v>
      </c>
      <c r="AR154" s="51">
        <f t="shared" si="406"/>
        <v>0.21125831784665172</v>
      </c>
      <c r="AS154" s="51">
        <f t="shared" si="406"/>
        <v>0.20262239411376309</v>
      </c>
      <c r="AT154" s="51">
        <f t="shared" si="406"/>
        <v>0.20559359788796314</v>
      </c>
      <c r="AU154" s="51">
        <f t="shared" si="406"/>
        <v>0.17366988369215544</v>
      </c>
      <c r="AV154" s="51">
        <f t="shared" si="406"/>
        <v>0.1905770387219913</v>
      </c>
      <c r="AW154" s="51">
        <f t="shared" si="406"/>
        <v>0.18473277218914669</v>
      </c>
      <c r="AX154" s="51">
        <f t="shared" si="406"/>
        <v>8.8470945433077625E-2</v>
      </c>
      <c r="AY154" s="51">
        <f t="shared" si="406"/>
        <v>0.12754743499648644</v>
      </c>
      <c r="AZ154" s="51">
        <f t="shared" si="406"/>
        <v>0.11416606498194955</v>
      </c>
      <c r="BA154" s="51">
        <f t="shared" si="406"/>
        <v>1.0908492174182551</v>
      </c>
      <c r="BB154" s="51">
        <f t="shared" si="406"/>
        <v>0.92489872234340875</v>
      </c>
      <c r="BC154" s="51">
        <f t="shared" si="406"/>
        <v>0.98041629944527942</v>
      </c>
      <c r="BD154" s="51">
        <f t="shared" si="406"/>
        <v>1.0120254220015195</v>
      </c>
      <c r="BE154" s="51">
        <f t="shared" si="406"/>
        <v>0.28124494090982716</v>
      </c>
      <c r="BF154" s="51">
        <f t="shared" si="406"/>
        <v>0.53935510893253347</v>
      </c>
      <c r="BG154" s="51">
        <f t="shared" si="406"/>
        <v>-8.8841205669186837E-2</v>
      </c>
      <c r="BH154" s="51">
        <f t="shared" si="406"/>
        <v>-0.30650409072243129</v>
      </c>
      <c r="BI154" s="51">
        <f t="shared" si="406"/>
        <v>-0.2060200242331485</v>
      </c>
      <c r="BJ154" s="51">
        <f t="shared" si="406"/>
        <v>-0.44783707297351938</v>
      </c>
      <c r="BK154" s="51"/>
      <c r="BL154" s="51"/>
      <c r="BM154" s="51"/>
      <c r="BN154" s="51"/>
      <c r="BO154" s="51"/>
      <c r="BP154" s="51"/>
      <c r="BQ154" s="51"/>
      <c r="BR154" s="51">
        <f t="shared" si="406"/>
        <v>-0.22711652280394254</v>
      </c>
      <c r="BS154" s="51">
        <f t="shared" si="406"/>
        <v>0.43345672807052926</v>
      </c>
      <c r="BT154" s="51">
        <f t="shared" ref="BT154:CY154" si="407">+(BT69-BQ69)/BQ69</f>
        <v>0.63055958822753022</v>
      </c>
      <c r="BU154" s="51">
        <f t="shared" si="407"/>
        <v>0.5262479345903448</v>
      </c>
      <c r="BV154" s="51">
        <f t="shared" si="407"/>
        <v>0.27957093825902912</v>
      </c>
      <c r="BW154" s="51">
        <f t="shared" si="407"/>
        <v>0.18046702685202051</v>
      </c>
      <c r="BX154" s="51">
        <f t="shared" si="407"/>
        <v>0.22972654933116224</v>
      </c>
      <c r="BY154" s="51">
        <f t="shared" si="407"/>
        <v>0.25254978047585241</v>
      </c>
      <c r="BZ154" s="51">
        <f t="shared" si="407"/>
        <v>0.34547269145061082</v>
      </c>
      <c r="CA154" s="51">
        <f t="shared" si="407"/>
        <v>0.29741332660904479</v>
      </c>
      <c r="CB154" s="51">
        <f t="shared" si="407"/>
        <v>0.27135319687131709</v>
      </c>
      <c r="CC154" s="51">
        <f t="shared" si="407"/>
        <v>-0.10659449414414106</v>
      </c>
      <c r="CD154" s="51">
        <f t="shared" si="407"/>
        <v>8.2119261412432684E-2</v>
      </c>
      <c r="CE154" s="51">
        <f t="shared" si="407"/>
        <v>-0.20106917346309455</v>
      </c>
      <c r="CF154" s="51">
        <f t="shared" si="407"/>
        <v>-2.4669198951494074E-2</v>
      </c>
      <c r="CG154" s="51">
        <f t="shared" si="407"/>
        <v>-0.12815040248509554</v>
      </c>
      <c r="CH154" s="51">
        <f t="shared" si="407"/>
        <v>-3.3833711709106229E-3</v>
      </c>
      <c r="CI154" s="51">
        <f t="shared" si="407"/>
        <v>0.12448636471186557</v>
      </c>
      <c r="CJ154" s="51">
        <f t="shared" si="407"/>
        <v>5.5748137321834298E-2</v>
      </c>
      <c r="CK154" s="51">
        <f t="shared" si="407"/>
        <v>0.24327220381763681</v>
      </c>
      <c r="CL154" s="51">
        <f t="shared" si="407"/>
        <v>0.13386773357784934</v>
      </c>
      <c r="CM154" s="51">
        <f t="shared" si="407"/>
        <v>0.18938568508114703</v>
      </c>
      <c r="CN154" s="51">
        <f t="shared" si="407"/>
        <v>3.7925848572582389E-2</v>
      </c>
      <c r="CO154" s="51">
        <f t="shared" si="407"/>
        <v>0.17424873435018967</v>
      </c>
      <c r="CP154" s="51">
        <f t="shared" si="407"/>
        <v>0.10193668770655274</v>
      </c>
      <c r="CQ154" s="51">
        <f t="shared" si="407"/>
        <v>7.3716381418092849E-2</v>
      </c>
      <c r="CR154" s="51">
        <f t="shared" si="407"/>
        <v>0.1007080078125</v>
      </c>
      <c r="CS154" s="51">
        <f t="shared" si="407"/>
        <v>8.7222086489127743E-2</v>
      </c>
      <c r="CT154" s="51">
        <f t="shared" si="407"/>
        <v>-7.7991574632813268E-2</v>
      </c>
      <c r="CU154" s="51">
        <f t="shared" si="407"/>
        <v>-0.20294998336475534</v>
      </c>
      <c r="CV154" s="51">
        <f t="shared" si="407"/>
        <v>-0.14129213483146055</v>
      </c>
      <c r="CW154" s="51">
        <f t="shared" si="407"/>
        <v>0.35181526302790805</v>
      </c>
      <c r="CX154" s="51">
        <f t="shared" si="407"/>
        <v>-4.8003339362738741E-2</v>
      </c>
      <c r="CY154" s="51">
        <f t="shared" si="407"/>
        <v>0.16382073928688229</v>
      </c>
      <c r="CZ154" s="51">
        <f t="shared" ref="CZ154:DQ154" si="408">+(CZ69-CW69)/CW69</f>
        <v>0.34759211936791051</v>
      </c>
      <c r="DA154" s="51">
        <f t="shared" si="408"/>
        <v>0.32284552313351106</v>
      </c>
      <c r="DB154" s="51">
        <f t="shared" si="408"/>
        <v>0.33807409073022648</v>
      </c>
      <c r="DC154" s="51">
        <f t="shared" si="408"/>
        <v>5.273212271621272E-2</v>
      </c>
      <c r="DD154" s="51">
        <f t="shared" si="408"/>
        <v>5.0723184511792557E-2</v>
      </c>
      <c r="DE154" s="1080">
        <f t="shared" si="408"/>
        <v>5.1968239297567657E-2</v>
      </c>
      <c r="DF154" s="51">
        <f t="shared" si="408"/>
        <v>5.0881519639407603E-2</v>
      </c>
      <c r="DG154" s="51">
        <f t="shared" si="408"/>
        <v>0.14039020767613017</v>
      </c>
      <c r="DH154" s="1080">
        <f t="shared" si="408"/>
        <v>8.4876233027156467E-2</v>
      </c>
      <c r="DI154" s="51">
        <f t="shared" si="408"/>
        <v>0.4447635382921401</v>
      </c>
      <c r="DJ154" s="51">
        <f t="shared" si="408"/>
        <v>-0.2688831996381042</v>
      </c>
      <c r="DK154" s="1080">
        <f t="shared" si="408"/>
        <v>0.15985677307540597</v>
      </c>
      <c r="DL154" s="51">
        <f t="shared" si="408"/>
        <v>-5.3632019393917631E-2</v>
      </c>
      <c r="DM154" s="51">
        <f t="shared" si="408"/>
        <v>7.3113652223162212E-2</v>
      </c>
      <c r="DN154" s="1080">
        <f t="shared" si="408"/>
        <v>-2.1736108112492936E-2</v>
      </c>
      <c r="DO154" s="51">
        <f t="shared" si="408"/>
        <v>7.8236249066912442E-2</v>
      </c>
      <c r="DP154" s="51">
        <f t="shared" si="408"/>
        <v>0.47059708552206247</v>
      </c>
      <c r="DQ154" s="1080">
        <f t="shared" si="408"/>
        <v>0.18654841124947094</v>
      </c>
      <c r="DR154" s="51">
        <f t="shared" ref="DR154:DZ154" si="409">+(DR69-DO69)/DO69</f>
        <v>0.16166958608501797</v>
      </c>
      <c r="DS154" s="51">
        <f t="shared" si="409"/>
        <v>0.12046076404048631</v>
      </c>
      <c r="DT154" s="1080">
        <f t="shared" si="409"/>
        <v>0.14757053081667273</v>
      </c>
      <c r="DU154" s="51">
        <f t="shared" si="409"/>
        <v>2.9703576050858757E-2</v>
      </c>
      <c r="DV154" s="51">
        <f>+(DV69-DS69)/DS69</f>
        <v>0.13407111792076828</v>
      </c>
      <c r="DW154" s="1080">
        <f>+(DW69-DT69)/DT69</f>
        <v>6.4568003164921617E-2</v>
      </c>
      <c r="DX154" s="51">
        <f t="shared" si="409"/>
        <v>-2.5364836692147324E-2</v>
      </c>
      <c r="DY154" s="51">
        <f t="shared" si="409"/>
        <v>0.31733554530636232</v>
      </c>
      <c r="DZ154" s="1080">
        <f t="shared" si="409"/>
        <v>9.6589865048593571E-2</v>
      </c>
      <c r="EA154" s="51">
        <f t="shared" ref="EA154:EF154" si="410">+(EA69-DX69)/DX69</f>
        <v>5.1819588399039905E-2</v>
      </c>
      <c r="EB154" s="51">
        <f t="shared" si="410"/>
        <v>4.3646599354178431E-2</v>
      </c>
      <c r="EC154" s="1080">
        <f t="shared" si="410"/>
        <v>4.8325635393025396E-2</v>
      </c>
      <c r="ED154" s="51">
        <f t="shared" si="410"/>
        <v>7.7196423641482867E-2</v>
      </c>
      <c r="EE154" s="51">
        <f t="shared" si="410"/>
        <v>7.4924053016946268E-2</v>
      </c>
      <c r="EF154" s="1080">
        <f t="shared" si="410"/>
        <v>7.6229321009271017E-2</v>
      </c>
      <c r="EG154" s="51">
        <f t="shared" ref="EG154:EL154" si="411">+(EG69-ED69)/ED69</f>
        <v>7.6487737946523332E-2</v>
      </c>
      <c r="EH154" s="51">
        <f t="shared" si="411"/>
        <v>9.8472448204169991E-2</v>
      </c>
      <c r="EI154" s="1080">
        <f t="shared" si="411"/>
        <v>8.5832905798898559E-2</v>
      </c>
      <c r="EJ154" s="51">
        <f t="shared" si="411"/>
        <v>7.7537438881364926E-2</v>
      </c>
      <c r="EK154" s="51">
        <f t="shared" si="411"/>
        <v>9.8663029262626975E-2</v>
      </c>
      <c r="EL154" s="1080">
        <f t="shared" si="411"/>
        <v>8.6621946312373022E-2</v>
      </c>
      <c r="EM154" s="51">
        <f t="shared" ref="EM154:FA154" si="412">+(EM69-EJ69)/EJ69</f>
        <v>8.4062944114523225E-2</v>
      </c>
      <c r="EN154" s="51">
        <f t="shared" si="412"/>
        <v>8.5460910314942767E-2</v>
      </c>
      <c r="EO154" s="1080">
        <f t="shared" si="412"/>
        <v>8.4670764468895821E-2</v>
      </c>
      <c r="EP154" s="51">
        <f t="shared" si="412"/>
        <v>7.2742168721754166E-2</v>
      </c>
      <c r="EQ154" s="51">
        <f t="shared" si="412"/>
        <v>8.8251580685219516E-2</v>
      </c>
      <c r="ER154" s="1080">
        <f t="shared" si="412"/>
        <v>7.9490403032503473E-2</v>
      </c>
      <c r="ES154" s="51">
        <f t="shared" si="412"/>
        <v>6.39594749308635E-2</v>
      </c>
      <c r="ET154" s="51">
        <f t="shared" si="412"/>
        <v>7.381379590338781E-2</v>
      </c>
      <c r="EU154" s="1080">
        <f t="shared" si="412"/>
        <v>6.8281945516481049E-2</v>
      </c>
      <c r="EV154" s="51">
        <f t="shared" si="412"/>
        <v>5.4226437659364767E-2</v>
      </c>
      <c r="EW154" s="51">
        <f t="shared" si="412"/>
        <v>5.9979836415362267E-2</v>
      </c>
      <c r="EX154" s="1080">
        <f t="shared" si="412"/>
        <v>5.676315985228151E-2</v>
      </c>
      <c r="EY154" s="51">
        <f t="shared" si="412"/>
        <v>5.465038559049009E-2</v>
      </c>
      <c r="EZ154" s="51">
        <f t="shared" si="412"/>
        <v>6.0311468940782188E-2</v>
      </c>
      <c r="FA154" s="1080">
        <f t="shared" si="412"/>
        <v>5.7154002762444166E-2</v>
      </c>
      <c r="FD154"/>
      <c r="FE154"/>
      <c r="FF154"/>
      <c r="FG154"/>
      <c r="FH154"/>
      <c r="FI154"/>
    </row>
    <row r="155" spans="1:169" s="33" customFormat="1" outlineLevel="1">
      <c r="B155" s="54" t="s">
        <v>334</v>
      </c>
      <c r="C155" s="54"/>
      <c r="D155" s="2" t="s">
        <v>507</v>
      </c>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f t="shared" ref="AP155:BS155" si="413">+(AP73-AM73)/AM73</f>
        <v>-0.24451983926466009</v>
      </c>
      <c r="AQ155" s="51">
        <f t="shared" si="413"/>
        <v>0.15686132967588226</v>
      </c>
      <c r="AR155" s="51">
        <f t="shared" si="413"/>
        <v>0.21125831784665172</v>
      </c>
      <c r="AS155" s="51">
        <f t="shared" si="413"/>
        <v>0.21817371086409548</v>
      </c>
      <c r="AT155" s="51">
        <f t="shared" si="413"/>
        <v>0.21577436665418701</v>
      </c>
      <c r="AU155" s="51">
        <f t="shared" si="413"/>
        <v>0.17366988369215544</v>
      </c>
      <c r="AV155" s="51">
        <f t="shared" si="413"/>
        <v>0.17705963866447055</v>
      </c>
      <c r="AW155" s="51">
        <f t="shared" si="413"/>
        <v>0.17588790802709928</v>
      </c>
      <c r="AX155" s="51">
        <f t="shared" si="413"/>
        <v>8.8470945433077625E-2</v>
      </c>
      <c r="AY155" s="51">
        <f t="shared" si="413"/>
        <v>0.14049623492303254</v>
      </c>
      <c r="AZ155" s="51">
        <f t="shared" si="413"/>
        <v>0.1225466660847046</v>
      </c>
      <c r="BA155" s="51">
        <f t="shared" si="413"/>
        <v>0.7004881450488144</v>
      </c>
      <c r="BB155" s="51">
        <f t="shared" si="413"/>
        <v>0.64981302586475509</v>
      </c>
      <c r="BC155" s="51">
        <f t="shared" si="413"/>
        <v>0.66676603245373001</v>
      </c>
      <c r="BD155" s="51">
        <f t="shared" si="413"/>
        <v>1.0178388353496002</v>
      </c>
      <c r="BE155" s="51">
        <f t="shared" si="413"/>
        <v>0.15115455446947179</v>
      </c>
      <c r="BF155" s="51">
        <f t="shared" si="413"/>
        <v>0.44696386497772195</v>
      </c>
      <c r="BG155" s="51">
        <f t="shared" si="413"/>
        <v>-0.18057108017477894</v>
      </c>
      <c r="BH155" s="51">
        <f t="shared" si="413"/>
        <v>-0.35707400114857668</v>
      </c>
      <c r="BI155" s="51">
        <f t="shared" si="413"/>
        <v>-0.27306388078309984</v>
      </c>
      <c r="BJ155" s="51">
        <f t="shared" si="413"/>
        <v>-0.24725804673721347</v>
      </c>
      <c r="BK155" s="51"/>
      <c r="BL155" s="51"/>
      <c r="BM155" s="51"/>
      <c r="BN155" s="51"/>
      <c r="BO155" s="51"/>
      <c r="BP155" s="51"/>
      <c r="BQ155" s="51"/>
      <c r="BR155" s="51">
        <f t="shared" si="413"/>
        <v>-0.22711652280394254</v>
      </c>
      <c r="BS155" s="51">
        <f t="shared" si="413"/>
        <v>0.43345672807052926</v>
      </c>
      <c r="BT155" s="51">
        <f t="shared" ref="BT155:CY155" si="414">+(BT73-BQ73)/BQ73</f>
        <v>0.63055958822753022</v>
      </c>
      <c r="BU155" s="51">
        <f t="shared" si="414"/>
        <v>0.5262479345903448</v>
      </c>
      <c r="BV155" s="51">
        <f t="shared" si="414"/>
        <v>0.27957093825902912</v>
      </c>
      <c r="BW155" s="51">
        <f t="shared" si="414"/>
        <v>0.18046702685202051</v>
      </c>
      <c r="BX155" s="51">
        <f t="shared" si="414"/>
        <v>0.22972654933116224</v>
      </c>
      <c r="BY155" s="51">
        <f t="shared" si="414"/>
        <v>0.25254978047585241</v>
      </c>
      <c r="BZ155" s="51">
        <f t="shared" si="414"/>
        <v>0.34547269145061082</v>
      </c>
      <c r="CA155" s="51">
        <f t="shared" si="414"/>
        <v>0.29741332660904479</v>
      </c>
      <c r="CB155" s="51">
        <f t="shared" si="414"/>
        <v>0.27135319687131709</v>
      </c>
      <c r="CC155" s="51">
        <f t="shared" si="414"/>
        <v>-0.10659449414414106</v>
      </c>
      <c r="CD155" s="51">
        <f t="shared" si="414"/>
        <v>8.2119261412432684E-2</v>
      </c>
      <c r="CE155" s="51">
        <f t="shared" si="414"/>
        <v>-0.20106917346309455</v>
      </c>
      <c r="CF155" s="51">
        <f t="shared" si="414"/>
        <v>-2.4669198951494074E-2</v>
      </c>
      <c r="CG155" s="51">
        <f t="shared" si="414"/>
        <v>-0.12815040248509554</v>
      </c>
      <c r="CH155" s="51">
        <f t="shared" si="414"/>
        <v>-3.3833711709106229E-3</v>
      </c>
      <c r="CI155" s="51">
        <f t="shared" si="414"/>
        <v>0.12448636471186557</v>
      </c>
      <c r="CJ155" s="51">
        <f t="shared" si="414"/>
        <v>5.5748137321834298E-2</v>
      </c>
      <c r="CK155" s="51">
        <f t="shared" si="414"/>
        <v>0.24327220381763681</v>
      </c>
      <c r="CL155" s="51">
        <f t="shared" si="414"/>
        <v>0.13386773357784934</v>
      </c>
      <c r="CM155" s="51">
        <f t="shared" si="414"/>
        <v>0.18938568508114703</v>
      </c>
      <c r="CN155" s="51">
        <f t="shared" si="414"/>
        <v>3.7925848572582389E-2</v>
      </c>
      <c r="CO155" s="51">
        <f t="shared" si="414"/>
        <v>0.17424873435018967</v>
      </c>
      <c r="CP155" s="51">
        <f t="shared" si="414"/>
        <v>0.10193668770655274</v>
      </c>
      <c r="CQ155" s="51">
        <f t="shared" si="414"/>
        <v>7.3716381418092849E-2</v>
      </c>
      <c r="CR155" s="51">
        <f t="shared" si="414"/>
        <v>0.1007080078125</v>
      </c>
      <c r="CS155" s="51">
        <f t="shared" si="414"/>
        <v>8.7222086489127743E-2</v>
      </c>
      <c r="CT155" s="51">
        <f t="shared" si="414"/>
        <v>-7.7991574632813268E-2</v>
      </c>
      <c r="CU155" s="51">
        <f t="shared" si="414"/>
        <v>-0.20294998336475534</v>
      </c>
      <c r="CV155" s="51">
        <f t="shared" si="414"/>
        <v>-0.14129213483146055</v>
      </c>
      <c r="CW155" s="51">
        <f t="shared" si="414"/>
        <v>0.35181526302790805</v>
      </c>
      <c r="CX155" s="51">
        <f t="shared" si="414"/>
        <v>-4.8003339362738741E-2</v>
      </c>
      <c r="CY155" s="51">
        <f t="shared" si="414"/>
        <v>0.16382073928688229</v>
      </c>
      <c r="CZ155" s="51">
        <f t="shared" ref="CZ155:DQ155" si="415">+(CZ73-CW73)/CW73</f>
        <v>0.34759211936791051</v>
      </c>
      <c r="DA155" s="51">
        <f t="shared" si="415"/>
        <v>0.32284552313351106</v>
      </c>
      <c r="DB155" s="51">
        <f t="shared" si="415"/>
        <v>0.33807409073022648</v>
      </c>
      <c r="DC155" s="51">
        <f t="shared" si="415"/>
        <v>5.273212271621272E-2</v>
      </c>
      <c r="DD155" s="51">
        <f t="shared" si="415"/>
        <v>5.0723184511792557E-2</v>
      </c>
      <c r="DE155" s="1080">
        <f t="shared" si="415"/>
        <v>5.1968239297567657E-2</v>
      </c>
      <c r="DF155" s="51">
        <f t="shared" si="415"/>
        <v>5.0881519639407603E-2</v>
      </c>
      <c r="DG155" s="51">
        <f t="shared" si="415"/>
        <v>0.14039020767613017</v>
      </c>
      <c r="DH155" s="1080">
        <f t="shared" si="415"/>
        <v>8.4876233027156467E-2</v>
      </c>
      <c r="DI155" s="51">
        <f t="shared" si="415"/>
        <v>0.4447635382921401</v>
      </c>
      <c r="DJ155" s="51">
        <f t="shared" si="415"/>
        <v>-0.2688831996381042</v>
      </c>
      <c r="DK155" s="1080">
        <f t="shared" si="415"/>
        <v>0.15985677307540597</v>
      </c>
      <c r="DL155" s="51">
        <f t="shared" si="415"/>
        <v>-5.3632019393917631E-2</v>
      </c>
      <c r="DM155" s="51">
        <f t="shared" si="415"/>
        <v>7.3113652223162212E-2</v>
      </c>
      <c r="DN155" s="1080">
        <f t="shared" si="415"/>
        <v>-2.1736108112492936E-2</v>
      </c>
      <c r="DO155" s="51">
        <f t="shared" si="415"/>
        <v>7.8236249066912442E-2</v>
      </c>
      <c r="DP155" s="51">
        <f t="shared" si="415"/>
        <v>0.47059708552206247</v>
      </c>
      <c r="DQ155" s="1080">
        <f t="shared" si="415"/>
        <v>0.18654841124947094</v>
      </c>
      <c r="DR155" s="51">
        <f t="shared" ref="DR155:DZ155" si="416">+(DR73-DO73)/DO73</f>
        <v>0.16166958608501797</v>
      </c>
      <c r="DS155" s="51">
        <f t="shared" si="416"/>
        <v>0.12046076404048631</v>
      </c>
      <c r="DT155" s="1080">
        <f t="shared" si="416"/>
        <v>0.14757053081667273</v>
      </c>
      <c r="DU155" s="51">
        <f t="shared" si="416"/>
        <v>2.9703576050858757E-2</v>
      </c>
      <c r="DV155" s="51">
        <f>+(DV73-DS73)/DS73</f>
        <v>0.13407111792076828</v>
      </c>
      <c r="DW155" s="1080">
        <f>+(DW73-DT73)/DT73</f>
        <v>6.4568003164921617E-2</v>
      </c>
      <c r="DX155" s="51">
        <f t="shared" si="416"/>
        <v>-2.5364836692147324E-2</v>
      </c>
      <c r="DY155" s="51">
        <f t="shared" si="416"/>
        <v>0.31733554530636232</v>
      </c>
      <c r="DZ155" s="1080">
        <f t="shared" si="416"/>
        <v>9.6589865048593571E-2</v>
      </c>
      <c r="EA155" s="51">
        <f t="shared" ref="EA155:EF155" si="417">+(EA73-DX73)/DX73</f>
        <v>5.1819588399039905E-2</v>
      </c>
      <c r="EB155" s="51">
        <f t="shared" si="417"/>
        <v>4.3646599354178431E-2</v>
      </c>
      <c r="EC155" s="1080">
        <f t="shared" si="417"/>
        <v>4.8325635393025396E-2</v>
      </c>
      <c r="ED155" s="51">
        <f t="shared" si="417"/>
        <v>7.7196423641482867E-2</v>
      </c>
      <c r="EE155" s="51">
        <f t="shared" si="417"/>
        <v>7.4924053016946268E-2</v>
      </c>
      <c r="EF155" s="1080">
        <f t="shared" si="417"/>
        <v>7.6229321009271017E-2</v>
      </c>
      <c r="EG155" s="51">
        <f t="shared" ref="EG155:EL155" si="418">+(EG73-ED73)/ED73</f>
        <v>7.6487737946523332E-2</v>
      </c>
      <c r="EH155" s="51">
        <f t="shared" si="418"/>
        <v>9.8472448204169991E-2</v>
      </c>
      <c r="EI155" s="1080">
        <f t="shared" si="418"/>
        <v>8.5832905798898559E-2</v>
      </c>
      <c r="EJ155" s="51">
        <f t="shared" si="418"/>
        <v>7.7537438881364926E-2</v>
      </c>
      <c r="EK155" s="51">
        <f t="shared" si="418"/>
        <v>9.8663029262626975E-2</v>
      </c>
      <c r="EL155" s="1080">
        <f t="shared" si="418"/>
        <v>8.6621946312373022E-2</v>
      </c>
      <c r="EM155" s="51">
        <f t="shared" ref="EM155:FA155" si="419">+(EM73-EJ73)/EJ73</f>
        <v>8.4062944114523225E-2</v>
      </c>
      <c r="EN155" s="51">
        <f t="shared" si="419"/>
        <v>8.5460910314942767E-2</v>
      </c>
      <c r="EO155" s="1080">
        <f t="shared" si="419"/>
        <v>8.4670764468895821E-2</v>
      </c>
      <c r="EP155" s="51">
        <f t="shared" si="419"/>
        <v>7.2742168721754166E-2</v>
      </c>
      <c r="EQ155" s="51">
        <f t="shared" si="419"/>
        <v>8.8251580685219516E-2</v>
      </c>
      <c r="ER155" s="1080">
        <f t="shared" si="419"/>
        <v>7.9490403032503473E-2</v>
      </c>
      <c r="ES155" s="51">
        <f t="shared" si="419"/>
        <v>6.39594749308635E-2</v>
      </c>
      <c r="ET155" s="51">
        <f t="shared" si="419"/>
        <v>7.381379590338781E-2</v>
      </c>
      <c r="EU155" s="1080">
        <f t="shared" si="419"/>
        <v>6.8281945516481049E-2</v>
      </c>
      <c r="EV155" s="51">
        <f t="shared" si="419"/>
        <v>5.4226437659364767E-2</v>
      </c>
      <c r="EW155" s="51">
        <f t="shared" si="419"/>
        <v>5.9979836415362267E-2</v>
      </c>
      <c r="EX155" s="1080">
        <f t="shared" si="419"/>
        <v>5.676315985228151E-2</v>
      </c>
      <c r="EY155" s="51">
        <f t="shared" si="419"/>
        <v>5.465038559049009E-2</v>
      </c>
      <c r="EZ155" s="51">
        <f t="shared" si="419"/>
        <v>6.0311468940782188E-2</v>
      </c>
      <c r="FA155" s="1080">
        <f t="shared" si="419"/>
        <v>5.7154002762444166E-2</v>
      </c>
      <c r="FD155"/>
      <c r="FE155"/>
      <c r="FF155"/>
      <c r="FG155"/>
      <c r="FH155"/>
      <c r="FI155"/>
    </row>
    <row r="156" spans="1:169" s="33" customFormat="1" outlineLevel="1">
      <c r="B156" s="54" t="s">
        <v>464</v>
      </c>
      <c r="C156" s="54"/>
      <c r="D156" s="2" t="s">
        <v>507</v>
      </c>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f t="shared" ref="AP156:BS156" si="420">+(AP85-AM85)/AM85</f>
        <v>-0.21693395413002259</v>
      </c>
      <c r="AQ156" s="51">
        <f t="shared" si="420"/>
        <v>0.21234695637178808</v>
      </c>
      <c r="AR156" s="51">
        <f t="shared" si="420"/>
        <v>0.42476098658311212</v>
      </c>
      <c r="AS156" s="51">
        <f t="shared" si="420"/>
        <v>2.0480070469059988E-2</v>
      </c>
      <c r="AT156" s="51">
        <f t="shared" si="420"/>
        <v>0.16363222576240335</v>
      </c>
      <c r="AU156" s="51">
        <f t="shared" si="420"/>
        <v>-8.6049396639224091E-2</v>
      </c>
      <c r="AV156" s="51">
        <f t="shared" si="420"/>
        <v>0.20461804056970198</v>
      </c>
      <c r="AW156" s="51">
        <f t="shared" si="420"/>
        <v>7.859867005671807E-2</v>
      </c>
      <c r="AX156" s="51">
        <f t="shared" si="420"/>
        <v>0.14819842053307017</v>
      </c>
      <c r="AY156" s="51">
        <f t="shared" si="420"/>
        <v>0.28236179284153201</v>
      </c>
      <c r="AZ156" s="51">
        <f t="shared" si="420"/>
        <v>0.23307418572497113</v>
      </c>
      <c r="BA156" s="51">
        <f t="shared" si="420"/>
        <v>0.46442772702847956</v>
      </c>
      <c r="BB156" s="51">
        <f t="shared" si="420"/>
        <v>0.42456414841305351</v>
      </c>
      <c r="BC156" s="51">
        <f t="shared" si="420"/>
        <v>0.43820080144112372</v>
      </c>
      <c r="BD156" s="51">
        <f t="shared" si="420"/>
        <v>1.1113638865446005</v>
      </c>
      <c r="BE156" s="51">
        <f t="shared" si="420"/>
        <v>0.29965874323370162</v>
      </c>
      <c r="BF156" s="51">
        <f t="shared" si="420"/>
        <v>0.58239286307690308</v>
      </c>
      <c r="BG156" s="51">
        <f t="shared" si="420"/>
        <v>-0.30310561165082289</v>
      </c>
      <c r="BH156" s="51">
        <f t="shared" si="420"/>
        <v>-0.5424117584921605</v>
      </c>
      <c r="BI156" s="51">
        <f t="shared" si="420"/>
        <v>-0.43119184543809763</v>
      </c>
      <c r="BJ156" s="51">
        <f t="shared" si="420"/>
        <v>-0.36703241895261846</v>
      </c>
      <c r="BK156" s="51"/>
      <c r="BL156" s="51"/>
      <c r="BM156" s="51">
        <f t="shared" si="420"/>
        <v>5.3080529509100938</v>
      </c>
      <c r="BN156" s="51"/>
      <c r="BO156" s="51"/>
      <c r="BP156" s="51">
        <f t="shared" si="420"/>
        <v>0.10187932122090289</v>
      </c>
      <c r="BQ156" s="51">
        <f t="shared" si="420"/>
        <v>-0.54848126457336432</v>
      </c>
      <c r="BR156" s="51">
        <f t="shared" si="420"/>
        <v>-0.35794795413874747</v>
      </c>
      <c r="BS156" s="51">
        <f t="shared" si="420"/>
        <v>0.45834726764650835</v>
      </c>
      <c r="BT156" s="51">
        <f t="shared" ref="BT156:CY156" si="421">+(BT85-BQ85)/BQ85</f>
        <v>0.61639823465352206</v>
      </c>
      <c r="BU156" s="51">
        <f t="shared" si="421"/>
        <v>0.53693291117235153</v>
      </c>
      <c r="BV156" s="51">
        <f t="shared" si="421"/>
        <v>0.3554099329151218</v>
      </c>
      <c r="BW156" s="51">
        <f t="shared" si="421"/>
        <v>0.25197774570675829</v>
      </c>
      <c r="BX156" s="51">
        <f t="shared" si="421"/>
        <v>0.30132264291237337</v>
      </c>
      <c r="BY156" s="51">
        <f t="shared" si="421"/>
        <v>0.43910726984928095</v>
      </c>
      <c r="BZ156" s="51">
        <f t="shared" si="421"/>
        <v>0.46721933645638009</v>
      </c>
      <c r="CA156" s="51">
        <f t="shared" si="421"/>
        <v>0.45325034696395844</v>
      </c>
      <c r="CB156" s="51">
        <f t="shared" si="421"/>
        <v>0.23021896675746287</v>
      </c>
      <c r="CC156" s="51">
        <f t="shared" si="421"/>
        <v>-0.15931294482826555</v>
      </c>
      <c r="CD156" s="51">
        <f t="shared" si="421"/>
        <v>3.2363167152664719E-2</v>
      </c>
      <c r="CE156" s="51">
        <f t="shared" si="421"/>
        <v>-0.18979614314360033</v>
      </c>
      <c r="CF156" s="51">
        <f t="shared" si="421"/>
        <v>1.1203034624012981E-2</v>
      </c>
      <c r="CG156" s="51">
        <f t="shared" si="421"/>
        <v>-0.10665770096143889</v>
      </c>
      <c r="CH156" s="51">
        <f t="shared" si="421"/>
        <v>8.1664884099835518E-3</v>
      </c>
      <c r="CI156" s="51">
        <f t="shared" si="421"/>
        <v>0.1798740196100698</v>
      </c>
      <c r="CJ156" s="51">
        <f t="shared" si="421"/>
        <v>8.8559335999005007E-2</v>
      </c>
      <c r="CK156" s="51">
        <f t="shared" si="421"/>
        <v>0.238548483045806</v>
      </c>
      <c r="CL156" s="51">
        <f t="shared" si="421"/>
        <v>0.13876058506543543</v>
      </c>
      <c r="CM156" s="51">
        <f t="shared" si="421"/>
        <v>0.1879089754858875</v>
      </c>
      <c r="CN156" s="51">
        <f t="shared" si="421"/>
        <v>3.3781620236951873E-2</v>
      </c>
      <c r="CO156" s="51">
        <f t="shared" si="421"/>
        <v>0.11762717593374962</v>
      </c>
      <c r="CP156" s="51">
        <f t="shared" si="421"/>
        <v>7.4570418482282172E-2</v>
      </c>
      <c r="CQ156" s="51">
        <f t="shared" si="421"/>
        <v>7.201486758556605E-2</v>
      </c>
      <c r="CR156" s="51">
        <f t="shared" si="421"/>
        <v>7.1828217148041745E-2</v>
      </c>
      <c r="CS156" s="51">
        <f t="shared" si="421"/>
        <v>7.1920428462127012E-2</v>
      </c>
      <c r="CT156" s="51">
        <f t="shared" si="421"/>
        <v>-0.12323028026581906</v>
      </c>
      <c r="CU156" s="51">
        <f t="shared" si="421"/>
        <v>-0.22968397291196382</v>
      </c>
      <c r="CV156" s="51">
        <f t="shared" si="421"/>
        <v>-0.1770877944325481</v>
      </c>
      <c r="CW156" s="51">
        <f t="shared" si="421"/>
        <v>0.3272367770637663</v>
      </c>
      <c r="CX156" s="51">
        <f t="shared" si="421"/>
        <v>-1.1328670146281476E-2</v>
      </c>
      <c r="CY156" s="51">
        <f t="shared" si="421"/>
        <v>0.1668961281118311</v>
      </c>
      <c r="CZ156" s="51">
        <f t="shared" ref="CZ156:DQ156" si="422">+(CZ85-CW85)/CW85</f>
        <v>0.34860335195530739</v>
      </c>
      <c r="DA156" s="51">
        <f t="shared" si="422"/>
        <v>0.19040882585035768</v>
      </c>
      <c r="DB156" s="51">
        <f t="shared" si="422"/>
        <v>0.28512696529731851</v>
      </c>
      <c r="DC156" s="51">
        <f t="shared" si="422"/>
        <v>6.8489367578017213E-2</v>
      </c>
      <c r="DD156" s="51">
        <f t="shared" si="422"/>
        <v>0.17958294428882646</v>
      </c>
      <c r="DE156" s="1080">
        <f t="shared" si="422"/>
        <v>0.10978078547053038</v>
      </c>
      <c r="DF156" s="51">
        <f t="shared" si="422"/>
        <v>7.5213233393641721E-2</v>
      </c>
      <c r="DG156" s="51">
        <f t="shared" si="422"/>
        <v>0.12730870712401091</v>
      </c>
      <c r="DH156" s="1080">
        <f t="shared" si="422"/>
        <v>9.5794027205920784E-2</v>
      </c>
      <c r="DI156" s="51">
        <f t="shared" si="422"/>
        <v>0.45032051282051283</v>
      </c>
      <c r="DJ156" s="51">
        <f t="shared" si="422"/>
        <v>-0.31983616149795224</v>
      </c>
      <c r="DK156" s="1080">
        <f t="shared" si="422"/>
        <v>0.13731272294887031</v>
      </c>
      <c r="DL156" s="51">
        <f t="shared" si="422"/>
        <v>-1.8232044198895028E-2</v>
      </c>
      <c r="DM156" s="51">
        <f t="shared" si="422"/>
        <v>3.8713007570543717E-2</v>
      </c>
      <c r="DN156" s="1080">
        <f t="shared" si="422"/>
        <v>-4.391100702576113E-3</v>
      </c>
      <c r="DO156" s="51">
        <f t="shared" si="422"/>
        <v>2.3297692740574052E-2</v>
      </c>
      <c r="DP156" s="51">
        <f t="shared" si="422"/>
        <v>0.31124730826569585</v>
      </c>
      <c r="DQ156" s="1080">
        <f t="shared" si="422"/>
        <v>9.6316209518209212E-2</v>
      </c>
      <c r="DR156" s="51">
        <f t="shared" ref="DR156:DZ156" si="423">+(DR85-DO85)/DO85</f>
        <v>0.1092196876374834</v>
      </c>
      <c r="DS156" s="51">
        <f t="shared" si="423"/>
        <v>0.12429878726629572</v>
      </c>
      <c r="DT156" s="1080">
        <f t="shared" si="423"/>
        <v>0.11379310344827567</v>
      </c>
      <c r="DU156" s="51">
        <f t="shared" si="423"/>
        <v>2.8257202009624904E-2</v>
      </c>
      <c r="DV156" s="51">
        <f>+(DV85-DS85)/DS85</f>
        <v>0.28652419723923855</v>
      </c>
      <c r="DW156" s="1080">
        <f>+(DW85-DT85)/DT85</f>
        <v>0.10732714138286893</v>
      </c>
      <c r="DX156" s="51">
        <f t="shared" si="423"/>
        <v>-6.1716489874638174E-2</v>
      </c>
      <c r="DY156" s="51">
        <f t="shared" si="423"/>
        <v>0.28983205436523368</v>
      </c>
      <c r="DZ156" s="1080">
        <f t="shared" si="423"/>
        <v>6.3329512969305113E-2</v>
      </c>
      <c r="EA156" s="51">
        <f t="shared" ref="EA156:EF156" si="424">+(EA85-DX85)/DX85</f>
        <v>9.1439924910610787E-2</v>
      </c>
      <c r="EB156" s="51">
        <f t="shared" si="424"/>
        <v>2.9663678955358437E-2</v>
      </c>
      <c r="EC156" s="1080">
        <f t="shared" si="424"/>
        <v>6.4785376988543031E-2</v>
      </c>
      <c r="ED156" s="51">
        <f t="shared" si="424"/>
        <v>8.8543734310227079E-2</v>
      </c>
      <c r="EE156" s="51">
        <f t="shared" si="424"/>
        <v>8.7541638946990533E-2</v>
      </c>
      <c r="EF156" s="1080">
        <f t="shared" si="424"/>
        <v>8.81256227499157E-2</v>
      </c>
      <c r="EG156" s="51">
        <f t="shared" ref="EG156:EL156" si="425">+(EG85-ED85)/ED85</f>
        <v>8.5113578199637746E-2</v>
      </c>
      <c r="EH156" s="51">
        <f t="shared" si="425"/>
        <v>0.11490390156914415</v>
      </c>
      <c r="EI156" s="1080">
        <f t="shared" si="425"/>
        <v>9.753654135417672E-2</v>
      </c>
      <c r="EJ156" s="51">
        <f t="shared" si="425"/>
        <v>8.8775886342946239E-2</v>
      </c>
      <c r="EK156" s="51">
        <f t="shared" si="425"/>
        <v>0.11703095594030834</v>
      </c>
      <c r="EL156" s="1080">
        <f t="shared" si="425"/>
        <v>0.10074507763098019</v>
      </c>
      <c r="EM156" s="51">
        <f t="shared" ref="EM156:FA156" si="426">+(EM85-EJ85)/EJ85</f>
        <v>9.5917672171359242E-2</v>
      </c>
      <c r="EN156" s="51">
        <f t="shared" si="426"/>
        <v>0.1016681491404996</v>
      </c>
      <c r="EO156" s="1080">
        <f t="shared" si="426"/>
        <v>9.838968517841E-2</v>
      </c>
      <c r="EP156" s="51">
        <f t="shared" si="426"/>
        <v>8.3758135246160909E-2</v>
      </c>
      <c r="EQ156" s="51">
        <f t="shared" si="426"/>
        <v>0.1042902598190899</v>
      </c>
      <c r="ER156" s="1080">
        <f t="shared" si="426"/>
        <v>9.2610822490771127E-2</v>
      </c>
      <c r="ES156" s="51">
        <f t="shared" si="426"/>
        <v>7.3753638873517893E-2</v>
      </c>
      <c r="ET156" s="51">
        <f t="shared" si="426"/>
        <v>8.7289466558775258E-2</v>
      </c>
      <c r="EU156" s="1080">
        <f t="shared" si="426"/>
        <v>7.9652168858227526E-2</v>
      </c>
      <c r="EV156" s="51">
        <f t="shared" si="426"/>
        <v>6.2888108060887155E-2</v>
      </c>
      <c r="EW156" s="51">
        <f t="shared" si="426"/>
        <v>7.1490238465968206E-2</v>
      </c>
      <c r="EX156" s="1080">
        <f t="shared" si="426"/>
        <v>6.6663189418074253E-2</v>
      </c>
      <c r="EY156" s="51">
        <f t="shared" si="426"/>
        <v>6.2898245288801641E-2</v>
      </c>
      <c r="EZ156" s="51">
        <f t="shared" si="426"/>
        <v>7.1165616089354233E-2</v>
      </c>
      <c r="FA156" s="1080">
        <f t="shared" si="426"/>
        <v>6.6542834802395937E-2</v>
      </c>
      <c r="FD156"/>
      <c r="FE156"/>
      <c r="FF156"/>
      <c r="FG156"/>
      <c r="FH156"/>
      <c r="FI156"/>
    </row>
    <row r="157" spans="1:169" s="33" customFormat="1" outlineLevel="1">
      <c r="B157" s="54" t="s">
        <v>386</v>
      </c>
      <c r="C157" s="54"/>
      <c r="D157" s="2" t="s">
        <v>507</v>
      </c>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f t="shared" ref="AP157:BS157" si="427">+(AP91-AM91)/AM91</f>
        <v>-0.23758783360274494</v>
      </c>
      <c r="AQ157" s="51">
        <f t="shared" si="427"/>
        <v>0.1730280737637315</v>
      </c>
      <c r="AR157" s="51">
        <f t="shared" si="427"/>
        <v>0.42476098658311212</v>
      </c>
      <c r="AS157" s="51">
        <f t="shared" si="427"/>
        <v>2.5528968889277038E-3</v>
      </c>
      <c r="AT157" s="51">
        <f t="shared" si="427"/>
        <v>0.15034591371843195</v>
      </c>
      <c r="AU157" s="51">
        <f t="shared" si="427"/>
        <v>-8.6049396639224091E-2</v>
      </c>
      <c r="AV157" s="51">
        <f t="shared" si="427"/>
        <v>0.23880017263703049</v>
      </c>
      <c r="AW157" s="51">
        <f t="shared" si="427"/>
        <v>9.7961079601016951E-2</v>
      </c>
      <c r="AX157" s="51">
        <f t="shared" si="427"/>
        <v>0.14819842053307017</v>
      </c>
      <c r="AY157" s="51">
        <f t="shared" si="427"/>
        <v>0.25784761174790077</v>
      </c>
      <c r="AZ157" s="51">
        <f t="shared" si="427"/>
        <v>0.21827614615573016</v>
      </c>
      <c r="BA157" s="51">
        <f t="shared" si="427"/>
        <v>1.0058570660934987</v>
      </c>
      <c r="BB157" s="51">
        <f t="shared" si="427"/>
        <v>0.81461887879459349</v>
      </c>
      <c r="BC157" s="51">
        <f t="shared" si="427"/>
        <v>0.87966516796432381</v>
      </c>
      <c r="BD157" s="51">
        <f t="shared" si="427"/>
        <v>1.0777143775616809</v>
      </c>
      <c r="BE157" s="51">
        <f t="shared" si="427"/>
        <v>0.45589559642829902</v>
      </c>
      <c r="BF157" s="51">
        <f t="shared" si="427"/>
        <v>0.68159542608222157</v>
      </c>
      <c r="BG157" s="51">
        <f t="shared" si="427"/>
        <v>-0.48297425185987436</v>
      </c>
      <c r="BH157" s="51">
        <f t="shared" si="427"/>
        <v>-0.6376188629000975</v>
      </c>
      <c r="BI157" s="51">
        <f t="shared" si="427"/>
        <v>-0.56826566131998013</v>
      </c>
      <c r="BJ157" s="51">
        <f t="shared" si="427"/>
        <v>-0.2921945137157107</v>
      </c>
      <c r="BK157" s="51"/>
      <c r="BL157" s="51"/>
      <c r="BM157" s="51">
        <f t="shared" si="427"/>
        <v>4.6410879751964202</v>
      </c>
      <c r="BN157" s="51"/>
      <c r="BO157" s="51"/>
      <c r="BP157" s="51">
        <f t="shared" si="427"/>
        <v>0.10187932122090289</v>
      </c>
      <c r="BQ157" s="51">
        <f t="shared" si="427"/>
        <v>-0.52563971445519442</v>
      </c>
      <c r="BR157" s="51">
        <f t="shared" si="427"/>
        <v>-0.34336738488778595</v>
      </c>
      <c r="BS157" s="51">
        <f t="shared" si="427"/>
        <v>0.45834726764650835</v>
      </c>
      <c r="BT157" s="51">
        <f t="shared" ref="BT157:CX157" si="428">+(BT91-BQ91)/BQ91</f>
        <v>0.70127420119874073</v>
      </c>
      <c r="BU157" s="51">
        <f t="shared" si="428"/>
        <v>0.58286618906979104</v>
      </c>
      <c r="BV157" s="51">
        <f t="shared" si="428"/>
        <v>0.3554099329151218</v>
      </c>
      <c r="BW157" s="51">
        <f t="shared" si="428"/>
        <v>0.11861839979216451</v>
      </c>
      <c r="BX157" s="51">
        <f t="shared" si="428"/>
        <v>0.22495636389024659</v>
      </c>
      <c r="BY157" s="51">
        <f t="shared" si="428"/>
        <v>0.43910726984928095</v>
      </c>
      <c r="BZ157" s="51">
        <f t="shared" si="428"/>
        <v>0.46721933645638009</v>
      </c>
      <c r="CA157" s="51">
        <f t="shared" si="428"/>
        <v>0.45325034696395844</v>
      </c>
      <c r="CB157" s="51">
        <f t="shared" si="428"/>
        <v>0.23021896675746287</v>
      </c>
      <c r="CC157" s="51">
        <f t="shared" si="428"/>
        <v>-0.15931294482826555</v>
      </c>
      <c r="CD157" s="51">
        <f t="shared" si="428"/>
        <v>3.2363167152664719E-2</v>
      </c>
      <c r="CE157" s="51">
        <f t="shared" si="428"/>
        <v>-0.18979614314360033</v>
      </c>
      <c r="CF157" s="51">
        <f t="shared" si="428"/>
        <v>1.1203034624012981E-2</v>
      </c>
      <c r="CG157" s="51">
        <f t="shared" si="428"/>
        <v>-0.10665770096143889</v>
      </c>
      <c r="CH157" s="51">
        <f t="shared" si="428"/>
        <v>8.1664884099835518E-3</v>
      </c>
      <c r="CI157" s="51">
        <f t="shared" si="428"/>
        <v>0.1798740196100698</v>
      </c>
      <c r="CJ157" s="51">
        <f t="shared" si="428"/>
        <v>8.8559335999005007E-2</v>
      </c>
      <c r="CK157" s="51">
        <f t="shared" si="428"/>
        <v>0.238548483045806</v>
      </c>
      <c r="CL157" s="51">
        <f t="shared" si="428"/>
        <v>0.13876058506543543</v>
      </c>
      <c r="CM157" s="51">
        <f t="shared" si="428"/>
        <v>0.1879089754858875</v>
      </c>
      <c r="CN157" s="51">
        <f t="shared" si="428"/>
        <v>3.3781620236951873E-2</v>
      </c>
      <c r="CO157" s="51">
        <f t="shared" si="428"/>
        <v>0.11762717593374962</v>
      </c>
      <c r="CP157" s="51">
        <f t="shared" si="428"/>
        <v>7.4570418482282172E-2</v>
      </c>
      <c r="CQ157" s="51">
        <f t="shared" si="428"/>
        <v>7.201486758556605E-2</v>
      </c>
      <c r="CR157" s="51">
        <f t="shared" si="428"/>
        <v>7.1828217148041745E-2</v>
      </c>
      <c r="CS157" s="51">
        <f t="shared" si="428"/>
        <v>7.1920428462127012E-2</v>
      </c>
      <c r="CT157" s="51">
        <f t="shared" si="428"/>
        <v>-0.12323028026581906</v>
      </c>
      <c r="CU157" s="51">
        <f t="shared" si="428"/>
        <v>-0.22968397291196382</v>
      </c>
      <c r="CV157" s="51">
        <f t="shared" si="428"/>
        <v>-0.1770877944325481</v>
      </c>
      <c r="CW157" s="51">
        <f t="shared" si="428"/>
        <v>0.3272367770637663</v>
      </c>
      <c r="CX157" s="51">
        <f t="shared" si="428"/>
        <v>-1.1328670146281476E-2</v>
      </c>
      <c r="CY157" s="51">
        <f>CY91/CV91-1</f>
        <v>0.16689612811183108</v>
      </c>
      <c r="CZ157" s="51">
        <f t="shared" ref="CZ157:DK157" si="429">CZ91/CW91-1</f>
        <v>0.34860335195530734</v>
      </c>
      <c r="DA157" s="51">
        <f t="shared" si="429"/>
        <v>0.19040882585035779</v>
      </c>
      <c r="DB157" s="51">
        <f t="shared" si="429"/>
        <v>0.28512696529731851</v>
      </c>
      <c r="DC157" s="51">
        <f t="shared" si="429"/>
        <v>6.8489367578017157E-2</v>
      </c>
      <c r="DD157" s="51">
        <f t="shared" si="429"/>
        <v>0.17958294428882637</v>
      </c>
      <c r="DE157" s="1080">
        <f t="shared" si="429"/>
        <v>0.10978078547053038</v>
      </c>
      <c r="DF157" s="51">
        <f t="shared" si="429"/>
        <v>7.5213233393641721E-2</v>
      </c>
      <c r="DG157" s="51">
        <f t="shared" si="429"/>
        <v>0.12730870712401088</v>
      </c>
      <c r="DH157" s="1080">
        <f t="shared" si="429"/>
        <v>9.5794027205920784E-2</v>
      </c>
      <c r="DI157" s="51">
        <f t="shared" si="429"/>
        <v>0.45180288461538454</v>
      </c>
      <c r="DJ157" s="51">
        <f t="shared" si="429"/>
        <v>-0.31767115272088975</v>
      </c>
      <c r="DK157" s="1080">
        <f t="shared" si="429"/>
        <v>0.13907253269916753</v>
      </c>
      <c r="DL157" s="51">
        <f t="shared" ref="DL157:DQ157" si="430">+(DL91-DI91)/DI91</f>
        <v>-2.8451582636531698E-2</v>
      </c>
      <c r="DM157" s="51">
        <f t="shared" si="430"/>
        <v>-0.13952491210016246</v>
      </c>
      <c r="DN157" s="1080">
        <f t="shared" si="430"/>
        <v>-5.5492922460227842E-2</v>
      </c>
      <c r="DO157" s="51">
        <f t="shared" si="430"/>
        <v>-7.7941260012497765E-2</v>
      </c>
      <c r="DP157" s="51">
        <f t="shared" si="430"/>
        <v>0.13773171217859351</v>
      </c>
      <c r="DQ157" s="1080">
        <f t="shared" si="430"/>
        <v>-3.0106100795755725E-2</v>
      </c>
      <c r="DR157" s="51">
        <f t="shared" ref="DR157:DZ157" si="431">+(DR91-DO91)/DO91</f>
        <v>0.17121870494732286</v>
      </c>
      <c r="DS157" s="51">
        <f t="shared" si="431"/>
        <v>0.29816909600560537</v>
      </c>
      <c r="DT157" s="1080">
        <f t="shared" si="431"/>
        <v>0.20424814257714544</v>
      </c>
      <c r="DU157" s="51">
        <f t="shared" si="431"/>
        <v>5.5757304972588316E-2</v>
      </c>
      <c r="DV157" s="51">
        <f>+(DV91-DS91)/DS91</f>
        <v>0.34278923261714173</v>
      </c>
      <c r="DW157" s="1080">
        <f>+(DW91-DT91)/DT91</f>
        <v>0.13626040878122633</v>
      </c>
      <c r="DX157" s="51">
        <f t="shared" si="431"/>
        <v>-0.80019930244145487</v>
      </c>
      <c r="DY157" s="51">
        <f t="shared" si="431"/>
        <v>0.37975648467155027</v>
      </c>
      <c r="DZ157" s="1080">
        <f t="shared" si="431"/>
        <v>-0.40910802723244732</v>
      </c>
      <c r="EA157" s="51">
        <f t="shared" ref="EA157:EF157" si="432">+(EA91-DX91)/DX91</f>
        <v>3.9375114560499966</v>
      </c>
      <c r="EB157" s="51">
        <f t="shared" si="432"/>
        <v>2.1713126344721261E-2</v>
      </c>
      <c r="EC157" s="1080">
        <f t="shared" si="432"/>
        <v>0.90692231094937936</v>
      </c>
      <c r="ED157" s="51">
        <f t="shared" si="432"/>
        <v>9.4983466957009682E-2</v>
      </c>
      <c r="EE157" s="51">
        <f t="shared" si="432"/>
        <v>9.4906120571925739E-2</v>
      </c>
      <c r="EF157" s="1080">
        <f t="shared" si="432"/>
        <v>9.4951393723917171E-2</v>
      </c>
      <c r="EG157" s="51">
        <f t="shared" ref="EG157:EL157" si="433">+(EG91-ED91)/ED91</f>
        <v>9.0766868535665346E-2</v>
      </c>
      <c r="EH157" s="51">
        <f t="shared" si="433"/>
        <v>0.12373237067636657</v>
      </c>
      <c r="EI157" s="1080">
        <f t="shared" si="433"/>
        <v>0.10443611133513954</v>
      </c>
      <c r="EJ157" s="51">
        <f t="shared" si="433"/>
        <v>9.4181755381159818E-2</v>
      </c>
      <c r="EK157" s="51">
        <f t="shared" si="433"/>
        <v>0.12503277058704707</v>
      </c>
      <c r="EL157" s="1080">
        <f t="shared" si="433"/>
        <v>0.10719772467660361</v>
      </c>
      <c r="EM157" s="51">
        <f t="shared" ref="EM157:FA157" si="434">+(EM91-EJ91)/EJ91</f>
        <v>0.10125568563271715</v>
      </c>
      <c r="EN157" s="51">
        <f t="shared" si="434"/>
        <v>0.10784699667637272</v>
      </c>
      <c r="EO157" s="1080">
        <f t="shared" si="434"/>
        <v>0.10408133877938389</v>
      </c>
      <c r="EP157" s="51">
        <f t="shared" si="434"/>
        <v>8.7990858465107916E-2</v>
      </c>
      <c r="EQ157" s="51">
        <f t="shared" si="434"/>
        <v>0.11001145186871933</v>
      </c>
      <c r="ER157" s="1080">
        <f t="shared" si="434"/>
        <v>9.7463143916248843E-2</v>
      </c>
      <c r="ES157" s="51">
        <f t="shared" si="434"/>
        <v>7.7179352671102944E-2</v>
      </c>
      <c r="ET157" s="51">
        <f t="shared" si="434"/>
        <v>9.160343692115594E-2</v>
      </c>
      <c r="EU157" s="1080">
        <f t="shared" si="434"/>
        <v>8.3454898778142633E-2</v>
      </c>
      <c r="EV157" s="51">
        <f t="shared" si="434"/>
        <v>6.5599848599802335E-2</v>
      </c>
      <c r="EW157" s="51">
        <f t="shared" si="434"/>
        <v>7.4726899124350377E-2</v>
      </c>
      <c r="EX157" s="1080">
        <f t="shared" si="434"/>
        <v>6.9600657298526727E-2</v>
      </c>
      <c r="EY157" s="51">
        <f t="shared" si="434"/>
        <v>6.5443457415665304E-2</v>
      </c>
      <c r="EZ157" s="51">
        <f t="shared" si="434"/>
        <v>7.4163553197698573E-2</v>
      </c>
      <c r="FA157" s="1080">
        <f t="shared" si="434"/>
        <v>6.9284198615667356E-2</v>
      </c>
      <c r="FD157"/>
      <c r="FE157"/>
      <c r="FF157"/>
      <c r="FG157"/>
      <c r="FH157"/>
      <c r="FI157"/>
    </row>
    <row r="158" spans="1:169" s="33" customFormat="1">
      <c r="B158" s="54" t="s">
        <v>387</v>
      </c>
      <c r="C158" s="54"/>
      <c r="D158" s="2"/>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c r="BA158" s="51"/>
      <c r="BB158" s="51"/>
      <c r="BC158" s="51"/>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1"/>
      <c r="CC158" s="51"/>
      <c r="CD158" s="51"/>
      <c r="CE158" s="51"/>
      <c r="CF158" s="51"/>
      <c r="CG158" s="51"/>
      <c r="CH158" s="51"/>
      <c r="CI158" s="51"/>
      <c r="CJ158" s="51"/>
      <c r="CK158" s="51"/>
      <c r="CL158" s="51"/>
      <c r="CM158" s="51"/>
      <c r="CN158" s="51"/>
      <c r="CO158" s="51"/>
      <c r="CP158" s="51"/>
      <c r="CQ158" s="51"/>
      <c r="CR158" s="51"/>
      <c r="CS158" s="51"/>
      <c r="CT158" s="51"/>
      <c r="CU158" s="51"/>
      <c r="CV158" s="51"/>
      <c r="CW158" s="51"/>
      <c r="CX158" s="51"/>
      <c r="CY158" s="51"/>
      <c r="CZ158" s="51"/>
      <c r="DA158" s="51"/>
      <c r="DB158" s="51"/>
      <c r="DC158" s="51"/>
      <c r="DD158" s="51"/>
      <c r="DE158" s="1080"/>
      <c r="DF158" s="51"/>
      <c r="DG158" s="51"/>
      <c r="DH158" s="1080"/>
      <c r="DI158" s="51"/>
      <c r="DJ158" s="51"/>
      <c r="DK158" s="1080"/>
      <c r="DL158" s="51"/>
      <c r="DM158" s="51"/>
      <c r="DN158" s="1080"/>
      <c r="DO158" s="51"/>
      <c r="DP158" s="51"/>
      <c r="DQ158" s="1080"/>
      <c r="DR158" s="51"/>
      <c r="DS158" s="51"/>
      <c r="DT158" s="1080"/>
      <c r="DU158" s="51"/>
      <c r="DV158" s="51"/>
      <c r="DW158" s="1080"/>
      <c r="DX158" s="51"/>
      <c r="DY158" s="51"/>
      <c r="DZ158" s="1080"/>
      <c r="EA158" s="51"/>
      <c r="EB158" s="51"/>
      <c r="EC158" s="1080"/>
      <c r="ED158" s="51"/>
      <c r="EE158" s="51"/>
      <c r="EF158" s="1080"/>
      <c r="EG158" s="51"/>
      <c r="EH158" s="51"/>
      <c r="EI158" s="1080"/>
      <c r="EJ158" s="51"/>
      <c r="EK158" s="51"/>
      <c r="EL158" s="1080"/>
      <c r="EM158" s="51"/>
      <c r="EN158" s="51"/>
      <c r="EO158" s="1080"/>
      <c r="EP158" s="51"/>
      <c r="EQ158" s="51"/>
      <c r="ER158" s="1080"/>
      <c r="ES158" s="51"/>
      <c r="ET158" s="51"/>
      <c r="EU158" s="1080"/>
      <c r="EV158" s="51"/>
      <c r="EW158" s="51"/>
      <c r="EX158" s="1080"/>
      <c r="EY158" s="51"/>
      <c r="EZ158" s="51"/>
      <c r="FA158" s="1080"/>
      <c r="FD158"/>
      <c r="FE158"/>
      <c r="FF158"/>
      <c r="FG158"/>
      <c r="FH158"/>
      <c r="FI158"/>
    </row>
    <row r="159" spans="1:169" s="33" customFormat="1">
      <c r="B159" s="54" t="s">
        <v>388</v>
      </c>
      <c r="C159" s="54"/>
      <c r="D159" s="2" t="s">
        <v>507</v>
      </c>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f t="shared" ref="AM159:AZ159" si="435">+AM55/AM30</f>
        <v>0.25772851135886621</v>
      </c>
      <c r="AN159" s="51">
        <f t="shared" si="435"/>
        <v>0.25772851135886621</v>
      </c>
      <c r="AO159" s="51">
        <f t="shared" si="435"/>
        <v>0.1268546050480239</v>
      </c>
      <c r="AP159" s="51">
        <f t="shared" si="435"/>
        <v>0.3598665175844063</v>
      </c>
      <c r="AQ159" s="51">
        <f t="shared" si="435"/>
        <v>0.25940728451851292</v>
      </c>
      <c r="AR159" s="51">
        <f t="shared" si="435"/>
        <v>0.12925905549087094</v>
      </c>
      <c r="AS159" s="51">
        <f t="shared" si="435"/>
        <v>0.3543668886330556</v>
      </c>
      <c r="AT159" s="51">
        <f t="shared" si="435"/>
        <v>0.25482402663717041</v>
      </c>
      <c r="AU159" s="51">
        <f t="shared" si="435"/>
        <v>0.21355755126162157</v>
      </c>
      <c r="AV159" s="51">
        <f t="shared" si="435"/>
        <v>0.27650444512911193</v>
      </c>
      <c r="AW159" s="51">
        <f t="shared" si="435"/>
        <v>0.24765219326143795</v>
      </c>
      <c r="AX159" s="51">
        <f t="shared" si="435"/>
        <v>0.13303739703617248</v>
      </c>
      <c r="AY159" s="51">
        <f t="shared" si="435"/>
        <v>0.34373861491074093</v>
      </c>
      <c r="AZ159" s="51">
        <f t="shared" si="435"/>
        <v>0.24598422540712564</v>
      </c>
      <c r="BA159" s="51"/>
      <c r="BB159" s="51"/>
      <c r="BC159" s="51">
        <f t="shared" ref="BC159:BJ159" si="436">+BC55/BC30</f>
        <v>0.23735529184955032</v>
      </c>
      <c r="BD159" s="51">
        <f t="shared" si="436"/>
        <v>0.23442943571745464</v>
      </c>
      <c r="BE159" s="51">
        <f t="shared" si="436"/>
        <v>0.20320623410054056</v>
      </c>
      <c r="BF159" s="51">
        <f t="shared" si="436"/>
        <v>0.21684558081799346</v>
      </c>
      <c r="BG159" s="51">
        <f t="shared" si="436"/>
        <v>0.20634302932553153</v>
      </c>
      <c r="BH159" s="51">
        <f t="shared" si="436"/>
        <v>0.18627931905306952</v>
      </c>
      <c r="BI159" s="51">
        <f t="shared" si="436"/>
        <v>0.1961519413324474</v>
      </c>
      <c r="BJ159" s="51">
        <f t="shared" si="436"/>
        <v>0.14005451647284078</v>
      </c>
      <c r="BK159" s="51"/>
      <c r="BL159" s="51"/>
      <c r="BM159" s="51"/>
      <c r="BN159" s="51"/>
      <c r="BO159" s="51">
        <f>+BO55/BO30</f>
        <v>0.28571994818784746</v>
      </c>
      <c r="BP159" s="51"/>
      <c r="BQ159" s="51"/>
      <c r="BR159" s="51"/>
      <c r="BS159" s="51"/>
      <c r="BT159" s="51"/>
      <c r="BU159" s="51"/>
      <c r="BV159" s="51">
        <f t="shared" ref="BV159:DA159" si="437">+BV55/BV30</f>
        <v>0.36778018949481883</v>
      </c>
      <c r="BW159" s="51">
        <f t="shared" si="437"/>
        <v>0.31809365758468228</v>
      </c>
      <c r="BX159" s="51">
        <f t="shared" si="437"/>
        <v>0.34173026861256767</v>
      </c>
      <c r="BY159" s="51">
        <f t="shared" si="437"/>
        <v>0.38983792644430387</v>
      </c>
      <c r="BZ159" s="51">
        <f t="shared" si="437"/>
        <v>0.40162922278200136</v>
      </c>
      <c r="CA159" s="51">
        <f t="shared" si="437"/>
        <v>0.39558043695310663</v>
      </c>
      <c r="CB159" s="51">
        <f t="shared" si="437"/>
        <v>0.41270250551297755</v>
      </c>
      <c r="CC159" s="51">
        <f t="shared" si="437"/>
        <v>0.31890261704367873</v>
      </c>
      <c r="CD159" s="51">
        <f t="shared" si="437"/>
        <v>0.36719320415442824</v>
      </c>
      <c r="CE159" s="51">
        <f t="shared" si="437"/>
        <v>0.35019618137401193</v>
      </c>
      <c r="CF159" s="51">
        <f t="shared" si="437"/>
        <v>0.28779174762945231</v>
      </c>
      <c r="CG159" s="51">
        <f t="shared" si="437"/>
        <v>0.31787632604665195</v>
      </c>
      <c r="CH159" s="51">
        <f t="shared" si="437"/>
        <v>0.31445258267631532</v>
      </c>
      <c r="CI159" s="51">
        <f t="shared" si="437"/>
        <v>0.29793727302164108</v>
      </c>
      <c r="CJ159" s="51">
        <f t="shared" si="437"/>
        <v>0.30617336263548312</v>
      </c>
      <c r="CK159" s="51">
        <f t="shared" si="437"/>
        <v>0.35249038453465409</v>
      </c>
      <c r="CL159" s="51">
        <f t="shared" si="437"/>
        <v>0.32144531002105764</v>
      </c>
      <c r="CM159" s="51">
        <f t="shared" si="437"/>
        <v>0.33704326168122017</v>
      </c>
      <c r="CN159" s="51">
        <f t="shared" si="437"/>
        <v>0.35195400512780672</v>
      </c>
      <c r="CO159" s="51">
        <f t="shared" si="437"/>
        <v>0.33094254872129258</v>
      </c>
      <c r="CP159" s="51">
        <f t="shared" si="437"/>
        <v>0.341081202669266</v>
      </c>
      <c r="CQ159" s="51">
        <f t="shared" si="437"/>
        <v>0.33952815883203435</v>
      </c>
      <c r="CR159" s="51">
        <f t="shared" si="437"/>
        <v>0.35774331473295146</v>
      </c>
      <c r="CS159" s="51">
        <f t="shared" si="437"/>
        <v>0.34851219730140276</v>
      </c>
      <c r="CT159" s="51">
        <f t="shared" si="437"/>
        <v>0.29085917640540215</v>
      </c>
      <c r="CU159" s="51">
        <f t="shared" si="437"/>
        <v>0.28364312252548007</v>
      </c>
      <c r="CV159" s="51">
        <f t="shared" si="437"/>
        <v>0.2873798592991379</v>
      </c>
      <c r="CW159" s="51">
        <f t="shared" si="437"/>
        <v>0.34081303525747975</v>
      </c>
      <c r="CX159" s="51">
        <f t="shared" si="437"/>
        <v>0.2650746564375866</v>
      </c>
      <c r="CY159" s="51">
        <f t="shared" si="437"/>
        <v>0.30552034075259621</v>
      </c>
      <c r="CZ159" s="51">
        <f t="shared" si="437"/>
        <v>0.39624881047282207</v>
      </c>
      <c r="DA159" s="51">
        <f t="shared" si="437"/>
        <v>0.28771016584712833</v>
      </c>
      <c r="DB159" s="51">
        <f t="shared" ref="DB159:EC159" si="438">+DB55/DB30</f>
        <v>0.34472989504861246</v>
      </c>
      <c r="DC159" s="51">
        <f t="shared" si="438"/>
        <v>0.38919078023819226</v>
      </c>
      <c r="DD159" s="51">
        <f t="shared" si="438"/>
        <v>0.29263433946087691</v>
      </c>
      <c r="DE159" s="1080">
        <f t="shared" si="438"/>
        <v>0.34350953795497652</v>
      </c>
      <c r="DF159" s="51">
        <f t="shared" si="438"/>
        <v>0.38379342202744038</v>
      </c>
      <c r="DG159" s="51">
        <f t="shared" si="438"/>
        <v>0.3115671339578806</v>
      </c>
      <c r="DH159" s="1080">
        <f t="shared" si="438"/>
        <v>0.35015251423563598</v>
      </c>
      <c r="DI159" s="51">
        <f t="shared" si="438"/>
        <v>0.45861175889793387</v>
      </c>
      <c r="DJ159" s="51">
        <f t="shared" si="438"/>
        <v>0.23200992396090414</v>
      </c>
      <c r="DK159" s="1080">
        <f t="shared" si="438"/>
        <v>0.35864430140867909</v>
      </c>
      <c r="DL159" s="51">
        <f t="shared" si="438"/>
        <v>0.42290820291979453</v>
      </c>
      <c r="DM159" s="51">
        <f t="shared" si="438"/>
        <v>0.25532535980780119</v>
      </c>
      <c r="DN159" s="1080">
        <f t="shared" si="438"/>
        <v>0.35111782711457246</v>
      </c>
      <c r="DO159" s="51">
        <f t="shared" si="438"/>
        <v>0.38802820627641538</v>
      </c>
      <c r="DP159" s="51">
        <f t="shared" si="438"/>
        <v>0.26557578172429741</v>
      </c>
      <c r="DQ159" s="1080">
        <f t="shared" si="438"/>
        <v>0.33208136851922582</v>
      </c>
      <c r="DR159" s="51">
        <f t="shared" si="438"/>
        <v>0.39615363549007043</v>
      </c>
      <c r="DS159" s="51">
        <f t="shared" si="438"/>
        <v>0.26891455310280954</v>
      </c>
      <c r="DT159" s="1080">
        <f t="shared" si="438"/>
        <v>0.33844483651893859</v>
      </c>
      <c r="DU159" s="51">
        <f t="shared" si="438"/>
        <v>0.38874711386559729</v>
      </c>
      <c r="DV159" s="51">
        <f>+DV55/DV30</f>
        <v>0.28132318501170961</v>
      </c>
      <c r="DW159" s="1080">
        <f>+DW55/DW30</f>
        <v>0.34001726312993824</v>
      </c>
      <c r="DX159" s="51">
        <f t="shared" si="438"/>
        <v>0.38680177953534356</v>
      </c>
      <c r="DY159" s="51">
        <f t="shared" si="438"/>
        <v>0.32563959665441605</v>
      </c>
      <c r="DZ159" s="1080">
        <f t="shared" si="438"/>
        <v>0.35761726648048792</v>
      </c>
      <c r="EA159" s="51">
        <f t="shared" si="438"/>
        <v>0.38422410588601746</v>
      </c>
      <c r="EB159" s="51">
        <f t="shared" si="438"/>
        <v>0.32712744004954181</v>
      </c>
      <c r="EC159" s="1080">
        <f t="shared" si="438"/>
        <v>0.35734091796729467</v>
      </c>
      <c r="ED159" s="51">
        <f t="shared" ref="ED159:EL159" si="439">+ED55/ED30</f>
        <v>0.39686205259006369</v>
      </c>
      <c r="EE159" s="51">
        <f t="shared" si="439"/>
        <v>0.33252427120327338</v>
      </c>
      <c r="EF159" s="1080">
        <f t="shared" si="439"/>
        <v>0.36629684901908832</v>
      </c>
      <c r="EG159" s="51">
        <f t="shared" si="439"/>
        <v>0.40534507455199642</v>
      </c>
      <c r="EH159" s="51">
        <f t="shared" si="439"/>
        <v>0.34356704602618737</v>
      </c>
      <c r="EI159" s="1080">
        <f t="shared" si="439"/>
        <v>0.37587625001449476</v>
      </c>
      <c r="EJ159" s="51">
        <f t="shared" si="439"/>
        <v>0.4115270115927302</v>
      </c>
      <c r="EK159" s="51">
        <f t="shared" si="439"/>
        <v>0.3520278090769538</v>
      </c>
      <c r="EL159" s="1080">
        <f t="shared" si="439"/>
        <v>0.38302139824066167</v>
      </c>
      <c r="EM159" s="51">
        <f t="shared" ref="EM159:ER159" si="440">+EM55/EM30</f>
        <v>0.42159273850162338</v>
      </c>
      <c r="EN159" s="51">
        <f t="shared" si="440"/>
        <v>0.3604882841543689</v>
      </c>
      <c r="EO159" s="1080">
        <f t="shared" si="440"/>
        <v>0.39230050433278385</v>
      </c>
      <c r="EP159" s="51">
        <f t="shared" si="440"/>
        <v>0.42819149865678169</v>
      </c>
      <c r="EQ159" s="51">
        <f t="shared" si="440"/>
        <v>0.36905203375331164</v>
      </c>
      <c r="ER159" s="1080">
        <f t="shared" si="440"/>
        <v>0.39976999475449898</v>
      </c>
      <c r="ES159" s="51">
        <f t="shared" ref="ES159:FA159" si="441">+ES55/ES30</f>
        <v>0.4312220148063089</v>
      </c>
      <c r="ET159" s="51">
        <f t="shared" si="441"/>
        <v>0.37338141324989343</v>
      </c>
      <c r="EU159" s="1080">
        <f t="shared" si="441"/>
        <v>0.40337039927912977</v>
      </c>
      <c r="EV159" s="51">
        <f t="shared" si="441"/>
        <v>0.43061776422302711</v>
      </c>
      <c r="EW159" s="51">
        <f t="shared" si="441"/>
        <v>0.37342999678843836</v>
      </c>
      <c r="EX159" s="1080">
        <f t="shared" si="441"/>
        <v>0.40302750604581017</v>
      </c>
      <c r="EY159" s="51">
        <f t="shared" si="441"/>
        <v>0.43004631345786237</v>
      </c>
      <c r="EZ159" s="51">
        <f t="shared" si="441"/>
        <v>0.37349391079998473</v>
      </c>
      <c r="FA159" s="1080">
        <f t="shared" si="441"/>
        <v>0.40271091434377321</v>
      </c>
      <c r="FD159"/>
      <c r="FE159"/>
      <c r="FF159"/>
      <c r="FG159"/>
      <c r="FH159"/>
      <c r="FI159"/>
    </row>
    <row r="160" spans="1:169" s="33" customFormat="1">
      <c r="B160" s="54" t="s">
        <v>389</v>
      </c>
      <c r="C160" s="54"/>
      <c r="D160" s="2" t="s">
        <v>507</v>
      </c>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f t="shared" ref="AM160:AZ160" si="442">+AM61/AM30</f>
        <v>0.15331801267867182</v>
      </c>
      <c r="AN160" s="51">
        <f t="shared" si="442"/>
        <v>0.15331801267867182</v>
      </c>
      <c r="AO160" s="51">
        <f t="shared" si="442"/>
        <v>0.1268546050480239</v>
      </c>
      <c r="AP160" s="51">
        <f t="shared" si="442"/>
        <v>0.187007942088458</v>
      </c>
      <c r="AQ160" s="51">
        <f t="shared" si="442"/>
        <v>0.16107382550335569</v>
      </c>
      <c r="AR160" s="51">
        <f t="shared" si="442"/>
        <v>0.12925905549087094</v>
      </c>
      <c r="AS160" s="51">
        <f t="shared" si="442"/>
        <v>0.19494667227922122</v>
      </c>
      <c r="AT160" s="51">
        <f t="shared" si="442"/>
        <v>0.16589955614145763</v>
      </c>
      <c r="AU160" s="51">
        <f t="shared" si="442"/>
        <v>0.1251279561835815</v>
      </c>
      <c r="AV160" s="51">
        <f t="shared" si="442"/>
        <v>0.20455631315499237</v>
      </c>
      <c r="AW160" s="51">
        <f t="shared" si="442"/>
        <v>0.16814964048264572</v>
      </c>
      <c r="AX160" s="51">
        <f t="shared" si="442"/>
        <v>0.12347049087795499</v>
      </c>
      <c r="AY160" s="51">
        <f t="shared" si="442"/>
        <v>0.21385751664293048</v>
      </c>
      <c r="AZ160" s="51">
        <f t="shared" si="442"/>
        <v>0.17192264501839777</v>
      </c>
      <c r="BA160" s="51"/>
      <c r="BB160" s="51"/>
      <c r="BC160" s="51">
        <f t="shared" ref="BC160:BJ160" si="443">+BC61/BC30</f>
        <v>0.17922285757068121</v>
      </c>
      <c r="BD160" s="51">
        <f t="shared" si="443"/>
        <v>0.18410661150719307</v>
      </c>
      <c r="BE160" s="51">
        <f t="shared" si="443"/>
        <v>0.16653318025137534</v>
      </c>
      <c r="BF160" s="51">
        <f t="shared" si="443"/>
        <v>0.17420984726503541</v>
      </c>
      <c r="BG160" s="51">
        <f t="shared" si="443"/>
        <v>0.15462950807374207</v>
      </c>
      <c r="BH160" s="51">
        <f t="shared" si="443"/>
        <v>0.13937791827910098</v>
      </c>
      <c r="BI160" s="51">
        <f t="shared" si="443"/>
        <v>0.146882671047046</v>
      </c>
      <c r="BJ160" s="51">
        <f t="shared" si="443"/>
        <v>9.0596694427938579E-2</v>
      </c>
      <c r="BK160" s="51"/>
      <c r="BL160" s="51"/>
      <c r="BM160" s="51"/>
      <c r="BN160" s="51"/>
      <c r="BO160" s="51">
        <f>+BO61/BO30</f>
        <v>0.244035311392928</v>
      </c>
      <c r="BP160" s="51"/>
      <c r="BQ160" s="51"/>
      <c r="BR160" s="51"/>
      <c r="BS160" s="51"/>
      <c r="BT160" s="51"/>
      <c r="BU160" s="51"/>
      <c r="BV160" s="51">
        <f t="shared" ref="BV160:DA160" si="444">+BV61/BV30</f>
        <v>0.3309565669852757</v>
      </c>
      <c r="BW160" s="51">
        <f t="shared" si="444"/>
        <v>0.29027902223356938</v>
      </c>
      <c r="BX160" s="51">
        <f t="shared" si="444"/>
        <v>0.30962992610837436</v>
      </c>
      <c r="BY160" s="51">
        <f t="shared" si="444"/>
        <v>0.35448799644642764</v>
      </c>
      <c r="BZ160" s="51">
        <f t="shared" si="444"/>
        <v>0.37497745652862774</v>
      </c>
      <c r="CA160" s="51">
        <f t="shared" si="444"/>
        <v>0.36446662275450875</v>
      </c>
      <c r="CB160" s="51">
        <f t="shared" si="444"/>
        <v>0.38624162609571877</v>
      </c>
      <c r="CC160" s="51">
        <f t="shared" si="444"/>
        <v>0.29055550655729145</v>
      </c>
      <c r="CD160" s="51">
        <f t="shared" si="444"/>
        <v>0.33981717377529042</v>
      </c>
      <c r="CE160" s="51">
        <f t="shared" si="444"/>
        <v>0.31750122980761497</v>
      </c>
      <c r="CF160" s="51">
        <f t="shared" si="444"/>
        <v>0.25507402061353246</v>
      </c>
      <c r="CG160" s="51">
        <f t="shared" si="444"/>
        <v>0.28516957885629968</v>
      </c>
      <c r="CH160" s="51">
        <f t="shared" si="444"/>
        <v>0.28129599861527577</v>
      </c>
      <c r="CI160" s="51">
        <f t="shared" si="444"/>
        <v>0.27183832458797713</v>
      </c>
      <c r="CJ160" s="51">
        <f t="shared" si="444"/>
        <v>0.27655481204452881</v>
      </c>
      <c r="CK160" s="51">
        <f t="shared" si="444"/>
        <v>0.3221563415319183</v>
      </c>
      <c r="CL160" s="51">
        <f t="shared" si="444"/>
        <v>0.28925433165037351</v>
      </c>
      <c r="CM160" s="51">
        <f t="shared" si="444"/>
        <v>0.30578526184446159</v>
      </c>
      <c r="CN160" s="51">
        <f t="shared" si="444"/>
        <v>0.32359568021132784</v>
      </c>
      <c r="CO160" s="51">
        <f t="shared" si="444"/>
        <v>0.30196334130261554</v>
      </c>
      <c r="CP160" s="51">
        <f t="shared" si="444"/>
        <v>0.31240158956287029</v>
      </c>
      <c r="CQ160" s="51">
        <f t="shared" si="444"/>
        <v>0.31406707338576006</v>
      </c>
      <c r="CR160" s="51">
        <f t="shared" si="444"/>
        <v>0.33132835712732783</v>
      </c>
      <c r="CS160" s="51">
        <f t="shared" si="444"/>
        <v>0.3225806451612902</v>
      </c>
      <c r="CT160" s="51">
        <f t="shared" si="444"/>
        <v>0.26289100850485564</v>
      </c>
      <c r="CU160" s="51">
        <f t="shared" si="444"/>
        <v>0.25367421087017367</v>
      </c>
      <c r="CV160" s="51">
        <f t="shared" si="444"/>
        <v>0.25844700597813514</v>
      </c>
      <c r="CW160" s="51">
        <f t="shared" si="444"/>
        <v>0.31281281281281287</v>
      </c>
      <c r="CX160" s="51">
        <f t="shared" si="444"/>
        <v>0.23111975017525971</v>
      </c>
      <c r="CY160" s="51">
        <f t="shared" si="444"/>
        <v>0.27474534493511121</v>
      </c>
      <c r="CZ160" s="51">
        <f t="shared" si="444"/>
        <v>0.36825539283605579</v>
      </c>
      <c r="DA160" s="51">
        <f t="shared" si="444"/>
        <v>0.2538791754569632</v>
      </c>
      <c r="DB160" s="51">
        <f t="shared" ref="DB160:EC160" si="445">+DB61/DB30</f>
        <v>0.3139656171527912</v>
      </c>
      <c r="DC160" s="51">
        <f t="shared" si="445"/>
        <v>0.35982429923470544</v>
      </c>
      <c r="DD160" s="51">
        <f t="shared" si="445"/>
        <v>0.25647426683813701</v>
      </c>
      <c r="DE160" s="1080">
        <f t="shared" si="445"/>
        <v>0.31092898130584684</v>
      </c>
      <c r="DF160" s="51">
        <f t="shared" si="445"/>
        <v>0.34862354500080694</v>
      </c>
      <c r="DG160" s="51">
        <f t="shared" si="445"/>
        <v>0.26857252428403178</v>
      </c>
      <c r="DH160" s="1080">
        <f t="shared" si="445"/>
        <v>0.31133810394395389</v>
      </c>
      <c r="DI160" s="51">
        <f t="shared" si="445"/>
        <v>0.42346163053826463</v>
      </c>
      <c r="DJ160" s="51">
        <f t="shared" si="445"/>
        <v>0.18748328765513883</v>
      </c>
      <c r="DK160" s="1080">
        <f t="shared" si="445"/>
        <v>0.31935764141077533</v>
      </c>
      <c r="DL160" s="51">
        <f t="shared" si="445"/>
        <v>0.38613539784955336</v>
      </c>
      <c r="DM160" s="51">
        <f t="shared" si="445"/>
        <v>0.2036125276992653</v>
      </c>
      <c r="DN160" s="1080">
        <f t="shared" si="445"/>
        <v>0.3079449029408346</v>
      </c>
      <c r="DO160" s="51">
        <f t="shared" si="445"/>
        <v>0.35354098624248875</v>
      </c>
      <c r="DP160" s="51">
        <f t="shared" si="445"/>
        <v>0.22283679542948223</v>
      </c>
      <c r="DQ160" s="1080">
        <f t="shared" si="445"/>
        <v>0.29382402935620272</v>
      </c>
      <c r="DR160" s="51">
        <f t="shared" si="445"/>
        <v>0.36450725496476616</v>
      </c>
      <c r="DS160" s="51">
        <f t="shared" si="445"/>
        <v>0.2255369674282186</v>
      </c>
      <c r="DT160" s="1080">
        <f t="shared" si="445"/>
        <v>0.30147781278442903</v>
      </c>
      <c r="DU160" s="51">
        <f t="shared" si="445"/>
        <v>0.35630088710657432</v>
      </c>
      <c r="DV160" s="51">
        <f>+DV61/DV30</f>
        <v>0.24004683840749413</v>
      </c>
      <c r="DW160" s="1080">
        <f>+DW61/DW30</f>
        <v>0.30356550029878493</v>
      </c>
      <c r="DX160" s="51">
        <f t="shared" si="445"/>
        <v>0.35269401878398421</v>
      </c>
      <c r="DY160" s="51">
        <f t="shared" si="445"/>
        <v>0.2915318359030567</v>
      </c>
      <c r="DZ160" s="1080">
        <f t="shared" si="445"/>
        <v>0.32350950572912857</v>
      </c>
      <c r="EA160" s="51">
        <f t="shared" si="445"/>
        <v>0.34922410588601749</v>
      </c>
      <c r="EB160" s="51">
        <f t="shared" si="445"/>
        <v>0.29212744004954178</v>
      </c>
      <c r="EC160" s="1080">
        <f t="shared" si="445"/>
        <v>0.32234091796729464</v>
      </c>
      <c r="ED160" s="51">
        <f t="shared" ref="ED160:EL160" si="446">+ED61/ED30</f>
        <v>0.35936205259006365</v>
      </c>
      <c r="EE160" s="51">
        <f t="shared" si="446"/>
        <v>0.29502427120327346</v>
      </c>
      <c r="EF160" s="1080">
        <f t="shared" si="446"/>
        <v>0.32879684901908834</v>
      </c>
      <c r="EG160" s="51">
        <f t="shared" si="446"/>
        <v>0.36534507455199638</v>
      </c>
      <c r="EH160" s="51">
        <f t="shared" si="446"/>
        <v>0.30356704602618739</v>
      </c>
      <c r="EI160" s="1080">
        <f t="shared" si="446"/>
        <v>0.33587625001449478</v>
      </c>
      <c r="EJ160" s="51">
        <f t="shared" si="446"/>
        <v>0.37152701159273027</v>
      </c>
      <c r="EK160" s="51">
        <f t="shared" si="446"/>
        <v>0.31202780907695377</v>
      </c>
      <c r="EL160" s="1080">
        <f t="shared" si="446"/>
        <v>0.34302139824066169</v>
      </c>
      <c r="EM160" s="51">
        <f t="shared" ref="EM160:ER160" si="447">+EM61/EM30</f>
        <v>0.3815927385016234</v>
      </c>
      <c r="EN160" s="51">
        <f t="shared" si="447"/>
        <v>0.32048828415436897</v>
      </c>
      <c r="EO160" s="1080">
        <f t="shared" si="447"/>
        <v>0.35230050433278387</v>
      </c>
      <c r="EP160" s="51">
        <f t="shared" si="447"/>
        <v>0.38819149865678165</v>
      </c>
      <c r="EQ160" s="51">
        <f t="shared" si="447"/>
        <v>0.32905203375331166</v>
      </c>
      <c r="ER160" s="1080">
        <f t="shared" si="447"/>
        <v>0.359769994754499</v>
      </c>
      <c r="ES160" s="51">
        <f t="shared" ref="ES160:FA160" si="448">+ES61/ES30</f>
        <v>0.39122201480630886</v>
      </c>
      <c r="ET160" s="51">
        <f t="shared" si="448"/>
        <v>0.3333814132498934</v>
      </c>
      <c r="EU160" s="1080">
        <f t="shared" si="448"/>
        <v>0.36337039927912979</v>
      </c>
      <c r="EV160" s="51">
        <f t="shared" si="448"/>
        <v>0.39061776422302708</v>
      </c>
      <c r="EW160" s="51">
        <f t="shared" si="448"/>
        <v>0.33342999678843832</v>
      </c>
      <c r="EX160" s="1080">
        <f t="shared" si="448"/>
        <v>0.36302750604581013</v>
      </c>
      <c r="EY160" s="51">
        <f t="shared" si="448"/>
        <v>0.39004631345786234</v>
      </c>
      <c r="EZ160" s="51">
        <f t="shared" si="448"/>
        <v>0.33349391079998469</v>
      </c>
      <c r="FA160" s="1080">
        <f t="shared" si="448"/>
        <v>0.36271091434377323</v>
      </c>
      <c r="FD160"/>
      <c r="FE160"/>
      <c r="FF160"/>
      <c r="FG160"/>
      <c r="FH160"/>
      <c r="FI160"/>
    </row>
    <row r="161" spans="2:165" s="33" customFormat="1">
      <c r="B161" s="54" t="s">
        <v>390</v>
      </c>
      <c r="C161" s="54"/>
      <c r="D161" s="2" t="s">
        <v>507</v>
      </c>
      <c r="E161" s="51"/>
      <c r="F161" s="51"/>
      <c r="G161" s="51"/>
      <c r="H161" s="51"/>
      <c r="I161" s="5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f t="shared" ref="AM161:AZ161" si="449">+AM69/AM30</f>
        <v>0.15253182118946149</v>
      </c>
      <c r="AN161" s="51">
        <f t="shared" si="449"/>
        <v>0.15253182118946149</v>
      </c>
      <c r="AO161" s="51">
        <f t="shared" si="449"/>
        <v>0.1268546050480239</v>
      </c>
      <c r="AP161" s="51">
        <f t="shared" si="449"/>
        <v>0.18329625488455731</v>
      </c>
      <c r="AQ161" s="51">
        <f t="shared" si="449"/>
        <v>0.15896237086192594</v>
      </c>
      <c r="AR161" s="51">
        <f t="shared" si="449"/>
        <v>0.12925905549087094</v>
      </c>
      <c r="AS161" s="51">
        <f t="shared" si="449"/>
        <v>0.19397292787698364</v>
      </c>
      <c r="AT161" s="1081">
        <f t="shared" si="449"/>
        <v>0.16535640228464091</v>
      </c>
      <c r="AU161" s="51">
        <f t="shared" si="449"/>
        <v>0.1251279561835815</v>
      </c>
      <c r="AV161" s="51">
        <f t="shared" si="449"/>
        <v>0.20332837693623215</v>
      </c>
      <c r="AW161" s="51">
        <f t="shared" si="449"/>
        <v>0.16748453942356295</v>
      </c>
      <c r="AX161" s="51">
        <f t="shared" si="449"/>
        <v>0.12347049087795499</v>
      </c>
      <c r="AY161" s="51">
        <f t="shared" si="449"/>
        <v>0.21256582651607991</v>
      </c>
      <c r="AZ161" s="51">
        <f t="shared" si="449"/>
        <v>0.17123023182526331</v>
      </c>
      <c r="BA161" s="51"/>
      <c r="BB161" s="51"/>
      <c r="BC161" s="51">
        <f t="shared" ref="BC161:BJ161" si="450">+BC69/BC30</f>
        <v>0.17875141549605533</v>
      </c>
      <c r="BD161" s="51">
        <f t="shared" si="450"/>
        <v>0.18410661150719307</v>
      </c>
      <c r="BE161" s="51">
        <f t="shared" si="450"/>
        <v>0.16653318025137534</v>
      </c>
      <c r="BF161" s="51">
        <f t="shared" si="450"/>
        <v>0.17420984726503541</v>
      </c>
      <c r="BG161" s="51">
        <f t="shared" si="450"/>
        <v>0.15462950807374207</v>
      </c>
      <c r="BH161" s="51">
        <f t="shared" si="450"/>
        <v>0.13295543322250683</v>
      </c>
      <c r="BI161" s="51">
        <f t="shared" si="450"/>
        <v>0.14362045735589968</v>
      </c>
      <c r="BJ161" s="51">
        <f t="shared" si="450"/>
        <v>8.5879164583785278E-2</v>
      </c>
      <c r="BK161" s="51"/>
      <c r="BL161" s="51"/>
      <c r="BM161" s="51"/>
      <c r="BN161" s="51"/>
      <c r="BO161" s="51">
        <f>+BO69/BO30</f>
        <v>0.24232436123921522</v>
      </c>
      <c r="BP161" s="51"/>
      <c r="BQ161" s="51"/>
      <c r="BR161" s="51"/>
      <c r="BS161" s="51"/>
      <c r="BT161" s="51"/>
      <c r="BU161" s="51"/>
      <c r="BV161" s="51">
        <f t="shared" ref="BV161:DA161" si="451">+BV69/BV30</f>
        <v>0.32356361931418015</v>
      </c>
      <c r="BW161" s="51">
        <f t="shared" si="451"/>
        <v>0.27406530249520911</v>
      </c>
      <c r="BX161" s="51">
        <f t="shared" si="451"/>
        <v>0.29761237684729064</v>
      </c>
      <c r="BY161" s="51">
        <f t="shared" si="451"/>
        <v>0.34813741266901543</v>
      </c>
      <c r="BZ161" s="51">
        <f t="shared" si="451"/>
        <v>0.36771603636255806</v>
      </c>
      <c r="CA161" s="51">
        <f t="shared" si="451"/>
        <v>0.35767245013123378</v>
      </c>
      <c r="CB161" s="51">
        <f t="shared" si="451"/>
        <v>0.38064440641796116</v>
      </c>
      <c r="CC161" s="51">
        <f t="shared" si="451"/>
        <v>0.28461621466842624</v>
      </c>
      <c r="CD161" s="51">
        <f t="shared" si="451"/>
        <v>0.33405398942960274</v>
      </c>
      <c r="CE161" s="51">
        <f t="shared" si="451"/>
        <v>0.31107531099721514</v>
      </c>
      <c r="CF161" s="51">
        <f t="shared" si="451"/>
        <v>0.24909252544915353</v>
      </c>
      <c r="CG161" s="51">
        <f t="shared" si="451"/>
        <v>0.27897383131870152</v>
      </c>
      <c r="CH161" s="51">
        <f t="shared" si="451"/>
        <v>0.27487826965041368</v>
      </c>
      <c r="CI161" s="51">
        <f t="shared" si="451"/>
        <v>0.26541089151581282</v>
      </c>
      <c r="CJ161" s="51">
        <f t="shared" si="451"/>
        <v>0.27013221835467305</v>
      </c>
      <c r="CK161" s="51">
        <f t="shared" si="451"/>
        <v>0.31621805159892469</v>
      </c>
      <c r="CL161" s="51">
        <f t="shared" si="451"/>
        <v>0.28265032873326795</v>
      </c>
      <c r="CM161" s="51">
        <f t="shared" si="451"/>
        <v>0.29951573256313918</v>
      </c>
      <c r="CN161" s="51">
        <f t="shared" si="451"/>
        <v>0.31776862714629789</v>
      </c>
      <c r="CO161" s="51">
        <f t="shared" si="451"/>
        <v>0.29674708396725363</v>
      </c>
      <c r="CP161" s="51">
        <f t="shared" si="451"/>
        <v>0.30689060508360205</v>
      </c>
      <c r="CQ161" s="51">
        <f t="shared" si="451"/>
        <v>0.30972952004795989</v>
      </c>
      <c r="CR161" s="51">
        <f t="shared" si="451"/>
        <v>0.3267265743894483</v>
      </c>
      <c r="CS161" s="51">
        <f t="shared" si="451"/>
        <v>0.31811276918952719</v>
      </c>
      <c r="CT161" s="51">
        <f t="shared" si="451"/>
        <v>0.2582511102150809</v>
      </c>
      <c r="CU161" s="51">
        <f t="shared" si="451"/>
        <v>0.24615607779049908</v>
      </c>
      <c r="CV161" s="51">
        <f t="shared" si="451"/>
        <v>0.25241932820292623</v>
      </c>
      <c r="CW161" s="51">
        <f t="shared" si="451"/>
        <v>0.30438772105438777</v>
      </c>
      <c r="CX161" s="51">
        <f t="shared" si="451"/>
        <v>0.21802307054999676</v>
      </c>
      <c r="CY161" s="51">
        <f t="shared" si="451"/>
        <v>0.26414337896831291</v>
      </c>
      <c r="CZ161" s="51">
        <f t="shared" si="451"/>
        <v>0.36161247148792647</v>
      </c>
      <c r="DA161" s="51">
        <f t="shared" si="451"/>
        <v>0.24555029490381103</v>
      </c>
      <c r="DB161" s="51">
        <f t="shared" ref="DB161:EC161" si="452">+DB69/DB30</f>
        <v>0.30652243899298176</v>
      </c>
      <c r="DC161" s="51">
        <f t="shared" si="452"/>
        <v>0.3516279491011185</v>
      </c>
      <c r="DD161" s="51">
        <f t="shared" si="452"/>
        <v>0.23980633936001203</v>
      </c>
      <c r="DE161" s="1080">
        <f t="shared" si="452"/>
        <v>0.2987246936998198</v>
      </c>
      <c r="DF161" s="51">
        <f t="shared" si="452"/>
        <v>0.34101760366471007</v>
      </c>
      <c r="DG161" s="51">
        <f t="shared" si="452"/>
        <v>0.25992057693601528</v>
      </c>
      <c r="DH161" s="1080">
        <f t="shared" si="452"/>
        <v>0.30324496337974816</v>
      </c>
      <c r="DI161" s="51">
        <f t="shared" si="452"/>
        <v>0.41502172740934057</v>
      </c>
      <c r="DJ161" s="51">
        <f t="shared" si="452"/>
        <v>0.17679198965382958</v>
      </c>
      <c r="DK161" s="1080">
        <f t="shared" si="452"/>
        <v>0.3099245149866417</v>
      </c>
      <c r="DL161" s="51">
        <f t="shared" si="452"/>
        <v>0.37813688909694798</v>
      </c>
      <c r="DM161" s="51">
        <f t="shared" si="452"/>
        <v>0.19239715178066716</v>
      </c>
      <c r="DN161" s="1080">
        <f t="shared" si="452"/>
        <v>0.29856832887752333</v>
      </c>
      <c r="DO161" s="51">
        <f t="shared" si="452"/>
        <v>0.34587875686438002</v>
      </c>
      <c r="DP161" s="51">
        <f t="shared" si="452"/>
        <v>0.21383101942893543</v>
      </c>
      <c r="DQ161" s="1080">
        <f t="shared" si="452"/>
        <v>0.28554795190460996</v>
      </c>
      <c r="DR161" s="51">
        <f t="shared" si="452"/>
        <v>0.3581011050608584</v>
      </c>
      <c r="DS161" s="51">
        <f t="shared" si="452"/>
        <v>0.21642921812287744</v>
      </c>
      <c r="DT161" s="1080">
        <f t="shared" si="452"/>
        <v>0.29384636280893367</v>
      </c>
      <c r="DU161" s="51">
        <f t="shared" si="452"/>
        <v>0.34973872888564833</v>
      </c>
      <c r="DV161" s="51">
        <f>+DV69/DV30</f>
        <v>0.23272833723653397</v>
      </c>
      <c r="DW161" s="1080">
        <f>+DW69/DW30</f>
        <v>0.29666024832348448</v>
      </c>
      <c r="DX161" s="51">
        <f t="shared" si="452"/>
        <v>0.34663865546218486</v>
      </c>
      <c r="DY161" s="51">
        <f t="shared" si="452"/>
        <v>0.2836168460936983</v>
      </c>
      <c r="DZ161" s="1080">
        <f t="shared" si="452"/>
        <v>0.31656679190826381</v>
      </c>
      <c r="EA161" s="51">
        <f t="shared" si="452"/>
        <v>0.34132010459220602</v>
      </c>
      <c r="EB161" s="51">
        <f t="shared" si="452"/>
        <v>0.28422004216132429</v>
      </c>
      <c r="EC161" s="1080">
        <f t="shared" si="452"/>
        <v>0.31443531743324099</v>
      </c>
      <c r="ED161" s="51">
        <f t="shared" ref="ED161:EL161" si="453">+ED69/ED30</f>
        <v>0.35146617097490745</v>
      </c>
      <c r="EE161" s="51">
        <f t="shared" si="453"/>
        <v>0.28712843475338645</v>
      </c>
      <c r="EF161" s="1080">
        <f t="shared" si="453"/>
        <v>0.32090098886077473</v>
      </c>
      <c r="EG161" s="51">
        <f t="shared" si="453"/>
        <v>0.35745917596431703</v>
      </c>
      <c r="EH161" s="51">
        <f t="shared" si="453"/>
        <v>0.29568257489952643</v>
      </c>
      <c r="EI161" s="1080">
        <f t="shared" si="453"/>
        <v>0.32799103234200949</v>
      </c>
      <c r="EJ161" s="51">
        <f t="shared" si="453"/>
        <v>0.36365070641545721</v>
      </c>
      <c r="EK161" s="51">
        <f t="shared" si="453"/>
        <v>0.30415425435246174</v>
      </c>
      <c r="EL161" s="1080">
        <f t="shared" si="453"/>
        <v>0.33514641078430257</v>
      </c>
      <c r="EM161" s="51">
        <f t="shared" ref="EM161:ER161" si="454">+EM69/EM30</f>
        <v>0.37372483628624614</v>
      </c>
      <c r="EN161" s="51">
        <f t="shared" si="454"/>
        <v>0.31262313186653817</v>
      </c>
      <c r="EO161" s="1080">
        <f t="shared" si="454"/>
        <v>0.34443392037681175</v>
      </c>
      <c r="EP161" s="51">
        <f t="shared" si="454"/>
        <v>0.38033148210432727</v>
      </c>
      <c r="EQ161" s="51">
        <f t="shared" si="454"/>
        <v>0.32119533332823391</v>
      </c>
      <c r="ER161" s="1080">
        <f t="shared" si="454"/>
        <v>0.35191157188111033</v>
      </c>
      <c r="ES161" s="51">
        <f t="shared" ref="ES161:FA161" si="455">+ES69/ES30</f>
        <v>0.3833697132759184</v>
      </c>
      <c r="ET161" s="51">
        <f t="shared" si="455"/>
        <v>0.32553276287164995</v>
      </c>
      <c r="EU161" s="1080">
        <f t="shared" si="455"/>
        <v>0.35551985586471829</v>
      </c>
      <c r="EV161" s="51">
        <f t="shared" si="455"/>
        <v>0.3827728475913918</v>
      </c>
      <c r="EW161" s="51">
        <f t="shared" si="455"/>
        <v>0.32558901067438945</v>
      </c>
      <c r="EX161" s="1080">
        <f t="shared" si="455"/>
        <v>0.35518448569374378</v>
      </c>
      <c r="EY161" s="51">
        <f t="shared" si="455"/>
        <v>0.38220846265807229</v>
      </c>
      <c r="EZ161" s="51">
        <f t="shared" si="455"/>
        <v>0.32566021883783586</v>
      </c>
      <c r="FA161" s="1080">
        <f t="shared" si="455"/>
        <v>0.35487507377664224</v>
      </c>
      <c r="FD161"/>
      <c r="FE161"/>
      <c r="FF161"/>
      <c r="FG161"/>
      <c r="FH161"/>
      <c r="FI161"/>
    </row>
    <row r="162" spans="2:165" s="33" customFormat="1">
      <c r="B162" s="54" t="s">
        <v>391</v>
      </c>
      <c r="C162" s="54"/>
      <c r="D162" s="2" t="s">
        <v>507</v>
      </c>
      <c r="E162" s="51"/>
      <c r="F162" s="51"/>
      <c r="G162" s="51"/>
      <c r="H162" s="51"/>
      <c r="I162" s="5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f t="shared" ref="AM162:AZ162" si="456">+AM73/AM30</f>
        <v>0.14784313167462348</v>
      </c>
      <c r="AN162" s="51">
        <f t="shared" si="456"/>
        <v>0.14784313167462348</v>
      </c>
      <c r="AO162" s="51">
        <f t="shared" si="456"/>
        <v>0.1268546050480239</v>
      </c>
      <c r="AP162" s="51">
        <f t="shared" si="456"/>
        <v>0.18095627816905469</v>
      </c>
      <c r="AQ162" s="51">
        <f t="shared" si="456"/>
        <v>0.15763123641406807</v>
      </c>
      <c r="AR162" s="51">
        <f t="shared" si="456"/>
        <v>0.12925905549087094</v>
      </c>
      <c r="AS162" s="51">
        <f t="shared" si="456"/>
        <v>0.19397292787698364</v>
      </c>
      <c r="AT162" s="51">
        <f t="shared" si="456"/>
        <v>0.16535640228464091</v>
      </c>
      <c r="AU162" s="51">
        <f t="shared" si="456"/>
        <v>0.1251279561835815</v>
      </c>
      <c r="AV162" s="51">
        <f t="shared" si="456"/>
        <v>0.20101985684496304</v>
      </c>
      <c r="AW162" s="51">
        <f t="shared" si="456"/>
        <v>0.1662341494324874</v>
      </c>
      <c r="AX162" s="51">
        <f t="shared" si="456"/>
        <v>0.12347049087795499</v>
      </c>
      <c r="AY162" s="51">
        <f t="shared" si="456"/>
        <v>0.21256582651607991</v>
      </c>
      <c r="AZ162" s="51">
        <f t="shared" si="456"/>
        <v>0.17123023182526331</v>
      </c>
      <c r="BA162" s="51"/>
      <c r="BB162" s="51"/>
      <c r="BC162" s="51">
        <f t="shared" ref="BC162:BJ162" si="457">+BC73/BC30</f>
        <v>0.15044149438948837</v>
      </c>
      <c r="BD162" s="51">
        <f t="shared" si="457"/>
        <v>0.15016658047998915</v>
      </c>
      <c r="BE162" s="51">
        <f t="shared" si="457"/>
        <v>0.12824164855065318</v>
      </c>
      <c r="BF162" s="51">
        <f t="shared" si="457"/>
        <v>0.13781919770816084</v>
      </c>
      <c r="BG162" s="51">
        <f t="shared" si="457"/>
        <v>0.11342622981564489</v>
      </c>
      <c r="BH162" s="51">
        <f t="shared" si="457"/>
        <v>9.4918636410433424E-2</v>
      </c>
      <c r="BI162" s="51">
        <f t="shared" si="457"/>
        <v>0.10402555016211094</v>
      </c>
      <c r="BJ162" s="51">
        <f t="shared" si="457"/>
        <v>8.5879164583785278E-2</v>
      </c>
      <c r="BK162" s="51"/>
      <c r="BL162" s="51"/>
      <c r="BM162" s="51"/>
      <c r="BN162" s="51">
        <f>+BN73/BN30</f>
        <v>0</v>
      </c>
      <c r="BO162" s="51">
        <f>+BO73/BO30</f>
        <v>0.24232436123921522</v>
      </c>
      <c r="BP162" s="51"/>
      <c r="BQ162" s="51"/>
      <c r="BR162" s="51"/>
      <c r="BS162" s="51"/>
      <c r="BT162" s="51"/>
      <c r="BU162" s="51"/>
      <c r="BV162" s="51">
        <f t="shared" ref="BV162:DA162" si="458">+BV73/BV30</f>
        <v>0.32356361931418015</v>
      </c>
      <c r="BW162" s="51">
        <f t="shared" si="458"/>
        <v>0.27406530249520911</v>
      </c>
      <c r="BX162" s="51">
        <f t="shared" si="458"/>
        <v>0.29761237684729064</v>
      </c>
      <c r="BY162" s="51">
        <f t="shared" si="458"/>
        <v>0.34813741266901543</v>
      </c>
      <c r="BZ162" s="51">
        <f t="shared" si="458"/>
        <v>0.36771603636255806</v>
      </c>
      <c r="CA162" s="51">
        <f t="shared" si="458"/>
        <v>0.35767245013123378</v>
      </c>
      <c r="CB162" s="51">
        <f t="shared" si="458"/>
        <v>0.38064440641796116</v>
      </c>
      <c r="CC162" s="51">
        <f t="shared" si="458"/>
        <v>0.28461621466842624</v>
      </c>
      <c r="CD162" s="51">
        <f t="shared" si="458"/>
        <v>0.33405398942960274</v>
      </c>
      <c r="CE162" s="51">
        <f t="shared" si="458"/>
        <v>0.31107531099721514</v>
      </c>
      <c r="CF162" s="51">
        <f t="shared" si="458"/>
        <v>0.24909252544915353</v>
      </c>
      <c r="CG162" s="51">
        <f t="shared" si="458"/>
        <v>0.27897383131870152</v>
      </c>
      <c r="CH162" s="51">
        <f t="shared" si="458"/>
        <v>0.27487826965041368</v>
      </c>
      <c r="CI162" s="51">
        <f t="shared" si="458"/>
        <v>0.26541089151581282</v>
      </c>
      <c r="CJ162" s="51">
        <f t="shared" si="458"/>
        <v>0.27013221835467305</v>
      </c>
      <c r="CK162" s="51">
        <f t="shared" si="458"/>
        <v>0.31621805159892469</v>
      </c>
      <c r="CL162" s="51">
        <f t="shared" si="458"/>
        <v>0.28265032873326795</v>
      </c>
      <c r="CM162" s="51">
        <f t="shared" si="458"/>
        <v>0.29951573256313918</v>
      </c>
      <c r="CN162" s="51">
        <f t="shared" si="458"/>
        <v>0.31776862714629789</v>
      </c>
      <c r="CO162" s="51">
        <f t="shared" si="458"/>
        <v>0.29674708396725363</v>
      </c>
      <c r="CP162" s="51">
        <f t="shared" si="458"/>
        <v>0.30689060508360205</v>
      </c>
      <c r="CQ162" s="51">
        <f t="shared" si="458"/>
        <v>0.30972952004795989</v>
      </c>
      <c r="CR162" s="51">
        <f t="shared" si="458"/>
        <v>0.3267265743894483</v>
      </c>
      <c r="CS162" s="51">
        <f t="shared" si="458"/>
        <v>0.31811276918952719</v>
      </c>
      <c r="CT162" s="51">
        <f t="shared" si="458"/>
        <v>0.2582511102150809</v>
      </c>
      <c r="CU162" s="51">
        <f t="shared" si="458"/>
        <v>0.24615607779049908</v>
      </c>
      <c r="CV162" s="51">
        <f t="shared" si="458"/>
        <v>0.25241932820292623</v>
      </c>
      <c r="CW162" s="51">
        <f t="shared" si="458"/>
        <v>0.30438772105438777</v>
      </c>
      <c r="CX162" s="51">
        <f t="shared" si="458"/>
        <v>0.21802307054999676</v>
      </c>
      <c r="CY162" s="51">
        <f t="shared" si="458"/>
        <v>0.26414337896831291</v>
      </c>
      <c r="CZ162" s="51">
        <f t="shared" si="458"/>
        <v>0.36161247148792647</v>
      </c>
      <c r="DA162" s="51">
        <f t="shared" si="458"/>
        <v>0.24555029490381103</v>
      </c>
      <c r="DB162" s="51">
        <f t="shared" ref="DB162:EC162" si="459">+DB73/DB30</f>
        <v>0.30652243899298176</v>
      </c>
      <c r="DC162" s="51">
        <f t="shared" si="459"/>
        <v>0.3516279491011185</v>
      </c>
      <c r="DD162" s="51">
        <f t="shared" si="459"/>
        <v>0.23980633936001203</v>
      </c>
      <c r="DE162" s="1080">
        <f t="shared" si="459"/>
        <v>0.2987246936998198</v>
      </c>
      <c r="DF162" s="51">
        <f t="shared" si="459"/>
        <v>0.34101760366471007</v>
      </c>
      <c r="DG162" s="51">
        <f t="shared" si="459"/>
        <v>0.25992057693601528</v>
      </c>
      <c r="DH162" s="1080">
        <f t="shared" si="459"/>
        <v>0.30324496337974816</v>
      </c>
      <c r="DI162" s="51">
        <f t="shared" si="459"/>
        <v>0.41502172740934057</v>
      </c>
      <c r="DJ162" s="51">
        <f t="shared" si="459"/>
        <v>0.17679198965382958</v>
      </c>
      <c r="DK162" s="1080">
        <f t="shared" si="459"/>
        <v>0.3099245149866417</v>
      </c>
      <c r="DL162" s="51">
        <f t="shared" si="459"/>
        <v>0.37813688909694798</v>
      </c>
      <c r="DM162" s="51">
        <f t="shared" si="459"/>
        <v>0.19239715178066716</v>
      </c>
      <c r="DN162" s="1080">
        <f t="shared" si="459"/>
        <v>0.29856832887752333</v>
      </c>
      <c r="DO162" s="51">
        <f t="shared" si="459"/>
        <v>0.34587875686438002</v>
      </c>
      <c r="DP162" s="51">
        <f t="shared" si="459"/>
        <v>0.21383101942893543</v>
      </c>
      <c r="DQ162" s="1080">
        <f t="shared" si="459"/>
        <v>0.28554795190460996</v>
      </c>
      <c r="DR162" s="51">
        <f t="shared" si="459"/>
        <v>0.3581011050608584</v>
      </c>
      <c r="DS162" s="51">
        <f t="shared" si="459"/>
        <v>0.21642921812287744</v>
      </c>
      <c r="DT162" s="1080">
        <f t="shared" si="459"/>
        <v>0.29384636280893367</v>
      </c>
      <c r="DU162" s="51">
        <f t="shared" si="459"/>
        <v>0.34973872888564833</v>
      </c>
      <c r="DV162" s="51">
        <f>+DV73/DV30</f>
        <v>0.23272833723653397</v>
      </c>
      <c r="DW162" s="1080">
        <f>+DW73/DW30</f>
        <v>0.29666024832348448</v>
      </c>
      <c r="DX162" s="51">
        <f t="shared" si="459"/>
        <v>0.34663865546218486</v>
      </c>
      <c r="DY162" s="51">
        <f t="shared" si="459"/>
        <v>0.2836168460936983</v>
      </c>
      <c r="DZ162" s="1080">
        <f t="shared" si="459"/>
        <v>0.31656679190826381</v>
      </c>
      <c r="EA162" s="51">
        <f t="shared" si="459"/>
        <v>0.34132010459220602</v>
      </c>
      <c r="EB162" s="51">
        <f t="shared" si="459"/>
        <v>0.28422004216132429</v>
      </c>
      <c r="EC162" s="1080">
        <f t="shared" si="459"/>
        <v>0.31443531743324099</v>
      </c>
      <c r="ED162" s="51">
        <f t="shared" ref="ED162:EL162" si="460">+ED73/ED30</f>
        <v>0.35146617097490745</v>
      </c>
      <c r="EE162" s="51">
        <f t="shared" si="460"/>
        <v>0.28712843475338645</v>
      </c>
      <c r="EF162" s="1080">
        <f t="shared" si="460"/>
        <v>0.32090098886077473</v>
      </c>
      <c r="EG162" s="51">
        <f t="shared" si="460"/>
        <v>0.35745917596431703</v>
      </c>
      <c r="EH162" s="51">
        <f t="shared" si="460"/>
        <v>0.29568257489952643</v>
      </c>
      <c r="EI162" s="1080">
        <f t="shared" si="460"/>
        <v>0.32799103234200949</v>
      </c>
      <c r="EJ162" s="51">
        <f t="shared" si="460"/>
        <v>0.36365070641545721</v>
      </c>
      <c r="EK162" s="51">
        <f t="shared" si="460"/>
        <v>0.30415425435246174</v>
      </c>
      <c r="EL162" s="1080">
        <f t="shared" si="460"/>
        <v>0.33514641078430257</v>
      </c>
      <c r="EM162" s="51">
        <f t="shared" ref="EM162:ER162" si="461">+EM73/EM30</f>
        <v>0.37372483628624614</v>
      </c>
      <c r="EN162" s="51">
        <f t="shared" si="461"/>
        <v>0.31262313186653817</v>
      </c>
      <c r="EO162" s="1080">
        <f t="shared" si="461"/>
        <v>0.34443392037681175</v>
      </c>
      <c r="EP162" s="51">
        <f t="shared" si="461"/>
        <v>0.38033148210432727</v>
      </c>
      <c r="EQ162" s="51">
        <f t="shared" si="461"/>
        <v>0.32119533332823391</v>
      </c>
      <c r="ER162" s="1080">
        <f t="shared" si="461"/>
        <v>0.35191157188111033</v>
      </c>
      <c r="ES162" s="51">
        <f t="shared" ref="ES162:FA162" si="462">+ES73/ES30</f>
        <v>0.3833697132759184</v>
      </c>
      <c r="ET162" s="51">
        <f t="shared" si="462"/>
        <v>0.32553276287164995</v>
      </c>
      <c r="EU162" s="1080">
        <f t="shared" si="462"/>
        <v>0.35551985586471829</v>
      </c>
      <c r="EV162" s="51">
        <f t="shared" si="462"/>
        <v>0.3827728475913918</v>
      </c>
      <c r="EW162" s="51">
        <f t="shared" si="462"/>
        <v>0.32558901067438945</v>
      </c>
      <c r="EX162" s="1080">
        <f t="shared" si="462"/>
        <v>0.35518448569374378</v>
      </c>
      <c r="EY162" s="51">
        <f t="shared" si="462"/>
        <v>0.38220846265807229</v>
      </c>
      <c r="EZ162" s="51">
        <f t="shared" si="462"/>
        <v>0.32566021883783586</v>
      </c>
      <c r="FA162" s="1080">
        <f t="shared" si="462"/>
        <v>0.35487507377664224</v>
      </c>
      <c r="FD162"/>
      <c r="FE162"/>
      <c r="FF162"/>
      <c r="FG162"/>
      <c r="FH162"/>
      <c r="FI162"/>
    </row>
    <row r="163" spans="2:165" s="33" customFormat="1">
      <c r="B163" s="54" t="s">
        <v>468</v>
      </c>
      <c r="C163" s="54"/>
      <c r="D163" s="2" t="s">
        <v>507</v>
      </c>
      <c r="E163" s="51"/>
      <c r="F163" s="51"/>
      <c r="G163" s="51"/>
      <c r="H163" s="51"/>
      <c r="I163" s="5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f t="shared" ref="AM163:AZ163" si="463">+AM91/AM30</f>
        <v>0.10783630141372175</v>
      </c>
      <c r="AN163" s="51">
        <f t="shared" si="463"/>
        <v>0.10783630141372175</v>
      </c>
      <c r="AO163" s="51">
        <f t="shared" si="463"/>
        <v>9.4656151851373035E-2</v>
      </c>
      <c r="AP163" s="51">
        <f t="shared" si="463"/>
        <v>0.13320000461079157</v>
      </c>
      <c r="AQ163" s="51">
        <f t="shared" si="463"/>
        <v>0.11658245984465727</v>
      </c>
      <c r="AR163" s="51">
        <f t="shared" si="463"/>
        <v>0.1134511304169812</v>
      </c>
      <c r="AS163" s="51">
        <f t="shared" si="463"/>
        <v>0.11750863437419175</v>
      </c>
      <c r="AT163" s="51">
        <f t="shared" si="463"/>
        <v>0.11571440291266258</v>
      </c>
      <c r="AU163" s="51">
        <f t="shared" si="463"/>
        <v>8.552221952532213E-2</v>
      </c>
      <c r="AV163" s="51">
        <f t="shared" si="463"/>
        <v>0.12816528468026775</v>
      </c>
      <c r="AW163" s="51">
        <f t="shared" si="463"/>
        <v>0.10861946787078175</v>
      </c>
      <c r="AX163" s="51">
        <f t="shared" si="463"/>
        <v>8.9020061802213779E-2</v>
      </c>
      <c r="AY163" s="51">
        <f t="shared" si="463"/>
        <v>0.14947173185837775</v>
      </c>
      <c r="AZ163" s="51">
        <f t="shared" si="463"/>
        <v>0.12142530592679061</v>
      </c>
      <c r="BA163" s="51"/>
      <c r="BB163" s="51"/>
      <c r="BC163" s="51">
        <f t="shared" ref="BC163:BJ163" si="464">+BC91/BC30</f>
        <v>0.12031014571420551</v>
      </c>
      <c r="BD163" s="51">
        <f t="shared" si="464"/>
        <v>0.13149939386746468</v>
      </c>
      <c r="BE163" s="51">
        <f t="shared" si="464"/>
        <v>0.12544172167227574</v>
      </c>
      <c r="BF163" s="51">
        <f t="shared" si="464"/>
        <v>0.1280879170363699</v>
      </c>
      <c r="BG163" s="51">
        <f t="shared" si="464"/>
        <v>6.2670742609228391E-2</v>
      </c>
      <c r="BH163" s="51">
        <f t="shared" si="464"/>
        <v>5.2332200844219162E-2</v>
      </c>
      <c r="BI163" s="51">
        <f t="shared" si="464"/>
        <v>5.7419421322357778E-2</v>
      </c>
      <c r="BJ163" s="51">
        <f t="shared" si="464"/>
        <v>4.4617677296435683E-2</v>
      </c>
      <c r="BK163" s="51"/>
      <c r="BL163" s="51"/>
      <c r="BM163" s="51">
        <f>+BM91/BM30</f>
        <v>0.11322098284052709</v>
      </c>
      <c r="BN163" s="51">
        <f>+BN91/BN30</f>
        <v>0.29279496447040998</v>
      </c>
      <c r="BO163" s="51">
        <f>+BO91/BO30</f>
        <v>0.20044953806164076</v>
      </c>
      <c r="BP163" s="51"/>
      <c r="BQ163" s="51"/>
      <c r="BR163" s="51"/>
      <c r="BS163" s="51"/>
      <c r="BT163" s="51"/>
      <c r="BU163" s="51"/>
      <c r="BV163" s="51">
        <f t="shared" ref="BV163:DA163" si="465">+BV91/BV30</f>
        <v>0.22569621425595893</v>
      </c>
      <c r="BW163" s="51">
        <f t="shared" si="465"/>
        <v>0.20733947420868543</v>
      </c>
      <c r="BX163" s="51">
        <f t="shared" si="465"/>
        <v>0.21607204433497537</v>
      </c>
      <c r="BY163" s="51">
        <f t="shared" si="465"/>
        <v>0.27900594614205881</v>
      </c>
      <c r="BZ163" s="51">
        <f t="shared" si="465"/>
        <v>0.30336163859437371</v>
      </c>
      <c r="CA163" s="51">
        <f t="shared" si="465"/>
        <v>0.29086747653286377</v>
      </c>
      <c r="CB163" s="51">
        <f t="shared" si="465"/>
        <v>0.29518780581540266</v>
      </c>
      <c r="CC163" s="51">
        <f t="shared" si="465"/>
        <v>0.22094972495731227</v>
      </c>
      <c r="CD163" s="51">
        <f t="shared" si="465"/>
        <v>0.25916939204983624</v>
      </c>
      <c r="CE163" s="51">
        <f t="shared" si="465"/>
        <v>0.24464121909918055</v>
      </c>
      <c r="CF163" s="51">
        <f t="shared" si="465"/>
        <v>0.20048456727758457</v>
      </c>
      <c r="CG163" s="51">
        <f t="shared" si="465"/>
        <v>0.22177206521091206</v>
      </c>
      <c r="CH163" s="51">
        <f t="shared" si="465"/>
        <v>0.21867977817432338</v>
      </c>
      <c r="CI163" s="51">
        <f t="shared" si="465"/>
        <v>0.22414055196621241</v>
      </c>
      <c r="CJ163" s="51">
        <f t="shared" si="465"/>
        <v>0.22141729559068399</v>
      </c>
      <c r="CK163" s="51">
        <f t="shared" si="465"/>
        <v>0.25061188460458211</v>
      </c>
      <c r="CL163" s="51">
        <f t="shared" si="465"/>
        <v>0.23972935742646459</v>
      </c>
      <c r="CM163" s="51">
        <f t="shared" si="465"/>
        <v>0.2451970567483116</v>
      </c>
      <c r="CN163" s="51">
        <f t="shared" si="465"/>
        <v>0.25083521093932099</v>
      </c>
      <c r="CO163" s="51">
        <f t="shared" si="465"/>
        <v>0.23954937332463963</v>
      </c>
      <c r="CP163" s="51">
        <f t="shared" si="465"/>
        <v>0.24499512634025647</v>
      </c>
      <c r="CQ163" s="51">
        <f t="shared" si="465"/>
        <v>0.24410198540043021</v>
      </c>
      <c r="CR163" s="51">
        <f t="shared" si="465"/>
        <v>0.25683020508732496</v>
      </c>
      <c r="CS163" s="51">
        <f t="shared" si="465"/>
        <v>0.25037976945759977</v>
      </c>
      <c r="CT163" s="51">
        <f t="shared" si="465"/>
        <v>0.19354482438816079</v>
      </c>
      <c r="CU163" s="51">
        <f t="shared" si="465"/>
        <v>0.18700600872911155</v>
      </c>
      <c r="CV163" s="51">
        <f t="shared" si="465"/>
        <v>0.19039204676817381</v>
      </c>
      <c r="CW163" s="51">
        <f t="shared" si="465"/>
        <v>0.22397397397397398</v>
      </c>
      <c r="CX163" s="51">
        <f t="shared" si="465"/>
        <v>0.17201406733163288</v>
      </c>
      <c r="CY163" s="51">
        <f t="shared" si="465"/>
        <v>0.19976161109793161</v>
      </c>
      <c r="CZ163" s="51">
        <f t="shared" si="465"/>
        <v>0.26628064429789178</v>
      </c>
      <c r="DA163" s="51">
        <f t="shared" si="465"/>
        <v>0.1743367636304739</v>
      </c>
      <c r="DB163" s="51">
        <f t="shared" ref="DB163:EC163" si="466">+DB91/DB30</f>
        <v>0.22263859378018155</v>
      </c>
      <c r="DC163" s="51">
        <f t="shared" si="466"/>
        <v>0.26280396685232982</v>
      </c>
      <c r="DD163" s="51">
        <f t="shared" si="466"/>
        <v>0.19113901707138703</v>
      </c>
      <c r="DE163" s="1080">
        <f t="shared" si="466"/>
        <v>0.22889898953747773</v>
      </c>
      <c r="DF163" s="51">
        <f t="shared" si="466"/>
        <v>0.2607751315233206</v>
      </c>
      <c r="DG163" s="51">
        <f t="shared" si="466"/>
        <v>0.20479470938726119</v>
      </c>
      <c r="DH163" s="1080">
        <f t="shared" si="466"/>
        <v>0.23470107636196777</v>
      </c>
      <c r="DI163" s="51">
        <f t="shared" si="466"/>
        <v>0.3189121685952267</v>
      </c>
      <c r="DJ163" s="51">
        <f t="shared" si="466"/>
        <v>0.13000127840799411</v>
      </c>
      <c r="DK163" s="1080">
        <f t="shared" si="466"/>
        <v>0.23557241369298867</v>
      </c>
      <c r="DL163" s="51">
        <f t="shared" si="466"/>
        <v>0.2983003168900713</v>
      </c>
      <c r="DM163" s="51">
        <f t="shared" si="466"/>
        <v>0.11344262295081968</v>
      </c>
      <c r="DN163" s="1080">
        <f t="shared" si="466"/>
        <v>0.21910961292572359</v>
      </c>
      <c r="DO163" s="51">
        <f t="shared" si="466"/>
        <v>0.23333141657801676</v>
      </c>
      <c r="DP163" s="51">
        <f t="shared" si="466"/>
        <v>9.7542636453740797E-2</v>
      </c>
      <c r="DQ163" s="1080">
        <f t="shared" si="466"/>
        <v>0.171291380387258</v>
      </c>
      <c r="DR163" s="51">
        <f t="shared" si="466"/>
        <v>0.24356247021140293</v>
      </c>
      <c r="DS163" s="51">
        <f t="shared" si="466"/>
        <v>0.11438637233714111</v>
      </c>
      <c r="DT163" s="1080">
        <f t="shared" si="466"/>
        <v>0.18497514527760275</v>
      </c>
      <c r="DU163" s="51">
        <f t="shared" si="466"/>
        <v>0.2438935472110827</v>
      </c>
      <c r="DV163" s="51">
        <f>+DV91/DV30</f>
        <v>0.14563817330210779</v>
      </c>
      <c r="DW163" s="1080">
        <f>+DW91/DW30</f>
        <v>0.1993227541331917</v>
      </c>
      <c r="DX163" s="51">
        <f t="shared" si="466"/>
        <v>4.9555116164112706E-2</v>
      </c>
      <c r="DY163" s="51">
        <f t="shared" si="466"/>
        <v>0.18589341811789728</v>
      </c>
      <c r="DZ163" s="1080">
        <f t="shared" si="466"/>
        <v>0.11461111589835132</v>
      </c>
      <c r="EA163" s="51">
        <f t="shared" si="466"/>
        <v>0.22905524389992388</v>
      </c>
      <c r="EB163" s="51">
        <f t="shared" si="466"/>
        <v>0.18237369616426735</v>
      </c>
      <c r="EC163" s="1080">
        <f t="shared" si="466"/>
        <v>0.20707587257010499</v>
      </c>
      <c r="ED163" s="51">
        <f t="shared" ref="ED163:EL163" si="467">+ED91/ED30</f>
        <v>0.2397588008193805</v>
      </c>
      <c r="EE163" s="51">
        <f t="shared" si="467"/>
        <v>0.1876647940210685</v>
      </c>
      <c r="EF163" s="1080">
        <f t="shared" si="467"/>
        <v>0.21501029553528159</v>
      </c>
      <c r="EG163" s="51">
        <f t="shared" si="467"/>
        <v>0.2470815564241125</v>
      </c>
      <c r="EH163" s="51">
        <f t="shared" si="467"/>
        <v>0.19769972153537024</v>
      </c>
      <c r="EI163" s="1080">
        <f t="shared" si="467"/>
        <v>0.22352585770076666</v>
      </c>
      <c r="EJ163" s="51">
        <f t="shared" si="467"/>
        <v>0.25524392507564309</v>
      </c>
      <c r="EK163" s="51">
        <f t="shared" si="467"/>
        <v>0.20824514453155507</v>
      </c>
      <c r="EL163" s="1080">
        <f t="shared" si="467"/>
        <v>0.23272716838712679</v>
      </c>
      <c r="EM163" s="51">
        <f t="shared" ref="EM163:ER163" si="468">+EM91/EM30</f>
        <v>0.26647508132328152</v>
      </c>
      <c r="EN163" s="51">
        <f t="shared" si="468"/>
        <v>0.2184578698517079</v>
      </c>
      <c r="EO163" s="1080">
        <f t="shared" si="468"/>
        <v>0.24345660554135645</v>
      </c>
      <c r="EP163" s="51">
        <f t="shared" si="468"/>
        <v>0.27504060363691923</v>
      </c>
      <c r="EQ163" s="51">
        <f t="shared" si="468"/>
        <v>0.22893593360537282</v>
      </c>
      <c r="ER163" s="1080">
        <f t="shared" si="468"/>
        <v>0.25288341872911047</v>
      </c>
      <c r="ES163" s="51">
        <f t="shared" ref="ES163:FA163" si="469">+ES91/ES30</f>
        <v>0.2806824576497241</v>
      </c>
      <c r="ET163" s="51">
        <f t="shared" si="469"/>
        <v>0.23587143925182363</v>
      </c>
      <c r="EU163" s="1080">
        <f t="shared" si="469"/>
        <v>0.25910489410065962</v>
      </c>
      <c r="EV163" s="51">
        <f t="shared" si="469"/>
        <v>0.28326886374839344</v>
      </c>
      <c r="EW163" s="51">
        <f t="shared" si="469"/>
        <v>0.23919434391090105</v>
      </c>
      <c r="EX163" s="1080">
        <f t="shared" si="469"/>
        <v>0.26200509640961461</v>
      </c>
      <c r="EY163" s="51">
        <f t="shared" si="469"/>
        <v>0.28574583395226744</v>
      </c>
      <c r="EZ163" s="51">
        <f t="shared" si="469"/>
        <v>0.24237221493646063</v>
      </c>
      <c r="FA163" s="1080">
        <f t="shared" si="469"/>
        <v>0.26478058524316828</v>
      </c>
      <c r="FD163"/>
      <c r="FE163"/>
      <c r="FF163"/>
      <c r="FG163"/>
      <c r="FH163"/>
      <c r="FI163"/>
    </row>
    <row r="164" spans="2:165" s="33" customFormat="1">
      <c r="B164" s="54" t="s">
        <v>464</v>
      </c>
      <c r="C164" s="54"/>
      <c r="D164" s="2" t="s">
        <v>507</v>
      </c>
      <c r="E164" s="51"/>
      <c r="F164" s="51"/>
      <c r="G164" s="51"/>
      <c r="H164" s="51"/>
      <c r="I164" s="5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f t="shared" ref="AM164:AZ164" si="470">+AM85/AM30</f>
        <v>0.1031476118988837</v>
      </c>
      <c r="AN164" s="51">
        <f t="shared" si="470"/>
        <v>0.1031476118988837</v>
      </c>
      <c r="AO164" s="51">
        <f t="shared" si="470"/>
        <v>9.4656151851373035E-2</v>
      </c>
      <c r="AP164" s="51">
        <f t="shared" si="470"/>
        <v>0.13086002789528894</v>
      </c>
      <c r="AQ164" s="51">
        <f t="shared" si="470"/>
        <v>0.11525132539679939</v>
      </c>
      <c r="AR164" s="51">
        <f t="shared" si="470"/>
        <v>0.1134511304169812</v>
      </c>
      <c r="AS164" s="51">
        <f t="shared" si="470"/>
        <v>0.11750863437419175</v>
      </c>
      <c r="AT164" s="51">
        <f t="shared" si="470"/>
        <v>0.11571440291266258</v>
      </c>
      <c r="AU164" s="51">
        <f t="shared" si="470"/>
        <v>8.552221952532213E-2</v>
      </c>
      <c r="AV164" s="51">
        <f t="shared" si="470"/>
        <v>0.12462882837023841</v>
      </c>
      <c r="AW164" s="51">
        <f t="shared" si="470"/>
        <v>0.10670397682062345</v>
      </c>
      <c r="AX164" s="51">
        <f t="shared" si="470"/>
        <v>8.9020061802213779E-2</v>
      </c>
      <c r="AY164" s="51">
        <f t="shared" si="470"/>
        <v>0.14818004173152718</v>
      </c>
      <c r="AZ164" s="51">
        <f t="shared" si="470"/>
        <v>0.12073289273365616</v>
      </c>
      <c r="BA164" s="51"/>
      <c r="BB164" s="51"/>
      <c r="BC164" s="51">
        <f t="shared" ref="BC164:BJ164" si="471">+BC85/BC30</f>
        <v>9.1528782533012665E-2</v>
      </c>
      <c r="BD164" s="51">
        <f t="shared" si="471"/>
        <v>9.7559362840260774E-2</v>
      </c>
      <c r="BE164" s="51">
        <f t="shared" si="471"/>
        <v>8.7150189971553577E-2</v>
      </c>
      <c r="BF164" s="51">
        <f t="shared" si="471"/>
        <v>9.1697267479495345E-2</v>
      </c>
      <c r="BG164" s="51">
        <f t="shared" si="471"/>
        <v>6.2670742609228391E-2</v>
      </c>
      <c r="BH164" s="51">
        <f t="shared" si="471"/>
        <v>4.5909715787624976E-2</v>
      </c>
      <c r="BI164" s="51">
        <f t="shared" si="471"/>
        <v>5.4157207631211429E-2</v>
      </c>
      <c r="BJ164" s="51">
        <f t="shared" si="471"/>
        <v>3.9900147452282368E-2</v>
      </c>
      <c r="BK164" s="51"/>
      <c r="BL164" s="51"/>
      <c r="BM164" s="51">
        <f>+BM85/BM30</f>
        <v>0.11322098284052709</v>
      </c>
      <c r="BN164" s="51">
        <f>+BN85/BN30</f>
        <v>0.28927269896121238</v>
      </c>
      <c r="BO164" s="51">
        <f>+BO85/BO30</f>
        <v>0.19873858790792798</v>
      </c>
      <c r="BP164" s="51"/>
      <c r="BQ164" s="51"/>
      <c r="BR164" s="51"/>
      <c r="BS164" s="51"/>
      <c r="BT164" s="51"/>
      <c r="BU164" s="51"/>
      <c r="BV164" s="51">
        <f t="shared" ref="BV164:DA164" si="472">+BV85/BV30</f>
        <v>0.22569621425595893</v>
      </c>
      <c r="BW164" s="51">
        <f t="shared" si="472"/>
        <v>0.20733947420868543</v>
      </c>
      <c r="BX164" s="51">
        <f t="shared" si="472"/>
        <v>0.21607204433497537</v>
      </c>
      <c r="BY164" s="51">
        <f t="shared" si="472"/>
        <v>0.27900594614205881</v>
      </c>
      <c r="BZ164" s="51">
        <f t="shared" si="472"/>
        <v>0.30336163859437371</v>
      </c>
      <c r="CA164" s="51">
        <f t="shared" si="472"/>
        <v>0.29086747653286377</v>
      </c>
      <c r="CB164" s="51">
        <f t="shared" si="472"/>
        <v>0.29518780581540266</v>
      </c>
      <c r="CC164" s="51">
        <f t="shared" si="472"/>
        <v>0.22094972495731227</v>
      </c>
      <c r="CD164" s="51">
        <f t="shared" si="472"/>
        <v>0.25916939204983624</v>
      </c>
      <c r="CE164" s="51">
        <f t="shared" si="472"/>
        <v>0.24464121909918055</v>
      </c>
      <c r="CF164" s="51">
        <f t="shared" si="472"/>
        <v>0.20048456727758457</v>
      </c>
      <c r="CG164" s="51">
        <f t="shared" si="472"/>
        <v>0.22177206521091206</v>
      </c>
      <c r="CH164" s="51">
        <f t="shared" si="472"/>
        <v>0.21867977817432338</v>
      </c>
      <c r="CI164" s="51">
        <f t="shared" si="472"/>
        <v>0.22414055196621241</v>
      </c>
      <c r="CJ164" s="51">
        <f t="shared" si="472"/>
        <v>0.22141729559068399</v>
      </c>
      <c r="CK164" s="51">
        <f t="shared" si="472"/>
        <v>0.25061188460458211</v>
      </c>
      <c r="CL164" s="51">
        <f t="shared" si="472"/>
        <v>0.23972935742646459</v>
      </c>
      <c r="CM164" s="51">
        <f t="shared" si="472"/>
        <v>0.2451970567483116</v>
      </c>
      <c r="CN164" s="51">
        <f t="shared" si="472"/>
        <v>0.25083521093932099</v>
      </c>
      <c r="CO164" s="51">
        <f t="shared" si="472"/>
        <v>0.23954937332463963</v>
      </c>
      <c r="CP164" s="51">
        <f t="shared" si="472"/>
        <v>0.24499512634025647</v>
      </c>
      <c r="CQ164" s="51">
        <f t="shared" si="472"/>
        <v>0.24410198540043021</v>
      </c>
      <c r="CR164" s="51">
        <f t="shared" si="472"/>
        <v>0.25683020508732496</v>
      </c>
      <c r="CS164" s="51">
        <f t="shared" si="472"/>
        <v>0.25037976945759977</v>
      </c>
      <c r="CT164" s="51">
        <f t="shared" si="472"/>
        <v>0.19354482438816079</v>
      </c>
      <c r="CU164" s="51">
        <f t="shared" si="472"/>
        <v>0.18700600872911155</v>
      </c>
      <c r="CV164" s="51">
        <f t="shared" si="472"/>
        <v>0.19039204676817381</v>
      </c>
      <c r="CW164" s="51">
        <f t="shared" si="472"/>
        <v>0.22397397397397398</v>
      </c>
      <c r="CX164" s="51">
        <f t="shared" si="472"/>
        <v>0.17201406733163288</v>
      </c>
      <c r="CY164" s="51">
        <f t="shared" si="472"/>
        <v>0.19976161109793161</v>
      </c>
      <c r="CZ164" s="51">
        <f t="shared" si="472"/>
        <v>0.26628064429789178</v>
      </c>
      <c r="DA164" s="51">
        <f t="shared" si="472"/>
        <v>0.1743367636304739</v>
      </c>
      <c r="DB164" s="51">
        <f t="shared" ref="DB164:EC164" si="473">+DB85/DB30</f>
        <v>0.22263859378018155</v>
      </c>
      <c r="DC164" s="51">
        <f t="shared" si="473"/>
        <v>0.26280396685232982</v>
      </c>
      <c r="DD164" s="51">
        <f t="shared" si="473"/>
        <v>0.19113901707138703</v>
      </c>
      <c r="DE164" s="1080">
        <f t="shared" si="473"/>
        <v>0.22889898953747773</v>
      </c>
      <c r="DF164" s="51">
        <f t="shared" si="473"/>
        <v>0.2607751315233206</v>
      </c>
      <c r="DG164" s="51">
        <f t="shared" si="473"/>
        <v>0.20479470938726119</v>
      </c>
      <c r="DH164" s="1080">
        <f t="shared" si="473"/>
        <v>0.23470107636196777</v>
      </c>
      <c r="DI164" s="51">
        <f t="shared" si="473"/>
        <v>0.31858654146720772</v>
      </c>
      <c r="DJ164" s="51">
        <f t="shared" si="473"/>
        <v>0.12958878828698428</v>
      </c>
      <c r="DK164" s="1080">
        <f t="shared" si="473"/>
        <v>0.23520846616671867</v>
      </c>
      <c r="DL164" s="51">
        <f t="shared" si="473"/>
        <v>0.30113029774109912</v>
      </c>
      <c r="DM164" s="51">
        <f t="shared" si="473"/>
        <v>0.13650650084793664</v>
      </c>
      <c r="DN164" s="1080">
        <f t="shared" si="473"/>
        <v>0.23060754000542444</v>
      </c>
      <c r="DO164" s="51">
        <f t="shared" si="473"/>
        <v>0.26140709007791613</v>
      </c>
      <c r="DP164" s="51">
        <f t="shared" si="473"/>
        <v>0.13527461635736018</v>
      </c>
      <c r="DQ164" s="1080">
        <f t="shared" si="473"/>
        <v>0.20377888819487824</v>
      </c>
      <c r="DR164" s="51">
        <f t="shared" si="473"/>
        <v>0.25842473798846893</v>
      </c>
      <c r="DS164" s="51">
        <f t="shared" si="473"/>
        <v>0.13738729854893486</v>
      </c>
      <c r="DT164" s="1080">
        <f t="shared" si="473"/>
        <v>0.20352867044738501</v>
      </c>
      <c r="DU164" s="51">
        <f t="shared" si="473"/>
        <v>0.25203548426297234</v>
      </c>
      <c r="DV164" s="51">
        <f>+DV85/DV30</f>
        <v>0.16759367681498835</v>
      </c>
      <c r="DW164" s="1080">
        <f>+DW85/DW30</f>
        <v>0.21373082796627049</v>
      </c>
      <c r="DX164" s="51">
        <f t="shared" si="473"/>
        <v>0.24048442906574394</v>
      </c>
      <c r="DY164" s="51">
        <f t="shared" si="473"/>
        <v>0.19997566091159813</v>
      </c>
      <c r="DZ164" s="1080">
        <f t="shared" si="473"/>
        <v>0.22115502293038103</v>
      </c>
      <c r="EA164" s="51">
        <f t="shared" si="473"/>
        <v>0.24571429429518959</v>
      </c>
      <c r="EB164" s="51">
        <f t="shared" si="473"/>
        <v>0.19771596928627902</v>
      </c>
      <c r="EC164" s="1080">
        <f t="shared" si="473"/>
        <v>0.22311493631001372</v>
      </c>
      <c r="ED164" s="51">
        <f t="shared" ref="ED164:EL164" si="474">+ED85/ED30</f>
        <v>0.25568371127809197</v>
      </c>
      <c r="EE164" s="51">
        <f t="shared" si="474"/>
        <v>0.20208373727628318</v>
      </c>
      <c r="EF164" s="1080">
        <f t="shared" si="474"/>
        <v>0.23021976021464041</v>
      </c>
      <c r="EG164" s="51">
        <f t="shared" si="474"/>
        <v>0.26212720215978991</v>
      </c>
      <c r="EH164" s="51">
        <f t="shared" si="474"/>
        <v>0.21121714104824488</v>
      </c>
      <c r="EI164" s="1080">
        <f t="shared" si="474"/>
        <v>0.2378425220900327</v>
      </c>
      <c r="EJ164" s="51">
        <f t="shared" si="474"/>
        <v>0.2694487684286957</v>
      </c>
      <c r="EK164" s="51">
        <f t="shared" si="474"/>
        <v>0.22090117308154053</v>
      </c>
      <c r="EL164" s="1080">
        <f t="shared" si="474"/>
        <v>0.24618998640095766</v>
      </c>
      <c r="EM164" s="51">
        <f t="shared" ref="EM164:ER164" si="475">+EM85/EM30</f>
        <v>0.27994141818325285</v>
      </c>
      <c r="EN164" s="51">
        <f t="shared" si="475"/>
        <v>0.2304421091310293</v>
      </c>
      <c r="EO164" s="1080">
        <f t="shared" si="475"/>
        <v>0.25621245492775102</v>
      </c>
      <c r="EP164" s="51">
        <f t="shared" si="475"/>
        <v>0.28781570741709933</v>
      </c>
      <c r="EQ164" s="51">
        <f t="shared" si="475"/>
        <v>0.24025027508771563</v>
      </c>
      <c r="ER164" s="1080">
        <f t="shared" si="475"/>
        <v>0.26495650294560236</v>
      </c>
      <c r="ES164" s="51">
        <f t="shared" ref="ES164:FA164" si="476">+ES85/ES30</f>
        <v>0.29278550896483407</v>
      </c>
      <c r="ET164" s="51">
        <f t="shared" si="476"/>
        <v>0.24655032107183292</v>
      </c>
      <c r="EU164" s="1080">
        <f t="shared" si="476"/>
        <v>0.27052217417280644</v>
      </c>
      <c r="EV164" s="51">
        <f t="shared" si="476"/>
        <v>0.29473149428545969</v>
      </c>
      <c r="EW164" s="51">
        <f t="shared" si="476"/>
        <v>0.24927069312449041</v>
      </c>
      <c r="EX164" s="1080">
        <f t="shared" si="476"/>
        <v>0.27279891504272386</v>
      </c>
      <c r="EY164" s="51">
        <f t="shared" si="476"/>
        <v>0.29659846289253244</v>
      </c>
      <c r="EZ164" s="51">
        <f t="shared" si="476"/>
        <v>0.25187749075733412</v>
      </c>
      <c r="FA164" s="1080">
        <f t="shared" si="476"/>
        <v>0.27498195210551607</v>
      </c>
      <c r="FD164"/>
      <c r="FE164"/>
      <c r="FF164"/>
      <c r="FG164"/>
      <c r="FH164"/>
      <c r="FI164"/>
    </row>
    <row r="165" spans="2:165" s="33" customFormat="1">
      <c r="B165" s="54" t="s">
        <v>392</v>
      </c>
      <c r="C165" s="54"/>
      <c r="D165" s="2"/>
      <c r="E165" s="51"/>
      <c r="F165" s="51"/>
      <c r="G165" s="51"/>
      <c r="H165" s="51"/>
      <c r="I165" s="5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c r="BA165" s="51"/>
      <c r="BB165" s="51"/>
      <c r="BC165" s="51"/>
      <c r="BD165" s="51"/>
      <c r="BE165" s="51"/>
      <c r="BF165" s="51"/>
      <c r="BG165" s="51"/>
      <c r="BH165" s="51"/>
      <c r="BI165" s="51"/>
      <c r="BJ165" s="51"/>
      <c r="BK165" s="51"/>
      <c r="BL165" s="51"/>
      <c r="BM165" s="51"/>
      <c r="BN165" s="51"/>
      <c r="BO165" s="51"/>
      <c r="BP165" s="51"/>
      <c r="BQ165" s="51"/>
      <c r="BR165" s="51"/>
      <c r="BS165" s="51"/>
      <c r="BT165" s="51"/>
      <c r="BU165" s="51"/>
      <c r="BV165" s="51"/>
      <c r="BW165" s="51"/>
      <c r="BX165" s="51"/>
      <c r="BY165" s="51"/>
      <c r="BZ165" s="51"/>
      <c r="CA165" s="51"/>
      <c r="CB165" s="51"/>
      <c r="CC165" s="51"/>
      <c r="CD165" s="51"/>
      <c r="CE165" s="51"/>
      <c r="CF165" s="51"/>
      <c r="CG165" s="51"/>
      <c r="CH165" s="51"/>
      <c r="CI165" s="51"/>
      <c r="CJ165" s="51"/>
      <c r="CK165" s="51"/>
      <c r="CL165" s="51"/>
      <c r="CM165" s="51"/>
      <c r="CN165" s="51"/>
      <c r="CO165" s="51"/>
      <c r="CP165" s="51"/>
      <c r="CQ165" s="51"/>
      <c r="CR165" s="51"/>
      <c r="CS165" s="51"/>
      <c r="CT165" s="51"/>
      <c r="CU165" s="51"/>
      <c r="CV165" s="51"/>
      <c r="CW165" s="51"/>
      <c r="CX165" s="51"/>
      <c r="CY165" s="51"/>
      <c r="CZ165" s="51"/>
      <c r="DA165" s="51"/>
      <c r="DB165" s="51"/>
      <c r="DC165" s="1167"/>
      <c r="DD165" s="1167"/>
      <c r="DE165" s="1168"/>
      <c r="DF165" s="1167"/>
      <c r="DG165" s="1167"/>
      <c r="DH165" s="1168"/>
      <c r="DI165" s="51"/>
      <c r="DJ165" s="51"/>
      <c r="DK165" s="1080"/>
      <c r="DL165" s="51"/>
      <c r="DM165" s="51"/>
      <c r="DN165" s="1080"/>
      <c r="DO165" s="51"/>
      <c r="DP165" s="51"/>
      <c r="DQ165" s="1080"/>
      <c r="DR165" s="51"/>
      <c r="DS165" s="51"/>
      <c r="DT165" s="1080"/>
      <c r="DU165" s="51"/>
      <c r="DV165" s="51"/>
      <c r="DW165" s="1080"/>
      <c r="DX165" s="51"/>
      <c r="DY165" s="51"/>
      <c r="DZ165" s="1080"/>
      <c r="EA165" s="51"/>
      <c r="EB165" s="51"/>
      <c r="EC165" s="1080"/>
      <c r="ED165" s="51"/>
      <c r="EE165" s="51"/>
      <c r="EF165" s="1080"/>
      <c r="EG165" s="51"/>
      <c r="EH165" s="51"/>
      <c r="EI165" s="1080"/>
      <c r="EJ165" s="51"/>
      <c r="EK165" s="51"/>
      <c r="EL165" s="1080"/>
      <c r="EM165" s="51"/>
      <c r="EN165" s="51"/>
      <c r="EO165" s="1080"/>
      <c r="EP165" s="51"/>
      <c r="EQ165" s="51"/>
      <c r="ER165" s="1080"/>
      <c r="ES165" s="51"/>
      <c r="ET165" s="51"/>
      <c r="EU165" s="1080"/>
      <c r="EV165" s="51"/>
      <c r="EW165" s="51"/>
      <c r="EX165" s="1080"/>
      <c r="EY165" s="51"/>
      <c r="EZ165" s="51"/>
      <c r="FA165" s="1080"/>
      <c r="FD165"/>
      <c r="FE165"/>
      <c r="FF165"/>
      <c r="FG165"/>
      <c r="FH165"/>
      <c r="FI165"/>
    </row>
    <row r="166" spans="2:165" s="33" customFormat="1" outlineLevel="1">
      <c r="B166" s="54" t="s">
        <v>393</v>
      </c>
      <c r="C166" s="54"/>
      <c r="D166" s="2" t="s">
        <v>506</v>
      </c>
      <c r="E166" s="32">
        <f>+E30/6</f>
        <v>0</v>
      </c>
      <c r="F166" s="32">
        <f>+F30/6</f>
        <v>0</v>
      </c>
      <c r="G166" s="32">
        <f>+G30/12</f>
        <v>0</v>
      </c>
      <c r="H166" s="32">
        <f>+H30/6</f>
        <v>0</v>
      </c>
      <c r="I166" s="32">
        <f>+I30/6</f>
        <v>0</v>
      </c>
      <c r="J166" s="32">
        <f>+J30/12</f>
        <v>0</v>
      </c>
      <c r="K166" s="32">
        <f>+K30/6</f>
        <v>0</v>
      </c>
      <c r="L166" s="32">
        <f>+L30/6</f>
        <v>0</v>
      </c>
      <c r="M166" s="32">
        <f>+M30/12</f>
        <v>0</v>
      </c>
      <c r="N166" s="32">
        <f>+N30/6</f>
        <v>0</v>
      </c>
      <c r="O166" s="32">
        <f>+O30/6</f>
        <v>0</v>
      </c>
      <c r="P166" s="32">
        <f>+P30/12</f>
        <v>0</v>
      </c>
      <c r="Q166" s="32">
        <f>+Q30/6</f>
        <v>0</v>
      </c>
      <c r="R166" s="32">
        <f>+R30/6</f>
        <v>0</v>
      </c>
      <c r="S166" s="32">
        <f>+S30/12</f>
        <v>0</v>
      </c>
      <c r="T166" s="32">
        <f>+T30/6</f>
        <v>0</v>
      </c>
      <c r="U166" s="32">
        <f>+U30/6</f>
        <v>0</v>
      </c>
      <c r="V166" s="32">
        <f>+V30/12</f>
        <v>0</v>
      </c>
      <c r="W166" s="32">
        <f>+W30/6</f>
        <v>0</v>
      </c>
      <c r="X166" s="32">
        <f>+X30/6</f>
        <v>0</v>
      </c>
      <c r="Y166" s="32">
        <f>+Y30/12</f>
        <v>0</v>
      </c>
      <c r="Z166" s="32">
        <f>+Z30/6</f>
        <v>0</v>
      </c>
      <c r="AA166" s="32">
        <f>+AA30/6</f>
        <v>0</v>
      </c>
      <c r="AB166" s="32">
        <f>+AB30/12</f>
        <v>0</v>
      </c>
      <c r="AC166" s="32">
        <f>+AC30/6</f>
        <v>0</v>
      </c>
      <c r="AD166" s="32">
        <f>+AD30/6</f>
        <v>0</v>
      </c>
      <c r="AE166" s="32">
        <f>+AE30/12</f>
        <v>0</v>
      </c>
      <c r="AF166" s="32">
        <f>+AF30/6</f>
        <v>0</v>
      </c>
      <c r="AG166" s="32">
        <f>+AG30/6</f>
        <v>0</v>
      </c>
      <c r="AH166" s="32">
        <f>+AH30/12</f>
        <v>0</v>
      </c>
      <c r="AI166" s="32">
        <f>+AI30/6</f>
        <v>0</v>
      </c>
      <c r="AJ166" s="32">
        <f>+AJ30/6</f>
        <v>0</v>
      </c>
      <c r="AK166" s="32">
        <f>+AK30/12</f>
        <v>0</v>
      </c>
      <c r="AL166" s="32">
        <f>+AL30/6</f>
        <v>0</v>
      </c>
      <c r="AM166" s="32">
        <f>+AM30/6</f>
        <v>46.850333333333332</v>
      </c>
      <c r="AN166" s="32">
        <f>+AN30/12</f>
        <v>23.425166666666666</v>
      </c>
      <c r="AO166" s="32">
        <f>+AO30/6</f>
        <v>21.916166666666669</v>
      </c>
      <c r="AP166" s="32">
        <f>+AP30/6</f>
        <v>28.917666666666662</v>
      </c>
      <c r="AQ166" s="32">
        <f>+AQ30/12</f>
        <v>25.416916666666665</v>
      </c>
      <c r="AR166" s="32">
        <f>+AR30/6</f>
        <v>26.052333333333333</v>
      </c>
      <c r="AS166" s="32">
        <f>+AS30/6</f>
        <v>32.862833333333334</v>
      </c>
      <c r="AT166" s="32">
        <f>+AT30/12</f>
        <v>29.457583333333332</v>
      </c>
      <c r="AU166" s="32">
        <f>+AU30/6</f>
        <v>31.586333333333332</v>
      </c>
      <c r="AV166" s="32">
        <f>+AV30/6</f>
        <v>37.325499999999998</v>
      </c>
      <c r="AW166" s="32">
        <f>+AW30/12</f>
        <v>34.455916666666667</v>
      </c>
      <c r="AX166" s="32">
        <f>+AX30/6</f>
        <v>34.842333333333336</v>
      </c>
      <c r="AY166" s="32">
        <f>+AY30/6</f>
        <v>40.257333333333335</v>
      </c>
      <c r="AZ166" s="32">
        <f>+AZ30/12</f>
        <v>37.549833333333332</v>
      </c>
      <c r="BA166" s="32"/>
      <c r="BB166" s="32"/>
      <c r="BC166" s="32">
        <f>+BC30/12</f>
        <v>71.23533333333333</v>
      </c>
      <c r="BD166" s="32">
        <f>+BD30/6</f>
        <v>98.30083333333333</v>
      </c>
      <c r="BE166" s="32">
        <f>+BE30/6</f>
        <v>126.72950000000002</v>
      </c>
      <c r="BF166" s="32">
        <f>+BF30/12</f>
        <v>112.51516666666667</v>
      </c>
      <c r="BG166" s="32">
        <f>+BG30/6</f>
        <v>106.642</v>
      </c>
      <c r="BH166" s="32">
        <f>+BH30/6</f>
        <v>110.08200000000001</v>
      </c>
      <c r="BI166" s="32">
        <f>+BI30/12</f>
        <v>108.36200000000001</v>
      </c>
      <c r="BJ166" s="32">
        <f>+BJ30/6</f>
        <v>106.02300000000001</v>
      </c>
      <c r="BK166" s="32">
        <f>+BK30/6</f>
        <v>169.00966666666665</v>
      </c>
      <c r="BL166" s="32">
        <f>+BL30/12</f>
        <v>137.51633333333334</v>
      </c>
      <c r="BM166" s="32">
        <f>+BM30/6</f>
        <v>235.691</v>
      </c>
      <c r="BN166" s="32">
        <f>+BN30/6</f>
        <v>222.63133333333337</v>
      </c>
      <c r="BO166" s="32">
        <f>+BO30/12</f>
        <v>229.16116666666667</v>
      </c>
      <c r="BP166" s="32">
        <f>+BP30/6</f>
        <v>0</v>
      </c>
      <c r="BQ166" s="32">
        <f>+BQ30/6</f>
        <v>0</v>
      </c>
      <c r="BR166" s="32">
        <f>+BR30/12</f>
        <v>0</v>
      </c>
      <c r="BS166" s="32">
        <f>+BS30/6</f>
        <v>0</v>
      </c>
      <c r="BT166" s="32">
        <f>+BT30/6</f>
        <v>0</v>
      </c>
      <c r="BU166" s="32">
        <f>+BU30/12</f>
        <v>0</v>
      </c>
      <c r="BV166" s="32">
        <f>+BV30/6</f>
        <v>257.52019600744711</v>
      </c>
      <c r="BW166" s="32">
        <f>+BW30/6</f>
        <v>283.8131373258862</v>
      </c>
      <c r="BX166" s="32">
        <f>+BX30/12</f>
        <v>270.66666666666669</v>
      </c>
      <c r="BY166" s="32">
        <f>+BY30/6</f>
        <v>299.78871235506108</v>
      </c>
      <c r="BZ166" s="32">
        <f>+BZ30/6</f>
        <v>284.60915625342125</v>
      </c>
      <c r="CA166" s="32">
        <f>+CA30/12</f>
        <v>292.19893430424116</v>
      </c>
      <c r="CB166" s="32">
        <f>+CB30/6</f>
        <v>348.58824779621301</v>
      </c>
      <c r="CC166" s="32">
        <f>+CC30/6</f>
        <v>328.5113842708941</v>
      </c>
      <c r="CD166" s="32">
        <f>+CD30/12</f>
        <v>338.54981603355355</v>
      </c>
      <c r="CE166" s="32">
        <f>+CE30/6</f>
        <v>340.78135717950209</v>
      </c>
      <c r="CF166" s="32">
        <f>+CF30/6</f>
        <v>366.10132971004481</v>
      </c>
      <c r="CG166" s="32">
        <f>+CG30/12</f>
        <v>353.44134344477339</v>
      </c>
      <c r="CH166" s="32">
        <f>+CH30/6</f>
        <v>384.3519538098235</v>
      </c>
      <c r="CI166" s="32">
        <f>+CI30/6</f>
        <v>386.3647128568432</v>
      </c>
      <c r="CJ166" s="32">
        <f>+CJ30/12</f>
        <v>385.35833333333335</v>
      </c>
      <c r="CK166" s="32">
        <f>+CK30/6</f>
        <v>415.38333333333327</v>
      </c>
      <c r="CL166" s="32">
        <f>+CL30/6</f>
        <v>411.36666666666696</v>
      </c>
      <c r="CM166" s="32">
        <f>+CM30/12</f>
        <v>413.37500000000017</v>
      </c>
      <c r="CN166" s="32">
        <f>+CN30/6</f>
        <v>429.0333333333333</v>
      </c>
      <c r="CO166" s="32">
        <f>+CO30/6</f>
        <v>460.09999999999985</v>
      </c>
      <c r="CP166" s="32">
        <f>+CP30/12</f>
        <v>444.56666666666661</v>
      </c>
      <c r="CQ166" s="32">
        <f>+CQ30/6</f>
        <v>472.61666666666673</v>
      </c>
      <c r="CR166" s="32">
        <f>+CR30/6</f>
        <v>459.96666666666698</v>
      </c>
      <c r="CS166" s="32">
        <f>+CS30/12</f>
        <v>466.2916666666668</v>
      </c>
      <c r="CT166" s="32">
        <f>+CT30/6</f>
        <v>522.61795333333339</v>
      </c>
      <c r="CU166" s="32">
        <f>+CU30/6</f>
        <v>486.61538000000036</v>
      </c>
      <c r="CV166" s="32">
        <f>+CV30/12</f>
        <v>504.61666666666684</v>
      </c>
      <c r="CW166" s="32">
        <f>+CW30/6</f>
        <v>599.4</v>
      </c>
      <c r="CX166" s="32">
        <f>+CX30/6</f>
        <v>523.0333333333333</v>
      </c>
      <c r="CY166" s="32">
        <f>+CY30/12</f>
        <v>561.21666666666658</v>
      </c>
      <c r="CZ166" s="32">
        <f>+CZ30/6</f>
        <v>679.92174375790114</v>
      </c>
      <c r="DA166" s="32">
        <f>+DA30/6</f>
        <v>614.32825624209875</v>
      </c>
      <c r="DB166" s="32">
        <f>+DB30/12</f>
        <v>647.125</v>
      </c>
      <c r="DC166" s="32">
        <f>+DC30/6</f>
        <v>736.1</v>
      </c>
      <c r="DD166" s="32">
        <f>+DD30/6</f>
        <v>660.95000000000016</v>
      </c>
      <c r="DE166" s="1061">
        <f>+DE30/12</f>
        <v>698.52500000000009</v>
      </c>
      <c r="DF166" s="32">
        <f>+DF30/6</f>
        <v>797.62206919412085</v>
      </c>
      <c r="DG166" s="32">
        <f>+DG30/6</f>
        <v>695.41184483120924</v>
      </c>
      <c r="DH166" s="1061">
        <f>+DH30/12</f>
        <v>746.5169570126651</v>
      </c>
      <c r="DI166" s="32">
        <f>+DI30/6</f>
        <v>946.89080485754721</v>
      </c>
      <c r="DJ166" s="32">
        <f>+DJ30/6</f>
        <v>747.4926492263204</v>
      </c>
      <c r="DK166" s="1061">
        <f>+DK30/12</f>
        <v>847.19172704193386</v>
      </c>
      <c r="DL166" s="32">
        <f>+DL30/6</f>
        <v>983.51666666666677</v>
      </c>
      <c r="DM166" s="32">
        <f>+DM30/6</f>
        <v>737.08333333333337</v>
      </c>
      <c r="DN166" s="1061">
        <f>+DN30/12</f>
        <v>860.30000000000007</v>
      </c>
      <c r="DO166" s="32">
        <f>+DO30/6</f>
        <v>1159.3666666666666</v>
      </c>
      <c r="DP166" s="32">
        <f>+DP30/6</f>
        <v>975.30000000000007</v>
      </c>
      <c r="DQ166" s="1061">
        <f>+DQ30/12</f>
        <v>1067.3333333333333</v>
      </c>
      <c r="DR166" s="32">
        <f>+DR30/6</f>
        <v>1300.8333333333333</v>
      </c>
      <c r="DS166" s="32">
        <f>+DS30/6</f>
        <v>1079.6666666666667</v>
      </c>
      <c r="DT166" s="1061">
        <f>+DT30/12</f>
        <v>1190.25</v>
      </c>
      <c r="DU166" s="32">
        <f>+DU30/6</f>
        <v>1371.5</v>
      </c>
      <c r="DV166" s="32">
        <f>+DV30/6</f>
        <v>1138.6666666666667</v>
      </c>
      <c r="DW166" s="1061">
        <f>+DW30/12</f>
        <v>1255.0833333333333</v>
      </c>
      <c r="DX166" s="32">
        <f>+DX30/6</f>
        <v>1348.6666666666667</v>
      </c>
      <c r="DY166" s="32">
        <f>+DY30/6</f>
        <v>1230.8645424780448</v>
      </c>
      <c r="DZ166" s="1061">
        <f>+DZ30/12</f>
        <v>1289.7656045723559</v>
      </c>
      <c r="EA166" s="32">
        <f>+EA30/6</f>
        <v>1440.6583466978689</v>
      </c>
      <c r="EB166" s="32">
        <f>+EB30/6</f>
        <v>1281.8613324286855</v>
      </c>
      <c r="EC166" s="1061">
        <f>+EC30/12</f>
        <v>1361.259839563277</v>
      </c>
      <c r="ED166" s="32">
        <f>+ED30/6</f>
        <v>1507.0728380058906</v>
      </c>
      <c r="EE166" s="32">
        <f>+EE30/6</f>
        <v>1363.9464639375792</v>
      </c>
      <c r="EF166" s="1061">
        <f>+EF30/12</f>
        <v>1435.509650971735</v>
      </c>
      <c r="EG166" s="32">
        <f>+EG30/6</f>
        <v>1595.1458928139818</v>
      </c>
      <c r="EH166" s="32">
        <f>+EH30/6</f>
        <v>1454.912799586873</v>
      </c>
      <c r="EI166" s="1061">
        <f>+EI30/12</f>
        <v>1525.0293462004274</v>
      </c>
      <c r="EJ166" s="32">
        <f>+EJ30/6</f>
        <v>1689.5645663591474</v>
      </c>
      <c r="EK166" s="32">
        <f>+EK30/6</f>
        <v>1553.9366546932508</v>
      </c>
      <c r="EL166" s="1061">
        <f>+EL30/12</f>
        <v>1621.7506105261991</v>
      </c>
      <c r="EM166" s="32">
        <f>+EM30/6</f>
        <v>1782.2218654978033</v>
      </c>
      <c r="EN166" s="32">
        <f>+EN30/6</f>
        <v>1641.0442255272035</v>
      </c>
      <c r="EO166" s="1061">
        <f>+EO30/12</f>
        <v>1711.6330455125033</v>
      </c>
      <c r="EP166" s="32">
        <f>+EP30/6</f>
        <v>1878.6540143207869</v>
      </c>
      <c r="EQ166" s="32">
        <f>+EQ30/6</f>
        <v>1738.2069206023607</v>
      </c>
      <c r="ER166" s="1061">
        <f>+ER30/12</f>
        <v>1808.4304674615739</v>
      </c>
      <c r="ES166" s="32">
        <f>+ES30/6</f>
        <v>1982.9710190551125</v>
      </c>
      <c r="ET166" s="32">
        <f>+ET30/6</f>
        <v>1841.6410068155928</v>
      </c>
      <c r="EU166" s="1061">
        <f>+EU30/12</f>
        <v>1912.3060129353526</v>
      </c>
      <c r="EV166" s="32">
        <f>+EV30/6</f>
        <v>2093.7602343887938</v>
      </c>
      <c r="EW166" s="32">
        <f>+EW30/6</f>
        <v>1951.7650936654111</v>
      </c>
      <c r="EX166" s="1061">
        <f>+EX30/12</f>
        <v>2022.7626640271026</v>
      </c>
      <c r="EY166" s="32">
        <f>+EY30/6</f>
        <v>2211.4457365215981</v>
      </c>
      <c r="EZ166" s="32">
        <f>+EZ30/6</f>
        <v>2069.0264056808237</v>
      </c>
      <c r="FA166" s="1061">
        <f>+FA30/12</f>
        <v>2140.2360711012111</v>
      </c>
      <c r="FD166"/>
      <c r="FE166"/>
      <c r="FF166"/>
      <c r="FG166"/>
      <c r="FH166"/>
      <c r="FI166"/>
    </row>
    <row r="167" spans="2:165" s="33" customFormat="1" outlineLevel="1">
      <c r="B167" s="54" t="s">
        <v>496</v>
      </c>
      <c r="C167" s="54"/>
      <c r="D167" s="2" t="s">
        <v>507</v>
      </c>
      <c r="E167" s="51"/>
      <c r="F167" s="51"/>
      <c r="G167" s="51"/>
      <c r="H167" s="51"/>
      <c r="I167" s="5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c r="BA167" s="51"/>
      <c r="BB167" s="51"/>
      <c r="BC167" s="51"/>
      <c r="BD167" s="51"/>
      <c r="BE167" s="51"/>
      <c r="BF167" s="51"/>
      <c r="BG167" s="51"/>
      <c r="BH167" s="51"/>
      <c r="BI167" s="51"/>
      <c r="BJ167" s="51"/>
      <c r="BK167" s="51"/>
      <c r="BL167" s="51"/>
      <c r="BM167" s="51"/>
      <c r="BN167" s="51"/>
      <c r="BO167" s="51"/>
      <c r="BP167" s="51"/>
      <c r="BQ167" s="51"/>
      <c r="BR167" s="51"/>
      <c r="BS167" s="51"/>
      <c r="BT167" s="51"/>
      <c r="BU167" s="51"/>
      <c r="BV167" s="51"/>
      <c r="BW167" s="51">
        <f>+(BW77*2)/(((BV266+BV286)+(BW266+BW286))/2)</f>
        <v>0.10496401308615048</v>
      </c>
      <c r="BX167" s="51">
        <f>+(BX77)/(((BU266+BU286)+(BX266+BX286))/2)</f>
        <v>0.10860632497273719</v>
      </c>
      <c r="BY167" s="51">
        <f>+(BY77*2)/(((BX266+BX286)+(BY266+BY286))/2)</f>
        <v>0.13182115594329336</v>
      </c>
      <c r="BZ167" s="51">
        <f>+(BZ77*2)/(((BY266+BY286)+(BZ266+BZ286))/2)</f>
        <v>0.21742024013722128</v>
      </c>
      <c r="CA167" s="51">
        <f>+(CA77)/(((BX266+BX286)+(CA266+CA286))/2)</f>
        <v>8.2545333333333332E-2</v>
      </c>
      <c r="CB167" s="51">
        <f>+(CB77*2)/(((CA266+CA286)+(CB266+CB286))/2)</f>
        <v>6.7554030874785592E-2</v>
      </c>
      <c r="CC167" s="51">
        <f>+(CC77*2)/(((CB266+CB286)+(CC266+CC286))/2)</f>
        <v>8.4375634517766501E-2</v>
      </c>
      <c r="CD167" s="51">
        <f>+(CD77)/(((CA266+CA286)+(CD266+CD286))/2)</f>
        <v>3.7168884339815765E-2</v>
      </c>
      <c r="CE167" s="51">
        <f>+(CE77*2)/(((CD266+CD286)+(CE266+CE286))/2)</f>
        <v>7.8162436548223344E-2</v>
      </c>
      <c r="CF167" s="51">
        <f>+(CF77*2)/(((CE266+CE286)+(CF266+CF286))/2)</f>
        <v>7.0263908062701219E-2</v>
      </c>
      <c r="CG167" s="51">
        <f>+(CG77)/(((CD266+CD286)+(CG266+CG286))/2)</f>
        <v>3.6982144413809419E-2</v>
      </c>
      <c r="CH167" s="51">
        <f>+(CH77*2)/(((CG266+CG286)+(CH266+CH286))/2)</f>
        <v>3.027878326030355E-2</v>
      </c>
      <c r="CI167" s="51">
        <f>+(CI77*2)/(((CH266+CH286)+(CI266+CI286))/2)</f>
        <v>3.466081866110509E-2</v>
      </c>
      <c r="CJ167" s="51">
        <f>+(CJ77)/(((CG266+CG286)+(CJ266+CJ286))/2)</f>
        <v>4.5504131269638072E-2</v>
      </c>
      <c r="CK167" s="51">
        <f>+(CK77*2)/(((CJ266+CJ286)+(CK266+CK286))/2)</f>
        <v>4.0300000000000002E-2</v>
      </c>
      <c r="CL167" s="51">
        <f>+(CL77*2)/(((CK266+CK286)+(CL266+CL286))/2)</f>
        <v>2.1411296086723458E-2</v>
      </c>
      <c r="CM167" s="51">
        <f>+(CM77)/(((CJ266+CJ286)+(CM266+CM286))/2)</f>
        <v>3.2333502796136254E-2</v>
      </c>
      <c r="CN167" s="51">
        <f>+(CN77*2)/(((CM266+CM286)+(CN266+CN286))/2)</f>
        <v>3.0310014982136695E-2</v>
      </c>
      <c r="CO167" s="51">
        <f>+(CO77*2)/(((CN266+CN286)+(CO266+CO286))/2)</f>
        <v>2.9004399543751006E-2</v>
      </c>
      <c r="CP167" s="51">
        <f>+(CP77)/(((CM266+CM286)+(CP266+CP286))/2)</f>
        <v>2.9698531883895551E-2</v>
      </c>
      <c r="CQ167" s="51">
        <f>+(CQ77*2)/(((CP266+CP286)+(CQ266+CQ286))/2)</f>
        <v>2.7106435408965981E-2</v>
      </c>
      <c r="CR167" s="51">
        <f>+(CR77*2)/(((CQ266+CQ286)+(CR266+CR286))/2)</f>
        <v>2.6892214270223369E-2</v>
      </c>
      <c r="CS167" s="51">
        <f>+(CS77)/(((CP266+CP286)+(CS266+CS286))/2)</f>
        <v>2.8576908323743766E-2</v>
      </c>
      <c r="CT167" s="51">
        <f>+(CT77*2)/(((CS266+CS286)+(CT266+CT286))/2)</f>
        <v>2.5096633241835194E-2</v>
      </c>
      <c r="CU167" s="51">
        <f>+(CU77*2)/(((CT266+CT286)+(CU266+CU286))/2)</f>
        <v>2.4446338678289395E-2</v>
      </c>
      <c r="CV167" s="51">
        <f>+(CV77)/(((CS266+CS286)+(CV266+CV286))/2)</f>
        <v>2.6400206482061869E-2</v>
      </c>
      <c r="CW167" s="51">
        <f>+(CW77*2)/(((CV266+CV286)+(CW266+CW286))/2)</f>
        <v>2.4699129235795748E-2</v>
      </c>
      <c r="CX167" s="51">
        <f>+(CX77*2)/(((CW266+CW286)+(CX266+CX286))/2)</f>
        <v>2.6012099890727853E-2</v>
      </c>
      <c r="CY167" s="51">
        <f>+(CY77)/(((CV266+CV286)+(CY266+CY286))/2)</f>
        <v>2.5286226030764903E-2</v>
      </c>
      <c r="CZ167" s="51">
        <f>+(CZ77*2)/(((CY266+CY286)+(CZ266+CZ286))/2)</f>
        <v>2.5537947139712101E-2</v>
      </c>
      <c r="DA167" s="51">
        <f>+(DA77*2)/(((CZ266+CZ286)+(DA266+DA286))/2)</f>
        <v>2.4704003497125586E-2</v>
      </c>
      <c r="DB167" s="51">
        <f>+(DB77)/(((CY266+CY286)+(DB266+DB286))/2)</f>
        <v>2.5928362135980387E-2</v>
      </c>
      <c r="DC167" s="51">
        <f>+(DC77*2)/(((DB266+DB286)+(DC266+DC286))/2)</f>
        <v>4.2546597600389605E-2</v>
      </c>
      <c r="DD167" s="51">
        <f>+(DD77*2)/(((DC266+DC286)+(DD266+DD286))/2)</f>
        <v>3.4624595921085119E-2</v>
      </c>
      <c r="DE167" s="1080">
        <f>+(DE77)/(((DB266+DB286)+(DE266+DE286))/2)</f>
        <v>3.905360754108142E-2</v>
      </c>
      <c r="DF167" s="51">
        <f>+(DF77*2)/(((DE266+DE286)+(DF266+DF286))/2)</f>
        <v>2.908821868733083E-2</v>
      </c>
      <c r="DG167" s="51">
        <f>+(DG77*2)/(((DF266+DF286)+(DG266+DG286))/2)</f>
        <v>2.6249999999999999E-2</v>
      </c>
      <c r="DH167" s="1080">
        <f>+(DH77)/(((DE266+DE286)+(DH266+DH286))/2)</f>
        <v>2.8311767990540176E-2</v>
      </c>
      <c r="DI167" s="51">
        <f>+(DI77*2)/(((DH266+DH286)+(DI266+DI286))/2)</f>
        <v>3.5877843698685526E-2</v>
      </c>
      <c r="DJ167" s="51">
        <f>+(DJ77*2)/(((DI266+DI286)+(DJ266+DJ286))/2)</f>
        <v>2.0824999999999996E-2</v>
      </c>
      <c r="DK167" s="1080">
        <f>+(DK77)/(((DH266+DH286)+(DK266+DK286))/2)</f>
        <v>2.8954326169309385E-2</v>
      </c>
      <c r="DL167" s="51">
        <f>+(DL77*2)/(((DK266+DK286)+(DL266+DL286))/2)</f>
        <v>2.5049999999999999E-2</v>
      </c>
      <c r="DM167" s="51">
        <f>+(DM77*2)/(((DL266+DL286)+(DM266+DM286))/2)</f>
        <v>2.4683362558697006E-2</v>
      </c>
      <c r="DN167" s="1080">
        <f>+(DN77)/(((DK266+DK286)+(DN266+DN286))/2)</f>
        <v>2.1364785608514875E-2</v>
      </c>
      <c r="DO167" s="51">
        <f>+(DO77*2)/(((DN266+DN286)+(DO266+DO286))/2)</f>
        <v>3.7784023070847335E-2</v>
      </c>
      <c r="DP167" s="51">
        <f>+(DP77*2)/(((DO266+DO286)+(DP266+DP286))/2)</f>
        <v>3.915286540483702E-2</v>
      </c>
      <c r="DQ167" s="1080">
        <f>+(DQ77)/(((DN266+DN286)+(DQ266+DQ286))/2)</f>
        <v>4.0576107618072822E-2</v>
      </c>
      <c r="DR167" s="51">
        <f>+(DR77*2)/(((DQ266+DQ286)+(DR266+DR286))/2)</f>
        <v>4.1750000000000002E-2</v>
      </c>
      <c r="DS167" s="51">
        <f>+(DS77*2)/(((DR266+DR286)+(DS266+DS286))/2)</f>
        <v>3.6560539316591194E-2</v>
      </c>
      <c r="DT167" s="1080">
        <f>+(DT77)/(((DQ266+DQ286)+(DT266+DT286))/2)</f>
        <v>3.9000409668168791E-2</v>
      </c>
      <c r="DU167" s="51">
        <f>+(DU77*2)/(((DT266+DT286)+(DU266+DU286))/2)</f>
        <v>3.9756491489626039E-2</v>
      </c>
      <c r="DV167" s="51">
        <f>+(DV77*2)/(((DU266+DU286)+(DV266+DV286))/2)</f>
        <v>3.5461597476770947E-2</v>
      </c>
      <c r="DW167" s="1080">
        <f>+(DW77)/(((DT266+DT286)+(DW266+DW286))/2)</f>
        <v>3.7836240023647653E-2</v>
      </c>
      <c r="DX167" s="51">
        <f>+(DX77*2)/(((DW266+DW286)+(DX266+DX286))/2)</f>
        <v>3.799257819402721E-2</v>
      </c>
      <c r="DY167" s="51">
        <f>+(DY77*2)/(((DX266+DX286)+(DY266+DY286))/2)</f>
        <v>3.860657209552882E-2</v>
      </c>
      <c r="DZ167" s="1080">
        <f>+(DZ77)/(((DW266+DW286)+(DZ266+DZ286))/2)</f>
        <v>3.799257819402721E-2</v>
      </c>
      <c r="EA167" s="51">
        <f>+(EA77*2)/(((DZ266+DZ286)+(EA266+EA286))/2)</f>
        <v>3.799257819402721E-2</v>
      </c>
      <c r="EB167" s="51">
        <f>+(EB77*2)/(((EA266+EA286)+(EB266+EB286))/2)</f>
        <v>3.799257819402721E-2</v>
      </c>
      <c r="EC167" s="1080">
        <f>+(EC77)/(((DZ266+DZ286)+(EC266+EC286))/2)</f>
        <v>3.799257819402721E-2</v>
      </c>
      <c r="ED167" s="51">
        <f>+(ED77*2)/(((EC266+EC286)+(ED266+ED286))/2)</f>
        <v>3.799257819402721E-2</v>
      </c>
      <c r="EE167" s="51">
        <f>+(EE77*2)/(((ED266+ED286)+(EE266+EE286))/2)</f>
        <v>3.799257819402721E-2</v>
      </c>
      <c r="EF167" s="1080">
        <f>+(EF77)/(((EC266+EC286)+(EF266+EF286))/2)</f>
        <v>3.799257819402721E-2</v>
      </c>
      <c r="EG167" s="51">
        <f>+(EG77*2)/(((EF266+EF286)+(EG266+EG286))/2)</f>
        <v>3.799257819402721E-2</v>
      </c>
      <c r="EH167" s="51">
        <f>+(EH77*2)/(((EG266+EG286)+(EH266+EH286))/2)</f>
        <v>3.799257819402721E-2</v>
      </c>
      <c r="EI167" s="1080">
        <f>+(EI77)/(((EF266+EF286)+(EI266+EI286))/2)</f>
        <v>3.799257819402721E-2</v>
      </c>
      <c r="EJ167" s="51">
        <f>+(EJ77*2)/(((EI266+EI286)+(EJ266+EJ286))/2)</f>
        <v>3.799257819402721E-2</v>
      </c>
      <c r="EK167" s="51">
        <f>+(EK77*2)/(((EJ266+EJ286)+(EK266+EK286))/2)</f>
        <v>3.799257819402721E-2</v>
      </c>
      <c r="EL167" s="1080">
        <f>+(EL77)/(((EI266+EI286)+(EL266+EL286))/2)</f>
        <v>3.799257819402721E-2</v>
      </c>
      <c r="EM167" s="51">
        <f>+(EM77*2)/(((EL266+EL286)+(EM266+EM286))/2)</f>
        <v>3.799257819402721E-2</v>
      </c>
      <c r="EN167" s="51">
        <f>+(EN77*2)/(((EM266+EM286)+(EN266+EN286))/2)</f>
        <v>3.799257819402721E-2</v>
      </c>
      <c r="EO167" s="1080">
        <f>+(EO77)/(((EL266+EL286)+(EO266+EO286))/2)</f>
        <v>3.799257819402721E-2</v>
      </c>
      <c r="EP167" s="51">
        <f>+(EP77*2)/(((EO266+EO286)+(EP266+EP286))/2)</f>
        <v>3.799257819402721E-2</v>
      </c>
      <c r="EQ167" s="51">
        <f>+(EQ77*2)/(((EP266+EP286)+(EQ266+EQ286))/2)</f>
        <v>3.799257819402721E-2</v>
      </c>
      <c r="ER167" s="1080">
        <f>+(ER77)/(((EO266+EO286)+(ER266+ER286))/2)</f>
        <v>3.799257819402721E-2</v>
      </c>
      <c r="ES167" s="51">
        <f>+(ES77*2)/(((ER266+ER286)+(ES266+ES286))/2)</f>
        <v>3.799257819402721E-2</v>
      </c>
      <c r="ET167" s="51">
        <f>+(ET77*2)/(((ES266+ES286)+(ET266+ET286))/2)</f>
        <v>3.799257819402721E-2</v>
      </c>
      <c r="EU167" s="1080">
        <f>+(EU77)/(((ER266+ER286)+(EU266+EU286))/2)</f>
        <v>3.799257819402721E-2</v>
      </c>
      <c r="EV167" s="51">
        <f>+(EV77*2)/(((EU266+EU286)+(EV266+EV286))/2)</f>
        <v>3.799257819402721E-2</v>
      </c>
      <c r="EW167" s="51">
        <f>+(EW77*2)/(((EV266+EV286)+(EW266+EW286))/2)</f>
        <v>3.799257819402721E-2</v>
      </c>
      <c r="EX167" s="1080">
        <f>+(EX77)/(((EU266+EU286)+(EX266+EX286))/2)</f>
        <v>3.799257819402721E-2</v>
      </c>
      <c r="EY167" s="51">
        <f>+(EY77*2)/(((EX266+EX286)+(EY266+EY286))/2)</f>
        <v>3.799257819402721E-2</v>
      </c>
      <c r="EZ167" s="51">
        <f>+(EZ77*2)/(((EY266+EY286)+(EZ266+EZ286))/2)</f>
        <v>3.799257819402721E-2</v>
      </c>
      <c r="FA167" s="1080">
        <f>+(FA77)/(((EX266+EX286)+(FA266+FA286))/2)</f>
        <v>3.799257819402721E-2</v>
      </c>
      <c r="FD167"/>
      <c r="FE167"/>
      <c r="FF167"/>
      <c r="FG167"/>
      <c r="FH167"/>
      <c r="FI167"/>
    </row>
    <row r="168" spans="2:165" s="33" customFormat="1" outlineLevel="1">
      <c r="B168" s="54" t="s">
        <v>497</v>
      </c>
      <c r="C168" s="54"/>
      <c r="D168" s="2"/>
      <c r="E168" s="51"/>
      <c r="F168" s="51"/>
      <c r="G168" s="51"/>
      <c r="H168" s="51"/>
      <c r="I168" s="5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c r="BA168" s="51"/>
      <c r="BB168" s="51"/>
      <c r="BC168" s="51"/>
      <c r="BD168" s="51"/>
      <c r="BE168" s="51"/>
      <c r="BF168" s="51"/>
      <c r="BG168" s="51"/>
      <c r="BH168" s="51"/>
      <c r="BI168" s="51"/>
      <c r="BJ168" s="51"/>
      <c r="BK168" s="51"/>
      <c r="BL168" s="51"/>
      <c r="BM168" s="51"/>
      <c r="BN168" s="51"/>
      <c r="BO168" s="51"/>
      <c r="BP168" s="51"/>
      <c r="BQ168" s="51"/>
      <c r="BR168" s="51"/>
      <c r="BS168" s="51"/>
      <c r="BT168" s="51"/>
      <c r="BU168" s="51"/>
      <c r="BV168" s="51"/>
      <c r="BW168" s="51"/>
      <c r="BX168" s="51"/>
      <c r="BY168" s="51"/>
      <c r="BZ168" s="51"/>
      <c r="CA168" s="51"/>
      <c r="CB168" s="51"/>
      <c r="CC168" s="51"/>
      <c r="CD168" s="51"/>
      <c r="CE168" s="51"/>
      <c r="CF168" s="51"/>
      <c r="CG168" s="51"/>
      <c r="CH168" s="51"/>
      <c r="CI168" s="51"/>
      <c r="CJ168" s="51"/>
      <c r="CK168" s="51"/>
      <c r="CL168" s="51"/>
      <c r="CM168" s="51"/>
      <c r="CN168" s="51"/>
      <c r="CO168" s="51"/>
      <c r="CP168" s="51"/>
      <c r="CQ168" s="51"/>
      <c r="CR168" s="51"/>
      <c r="CS168" s="51"/>
      <c r="CT168" s="51"/>
      <c r="CU168" s="51"/>
      <c r="CV168" s="51"/>
      <c r="CW168" s="51"/>
      <c r="CX168" s="51"/>
      <c r="CY168" s="51"/>
      <c r="CZ168" s="51"/>
      <c r="DA168" s="51"/>
      <c r="DB168" s="51"/>
      <c r="DC168" s="51"/>
      <c r="DD168" s="51"/>
      <c r="DE168" s="1080"/>
      <c r="DF168" s="51"/>
      <c r="DG168" s="51"/>
      <c r="DH168" s="1080"/>
      <c r="DI168" s="51"/>
      <c r="DJ168" s="51"/>
      <c r="DK168" s="1080"/>
      <c r="DL168" s="51"/>
      <c r="DM168" s="51"/>
      <c r="DN168" s="1080"/>
      <c r="DO168" s="51"/>
      <c r="DP168" s="51"/>
      <c r="DQ168" s="1080"/>
      <c r="DR168" s="51"/>
      <c r="DS168" s="51"/>
      <c r="DT168" s="1080"/>
      <c r="DU168" s="51"/>
      <c r="DV168" s="51"/>
      <c r="DW168" s="1080"/>
      <c r="DX168" s="51"/>
      <c r="DY168" s="51"/>
      <c r="DZ168" s="1080"/>
      <c r="EA168" s="51"/>
      <c r="EB168" s="51"/>
      <c r="EC168" s="1080"/>
      <c r="ED168" s="51"/>
      <c r="EE168" s="51"/>
      <c r="EF168" s="1080"/>
      <c r="EG168" s="51"/>
      <c r="EH168" s="51"/>
      <c r="EI168" s="1080"/>
      <c r="EJ168" s="51"/>
      <c r="EK168" s="51"/>
      <c r="EL168" s="1080"/>
      <c r="EM168" s="51"/>
      <c r="EN168" s="51"/>
      <c r="EO168" s="1080"/>
      <c r="EP168" s="51"/>
      <c r="EQ168" s="51"/>
      <c r="ER168" s="1080"/>
      <c r="ES168" s="51"/>
      <c r="ET168" s="51"/>
      <c r="EU168" s="1080"/>
      <c r="EV168" s="51"/>
      <c r="EW168" s="51"/>
      <c r="EX168" s="1080"/>
      <c r="EY168" s="51"/>
      <c r="EZ168" s="51"/>
      <c r="FA168" s="1080"/>
      <c r="FD168"/>
      <c r="FE168"/>
      <c r="FF168"/>
      <c r="FG168"/>
      <c r="FH168"/>
      <c r="FI168"/>
    </row>
    <row r="169" spans="2:165" s="33" customFormat="1" outlineLevel="1">
      <c r="B169" s="54" t="s">
        <v>498</v>
      </c>
      <c r="C169" s="54"/>
      <c r="D169" s="2" t="s">
        <v>507</v>
      </c>
      <c r="E169" s="51"/>
      <c r="F169" s="51"/>
      <c r="G169" s="51"/>
      <c r="H169" s="51"/>
      <c r="I169" s="5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f>+(AO30-AM30)/AM30</f>
        <v>-0.53220894906475225</v>
      </c>
      <c r="AP169" s="51">
        <f>+(AP30-AO30)/AO30</f>
        <v>0.31946736427446981</v>
      </c>
      <c r="AQ169" s="51"/>
      <c r="AR169" s="51">
        <f>+(AR30-AP30)/AP30</f>
        <v>-9.908591057369763E-2</v>
      </c>
      <c r="AS169" s="51">
        <f>+(AS30-AR30)/AR30</f>
        <v>0.2614161239556278</v>
      </c>
      <c r="AT169" s="51"/>
      <c r="AU169" s="51">
        <f>+(AU30-AS30)/AS30</f>
        <v>-3.8843272795508567E-2</v>
      </c>
      <c r="AV169" s="51">
        <f>+(AV30-AU30)/AU30</f>
        <v>0.18169778068573963</v>
      </c>
      <c r="AW169" s="51"/>
      <c r="AX169" s="51">
        <f>+(AX30-AV30)/AV30</f>
        <v>-6.6527351721120065E-2</v>
      </c>
      <c r="AY169" s="51">
        <f>+(AY30-AX30)/AX30</f>
        <v>0.15541439054024322</v>
      </c>
      <c r="AZ169" s="51"/>
      <c r="BA169" s="51"/>
      <c r="BB169" s="51"/>
      <c r="BC169" s="51"/>
      <c r="BD169" s="51"/>
      <c r="BE169" s="51">
        <f>+(BE30-BD30)/BD30</f>
        <v>0.2892006680173958</v>
      </c>
      <c r="BF169" s="51"/>
      <c r="BG169" s="51">
        <f>+(BG30-BE30)/BE30</f>
        <v>-0.15850689855163963</v>
      </c>
      <c r="BH169" s="51">
        <f>+(BH30-BG30)/BG30</f>
        <v>3.2257459537518206E-2</v>
      </c>
      <c r="BI169" s="51"/>
      <c r="BJ169" s="51">
        <f>+(BJ30-BH30)/BH30</f>
        <v>-3.68725132174198E-2</v>
      </c>
      <c r="BK169" s="51">
        <f>+(BK30-BJ30)/BJ30</f>
        <v>0.59408493125705397</v>
      </c>
      <c r="BL169" s="51"/>
      <c r="BM169" s="51">
        <f>+(BM30-BK30)/BK30</f>
        <v>0.39454153509957035</v>
      </c>
      <c r="BN169" s="51">
        <f>+(BN30-BM30)/BM30</f>
        <v>-5.5410120312895363E-2</v>
      </c>
      <c r="BO169" s="51"/>
      <c r="BP169" s="51">
        <f>+(BP30-BN30)/BN30</f>
        <v>-1</v>
      </c>
      <c r="BQ169" s="51"/>
      <c r="BR169" s="51"/>
      <c r="BS169" s="51"/>
      <c r="BT169" s="51"/>
      <c r="BU169" s="51"/>
      <c r="BV169" s="51"/>
      <c r="BW169" s="51">
        <f>+(BW30-BV30)/BV30</f>
        <v>0.10210050212014733</v>
      </c>
      <c r="BX169" s="51"/>
      <c r="BY169" s="51">
        <f>+(BY30-BW30)/BW30</f>
        <v>5.6289061104423187E-2</v>
      </c>
      <c r="BZ169" s="51">
        <f>+(BZ30-BY30)/BY30</f>
        <v>-5.0634181595408452E-2</v>
      </c>
      <c r="CA169" s="51"/>
      <c r="CB169" s="51">
        <f>+(CB30-BZ30)/BZ30</f>
        <v>0.22479632203337696</v>
      </c>
      <c r="CC169" s="51">
        <f>+(CC30-CB30)/CB30</f>
        <v>-5.7594780237846629E-2</v>
      </c>
      <c r="CD169" s="51"/>
      <c r="CE169" s="51">
        <f>+(CE30-CC30)/CC30</f>
        <v>3.735022131984931E-2</v>
      </c>
      <c r="CF169" s="51">
        <f>+(CF30-CE30)/CE30</f>
        <v>7.42997584730134E-2</v>
      </c>
      <c r="CG169" s="51"/>
      <c r="CH169" s="51">
        <f>+(CH30-CF30)/CF30</f>
        <v>4.9851291483244138E-2</v>
      </c>
      <c r="CI169" s="51">
        <f>+(CI30-CH30)/CH30</f>
        <v>5.236760284600005E-3</v>
      </c>
      <c r="CJ169" s="51"/>
      <c r="CK169" s="51">
        <f>+(CK30-CI30)/CI30</f>
        <v>7.5106808439936751E-2</v>
      </c>
      <c r="CL169" s="51">
        <f>+(CL30-CK30)/CK30</f>
        <v>-9.6697829314280354E-3</v>
      </c>
      <c r="CM169" s="51"/>
      <c r="CN169" s="51">
        <f>+(CN30-CL30)/CL30</f>
        <v>4.2946276638845357E-2</v>
      </c>
      <c r="CO169" s="51">
        <f>+(CO30-CN30)/CN30</f>
        <v>7.2410846088104733E-2</v>
      </c>
      <c r="CP169" s="51"/>
      <c r="CQ169" s="51">
        <f>+(CQ30-CO30)/CO30</f>
        <v>2.7204230964283597E-2</v>
      </c>
      <c r="CR169" s="51">
        <f>+(CR30-CQ30)/CQ30</f>
        <v>-2.6765877913742027E-2</v>
      </c>
      <c r="CS169" s="51"/>
      <c r="CT169" s="51">
        <f>+(CT30-CR30)/CR30</f>
        <v>0.13620831944343723</v>
      </c>
      <c r="CU169" s="51">
        <f>+(CU30-CT30)/CT30</f>
        <v>-6.8888895040255305E-2</v>
      </c>
      <c r="CV169" s="51"/>
      <c r="CW169" s="51">
        <f>+(CW30-CU30)/CU30</f>
        <v>0.2317736443102138</v>
      </c>
      <c r="CX169" s="51">
        <f>+(CX30-CW30)/CW30</f>
        <v>-0.12740518296073847</v>
      </c>
      <c r="CY169" s="51"/>
      <c r="CZ169" s="51">
        <f>+(CZ30-CX30)/CX30</f>
        <v>0.29995872237187149</v>
      </c>
      <c r="DA169" s="51">
        <f>+(DA30-CZ30)/CZ30</f>
        <v>-9.64721133247919E-2</v>
      </c>
      <c r="DB169" s="51"/>
      <c r="DC169" s="51">
        <f>+(DC30-DA30)/DA30</f>
        <v>0.19821934368246383</v>
      </c>
      <c r="DD169" s="51">
        <f>+(DD30-DC30)/DC30</f>
        <v>-0.10209210705067227</v>
      </c>
      <c r="DE169" s="1080"/>
      <c r="DF169" s="51">
        <f>+(DF30-DD30)/DD30</f>
        <v>0.20678125303596437</v>
      </c>
      <c r="DG169" s="51">
        <f>+(DG30-DF30)/DF30</f>
        <v>-0.12814367644839614</v>
      </c>
      <c r="DH169" s="1080"/>
      <c r="DI169" s="51">
        <f>+(DI30-DG30)/DG30</f>
        <v>0.36162593705515195</v>
      </c>
      <c r="DJ169" s="51">
        <f>+(DJ30-DI30)/DI30</f>
        <v>-0.21058199594748919</v>
      </c>
      <c r="DK169" s="1080"/>
      <c r="DL169" s="51">
        <f>+(DL30-DJ30)/DJ30</f>
        <v>0.31575429896820917</v>
      </c>
      <c r="DM169" s="51">
        <f>+(DM30-DL30)/DL30</f>
        <v>-0.25056345427123761</v>
      </c>
      <c r="DN169" s="1080"/>
      <c r="DO169" s="51">
        <f>+(DO30-DM30)/DM30</f>
        <v>0.5729112492933861</v>
      </c>
      <c r="DP169" s="51">
        <f>+(DP30-DO30)/DO30</f>
        <v>-0.15876484287398288</v>
      </c>
      <c r="DQ169" s="1080"/>
      <c r="DR169" s="51">
        <f>+(DR30-DP30)/DP30</f>
        <v>0.33377764106770563</v>
      </c>
      <c r="DS169" s="51">
        <f>+(DS30-DR30)/DR30</f>
        <v>-0.17001921844971171</v>
      </c>
      <c r="DT169" s="1080"/>
      <c r="DU169" s="51">
        <f>+(DU30-DS30)/DS30</f>
        <v>0.2702994751466502</v>
      </c>
      <c r="DV169" s="51">
        <f>+(DV30-DU30)/DU30</f>
        <v>-0.16976546360432615</v>
      </c>
      <c r="DW169" s="1080"/>
      <c r="DX169" s="51">
        <f>+(DX30-DV30)/DV30</f>
        <v>0.18442622950819673</v>
      </c>
      <c r="DY169" s="51">
        <f>+(DY30-DX30)/DX30</f>
        <v>-8.7347101474509567E-2</v>
      </c>
      <c r="DZ169" s="1080"/>
      <c r="EA169" s="51">
        <f>+(EA30-DY30)/DY30</f>
        <v>0.17044426659448284</v>
      </c>
      <c r="EB169" s="51">
        <f>+(EB30-EA30)/EA30</f>
        <v>-0.11022531097200235</v>
      </c>
      <c r="EC169" s="1080"/>
      <c r="ED169" s="51">
        <f>+(ED30-EB30)/EB30</f>
        <v>0.17569100485347111</v>
      </c>
      <c r="EE169" s="51">
        <f>+(EE30-ED30)/ED30</f>
        <v>-9.4969778804912613E-2</v>
      </c>
      <c r="EF169" s="1080"/>
      <c r="EG169" s="51">
        <f>+(EG30-EE30)/EE30</f>
        <v>0.16950770062407922</v>
      </c>
      <c r="EH169" s="51">
        <f>+(EH30-EG30)/EG30</f>
        <v>-8.7912393379720871E-2</v>
      </c>
      <c r="EI169" s="1080"/>
      <c r="EJ169" s="51">
        <f>+(EJ30-EH30)/EH30</f>
        <v>0.16128235784227374</v>
      </c>
      <c r="EK169" s="51">
        <f>+(EK30-EJ30)/EJ30</f>
        <v>-8.0273884979821644E-2</v>
      </c>
      <c r="EL169" s="1080"/>
      <c r="EM169" s="51">
        <f>+(EM30-EK30)/EK30</f>
        <v>0.14690766841433195</v>
      </c>
      <c r="EN169" s="51">
        <f>+(EN30-EM30)/EM30</f>
        <v>-7.9214402372493997E-2</v>
      </c>
      <c r="EO169" s="1080"/>
      <c r="EP169" s="51">
        <f>+(EP30-EN30)/EN30</f>
        <v>0.14479182528871143</v>
      </c>
      <c r="EQ169" s="51">
        <f>+(EQ30-EP30)/EP30</f>
        <v>-7.4759424911565675E-2</v>
      </c>
      <c r="ER169" s="1080"/>
      <c r="ES169" s="51">
        <f>+(ES30-EQ30)/EQ30</f>
        <v>0.1408141318226549</v>
      </c>
      <c r="ET169" s="51">
        <f>+(ET30-ES30)/ES30</f>
        <v>-7.1271849604167992E-2</v>
      </c>
      <c r="EU169" s="1080"/>
      <c r="EV169" s="51">
        <f>+(EV30-ET30)/ET30</f>
        <v>0.13689922554947007</v>
      </c>
      <c r="EW169" s="51">
        <f>+(EW30-EV30)/EV30</f>
        <v>-6.7818243173786139E-2</v>
      </c>
      <c r="EX169" s="1080"/>
      <c r="EY169" s="51">
        <f>+(EY30-EW30)/EW30</f>
        <v>0.13304912753025366</v>
      </c>
      <c r="EZ169" s="51">
        <f>+(EZ30-EY30)/EY30</f>
        <v>-6.4401006313990233E-2</v>
      </c>
      <c r="FA169" s="1080"/>
      <c r="FD169"/>
      <c r="FE169"/>
      <c r="FF169"/>
      <c r="FG169"/>
      <c r="FH169"/>
      <c r="FI169"/>
    </row>
    <row r="170" spans="2:165" s="33" customFormat="1" outlineLevel="1">
      <c r="B170" s="54" t="s">
        <v>238</v>
      </c>
      <c r="C170" s="54"/>
      <c r="D170" s="2" t="s">
        <v>507</v>
      </c>
      <c r="E170" s="51"/>
      <c r="F170" s="51"/>
      <c r="G170" s="51"/>
      <c r="H170" s="51"/>
      <c r="I170" s="5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f>+(AL55-AJ55)/AJ55</f>
        <v>-1</v>
      </c>
      <c r="AM170" s="51"/>
      <c r="AN170" s="51"/>
      <c r="AO170" s="51">
        <f>+(AO55-AM55)/AM55</f>
        <v>-0.76975209805653722</v>
      </c>
      <c r="AP170" s="51">
        <f>+(AP55-AO55)/AO55</f>
        <v>2.743120916012229</v>
      </c>
      <c r="AQ170" s="51"/>
      <c r="AR170" s="51">
        <f>+(AR55-AP55)/AP55</f>
        <v>-0.67640417047037904</v>
      </c>
      <c r="AS170" s="51">
        <f>+(AS55-AR55)/AR55</f>
        <v>2.4582034149962886</v>
      </c>
      <c r="AT170" s="51"/>
      <c r="AU170" s="51">
        <f>+(AU55-AS55)/AS55</f>
        <v>-0.4207633849984973</v>
      </c>
      <c r="AV170" s="51">
        <f>+(AV55-AU55)/AU55</f>
        <v>0.53000765942727268</v>
      </c>
      <c r="AW170" s="51"/>
      <c r="AX170" s="51">
        <f>+(AX55-AV55)/AV55</f>
        <v>-0.55086880692461737</v>
      </c>
      <c r="AY170" s="51">
        <f>+(AY55-AX55)/AX55</f>
        <v>1.9853300733496335</v>
      </c>
      <c r="AZ170" s="51"/>
      <c r="BA170" s="51">
        <f>+(BA55-AY55)/AY55</f>
        <v>-7.3782338488220897E-2</v>
      </c>
      <c r="BB170" s="51">
        <f>+(BB55-BA55)/BA55</f>
        <v>0.63838391719331078</v>
      </c>
      <c r="BC170" s="51"/>
      <c r="BD170" s="51">
        <f>+(BD55-BB55)/BB55</f>
        <v>9.7405875894546121E-2</v>
      </c>
      <c r="BE170" s="51">
        <f>+(BE55-BD55)/BD55</f>
        <v>0.11749453282589936</v>
      </c>
      <c r="BF170" s="51"/>
      <c r="BG170" s="51">
        <f>+(BG55-BE55)/BE55</f>
        <v>-0.1455171812126525</v>
      </c>
      <c r="BH170" s="51">
        <f>+(BH55-BG55)/BG55</f>
        <v>-6.8113823478175212E-2</v>
      </c>
      <c r="BI170" s="51"/>
      <c r="BJ170" s="51">
        <f>+(BJ55-BH55)/BH55</f>
        <v>-0.27587047693358047</v>
      </c>
      <c r="BK170" s="51"/>
      <c r="BL170" s="51"/>
      <c r="BM170" s="51"/>
      <c r="BN170" s="51"/>
      <c r="BO170" s="51"/>
      <c r="BP170" s="51"/>
      <c r="BQ170" s="51">
        <f>+(BQ55-BP55)/BP55</f>
        <v>-2.7692528861359186E-2</v>
      </c>
      <c r="BR170" s="51"/>
      <c r="BS170" s="51">
        <f>+(BS55-BQ55)/BQ55</f>
        <v>0.25583944303911371</v>
      </c>
      <c r="BT170" s="51">
        <f>+(BT55-BS55)/BS55</f>
        <v>0.35117336766373269</v>
      </c>
      <c r="BU170" s="51"/>
      <c r="BV170" s="51">
        <f>+(BV55-BT55)/BT55</f>
        <v>7.6420447222540419E-2</v>
      </c>
      <c r="BW170" s="51">
        <f>+(BW55-BV55)/BV55</f>
        <v>-4.6791562572047397E-2</v>
      </c>
      <c r="BX170" s="51"/>
      <c r="BY170" s="51">
        <f>+(BY55-BW55)/BW55</f>
        <v>0.2945292290121353</v>
      </c>
      <c r="BZ170" s="51">
        <f>+(BZ55-BY55)/BY55</f>
        <v>-2.1919033739499296E-2</v>
      </c>
      <c r="CA170" s="51"/>
      <c r="CB170" s="51">
        <f>+(CB55-BZ55)/BZ55</f>
        <v>0.25856506990433781</v>
      </c>
      <c r="CC170" s="51">
        <f>+(CC55-CB55)/CB55</f>
        <v>-0.27178660928114118</v>
      </c>
      <c r="CD170" s="51"/>
      <c r="CE170" s="51">
        <f>+(CE55-CC55)/CC55</f>
        <v>0.13914426172282232</v>
      </c>
      <c r="CF170" s="51">
        <f>+(CF55-CE55)/CE55</f>
        <v>-0.11713884555855157</v>
      </c>
      <c r="CG170" s="51"/>
      <c r="CH170" s="51">
        <f>+(CH55-CF55)/CF55</f>
        <v>0.14710881306447246</v>
      </c>
      <c r="CI170" s="51">
        <f>+(CI55-CH55)/CH55</f>
        <v>-4.7559105569206277E-2</v>
      </c>
      <c r="CJ170" s="51"/>
      <c r="CK170" s="51">
        <f>+(CK55-CI55)/CI55</f>
        <v>0.27196174040060894</v>
      </c>
      <c r="CL170" s="51">
        <f>+(CL55-CK55)/CK55</f>
        <v>-9.6891666792312175E-2</v>
      </c>
      <c r="CM170" s="51"/>
      <c r="CN170" s="51">
        <f>+(CN55-CL55)/CL55</f>
        <v>0.14193334838865343</v>
      </c>
      <c r="CO170" s="51">
        <f>+(CO55-CN55)/CN55</f>
        <v>8.3885209713023285E-3</v>
      </c>
      <c r="CP170" s="51"/>
      <c r="CQ170" s="51">
        <f>+(CQ55-CO55)/CO55</f>
        <v>5.3852889667250367E-2</v>
      </c>
      <c r="CR170" s="51">
        <f>+(CR55-CQ55)/CQ55</f>
        <v>2.5446614042376643E-2</v>
      </c>
      <c r="CS170" s="51"/>
      <c r="CT170" s="51">
        <f>+(CT55-CR55)/CR55</f>
        <v>-7.6218611478515705E-2</v>
      </c>
      <c r="CU170" s="51">
        <f>+(CU55-CT55)/CT55</f>
        <v>-9.19892420350443E-2</v>
      </c>
      <c r="CV170" s="51"/>
      <c r="CW170" s="51">
        <f>+(CW55-CU55)/CU55</f>
        <v>0.48004475035286498</v>
      </c>
      <c r="CX170" s="51">
        <f>+(CX55-CW55)/CW55</f>
        <v>-0.32132064385050646</v>
      </c>
      <c r="CY170" s="51"/>
      <c r="CZ170" s="51">
        <f>+(CZ55-CX55)/CX55</f>
        <v>0.94325290967568842</v>
      </c>
      <c r="DA170" s="51">
        <f>+(DA55-CZ55)/CZ55</f>
        <v>-0.34396230032175901</v>
      </c>
      <c r="DB170" s="51"/>
      <c r="DC170" s="51">
        <f>+(DC55-DA55)/DA55</f>
        <v>0.62085312450188246</v>
      </c>
      <c r="DD170" s="51">
        <f>+(DD55-DC55)/DC55</f>
        <v>-0.32485892140322303</v>
      </c>
      <c r="DE170" s="1080"/>
      <c r="DF170" s="51">
        <f>+(DF55-DD55)/DD55</f>
        <v>0.58270798838752014</v>
      </c>
      <c r="DG170" s="51">
        <f>+(DG55-DF55)/DF55</f>
        <v>-0.29221878135106216</v>
      </c>
      <c r="DH170" s="1080"/>
      <c r="DI170" s="51">
        <f>+(DI55-DG55)/DG55</f>
        <v>1.0042475533967208</v>
      </c>
      <c r="DJ170" s="51">
        <f>+(DJ55-DI55)/DI55</f>
        <v>-0.60063646964980399</v>
      </c>
      <c r="DK170" s="1080"/>
      <c r="DL170" s="51">
        <f>+(DL55-DJ55)/DJ55</f>
        <v>1.3983598484106452</v>
      </c>
      <c r="DM170" s="51">
        <f>+(DM55-DL55)/DL55</f>
        <v>-0.54753737484822007</v>
      </c>
      <c r="DN170" s="1080"/>
      <c r="DO170" s="51">
        <f>+(DO55-DM55)/DM55</f>
        <v>1.3904164128261425</v>
      </c>
      <c r="DP170" s="51">
        <f>+(DP55-DO55)/DO55</f>
        <v>-0.42423854540987965</v>
      </c>
      <c r="DQ170" s="1080"/>
      <c r="DR170" s="51">
        <f>+(DR55-DP55)/DP55</f>
        <v>0.98956718874641469</v>
      </c>
      <c r="DS170" s="51">
        <f>+(DS55-DR55)/DR55</f>
        <v>-0.43659759507593693</v>
      </c>
      <c r="DT170" s="1080"/>
      <c r="DU170" s="51">
        <f>+(DU55-DS55)/DS55</f>
        <v>0.83636493083156971</v>
      </c>
      <c r="DV170" s="51">
        <f>+(DV55-DU55)/DU55</f>
        <v>-0.39918724601437949</v>
      </c>
      <c r="DW170" s="1080"/>
      <c r="DX170" s="51">
        <f>+(DX55-DV55)/DV55</f>
        <v>0.62851196670135279</v>
      </c>
      <c r="DY170" s="51">
        <f>+(DY55-DX55)/DX55</f>
        <v>-0.23165833901193705</v>
      </c>
      <c r="DZ170" s="1080"/>
      <c r="EA170" s="51">
        <f>+(EA55-DY55)/DY55</f>
        <v>0.38101418390754554</v>
      </c>
      <c r="EB170" s="51">
        <f>+(EB55-EA55)/EA55</f>
        <v>-0.24244806147339001</v>
      </c>
      <c r="EC170" s="1080"/>
      <c r="ED170" s="51">
        <f>+(ED55-EB55)/EB55</f>
        <v>0.42631613333067009</v>
      </c>
      <c r="EE170" s="51">
        <f>+(EE55-ED55)/ED55</f>
        <v>-0.24168986992895342</v>
      </c>
      <c r="EF170" s="1080"/>
      <c r="EG170" s="51">
        <f>+(EG55-EE55)/EE55</f>
        <v>0.42562281057917162</v>
      </c>
      <c r="EH170" s="51">
        <f>+(EH55-EG55)/EG55</f>
        <v>-0.22692228326700134</v>
      </c>
      <c r="EI170" s="1080"/>
      <c r="EJ170" s="51">
        <f>+(EJ55-EH55)/EH55</f>
        <v>0.39099213345905137</v>
      </c>
      <c r="EK170" s="51">
        <f>+(EK55-EJ55)/EJ55</f>
        <v>-0.21324928838005025</v>
      </c>
      <c r="EL170" s="1080"/>
      <c r="EM170" s="51">
        <f>+(EM55-EK55)/EK55</f>
        <v>0.37355041922159649</v>
      </c>
      <c r="EN170" s="51">
        <f>+(EN55-EM55)/EM55</f>
        <v>-0.21267045219395628</v>
      </c>
      <c r="EO170" s="1080"/>
      <c r="EP170" s="51">
        <f>+(EP55-EN55)/EN55</f>
        <v>0.35979489172662238</v>
      </c>
      <c r="EQ170" s="51">
        <f>+(EQ55-EP55)/EP55</f>
        <v>-0.20254858627828515</v>
      </c>
      <c r="ER170" s="1080"/>
      <c r="ES170" s="51">
        <f>+(ES55-EQ55)/EQ55</f>
        <v>0.33299405897031154</v>
      </c>
      <c r="ET170" s="51">
        <f>+(ET55-ES55)/ES55</f>
        <v>-0.19584386368698448</v>
      </c>
      <c r="EU170" s="1080"/>
      <c r="EV170" s="51">
        <f>+(EV55-ET55)/ET55</f>
        <v>0.31117668228801043</v>
      </c>
      <c r="EW170" s="51">
        <f>+(EW55-EV55)/EV55</f>
        <v>-0.19161572192464815</v>
      </c>
      <c r="EX170" s="1080"/>
      <c r="EY170" s="51">
        <f>+(EY55-EW55)/EW55</f>
        <v>0.30483251064880434</v>
      </c>
      <c r="EZ170" s="51">
        <f>+(EZ55-EY55)/EY55</f>
        <v>-0.18743512929437642</v>
      </c>
      <c r="FA170" s="1080"/>
      <c r="FD170"/>
      <c r="FE170"/>
      <c r="FF170"/>
      <c r="FG170"/>
      <c r="FH170"/>
      <c r="FI170"/>
    </row>
    <row r="171" spans="2:165" s="33" customFormat="1" outlineLevel="1">
      <c r="B171" s="54" t="s">
        <v>239</v>
      </c>
      <c r="C171" s="54"/>
      <c r="D171" s="2" t="s">
        <v>507</v>
      </c>
      <c r="E171" s="51"/>
      <c r="F171" s="51"/>
      <c r="G171" s="51"/>
      <c r="H171" s="51"/>
      <c r="I171" s="5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f>+(AO61-AM61)/AM61</f>
        <v>-0.61295187711726762</v>
      </c>
      <c r="AP171" s="51">
        <f>+(AP61-AO61)/AO61</f>
        <v>0.94514717343084864</v>
      </c>
      <c r="AQ171" s="51"/>
      <c r="AR171" s="51">
        <f>+(AR61-AP61)/AP61</f>
        <v>-0.37729219958701865</v>
      </c>
      <c r="AS171" s="51">
        <f>+(AS61-AR61)/AR61</f>
        <v>0.9024498886414255</v>
      </c>
      <c r="AT171" s="51"/>
      <c r="AU171" s="51">
        <f>+(AU61-AS61)/AS61</f>
        <v>-0.38307448164624475</v>
      </c>
      <c r="AV171" s="51">
        <f>+(AV61-AU61)/AU61</f>
        <v>0.93181243147507842</v>
      </c>
      <c r="AW171" s="51"/>
      <c r="AX171" s="51">
        <f>+(AX61-AV61)/AV61</f>
        <v>-0.43655453930278759</v>
      </c>
      <c r="AY171" s="51">
        <f>+(AY61-AX61)/AX61</f>
        <v>1.0012397334573069</v>
      </c>
      <c r="AZ171" s="51"/>
      <c r="BA171" s="51">
        <f>+(BA61-AY61)/AY61</f>
        <v>4.4776986216509121E-2</v>
      </c>
      <c r="BB171" s="51">
        <f>+(BB61-BA61)/BA61</f>
        <v>0.83874075858363106</v>
      </c>
      <c r="BC171" s="51"/>
      <c r="BD171" s="51">
        <f>+(BD61-BB61)/BB61</f>
        <v>9.4240943215599532E-2</v>
      </c>
      <c r="BE171" s="51">
        <f>+(BE61-BD61)/BD61</f>
        <v>0.16614327681950899</v>
      </c>
      <c r="BF171" s="51"/>
      <c r="BG171" s="51">
        <f>+(BG61-BE61)/BE61</f>
        <v>-0.21865622137284021</v>
      </c>
      <c r="BH171" s="51">
        <f>+(BH61-BG61)/BG61</f>
        <v>-6.9557307459066436E-2</v>
      </c>
      <c r="BI171" s="51"/>
      <c r="BJ171" s="51">
        <f>+(BJ61-BH61)/BH61</f>
        <v>-0.37395989484889947</v>
      </c>
      <c r="BK171" s="51"/>
      <c r="BL171" s="51"/>
      <c r="BM171" s="51"/>
      <c r="BN171" s="51"/>
      <c r="BO171" s="51"/>
      <c r="BP171" s="51"/>
      <c r="BQ171" s="51">
        <f>+(BQ61-BP61)/BP61</f>
        <v>-6.9872728540138609E-2</v>
      </c>
      <c r="BR171" s="51"/>
      <c r="BS171" s="51">
        <f>+(BS61-BQ61)/BQ61</f>
        <v>0.54114041384968525</v>
      </c>
      <c r="BT171" s="51">
        <f>+(BT61-BS61)/BS61</f>
        <v>9.7923539784957228E-2</v>
      </c>
      <c r="BU171" s="51"/>
      <c r="BV171" s="51">
        <f>+(BV61-BT61)/BT61</f>
        <v>0.19207502570091836</v>
      </c>
      <c r="BW171" s="51">
        <f>+(BW61-BV61)/BV61</f>
        <v>-3.3357582015300119E-2</v>
      </c>
      <c r="BX171" s="51"/>
      <c r="BY171" s="51">
        <f>+(BY61-BW61)/BW61</f>
        <v>0.28993748862050134</v>
      </c>
      <c r="BZ171" s="51">
        <f>+(BZ61-BY61)/BY61</f>
        <v>4.2393070264999388E-3</v>
      </c>
      <c r="CA171" s="51"/>
      <c r="CB171" s="51">
        <f>+(CB61-BZ61)/BZ61</f>
        <v>0.26158870305876825</v>
      </c>
      <c r="CC171" s="51">
        <f>+(CC61-CB61)/CB61</f>
        <v>-0.29106288004708886</v>
      </c>
      <c r="CD171" s="51"/>
      <c r="CE171" s="51">
        <f>+(CE61-CC61)/CC61</f>
        <v>0.13355267264676965</v>
      </c>
      <c r="CF171" s="51">
        <f>+(CF61-CE61)/CE61</f>
        <v>-0.13692945723737754</v>
      </c>
      <c r="CG171" s="51"/>
      <c r="CH171" s="51">
        <f>+(CH61-CF61)/CF61</f>
        <v>0.15777752169735687</v>
      </c>
      <c r="CI171" s="51">
        <f>+(CI61-CH61)/CH61</f>
        <v>-2.8561095517936185E-2</v>
      </c>
      <c r="CJ171" s="51"/>
      <c r="CK171" s="51">
        <f>+(CK61-CI61)/CI61</f>
        <v>0.2741120174575466</v>
      </c>
      <c r="CL171" s="51">
        <f>+(CL61-CK61)/CK61</f>
        <v>-0.11081276969692139</v>
      </c>
      <c r="CM171" s="51"/>
      <c r="CN171" s="51">
        <f>+(CN61-CL61)/CL61</f>
        <v>0.16676873216457863</v>
      </c>
      <c r="CO171" s="51">
        <f>+(CO61-CN61)/CN61</f>
        <v>7.2028811524626221E-4</v>
      </c>
      <c r="CP171" s="51"/>
      <c r="CQ171" s="51">
        <f>+(CQ61-CO61)/CO61</f>
        <v>6.8378119001919105E-2</v>
      </c>
      <c r="CR171" s="51">
        <f>+(CR61-CQ61)/CQ61</f>
        <v>2.6723557152481679E-2</v>
      </c>
      <c r="CS171" s="51"/>
      <c r="CT171" s="51">
        <f>+(CT61-CR61)/CR61</f>
        <v>-9.8480572083047363E-2</v>
      </c>
      <c r="CU171" s="51">
        <f>+(CU61-CT61)/CT61</f>
        <v>-0.10153307971065108</v>
      </c>
      <c r="CV171" s="51"/>
      <c r="CW171" s="51">
        <f>+(CW61-CU61)/CU61</f>
        <v>0.51893476717097164</v>
      </c>
      <c r="CX171" s="51">
        <f>+(CX61-CW61)/CW61</f>
        <v>-0.35528888888888893</v>
      </c>
      <c r="CY171" s="51"/>
      <c r="CZ171" s="51">
        <f>+(CZ61-CX61)/CX61</f>
        <v>1.0712933862843674</v>
      </c>
      <c r="DA171" s="51">
        <f>+(DA61-CZ61)/CZ61</f>
        <v>-0.3770982874007891</v>
      </c>
      <c r="DB171" s="51"/>
      <c r="DC171" s="51">
        <f>+(DC61-DA61)/DA61</f>
        <v>0.69824261833991219</v>
      </c>
      <c r="DD171" s="51">
        <f>+(DD61-DC61)/DC61</f>
        <v>-0.35999244903095889</v>
      </c>
      <c r="DE171" s="1080"/>
      <c r="DF171" s="51">
        <f>+(DF61-DD61)/DD61</f>
        <v>0.64036869531019558</v>
      </c>
      <c r="DG171" s="51">
        <f>+(DG61-DF61)/DF61</f>
        <v>-0.32833953131677374</v>
      </c>
      <c r="DH171" s="1080"/>
      <c r="DI171" s="51">
        <f>+(DI61-DG61)/DG61</f>
        <v>1.1468925052019894</v>
      </c>
      <c r="DJ171" s="51">
        <f>+(DJ61-DI61)/DI61</f>
        <v>-0.65049328661537686</v>
      </c>
      <c r="DK171" s="1080"/>
      <c r="DL171" s="51">
        <f>+(DL61-DJ61)/DJ61</f>
        <v>1.7098911911491861</v>
      </c>
      <c r="DM171" s="51">
        <f>+(DM61-DL61)/DL61</f>
        <v>-0.60481564167423596</v>
      </c>
      <c r="DN171" s="1080"/>
      <c r="DO171" s="51">
        <f>+(DO61-DM61)/DM61</f>
        <v>1.7311118850625387</v>
      </c>
      <c r="DP171" s="51">
        <f>+(DP61-DO61)/DO61</f>
        <v>-0.46976969032947224</v>
      </c>
      <c r="DQ171" s="1080"/>
      <c r="DR171" s="51">
        <f>+(DR61-DP61)/DP61</f>
        <v>1.18173854879735</v>
      </c>
      <c r="DS171" s="51">
        <f>+(DS61-DR61)/DR61</f>
        <v>-0.48645370991957626</v>
      </c>
      <c r="DT171" s="1080"/>
      <c r="DU171" s="51">
        <f>+(DU61-DS61)/DS61</f>
        <v>1.0068055141772647</v>
      </c>
      <c r="DV171" s="51">
        <f>+(DV61-DU61)/DU61</f>
        <v>-0.44065484311050479</v>
      </c>
      <c r="DW171" s="1080"/>
      <c r="DX171" s="51">
        <f>+(DX61-DV61)/DV61</f>
        <v>0.74024390243902438</v>
      </c>
      <c r="DY171" s="51">
        <f>+(DY61-DX61)/DX61</f>
        <v>-0.24561415595669178</v>
      </c>
      <c r="DZ171" s="1080"/>
      <c r="EA171" s="51">
        <f>+(EA61-DY61)/DY61</f>
        <v>0.40206763774092535</v>
      </c>
      <c r="EB171" s="51">
        <f>+(EB61-EA61)/EA61</f>
        <v>-0.25569971331972352</v>
      </c>
      <c r="EC171" s="1080"/>
      <c r="ED171" s="51">
        <f>+(ED61-EB61)/EB61</f>
        <v>0.44628225490959195</v>
      </c>
      <c r="EE171" s="51">
        <f>+(EE61-ED61)/ED61</f>
        <v>-0.2570003440802901</v>
      </c>
      <c r="EF171" s="1080"/>
      <c r="EG171" s="51">
        <f>+(EG61-EE61)/EE61</f>
        <v>0.44826687082719352</v>
      </c>
      <c r="EH171" s="51">
        <f>+(EH61-EG61)/EG61</f>
        <v>-0.24214185507130057</v>
      </c>
      <c r="EI171" s="1080"/>
      <c r="EJ171" s="51">
        <f>+(EJ61-EH61)/EH61</f>
        <v>0.42126021145022585</v>
      </c>
      <c r="EK171" s="51">
        <f>+(EK61-EJ61)/EJ61</f>
        <v>-0.22756592208376589</v>
      </c>
      <c r="EL171" s="1080"/>
      <c r="EM171" s="51">
        <f>+(EM61-EK61)/EK61</f>
        <v>0.40260459249900088</v>
      </c>
      <c r="EN171" s="51">
        <f>+(EN61-EM61)/EM61</f>
        <v>-0.22665982215371966</v>
      </c>
      <c r="EO171" s="1080"/>
      <c r="EP171" s="51">
        <f>+(EP61-EN61)/EN61</f>
        <v>0.38662932868648936</v>
      </c>
      <c r="EQ171" s="51">
        <f>+(EQ61-EP61)/EP61</f>
        <v>-0.21571622769329743</v>
      </c>
      <c r="ER171" s="1080"/>
      <c r="ES171" s="51">
        <f>+(ES61-EQ61)/EQ61</f>
        <v>0.35635570484200746</v>
      </c>
      <c r="ET171" s="51">
        <f>+(ET61-ES61)/ES61</f>
        <v>-0.20858057168072985</v>
      </c>
      <c r="EU171" s="1080"/>
      <c r="EV171" s="51">
        <f>+(EV61-ET61)/ET61</f>
        <v>0.33208696100326773</v>
      </c>
      <c r="EW171" s="51">
        <f>+(EW61-EV61)/EV61</f>
        <v>-0.20429281857406506</v>
      </c>
      <c r="EX171" s="1080"/>
      <c r="EY171" s="51">
        <f>+(EY61-EW61)/EW61</f>
        <v>0.32544054049292748</v>
      </c>
      <c r="EZ171" s="51">
        <f>+(EZ61-EY61)/EY61</f>
        <v>-0.20005251535703722</v>
      </c>
      <c r="FA171" s="1080"/>
      <c r="FD171"/>
      <c r="FE171"/>
      <c r="FF171"/>
      <c r="FG171"/>
      <c r="FH171"/>
      <c r="FI171"/>
    </row>
    <row r="172" spans="2:165" s="33" customFormat="1" outlineLevel="1">
      <c r="B172" s="54" t="s">
        <v>240</v>
      </c>
      <c r="C172" s="54"/>
      <c r="D172" s="2" t="s">
        <v>507</v>
      </c>
      <c r="E172" s="51"/>
      <c r="F172" s="51"/>
      <c r="G172" s="51"/>
      <c r="H172" s="51"/>
      <c r="I172" s="5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f>+(AO69-AM69)/AM69</f>
        <v>-0.61095692329220797</v>
      </c>
      <c r="AP172" s="51">
        <f>+(AP69-AO69)/AO69</f>
        <v>0.90654037527726106</v>
      </c>
      <c r="AQ172" s="51"/>
      <c r="AR172" s="51">
        <f>+(AR69-AP69)/AP69</f>
        <v>-0.36468257711536639</v>
      </c>
      <c r="AS172" s="51">
        <f>+(AS69-AR69)/AR69</f>
        <v>0.89294729027468467</v>
      </c>
      <c r="AT172" s="51"/>
      <c r="AU172" s="51">
        <f>+(AU69-AS69)/AS69</f>
        <v>-0.37997751457630669</v>
      </c>
      <c r="AV172" s="51">
        <f>+(AV69-AU69)/AU69</f>
        <v>0.92021590621573768</v>
      </c>
      <c r="AW172" s="51"/>
      <c r="AX172" s="51">
        <f>+(AX69-AV69)/AV69</f>
        <v>-0.43315179198875614</v>
      </c>
      <c r="AY172" s="51">
        <f>+(AY69-AX69)/AX69</f>
        <v>0.9891523322485668</v>
      </c>
      <c r="AZ172" s="51"/>
      <c r="BA172" s="51">
        <f>+(BA69-AY69)/AY69</f>
        <v>5.1125740105951861E-2</v>
      </c>
      <c r="BB172" s="51">
        <f>+(BB69-BA69)/BA69</f>
        <v>0.83127350886620077</v>
      </c>
      <c r="BC172" s="51"/>
      <c r="BD172" s="51">
        <f>+(BD69-BB69)/BB69</f>
        <v>9.8702849279585669E-2</v>
      </c>
      <c r="BE172" s="51">
        <f>+(BE69-BD69)/BD69</f>
        <v>0.16614327681950899</v>
      </c>
      <c r="BF172" s="51"/>
      <c r="BG172" s="51">
        <f>+(BG69-BE69)/BE69</f>
        <v>-0.21865622137284021</v>
      </c>
      <c r="BH172" s="51">
        <f>+(BH69-BG69)/BG69</f>
        <v>-0.11243177683444534</v>
      </c>
      <c r="BI172" s="51"/>
      <c r="BJ172" s="51">
        <f>+(BJ69-BH69)/BH69</f>
        <v>-0.37789241140566632</v>
      </c>
      <c r="BK172" s="51"/>
      <c r="BL172" s="51"/>
      <c r="BM172" s="51"/>
      <c r="BN172" s="51"/>
      <c r="BO172" s="51"/>
      <c r="BP172" s="51"/>
      <c r="BQ172" s="51">
        <f>+(BQ69-BP69)/BP69</f>
        <v>-0.11044257008368566</v>
      </c>
      <c r="BR172" s="51"/>
      <c r="BS172" s="51">
        <f>+(BS69-BQ69)/BQ69</f>
        <v>0.61142685099643612</v>
      </c>
      <c r="BT172" s="51">
        <f>+(BT69-BS69)/BS69</f>
        <v>1.1873165213340765E-2</v>
      </c>
      <c r="BU172" s="51"/>
      <c r="BV172" s="51">
        <f>+(BV69-BT69)/BT69</f>
        <v>0.26455664825269637</v>
      </c>
      <c r="BW172" s="51">
        <f>+(BW69-BV69)/BV69</f>
        <v>-6.6497314704617519E-2</v>
      </c>
      <c r="BX172" s="51"/>
      <c r="BY172" s="51">
        <f>+(BY69-BW69)/BW69</f>
        <v>0.34177415898864372</v>
      </c>
      <c r="BZ172" s="51">
        <f>+(BZ69-BY69)/BY69</f>
        <v>2.756449315401067E-3</v>
      </c>
      <c r="CA172" s="51"/>
      <c r="CB172" s="51">
        <f>+(CB69-BZ69)/BZ69</f>
        <v>0.26785840942662759</v>
      </c>
      <c r="CC172" s="51">
        <f>+(CC69-CB69)/CB69</f>
        <v>-0.29534284016786233</v>
      </c>
      <c r="CD172" s="51"/>
      <c r="CE172" s="51">
        <f>+(CE69-CC69)/CC69</f>
        <v>0.13378657321416493</v>
      </c>
      <c r="CF172" s="51">
        <f>+(CF69-CE69)/CE69</f>
        <v>-0.13975802493096531</v>
      </c>
      <c r="CG172" s="51"/>
      <c r="CH172" s="51">
        <f>+(CH69-CF69)/CF69</f>
        <v>0.1585305736204172</v>
      </c>
      <c r="CI172" s="51">
        <f>+(CI69-CH69)/CH69</f>
        <v>-2.9385680174294587E-2</v>
      </c>
      <c r="CJ172" s="51"/>
      <c r="CK172" s="51">
        <f>+(CK69-CI69)/CI69</f>
        <v>0.2809126945921146</v>
      </c>
      <c r="CL172" s="51">
        <f>+(CL69-CK69)/CK69</f>
        <v>-0.11479702062058902</v>
      </c>
      <c r="CM172" s="51"/>
      <c r="CN172" s="51">
        <f>+(CN69-CL69)/CL69</f>
        <v>0.17252864343073132</v>
      </c>
      <c r="CO172" s="51">
        <f>+(CO69-CN69)/CN69</f>
        <v>1.4669926650367304E-3</v>
      </c>
      <c r="CP172" s="51"/>
      <c r="CQ172" s="51">
        <f>+(CQ69-CO69)/CO69</f>
        <v>7.2143554687499889E-2</v>
      </c>
      <c r="CR172" s="51">
        <f>+(CR69-CQ69)/CQ69</f>
        <v>2.664237731982249E-2</v>
      </c>
      <c r="CS172" s="51"/>
      <c r="CT172" s="51">
        <f>+(CT69-CR69)/CR69</f>
        <v>-0.10191859820339357</v>
      </c>
      <c r="CU172" s="51">
        <f>+(CU69-CT69)/CT69</f>
        <v>-0.11249691281797963</v>
      </c>
      <c r="CV172" s="51"/>
      <c r="CW172" s="51">
        <f>+(CW69-CU69)/CU69</f>
        <v>0.52316682899679945</v>
      </c>
      <c r="CX172" s="51">
        <f>+(CX69-CW69)/CW69</f>
        <v>-0.37498858134648783</v>
      </c>
      <c r="CY172" s="51"/>
      <c r="CZ172" s="51">
        <f>+(CZ69-CX69)/CX69</f>
        <v>1.156107999228372</v>
      </c>
      <c r="DA172" s="51">
        <f>+(DA69-CZ69)/CZ69</f>
        <v>-0.38646601950972259</v>
      </c>
      <c r="DB172" s="51"/>
      <c r="DC172" s="51">
        <f>+(DC69-DA69)/DA69</f>
        <v>0.71584974295143411</v>
      </c>
      <c r="DD172" s="51">
        <f>+(DD69-DC69)/DC69</f>
        <v>-0.38763683193818416</v>
      </c>
      <c r="DE172" s="1080"/>
      <c r="DF172" s="51">
        <f>+(DF69-DD69)/DD69</f>
        <v>0.71610830704521555</v>
      </c>
      <c r="DG172" s="51">
        <f>+(DG69-DF69)/DF69</f>
        <v>-0.33547888382426932</v>
      </c>
      <c r="DH172" s="1080"/>
      <c r="DI172" s="51">
        <f>+(DI69-DG69)/DG69</f>
        <v>1.1741424058977181</v>
      </c>
      <c r="DJ172" s="51">
        <f>+(DJ69-DI69)/DI69</f>
        <v>-0.66372175144616952</v>
      </c>
      <c r="DK172" s="1080"/>
      <c r="DL172" s="51">
        <f>+(DL69-DJ69)/DJ69</f>
        <v>1.8142408397687086</v>
      </c>
      <c r="DM172" s="51">
        <f>+(DM69-DL69)/DL69</f>
        <v>-0.61868450025358979</v>
      </c>
      <c r="DN172" s="1080"/>
      <c r="DO172" s="51">
        <f>+(DO69-DM69)/DM69</f>
        <v>1.8276748513605714</v>
      </c>
      <c r="DP172" s="51">
        <f>+(DP69-DO69)/DO69</f>
        <v>-0.47992709104638887</v>
      </c>
      <c r="DQ172" s="1080"/>
      <c r="DR172" s="51">
        <f>+(DR69-DP69)/DP69</f>
        <v>1.2336667918778965</v>
      </c>
      <c r="DS172" s="51">
        <f>+(DS69-DR69)/DR69</f>
        <v>-0.4983760477996414</v>
      </c>
      <c r="DT172" s="1080"/>
      <c r="DU172" s="51">
        <f>+(DU69-DS69)/DS69</f>
        <v>1.0527400486641327</v>
      </c>
      <c r="DV172" s="51">
        <f>+(DV69-DU69)/DU69</f>
        <v>-0.44753300903405141</v>
      </c>
      <c r="DW172" s="1080"/>
      <c r="DX172" s="51">
        <f>+(DX69-DV69)/DV69</f>
        <v>0.76415094339622647</v>
      </c>
      <c r="DY172" s="51">
        <f>+(DY69-DX69)/DX69</f>
        <v>-0.25327503848944166</v>
      </c>
      <c r="DZ172" s="1080"/>
      <c r="EA172" s="51">
        <f>+(EA69-DY69)/DY69</f>
        <v>0.40857697628227435</v>
      </c>
      <c r="EB172" s="51">
        <f>+(EB69-EA69)/EA69</f>
        <v>-0.25907734051657894</v>
      </c>
      <c r="EC172" s="1080"/>
      <c r="ED172" s="51">
        <f>+(ED69-EB69)/EB69</f>
        <v>0.45385811846072482</v>
      </c>
      <c r="EE172" s="51">
        <f>+(EE69-ED69)/ED69</f>
        <v>-0.26064033390340435</v>
      </c>
      <c r="EF172" s="1080"/>
      <c r="EG172" s="51">
        <f>+(EG69-EE69)/EE69</f>
        <v>0.45597303627580177</v>
      </c>
      <c r="EH172" s="51">
        <f>+(EH69-EG69)/EG69</f>
        <v>-0.24554066535879945</v>
      </c>
      <c r="EI172" s="1080"/>
      <c r="EJ172" s="51">
        <f>+(EJ69-EH69)/EH69</f>
        <v>0.42822467614349441</v>
      </c>
      <c r="EK172" s="51">
        <f>+(EK69-EJ69)/EJ69</f>
        <v>-0.23074916179907551</v>
      </c>
      <c r="EL172" s="1080"/>
      <c r="EM172" s="51">
        <f>+(EM69-EK69)/EK69</f>
        <v>0.40924506062269816</v>
      </c>
      <c r="EN172" s="51">
        <f>+(EN69-EM69)/EM69</f>
        <v>-0.2297571652759145</v>
      </c>
      <c r="EO172" s="1080"/>
      <c r="EP172" s="51">
        <f>+(EP69-EN69)/EN69</f>
        <v>0.3927324219848527</v>
      </c>
      <c r="EQ172" s="51">
        <f>+(EQ69-EP69)/EP69</f>
        <v>-0.21862120569125709</v>
      </c>
      <c r="ER172" s="1080"/>
      <c r="ES172" s="51">
        <f>+(ES69-EQ69)/EQ69</f>
        <v>0.36164365181180702</v>
      </c>
      <c r="ET172" s="51">
        <f>+(ET69-ES69)/ES69</f>
        <v>-0.21138412794377734</v>
      </c>
      <c r="EU172" s="1080"/>
      <c r="EV172" s="51">
        <f>+(EV69-ET69)/ET69</f>
        <v>0.3368060103971709</v>
      </c>
      <c r="EW172" s="51">
        <f>+(EW69-EV69)/EV69</f>
        <v>-0.20708028826079436</v>
      </c>
      <c r="EX172" s="1080"/>
      <c r="EY172" s="51">
        <f>+(EY69-EW69)/EW69</f>
        <v>0.33008471094406178</v>
      </c>
      <c r="EZ172" s="51">
        <f>+(EZ69-EY69)/EY69</f>
        <v>-0.20282410570060691</v>
      </c>
      <c r="FA172" s="1080"/>
      <c r="FD172"/>
      <c r="FE172"/>
      <c r="FF172"/>
      <c r="FG172"/>
      <c r="FH172"/>
      <c r="FI172"/>
    </row>
    <row r="173" spans="2:165" s="33" customFormat="1" outlineLevel="1">
      <c r="B173" s="54" t="s">
        <v>241</v>
      </c>
      <c r="C173" s="54"/>
      <c r="D173" s="2" t="s">
        <v>507</v>
      </c>
      <c r="E173" s="51"/>
      <c r="F173" s="51"/>
      <c r="G173" s="51"/>
      <c r="H173" s="51"/>
      <c r="I173" s="5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f>+(AO73-AM73)/AM73</f>
        <v>-0.59861883105945768</v>
      </c>
      <c r="AP173" s="51">
        <f>+(AP73-AO73)/AO73</f>
        <v>0.88220130687608611</v>
      </c>
      <c r="AQ173" s="51"/>
      <c r="AR173" s="51">
        <f>+(AR73-AP73)/AP73</f>
        <v>-0.35646717839284003</v>
      </c>
      <c r="AS173" s="51">
        <f>+(AS73-AR73)/AR73</f>
        <v>0.89294729027468467</v>
      </c>
      <c r="AT173" s="51"/>
      <c r="AU173" s="51">
        <f>+(AU73-AS73)/AS73</f>
        <v>-0.37997751457630669</v>
      </c>
      <c r="AV173" s="51">
        <f>+(AV73-AU73)/AU73</f>
        <v>0.89841443872817783</v>
      </c>
      <c r="AW173" s="51"/>
      <c r="AX173" s="51">
        <f>+(AX73-AV73)/AV73</f>
        <v>-0.42664208445323087</v>
      </c>
      <c r="AY173" s="51">
        <f>+(AY73-AX73)/AX73</f>
        <v>0.9891523322485668</v>
      </c>
      <c r="AZ173" s="51"/>
      <c r="BA173" s="51">
        <f>+(BA73-AY73)/AY73</f>
        <v>-0.14511919601121856</v>
      </c>
      <c r="BB173" s="51">
        <f>+(BB73-BA73)/BA73</f>
        <v>0.92987492310846831</v>
      </c>
      <c r="BC173" s="51"/>
      <c r="BD173" s="51">
        <f>+(BD73-BB73)/BB73</f>
        <v>4.5580110497237619E-2</v>
      </c>
      <c r="BE173" s="51">
        <f>+(BE73-BD73)/BD73</f>
        <v>0.10097212342919093</v>
      </c>
      <c r="BF173" s="51"/>
      <c r="BG173" s="51">
        <f>+(BG73-BE73)/BE73</f>
        <v>-0.25572237263106085</v>
      </c>
      <c r="BH173" s="51">
        <f>+(BH73-BG73)/BG73</f>
        <v>-0.13617449294532641</v>
      </c>
      <c r="BI173" s="51"/>
      <c r="BJ173" s="51">
        <f>+(BJ73-BH73)/BH73</f>
        <v>-0.12859489895203607</v>
      </c>
      <c r="BK173" s="51"/>
      <c r="BL173" s="51"/>
      <c r="BM173" s="51"/>
      <c r="BN173" s="51"/>
      <c r="BO173" s="51"/>
      <c r="BP173" s="51"/>
      <c r="BQ173" s="51">
        <f>+(BQ73-BP73)/BP73</f>
        <v>-0.11044257008368566</v>
      </c>
      <c r="BR173" s="51"/>
      <c r="BS173" s="51">
        <f>+(BS73-BQ73)/BQ73</f>
        <v>0.61142685099643612</v>
      </c>
      <c r="BT173" s="51">
        <f>+(BT73-BS73)/BS73</f>
        <v>1.1873165213340765E-2</v>
      </c>
      <c r="BU173" s="51"/>
      <c r="BV173" s="51">
        <f>+(BV73-BT73)/BT73</f>
        <v>0.26455664825269637</v>
      </c>
      <c r="BW173" s="51">
        <f>+(BW73-BV73)/BV73</f>
        <v>-6.6497314704617519E-2</v>
      </c>
      <c r="BX173" s="51"/>
      <c r="BY173" s="51">
        <f>+(BY73-BW73)/BW73</f>
        <v>0.34177415898864372</v>
      </c>
      <c r="BZ173" s="51">
        <f>+(BZ73-BY73)/BY73</f>
        <v>2.756449315401067E-3</v>
      </c>
      <c r="CA173" s="51"/>
      <c r="CB173" s="51">
        <f>+(CB73-BZ73)/BZ73</f>
        <v>0.26785840942662759</v>
      </c>
      <c r="CC173" s="51">
        <f>+(CC73-CB73)/CB73</f>
        <v>-0.29534284016786233</v>
      </c>
      <c r="CD173" s="51"/>
      <c r="CE173" s="51">
        <f>+(CE73-CC73)/CC73</f>
        <v>0.13378657321416493</v>
      </c>
      <c r="CF173" s="51">
        <f>+(CF73-CE73)/CE73</f>
        <v>-0.13975802493096531</v>
      </c>
      <c r="CG173" s="51"/>
      <c r="CH173" s="51">
        <f>+(CH73-CF73)/CF73</f>
        <v>0.1585305736204172</v>
      </c>
      <c r="CI173" s="51">
        <f>+(CI73-CH73)/CH73</f>
        <v>-2.9385680174294587E-2</v>
      </c>
      <c r="CJ173" s="51"/>
      <c r="CK173" s="51">
        <f>+(CK73-CI73)/CI73</f>
        <v>0.2809126945921146</v>
      </c>
      <c r="CL173" s="51">
        <f>+(CL73-CK73)/CK73</f>
        <v>-0.11479702062058902</v>
      </c>
      <c r="CM173" s="51"/>
      <c r="CN173" s="51">
        <f>+(CN73-CL73)/CL73</f>
        <v>0.17252864343073132</v>
      </c>
      <c r="CO173" s="51">
        <f>+(CO73-CN73)/CN73</f>
        <v>1.4669926650367304E-3</v>
      </c>
      <c r="CP173" s="51"/>
      <c r="CQ173" s="51">
        <f>+(CQ73-CO73)/CO73</f>
        <v>7.2143554687499889E-2</v>
      </c>
      <c r="CR173" s="51">
        <f>+(CR73-CQ73)/CQ73</f>
        <v>2.664237731982249E-2</v>
      </c>
      <c r="CS173" s="51"/>
      <c r="CT173" s="51">
        <f>+(CT73-CR73)/CR73</f>
        <v>-0.10191859820339357</v>
      </c>
      <c r="CU173" s="51">
        <f>+(CU73-CT73)/CT73</f>
        <v>-0.11249691281797963</v>
      </c>
      <c r="CV173" s="51"/>
      <c r="CW173" s="51">
        <f>+(CW73-CU73)/CU73</f>
        <v>0.52316682899679945</v>
      </c>
      <c r="CX173" s="51">
        <f>+(CX73-CW73)/CW73</f>
        <v>-0.37498858134648783</v>
      </c>
      <c r="CY173" s="51"/>
      <c r="CZ173" s="51">
        <f>+(CZ73-CX73)/CX73</f>
        <v>1.156107999228372</v>
      </c>
      <c r="DA173" s="51">
        <f>+(DA73-CZ73)/CZ73</f>
        <v>-0.38646601950972259</v>
      </c>
      <c r="DB173" s="51"/>
      <c r="DC173" s="51">
        <f>+(DC73-DA73)/DA73</f>
        <v>0.71584974295143411</v>
      </c>
      <c r="DD173" s="51">
        <f>+(DD73-DC73)/DC73</f>
        <v>-0.38763683193818416</v>
      </c>
      <c r="DE173" s="1080"/>
      <c r="DF173" s="51">
        <f>+(DF73-DD73)/DD73</f>
        <v>0.71610830704521555</v>
      </c>
      <c r="DG173" s="51">
        <f>+(DG73-DF73)/DF73</f>
        <v>-0.33547888382426932</v>
      </c>
      <c r="DH173" s="1080"/>
      <c r="DI173" s="51">
        <f>+(DI73-DG73)/DG73</f>
        <v>1.1741424058977181</v>
      </c>
      <c r="DJ173" s="51">
        <f>+(DJ73-DI73)/DI73</f>
        <v>-0.66372175144616952</v>
      </c>
      <c r="DK173" s="1080"/>
      <c r="DL173" s="51">
        <f>+(DL73-DJ73)/DJ73</f>
        <v>1.8142408397687086</v>
      </c>
      <c r="DM173" s="51">
        <f>+(DM73-DL73)/DL73</f>
        <v>-0.61868450025358979</v>
      </c>
      <c r="DN173" s="1080"/>
      <c r="DO173" s="51">
        <f>+(DO73-DM73)/DM73</f>
        <v>1.8276748513605714</v>
      </c>
      <c r="DP173" s="51">
        <f>+(DP73-DO73)/DO73</f>
        <v>-0.47992709104638887</v>
      </c>
      <c r="DQ173" s="1080"/>
      <c r="DR173" s="51">
        <f>+(DR73-DP73)/DP73</f>
        <v>1.2336667918778965</v>
      </c>
      <c r="DS173" s="51">
        <f>+(DS73-DR73)/DR73</f>
        <v>-0.4983760477996414</v>
      </c>
      <c r="DT173" s="1080"/>
      <c r="DU173" s="51">
        <f>+(DU73-DS73)/DS73</f>
        <v>1.0527400486641327</v>
      </c>
      <c r="DV173" s="51">
        <f>+(DV73-DU73)/DU73</f>
        <v>-0.44753300903405141</v>
      </c>
      <c r="DW173" s="1080"/>
      <c r="DX173" s="51">
        <f>+(DX73-DV73)/DV73</f>
        <v>0.76415094339622647</v>
      </c>
      <c r="DY173" s="51">
        <f>+(DY73-DX73)/DX73</f>
        <v>-0.25327503848944166</v>
      </c>
      <c r="DZ173" s="1080"/>
      <c r="EA173" s="51">
        <f>+(EA73-DY73)/DY73</f>
        <v>0.40857697628227435</v>
      </c>
      <c r="EB173" s="51">
        <f>+(EB73-EA73)/EA73</f>
        <v>-0.25907734051657894</v>
      </c>
      <c r="EC173" s="1080"/>
      <c r="ED173" s="51">
        <f>+(ED73-EB73)/EB73</f>
        <v>0.45385811846072482</v>
      </c>
      <c r="EE173" s="51">
        <f>+(EE73-ED73)/ED73</f>
        <v>-0.26064033390340435</v>
      </c>
      <c r="EF173" s="1080"/>
      <c r="EG173" s="51">
        <f>+(EG73-EE73)/EE73</f>
        <v>0.45597303627580177</v>
      </c>
      <c r="EH173" s="51">
        <f>+(EH73-EG73)/EG73</f>
        <v>-0.24554066535879945</v>
      </c>
      <c r="EI173" s="1080"/>
      <c r="EJ173" s="51">
        <f>+(EJ73-EH73)/EH73</f>
        <v>0.42822467614349441</v>
      </c>
      <c r="EK173" s="51">
        <f>+(EK73-EJ73)/EJ73</f>
        <v>-0.23074916179907551</v>
      </c>
      <c r="EL173" s="1080"/>
      <c r="EM173" s="51">
        <f>+(EM73-EK73)/EK73</f>
        <v>0.40924506062269816</v>
      </c>
      <c r="EN173" s="51">
        <f>+(EN73-EM73)/EM73</f>
        <v>-0.2297571652759145</v>
      </c>
      <c r="EO173" s="1080"/>
      <c r="EP173" s="51">
        <f>+(EP73-EN73)/EN73</f>
        <v>0.3927324219848527</v>
      </c>
      <c r="EQ173" s="51">
        <f>+(EQ73-EP73)/EP73</f>
        <v>-0.21862120569125709</v>
      </c>
      <c r="ER173" s="1080"/>
      <c r="ES173" s="51">
        <f>+(ES73-EQ73)/EQ73</f>
        <v>0.36164365181180702</v>
      </c>
      <c r="ET173" s="51">
        <f>+(ET73-ES73)/ES73</f>
        <v>-0.21138412794377734</v>
      </c>
      <c r="EU173" s="1080"/>
      <c r="EV173" s="51">
        <f>+(EV73-ET73)/ET73</f>
        <v>0.3368060103971709</v>
      </c>
      <c r="EW173" s="51">
        <f>+(EW73-EV73)/EV73</f>
        <v>-0.20708028826079436</v>
      </c>
      <c r="EX173" s="1080"/>
      <c r="EY173" s="51">
        <f>+(EY73-EW73)/EW73</f>
        <v>0.33008471094406178</v>
      </c>
      <c r="EZ173" s="51">
        <f>+(EZ73-EY73)/EY73</f>
        <v>-0.20282410570060691</v>
      </c>
      <c r="FA173" s="1080"/>
      <c r="FD173"/>
      <c r="FE173"/>
      <c r="FF173"/>
      <c r="FG173"/>
      <c r="FH173"/>
      <c r="FI173"/>
    </row>
    <row r="174" spans="2:165" s="33" customFormat="1" outlineLevel="1">
      <c r="B174" s="54" t="s">
        <v>51</v>
      </c>
      <c r="C174" s="54"/>
      <c r="D174" s="2" t="s">
        <v>507</v>
      </c>
      <c r="E174" s="51"/>
      <c r="F174" s="51"/>
      <c r="G174" s="51"/>
      <c r="H174" s="51"/>
      <c r="I174" s="5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f>+(AO91-AM91)/AM91</f>
        <v>-0.58938409263352365</v>
      </c>
      <c r="AP174" s="51">
        <f>+(AP91-AO91)/AO91</f>
        <v>0.85675263115610145</v>
      </c>
      <c r="AQ174" s="51"/>
      <c r="AR174" s="51">
        <f>+(AR91-AP91)/AP91</f>
        <v>-0.23265977240275193</v>
      </c>
      <c r="AS174" s="51">
        <f>+(AS91-AR91)/AR91</f>
        <v>0.30652982970565057</v>
      </c>
      <c r="AT174" s="51"/>
      <c r="AU174" s="51">
        <f>+(AU91-AS91)/AS91</f>
        <v>-0.30047475183426869</v>
      </c>
      <c r="AV174" s="51">
        <f>+(AV91-AU91)/AU91</f>
        <v>0.77091559723593328</v>
      </c>
      <c r="AW174" s="51"/>
      <c r="AX174" s="51">
        <f>+(AX91-AV91)/AV91</f>
        <v>-0.35163571752081674</v>
      </c>
      <c r="AY174" s="51">
        <f>+(AY91-AX91)/AX91</f>
        <v>0.94003224073078995</v>
      </c>
      <c r="AZ174" s="51"/>
      <c r="BA174" s="51">
        <f>+(BA91-AY91)/AY91</f>
        <v>3.3929758475515416E-2</v>
      </c>
      <c r="BB174" s="51">
        <f>+(BB91-BA91)/BA91</f>
        <v>0.75506978488574528</v>
      </c>
      <c r="BC174" s="51"/>
      <c r="BD174" s="51">
        <f>+(BD91-BB91)/BB91</f>
        <v>0.18383576280241162</v>
      </c>
      <c r="BE174" s="51">
        <f>+(BE91-BD91)/BD91</f>
        <v>0.22981214301370587</v>
      </c>
      <c r="BF174" s="51"/>
      <c r="BG174" s="51">
        <f>+(BG91-BE91)/BE91</f>
        <v>-0.57958965434092036</v>
      </c>
      <c r="BH174" s="51">
        <f>+(BH91-BG91)/BG91</f>
        <v>-0.13802992518703233</v>
      </c>
      <c r="BI174" s="51"/>
      <c r="BJ174" s="51">
        <f>+(BJ91-BH91)/BH91</f>
        <v>-0.17885143931722844</v>
      </c>
      <c r="BK174" s="51"/>
      <c r="BL174" s="51"/>
      <c r="BM174" s="51"/>
      <c r="BN174" s="51">
        <f>+(BN91-BM91)/BM91</f>
        <v>1.4427553384839269</v>
      </c>
      <c r="BO174" s="51"/>
      <c r="BP174" s="51">
        <f>+(BP91-BN91)/BN91</f>
        <v>-0.54891949109206584</v>
      </c>
      <c r="BQ174" s="51">
        <f>+(BQ91-BP91)/BP91</f>
        <v>5.1608917204672963E-2</v>
      </c>
      <c r="BR174" s="51"/>
      <c r="BS174" s="51">
        <f>+(BS91-BQ91)/BQ91</f>
        <v>0.38677719805096761</v>
      </c>
      <c r="BT174" s="51">
        <f>+(BT91-BS91)/BS91</f>
        <v>0.22678264654897695</v>
      </c>
      <c r="BU174" s="51"/>
      <c r="BV174" s="51">
        <f>+(BV91-BT91)/BT91</f>
        <v>0.10484928746586215</v>
      </c>
      <c r="BW174" s="51">
        <f>+(BW91-BV91)/BV91</f>
        <v>1.2462434906288334E-2</v>
      </c>
      <c r="BX174" s="51"/>
      <c r="BY174" s="51">
        <f>+(BY91-BW91)/BW91</f>
        <v>0.42139324900728992</v>
      </c>
      <c r="BZ174" s="51">
        <f>+(BZ91-BY91)/BY91</f>
        <v>3.2240259675565083E-2</v>
      </c>
      <c r="CA174" s="51"/>
      <c r="CB174" s="51">
        <f>+(CB91-BZ91)/BZ91</f>
        <v>0.19179518065311929</v>
      </c>
      <c r="CC174" s="51">
        <f>+(CC91-CB91)/CB91</f>
        <v>-0.2946044179243727</v>
      </c>
      <c r="CD174" s="51"/>
      <c r="CE174" s="51">
        <f>+(CE91-CC91)/CC91</f>
        <v>0.1485808494467373</v>
      </c>
      <c r="CF174" s="51">
        <f>+(CF91-CE91)/CE91</f>
        <v>-0.11960656917525499</v>
      </c>
      <c r="CG174" s="51"/>
      <c r="CH174" s="51">
        <f>+(CH91-CF91)/CF91</f>
        <v>0.14513177076473849</v>
      </c>
      <c r="CI174" s="51">
        <f>+(CI91-CH91)/CH91</f>
        <v>3.0339083878643803E-2</v>
      </c>
      <c r="CJ174" s="51"/>
      <c r="CK174" s="51">
        <f>+(CK91-CI91)/CI91</f>
        <v>0.20207852193995357</v>
      </c>
      <c r="CL174" s="51">
        <f>+(CL91-CK91)/CK91</f>
        <v>-5.2673711175151523E-2</v>
      </c>
      <c r="CM174" s="51"/>
      <c r="CN174" s="51">
        <f>+(CN91-CL91)/CL91</f>
        <v>9.126246408652991E-2</v>
      </c>
      <c r="CO174" s="51">
        <f>+(CO91-CN91)/CN91</f>
        <v>2.4159826544834919E-2</v>
      </c>
      <c r="CP174" s="51"/>
      <c r="CQ174" s="51">
        <f>+(CQ91-CO91)/CO91</f>
        <v>4.6726145471042028E-2</v>
      </c>
      <c r="CR174" s="51">
        <f>+(CR91-CQ91)/CQ91</f>
        <v>2.3981508234614139E-2</v>
      </c>
      <c r="CS174" s="51"/>
      <c r="CT174" s="51">
        <f>+(CT91-CR91)/CR91</f>
        <v>-0.14376410835214429</v>
      </c>
      <c r="CU174" s="51">
        <f>+(CU91-CT91)/CT91</f>
        <v>-0.10034602076124581</v>
      </c>
      <c r="CV174" s="51"/>
      <c r="CW174" s="51">
        <f>+(CW91-CU91)/CU91</f>
        <v>0.47527472527472509</v>
      </c>
      <c r="CX174" s="51">
        <f>+(CX91-CW91)/CW91</f>
        <v>-0.32983917306004917</v>
      </c>
      <c r="CY174" s="51"/>
      <c r="CZ174" s="51">
        <f>+(CZ91-CX91)/CX91</f>
        <v>1.0123577770327477</v>
      </c>
      <c r="DA174" s="51">
        <f>+(DA91-CZ91)/CZ91</f>
        <v>-0.40845070422535218</v>
      </c>
      <c r="DB174" s="51"/>
      <c r="DC174" s="51">
        <f>+(DC91-DA91)/DA91</f>
        <v>0.80625583566760073</v>
      </c>
      <c r="DD174" s="51">
        <f>+(DD91-DC91)/DC91</f>
        <v>-0.34694580856379792</v>
      </c>
      <c r="DE174" s="1080"/>
      <c r="DF174" s="51">
        <f>+(DF91-DD91)/DD91</f>
        <v>0.6464379947229556</v>
      </c>
      <c r="DG174" s="51">
        <f>+(DG91-DF91)/DF91</f>
        <v>-0.31530448717948717</v>
      </c>
      <c r="DH174" s="1080"/>
      <c r="DI174" s="51">
        <f>+(DI91-DG91)/DG91</f>
        <v>1.1203627852545348</v>
      </c>
      <c r="DJ174" s="51">
        <f>+(DJ91-DI91)/DI91</f>
        <v>-0.6782018379004886</v>
      </c>
      <c r="DK174" s="1080"/>
      <c r="DL174" s="51">
        <f>+(DL91-DJ91)/DJ91</f>
        <v>2.019123574307522</v>
      </c>
      <c r="DM174" s="51">
        <f>+(DM91-DL91)/DL91</f>
        <v>-0.71499176276771004</v>
      </c>
      <c r="DN174" s="1080"/>
      <c r="DO174" s="51">
        <f>+(DO91-DM91)/DM91</f>
        <v>2.2352003189156866</v>
      </c>
      <c r="DP174" s="51">
        <f>+(DP91-DO91)/DO91</f>
        <v>-0.6483272749676543</v>
      </c>
      <c r="DQ174" s="1080"/>
      <c r="DR174" s="51">
        <f>+(DR91-DP91)/DP91</f>
        <v>2.3304223545900467</v>
      </c>
      <c r="DS174" s="51">
        <f>+(DS91-DR91)/DR91</f>
        <v>-0.61020886908939764</v>
      </c>
      <c r="DT174" s="1080"/>
      <c r="DU174" s="51">
        <f>+(DU91-DS91)/DS91</f>
        <v>1.7085205928267353</v>
      </c>
      <c r="DV174" s="51">
        <f>+(DV91-DU91)/DU91</f>
        <v>-0.50423517688091646</v>
      </c>
      <c r="DW174" s="1080"/>
      <c r="DX174" s="51">
        <f>+(DX91-DV91)/DV91</f>
        <v>-0.59698492462311581</v>
      </c>
      <c r="DY174" s="51">
        <f>+(DY91-DX91)/DX91</f>
        <v>2.4235852923895091</v>
      </c>
      <c r="DZ174" s="1080"/>
      <c r="EA174" s="51">
        <f>+(EA91-DY91)/DY91</f>
        <v>0.44220489176241168</v>
      </c>
      <c r="EB174" s="51">
        <f>+(EB91-EA91)/EA91</f>
        <v>-0.29156173843221306</v>
      </c>
      <c r="EC174" s="1080"/>
      <c r="ED174" s="51">
        <f>+(ED91-EB91)/EB91</f>
        <v>0.54563005184642488</v>
      </c>
      <c r="EE174" s="51">
        <f>+(EE91-ED91)/ED91</f>
        <v>-0.29161178041023461</v>
      </c>
      <c r="EF174" s="1080"/>
      <c r="EG174" s="51">
        <f>+(EG91-EE91)/EE91</f>
        <v>0.5397868546816591</v>
      </c>
      <c r="EH174" s="51">
        <f>+(EH91-EG91)/EG91</f>
        <v>-0.27020264703539704</v>
      </c>
      <c r="EI174" s="1080"/>
      <c r="EJ174" s="51">
        <f>+(EJ91-EH91)/EH91</f>
        <v>0.49929531936001753</v>
      </c>
      <c r="EK174" s="51">
        <f>+(EK91-EJ91)/EJ91</f>
        <v>-0.24962563675095478</v>
      </c>
      <c r="EL174" s="1080"/>
      <c r="EM174" s="51">
        <f>+(EM91-EK91)/EK91</f>
        <v>0.46760835600031858</v>
      </c>
      <c r="EN174" s="51">
        <f>+(EN91-EM91)/EM91</f>
        <v>-0.24513444465825035</v>
      </c>
      <c r="EO174" s="1080"/>
      <c r="EP174" s="51">
        <f>+(EP91-EN91)/EN91</f>
        <v>0.44130415113793703</v>
      </c>
      <c r="EQ174" s="51">
        <f>+(EQ91-EP91)/EP91</f>
        <v>-0.22985620280608768</v>
      </c>
      <c r="ER174" s="1080"/>
      <c r="ES174" s="51">
        <f>+(ES91-EQ91)/EQ91</f>
        <v>0.39867302261720744</v>
      </c>
      <c r="ET174" s="51">
        <f>+(ET91-ES91)/ES91</f>
        <v>-0.21954351069234224</v>
      </c>
      <c r="EU174" s="1080"/>
      <c r="EV174" s="51">
        <f>+(EV91-ET91)/ET91</f>
        <v>0.36535458824244638</v>
      </c>
      <c r="EW174" s="51">
        <f>+(EW91-EV91)/EV91</f>
        <v>-0.21285876329914175</v>
      </c>
      <c r="EX174" s="1080"/>
      <c r="EY174" s="51">
        <f>+(EY91-EW91)/EW91</f>
        <v>0.35356071787225118</v>
      </c>
      <c r="EZ174" s="51">
        <f>+(EZ91-EY91)/EY91</f>
        <v>-0.20641642520016015</v>
      </c>
      <c r="FA174" s="1080"/>
      <c r="FD174"/>
      <c r="FE174"/>
      <c r="FF174"/>
      <c r="FG174"/>
      <c r="FH174"/>
      <c r="FI174"/>
    </row>
    <row r="175" spans="2:165" s="33" customFormat="1" outlineLevel="1">
      <c r="B175" s="54" t="s">
        <v>52</v>
      </c>
      <c r="C175" s="54"/>
      <c r="D175" s="2" t="s">
        <v>507</v>
      </c>
      <c r="E175" s="51"/>
      <c r="F175" s="51"/>
      <c r="G175" s="51"/>
      <c r="H175" s="51"/>
      <c r="I175" s="5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f>+(AO85-AM85)/AM85</f>
        <v>-0.57071908949818928</v>
      </c>
      <c r="AP175" s="51">
        <f>+(AP85-AO85)/AO85</f>
        <v>0.8241343295573228</v>
      </c>
      <c r="AQ175" s="51"/>
      <c r="AR175" s="51">
        <f>+(AR85-AP85)/AP85</f>
        <v>-0.21893855978859283</v>
      </c>
      <c r="AS175" s="51">
        <f>+(AS85-AR85)/AR85</f>
        <v>0.30652982970565057</v>
      </c>
      <c r="AT175" s="51"/>
      <c r="AU175" s="51">
        <f>+(AU85-AS85)/AS85</f>
        <v>-0.30047475183426869</v>
      </c>
      <c r="AV175" s="51">
        <f>+(AV85-AU85)/AU85</f>
        <v>0.72205083909180678</v>
      </c>
      <c r="AW175" s="51"/>
      <c r="AX175" s="51">
        <f>+(AX85-AV85)/AV85</f>
        <v>-0.33323779155171801</v>
      </c>
      <c r="AY175" s="51">
        <f>+(AY85-AX85)/AX85</f>
        <v>0.92326706072004316</v>
      </c>
      <c r="AZ175" s="51"/>
      <c r="BA175" s="51">
        <f>+(BA85-AY85)/AY85</f>
        <v>-0.23857286544479206</v>
      </c>
      <c r="BB175" s="51">
        <f>+(BB85-BA85)/BA85</f>
        <v>0.87091329394929029</v>
      </c>
      <c r="BC175" s="51"/>
      <c r="BD175" s="51">
        <f>+(BD85-BB85)/BB85</f>
        <v>0.12852043618106199</v>
      </c>
      <c r="BE175" s="51">
        <f>+(BE85-BD85)/BD85</f>
        <v>0.15164838984376341</v>
      </c>
      <c r="BF175" s="51"/>
      <c r="BG175" s="51">
        <f>+(BG85-BE85)/BE85</f>
        <v>-0.39487225919386715</v>
      </c>
      <c r="BH175" s="51">
        <f>+(BH85-BG85)/BG85</f>
        <v>-0.24381546134663343</v>
      </c>
      <c r="BI175" s="51"/>
      <c r="BJ175" s="51">
        <f>+(BJ85-BH85)/BH85</f>
        <v>-0.16294561883718625</v>
      </c>
      <c r="BK175" s="51"/>
      <c r="BL175" s="51"/>
      <c r="BM175" s="51"/>
      <c r="BN175" s="51">
        <f>+(BN85-BM85)/BM85</f>
        <v>1.4133694749267696</v>
      </c>
      <c r="BO175" s="51"/>
      <c r="BP175" s="51">
        <f>+(BP85-BN85)/BN85</f>
        <v>-0.54342700830989088</v>
      </c>
      <c r="BQ175" s="51">
        <f>+(BQ85-BP85)/BP85</f>
        <v>-1.1069985206010409E-2</v>
      </c>
      <c r="BR175" s="51"/>
      <c r="BS175" s="51">
        <f>+(BS85-BQ85)/BQ85</f>
        <v>0.47467186335759676</v>
      </c>
      <c r="BT175" s="51">
        <f>+(BT85-BS85)/BS85</f>
        <v>9.6107055961070928E-2</v>
      </c>
      <c r="BU175" s="51"/>
      <c r="BV175" s="51">
        <f>+(BV85-BT85)/BT85</f>
        <v>0.23656710860846808</v>
      </c>
      <c r="BW175" s="51">
        <f>+(BW85-BV85)/BV85</f>
        <v>1.2462434906288334E-2</v>
      </c>
      <c r="BX175" s="51"/>
      <c r="BY175" s="51">
        <f>+(BY85-BW85)/BW85</f>
        <v>0.42139324900728992</v>
      </c>
      <c r="BZ175" s="51">
        <f>+(BZ85-BY85)/BY85</f>
        <v>3.2240259675565083E-2</v>
      </c>
      <c r="CA175" s="51"/>
      <c r="CB175" s="51">
        <f>+(CB85-BZ85)/BZ85</f>
        <v>0.19179518065311929</v>
      </c>
      <c r="CC175" s="51">
        <f>+(CC85-CB85)/CB85</f>
        <v>-0.2946044179243727</v>
      </c>
      <c r="CD175" s="51"/>
      <c r="CE175" s="51">
        <f>+(CE85-CC85)/CC85</f>
        <v>0.1485808494467373</v>
      </c>
      <c r="CF175" s="51">
        <f>+(CF85-CE85)/CE85</f>
        <v>-0.11960656917525499</v>
      </c>
      <c r="CG175" s="51"/>
      <c r="CH175" s="51">
        <f>+(CH85-CF85)/CF85</f>
        <v>0.14513177076473849</v>
      </c>
      <c r="CI175" s="51">
        <f>+(CI85-CH85)/CH85</f>
        <v>3.0339083878643803E-2</v>
      </c>
      <c r="CJ175" s="51"/>
      <c r="CK175" s="51">
        <f>+(CK85-CI85)/CI85</f>
        <v>0.20207852193995357</v>
      </c>
      <c r="CL175" s="51">
        <f>+(CL85-CK85)/CK85</f>
        <v>-5.2673711175151523E-2</v>
      </c>
      <c r="CM175" s="51"/>
      <c r="CN175" s="51">
        <f>+(CN85-CL85)/CL85</f>
        <v>9.126246408652991E-2</v>
      </c>
      <c r="CO175" s="51">
        <f>+(CO85-CN85)/CN85</f>
        <v>2.4159826544834919E-2</v>
      </c>
      <c r="CP175" s="51"/>
      <c r="CQ175" s="51">
        <f>+(CQ85-CO85)/CO85</f>
        <v>4.6726145471042028E-2</v>
      </c>
      <c r="CR175" s="51">
        <f>+(CR85-CQ85)/CQ85</f>
        <v>2.3981508234614139E-2</v>
      </c>
      <c r="CS175" s="51"/>
      <c r="CT175" s="51">
        <f>+(CT85-CR85)/CR85</f>
        <v>-0.14376410835214429</v>
      </c>
      <c r="CU175" s="51">
        <f>+(CU85-CT85)/CT85</f>
        <v>-0.10034602076124581</v>
      </c>
      <c r="CV175" s="51"/>
      <c r="CW175" s="51">
        <f>+(CW85-CU85)/CU85</f>
        <v>0.47527472527472509</v>
      </c>
      <c r="CX175" s="51">
        <f>+(CX85-CW85)/CW85</f>
        <v>-0.32983917306004917</v>
      </c>
      <c r="CY175" s="51"/>
      <c r="CZ175" s="51">
        <f>+(CZ85-CX85)/CX85</f>
        <v>1.0123577770327477</v>
      </c>
      <c r="DA175" s="51">
        <f>+(DA85-CZ85)/CZ85</f>
        <v>-0.40845070422535218</v>
      </c>
      <c r="DB175" s="51"/>
      <c r="DC175" s="51">
        <f>+(DC85-DA85)/DA85</f>
        <v>0.80625583566760073</v>
      </c>
      <c r="DD175" s="51">
        <f>+(DD85-DC85)/DC85</f>
        <v>-0.34694580856379792</v>
      </c>
      <c r="DE175" s="1080"/>
      <c r="DF175" s="51">
        <f>+(DF85-DD85)/DD85</f>
        <v>0.6464379947229556</v>
      </c>
      <c r="DG175" s="51">
        <f>+(DG85-DF85)/DF85</f>
        <v>-0.31530448717948717</v>
      </c>
      <c r="DH175" s="1080"/>
      <c r="DI175" s="51">
        <f>+(DI85-DG85)/DG85</f>
        <v>1.1181977764774722</v>
      </c>
      <c r="DJ175" s="51">
        <f>+(DJ85-DI85)/DI85</f>
        <v>-0.67889502762430953</v>
      </c>
      <c r="DK175" s="1080"/>
      <c r="DL175" s="51">
        <f>+(DL85-DJ85)/DJ85</f>
        <v>2.0574673090158302</v>
      </c>
      <c r="DM175" s="51">
        <f>+(DM85-DL85)/DL85</f>
        <v>-0.66027011817670245</v>
      </c>
      <c r="DN175" s="1080"/>
      <c r="DO175" s="51">
        <f>+(DO85-DM85)/DM85</f>
        <v>2.012092098724533</v>
      </c>
      <c r="DP175" s="51">
        <f>+(DP85-DO85)/DO85</f>
        <v>-0.56467223933128008</v>
      </c>
      <c r="DQ175" s="1080"/>
      <c r="DR175" s="51">
        <f>+(DR85-DP85)/DP85</f>
        <v>1.5480104598281947</v>
      </c>
      <c r="DS175" s="51">
        <f>+(DS85-DR85)/DR85</f>
        <v>-0.55875424964224674</v>
      </c>
      <c r="DT175" s="1080"/>
      <c r="DU175" s="51">
        <f>+(DU85-DS85)/DS85</f>
        <v>1.330350379977449</v>
      </c>
      <c r="DV175" s="51">
        <f>+(DV85-DU85)/DU85</f>
        <v>-0.44792671166827353</v>
      </c>
      <c r="DW175" s="1080"/>
      <c r="DX175" s="51">
        <f>+(DX85-DV85)/DV85</f>
        <v>0.69956331877729194</v>
      </c>
      <c r="DY175" s="51">
        <f>+(DY85-DX85)/DX85</f>
        <v>-0.24108031744697164</v>
      </c>
      <c r="DZ175" s="1080"/>
      <c r="EA175" s="51">
        <f>+(EA85-DY85)/DY85</f>
        <v>0.43814945112370057</v>
      </c>
      <c r="EB175" s="51">
        <f>+(EB85-EA85)/EA85</f>
        <v>-0.28403569034440129</v>
      </c>
      <c r="EC175" s="1080"/>
      <c r="ED175" s="51">
        <f>+(ED85-EB85)/EB85</f>
        <v>0.52038826465225729</v>
      </c>
      <c r="EE175" s="51">
        <f>+(EE85-ED85)/ED85</f>
        <v>-0.28469479524973007</v>
      </c>
      <c r="EF175" s="1080"/>
      <c r="EG175" s="51">
        <f>+(EG85-EE85)/EE85</f>
        <v>0.51699382444515651</v>
      </c>
      <c r="EH175" s="51">
        <f>+(EH85-EG85)/EG85</f>
        <v>-0.26505705982229527</v>
      </c>
      <c r="EI175" s="1080"/>
      <c r="EJ175" s="51">
        <f>+(EJ85-EH85)/EH85</f>
        <v>0.48144274449345259</v>
      </c>
      <c r="EK175" s="51">
        <f>+(EK85-EJ85)/EJ85</f>
        <v>-0.2459843891420502</v>
      </c>
      <c r="EL175" s="1080"/>
      <c r="EM175" s="51">
        <f>+(EM85-EK85)/EK85</f>
        <v>0.45344162161892015</v>
      </c>
      <c r="EN175" s="51">
        <f>+(EN85-EM85)/EM85</f>
        <v>-0.24202793373055925</v>
      </c>
      <c r="EO175" s="1080"/>
      <c r="EP175" s="51">
        <f>+(EP85-EN85)/EN85</f>
        <v>0.42981276418293635</v>
      </c>
      <c r="EQ175" s="51">
        <f>+(EQ85-EP85)/EP85</f>
        <v>-0.22766792444314599</v>
      </c>
      <c r="ER175" s="1080"/>
      <c r="ES175" s="51">
        <f>+(ES85-EQ85)/EQ85</f>
        <v>0.39027456304898112</v>
      </c>
      <c r="ET175" s="51">
        <f>+(ET85-ES85)/ES85</f>
        <v>-0.21793184205696448</v>
      </c>
      <c r="EU175" s="1080"/>
      <c r="EV175" s="51">
        <f>+(EV85-ET85)/ET85</f>
        <v>0.35907349924136162</v>
      </c>
      <c r="EW175" s="51">
        <f>+(EW85-EV85)/EV85</f>
        <v>-0.21160243425828193</v>
      </c>
      <c r="EX175" s="1080"/>
      <c r="EY175" s="51">
        <f>+(EY85-EW85)/EW85</f>
        <v>0.3481754529376756</v>
      </c>
      <c r="EZ175" s="51">
        <f>+(EZ85-EY85)/EY85</f>
        <v>-0.20547016802947768</v>
      </c>
      <c r="FA175" s="1080"/>
      <c r="FD175"/>
      <c r="FE175"/>
      <c r="FF175"/>
      <c r="FG175"/>
      <c r="FH175"/>
      <c r="FI175"/>
    </row>
    <row r="176" spans="2:165" s="33" customFormat="1" outlineLevel="1">
      <c r="B176" s="54" t="s">
        <v>71</v>
      </c>
      <c r="C176" s="54"/>
      <c r="D176" s="2" t="s">
        <v>507</v>
      </c>
      <c r="E176" s="51"/>
      <c r="F176" s="51"/>
      <c r="G176" s="51"/>
      <c r="H176" s="51"/>
      <c r="I176" s="5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f>+AL30/AN30</f>
        <v>0</v>
      </c>
      <c r="AM176" s="51">
        <f>+AM30/AN30</f>
        <v>1</v>
      </c>
      <c r="AN176" s="51"/>
      <c r="AO176" s="51">
        <f>+AO30/AQ30</f>
        <v>0.43113346426100735</v>
      </c>
      <c r="AP176" s="51">
        <f>+AP30/AQ30</f>
        <v>0.56886653573899271</v>
      </c>
      <c r="AQ176" s="51"/>
      <c r="AR176" s="51">
        <f>+AR30/AT30</f>
        <v>0.44220079153358927</v>
      </c>
      <c r="AS176" s="51">
        <f>+AS30/AT30</f>
        <v>0.55779920846641073</v>
      </c>
      <c r="AT176" s="51"/>
      <c r="AU176" s="51">
        <f>+AU30/AW30</f>
        <v>0.45835862732815602</v>
      </c>
      <c r="AV176" s="51">
        <f>+AV30/AW30</f>
        <v>0.54164137267184398</v>
      </c>
      <c r="AW176" s="51"/>
      <c r="AX176" s="51">
        <f>+AX30/AZ30</f>
        <v>0.46394790922285495</v>
      </c>
      <c r="AY176" s="51">
        <f>+AY30/AZ30</f>
        <v>0.536052090777145</v>
      </c>
      <c r="AZ176" s="51"/>
      <c r="BA176" s="51"/>
      <c r="BB176" s="51"/>
      <c r="BC176" s="51"/>
      <c r="BD176" s="51">
        <f>+BD30/BF30</f>
        <v>0.4368337009380957</v>
      </c>
      <c r="BE176" s="51">
        <f>+BE30/BF30</f>
        <v>0.5631662990619043</v>
      </c>
      <c r="BF176" s="51"/>
      <c r="BG176" s="51">
        <f>+BG30/BI30</f>
        <v>0.49206363854487734</v>
      </c>
      <c r="BH176" s="51">
        <f>+BH30/BI30</f>
        <v>0.50793636145512266</v>
      </c>
      <c r="BI176" s="51"/>
      <c r="BJ176" s="51">
        <f>+BJ30/BL30</f>
        <v>0.3854923899948855</v>
      </c>
      <c r="BK176" s="51">
        <f>+BK30/BL30</f>
        <v>0.61450761000511456</v>
      </c>
      <c r="BL176" s="51"/>
      <c r="BM176" s="51">
        <f>+BM30/BO30</f>
        <v>0.51424725102493363</v>
      </c>
      <c r="BN176" s="51">
        <f>+BN30/BO30</f>
        <v>0.48575274897506637</v>
      </c>
      <c r="BO176" s="51"/>
      <c r="BP176" s="51"/>
      <c r="BQ176" s="51"/>
      <c r="BR176" s="51"/>
      <c r="BS176" s="51"/>
      <c r="BT176" s="51"/>
      <c r="BU176" s="51"/>
      <c r="BV176" s="51">
        <f>+BV30/BX30</f>
        <v>0.47571464779700823</v>
      </c>
      <c r="BW176" s="51">
        <f>+BW30/BX30</f>
        <v>0.52428535220299177</v>
      </c>
      <c r="BX176" s="51"/>
      <c r="BY176" s="51">
        <f>+BY30/CA30</f>
        <v>0.51298734724836015</v>
      </c>
      <c r="BZ176" s="51">
        <f>+BZ30/CA30</f>
        <v>0.48701265275163985</v>
      </c>
      <c r="CA176" s="51"/>
      <c r="CB176" s="51">
        <f>+CB30/CD30</f>
        <v>0.5148256346440675</v>
      </c>
      <c r="CC176" s="51">
        <f>+CC30/CD30</f>
        <v>0.4851743653559325</v>
      </c>
      <c r="CD176" s="51"/>
      <c r="CE176" s="51">
        <f>+CE30/CG30</f>
        <v>0.48209039986397417</v>
      </c>
      <c r="CF176" s="51">
        <f>+CF30/CG30</f>
        <v>0.51790960013602594</v>
      </c>
      <c r="CG176" s="51"/>
      <c r="CH176" s="51">
        <f>+CH30/CJ30</f>
        <v>0.49869422893387994</v>
      </c>
      <c r="CI176" s="51">
        <f>+CI30/CJ30</f>
        <v>0.50130577106612006</v>
      </c>
      <c r="CJ176" s="51"/>
      <c r="CK176" s="51">
        <f>+CK30/CM30</f>
        <v>0.5024291906057855</v>
      </c>
      <c r="CL176" s="51">
        <f>+CL30/CM30</f>
        <v>0.49757080939421444</v>
      </c>
      <c r="CM176" s="51"/>
      <c r="CN176" s="51">
        <f>+CN30/CP30</f>
        <v>0.48252980430381648</v>
      </c>
      <c r="CO176" s="51">
        <f>+CO30/CP30</f>
        <v>0.51747019569618347</v>
      </c>
      <c r="CP176" s="51"/>
      <c r="CQ176" s="51">
        <f>+CQ30/CS30</f>
        <v>0.50678223572513614</v>
      </c>
      <c r="CR176" s="51">
        <f>+CR30/CS30</f>
        <v>0.49321776427486391</v>
      </c>
      <c r="CS176" s="51"/>
      <c r="CT176" s="51">
        <f>+CT30/CV30</f>
        <v>0.51783659543547889</v>
      </c>
      <c r="CU176" s="51">
        <f>+CU30/CV30</f>
        <v>0.48216340456452106</v>
      </c>
      <c r="CV176" s="51"/>
      <c r="CW176" s="51">
        <f>+CW30/CY30</f>
        <v>0.53401835298310218</v>
      </c>
      <c r="CX176" s="51">
        <f>+CX30/CY30</f>
        <v>0.46598164701689782</v>
      </c>
      <c r="CY176" s="51"/>
      <c r="CZ176" s="51">
        <f>+CZ30/DB30</f>
        <v>0.5253403467320078</v>
      </c>
      <c r="DA176" s="51">
        <f>+DA30/DB30</f>
        <v>0.47465965326799209</v>
      </c>
      <c r="DB176" s="51"/>
      <c r="DC176" s="51">
        <f>+DC30/DE30</f>
        <v>0.52689595934290112</v>
      </c>
      <c r="DD176" s="51">
        <f>+DD30/DE30</f>
        <v>0.47310404065709899</v>
      </c>
      <c r="DE176" s="1080"/>
      <c r="DF176" s="51">
        <f>+DF30/DH30</f>
        <v>0.53422903639454011</v>
      </c>
      <c r="DG176" s="51">
        <f>+DG30/DH30</f>
        <v>0.46577096360545978</v>
      </c>
      <c r="DH176" s="1080"/>
      <c r="DI176" s="51">
        <f>+DI30/DK30</f>
        <v>0.55884091796063928</v>
      </c>
      <c r="DJ176" s="51">
        <f>+DJ30/DK30</f>
        <v>0.44115908203936077</v>
      </c>
      <c r="DK176" s="1080"/>
      <c r="DL176" s="51">
        <f>+DL30/DN30</f>
        <v>0.57161261575419431</v>
      </c>
      <c r="DM176" s="51">
        <f>+DM30/DN30</f>
        <v>0.42838738424580569</v>
      </c>
      <c r="DN176" s="1061"/>
      <c r="DO176" s="51">
        <f>+DO30/DQ30</f>
        <v>0.54311367895065588</v>
      </c>
      <c r="DP176" s="51">
        <f>+DP30/DQ30</f>
        <v>0.45688632104934418</v>
      </c>
      <c r="DQ176" s="1080"/>
      <c r="DR176" s="51">
        <f>+DR30/DT30</f>
        <v>0.54645382622698313</v>
      </c>
      <c r="DS176" s="51">
        <f>+DS30/DT30</f>
        <v>0.45354617377301687</v>
      </c>
      <c r="DT176" s="1080"/>
      <c r="DU176" s="51">
        <f>+DU30/DW30</f>
        <v>0.54637806254564769</v>
      </c>
      <c r="DV176" s="51">
        <f>+DV30/DW30</f>
        <v>0.45362193745435231</v>
      </c>
      <c r="DW176" s="1080"/>
      <c r="DX176" s="51">
        <f>+DX30/DZ30</f>
        <v>0.52283401801284679</v>
      </c>
      <c r="DY176" s="51">
        <f>+DY30/DZ30</f>
        <v>0.4771659819871531</v>
      </c>
      <c r="DZ176" s="1080"/>
      <c r="EA176" s="51">
        <f>+EA30/EC30</f>
        <v>0.52916361183477822</v>
      </c>
      <c r="EB176" s="51">
        <f>+EB30/EC30</f>
        <v>0.47083638816522183</v>
      </c>
      <c r="EC176" s="1080"/>
      <c r="ED176" s="51">
        <f>+ED30/EF30</f>
        <v>0.52492605569935125</v>
      </c>
      <c r="EE176" s="51">
        <f>+EE30/EF30</f>
        <v>0.47507394430064864</v>
      </c>
      <c r="EF176" s="1080"/>
      <c r="EG176" s="51">
        <f>+EG30/EI30</f>
        <v>0.52298858929772341</v>
      </c>
      <c r="EH176" s="51">
        <f>+EH30/EI30</f>
        <v>0.47701141070227665</v>
      </c>
      <c r="EI176" s="1080"/>
      <c r="EJ176" s="51">
        <f>+EJ30/EL30</f>
        <v>0.52090763998878509</v>
      </c>
      <c r="EK176" s="51">
        <f>+EK30/EL30</f>
        <v>0.47909236001121497</v>
      </c>
      <c r="EL176" s="1080"/>
      <c r="EM176" s="51">
        <f>+EM30/EO30</f>
        <v>0.52062031349837723</v>
      </c>
      <c r="EN176" s="51">
        <f>+EN30/EO30</f>
        <v>0.47937968650162283</v>
      </c>
      <c r="EO176" s="1080"/>
      <c r="EP176" s="51">
        <f>+EP30/ER30</f>
        <v>0.51941560599722236</v>
      </c>
      <c r="EQ176" s="51">
        <f>+EQ30/ER30</f>
        <v>0.48058439400277764</v>
      </c>
      <c r="ER176" s="1080"/>
      <c r="ES176" s="51">
        <f>+ES30/EU30</f>
        <v>0.51847638548479247</v>
      </c>
      <c r="ET176" s="51">
        <f>+ET30/EU30</f>
        <v>0.48152361451520764</v>
      </c>
      <c r="EU176" s="1080"/>
      <c r="EV176" s="51">
        <f>+EV30/EX30</f>
        <v>0.51754965414982068</v>
      </c>
      <c r="EW176" s="51">
        <f>+EW30/EX30</f>
        <v>0.48245034585017926</v>
      </c>
      <c r="EX176" s="1080"/>
      <c r="EY176" s="51">
        <f>+EY30/FA30</f>
        <v>0.51663593712439104</v>
      </c>
      <c r="EZ176" s="51">
        <f>+EZ30/FA30</f>
        <v>0.4833640628756089</v>
      </c>
      <c r="FA176" s="1080"/>
      <c r="FD176"/>
      <c r="FE176"/>
      <c r="FF176"/>
      <c r="FG176"/>
      <c r="FH176"/>
      <c r="FI176"/>
    </row>
    <row r="177" spans="1:169" s="33" customFormat="1">
      <c r="B177" s="54" t="s">
        <v>72</v>
      </c>
      <c r="C177" s="54"/>
      <c r="D177" s="2" t="s">
        <v>507</v>
      </c>
      <c r="E177" s="51"/>
      <c r="F177" s="51"/>
      <c r="G177" s="51"/>
      <c r="H177" s="51"/>
      <c r="I177" s="5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f>+AL73/AN73</f>
        <v>0</v>
      </c>
      <c r="AM177" s="51">
        <f>+AM73/AN73</f>
        <v>1</v>
      </c>
      <c r="AN177" s="51"/>
      <c r="AO177" s="51">
        <f>+AO73/AQ73</f>
        <v>0.34695702816256918</v>
      </c>
      <c r="AP177" s="51">
        <f>+AP73/AQ73</f>
        <v>0.65304297183743076</v>
      </c>
      <c r="AQ177" s="51"/>
      <c r="AR177" s="51">
        <f>+AR73/AT73</f>
        <v>0.34566824060767809</v>
      </c>
      <c r="AS177" s="51">
        <f>+AS73/AT73</f>
        <v>0.65433175939232191</v>
      </c>
      <c r="AT177" s="51"/>
      <c r="AU177" s="51">
        <f>+AU73/AW73</f>
        <v>0.34501622219312406</v>
      </c>
      <c r="AV177" s="51">
        <f>+AV73/AW73</f>
        <v>0.65498377780687589</v>
      </c>
      <c r="AW177" s="51"/>
      <c r="AX177" s="51">
        <f>+AX73/AZ73</f>
        <v>0.33454300378454038</v>
      </c>
      <c r="AY177" s="51">
        <f>+AY73/AZ73</f>
        <v>0.66545699621545962</v>
      </c>
      <c r="AZ177" s="51"/>
      <c r="BA177" s="51">
        <f>+BA73/BC73</f>
        <v>0.34131149835537827</v>
      </c>
      <c r="BB177" s="51">
        <f>+BB73/BC73</f>
        <v>0.65868850164462178</v>
      </c>
      <c r="BC177" s="51"/>
      <c r="BD177" s="51">
        <f>+BD73/BF73</f>
        <v>0.47597014203492027</v>
      </c>
      <c r="BE177" s="51">
        <f>+BE73/BF73</f>
        <v>0.52402985796507973</v>
      </c>
      <c r="BF177" s="51"/>
      <c r="BG177" s="51">
        <f>+BG73/BI73</f>
        <v>0.53653091247809925</v>
      </c>
      <c r="BH177" s="51">
        <f>+BH73/BI73</f>
        <v>0.46346908752190075</v>
      </c>
      <c r="BI177" s="51"/>
      <c r="BJ177" s="51"/>
      <c r="BK177" s="51"/>
      <c r="BL177" s="51"/>
      <c r="BM177" s="51"/>
      <c r="BN177" s="51">
        <f>+BN73/BO73</f>
        <v>0</v>
      </c>
      <c r="BO177" s="51"/>
      <c r="BP177" s="51">
        <f>+BP73/BR73</f>
        <v>0.52922445445031463</v>
      </c>
      <c r="BQ177" s="51">
        <f>+BQ73/BR73</f>
        <v>0.47077554554968543</v>
      </c>
      <c r="BR177" s="51"/>
      <c r="BS177" s="51">
        <f>+BS73/BU73</f>
        <v>0.49704922620902853</v>
      </c>
      <c r="BT177" s="51">
        <f>+BT73/BU73</f>
        <v>0.50295077379097153</v>
      </c>
      <c r="BU177" s="51"/>
      <c r="BV177" s="51">
        <f>+BV73/BX73</f>
        <v>0.51719607508444154</v>
      </c>
      <c r="BW177" s="51">
        <f>+BW73/BX73</f>
        <v>0.48280392491555846</v>
      </c>
      <c r="BX177" s="51"/>
      <c r="BY177" s="51">
        <f>+BY73/CA73</f>
        <v>0.49931183611558377</v>
      </c>
      <c r="BZ177" s="51">
        <f>+BZ73/CA73</f>
        <v>0.50068816388441617</v>
      </c>
      <c r="CA177" s="51"/>
      <c r="CB177" s="51">
        <f>+CB73/CD73</f>
        <v>0.58662822270870751</v>
      </c>
      <c r="CC177" s="51">
        <f>+CC73/CD73</f>
        <v>0.41337177729129254</v>
      </c>
      <c r="CD177" s="51"/>
      <c r="CE177" s="51">
        <f>+CE73/CG73</f>
        <v>0.5375644746231949</v>
      </c>
      <c r="CF177" s="51">
        <f>+CF73/CG73</f>
        <v>0.4624355253768051</v>
      </c>
      <c r="CG177" s="51"/>
      <c r="CH177" s="51">
        <f>+CH73/CJ73</f>
        <v>0.50745596940980664</v>
      </c>
      <c r="CI177" s="51">
        <f>+CI73/CJ73</f>
        <v>0.49254403059019342</v>
      </c>
      <c r="CJ177" s="51"/>
      <c r="CK177" s="51">
        <f>+CK73/CM73</f>
        <v>0.53044685953614901</v>
      </c>
      <c r="CL177" s="51">
        <f>+CL73/CM73</f>
        <v>0.46955314046385099</v>
      </c>
      <c r="CM177" s="51"/>
      <c r="CN177" s="51">
        <f>+CN73/CP73</f>
        <v>0.49963352064500366</v>
      </c>
      <c r="CO177" s="51">
        <f>+CO73/CP73</f>
        <v>0.50036647935499634</v>
      </c>
      <c r="CP177" s="51"/>
      <c r="CQ177" s="51">
        <f>+CQ73/CS73</f>
        <v>0.49342696629213478</v>
      </c>
      <c r="CR177" s="51">
        <f>+CR73/CS73</f>
        <v>0.50657303370786522</v>
      </c>
      <c r="CS177" s="51"/>
      <c r="CT177" s="51">
        <f>+CT73/CV73</f>
        <v>0.52980045796532549</v>
      </c>
      <c r="CU177" s="51">
        <f>+CU73/CV73</f>
        <v>0.47019954203467457</v>
      </c>
      <c r="CV177" s="51"/>
      <c r="CW177" s="51"/>
      <c r="CX177" s="51"/>
      <c r="CY177" s="51"/>
      <c r="CZ177" s="51"/>
      <c r="DA177" s="51"/>
      <c r="DE177" s="1169"/>
      <c r="DH177" s="1169"/>
      <c r="DI177" s="51"/>
      <c r="DJ177" s="51"/>
      <c r="DK177" s="1170"/>
      <c r="DL177" s="51">
        <f>+DL73/DN73</f>
        <v>0.72394757040197244</v>
      </c>
      <c r="DM177" s="51">
        <f>+DM73/DN73</f>
        <v>0.27605242959802756</v>
      </c>
      <c r="DN177" s="1080"/>
      <c r="DO177" s="51">
        <f>+DO73/DQ73</f>
        <v>0.65786318150251144</v>
      </c>
      <c r="DP177" s="51">
        <f>+DP73/DQ73</f>
        <v>0.34213681849748862</v>
      </c>
      <c r="DQ177" s="1080"/>
      <c r="DR177" s="51">
        <f>+DR73/DT73</f>
        <v>0.66594569068685983</v>
      </c>
      <c r="DS177" s="51">
        <f>+DS73/DT73</f>
        <v>0.33405430931314017</v>
      </c>
      <c r="DT177" s="1080"/>
      <c r="DU177" s="51">
        <f>+DU73/DW73</f>
        <v>0.64413607878245305</v>
      </c>
      <c r="DV177" s="51">
        <f>+DV73/DW73</f>
        <v>0.35586392121754701</v>
      </c>
      <c r="DW177" s="1080"/>
      <c r="DX177" s="51">
        <f>+DX73/DZ73</f>
        <v>0.57249997683390597</v>
      </c>
      <c r="DY177" s="51">
        <f>+DY73/DZ73</f>
        <v>0.42750002316609398</v>
      </c>
      <c r="DZ177" s="1080"/>
      <c r="EA177" s="51">
        <f>+EA73/EC73</f>
        <v>0.57440805572415665</v>
      </c>
      <c r="EB177" s="51">
        <f>+EB73/EC73</f>
        <v>0.42559194427584329</v>
      </c>
      <c r="EC177" s="1080"/>
      <c r="ED177" s="51">
        <f>+ED73/EF73</f>
        <v>0.57492422038517299</v>
      </c>
      <c r="EE177" s="51">
        <f>+EE73/EF73</f>
        <v>0.42507577961482707</v>
      </c>
      <c r="EF177" s="1080"/>
      <c r="EG177" s="51">
        <f>+EG73/EI73</f>
        <v>0.56997616317194788</v>
      </c>
      <c r="EH177" s="51">
        <f>+EH73/EI73</f>
        <v>0.43002383682805212</v>
      </c>
      <c r="EI177" s="1080"/>
      <c r="EJ177" s="51">
        <f>+EJ73/EL73</f>
        <v>0.56521097992914182</v>
      </c>
      <c r="EK177" s="51">
        <f>+EK73/EL73</f>
        <v>0.43478902007085823</v>
      </c>
      <c r="EL177" s="1080"/>
      <c r="EM177" s="51">
        <f>+EM73/EO73</f>
        <v>0.56489425088160994</v>
      </c>
      <c r="EN177" s="51">
        <f>+EN73/EO73</f>
        <v>0.43510574911839001</v>
      </c>
      <c r="EO177" s="1080"/>
      <c r="EP177" s="51">
        <f>+EP73/ER73</f>
        <v>0.56136291910224856</v>
      </c>
      <c r="EQ177" s="51">
        <f>+EQ73/ER73</f>
        <v>0.43863708089775139</v>
      </c>
      <c r="ER177" s="1080"/>
      <c r="ES177" s="51">
        <f>+ES73/EU73</f>
        <v>0.55909153867139916</v>
      </c>
      <c r="ET177" s="51">
        <f>+ET73/EU73</f>
        <v>0.44090846132860079</v>
      </c>
      <c r="EU177" s="1080"/>
      <c r="EV177" s="51">
        <f>+EV73/EX73</f>
        <v>0.55774945941665122</v>
      </c>
      <c r="EW177" s="51">
        <f>+EW73/EX73</f>
        <v>0.44225054058334884</v>
      </c>
      <c r="EX177" s="1080"/>
      <c r="EY177" s="51">
        <f>+EY73/FA73</f>
        <v>0.55642856282013375</v>
      </c>
      <c r="EZ177" s="51">
        <f>+EZ73/FA73</f>
        <v>0.44357143717986619</v>
      </c>
      <c r="FA177" s="1080"/>
      <c r="FD177"/>
      <c r="FE177"/>
      <c r="FF177"/>
      <c r="FG177"/>
      <c r="FH177"/>
      <c r="FI177"/>
    </row>
    <row r="178" spans="1:169" s="1171" customFormat="1">
      <c r="A178" s="48" t="s">
        <v>358</v>
      </c>
      <c r="B178" s="48"/>
      <c r="C178" s="1036"/>
      <c r="D178" s="49" t="str">
        <f t="shared" ref="D178:AI178" si="477">+D4</f>
        <v xml:space="preserve">Year ending Jun </v>
      </c>
      <c r="E178" s="49" t="str">
        <f t="shared" si="477"/>
        <v>1h85</v>
      </c>
      <c r="F178" s="49" t="str">
        <f t="shared" si="477"/>
        <v>2h85</v>
      </c>
      <c r="G178" s="49" t="str">
        <f t="shared" si="477"/>
        <v>1985</v>
      </c>
      <c r="H178" s="49" t="str">
        <f t="shared" si="477"/>
        <v>1h86</v>
      </c>
      <c r="I178" s="49" t="str">
        <f t="shared" si="477"/>
        <v>2h86</v>
      </c>
      <c r="J178" s="49" t="str">
        <f t="shared" si="477"/>
        <v>1986</v>
      </c>
      <c r="K178" s="49" t="str">
        <f t="shared" si="477"/>
        <v>1h87</v>
      </c>
      <c r="L178" s="49" t="str">
        <f t="shared" si="477"/>
        <v>2h87</v>
      </c>
      <c r="M178" s="49" t="str">
        <f t="shared" si="477"/>
        <v>1987</v>
      </c>
      <c r="N178" s="49" t="str">
        <f t="shared" si="477"/>
        <v>1h88</v>
      </c>
      <c r="O178" s="49" t="str">
        <f t="shared" si="477"/>
        <v>2h88</v>
      </c>
      <c r="P178" s="49" t="str">
        <f t="shared" si="477"/>
        <v>1988</v>
      </c>
      <c r="Q178" s="49" t="str">
        <f t="shared" si="477"/>
        <v>1h89</v>
      </c>
      <c r="R178" s="49" t="str">
        <f t="shared" si="477"/>
        <v>2h89</v>
      </c>
      <c r="S178" s="49" t="str">
        <f t="shared" si="477"/>
        <v>1989</v>
      </c>
      <c r="T178" s="49" t="str">
        <f t="shared" si="477"/>
        <v>1h90</v>
      </c>
      <c r="U178" s="49" t="str">
        <f t="shared" si="477"/>
        <v>2h90</v>
      </c>
      <c r="V178" s="49" t="str">
        <f t="shared" si="477"/>
        <v>1990</v>
      </c>
      <c r="W178" s="49" t="str">
        <f t="shared" si="477"/>
        <v>1h91</v>
      </c>
      <c r="X178" s="49" t="str">
        <f t="shared" si="477"/>
        <v>2h91</v>
      </c>
      <c r="Y178" s="49" t="str">
        <f t="shared" si="477"/>
        <v>1991</v>
      </c>
      <c r="Z178" s="49" t="str">
        <f t="shared" si="477"/>
        <v>1h92</v>
      </c>
      <c r="AA178" s="49" t="str">
        <f t="shared" si="477"/>
        <v>2h92</v>
      </c>
      <c r="AB178" s="49" t="str">
        <f t="shared" si="477"/>
        <v>1992</v>
      </c>
      <c r="AC178" s="49" t="str">
        <f t="shared" si="477"/>
        <v>1h93</v>
      </c>
      <c r="AD178" s="49" t="str">
        <f t="shared" si="477"/>
        <v>2h93</v>
      </c>
      <c r="AE178" s="49" t="str">
        <f t="shared" si="477"/>
        <v>1993</v>
      </c>
      <c r="AF178" s="49" t="str">
        <f t="shared" si="477"/>
        <v>1h94</v>
      </c>
      <c r="AG178" s="49" t="str">
        <f t="shared" si="477"/>
        <v>2h94</v>
      </c>
      <c r="AH178" s="49" t="str">
        <f t="shared" si="477"/>
        <v>1994</v>
      </c>
      <c r="AI178" s="49" t="str">
        <f t="shared" si="477"/>
        <v>1h95</v>
      </c>
      <c r="AJ178" s="49" t="str">
        <f t="shared" ref="AJ178:BO178" si="478">+AJ4</f>
        <v>2h95</v>
      </c>
      <c r="AK178" s="49" t="str">
        <f t="shared" si="478"/>
        <v>1995</v>
      </c>
      <c r="AL178" s="49" t="str">
        <f t="shared" si="478"/>
        <v>1h96</v>
      </c>
      <c r="AM178" s="49" t="str">
        <f t="shared" si="478"/>
        <v>2h96</v>
      </c>
      <c r="AN178" s="49" t="str">
        <f t="shared" si="478"/>
        <v>1996</v>
      </c>
      <c r="AO178" s="49" t="str">
        <f t="shared" si="478"/>
        <v>1h97</v>
      </c>
      <c r="AP178" s="49" t="str">
        <f t="shared" si="478"/>
        <v>2h97</v>
      </c>
      <c r="AQ178" s="49" t="str">
        <f t="shared" si="478"/>
        <v>1997</v>
      </c>
      <c r="AR178" s="49" t="str">
        <f t="shared" si="478"/>
        <v>1h98</v>
      </c>
      <c r="AS178" s="49" t="str">
        <f t="shared" si="478"/>
        <v>2h98</v>
      </c>
      <c r="AT178" s="49" t="str">
        <f t="shared" si="478"/>
        <v>1998a</v>
      </c>
      <c r="AU178" s="49" t="str">
        <f t="shared" si="478"/>
        <v>1h99</v>
      </c>
      <c r="AV178" s="49" t="str">
        <f t="shared" si="478"/>
        <v>2h99</v>
      </c>
      <c r="AW178" s="49" t="str">
        <f t="shared" si="478"/>
        <v>1999a</v>
      </c>
      <c r="AX178" s="49" t="str">
        <f t="shared" si="478"/>
        <v>1h00</v>
      </c>
      <c r="AY178" s="49" t="str">
        <f t="shared" si="478"/>
        <v>2h00</v>
      </c>
      <c r="AZ178" s="49" t="str">
        <f t="shared" si="478"/>
        <v>2000a</v>
      </c>
      <c r="BA178" s="49" t="str">
        <f t="shared" si="478"/>
        <v>1h01</v>
      </c>
      <c r="BB178" s="49" t="str">
        <f t="shared" si="478"/>
        <v>2h01</v>
      </c>
      <c r="BC178" s="49" t="str">
        <f t="shared" si="478"/>
        <v>2001a</v>
      </c>
      <c r="BD178" s="49" t="str">
        <f t="shared" si="478"/>
        <v>1h02</v>
      </c>
      <c r="BE178" s="49" t="str">
        <f t="shared" si="478"/>
        <v>2h02f</v>
      </c>
      <c r="BF178" s="49" t="str">
        <f t="shared" si="478"/>
        <v>2002</v>
      </c>
      <c r="BG178" s="49" t="str">
        <f t="shared" si="478"/>
        <v>1h03</v>
      </c>
      <c r="BH178" s="49" t="str">
        <f t="shared" si="478"/>
        <v>2h03</v>
      </c>
      <c r="BI178" s="49" t="str">
        <f t="shared" si="478"/>
        <v>2003</v>
      </c>
      <c r="BJ178" s="49" t="str">
        <f t="shared" si="478"/>
        <v>1h04</v>
      </c>
      <c r="BK178" s="49" t="str">
        <f t="shared" si="478"/>
        <v>2h04</v>
      </c>
      <c r="BL178" s="49" t="str">
        <f t="shared" si="478"/>
        <v>2004</v>
      </c>
      <c r="BM178" s="49" t="str">
        <f t="shared" si="478"/>
        <v>1h05</v>
      </c>
      <c r="BN178" s="49" t="str">
        <f t="shared" si="478"/>
        <v>2h05</v>
      </c>
      <c r="BO178" s="49" t="str">
        <f t="shared" si="478"/>
        <v>2005</v>
      </c>
      <c r="BP178" s="49" t="str">
        <f t="shared" ref="BP178:CU178" si="479">+BP4</f>
        <v>1h06</v>
      </c>
      <c r="BQ178" s="49" t="str">
        <f t="shared" si="479"/>
        <v>2h06</v>
      </c>
      <c r="BR178" s="49" t="str">
        <f t="shared" si="479"/>
        <v>2006</v>
      </c>
      <c r="BS178" s="49" t="str">
        <f t="shared" si="479"/>
        <v>1h07</v>
      </c>
      <c r="BT178" s="49" t="str">
        <f t="shared" si="479"/>
        <v>2h07</v>
      </c>
      <c r="BU178" s="49" t="str">
        <f t="shared" si="479"/>
        <v>2007</v>
      </c>
      <c r="BV178" s="49" t="str">
        <f t="shared" si="479"/>
        <v>1h08</v>
      </c>
      <c r="BW178" s="49" t="str">
        <f t="shared" si="479"/>
        <v>2h08</v>
      </c>
      <c r="BX178" s="49" t="str">
        <f t="shared" si="479"/>
        <v>2008</v>
      </c>
      <c r="BY178" s="49" t="str">
        <f t="shared" si="479"/>
        <v>1h09</v>
      </c>
      <c r="BZ178" s="49" t="str">
        <f t="shared" si="479"/>
        <v>2h09</v>
      </c>
      <c r="CA178" s="49" t="str">
        <f t="shared" si="479"/>
        <v>2009</v>
      </c>
      <c r="CB178" s="49" t="str">
        <f t="shared" si="479"/>
        <v>1h10</v>
      </c>
      <c r="CC178" s="49" t="str">
        <f t="shared" si="479"/>
        <v>2h10</v>
      </c>
      <c r="CD178" s="49" t="str">
        <f t="shared" si="479"/>
        <v>2010</v>
      </c>
      <c r="CE178" s="49" t="str">
        <f t="shared" si="479"/>
        <v>1h11</v>
      </c>
      <c r="CF178" s="49" t="str">
        <f t="shared" si="479"/>
        <v>2h11</v>
      </c>
      <c r="CG178" s="49" t="str">
        <f t="shared" si="479"/>
        <v>2011</v>
      </c>
      <c r="CH178" s="49" t="str">
        <f t="shared" si="479"/>
        <v>1h12</v>
      </c>
      <c r="CI178" s="49" t="str">
        <f t="shared" si="479"/>
        <v>2h12</v>
      </c>
      <c r="CJ178" s="49" t="str">
        <f t="shared" si="479"/>
        <v>2012</v>
      </c>
      <c r="CK178" s="49" t="str">
        <f t="shared" si="479"/>
        <v>1h13</v>
      </c>
      <c r="CL178" s="49" t="str">
        <f t="shared" si="479"/>
        <v>2h13</v>
      </c>
      <c r="CM178" s="49" t="str">
        <f t="shared" si="479"/>
        <v>2013</v>
      </c>
      <c r="CN178" s="49" t="str">
        <f t="shared" si="479"/>
        <v>1h14</v>
      </c>
      <c r="CO178" s="49" t="str">
        <f t="shared" si="479"/>
        <v>2h14</v>
      </c>
      <c r="CP178" s="49" t="str">
        <f t="shared" si="479"/>
        <v>2014</v>
      </c>
      <c r="CQ178" s="49" t="str">
        <f t="shared" si="479"/>
        <v>1h15</v>
      </c>
      <c r="CR178" s="49" t="str">
        <f t="shared" si="479"/>
        <v>2h15</v>
      </c>
      <c r="CS178" s="49" t="str">
        <f t="shared" si="479"/>
        <v>2015</v>
      </c>
      <c r="CT178" s="49" t="str">
        <f t="shared" si="479"/>
        <v>1h16</v>
      </c>
      <c r="CU178" s="49" t="str">
        <f t="shared" si="479"/>
        <v>2h16</v>
      </c>
      <c r="CV178" s="49" t="str">
        <f t="shared" ref="CV178:EC178" si="480">+CV4</f>
        <v>2016</v>
      </c>
      <c r="CW178" s="49" t="str">
        <f t="shared" si="480"/>
        <v>1h17</v>
      </c>
      <c r="CX178" s="49" t="str">
        <f t="shared" si="480"/>
        <v>2h17</v>
      </c>
      <c r="CY178" s="49" t="str">
        <f t="shared" si="480"/>
        <v>2017</v>
      </c>
      <c r="CZ178" s="49" t="str">
        <f t="shared" si="480"/>
        <v>1h18</v>
      </c>
      <c r="DA178" s="49" t="str">
        <f t="shared" si="480"/>
        <v>2h18</v>
      </c>
      <c r="DB178" s="49" t="str">
        <f t="shared" si="480"/>
        <v>2018</v>
      </c>
      <c r="DC178" s="49" t="str">
        <f t="shared" si="480"/>
        <v>1h19</v>
      </c>
      <c r="DD178" s="49" t="str">
        <f t="shared" si="480"/>
        <v>2h19</v>
      </c>
      <c r="DE178" s="63" t="str">
        <f t="shared" si="480"/>
        <v>2019</v>
      </c>
      <c r="DF178" s="49" t="str">
        <f t="shared" si="480"/>
        <v>1h20</v>
      </c>
      <c r="DG178" s="49" t="str">
        <f t="shared" si="480"/>
        <v>2h20</v>
      </c>
      <c r="DH178" s="63" t="str">
        <f t="shared" si="480"/>
        <v>2020</v>
      </c>
      <c r="DI178" s="49" t="str">
        <f t="shared" si="480"/>
        <v>1h21</v>
      </c>
      <c r="DJ178" s="49" t="str">
        <f t="shared" si="480"/>
        <v>2h21</v>
      </c>
      <c r="DK178" s="63" t="str">
        <f t="shared" si="480"/>
        <v>2021</v>
      </c>
      <c r="DL178" s="49" t="str">
        <f t="shared" si="480"/>
        <v>1h22</v>
      </c>
      <c r="DM178" s="49" t="str">
        <f t="shared" si="480"/>
        <v>2h22</v>
      </c>
      <c r="DN178" s="63" t="str">
        <f t="shared" si="480"/>
        <v>2022</v>
      </c>
      <c r="DO178" s="49" t="str">
        <f t="shared" si="480"/>
        <v>1h23</v>
      </c>
      <c r="DP178" s="49" t="str">
        <f t="shared" si="480"/>
        <v>2h23</v>
      </c>
      <c r="DQ178" s="63" t="str">
        <f t="shared" si="480"/>
        <v>2023</v>
      </c>
      <c r="DR178" s="49" t="str">
        <f t="shared" si="480"/>
        <v>1h24</v>
      </c>
      <c r="DS178" s="49" t="str">
        <f t="shared" si="480"/>
        <v>2h24</v>
      </c>
      <c r="DT178" s="63" t="str">
        <f t="shared" si="480"/>
        <v>2024</v>
      </c>
      <c r="DU178" s="49" t="str">
        <f t="shared" si="480"/>
        <v>1h25</v>
      </c>
      <c r="DV178" s="49" t="str">
        <f>+DV4</f>
        <v>2h25</v>
      </c>
      <c r="DW178" s="63" t="str">
        <f>+DW4</f>
        <v>2025</v>
      </c>
      <c r="DX178" s="49" t="str">
        <f t="shared" si="480"/>
        <v>1h26</v>
      </c>
      <c r="DY178" s="49" t="str">
        <f t="shared" si="480"/>
        <v>2h26E</v>
      </c>
      <c r="DZ178" s="63" t="str">
        <f t="shared" si="480"/>
        <v>2026E</v>
      </c>
      <c r="EA178" s="49" t="str">
        <f t="shared" si="480"/>
        <v>1h27E</v>
      </c>
      <c r="EB178" s="49" t="str">
        <f t="shared" si="480"/>
        <v>2h27E</v>
      </c>
      <c r="EC178" s="63" t="str">
        <f t="shared" si="480"/>
        <v>2027E</v>
      </c>
      <c r="ED178" s="49" t="str">
        <f t="shared" ref="ED178:EL178" si="481">+ED4</f>
        <v>1h28E</v>
      </c>
      <c r="EE178" s="49" t="str">
        <f t="shared" si="481"/>
        <v>2h28E</v>
      </c>
      <c r="EF178" s="63" t="str">
        <f t="shared" si="481"/>
        <v>2028E</v>
      </c>
      <c r="EG178" s="49" t="str">
        <f t="shared" si="481"/>
        <v>1h29E</v>
      </c>
      <c r="EH178" s="49" t="str">
        <f t="shared" si="481"/>
        <v>2h29E</v>
      </c>
      <c r="EI178" s="63" t="str">
        <f t="shared" si="481"/>
        <v>2029E</v>
      </c>
      <c r="EJ178" s="49" t="str">
        <f t="shared" si="481"/>
        <v>1h30E</v>
      </c>
      <c r="EK178" s="49" t="str">
        <f t="shared" si="481"/>
        <v>2h30E</v>
      </c>
      <c r="EL178" s="63" t="str">
        <f t="shared" si="481"/>
        <v>2030E</v>
      </c>
      <c r="EM178" s="49" t="str">
        <f t="shared" ref="EM178:ER178" si="482">+EM4</f>
        <v>1h31E</v>
      </c>
      <c r="EN178" s="49" t="str">
        <f t="shared" si="482"/>
        <v>2h31E</v>
      </c>
      <c r="EO178" s="63" t="str">
        <f t="shared" si="482"/>
        <v>2031E</v>
      </c>
      <c r="EP178" s="49" t="str">
        <f t="shared" si="482"/>
        <v>1h32E</v>
      </c>
      <c r="EQ178" s="49" t="str">
        <f t="shared" si="482"/>
        <v>2h32E</v>
      </c>
      <c r="ER178" s="63" t="str">
        <f t="shared" si="482"/>
        <v>2032E</v>
      </c>
      <c r="ES178" s="49" t="str">
        <f t="shared" ref="ES178:FA178" si="483">+ES4</f>
        <v>1h33E</v>
      </c>
      <c r="ET178" s="49" t="str">
        <f t="shared" si="483"/>
        <v>2h33E</v>
      </c>
      <c r="EU178" s="63" t="str">
        <f t="shared" si="483"/>
        <v>2033E</v>
      </c>
      <c r="EV178" s="49" t="str">
        <f t="shared" si="483"/>
        <v>1h34E</v>
      </c>
      <c r="EW178" s="49" t="str">
        <f t="shared" si="483"/>
        <v>2h34E</v>
      </c>
      <c r="EX178" s="63" t="str">
        <f t="shared" si="483"/>
        <v>2034E</v>
      </c>
      <c r="EY178" s="49" t="str">
        <f t="shared" si="483"/>
        <v>1h35E</v>
      </c>
      <c r="EZ178" s="49" t="str">
        <f t="shared" si="483"/>
        <v>2h35E</v>
      </c>
      <c r="FA178" s="63" t="str">
        <f t="shared" si="483"/>
        <v>2035E</v>
      </c>
      <c r="FB178" s="1058"/>
      <c r="FC178" s="1058"/>
      <c r="FD178"/>
      <c r="FE178"/>
      <c r="FF178"/>
      <c r="FG178"/>
      <c r="FH178"/>
      <c r="FI178"/>
    </row>
    <row r="179" spans="1:169" s="33" customFormat="1" ht="13.5" thickBot="1">
      <c r="B179" s="54" t="s">
        <v>331</v>
      </c>
      <c r="C179" s="54"/>
      <c r="D179" s="2" t="s">
        <v>506</v>
      </c>
      <c r="E179" s="32">
        <f>+E73</f>
        <v>0</v>
      </c>
      <c r="F179" s="32">
        <f t="shared" ref="F179:F212" si="484">+G179-E179</f>
        <v>0</v>
      </c>
      <c r="G179" s="32">
        <f>+G73</f>
        <v>0</v>
      </c>
      <c r="H179" s="32">
        <f>+H73</f>
        <v>0</v>
      </c>
      <c r="I179" s="32">
        <f t="shared" ref="I179:I212" si="485">+J179-H179</f>
        <v>0</v>
      </c>
      <c r="J179" s="32">
        <f>+J73</f>
        <v>0</v>
      </c>
      <c r="K179" s="32">
        <f>+K73</f>
        <v>0</v>
      </c>
      <c r="L179" s="32">
        <f t="shared" ref="L179:L212" si="486">+M179-K179</f>
        <v>0</v>
      </c>
      <c r="M179" s="32">
        <f>+M73</f>
        <v>0</v>
      </c>
      <c r="N179" s="32">
        <f>+N73</f>
        <v>0</v>
      </c>
      <c r="O179" s="32">
        <f t="shared" ref="O179:O212" si="487">+P179-N179</f>
        <v>0</v>
      </c>
      <c r="P179" s="32">
        <f>+P73</f>
        <v>0</v>
      </c>
      <c r="Q179" s="32">
        <f>+Q73</f>
        <v>0</v>
      </c>
      <c r="R179" s="32">
        <f t="shared" ref="R179:R212" si="488">+S179-Q179</f>
        <v>0</v>
      </c>
      <c r="S179" s="32">
        <f>+S73</f>
        <v>0</v>
      </c>
      <c r="T179" s="32">
        <f>+T73</f>
        <v>0</v>
      </c>
      <c r="U179" s="32">
        <f t="shared" ref="U179:U212" si="489">+V179-T179</f>
        <v>0</v>
      </c>
      <c r="V179" s="32">
        <f>+V73</f>
        <v>0</v>
      </c>
      <c r="W179" s="32">
        <f>+W73</f>
        <v>0</v>
      </c>
      <c r="X179" s="32">
        <f t="shared" ref="X179:X212" si="490">+Y179-W179</f>
        <v>0</v>
      </c>
      <c r="Y179" s="32">
        <f>+Y73</f>
        <v>0</v>
      </c>
      <c r="Z179" s="32">
        <f>+Z73</f>
        <v>0</v>
      </c>
      <c r="AA179" s="32">
        <f t="shared" ref="AA179:AA212" si="491">+AB179-Z179</f>
        <v>0</v>
      </c>
      <c r="AB179" s="32">
        <f>+AB73</f>
        <v>0</v>
      </c>
      <c r="AC179" s="32">
        <f>+AC73</f>
        <v>0</v>
      </c>
      <c r="AD179" s="32">
        <f t="shared" ref="AD179:AD212" si="492">+AE179-AC179</f>
        <v>0</v>
      </c>
      <c r="AE179" s="32">
        <f>+AE73</f>
        <v>0</v>
      </c>
      <c r="AF179" s="32">
        <f>+AF73</f>
        <v>0</v>
      </c>
      <c r="AG179" s="32">
        <f t="shared" ref="AG179:AG212" si="493">+AH179-AF179</f>
        <v>0</v>
      </c>
      <c r="AH179" s="32">
        <f>+AH73</f>
        <v>0</v>
      </c>
      <c r="AI179" s="32">
        <f>+AI73</f>
        <v>0</v>
      </c>
      <c r="AJ179" s="32">
        <f t="shared" ref="AJ179:AJ212" si="494">+AK179-AI179</f>
        <v>0</v>
      </c>
      <c r="AK179" s="32">
        <f>+AK73</f>
        <v>0</v>
      </c>
      <c r="AL179" s="32">
        <f>+AL73</f>
        <v>0</v>
      </c>
      <c r="AM179" s="32">
        <f t="shared" ref="AM179:AM212" si="495">+AN179-AL179</f>
        <v>41.559000000000005</v>
      </c>
      <c r="AN179" s="32">
        <f>+AN73</f>
        <v>41.559000000000005</v>
      </c>
      <c r="AO179" s="32">
        <f>+AO73</f>
        <v>16.681000000000001</v>
      </c>
      <c r="AP179" s="32">
        <f t="shared" ref="AP179:AP212" si="496">+AQ179-AO179</f>
        <v>31.396999999999995</v>
      </c>
      <c r="AQ179" s="32">
        <f>+AQ73</f>
        <v>48.077999999999996</v>
      </c>
      <c r="AR179" s="32">
        <f>+AR73</f>
        <v>20.204999999999998</v>
      </c>
      <c r="AS179" s="32">
        <f t="shared" ref="AS179:AS212" si="497">+AT179-AR179</f>
        <v>38.247</v>
      </c>
      <c r="AT179" s="32">
        <f>+AT73</f>
        <v>58.451999999999998</v>
      </c>
      <c r="AU179" s="32">
        <f>+AU73</f>
        <v>23.713999999999999</v>
      </c>
      <c r="AV179" s="32">
        <f t="shared" ref="AV179:AV212" si="498">+AW179-AU179</f>
        <v>45.019000000000005</v>
      </c>
      <c r="AW179" s="32">
        <f>+AW73</f>
        <v>68.733000000000004</v>
      </c>
      <c r="AX179" s="32">
        <f>+AX73</f>
        <v>25.812000000000001</v>
      </c>
      <c r="AY179" s="32">
        <f t="shared" ref="AY179:AY212" si="499">+AZ179-AX179</f>
        <v>51.344000000000008</v>
      </c>
      <c r="AZ179" s="32">
        <f>+AZ73</f>
        <v>77.156000000000006</v>
      </c>
      <c r="BA179" s="32">
        <f>+BA73</f>
        <v>43.893000000000001</v>
      </c>
      <c r="BB179" s="32">
        <f t="shared" ref="BB179:BB212" si="500">+BC179-BA179</f>
        <v>84.707999999999998</v>
      </c>
      <c r="BC179" s="32">
        <f>+BC73</f>
        <v>128.601</v>
      </c>
      <c r="BD179" s="32">
        <f>+BD73</f>
        <v>88.569000000000003</v>
      </c>
      <c r="BE179" s="32">
        <f t="shared" ref="BE179:BE212" si="501">+BF179-BD179</f>
        <v>97.512000000000015</v>
      </c>
      <c r="BF179" s="32">
        <f>+BF73</f>
        <v>186.08100000000002</v>
      </c>
      <c r="BG179" s="32">
        <f>+BG73</f>
        <v>72.576000000000008</v>
      </c>
      <c r="BH179" s="32">
        <f t="shared" ref="BH179:BH212" si="502">+BI179-BG179</f>
        <v>62.692999999999998</v>
      </c>
      <c r="BI179" s="32">
        <f>+BI73</f>
        <v>135.26900000000001</v>
      </c>
      <c r="BJ179" s="32">
        <f>+BJ73</f>
        <v>54.631</v>
      </c>
      <c r="BK179" s="32"/>
      <c r="BL179" s="32"/>
      <c r="BM179" s="32"/>
      <c r="BN179" s="32"/>
      <c r="BO179" s="32">
        <f>+BO73</f>
        <v>666.37600000000009</v>
      </c>
      <c r="BP179" s="32">
        <f>+BP73</f>
        <v>272.56700000000001</v>
      </c>
      <c r="BQ179" s="32">
        <f t="shared" ref="BQ179:BQ212" si="503">+BR179-BP179</f>
        <v>242.46400000000006</v>
      </c>
      <c r="BR179" s="32">
        <f>+BR73</f>
        <v>515.03100000000006</v>
      </c>
      <c r="BS179" s="32">
        <f>+BS73</f>
        <v>390.71299999999997</v>
      </c>
      <c r="BT179" s="32">
        <f t="shared" ref="BT179:BT212" si="504">+BU179-BS179</f>
        <v>395.35199999999998</v>
      </c>
      <c r="BU179" s="32">
        <f>+BU73</f>
        <v>786.06499999999994</v>
      </c>
      <c r="BV179" s="32">
        <f>+BV73</f>
        <v>499.94499999999999</v>
      </c>
      <c r="BW179" s="32">
        <f t="shared" ref="BW179:BW212" si="505">+BX179-BV179</f>
        <v>466.7</v>
      </c>
      <c r="BX179" s="32">
        <f>+BX73</f>
        <v>966.64499999999998</v>
      </c>
      <c r="BY179" s="32">
        <f>+BY73</f>
        <v>626.20600000000002</v>
      </c>
      <c r="BZ179" s="32">
        <f t="shared" ref="BZ179:BZ212" si="506">+CA179-BY179</f>
        <v>627.93210510000006</v>
      </c>
      <c r="CA179" s="32">
        <f>+CA73</f>
        <v>1254.1381051000001</v>
      </c>
      <c r="CB179" s="32">
        <f>+CB73</f>
        <v>796.12900000000002</v>
      </c>
      <c r="CC179" s="32">
        <f t="shared" ref="CC179:CC212" si="507">+CD179-CB179</f>
        <v>560.99799999999993</v>
      </c>
      <c r="CD179" s="32">
        <f>+CD73</f>
        <v>1357.127</v>
      </c>
      <c r="CE179" s="32">
        <f>+CE73</f>
        <v>636.05200000000002</v>
      </c>
      <c r="CF179" s="32">
        <f t="shared" ref="CF179:CF212" si="508">+CG179-CE179</f>
        <v>547.15862872660966</v>
      </c>
      <c r="CG179" s="32">
        <f>+CG73</f>
        <v>1183.2106287266097</v>
      </c>
      <c r="CH179" s="32">
        <f>+CH73</f>
        <v>633.9</v>
      </c>
      <c r="CI179" s="32">
        <f t="shared" ref="CI179:CI212" si="509">+CJ179-CH179</f>
        <v>615.27241733751464</v>
      </c>
      <c r="CJ179" s="32">
        <f>+CJ73</f>
        <v>1249.1724173375146</v>
      </c>
      <c r="CK179" s="32">
        <f>+CK73</f>
        <v>788.11024999999995</v>
      </c>
      <c r="CL179" s="32">
        <f t="shared" ref="CL179:CL212" si="510">+CM179-CK179</f>
        <v>697.63754137945239</v>
      </c>
      <c r="CM179" s="32">
        <f>+CM73</f>
        <v>1485.7477913794523</v>
      </c>
      <c r="CN179" s="32">
        <f>+CN73</f>
        <v>818</v>
      </c>
      <c r="CO179" s="32">
        <f t="shared" ref="CO179:CO212" si="511">+CP179-CN179</f>
        <v>819.2</v>
      </c>
      <c r="CP179" s="32">
        <f>+CP73</f>
        <v>1637.2</v>
      </c>
      <c r="CQ179" s="32">
        <f>+CQ73</f>
        <v>878.3</v>
      </c>
      <c r="CR179" s="32">
        <f t="shared" ref="CR179:CR212" si="512">+CS179-CQ179</f>
        <v>901.7</v>
      </c>
      <c r="CS179" s="32">
        <f>+CS73</f>
        <v>1780</v>
      </c>
      <c r="CT179" s="32">
        <f>+CT73</f>
        <v>809.80000000000007</v>
      </c>
      <c r="CU179" s="32">
        <f t="shared" ref="CU179:CU212" si="513">+CV179-CT179</f>
        <v>718.70000000000016</v>
      </c>
      <c r="CV179" s="32">
        <f>+CV73</f>
        <v>1528.5000000000002</v>
      </c>
      <c r="CW179" s="32">
        <f>+CW73</f>
        <v>1094.7</v>
      </c>
      <c r="CX179" s="32">
        <f t="shared" ref="CX179:CX212" si="514">+CY179-CW179</f>
        <v>684.19999999999982</v>
      </c>
      <c r="CY179" s="32">
        <f>+CY73</f>
        <v>1778.8999999999999</v>
      </c>
      <c r="CZ179" s="32">
        <f>+CZ73</f>
        <v>1475.2090930720517</v>
      </c>
      <c r="DA179" s="32">
        <f t="shared" ref="DA179:DA212" si="515">+DB179-CZ179</f>
        <v>905.09090692794803</v>
      </c>
      <c r="DB179" s="32">
        <f>+DB73</f>
        <v>2380.2999999999997</v>
      </c>
      <c r="DC179" s="32">
        <f>+DC73</f>
        <v>1553</v>
      </c>
      <c r="DD179" s="32">
        <f t="shared" ref="DD179:DD212" si="516">+DE179-DC179</f>
        <v>951</v>
      </c>
      <c r="DE179" s="1061">
        <f>+DE73</f>
        <v>2504</v>
      </c>
      <c r="DF179" s="32">
        <f>+DF73</f>
        <v>1632.019</v>
      </c>
      <c r="DG179" s="32">
        <f t="shared" ref="DG179:DG212" si="517">+DH179-DF179</f>
        <v>1084.5110874999998</v>
      </c>
      <c r="DH179" s="1061">
        <f>+DH73</f>
        <v>2716.5300874999998</v>
      </c>
      <c r="DI179" s="32">
        <f>+DI73</f>
        <v>2357.8815450000002</v>
      </c>
      <c r="DJ179" s="32">
        <f t="shared" ref="DJ179:DJ212" si="518">+DK179-DI179</f>
        <v>792.90427624999984</v>
      </c>
      <c r="DK179" s="1061">
        <f>+DK73</f>
        <v>3150.78582125</v>
      </c>
      <c r="DL179" s="32">
        <f>+DL73</f>
        <v>2231.4235962499997</v>
      </c>
      <c r="DM179" s="32">
        <f t="shared" ref="DM179:DM212" si="519">+DN179-DL179</f>
        <v>850.87640375000046</v>
      </c>
      <c r="DN179" s="1061">
        <f>+DN73</f>
        <v>3082.3</v>
      </c>
      <c r="DO179" s="32">
        <f>+DO73</f>
        <v>2406.0018085000002</v>
      </c>
      <c r="DP179" s="32">
        <f t="shared" ref="DP179:DP212" si="520">+DQ179-DO179</f>
        <v>1251.2963594942444</v>
      </c>
      <c r="DQ179" s="1061">
        <f>+DQ73</f>
        <v>3657.2981679942445</v>
      </c>
      <c r="DR179" s="32">
        <f>+DR73</f>
        <v>2794.9791249999998</v>
      </c>
      <c r="DS179" s="32">
        <f t="shared" ref="DS179:DS212" si="521">+DT179-DR179</f>
        <v>1402.0284750000001</v>
      </c>
      <c r="DT179" s="1061">
        <f>+DT73</f>
        <v>4197.0075999999999</v>
      </c>
      <c r="DU179" s="32">
        <f>+DU73</f>
        <v>2878</v>
      </c>
      <c r="DV179" s="32">
        <f t="shared" ref="DV179:DV212" si="522">+DW179-DU179</f>
        <v>1590</v>
      </c>
      <c r="DW179" s="1061">
        <f>+DW73</f>
        <v>4468</v>
      </c>
      <c r="DX179" s="32">
        <f>+DX73</f>
        <v>2805</v>
      </c>
      <c r="DY179" s="1875">
        <f>+DY73</f>
        <v>2094.5635170371161</v>
      </c>
      <c r="DZ179" s="1876">
        <f>+SUM(DX179:DY179)</f>
        <v>4899.5635170371161</v>
      </c>
      <c r="EA179" s="32">
        <f>+EA73</f>
        <v>2950.3539454593069</v>
      </c>
      <c r="EB179" s="32">
        <f t="shared" ref="EB179:EB208" si="523">+EC179-EA179</f>
        <v>2185.984091687114</v>
      </c>
      <c r="EC179" s="1061">
        <f>+EC73</f>
        <v>5136.3380371464209</v>
      </c>
      <c r="ED179" s="32">
        <f>+ED73</f>
        <v>3178.110718525304</v>
      </c>
      <c r="EE179" s="32">
        <f t="shared" ref="EE179:EE208" si="524">+EF179-ED179</f>
        <v>2349.7668796668804</v>
      </c>
      <c r="EF179" s="1061">
        <f>+EF73</f>
        <v>5527.8775981921845</v>
      </c>
      <c r="EG179" s="32">
        <f>+EG73</f>
        <v>3421.1972183289045</v>
      </c>
      <c r="EH179" s="32">
        <f t="shared" ref="EH179:EH208" si="525">+EI179-EG179</f>
        <v>2581.1541770167514</v>
      </c>
      <c r="EI179" s="1061">
        <f>+EI73</f>
        <v>6002.3513953456559</v>
      </c>
      <c r="EJ179" s="32">
        <f>+EJ73</f>
        <v>3686.4680885461776</v>
      </c>
      <c r="EK179" s="32">
        <f t="shared" ref="EK179:EK208" si="526">+EL179-EJ179</f>
        <v>2835.818667115107</v>
      </c>
      <c r="EL179" s="1061">
        <f>+EL73</f>
        <v>6522.2867556612846</v>
      </c>
      <c r="EM179" s="32">
        <f>+EM73</f>
        <v>3996.3634494536082</v>
      </c>
      <c r="EN179" s="32">
        <f t="shared" ref="EN179:EN208" si="527">+EO179-EM179</f>
        <v>3078.1703118948717</v>
      </c>
      <c r="EO179" s="1061">
        <f>+EO73</f>
        <v>7074.5337613484799</v>
      </c>
      <c r="EP179" s="32">
        <f>+EP73</f>
        <v>4287.067593767214</v>
      </c>
      <c r="EQ179" s="32">
        <f t="shared" ref="EQ179:EQ208" si="528">+ER179-EP179</f>
        <v>3349.8237075379093</v>
      </c>
      <c r="ER179" s="1061">
        <f>+ER73</f>
        <v>7636.8913013051233</v>
      </c>
      <c r="ES179" s="32">
        <f>+ES73</f>
        <v>4561.2661860576854</v>
      </c>
      <c r="ET179" s="32">
        <f t="shared" ref="ET179:ET208" si="529">+EU179-ES179</f>
        <v>3597.0869109984424</v>
      </c>
      <c r="EU179" s="1061">
        <f>+EU73</f>
        <v>8158.3530970561278</v>
      </c>
      <c r="EV179" s="32">
        <f>+EV73</f>
        <v>4808.607402543711</v>
      </c>
      <c r="EW179" s="32">
        <f t="shared" ref="EW179:EW208" si="530">+EX179-EV179</f>
        <v>3812.8395954919697</v>
      </c>
      <c r="EX179" s="1061">
        <f>+EX73</f>
        <v>8621.4469980356807</v>
      </c>
      <c r="EY179" s="32">
        <f>+EY73</f>
        <v>5071.3996512460099</v>
      </c>
      <c r="EZ179" s="32">
        <f t="shared" ref="EZ179:EZ198" si="531">+FA179-EY179</f>
        <v>4042.7975523316682</v>
      </c>
      <c r="FA179" s="1061">
        <f>+FA73</f>
        <v>9114.197203577678</v>
      </c>
      <c r="FD179"/>
      <c r="FE179"/>
      <c r="FF179"/>
      <c r="FG179"/>
      <c r="FH179"/>
      <c r="FI179"/>
    </row>
    <row r="180" spans="1:169" s="33" customFormat="1" ht="13.5" thickBot="1">
      <c r="B180" s="54" t="s">
        <v>567</v>
      </c>
      <c r="C180" s="54"/>
      <c r="D180" s="2" t="s">
        <v>506</v>
      </c>
      <c r="E180" s="1172"/>
      <c r="F180" s="32">
        <f t="shared" si="484"/>
        <v>0</v>
      </c>
      <c r="G180" s="1173"/>
      <c r="H180" s="1174"/>
      <c r="I180" s="32">
        <f t="shared" si="485"/>
        <v>0</v>
      </c>
      <c r="J180" s="1173"/>
      <c r="K180" s="1174"/>
      <c r="L180" s="32">
        <f t="shared" si="486"/>
        <v>0</v>
      </c>
      <c r="M180" s="1173"/>
      <c r="N180" s="1174"/>
      <c r="O180" s="32">
        <f t="shared" si="487"/>
        <v>0</v>
      </c>
      <c r="P180" s="1173"/>
      <c r="Q180" s="1175"/>
      <c r="R180" s="32">
        <f t="shared" si="488"/>
        <v>0</v>
      </c>
      <c r="S180" s="1173"/>
      <c r="T180" s="1175"/>
      <c r="U180" s="32">
        <f t="shared" si="489"/>
        <v>0</v>
      </c>
      <c r="V180" s="1173"/>
      <c r="W180" s="1175"/>
      <c r="X180" s="32">
        <f t="shared" si="490"/>
        <v>0</v>
      </c>
      <c r="Y180" s="1173"/>
      <c r="Z180" s="1175"/>
      <c r="AA180" s="32">
        <f t="shared" si="491"/>
        <v>0</v>
      </c>
      <c r="AB180" s="1173"/>
      <c r="AC180" s="1175"/>
      <c r="AD180" s="32">
        <f t="shared" si="492"/>
        <v>0</v>
      </c>
      <c r="AE180" s="1173"/>
      <c r="AF180" s="1175"/>
      <c r="AG180" s="32">
        <f t="shared" si="493"/>
        <v>0</v>
      </c>
      <c r="AH180" s="1173"/>
      <c r="AI180" s="1175"/>
      <c r="AJ180" s="32">
        <f t="shared" si="494"/>
        <v>0</v>
      </c>
      <c r="AK180" s="1173"/>
      <c r="AL180" s="1175" t="str">
        <f>IF(AL5="A","0",-AL75)</f>
        <v>0</v>
      </c>
      <c r="AM180" s="32">
        <f t="shared" si="495"/>
        <v>-3.2930000000000001</v>
      </c>
      <c r="AN180" s="1176">
        <v>-3.2930000000000001</v>
      </c>
      <c r="AO180" s="1175" t="str">
        <f>IF(AO5="A","0",-AO75)</f>
        <v>0</v>
      </c>
      <c r="AP180" s="32">
        <f t="shared" si="496"/>
        <v>-1.1000000000000001</v>
      </c>
      <c r="AQ180" s="1176">
        <v>-1.1000000000000001</v>
      </c>
      <c r="AR180" s="1175" t="str">
        <f>IF(AR5="A","0",-AR75)</f>
        <v>0</v>
      </c>
      <c r="AS180" s="32">
        <f t="shared" si="497"/>
        <v>0</v>
      </c>
      <c r="AT180" s="1173" t="str">
        <f>IF(AT5="A","0",-AT75)</f>
        <v>0</v>
      </c>
      <c r="AU180" s="1175" t="str">
        <f>IF(AU5="A","0",-AU75)</f>
        <v>0</v>
      </c>
      <c r="AV180" s="32">
        <f t="shared" si="498"/>
        <v>0</v>
      </c>
      <c r="AW180" s="1173" t="str">
        <f>IF(AW5="A","0",-AW75)</f>
        <v>0</v>
      </c>
      <c r="AX180" s="1175" t="str">
        <f>IF(AX5="A","0",-AX75)</f>
        <v>0</v>
      </c>
      <c r="AY180" s="32">
        <f t="shared" si="499"/>
        <v>1.5580000000000001</v>
      </c>
      <c r="AZ180" s="1176">
        <v>1.5580000000000001</v>
      </c>
      <c r="BA180" s="1175" t="str">
        <f>IF(BA5="A","0",-BA75)</f>
        <v>0</v>
      </c>
      <c r="BB180" s="32">
        <f t="shared" si="500"/>
        <v>-4.8710000000000004</v>
      </c>
      <c r="BC180" s="1176">
        <v>-4.8710000000000004</v>
      </c>
      <c r="BD180" s="1177">
        <v>26.584</v>
      </c>
      <c r="BE180" s="32">
        <f t="shared" si="501"/>
        <v>-58.076000000000001</v>
      </c>
      <c r="BF180" s="1176">
        <v>-31.492000000000001</v>
      </c>
      <c r="BG180" s="1177">
        <v>-30.414000000000001</v>
      </c>
      <c r="BH180" s="32">
        <f t="shared" si="502"/>
        <v>-3.1229999999999976</v>
      </c>
      <c r="BI180" s="1173">
        <f>-BI75</f>
        <v>-33.536999999999999</v>
      </c>
      <c r="BJ180" s="1175">
        <f>0.566-10.401</f>
        <v>-9.8349999999999991</v>
      </c>
      <c r="BK180" s="32">
        <f t="shared" ref="BK180:BK212" si="532">+BL180-BJ180</f>
        <v>-5.8129999999999988</v>
      </c>
      <c r="BL180" s="1173">
        <f>9.525-25.173</f>
        <v>-15.647999999999998</v>
      </c>
      <c r="BM180" s="1175">
        <f>4.169-13.558</f>
        <v>-9.3889999999999993</v>
      </c>
      <c r="BN180" s="32">
        <f t="shared" ref="BN180:BN212" si="533">+BO180-BM180</f>
        <v>-4.3170000000000002</v>
      </c>
      <c r="BO180" s="1178">
        <f>16.954-30.66</f>
        <v>-13.706</v>
      </c>
      <c r="BP180" s="1175">
        <f>10.983-15.358</f>
        <v>-4.375</v>
      </c>
      <c r="BQ180" s="32">
        <f t="shared" si="503"/>
        <v>-3.4210000000000029</v>
      </c>
      <c r="BR180" s="1178">
        <f>24.767-32.563</f>
        <v>-7.7960000000000029</v>
      </c>
      <c r="BS180" s="1175">
        <f>19.169-14.146</f>
        <v>5.0229999999999997</v>
      </c>
      <c r="BT180" s="32">
        <f t="shared" si="504"/>
        <v>-9.3189999999999991</v>
      </c>
      <c r="BU180" s="1178">
        <f>32.677-36.973</f>
        <v>-4.2959999999999994</v>
      </c>
      <c r="BV180" s="1175">
        <f>16.285-23.26</f>
        <v>-6.9750000000000014</v>
      </c>
      <c r="BW180" s="32">
        <f t="shared" si="505"/>
        <v>-4.4329999999999998</v>
      </c>
      <c r="BX180" s="1178">
        <f>33.574-44.982</f>
        <v>-11.408000000000001</v>
      </c>
      <c r="BY180" s="1175">
        <f>28.884-44.403</f>
        <v>-15.518999999999998</v>
      </c>
      <c r="BZ180" s="32">
        <f t="shared" si="506"/>
        <v>19.980000000000004</v>
      </c>
      <c r="CA180" s="1178">
        <f>66.918-62.457</f>
        <v>4.4610000000000056</v>
      </c>
      <c r="CB180" s="1175">
        <f>25.514-11.848</f>
        <v>13.665999999999999</v>
      </c>
      <c r="CC180" s="32">
        <f t="shared" si="507"/>
        <v>5.2120000000000015</v>
      </c>
      <c r="CD180" s="1178">
        <f>39.21-20.332</f>
        <v>18.878</v>
      </c>
      <c r="CE180" s="1175">
        <f>19.46-7.291</f>
        <v>12.169</v>
      </c>
      <c r="CF180" s="32">
        <f t="shared" si="508"/>
        <v>4.235000000000003</v>
      </c>
      <c r="CG180" s="1178">
        <f>30.399-13.995</f>
        <v>16.404000000000003</v>
      </c>
      <c r="CH180" s="1175">
        <f>9.2-12.4</f>
        <v>-3.2000000000000011</v>
      </c>
      <c r="CI180" s="32">
        <f t="shared" si="509"/>
        <v>4.9000000000000039</v>
      </c>
      <c r="CJ180" s="1178">
        <f>37.2-35.5</f>
        <v>1.7000000000000028</v>
      </c>
      <c r="CK180" s="1175">
        <f>19.7-24.1</f>
        <v>-4.4000000000000021</v>
      </c>
      <c r="CL180" s="32">
        <f t="shared" si="510"/>
        <v>-11.2</v>
      </c>
      <c r="CM180" s="1178">
        <f>33.9-49.5</f>
        <v>-15.600000000000001</v>
      </c>
      <c r="CN180" s="1175">
        <f>10.8-24.4</f>
        <v>-13.599999999999998</v>
      </c>
      <c r="CO180" s="32">
        <f t="shared" si="511"/>
        <v>-15.900000000000002</v>
      </c>
      <c r="CP180" s="1178">
        <f>20.6-50.1</f>
        <v>-29.5</v>
      </c>
      <c r="CQ180" s="1175">
        <f>6.5-27.7</f>
        <v>-21.2</v>
      </c>
      <c r="CR180" s="32">
        <f t="shared" si="512"/>
        <v>-17.8</v>
      </c>
      <c r="CS180" s="1178">
        <f>15-54</f>
        <v>-39</v>
      </c>
      <c r="CT180" s="1175">
        <f>5.3-38.6</f>
        <v>-33.300000000000004</v>
      </c>
      <c r="CU180" s="32">
        <f t="shared" si="513"/>
        <v>-27.599999999999994</v>
      </c>
      <c r="CV180" s="1178">
        <f>14.1-75</f>
        <v>-60.9</v>
      </c>
      <c r="CW180" s="1175">
        <f>3.2-44</f>
        <v>-40.799999999999997</v>
      </c>
      <c r="CX180" s="32">
        <f t="shared" si="514"/>
        <v>-38.299999999999983</v>
      </c>
      <c r="CY180" s="1178">
        <f>(-CY75)</f>
        <v>-79.09999999999998</v>
      </c>
      <c r="CZ180" s="1175">
        <f>2.4+58.5</f>
        <v>60.9</v>
      </c>
      <c r="DA180" s="32">
        <f t="shared" si="515"/>
        <v>-167.2</v>
      </c>
      <c r="DB180" s="1178">
        <f>9-115.3</f>
        <v>-106.3</v>
      </c>
      <c r="DC180" s="1175">
        <f>-72.4+3.8</f>
        <v>-68.600000000000009</v>
      </c>
      <c r="DD180" s="32">
        <f t="shared" si="516"/>
        <v>-57.999999999999986</v>
      </c>
      <c r="DE180" s="1536">
        <f>14.1-140.7</f>
        <v>-126.6</v>
      </c>
      <c r="DF180" s="1537">
        <f>-85.9</f>
        <v>-85.9</v>
      </c>
      <c r="DG180" s="1530">
        <f t="shared" si="517"/>
        <v>-56.5</v>
      </c>
      <c r="DH180" s="1538">
        <f>-142.4</f>
        <v>-142.4</v>
      </c>
      <c r="DI180" s="1537">
        <f>-103.2</f>
        <v>-103.2</v>
      </c>
      <c r="DJ180" s="1530">
        <f t="shared" si="518"/>
        <v>-57.7</v>
      </c>
      <c r="DK180" s="1538">
        <v>-160.9</v>
      </c>
      <c r="DL180" s="1685">
        <v>-82.6</v>
      </c>
      <c r="DM180" s="1530">
        <f t="shared" si="519"/>
        <v>-89.700000000000017</v>
      </c>
      <c r="DN180" s="1696">
        <v>-172.3</v>
      </c>
      <c r="DO180" s="1686">
        <v>-161.9</v>
      </c>
      <c r="DP180" s="1530">
        <f t="shared" si="520"/>
        <v>-212.1</v>
      </c>
      <c r="DQ180" s="1699">
        <v>-374</v>
      </c>
      <c r="DR180" s="1686">
        <v>-218</v>
      </c>
      <c r="DS180" s="1530">
        <f t="shared" si="521"/>
        <v>-214</v>
      </c>
      <c r="DT180" s="1699">
        <v>-432</v>
      </c>
      <c r="DU180" s="1686">
        <v>-222</v>
      </c>
      <c r="DV180" s="1530">
        <f t="shared" si="522"/>
        <v>-190</v>
      </c>
      <c r="DW180" s="1699">
        <v>-412</v>
      </c>
      <c r="DX180" s="1686">
        <v>-197</v>
      </c>
      <c r="DY180" s="1877">
        <f>IF(DY5="A","",-DY75)</f>
        <v>-197</v>
      </c>
      <c r="DZ180" s="1876">
        <f t="shared" ref="DZ180:DZ184" si="534">+SUM(DX180:DY180)</f>
        <v>-394</v>
      </c>
      <c r="EA180" s="1222">
        <f>IF(EA5="A","",-EA75)</f>
        <v>-193.11355319632986</v>
      </c>
      <c r="EB180" s="32">
        <f t="shared" si="523"/>
        <v>-193.03312106910562</v>
      </c>
      <c r="EC180" s="1223">
        <f>IF(EC5="A","",-EC75)</f>
        <v>-386.14667426543548</v>
      </c>
      <c r="ED180" s="1222">
        <f>IF(ED5="A","",-ED75)</f>
        <v>-189.34759506810892</v>
      </c>
      <c r="EE180" s="32">
        <f t="shared" si="524"/>
        <v>-187.9909211682465</v>
      </c>
      <c r="EF180" s="1223">
        <f>IF(EF5="A","",-EF75)</f>
        <v>-377.33851623635542</v>
      </c>
      <c r="EG180" s="1222">
        <f>IF(EG5="A","",-EG75)</f>
        <v>-184.1479938715558</v>
      </c>
      <c r="EH180" s="32">
        <f t="shared" si="525"/>
        <v>-180.09281591569476</v>
      </c>
      <c r="EI180" s="1223">
        <f>IF(EI5="A","",-EI75)</f>
        <v>-364.24080978725056</v>
      </c>
      <c r="EJ180" s="1222">
        <f>IF(EJ5="A","",-EJ75)</f>
        <v>-168.85836858885958</v>
      </c>
      <c r="EK180" s="32">
        <f t="shared" si="526"/>
        <v>-163.45563084747434</v>
      </c>
      <c r="EL180" s="1223">
        <f>IF(EL5="A","",-EL75)</f>
        <v>-332.31399943633392</v>
      </c>
      <c r="EM180" s="1222">
        <f>IF(EM5="A","",-EM75)</f>
        <v>-149.43238671355715</v>
      </c>
      <c r="EN180" s="32">
        <f t="shared" si="527"/>
        <v>-142.1627525135047</v>
      </c>
      <c r="EO180" s="1223">
        <f>IF(EO5="A","",-EO75)</f>
        <v>-291.59513922706185</v>
      </c>
      <c r="EP180" s="1222">
        <f>IF(EP5="A","",-EP75)</f>
        <v>-124.44654075909796</v>
      </c>
      <c r="EQ180" s="32">
        <f t="shared" si="528"/>
        <v>-116.30295721268038</v>
      </c>
      <c r="ER180" s="1223">
        <f>IF(ER5="A","",-ER75)</f>
        <v>-240.74949797177834</v>
      </c>
      <c r="ES180" s="1222">
        <f>IF(ES5="A","",-ES75)</f>
        <v>-96.802248415700547</v>
      </c>
      <c r="ET180" s="32">
        <f t="shared" si="529"/>
        <v>-87.921682435905041</v>
      </c>
      <c r="EU180" s="1223">
        <f>IF(EU5="A","",-EU75)</f>
        <v>-184.72393085160559</v>
      </c>
      <c r="EV180" s="1222">
        <f>IF(EV5="A","",-EV75)</f>
        <v>-66.929965334434314</v>
      </c>
      <c r="EW180" s="32">
        <f t="shared" si="530"/>
        <v>-57.332168891759636</v>
      </c>
      <c r="EX180" s="1223">
        <f>IF(EX5="A","",-EX75)</f>
        <v>-124.26213422619395</v>
      </c>
      <c r="EY180" s="1222">
        <f>IF(EY5="A","",-EY75)</f>
        <v>-35.124369418570325</v>
      </c>
      <c r="EZ180" s="32">
        <f t="shared" si="531"/>
        <v>-24.647097843017661</v>
      </c>
      <c r="FA180" s="1223">
        <f>IF(FA5="A","",-FA75)</f>
        <v>-59.771467261587986</v>
      </c>
      <c r="FD180"/>
      <c r="FE180"/>
      <c r="FF180"/>
      <c r="FG180"/>
      <c r="FH180"/>
      <c r="FI180"/>
    </row>
    <row r="181" spans="1:169" s="33" customFormat="1" ht="13.5" thickBot="1">
      <c r="B181" s="54" t="s">
        <v>671</v>
      </c>
      <c r="C181" s="54"/>
      <c r="D181" s="2" t="s">
        <v>506</v>
      </c>
      <c r="E181" s="32">
        <f>+E57+E63+E71</f>
        <v>0</v>
      </c>
      <c r="F181" s="32">
        <f t="shared" si="484"/>
        <v>0</v>
      </c>
      <c r="G181" s="32">
        <f>+G57+G63+G71</f>
        <v>0</v>
      </c>
      <c r="H181" s="32">
        <f>+H57+H63+H71</f>
        <v>0</v>
      </c>
      <c r="I181" s="32">
        <f t="shared" si="485"/>
        <v>0</v>
      </c>
      <c r="J181" s="32">
        <f>+J57+J63+J71</f>
        <v>0</v>
      </c>
      <c r="K181" s="32">
        <f>+K57+K63+K71</f>
        <v>0</v>
      </c>
      <c r="L181" s="32">
        <f t="shared" si="486"/>
        <v>0</v>
      </c>
      <c r="M181" s="32">
        <f>+M57+M63+M71</f>
        <v>0</v>
      </c>
      <c r="N181" s="32">
        <f>+N57+N63+N71</f>
        <v>0</v>
      </c>
      <c r="O181" s="32">
        <f t="shared" si="487"/>
        <v>0</v>
      </c>
      <c r="P181" s="32">
        <f>+P57+P63+P71</f>
        <v>0</v>
      </c>
      <c r="Q181" s="32">
        <f>+Q57+Q63+Q71</f>
        <v>0</v>
      </c>
      <c r="R181" s="32">
        <f t="shared" si="488"/>
        <v>0</v>
      </c>
      <c r="S181" s="32">
        <f>+S57+S63+S71</f>
        <v>0</v>
      </c>
      <c r="T181" s="32">
        <f>+T57+T63+T71</f>
        <v>0</v>
      </c>
      <c r="U181" s="32">
        <f t="shared" si="489"/>
        <v>0</v>
      </c>
      <c r="V181" s="32">
        <f>+V57+V63+V71</f>
        <v>0</v>
      </c>
      <c r="W181" s="32">
        <f>+W57+W63+W71</f>
        <v>0</v>
      </c>
      <c r="X181" s="32">
        <f t="shared" si="490"/>
        <v>0</v>
      </c>
      <c r="Y181" s="32">
        <f>+Y57+Y63+Y71</f>
        <v>0</v>
      </c>
      <c r="Z181" s="32">
        <f>+Z57+Z63+Z71</f>
        <v>0</v>
      </c>
      <c r="AA181" s="32">
        <f t="shared" si="491"/>
        <v>0</v>
      </c>
      <c r="AB181" s="32">
        <f>+AB57+AB63+AB71</f>
        <v>0</v>
      </c>
      <c r="AC181" s="32">
        <f>+AC57+AC63+AC71</f>
        <v>0</v>
      </c>
      <c r="AD181" s="32">
        <f t="shared" si="492"/>
        <v>0</v>
      </c>
      <c r="AE181" s="32">
        <f>+AE57+AE63+AE71</f>
        <v>0</v>
      </c>
      <c r="AF181" s="32">
        <f>+AF57+AF63+AF71</f>
        <v>0</v>
      </c>
      <c r="AG181" s="32">
        <f t="shared" si="493"/>
        <v>0</v>
      </c>
      <c r="AH181" s="32">
        <f>+AH57+AH63+AH71</f>
        <v>0</v>
      </c>
      <c r="AI181" s="32">
        <f>+AI57+AI63+AI71</f>
        <v>0</v>
      </c>
      <c r="AJ181" s="32">
        <f t="shared" si="494"/>
        <v>4.8000000000000001E-2</v>
      </c>
      <c r="AK181" s="32">
        <f>+AK57+AK63+AK71</f>
        <v>4.8000000000000001E-2</v>
      </c>
      <c r="AL181" s="32">
        <f>+AL57+AL63+AL71</f>
        <v>0</v>
      </c>
      <c r="AM181" s="32">
        <f t="shared" si="495"/>
        <v>30.889000000000003</v>
      </c>
      <c r="AN181" s="32">
        <f>+AN57+AN63+AN71</f>
        <v>30.889000000000003</v>
      </c>
      <c r="AO181" s="32">
        <f>+AO57+AO63+AO71</f>
        <v>0</v>
      </c>
      <c r="AP181" s="32">
        <f t="shared" si="496"/>
        <v>31.041999999999998</v>
      </c>
      <c r="AQ181" s="32">
        <f>+AQ57+AQ63+AQ71</f>
        <v>31.041999999999998</v>
      </c>
      <c r="AR181" s="32">
        <f>+AR57+AR63+AR71</f>
        <v>0</v>
      </c>
      <c r="AS181" s="32">
        <f t="shared" si="497"/>
        <v>31.625999999999998</v>
      </c>
      <c r="AT181" s="32">
        <f>+AT57+AT63+AT71</f>
        <v>31.625999999999998</v>
      </c>
      <c r="AU181" s="32">
        <f>+AU57+AU63+AU71</f>
        <v>16.759</v>
      </c>
      <c r="AV181" s="32">
        <f t="shared" si="498"/>
        <v>16.905000000000001</v>
      </c>
      <c r="AW181" s="32">
        <f>+AW57+AW63+AW71</f>
        <v>33.664000000000001</v>
      </c>
      <c r="AX181" s="32">
        <f>+AX57+AX63+AX71</f>
        <v>2</v>
      </c>
      <c r="AY181" s="32">
        <f t="shared" si="499"/>
        <v>31.683999999999997</v>
      </c>
      <c r="AZ181" s="32">
        <f>+AZ57+AZ63+AZ71</f>
        <v>33.683999999999997</v>
      </c>
      <c r="BA181" s="32">
        <f>+BA57+BA63+BA71</f>
        <v>33.009</v>
      </c>
      <c r="BB181" s="32">
        <f t="shared" si="500"/>
        <v>41.286999999999992</v>
      </c>
      <c r="BC181" s="32">
        <f>+BC57+BC63+BC71</f>
        <v>74.295999999999992</v>
      </c>
      <c r="BD181" s="32">
        <f>+BD57+BD63+BD71</f>
        <v>49.69865333333334</v>
      </c>
      <c r="BE181" s="32">
        <f t="shared" si="501"/>
        <v>57.001346666666663</v>
      </c>
      <c r="BF181" s="32">
        <f>+BF57+BF63+BF71</f>
        <v>106.7</v>
      </c>
      <c r="BG181" s="32">
        <f>+BG57+BG63+BG71</f>
        <v>59.453000000000003</v>
      </c>
      <c r="BH181" s="32">
        <f t="shared" si="502"/>
        <v>60.342999999999989</v>
      </c>
      <c r="BI181" s="32">
        <f>+BI57+BI63+BI71</f>
        <v>119.79599999999999</v>
      </c>
      <c r="BJ181" s="32">
        <f>+BJ57+BJ63+BJ71</f>
        <v>34.463000000000001</v>
      </c>
      <c r="BK181" s="32">
        <f t="shared" si="532"/>
        <v>50.463999999999992</v>
      </c>
      <c r="BL181" s="32">
        <f>+BL57+BL63+BL71</f>
        <v>84.926999999999992</v>
      </c>
      <c r="BM181" s="32">
        <f>+BM57+BM63+BM71</f>
        <v>58.151000000000003</v>
      </c>
      <c r="BN181" s="32">
        <f t="shared" si="533"/>
        <v>61.18399999999999</v>
      </c>
      <c r="BO181" s="32">
        <f>+BO57+BO63+BO71</f>
        <v>119.33499999999999</v>
      </c>
      <c r="BP181" s="32">
        <f>+BP57+BP63+BP71</f>
        <v>47.411000000000001</v>
      </c>
      <c r="BQ181" s="32">
        <f t="shared" si="503"/>
        <v>68.652999999999992</v>
      </c>
      <c r="BR181" s="32">
        <f>+BR57+BR63+BR71</f>
        <v>116.06399999999999</v>
      </c>
      <c r="BS181" s="32">
        <f>+BS57+BS63+BS71</f>
        <v>0</v>
      </c>
      <c r="BT181" s="32">
        <f t="shared" si="504"/>
        <v>132.56899999999999</v>
      </c>
      <c r="BU181" s="32">
        <f>+BU57+BU63+BU71</f>
        <v>132.56899999999999</v>
      </c>
      <c r="BV181" s="32">
        <f>+BV57+BV63+BV71</f>
        <v>68.319958918170713</v>
      </c>
      <c r="BW181" s="32">
        <f t="shared" si="505"/>
        <v>74.974953535449217</v>
      </c>
      <c r="BX181" s="32">
        <f>+BX57+BX63+BX71</f>
        <v>143.29491245361993</v>
      </c>
      <c r="BY181" s="32">
        <f>+BY57+BY63+BY71</f>
        <v>75.008059975429191</v>
      </c>
      <c r="BZ181" s="32">
        <f t="shared" si="506"/>
        <v>57.91202023621635</v>
      </c>
      <c r="CA181" s="32">
        <f>+CA57+CA63+CA71</f>
        <v>132.92008021164554</v>
      </c>
      <c r="CB181" s="32">
        <f>+CB57+CB63+CB71</f>
        <v>67.050459547254704</v>
      </c>
      <c r="CC181" s="32">
        <f t="shared" si="507"/>
        <v>67.580841035778363</v>
      </c>
      <c r="CD181" s="32">
        <f>+CD57+CD63+CD71</f>
        <v>134.63130058303307</v>
      </c>
      <c r="CE181" s="32">
        <f>+CE57+CE63+CE71</f>
        <v>79.989979806289057</v>
      </c>
      <c r="CF181" s="32">
        <f t="shared" si="508"/>
        <v>85.007020193710929</v>
      </c>
      <c r="CG181" s="32">
        <f>+CG57+CG63+CG71</f>
        <v>164.99699999999999</v>
      </c>
      <c r="CH181" s="32">
        <f>+CH57+CH63+CH71</f>
        <v>91.262787193121142</v>
      </c>
      <c r="CI181" s="32">
        <f t="shared" si="509"/>
        <v>75.402276304628714</v>
      </c>
      <c r="CJ181" s="32">
        <f>+CJ57+CJ63+CJ71</f>
        <v>166.66506349774986</v>
      </c>
      <c r="CK181" s="32">
        <f>+CK57+CK63+CK71</f>
        <v>90.40153537571841</v>
      </c>
      <c r="CL181" s="32">
        <f t="shared" si="510"/>
        <v>95.75377281452252</v>
      </c>
      <c r="CM181" s="32">
        <f>+CM57+CM63+CM71</f>
        <v>186.15530819024093</v>
      </c>
      <c r="CN181" s="32">
        <f>+CN57+CN63+CN71</f>
        <v>88</v>
      </c>
      <c r="CO181" s="32">
        <f t="shared" si="511"/>
        <v>94.399999999999864</v>
      </c>
      <c r="CP181" s="32">
        <f>+CP57+CP63+CP71</f>
        <v>182.39999999999986</v>
      </c>
      <c r="CQ181" s="32">
        <f>+CQ57+CQ63+CQ71</f>
        <v>84.499999999999957</v>
      </c>
      <c r="CR181" s="32">
        <f t="shared" si="512"/>
        <v>85.600000000000065</v>
      </c>
      <c r="CS181" s="32">
        <f>+CS57+CS63+CS71</f>
        <v>170.10000000000002</v>
      </c>
      <c r="CT181" s="32">
        <f>+CT57+CT63+CT71</f>
        <v>102.24936488726145</v>
      </c>
      <c r="CU181" s="32">
        <f t="shared" si="513"/>
        <v>109.45063511273857</v>
      </c>
      <c r="CV181" s="32">
        <f>+CV57+CV63+CV71</f>
        <v>211.70000000000002</v>
      </c>
      <c r="CW181" s="32">
        <f>+CW57+CW63+CW71</f>
        <v>131</v>
      </c>
      <c r="CX181" s="32">
        <f t="shared" si="514"/>
        <v>147.65728683243412</v>
      </c>
      <c r="CY181" s="32">
        <f>+CY57+CY63+CY71</f>
        <v>278.65728683243412</v>
      </c>
      <c r="CZ181" s="32">
        <f>+CZ57+CZ63+CZ71</f>
        <v>141.30000000000001</v>
      </c>
      <c r="DA181" s="32">
        <f t="shared" si="515"/>
        <v>155.39999999999998</v>
      </c>
      <c r="DB181" s="32">
        <f>+DB57+DB63+DB71</f>
        <v>296.7</v>
      </c>
      <c r="DC181" s="32">
        <f>+DC57+DC63+DC71</f>
        <v>165.90000000000003</v>
      </c>
      <c r="DD181" s="32">
        <f t="shared" si="516"/>
        <v>209.5</v>
      </c>
      <c r="DE181" s="1061">
        <f>+DE57+DE63+DE71</f>
        <v>375.40000000000003</v>
      </c>
      <c r="DF181" s="32">
        <f>+DF57+DF63+DF71</f>
        <v>204.71362052371691</v>
      </c>
      <c r="DG181" s="32">
        <f t="shared" si="517"/>
        <v>215.49376498653399</v>
      </c>
      <c r="DH181" s="1061">
        <f>+DH57+DH63+DH71</f>
        <v>420.2073855102509</v>
      </c>
      <c r="DI181" s="32">
        <f>+DI57+DI63+DI71</f>
        <v>247.64999999999998</v>
      </c>
      <c r="DJ181" s="32">
        <f t="shared" si="518"/>
        <v>247.64999999999998</v>
      </c>
      <c r="DK181" s="1061">
        <f>+DK57+DK63+DK71</f>
        <v>495.29999999999995</v>
      </c>
      <c r="DL181" s="32">
        <f>+DL57+DL63+DL71</f>
        <v>264.2</v>
      </c>
      <c r="DM181" s="32">
        <f t="shared" si="519"/>
        <v>278.3</v>
      </c>
      <c r="DN181" s="1061">
        <f>+DN57+DN63+DN71</f>
        <v>542.5</v>
      </c>
      <c r="DO181" s="32">
        <f>+DO57+DO63+DO71</f>
        <v>293.2</v>
      </c>
      <c r="DP181" s="32">
        <f t="shared" si="520"/>
        <v>302.8</v>
      </c>
      <c r="DQ181" s="1061">
        <f>+DQ57+DQ63+DQ71</f>
        <v>596</v>
      </c>
      <c r="DR181" s="32">
        <f>+DR57+DR63+DR71</f>
        <v>297</v>
      </c>
      <c r="DS181" s="32">
        <f t="shared" si="521"/>
        <v>340</v>
      </c>
      <c r="DT181" s="1061">
        <f>+DT57+DT63+DT71</f>
        <v>637</v>
      </c>
      <c r="DU181" s="32">
        <f>+DU57+DU63+DU71</f>
        <v>321</v>
      </c>
      <c r="DV181" s="32">
        <f t="shared" si="522"/>
        <v>332</v>
      </c>
      <c r="DW181" s="1061">
        <f>+DW57+DW63+DW71</f>
        <v>653</v>
      </c>
      <c r="DX181" s="32">
        <f>+DX57+DX63+DX71</f>
        <v>325</v>
      </c>
      <c r="DY181" s="1875">
        <f>+DY57+DY63+DY71</f>
        <v>310.34588185552099</v>
      </c>
      <c r="DZ181" s="1876">
        <f t="shared" si="534"/>
        <v>635.34588185552093</v>
      </c>
      <c r="EA181" s="32">
        <f>+EA57+EA63+EA71</f>
        <v>370.86004542399405</v>
      </c>
      <c r="EB181" s="32">
        <f t="shared" si="523"/>
        <v>330.00800536822919</v>
      </c>
      <c r="EC181" s="1061">
        <f>+EC57+EC63+EC71</f>
        <v>700.86805079222324</v>
      </c>
      <c r="ED181" s="32">
        <f>+ED57+ED63+ED71</f>
        <v>410.48940083719748</v>
      </c>
      <c r="EE181" s="32">
        <f t="shared" si="524"/>
        <v>371.50494361987154</v>
      </c>
      <c r="EF181" s="1061">
        <f>+EF57+EF63+EF71</f>
        <v>781.99434445706902</v>
      </c>
      <c r="EG181" s="32">
        <f>+EG57+EG63+EG71</f>
        <v>458.30996673506161</v>
      </c>
      <c r="EH181" s="32">
        <f t="shared" si="525"/>
        <v>418.00637966176305</v>
      </c>
      <c r="EI181" s="1061">
        <f>+EI57+EI63+EI71</f>
        <v>876.31634639682466</v>
      </c>
      <c r="EJ181" s="32">
        <f>+EJ57+EJ63+EJ71</f>
        <v>485.340652774305</v>
      </c>
      <c r="EK181" s="32">
        <f t="shared" si="526"/>
        <v>446.35482886110844</v>
      </c>
      <c r="EL181" s="1061">
        <f>+EL57+EL63+EL71</f>
        <v>931.69548163541344</v>
      </c>
      <c r="EM181" s="32">
        <f>+EM57+EM63+EM71</f>
        <v>511.86733190253648</v>
      </c>
      <c r="EN181" s="32">
        <f t="shared" si="527"/>
        <v>471.29299059554961</v>
      </c>
      <c r="EO181" s="1061">
        <f>+EO57+EO63+EO71</f>
        <v>983.16032249808609</v>
      </c>
      <c r="EP181" s="32">
        <f>+EP57+EP63+EP71</f>
        <v>539.47447333036632</v>
      </c>
      <c r="EQ181" s="32">
        <f t="shared" si="528"/>
        <v>499.10908725638558</v>
      </c>
      <c r="ER181" s="1061">
        <f>+ER57+ER63+ER71</f>
        <v>1038.5835605867519</v>
      </c>
      <c r="ES181" s="32">
        <f>+ES57+ES63+ES71</f>
        <v>569.33836277910518</v>
      </c>
      <c r="ET181" s="32">
        <f t="shared" si="529"/>
        <v>528.72021994413331</v>
      </c>
      <c r="EU181" s="1061">
        <f>+EU57+EU63+EU71</f>
        <v>1098.0585827232385</v>
      </c>
      <c r="EV181" s="32">
        <f>+EV57+EV63+EV71</f>
        <v>601.05470316579044</v>
      </c>
      <c r="EW181" s="32">
        <f t="shared" si="530"/>
        <v>560.24620046359314</v>
      </c>
      <c r="EX181" s="1061">
        <f>+EX57+EX63+EX71</f>
        <v>1161.3009036293836</v>
      </c>
      <c r="EY181" s="32">
        <f>+EY57+EY63+EY71</f>
        <v>634.74486717331285</v>
      </c>
      <c r="EZ181" s="32">
        <f t="shared" si="531"/>
        <v>593.81503050533195</v>
      </c>
      <c r="FA181" s="1061">
        <f>+FA57+FA63+FA71</f>
        <v>1228.5598976786448</v>
      </c>
      <c r="FD181"/>
      <c r="FE181"/>
      <c r="FF181"/>
      <c r="FG181"/>
      <c r="FH181"/>
      <c r="FI181"/>
    </row>
    <row r="182" spans="1:169" s="33" customFormat="1" ht="13.5" thickBot="1">
      <c r="B182" s="54" t="s">
        <v>672</v>
      </c>
      <c r="C182" s="54"/>
      <c r="D182" s="2" t="s">
        <v>506</v>
      </c>
      <c r="E182" s="1172"/>
      <c r="F182" s="32">
        <f t="shared" si="484"/>
        <v>0</v>
      </c>
      <c r="G182" s="1173"/>
      <c r="H182" s="1174"/>
      <c r="I182" s="32">
        <f t="shared" si="485"/>
        <v>0</v>
      </c>
      <c r="J182" s="1173"/>
      <c r="K182" s="1174"/>
      <c r="L182" s="32">
        <f t="shared" si="486"/>
        <v>0</v>
      </c>
      <c r="M182" s="1173"/>
      <c r="N182" s="1174"/>
      <c r="O182" s="32">
        <f t="shared" si="487"/>
        <v>0</v>
      </c>
      <c r="P182" s="1173"/>
      <c r="Q182" s="1174"/>
      <c r="R182" s="32">
        <f t="shared" si="488"/>
        <v>0</v>
      </c>
      <c r="S182" s="1173"/>
      <c r="T182" s="1174"/>
      <c r="U182" s="32">
        <f t="shared" si="489"/>
        <v>0</v>
      </c>
      <c r="V182" s="1173"/>
      <c r="W182" s="1174"/>
      <c r="X182" s="32">
        <f t="shared" si="490"/>
        <v>0</v>
      </c>
      <c r="Y182" s="1173"/>
      <c r="Z182" s="1174"/>
      <c r="AA182" s="32">
        <f t="shared" si="491"/>
        <v>0</v>
      </c>
      <c r="AB182" s="1173"/>
      <c r="AC182" s="1174"/>
      <c r="AD182" s="32">
        <f t="shared" si="492"/>
        <v>0</v>
      </c>
      <c r="AE182" s="1173"/>
      <c r="AF182" s="1174"/>
      <c r="AG182" s="32">
        <f t="shared" si="493"/>
        <v>0</v>
      </c>
      <c r="AH182" s="1173"/>
      <c r="AI182" s="1174"/>
      <c r="AJ182" s="32">
        <f t="shared" si="494"/>
        <v>0</v>
      </c>
      <c r="AK182" s="1173"/>
      <c r="AL182" s="1174"/>
      <c r="AM182" s="32">
        <f t="shared" si="495"/>
        <v>9.468</v>
      </c>
      <c r="AN182" s="1176">
        <v>9.468</v>
      </c>
      <c r="AO182" s="1174"/>
      <c r="AP182" s="32">
        <f t="shared" si="496"/>
        <v>10.339</v>
      </c>
      <c r="AQ182" s="1176">
        <v>10.339</v>
      </c>
      <c r="AR182" s="1180">
        <v>7.2640000000000002</v>
      </c>
      <c r="AS182" s="32">
        <f t="shared" si="497"/>
        <v>-7.2640000000000002</v>
      </c>
      <c r="AT182" s="1173"/>
      <c r="AU182" s="1177">
        <v>13.432</v>
      </c>
      <c r="AV182" s="32">
        <f t="shared" si="498"/>
        <v>-36.616</v>
      </c>
      <c r="AW182" s="1176">
        <v>-23.184000000000001</v>
      </c>
      <c r="AX182" s="1177">
        <v>-16.050999999999998</v>
      </c>
      <c r="AY182" s="32">
        <f t="shared" si="499"/>
        <v>-10.978000000000002</v>
      </c>
      <c r="AZ182" s="1176">
        <v>-27.029</v>
      </c>
      <c r="BA182" s="1175" t="str">
        <f>IF(BA5="A","0",-AZ81*Assumptions!BA131)</f>
        <v>0</v>
      </c>
      <c r="BB182" s="32">
        <f t="shared" si="500"/>
        <v>-30.588999999999999</v>
      </c>
      <c r="BC182" s="1176">
        <v>-30.588999999999999</v>
      </c>
      <c r="BD182" s="1177">
        <v>8.3330000000000002</v>
      </c>
      <c r="BE182" s="32">
        <f t="shared" si="501"/>
        <v>-30.500999999999998</v>
      </c>
      <c r="BF182" s="1176">
        <v>-22.167999999999999</v>
      </c>
      <c r="BG182" s="1177">
        <v>-13.253</v>
      </c>
      <c r="BH182" s="32">
        <f t="shared" si="502"/>
        <v>-18.056000000000001</v>
      </c>
      <c r="BI182" s="1173">
        <f>-BI81</f>
        <v>-31.309000000000001</v>
      </c>
      <c r="BJ182" s="1177">
        <v>-19.433</v>
      </c>
      <c r="BK182" s="32">
        <f t="shared" si="532"/>
        <v>8.1419999999999977</v>
      </c>
      <c r="BL182" s="1173">
        <f>-45.764+27.035+15.561-8.123</f>
        <v>-11.291000000000002</v>
      </c>
      <c r="BM182" s="1177">
        <v>-39.665999999999997</v>
      </c>
      <c r="BN182" s="32">
        <f t="shared" si="533"/>
        <v>-3.6330000000000027</v>
      </c>
      <c r="BO182" s="1181">
        <v>-43.298999999999999</v>
      </c>
      <c r="BP182" s="1177">
        <v>-31.698</v>
      </c>
      <c r="BQ182" s="32">
        <f t="shared" si="503"/>
        <v>-96.028999999999996</v>
      </c>
      <c r="BR182" s="1181">
        <v>-127.727</v>
      </c>
      <c r="BS182" s="1177">
        <v>-63.902000000000001</v>
      </c>
      <c r="BT182" s="32">
        <f t="shared" si="504"/>
        <v>-111.40599999999999</v>
      </c>
      <c r="BU182" s="1178">
        <f>-175.308</f>
        <v>-175.30799999999999</v>
      </c>
      <c r="BV182" s="1177">
        <v>-110.29300000000001</v>
      </c>
      <c r="BW182" s="32">
        <f t="shared" si="505"/>
        <v>-127.566</v>
      </c>
      <c r="BX182" s="1181">
        <v>-237.85900000000001</v>
      </c>
      <c r="BY182" s="1177">
        <v>-128.215</v>
      </c>
      <c r="BZ182" s="32">
        <f t="shared" si="506"/>
        <v>-165.93499999999997</v>
      </c>
      <c r="CA182" s="1178">
        <f>-294.15</f>
        <v>-294.14999999999998</v>
      </c>
      <c r="CB182" s="1175">
        <f>-69.725</f>
        <v>-69.724999999999994</v>
      </c>
      <c r="CC182" s="32">
        <f t="shared" si="507"/>
        <v>-110.09700000000001</v>
      </c>
      <c r="CD182" s="1181">
        <v>-179.822</v>
      </c>
      <c r="CE182" s="1177">
        <v>-185.99199999999999</v>
      </c>
      <c r="CF182" s="32">
        <f t="shared" si="508"/>
        <v>-102.65900000000002</v>
      </c>
      <c r="CG182" s="1181">
        <v>-288.65100000000001</v>
      </c>
      <c r="CH182" s="1177">
        <v>-140.9</v>
      </c>
      <c r="CI182" s="32">
        <f t="shared" si="509"/>
        <v>-111.4</v>
      </c>
      <c r="CJ182" s="1181">
        <v>-252.3</v>
      </c>
      <c r="CK182" s="1177">
        <v>-167.8</v>
      </c>
      <c r="CL182" s="32">
        <f t="shared" si="510"/>
        <v>-130.39999999999998</v>
      </c>
      <c r="CM182" s="1181">
        <v>-298.2</v>
      </c>
      <c r="CN182" s="1177">
        <v>-206.6</v>
      </c>
      <c r="CO182" s="32">
        <f t="shared" si="511"/>
        <v>-142.50000000000003</v>
      </c>
      <c r="CP182" s="1181">
        <v>-349.1</v>
      </c>
      <c r="CQ182" s="1175">
        <f>+-193.2</f>
        <v>-193.2</v>
      </c>
      <c r="CR182" s="32">
        <f t="shared" si="512"/>
        <v>-87.800000000000011</v>
      </c>
      <c r="CS182" s="1178">
        <f>+-281</f>
        <v>-281</v>
      </c>
      <c r="CT182" s="1175">
        <f>+-197.1</f>
        <v>-197.1</v>
      </c>
      <c r="CU182" s="32">
        <f t="shared" si="513"/>
        <v>-129.1</v>
      </c>
      <c r="CV182" s="1178">
        <f>+-326.2</f>
        <v>-326.2</v>
      </c>
      <c r="CW182" s="1175">
        <f>(-CW81)</f>
        <v>-251.00000000000011</v>
      </c>
      <c r="CX182" s="32">
        <f t="shared" si="514"/>
        <v>-103.48545389986958</v>
      </c>
      <c r="CY182" s="1178">
        <f>(-CY81)</f>
        <v>-354.4854538998697</v>
      </c>
      <c r="CZ182" s="1175">
        <f>(-CZ81)</f>
        <v>-337.79999999999995</v>
      </c>
      <c r="DA182" s="32">
        <f t="shared" si="515"/>
        <v>-86.800000000000068</v>
      </c>
      <c r="DB182" s="1178">
        <v>-424.6</v>
      </c>
      <c r="DC182" s="1175">
        <v>-399.6</v>
      </c>
      <c r="DD182" s="32">
        <f t="shared" si="516"/>
        <v>-128.10000000000002</v>
      </c>
      <c r="DE182" s="1536">
        <v>-527.70000000000005</v>
      </c>
      <c r="DF182" s="1537">
        <v>-230.2</v>
      </c>
      <c r="DG182" s="1530">
        <f t="shared" si="517"/>
        <v>-124.80000000000001</v>
      </c>
      <c r="DH182" s="1538">
        <v>-355</v>
      </c>
      <c r="DI182" s="1537">
        <f>-248.8</f>
        <v>-248.8</v>
      </c>
      <c r="DJ182" s="1530">
        <f t="shared" si="518"/>
        <v>-245.7</v>
      </c>
      <c r="DK182" s="1538">
        <v>-494.5</v>
      </c>
      <c r="DL182" s="1685">
        <v>-228.7</v>
      </c>
      <c r="DM182" s="1530">
        <f t="shared" si="519"/>
        <v>-228.40000000000003</v>
      </c>
      <c r="DN182" s="1696">
        <v>-457.1</v>
      </c>
      <c r="DO182" s="1686">
        <v>-290.89999999999998</v>
      </c>
      <c r="DP182" s="1530">
        <f t="shared" si="520"/>
        <v>-272.10000000000002</v>
      </c>
      <c r="DQ182" s="1699">
        <v>-563</v>
      </c>
      <c r="DR182" s="1686">
        <v>-500</v>
      </c>
      <c r="DS182" s="1530">
        <f t="shared" si="521"/>
        <v>-284</v>
      </c>
      <c r="DT182" s="1699">
        <v>-784</v>
      </c>
      <c r="DU182" s="1686">
        <v>-311</v>
      </c>
      <c r="DV182" s="1530">
        <f t="shared" si="522"/>
        <v>-326</v>
      </c>
      <c r="DW182" s="1699">
        <v>-637</v>
      </c>
      <c r="DX182" s="1686">
        <v>-301</v>
      </c>
      <c r="DY182" s="1877">
        <f>IF(DY5="A","",-DY81)</f>
        <v>-319.05706823705202</v>
      </c>
      <c r="DZ182" s="1876">
        <f t="shared" si="534"/>
        <v>-620.05706823705202</v>
      </c>
      <c r="EA182" s="1222">
        <f>IF(EA5="A","",-EA81)</f>
        <v>-523.87567452996564</v>
      </c>
      <c r="EB182" s="32">
        <f t="shared" si="523"/>
        <v>-378.66068441742152</v>
      </c>
      <c r="EC182" s="1223">
        <f>IF(EC5="A","",-EC81)</f>
        <v>-902.53635894738716</v>
      </c>
      <c r="ED182" s="1222">
        <f>IF(ED5="A","",-ED81)</f>
        <v>-567.86499345686707</v>
      </c>
      <c r="EE182" s="32">
        <f t="shared" si="524"/>
        <v>-410.73743211474039</v>
      </c>
      <c r="EF182" s="1223">
        <f>IF(EF5="A","",-EF81)</f>
        <v>-978.60242557160745</v>
      </c>
      <c r="EG182" s="1222">
        <f>IF(EG5="A","",-EG81)</f>
        <v>-615.0393526468963</v>
      </c>
      <c r="EH182" s="32">
        <f t="shared" si="525"/>
        <v>-456.20165860920065</v>
      </c>
      <c r="EI182" s="1223">
        <f>IF(EI5="A","",-EI81)</f>
        <v>-1071.241011256097</v>
      </c>
      <c r="EJ182" s="1222">
        <f>IF(EJ5="A","",-EJ81)</f>
        <v>-668.34584679189038</v>
      </c>
      <c r="EK182" s="32">
        <f t="shared" si="526"/>
        <v>-507.74897689085037</v>
      </c>
      <c r="EL182" s="1223">
        <f>IF(EL5="A","",-EL81)</f>
        <v>-1176.0948236827408</v>
      </c>
      <c r="EM182" s="1222">
        <f>IF(EM5="A","",-EM81)</f>
        <v>-730.91690192060969</v>
      </c>
      <c r="EN182" s="32">
        <f t="shared" si="527"/>
        <v>-557.84143628245988</v>
      </c>
      <c r="EO182" s="1223">
        <f>IF(EO5="A","",-EO81)</f>
        <v>-1288.7583382030696</v>
      </c>
      <c r="EP182" s="1222">
        <f>IF(EP5="A","",-EP81)</f>
        <v>-790.89800007154213</v>
      </c>
      <c r="EQ182" s="32">
        <f t="shared" si="528"/>
        <v>-614.36894256179335</v>
      </c>
      <c r="ER182" s="1223">
        <f>IF(ER5="A","",-ER81)</f>
        <v>-1405.2669426333355</v>
      </c>
      <c r="ES182" s="1222">
        <f>IF(ES5="A","",-ES81)</f>
        <v>-848.24814815197703</v>
      </c>
      <c r="ET182" s="32">
        <f t="shared" si="529"/>
        <v>-666.74139342688215</v>
      </c>
      <c r="EU182" s="1223">
        <f>IF(EU5="A","",-EU81)</f>
        <v>-1514.9895415788592</v>
      </c>
      <c r="EV182" s="1222">
        <f>IF(EV5="A","",-EV81)</f>
        <v>-900.91871306976259</v>
      </c>
      <c r="EW182" s="32">
        <f t="shared" si="530"/>
        <v>-713.54641105403994</v>
      </c>
      <c r="EX182" s="1223">
        <f>IF(EX5="A","",-EX81)</f>
        <v>-1614.4651241238025</v>
      </c>
      <c r="EY182" s="1222">
        <f>IF(EY5="A","",-EY81)</f>
        <v>-956.89230354721349</v>
      </c>
      <c r="EZ182" s="32">
        <f t="shared" si="531"/>
        <v>-763.44858635284368</v>
      </c>
      <c r="FA182" s="1223">
        <f>IF(FA5="A","",-FA81)</f>
        <v>-1720.3408899000572</v>
      </c>
      <c r="FD182"/>
      <c r="FE182"/>
      <c r="FF182"/>
      <c r="FG182"/>
      <c r="FH182"/>
      <c r="FI182"/>
    </row>
    <row r="183" spans="1:169" s="33" customFormat="1" ht="13.5" thickBot="1">
      <c r="B183" s="54" t="s">
        <v>122</v>
      </c>
      <c r="C183" s="54"/>
      <c r="D183" s="2" t="s">
        <v>506</v>
      </c>
      <c r="E183" s="1182">
        <f>+E179+E180+E181+E182</f>
        <v>0</v>
      </c>
      <c r="F183" s="1182">
        <f t="shared" si="484"/>
        <v>0</v>
      </c>
      <c r="G183" s="1182">
        <f>+G179+G180+G181+G182</f>
        <v>0</v>
      </c>
      <c r="H183" s="1182">
        <f>+H179+H180+H181+H182</f>
        <v>0</v>
      </c>
      <c r="I183" s="1182">
        <f t="shared" si="485"/>
        <v>0</v>
      </c>
      <c r="J183" s="1182">
        <f>+J179+J180+J181+J182</f>
        <v>0</v>
      </c>
      <c r="K183" s="1182">
        <f>+K179+K180+K181+K182</f>
        <v>0</v>
      </c>
      <c r="L183" s="1182">
        <f t="shared" si="486"/>
        <v>0</v>
      </c>
      <c r="M183" s="1182">
        <f>+M179+M180+M181+M182</f>
        <v>0</v>
      </c>
      <c r="N183" s="1182">
        <f>+N179+N180+N181+N182</f>
        <v>0</v>
      </c>
      <c r="O183" s="1182">
        <f t="shared" si="487"/>
        <v>0</v>
      </c>
      <c r="P183" s="1182">
        <f>+P179+P180+P181+P182</f>
        <v>0</v>
      </c>
      <c r="Q183" s="1182">
        <f>+Q179+Q180+Q181+Q182</f>
        <v>0</v>
      </c>
      <c r="R183" s="1182">
        <f t="shared" si="488"/>
        <v>0</v>
      </c>
      <c r="S183" s="1182">
        <f>+S179+S180+S181+S182</f>
        <v>0</v>
      </c>
      <c r="T183" s="1182">
        <f>+T179+T180+T181+T182</f>
        <v>0</v>
      </c>
      <c r="U183" s="1182">
        <f t="shared" si="489"/>
        <v>0</v>
      </c>
      <c r="V183" s="1182">
        <f>+V179+V180+V181+V182</f>
        <v>0</v>
      </c>
      <c r="W183" s="1182">
        <f>+W179+W180+W181+W182</f>
        <v>0</v>
      </c>
      <c r="X183" s="1182">
        <f t="shared" si="490"/>
        <v>0</v>
      </c>
      <c r="Y183" s="1182">
        <f>+Y179+Y180+Y181+Y182</f>
        <v>0</v>
      </c>
      <c r="Z183" s="1182">
        <f>+Z179+Z180+Z181+Z182</f>
        <v>0</v>
      </c>
      <c r="AA183" s="1182">
        <f t="shared" si="491"/>
        <v>0</v>
      </c>
      <c r="AB183" s="1182">
        <f>+AB179+AB180+AB181+AB182</f>
        <v>0</v>
      </c>
      <c r="AC183" s="1182">
        <f>+AC179+AC180+AC181+AC182</f>
        <v>0</v>
      </c>
      <c r="AD183" s="1182">
        <f t="shared" si="492"/>
        <v>0</v>
      </c>
      <c r="AE183" s="1182">
        <f>+AE179+AE180+AE181+AE182</f>
        <v>0</v>
      </c>
      <c r="AF183" s="1182">
        <f>+AF179+AF180+AF181+AF182</f>
        <v>0</v>
      </c>
      <c r="AG183" s="1182">
        <f t="shared" si="493"/>
        <v>0</v>
      </c>
      <c r="AH183" s="1182">
        <f>+AH179+AH180+AH181+AH182</f>
        <v>0</v>
      </c>
      <c r="AI183" s="1182">
        <f>+AI179+AI180+AI181+AI182</f>
        <v>0</v>
      </c>
      <c r="AJ183" s="1182">
        <f t="shared" si="494"/>
        <v>4.8000000000000001E-2</v>
      </c>
      <c r="AK183" s="1182">
        <f>+AK179+AK180+AK181+AK182</f>
        <v>4.8000000000000001E-2</v>
      </c>
      <c r="AL183" s="1182">
        <f>+AL179+AL180+AL181+AL182</f>
        <v>0</v>
      </c>
      <c r="AM183" s="1182">
        <f t="shared" si="495"/>
        <v>78.623000000000005</v>
      </c>
      <c r="AN183" s="1182">
        <f>+AN179+AN180+AN181+AN182</f>
        <v>78.623000000000005</v>
      </c>
      <c r="AO183" s="1182">
        <f>+AO179+AO180+AO181+AO182</f>
        <v>16.681000000000001</v>
      </c>
      <c r="AP183" s="1182">
        <f t="shared" si="496"/>
        <v>71.677999999999997</v>
      </c>
      <c r="AQ183" s="1182">
        <f>+AQ179+AQ180+AQ181+AQ182</f>
        <v>88.358999999999995</v>
      </c>
      <c r="AR183" s="1182">
        <f>+AR179+AR180+AR181+AR182</f>
        <v>27.468999999999998</v>
      </c>
      <c r="AS183" s="1182">
        <f t="shared" si="497"/>
        <v>62.609000000000009</v>
      </c>
      <c r="AT183" s="1182">
        <f>+AT179+AT180+AT181+AT182</f>
        <v>90.078000000000003</v>
      </c>
      <c r="AU183" s="1182">
        <f>+AU179+AU180+AU181+AU182</f>
        <v>53.905000000000001</v>
      </c>
      <c r="AV183" s="1182">
        <f t="shared" si="498"/>
        <v>25.308000000000007</v>
      </c>
      <c r="AW183" s="1182">
        <f>+AW179+AW180+AW181+AW182</f>
        <v>79.213000000000008</v>
      </c>
      <c r="AX183" s="1182">
        <f>+AX179+AX180+AX181+AX182</f>
        <v>11.761000000000003</v>
      </c>
      <c r="AY183" s="1182">
        <f t="shared" si="499"/>
        <v>73.608000000000004</v>
      </c>
      <c r="AZ183" s="1182">
        <f>+AZ179+AZ180+AZ181+AZ182</f>
        <v>85.369000000000014</v>
      </c>
      <c r="BA183" s="1182">
        <f>+BA179+BA180+BA181+BA182</f>
        <v>76.902000000000001</v>
      </c>
      <c r="BB183" s="1182">
        <f t="shared" si="500"/>
        <v>90.535000000000011</v>
      </c>
      <c r="BC183" s="1182">
        <f>+BC179+BC180+BC181+BC182</f>
        <v>167.43700000000001</v>
      </c>
      <c r="BD183" s="1182">
        <f>+BD179+BD180+BD181+BD182</f>
        <v>173.18465333333333</v>
      </c>
      <c r="BE183" s="1182">
        <f t="shared" si="501"/>
        <v>65.936346666666708</v>
      </c>
      <c r="BF183" s="1182">
        <f>+BF179+BF180+BF181+BF182</f>
        <v>239.12100000000004</v>
      </c>
      <c r="BG183" s="1182">
        <f>+BG179+BG180+BG181+BG182</f>
        <v>88.362000000000009</v>
      </c>
      <c r="BH183" s="1182">
        <f t="shared" si="502"/>
        <v>101.85699999999999</v>
      </c>
      <c r="BI183" s="1182">
        <f>+BI179+BI180+BI181+BI182</f>
        <v>190.21899999999999</v>
      </c>
      <c r="BJ183" s="1182">
        <f>+BJ179+BJ180+BJ181+BJ182</f>
        <v>59.826000000000001</v>
      </c>
      <c r="BK183" s="1182"/>
      <c r="BL183" s="1182"/>
      <c r="BM183" s="1182"/>
      <c r="BN183" s="1182"/>
      <c r="BO183" s="1182">
        <f>+BO179+BO180+BO181+BO182</f>
        <v>728.70600000000013</v>
      </c>
      <c r="BP183" s="1182">
        <f>+BP179+BP180+BP181+BP182</f>
        <v>283.90500000000003</v>
      </c>
      <c r="BQ183" s="1182">
        <f t="shared" si="503"/>
        <v>211.66700000000009</v>
      </c>
      <c r="BR183" s="1182">
        <f>+BR179+BR180+BR181+BR182</f>
        <v>495.57200000000012</v>
      </c>
      <c r="BS183" s="1182">
        <f>+BS179+BS180+BS181+BS182</f>
        <v>331.834</v>
      </c>
      <c r="BT183" s="1182">
        <f t="shared" si="504"/>
        <v>407.19599999999986</v>
      </c>
      <c r="BU183" s="1182">
        <f>+BU179+BU180+BU181+BU182</f>
        <v>739.02999999999986</v>
      </c>
      <c r="BV183" s="1182">
        <f>+BV179+BV180+BV181+BV182</f>
        <v>450.99695891817066</v>
      </c>
      <c r="BW183" s="1182">
        <f t="shared" si="505"/>
        <v>409.67595353544925</v>
      </c>
      <c r="BX183" s="1182">
        <f>+BX179+BX180+BX181+BX182</f>
        <v>860.67291245361992</v>
      </c>
      <c r="BY183" s="1182">
        <f>+BY179+BY180+BY181+BY182</f>
        <v>557.48005997542919</v>
      </c>
      <c r="BZ183" s="1182">
        <f t="shared" si="506"/>
        <v>539.88912533621647</v>
      </c>
      <c r="CA183" s="1182">
        <f>+CA179+CA180+CA181+CA182</f>
        <v>1097.3691853116457</v>
      </c>
      <c r="CB183" s="1182">
        <f>+CB179+CB180+CB181+CB182</f>
        <v>807.12045954725477</v>
      </c>
      <c r="CC183" s="1182">
        <f t="shared" si="507"/>
        <v>523.69384103577818</v>
      </c>
      <c r="CD183" s="1182">
        <f>+CD179+CD180+CD181+CD182</f>
        <v>1330.8143005830329</v>
      </c>
      <c r="CE183" s="1182">
        <f>+CE179+CE180+CE181+CE182</f>
        <v>542.2189798062891</v>
      </c>
      <c r="CF183" s="1182">
        <f t="shared" si="508"/>
        <v>533.74164892032059</v>
      </c>
      <c r="CG183" s="1182">
        <f>+CG179+CG180+CG181+CG182</f>
        <v>1075.9606287266097</v>
      </c>
      <c r="CH183" s="1182">
        <f>+CH179+CH180+CH181+CH182</f>
        <v>581.06278719312115</v>
      </c>
      <c r="CI183" s="1182">
        <f t="shared" si="509"/>
        <v>584.17469364214332</v>
      </c>
      <c r="CJ183" s="1182">
        <f>+CJ179+CJ180+CJ181+CJ182</f>
        <v>1165.2374808352645</v>
      </c>
      <c r="CK183" s="1182">
        <f>+CK179+CK180+CK181+CK182</f>
        <v>706.31178537571827</v>
      </c>
      <c r="CL183" s="1182">
        <f t="shared" si="510"/>
        <v>651.79131419397504</v>
      </c>
      <c r="CM183" s="1182">
        <f>+CM179+CM180+CM181+CM182</f>
        <v>1358.1030995696933</v>
      </c>
      <c r="CN183" s="1182">
        <f>+CN179+CN180+CN181+CN182</f>
        <v>685.8</v>
      </c>
      <c r="CO183" s="1182">
        <f t="shared" si="511"/>
        <v>755.2</v>
      </c>
      <c r="CP183" s="1182">
        <f>+CP179+CP180+CP181+CP182</f>
        <v>1441</v>
      </c>
      <c r="CQ183" s="1182">
        <f>+CQ179+CQ180+CQ181+CQ182</f>
        <v>748.39999999999986</v>
      </c>
      <c r="CR183" s="1182">
        <f t="shared" si="512"/>
        <v>881.7</v>
      </c>
      <c r="CS183" s="1182">
        <f>+CS179+CS180+CS181+CS182</f>
        <v>1630.1</v>
      </c>
      <c r="CT183" s="1182">
        <f>+CT179+CT180+CT181+CT182</f>
        <v>681.64936488726153</v>
      </c>
      <c r="CU183" s="1182">
        <f t="shared" si="513"/>
        <v>671.45063511273861</v>
      </c>
      <c r="CV183" s="1182">
        <f>+CV179+CV180+CV181+CV182</f>
        <v>1353.1000000000001</v>
      </c>
      <c r="CW183" s="1182">
        <f>+CW179+CW180+CW181+CW182</f>
        <v>933.9</v>
      </c>
      <c r="CX183" s="1182">
        <f t="shared" si="514"/>
        <v>690.07183293256423</v>
      </c>
      <c r="CY183" s="1182">
        <f>+CY179+CY180+CY181+CY182</f>
        <v>1623.9718329325642</v>
      </c>
      <c r="CZ183" s="1182">
        <f>+CZ179+CZ180+CZ181+CZ182</f>
        <v>1339.6090930720518</v>
      </c>
      <c r="DA183" s="1182">
        <f t="shared" si="515"/>
        <v>806.49090692794766</v>
      </c>
      <c r="DB183" s="1182">
        <f>+DB179+DB180+DB181+DB182</f>
        <v>2146.0999999999995</v>
      </c>
      <c r="DC183" s="1182">
        <f>+DC179+DC180+DC181+DC182</f>
        <v>1250.7000000000003</v>
      </c>
      <c r="DD183" s="1182">
        <f t="shared" si="516"/>
        <v>974.40000000000009</v>
      </c>
      <c r="DE183" s="1091">
        <f>+DE179+DE180+DE181+DE182</f>
        <v>2225.1000000000004</v>
      </c>
      <c r="DF183" s="1182">
        <f>+DF179+DF180+DF181+DF182</f>
        <v>1520.6326205237167</v>
      </c>
      <c r="DG183" s="1182">
        <f t="shared" si="517"/>
        <v>1118.7048524865338</v>
      </c>
      <c r="DH183" s="1091">
        <f>+DH179+DH180+DH181+DH182</f>
        <v>2639.3374730102505</v>
      </c>
      <c r="DI183" s="1182">
        <f>+DI179+DI180+DI181+DI182</f>
        <v>2253.5315450000003</v>
      </c>
      <c r="DJ183" s="1182">
        <f t="shared" si="518"/>
        <v>737.15427624999984</v>
      </c>
      <c r="DK183" s="1091">
        <f>+DK179+DK180+DK181+DK182</f>
        <v>2990.6858212500001</v>
      </c>
      <c r="DL183" s="32">
        <f>+DL179+DL180+DL181+DL182</f>
        <v>2184.3235962499998</v>
      </c>
      <c r="DM183" s="32">
        <f t="shared" si="519"/>
        <v>811.07640375000028</v>
      </c>
      <c r="DN183" s="1061">
        <f>+DN179+DN180+DN181+DN182</f>
        <v>2995.4</v>
      </c>
      <c r="DO183" s="32">
        <f>+DO179+DO180+DO181+DO182</f>
        <v>2246.4018084999998</v>
      </c>
      <c r="DP183" s="32">
        <f t="shared" si="520"/>
        <v>1069.8963594942447</v>
      </c>
      <c r="DQ183" s="1061">
        <f>+DQ179+DQ180+DQ181+DQ182</f>
        <v>3316.2981679942445</v>
      </c>
      <c r="DR183" s="32">
        <f>+DR179+DR180+DR181+DR182</f>
        <v>2373.9791249999998</v>
      </c>
      <c r="DS183" s="32">
        <f t="shared" si="521"/>
        <v>1244.0284750000001</v>
      </c>
      <c r="DT183" s="1061">
        <f>+DT179+DT180+DT181+DT182</f>
        <v>3618.0075999999999</v>
      </c>
      <c r="DU183" s="32">
        <f>+DU179+DU180+DU181+DU182</f>
        <v>2666</v>
      </c>
      <c r="DV183" s="32">
        <f t="shared" si="522"/>
        <v>1406</v>
      </c>
      <c r="DW183" s="1061">
        <f>+DW179+DW180+DW181+DW182</f>
        <v>4072</v>
      </c>
      <c r="DX183" s="32">
        <f>+DX179+DX180+DX181+DX182</f>
        <v>2632</v>
      </c>
      <c r="DY183" s="32">
        <f>+DY179+DY180+DY181+DY182</f>
        <v>1888.8523306555849</v>
      </c>
      <c r="DZ183" s="1061">
        <f>+DZ179+DZ180+DZ181+DZ182</f>
        <v>4520.8523306555853</v>
      </c>
      <c r="EA183" s="32">
        <f>+EA179+EA180+EA181+EA182</f>
        <v>2604.2247631570053</v>
      </c>
      <c r="EB183" s="32">
        <f t="shared" si="523"/>
        <v>1944.2982915688162</v>
      </c>
      <c r="EC183" s="1061">
        <f>+EC179+EC180+EC181+EC182</f>
        <v>4548.5230547258216</v>
      </c>
      <c r="ED183" s="32">
        <f>+ED179+ED180+ED181+ED182</f>
        <v>2831.3875308375254</v>
      </c>
      <c r="EE183" s="32">
        <f t="shared" si="524"/>
        <v>2122.5434700037649</v>
      </c>
      <c r="EF183" s="1061">
        <f>+EF179+EF180+EF181+EF182</f>
        <v>4953.9310008412904</v>
      </c>
      <c r="EG183" s="32">
        <f>+EG179+EG180+EG181+EG182</f>
        <v>3080.3198385455144</v>
      </c>
      <c r="EH183" s="32">
        <f t="shared" si="525"/>
        <v>2362.8660821536196</v>
      </c>
      <c r="EI183" s="1061">
        <f>+EI179+EI180+EI181+EI182</f>
        <v>5443.1859206991339</v>
      </c>
      <c r="EJ183" s="32">
        <f>+EJ179+EJ180+EJ181+EJ182</f>
        <v>3334.6045259397324</v>
      </c>
      <c r="EK183" s="32">
        <f t="shared" si="526"/>
        <v>2610.9688882378914</v>
      </c>
      <c r="EL183" s="1061">
        <f>+EL179+EL180+EL181+EL182</f>
        <v>5945.5734141776238</v>
      </c>
      <c r="EM183" s="32">
        <f>+EM179+EM180+EM181+EM182</f>
        <v>3627.8814927219778</v>
      </c>
      <c r="EN183" s="32">
        <f t="shared" si="527"/>
        <v>2849.4591136944568</v>
      </c>
      <c r="EO183" s="1061">
        <f>+EO179+EO180+EO181+EO182</f>
        <v>6477.3406064164346</v>
      </c>
      <c r="EP183" s="32">
        <f>+EP179+EP180+EP181+EP182</f>
        <v>3911.1975262669403</v>
      </c>
      <c r="EQ183" s="32">
        <f t="shared" si="528"/>
        <v>3118.260895019821</v>
      </c>
      <c r="ER183" s="1061">
        <f>+ER179+ER180+ER181+ER182</f>
        <v>7029.4584212867612</v>
      </c>
      <c r="ES183" s="32">
        <f>+ES179+ES180+ES181+ES182</f>
        <v>4185.5541522691128</v>
      </c>
      <c r="ET183" s="32">
        <f t="shared" si="529"/>
        <v>3371.1440550797888</v>
      </c>
      <c r="EU183" s="1061">
        <f>+EU179+EU180+EU181+EU182</f>
        <v>7556.6982073489016</v>
      </c>
      <c r="EV183" s="32">
        <f>+EV179+EV180+EV181+EV182</f>
        <v>4441.8134273053047</v>
      </c>
      <c r="EW183" s="32">
        <f t="shared" si="530"/>
        <v>3602.2072160097641</v>
      </c>
      <c r="EX183" s="1061">
        <f>+EX179+EX180+EX181+EX182</f>
        <v>8044.0206433150688</v>
      </c>
      <c r="EY183" s="32">
        <f>+EY179+EY180+EY181+EY182</f>
        <v>4714.1278454535386</v>
      </c>
      <c r="EZ183" s="32">
        <f t="shared" si="531"/>
        <v>3848.5168986411391</v>
      </c>
      <c r="FA183" s="1061">
        <f>+FA179+FA180+FA181+FA182</f>
        <v>8562.6447440946777</v>
      </c>
      <c r="FD183"/>
      <c r="FE183"/>
      <c r="FF183"/>
      <c r="FG183"/>
      <c r="FH183"/>
      <c r="FI183"/>
    </row>
    <row r="184" spans="1:169" s="33" customFormat="1">
      <c r="B184" s="54" t="s">
        <v>123</v>
      </c>
      <c r="C184" s="54"/>
      <c r="D184" s="2" t="s">
        <v>506</v>
      </c>
      <c r="E184" s="1183"/>
      <c r="F184" s="32">
        <f t="shared" si="484"/>
        <v>0</v>
      </c>
      <c r="G184" s="1184"/>
      <c r="H184" s="1185"/>
      <c r="I184" s="32">
        <f t="shared" si="485"/>
        <v>0</v>
      </c>
      <c r="J184" s="1184"/>
      <c r="K184" s="1185"/>
      <c r="L184" s="32">
        <f t="shared" si="486"/>
        <v>0</v>
      </c>
      <c r="M184" s="1184"/>
      <c r="N184" s="1185"/>
      <c r="O184" s="32">
        <f t="shared" si="487"/>
        <v>0</v>
      </c>
      <c r="P184" s="1184"/>
      <c r="Q184" s="1185"/>
      <c r="R184" s="32">
        <f t="shared" si="488"/>
        <v>0</v>
      </c>
      <c r="S184" s="1184"/>
      <c r="T184" s="1185"/>
      <c r="U184" s="32">
        <f t="shared" si="489"/>
        <v>0</v>
      </c>
      <c r="V184" s="1184"/>
      <c r="W184" s="1185"/>
      <c r="X184" s="32">
        <f t="shared" si="490"/>
        <v>0</v>
      </c>
      <c r="Y184" s="1184"/>
      <c r="Z184" s="1185"/>
      <c r="AA184" s="32">
        <f t="shared" si="491"/>
        <v>0</v>
      </c>
      <c r="AB184" s="1184"/>
      <c r="AC184" s="1185"/>
      <c r="AD184" s="32">
        <f t="shared" si="492"/>
        <v>0</v>
      </c>
      <c r="AE184" s="1184"/>
      <c r="AF184" s="1185"/>
      <c r="AG184" s="32">
        <f t="shared" si="493"/>
        <v>0</v>
      </c>
      <c r="AH184" s="1184"/>
      <c r="AI184" s="1185"/>
      <c r="AJ184" s="32">
        <f t="shared" si="494"/>
        <v>0</v>
      </c>
      <c r="AK184" s="1184"/>
      <c r="AL184" s="1185">
        <f>-((AL229-AK229)+(AL234-AK234)-(AL263-AK263))</f>
        <v>0</v>
      </c>
      <c r="AM184" s="32">
        <f t="shared" si="495"/>
        <v>0</v>
      </c>
      <c r="AN184" s="1184">
        <f>-((AN229-AK229)+(AN234-AK234)-(AN263-AK263))</f>
        <v>0</v>
      </c>
      <c r="AO184" s="1185">
        <f>-((AO229-AN229)+(AO234-AN234)-(AO263-AN263))</f>
        <v>0</v>
      </c>
      <c r="AP184" s="32">
        <f t="shared" si="496"/>
        <v>0</v>
      </c>
      <c r="AQ184" s="1184">
        <f>-((AQ229-AN229)+(AQ234-AN234)-(AQ263-AN263))</f>
        <v>0</v>
      </c>
      <c r="AR184" s="1185">
        <f>-((AR229-AQ229)+(AR234-AQ234)-(AR263-AQ263))</f>
        <v>0</v>
      </c>
      <c r="AS184" s="32">
        <f t="shared" si="497"/>
        <v>0</v>
      </c>
      <c r="AT184" s="1184">
        <f>-((AT229-AQ229)+(AT234-AQ234)-(AT263-AQ263))</f>
        <v>0</v>
      </c>
      <c r="AU184" s="1185">
        <f>-((AU229-AT229)+(AU234-AT234)-(AU263-AT263))</f>
        <v>0</v>
      </c>
      <c r="AV184" s="32">
        <f t="shared" si="498"/>
        <v>0</v>
      </c>
      <c r="AW184" s="1184">
        <f>-((AW229-AT229)+(AW234-AT234)-(AW263-AT263))</f>
        <v>0</v>
      </c>
      <c r="AX184" s="1185">
        <f>-((AX229-AW229)+(AX234-AW234)-(AX263-AW263))</f>
        <v>0</v>
      </c>
      <c r="AY184" s="32">
        <f t="shared" si="499"/>
        <v>0</v>
      </c>
      <c r="AZ184" s="1184">
        <f>-((AZ229-AW229)+(AZ234-AW234)-(AZ263-AW263))</f>
        <v>0</v>
      </c>
      <c r="BA184" s="1186" t="s">
        <v>905</v>
      </c>
      <c r="BB184" s="32">
        <f t="shared" si="500"/>
        <v>0</v>
      </c>
      <c r="BC184" s="1184">
        <f>-((BC229-AZ229)+(BC234-AZ234)-(BC263-AZ263))</f>
        <v>0</v>
      </c>
      <c r="BD184" s="1186" t="s">
        <v>905</v>
      </c>
      <c r="BE184" s="32">
        <f t="shared" si="501"/>
        <v>0</v>
      </c>
      <c r="BF184" s="1184">
        <f>-((BF229-BC229)+(BF234-BC234)-(BF263-BC263))</f>
        <v>0</v>
      </c>
      <c r="BG184" s="1186">
        <f>(-((BG229-BF229)+(BG234-BF234)-(BG263-BF263)))</f>
        <v>0</v>
      </c>
      <c r="BH184" s="32">
        <f t="shared" si="502"/>
        <v>-71.297000000000011</v>
      </c>
      <c r="BI184" s="1184">
        <f>8.047-84.534+5.19</f>
        <v>-71.297000000000011</v>
      </c>
      <c r="BJ184" s="1186">
        <f>(-((BJ229-BG229)+(BJ234-BG234)-(BJ263-BG263))+BJ465+BJ466+BJ479)</f>
        <v>0</v>
      </c>
      <c r="BK184" s="32">
        <f t="shared" si="532"/>
        <v>0</v>
      </c>
      <c r="BL184" s="1184">
        <f>(-((BL229-BI229)+(BL234-BI234)-(BL263-BI263))+BL465+BL466+BL479)</f>
        <v>0</v>
      </c>
      <c r="BM184" s="1186">
        <f>(-((BM229-BL229)+(BM234-BL234)-(BM263-BL263))+BM465+BM466+BM479)</f>
        <v>0</v>
      </c>
      <c r="BN184" s="32">
        <f t="shared" si="533"/>
        <v>0</v>
      </c>
      <c r="BO184" s="1184">
        <f>(-((BO229-BL229)+(BO234-BL234)-(BO263-BL263))+BO465+BO466+BO479)</f>
        <v>0</v>
      </c>
      <c r="BP184" s="1186">
        <f>(-((BP229-BO229)+(BP234-BO234)-(BP263-BO263))+BP465+BP466+BP479)</f>
        <v>0</v>
      </c>
      <c r="BQ184" s="32">
        <f t="shared" si="503"/>
        <v>0</v>
      </c>
      <c r="BR184" s="1184">
        <f>(-((BR229-BO229)+(BR234-BO234)-(BR263-BO263))+BR465+BR466+BR479)</f>
        <v>0</v>
      </c>
      <c r="BS184" s="1186">
        <f>(-((BS229-BR229)+(BS234-BR234)-(BS263-BR263))+BS466+BS467+BS480)</f>
        <v>0</v>
      </c>
      <c r="BT184" s="32">
        <f t="shared" si="504"/>
        <v>0</v>
      </c>
      <c r="BU184" s="1184">
        <f>(-((BU229-BR229)+(BU234-BR234)-(BU263-BR263))+BU466+BU467+BU480)</f>
        <v>0</v>
      </c>
      <c r="BV184" s="1186">
        <f>(-((BV229-BU229)+(BV234-BU234)-(BV263-BU263))+BV466+BV467+BV480)</f>
        <v>0</v>
      </c>
      <c r="BW184" s="32">
        <f t="shared" si="505"/>
        <v>-1412</v>
      </c>
      <c r="BX184" s="1184">
        <f>(-((BX229-BU229)+(BX234-BU234)-(BX263-BU263))+BX465+BX466+BX479)</f>
        <v>-1412</v>
      </c>
      <c r="BY184" s="1186">
        <f>(-((BY229-BX229)+(BY234-BX234)-(BY263-BX263))+BY465+BY466+BY479)</f>
        <v>1412</v>
      </c>
      <c r="BZ184" s="32">
        <f t="shared" si="506"/>
        <v>-1415</v>
      </c>
      <c r="CA184" s="1184">
        <f>(-((CA229-BX229)+(CA234-BX234)-(CA263-BX263))+CA465+CA466+CA479)</f>
        <v>-3</v>
      </c>
      <c r="CB184" s="1186">
        <f>(-((CB229-CA229)+(CB234-CA234)-(CB263-CA263))+CB465+CB466+CB479)</f>
        <v>1415</v>
      </c>
      <c r="CC184" s="32">
        <f t="shared" si="507"/>
        <v>-1578</v>
      </c>
      <c r="CD184" s="1184">
        <f>(-((CD229-CA229)+(CD234-CA234)-(CD263-CA263))+CD465+CD466+CD479)</f>
        <v>-163</v>
      </c>
      <c r="CE184" s="1186">
        <f>(-((CE229-CD229)+(CE234-CD234)-(CE263-CD263))+CE465+CE466+CE479)</f>
        <v>1578</v>
      </c>
      <c r="CF184" s="32">
        <f t="shared" si="508"/>
        <v>-1904</v>
      </c>
      <c r="CG184" s="1184">
        <f>(-((CG229-CD229)+(CG234-CD234)-(CG263-CD263))+CG465+CG466+CG479)</f>
        <v>-326</v>
      </c>
      <c r="CH184" s="1186">
        <f>(-((CH229-CG229)+(CH234-CG234)-(CH263-CG263))+CH465+CH466+CH479)</f>
        <v>101.74200000000013</v>
      </c>
      <c r="CI184" s="32">
        <f t="shared" si="509"/>
        <v>96.157999999999959</v>
      </c>
      <c r="CJ184" s="1184">
        <f>(-((CJ229-CG229)+(CJ234-CG234)-(CJ263-CG263))+CJ465+CJ466+CJ479)</f>
        <v>197.90000000000009</v>
      </c>
      <c r="CK184" s="1186">
        <f>(-((CK229-CJ229)+(CK234-CJ234)-(CK263-CJ263))+CK465+CK466+CK479)</f>
        <v>-135.9000000000002</v>
      </c>
      <c r="CL184" s="32">
        <f t="shared" si="510"/>
        <v>0</v>
      </c>
      <c r="CM184" s="1184">
        <f>(-((CM229-CJ229)+(CM234-CJ234)-(CM263-CJ263))+CM465+CM466+CM479)</f>
        <v>-135.9000000000002</v>
      </c>
      <c r="CN184" s="1186">
        <f>(-((CN229-CM229)+(CN234-CM234)-(CN263-CM263))+CN465+CN466+CN479)</f>
        <v>-228.49999999999989</v>
      </c>
      <c r="CO184" s="32">
        <f t="shared" si="511"/>
        <v>104</v>
      </c>
      <c r="CP184" s="1184">
        <f>(-((CP229-CM229)+(CP234-CM234)-(CP263-CM263))+CP465+CP466+CP479)</f>
        <v>-124.49999999999989</v>
      </c>
      <c r="CQ184" s="1184">
        <f>(-((CQ229-CN229)+(CQ234-CN234)-(CQ263-CN263))+CQ465+CQ466+CQ479)</f>
        <v>152.69999999999993</v>
      </c>
      <c r="CR184" s="32">
        <f t="shared" si="512"/>
        <v>-244.69999999999993</v>
      </c>
      <c r="CS184" s="1184">
        <f>(-((CS229-CP229)+(CS234-CP234)-(CS263-CP263))+CS465+CS466+CS479)</f>
        <v>-92</v>
      </c>
      <c r="CT184" s="1186">
        <f>(-((CT229-CQ229)+(CT234-CQ234)-(CT263-CQ263))+CT465+CT466+CT479)</f>
        <v>-128.89999999999986</v>
      </c>
      <c r="CU184" s="32">
        <f t="shared" si="513"/>
        <v>-75.700000000000159</v>
      </c>
      <c r="CV184" s="1184">
        <f>(-((CV229-CS229)+(CV234-CS234)-(CV263-CS263))+CV465+CV466+CV479)</f>
        <v>-204.60000000000002</v>
      </c>
      <c r="CW184" s="1186">
        <f>(-((CW229-CT229)+(CW234-CT234)-(CW263-CT263))+CW465+CW466+CW479)</f>
        <v>-306.79999999999995</v>
      </c>
      <c r="CX184" s="32">
        <f t="shared" si="514"/>
        <v>-20.500000000000341</v>
      </c>
      <c r="CY184" s="1184">
        <f>-((CY229-CV229)+(CY234-CV234)-(CY263-CV263))+CY465+CY466+CY479</f>
        <v>-327.3000000000003</v>
      </c>
      <c r="CZ184" s="1186">
        <f>(-((CZ229-CY229)+(CZ234-CY234)-(CZ263-CY263))+CZ465+CZ466+CZ479)</f>
        <v>-554.69999999999936</v>
      </c>
      <c r="DA184" s="32">
        <f t="shared" si="515"/>
        <v>231.09999999999945</v>
      </c>
      <c r="DB184" s="1184">
        <f>(-((DB229-CY229)+(DB234-CY234)-(DB263-CY263))+DB465+DB466+DB479)</f>
        <v>-323.59999999999991</v>
      </c>
      <c r="DC184" s="1186">
        <f>(-((DC229-DB229)+(DC234-DB234)-(DC263-DB263))+DC465+DC466+DC479)</f>
        <v>-852.19999999999982</v>
      </c>
      <c r="DD184" s="32">
        <f t="shared" si="516"/>
        <v>313.39999999999986</v>
      </c>
      <c r="DE184" s="1187">
        <f>(-((DE229-DB229)+(DE234-DB234)-(DE263-DB263))+DE465+DE466+DE479)</f>
        <v>-538.79999999999995</v>
      </c>
      <c r="DF184" s="1186">
        <f>(-((DF229-DE229)+(DF234-DE234)-(DF263-DE263))+DF465+DF466+DF479)</f>
        <v>-387.59999999999968</v>
      </c>
      <c r="DG184" s="32">
        <f t="shared" si="517"/>
        <v>152.40999999999985</v>
      </c>
      <c r="DH184" s="1187">
        <f>(-((DH229-DE229)+(DH234-DE234)-(DH263-DE263))+DH465+DH466+DH479)</f>
        <v>-235.18999999999983</v>
      </c>
      <c r="DI184" s="1186">
        <f>(-((DI229-DH229)+(DI234-DH234)-(DI263-DH263))+DI465+DI466+DI479)</f>
        <v>-347.40999999999985</v>
      </c>
      <c r="DJ184" s="32">
        <f t="shared" si="518"/>
        <v>583.29999999999995</v>
      </c>
      <c r="DK184" s="1187">
        <f>(-((DK229-DH229)+(DK234-DH234)-(DK263-DH263))+DK465+DK466+DK479)</f>
        <v>235.8900000000001</v>
      </c>
      <c r="DL184" s="1222">
        <f>(-((DL229-DK229)+(DL234-DK234)-(DL263-DK263))+DL465+DL466+DL479)</f>
        <v>-870.69999999999982</v>
      </c>
      <c r="DM184" s="32">
        <f t="shared" si="519"/>
        <v>633.7999999999995</v>
      </c>
      <c r="DN184" s="1223">
        <f>(-((DN229-DK229)+(DN234-DK234)-(DN263-DK263))+DN465+DN466+DN479)</f>
        <v>-236.90000000000032</v>
      </c>
      <c r="DO184" s="1222">
        <f>(-((DO229-DN229)+(DO234-DN234)-(DO263-DN263))+DO465+DO466+DO479)</f>
        <v>-1805.6999999999998</v>
      </c>
      <c r="DP184" s="32">
        <f t="shared" si="520"/>
        <v>770.7</v>
      </c>
      <c r="DQ184" s="1223">
        <f>(-((DQ229-DN229)+(DQ234-DN234)-(DQ263-DN263))+DQ465+DQ466+DQ479)</f>
        <v>-1034.9999999999998</v>
      </c>
      <c r="DR184" s="1222">
        <f>(-((DR229-DQ229)+(DR234-DQ234)-(DR263-DQ263))+DR465+DR466+DR479)</f>
        <v>-1418</v>
      </c>
      <c r="DS184" s="32">
        <f t="shared" si="521"/>
        <v>628</v>
      </c>
      <c r="DT184" s="1223">
        <f>(-((DT229-DQ229)+(DT234-DQ234)-(DT263-DQ263))+DT465+DT466+DT479)</f>
        <v>-790</v>
      </c>
      <c r="DU184" s="1222">
        <f>(-((DU229-DT229)+(DU234-DT234)-(DU263-DT263))+DU465+DU466+DU479)</f>
        <v>-1254</v>
      </c>
      <c r="DV184" s="32">
        <f t="shared" si="522"/>
        <v>622</v>
      </c>
      <c r="DW184" s="1223">
        <f>(-((DW229-DT229)+(DW234-DT234)-(DW263-DT263))+DW465+DW466+DW479)</f>
        <v>-632</v>
      </c>
      <c r="DX184" s="1222">
        <f>(-((DX229-DW229)+(DX234-DW234)-(DX263-DW263))+DX465+DX466+DX479)</f>
        <v>-1254</v>
      </c>
      <c r="DY184" s="1875">
        <f>IF(DY5="A","",-((DY229-DX229)+(DY234-DX234)-(DY263-DX263))+DY465+DY466+DY479)</f>
        <v>437.21397609370342</v>
      </c>
      <c r="DZ184" s="1880">
        <f t="shared" si="534"/>
        <v>-816.78602390629658</v>
      </c>
      <c r="EA184" s="1222">
        <f>IF(EA5="A","",-((EA229-DZ229)+(EA234-DZ234)-(EA263-DZ263))+EA465+EA466+EA479)</f>
        <v>-643.89004665845141</v>
      </c>
      <c r="EB184" s="32">
        <f t="shared" si="523"/>
        <v>217.09137732518957</v>
      </c>
      <c r="EC184" s="1223">
        <f>IF(EC5="A","",-((EC229-DZ229)+(EC234-DZ234)-(EC263-DZ263))+EC465+EC466+EC479)</f>
        <v>-426.79866933326184</v>
      </c>
      <c r="ED184" s="1222">
        <f>IF(ED5="A","",-((ED229-EC229)+(ED234-EC234)-(ED263-EC263))+ED465+ED466+ED479)</f>
        <v>-567.75989143154447</v>
      </c>
      <c r="EE184" s="32">
        <f t="shared" si="524"/>
        <v>121.63028316373675</v>
      </c>
      <c r="EF184" s="1223">
        <f>IF(EF5="A","",-((EF229-EC229)+(EF234-EC234)-(EF263-EC263))+EF465+EF466+EF479)</f>
        <v>-446.12960826780773</v>
      </c>
      <c r="EG184" s="1222">
        <f>IF(EG5="A","",-((EG229-EF229)+(EG234-EF234)-(EG263-EF263))+EG465+EG466+EG479)</f>
        <v>-586.65601255045885</v>
      </c>
      <c r="EH184" s="32">
        <f t="shared" si="525"/>
        <v>52.262819174619381</v>
      </c>
      <c r="EI184" s="1223">
        <f>IF(EI5="A","",-((EI229-EF229)+(EI234-EF234)-(EI263-EF263))+EI465+EI466+EI479)</f>
        <v>-534.39319337583947</v>
      </c>
      <c r="EJ184" s="1222">
        <f>IF(EJ5="A","",-((EJ229-EI229)+(EJ234-EI234)-(EJ263-EI263))+EJ465+EJ466+EJ479)</f>
        <v>-550.79341549309311</v>
      </c>
      <c r="EK184" s="32">
        <f t="shared" si="526"/>
        <v>-28.71274276394297</v>
      </c>
      <c r="EL184" s="1223">
        <f>IF(EL5="A","",-((EL229-EI229)+(EL234-EI234)-(EL263-EI263))+EL465+EL466+EL479)</f>
        <v>-579.50615825703608</v>
      </c>
      <c r="EM184" s="1222">
        <f>IF(EM5="A","",-((EM229-EL229)+(EM234-EL234)-(EM263-EL263))+EM465+EM466+EM479)</f>
        <v>-460.51779668816062</v>
      </c>
      <c r="EN184" s="32">
        <f t="shared" si="527"/>
        <v>-66.306868364207276</v>
      </c>
      <c r="EO184" s="1223">
        <f>IF(EO5="A","",-((EO229-EL229)+(EO234-EL234)-(EO263-EL263))+EO465+EO466+EO479)</f>
        <v>-526.82466505236789</v>
      </c>
      <c r="EP184" s="1222">
        <f>IF(EP5="A","",-((EP229-EO229)+(EP234-EO234)-(EP263-EO263))+EP465+EP466+EP479)</f>
        <v>-442.85487742114674</v>
      </c>
      <c r="EQ184" s="32">
        <f t="shared" si="528"/>
        <v>-125.61477750084396</v>
      </c>
      <c r="ER184" s="1223">
        <f>IF(ER5="A","",-((ER229-EO229)+(ER234-EO234)-(ER263-EO263))+ER465+ER466+ER479)</f>
        <v>-568.4696549219907</v>
      </c>
      <c r="ES184" s="1222">
        <f>IF(ES5="A","",-((ES229-ER229)+(ES234-ER234)-(ES263-ER263))+ES465+ES466+ES479)</f>
        <v>-425.17900749639466</v>
      </c>
      <c r="ET184" s="32">
        <f t="shared" si="529"/>
        <v>-186.21812336339281</v>
      </c>
      <c r="EU184" s="1223">
        <f>IF(EU5="A","",-((EU229-ER229)+(EU234-ER234)-(EU263-ER263))+EU465+EU466+EU479)</f>
        <v>-611.39713085978747</v>
      </c>
      <c r="EV184" s="1222">
        <f>IF(EV5="A","",-((EV229-EU229)+(EV234-EU234)-(EV263-EU263))+EV465+EV466+EV479)</f>
        <v>-398.74893359844464</v>
      </c>
      <c r="EW184" s="32">
        <f t="shared" si="530"/>
        <v>-253.17931849975139</v>
      </c>
      <c r="EX184" s="1223">
        <f>IF(EX5="A","",-((EX229-EU229)+(EX234-EU234)-(EX263-EU263))+EX465+EX466+EX479)</f>
        <v>-651.92825209819603</v>
      </c>
      <c r="EY184" s="1222">
        <f>IF(EY5="A","",-((EY229-EX229)+(EY234-EX234)-(EY263-EX263))+EY465+EY466+EY479)</f>
        <v>-368.20013276145437</v>
      </c>
      <c r="EZ184" s="32">
        <f t="shared" si="531"/>
        <v>-327.05796075602575</v>
      </c>
      <c r="FA184" s="1223">
        <f>IF(FA5="A","",-((FA229-EX229)+(FA234-EX234)-(FA263-EX263))+FA465+FA466+FA479)</f>
        <v>-695.25809351748012</v>
      </c>
      <c r="FD184"/>
      <c r="FE184"/>
      <c r="FF184"/>
      <c r="FG184"/>
      <c r="FH184"/>
      <c r="FI184"/>
    </row>
    <row r="185" spans="1:169" s="33" customFormat="1">
      <c r="B185" s="54" t="s">
        <v>124</v>
      </c>
      <c r="C185" s="54"/>
      <c r="D185" s="2" t="s">
        <v>506</v>
      </c>
      <c r="E185" s="1205"/>
      <c r="F185" s="32">
        <f t="shared" si="484"/>
        <v>0</v>
      </c>
      <c r="G185" s="1206"/>
      <c r="H185" s="1207"/>
      <c r="I185" s="32">
        <f t="shared" si="485"/>
        <v>0</v>
      </c>
      <c r="J185" s="1206"/>
      <c r="K185" s="1207"/>
      <c r="L185" s="32">
        <f t="shared" si="486"/>
        <v>0</v>
      </c>
      <c r="M185" s="1206"/>
      <c r="N185" s="1207"/>
      <c r="O185" s="32">
        <f t="shared" si="487"/>
        <v>0</v>
      </c>
      <c r="P185" s="1206"/>
      <c r="Q185" s="1207"/>
      <c r="R185" s="32">
        <f t="shared" si="488"/>
        <v>0</v>
      </c>
      <c r="S185" s="1206"/>
      <c r="T185" s="1207"/>
      <c r="U185" s="32">
        <f t="shared" si="489"/>
        <v>0</v>
      </c>
      <c r="V185" s="1206"/>
      <c r="W185" s="1207"/>
      <c r="X185" s="32">
        <f t="shared" si="490"/>
        <v>0</v>
      </c>
      <c r="Y185" s="1206"/>
      <c r="Z185" s="1207"/>
      <c r="AA185" s="32">
        <f t="shared" si="491"/>
        <v>0</v>
      </c>
      <c r="AB185" s="1206"/>
      <c r="AC185" s="1207"/>
      <c r="AD185" s="32">
        <f t="shared" si="492"/>
        <v>0</v>
      </c>
      <c r="AE185" s="1206"/>
      <c r="AF185" s="1207"/>
      <c r="AG185" s="32">
        <f t="shared" si="493"/>
        <v>0</v>
      </c>
      <c r="AH185" s="1206"/>
      <c r="AI185" s="1207"/>
      <c r="AJ185" s="32">
        <f t="shared" si="494"/>
        <v>0</v>
      </c>
      <c r="AK185" s="1206"/>
      <c r="AL185" s="1207">
        <f>((AL273-AK273)+(AL293-AK293))</f>
        <v>0</v>
      </c>
      <c r="AM185" s="32">
        <f t="shared" si="495"/>
        <v>0</v>
      </c>
      <c r="AN185" s="1206">
        <f>((AN273-AK273)+(AN293-AK293))</f>
        <v>0</v>
      </c>
      <c r="AO185" s="1207">
        <f>((AO273-AN273)+(AO293-AN293))</f>
        <v>0</v>
      </c>
      <c r="AP185" s="32">
        <f t="shared" si="496"/>
        <v>0</v>
      </c>
      <c r="AQ185" s="1206">
        <f>((AQ273-AN273)+(AQ293-AN293))</f>
        <v>0</v>
      </c>
      <c r="AR185" s="1207">
        <f>((AR273-AQ273)+(AR293-AQ293))</f>
        <v>0</v>
      </c>
      <c r="AS185" s="32">
        <f t="shared" si="497"/>
        <v>0</v>
      </c>
      <c r="AT185" s="1206">
        <f>((AT273-AQ273)+(AT293-AQ293))</f>
        <v>0</v>
      </c>
      <c r="AU185" s="1207">
        <f>((AU273-AT273)+(AU293-AT293))</f>
        <v>0</v>
      </c>
      <c r="AV185" s="32">
        <f t="shared" si="498"/>
        <v>0</v>
      </c>
      <c r="AW185" s="1206">
        <f>((AW273-AT273)+(AW293-AT293))</f>
        <v>0</v>
      </c>
      <c r="AX185" s="1207">
        <f>((AX273-AW273)+(AX293-AW293))</f>
        <v>0</v>
      </c>
      <c r="AY185" s="32">
        <f t="shared" si="499"/>
        <v>0</v>
      </c>
      <c r="AZ185" s="1206">
        <f>((AZ273-AW273)+(AZ293-AW293))</f>
        <v>0</v>
      </c>
      <c r="BA185" s="1220" t="s">
        <v>905</v>
      </c>
      <c r="BB185" s="32">
        <v>0</v>
      </c>
      <c r="BC185" s="1206" t="s">
        <v>905</v>
      </c>
      <c r="BD185" s="1220" t="s">
        <v>905</v>
      </c>
      <c r="BE185" s="32">
        <f t="shared" si="501"/>
        <v>0</v>
      </c>
      <c r="BF185" s="1206" t="str">
        <f>IF(BF5="A","0",((BF273-BC273)+(BF293-BC293)))</f>
        <v>0</v>
      </c>
      <c r="BG185" s="1220">
        <f>(((BG273-BF273)+(BG293-BF293)))</f>
        <v>0</v>
      </c>
      <c r="BH185" s="32">
        <f t="shared" si="502"/>
        <v>-3.9810000000000016</v>
      </c>
      <c r="BI185" s="1206">
        <f>-0.142-6.113-5.766+8.04</f>
        <v>-3.9810000000000016</v>
      </c>
      <c r="BJ185" s="1220">
        <f>(((BJ273-BG273)+(BJ293-BG293))+BJ481+BJ486)</f>
        <v>0</v>
      </c>
      <c r="BK185" s="32">
        <f t="shared" si="532"/>
        <v>0</v>
      </c>
      <c r="BL185" s="1206">
        <f>(((BL273-BI273)+(BL293-BI293))+BL481+BL486)</f>
        <v>0</v>
      </c>
      <c r="BM185" s="1220">
        <f>(((BM273-BL273)+(BM293-BL293))+BM481+BM486)</f>
        <v>0</v>
      </c>
      <c r="BN185" s="32">
        <f t="shared" si="533"/>
        <v>0</v>
      </c>
      <c r="BO185" s="1206">
        <f>(((BO273-BL273)+(BO293-BL293))+BO481+BO486)</f>
        <v>0</v>
      </c>
      <c r="BP185" s="1220">
        <f>(((BP273-BO273)+(BP293-BO293))+BP481+BP486)</f>
        <v>0</v>
      </c>
      <c r="BQ185" s="32">
        <f t="shared" si="503"/>
        <v>0</v>
      </c>
      <c r="BR185" s="1206">
        <f>(((BR273-BO273)+(BR293-BO293))+BR481+BR486)</f>
        <v>0</v>
      </c>
      <c r="BS185" s="1220">
        <f>(((BS273-BR273)+(BS293-BR293))+BS482+BS487)</f>
        <v>0</v>
      </c>
      <c r="BT185" s="32">
        <f t="shared" si="504"/>
        <v>0</v>
      </c>
      <c r="BU185" s="1206">
        <f>(((BU273-BR273)+(BU293-BR293))+BU482+BU487)</f>
        <v>0</v>
      </c>
      <c r="BV185" s="1220">
        <f>(((BV273-BU273)+(BV293-BU293))+BV482+BV487)</f>
        <v>0</v>
      </c>
      <c r="BW185" s="32">
        <f t="shared" si="505"/>
        <v>219</v>
      </c>
      <c r="BX185" s="1206">
        <f>(((BX273-BU273)+(BX293-BU293))+BX481+BX486)</f>
        <v>219</v>
      </c>
      <c r="BY185" s="1220">
        <f>(((BY273-BX273)+(BY293-BX293))+BY481+BY486)</f>
        <v>-219</v>
      </c>
      <c r="BZ185" s="32">
        <f t="shared" si="506"/>
        <v>238</v>
      </c>
      <c r="CA185" s="1206">
        <f>(((CA273-BX273)+(CA293-BX293))+CA481+CA486)</f>
        <v>19</v>
      </c>
      <c r="CB185" s="1220">
        <f>(((CB273-CA273)+(CB293-CA293))+CB481+CB486)</f>
        <v>-238</v>
      </c>
      <c r="CC185" s="32">
        <f t="shared" si="507"/>
        <v>232</v>
      </c>
      <c r="CD185" s="1206">
        <f>(((CD273-CA273)+(CD293-CA293))+CD481+CD486)</f>
        <v>-6</v>
      </c>
      <c r="CE185" s="1220">
        <f>(((CE273-CD273)+(CE293-CD293))+CE481+CE486)</f>
        <v>-232</v>
      </c>
      <c r="CF185" s="32">
        <f t="shared" si="508"/>
        <v>305</v>
      </c>
      <c r="CG185" s="1206">
        <f>(((CG273-CD273)+(CG293-CD293))+CG481+CG486)</f>
        <v>73</v>
      </c>
      <c r="CH185" s="1220">
        <f>(((CH273-CG273)+(CH293-CG293))+CH481+CH486)</f>
        <v>42.937999999999988</v>
      </c>
      <c r="CI185" s="32">
        <f t="shared" si="509"/>
        <v>227.36200000000008</v>
      </c>
      <c r="CJ185" s="1206">
        <f>(((CJ273-CG273)+(CJ293-CG293))+CJ481+CJ486)</f>
        <v>270.30000000000007</v>
      </c>
      <c r="CK185" s="1220">
        <f>(((CK273-CJ273)+(CK293-CJ293))+CK481+CK486)</f>
        <v>-49.700000000000045</v>
      </c>
      <c r="CL185" s="32">
        <f t="shared" si="510"/>
        <v>0</v>
      </c>
      <c r="CM185" s="1206">
        <f>(((CM273-CJ273)+(CM293-CJ293))+CM481+CM486)</f>
        <v>-49.700000000000045</v>
      </c>
      <c r="CN185" s="1220">
        <f>(((CN273-CM273)+(CN293-CM293))+CN481+CN486)</f>
        <v>0.90000000000000568</v>
      </c>
      <c r="CO185" s="32">
        <f t="shared" si="511"/>
        <v>-45.599999999999994</v>
      </c>
      <c r="CP185" s="1206">
        <f>(((CP273-CM273)+(CP293-CM293))+CP481+CP486)</f>
        <v>-44.699999999999989</v>
      </c>
      <c r="CQ185" s="1206">
        <f>(((CQ273-CN273)+(CQ293-CN293))+CQ481+CQ486)</f>
        <v>-49.399999999999977</v>
      </c>
      <c r="CR185" s="32">
        <f t="shared" si="512"/>
        <v>135.49999999999994</v>
      </c>
      <c r="CS185" s="1206">
        <f>(((CS273-CP273)+(CS293-CP293))+CS481+CS486)</f>
        <v>86.099999999999966</v>
      </c>
      <c r="CT185" s="1220">
        <f>(((CT273-CQ273)+(CT293-CQ293))+CT481+CT486)</f>
        <v>96.499999999999972</v>
      </c>
      <c r="CU185" s="32">
        <f t="shared" si="513"/>
        <v>65.100000000000136</v>
      </c>
      <c r="CV185" s="1206">
        <f>(((CV273-CS273)+(CV293-CS293))+CV481+CV486)</f>
        <v>161.60000000000011</v>
      </c>
      <c r="CW185" s="1220">
        <f>(((CW273-CT273)+(CW293-CT293))+CW481+CW486)</f>
        <v>39.899999999999977</v>
      </c>
      <c r="CX185" s="32">
        <f t="shared" si="514"/>
        <v>-103.70000000000005</v>
      </c>
      <c r="CY185" s="1206">
        <f>((CY273-CV273)+(CY293-CV293))+CY481+CY486</f>
        <v>-63.800000000000068</v>
      </c>
      <c r="CZ185" s="1220">
        <f>(((CZ273-CY273)+(CZ293-CY293))+CZ481+CZ486)</f>
        <v>81.699999999999989</v>
      </c>
      <c r="DA185" s="32">
        <f t="shared" si="515"/>
        <v>-5.4000000000000057</v>
      </c>
      <c r="DB185" s="1206">
        <f>(((DB273-CY273)+(DB293-CY293))+DB481+DB486)</f>
        <v>76.299999999999983</v>
      </c>
      <c r="DC185" s="1220">
        <f>(((DC273-DB273)+(DC293-DB293))+DC481+DC486)</f>
        <v>-99.100000000000023</v>
      </c>
      <c r="DD185" s="32">
        <f t="shared" si="516"/>
        <v>66.400000000000063</v>
      </c>
      <c r="DE185" s="1211">
        <f>(((DE273-DB273)+(DE293-DB293))+DE481+DE486)</f>
        <v>-32.69999999999996</v>
      </c>
      <c r="DF185" s="1220">
        <f>(((DF273-DE273)+(DF293-DE293))+DF481+DF486)</f>
        <v>120.44999999999999</v>
      </c>
      <c r="DG185" s="32">
        <f t="shared" si="517"/>
        <v>429.95</v>
      </c>
      <c r="DH185" s="1211">
        <f>(((DH273-DE273)+(DH293-DE293))+DH481+DH486)</f>
        <v>550.4</v>
      </c>
      <c r="DI185" s="1220">
        <f>(((DI273-DH273)+(DI293-DH293))+DI481+DI486)</f>
        <v>279.89999999999986</v>
      </c>
      <c r="DJ185" s="32">
        <f t="shared" si="518"/>
        <v>113.20000000000022</v>
      </c>
      <c r="DK185" s="1211">
        <f>(((DK273-DH273)+(DK293-DH293))+DK481+DK486)</f>
        <v>393.10000000000008</v>
      </c>
      <c r="DL185" s="1222">
        <f>((DL273-DK273)+(DL293-DK293))+DL481+DL486</f>
        <v>240.9</v>
      </c>
      <c r="DM185" s="32">
        <f t="shared" si="519"/>
        <v>-264.80000000000007</v>
      </c>
      <c r="DN185" s="1223">
        <f>((DN273-DK273)+(DN293-DK293))+DN481+DN486</f>
        <v>-23.900000000000091</v>
      </c>
      <c r="DO185" s="1222">
        <f>((DO273-DN273)+(DO293-DN293))+DO481+DO486</f>
        <v>1065.8</v>
      </c>
      <c r="DP185" s="32">
        <f t="shared" si="520"/>
        <v>230.20000000000005</v>
      </c>
      <c r="DQ185" s="1223">
        <f>((DQ273-DN273)+(DQ293-DN293))+DQ481+DQ486</f>
        <v>1296</v>
      </c>
      <c r="DR185" s="1222">
        <f>(((DR273-DQ273)+(DR293-DQ293))+DR481+DR486)</f>
        <v>-55</v>
      </c>
      <c r="DS185" s="32">
        <f t="shared" si="521"/>
        <v>-261</v>
      </c>
      <c r="DT185" s="1223">
        <f>((DT273-DQ273)+(DT293-DQ293))+DT481+DT486</f>
        <v>-316</v>
      </c>
      <c r="DU185" s="1222">
        <f>(((DU273-DT273)+(DU293-DT293))+DU481+DU486)</f>
        <v>98</v>
      </c>
      <c r="DV185" s="32">
        <f t="shared" si="522"/>
        <v>62</v>
      </c>
      <c r="DW185" s="1223">
        <f>((DW273-DT273)+(DW293-DT293))+DW481+DW486</f>
        <v>160</v>
      </c>
      <c r="DX185" s="1222">
        <f>(((DX273-DW273)+(DX293-DW293))+DX481+DX486)</f>
        <v>-53</v>
      </c>
      <c r="DY185" s="1877">
        <v>0</v>
      </c>
      <c r="DZ185" s="1880">
        <f>SUM(DX185:DY185)</f>
        <v>-53</v>
      </c>
      <c r="EA185" s="1222">
        <f>IF(EA5="A","",((EA273-DZ273)+(EA293-DZ293))+EA481+EA486)</f>
        <v>0</v>
      </c>
      <c r="EB185" s="32">
        <f t="shared" si="523"/>
        <v>0</v>
      </c>
      <c r="EC185" s="1223">
        <f>IF(EC5="A","",((EC273-DZ273)+(EC293-DZ293))+EC481+EC486)</f>
        <v>0</v>
      </c>
      <c r="ED185" s="1222">
        <f>IF(ED5="A","",((ED273-EC273)+(ED293-EC293))+ED481+ED486)</f>
        <v>0</v>
      </c>
      <c r="EE185" s="32">
        <f t="shared" si="524"/>
        <v>0</v>
      </c>
      <c r="EF185" s="1223">
        <f>IF(EF5="A","",((EF273-EC273)+(EF293-EC293))+EF481+EF486)</f>
        <v>0</v>
      </c>
      <c r="EG185" s="1222">
        <f>IF(EG5="A","",((EG273-EF273)+(EG293-EF293))+EG481+EG486)</f>
        <v>0</v>
      </c>
      <c r="EH185" s="32">
        <f t="shared" si="525"/>
        <v>0</v>
      </c>
      <c r="EI185" s="1223">
        <f>IF(EI5="A","",((EI273-EF273)+(EI293-EF293))+EI481+EI486)</f>
        <v>0</v>
      </c>
      <c r="EJ185" s="1222">
        <f>IF(EJ5="A","",((EJ273-EI273)+(EJ293-EI293))+EJ481+EJ486)</f>
        <v>0</v>
      </c>
      <c r="EK185" s="32">
        <f t="shared" si="526"/>
        <v>0</v>
      </c>
      <c r="EL185" s="1223">
        <f>IF(EL5="A","",((EL273-EI273)+(EL293-EI293))+EL481+EL486)</f>
        <v>0</v>
      </c>
      <c r="EM185" s="1222">
        <f>IF(EM5="A","",((EM273-EL273)+(EM293-EL293))+EM481+EM486)</f>
        <v>0</v>
      </c>
      <c r="EN185" s="32">
        <f t="shared" si="527"/>
        <v>0</v>
      </c>
      <c r="EO185" s="1223">
        <f>IF(EO5="A","",((EO273-EL273)+(EO293-EL293))+EO481+EO486)</f>
        <v>0</v>
      </c>
      <c r="EP185" s="1222">
        <f>IF(EP5="A","",((EP273-EO273)+(EP293-EO293))+EP481+EP486)</f>
        <v>0</v>
      </c>
      <c r="EQ185" s="32">
        <f t="shared" si="528"/>
        <v>0</v>
      </c>
      <c r="ER185" s="1223">
        <f>IF(ER5="A","",((ER273-EO273)+(ER293-EO293))+ER481+ER486)</f>
        <v>0</v>
      </c>
      <c r="ES185" s="1222">
        <f>IF(ES5="A","",((ES273-ER273)+(ES293-ER293))+ES481+ES486)</f>
        <v>0</v>
      </c>
      <c r="ET185" s="32">
        <f t="shared" si="529"/>
        <v>0</v>
      </c>
      <c r="EU185" s="1223">
        <f>IF(EU5="A","",((EU273-ER273)+(EU293-ER293))+EU481+EU486)</f>
        <v>0</v>
      </c>
      <c r="EV185" s="1222">
        <f>IF(EV5="A","",((EV273-EU273)+(EV293-EU293))+EV481+EV486)</f>
        <v>0</v>
      </c>
      <c r="EW185" s="32">
        <f t="shared" si="530"/>
        <v>0</v>
      </c>
      <c r="EX185" s="1223">
        <f>IF(EX5="A","",((EX273-EU273)+(EX293-EU293))+EX481+EX486)</f>
        <v>0</v>
      </c>
      <c r="EY185" s="1222">
        <f>IF(EY5="A","",((EY273-EX273)+(EY293-EX293))+EY481+EY486)</f>
        <v>0</v>
      </c>
      <c r="EZ185" s="32">
        <f t="shared" si="531"/>
        <v>0</v>
      </c>
      <c r="FA185" s="1222">
        <f>IF(FA5="A","",((FA273-EZ273)+(FA293-EZ293))+FA481+FA486)</f>
        <v>0</v>
      </c>
      <c r="FD185"/>
      <c r="FE185"/>
      <c r="FF185"/>
      <c r="FG185"/>
      <c r="FH185"/>
      <c r="FI185"/>
    </row>
    <row r="186" spans="1:169" s="33" customFormat="1">
      <c r="B186" s="1730" t="s">
        <v>125</v>
      </c>
      <c r="C186" s="1730"/>
      <c r="D186" s="1732" t="s">
        <v>506</v>
      </c>
      <c r="E186" s="1421">
        <f>E187-E183-E184-E185</f>
        <v>0</v>
      </c>
      <c r="F186" s="1421">
        <f t="shared" si="484"/>
        <v>0</v>
      </c>
      <c r="G186" s="1421">
        <f>G187-G183-G184-G185</f>
        <v>0</v>
      </c>
      <c r="H186" s="1421">
        <f>H187-H183-H184-H185</f>
        <v>0</v>
      </c>
      <c r="I186" s="1421">
        <f t="shared" si="485"/>
        <v>0</v>
      </c>
      <c r="J186" s="1421">
        <f>J187-J183-J184-J185</f>
        <v>0</v>
      </c>
      <c r="K186" s="1421">
        <f>K187-K183-K184-K185</f>
        <v>0</v>
      </c>
      <c r="L186" s="1421">
        <f t="shared" si="486"/>
        <v>0</v>
      </c>
      <c r="M186" s="1421">
        <f>M187-M183-M184-M185</f>
        <v>0</v>
      </c>
      <c r="N186" s="1421">
        <f>N187-N183-N184-N185</f>
        <v>0</v>
      </c>
      <c r="O186" s="1421">
        <f t="shared" si="487"/>
        <v>0</v>
      </c>
      <c r="P186" s="1421">
        <f>P187-P183-P184-P185</f>
        <v>0</v>
      </c>
      <c r="Q186" s="1421">
        <f>Q187-Q183-Q184-Q185</f>
        <v>0</v>
      </c>
      <c r="R186" s="1421">
        <f t="shared" si="488"/>
        <v>0</v>
      </c>
      <c r="S186" s="1421">
        <f>S187-S183-S184-S185</f>
        <v>0</v>
      </c>
      <c r="T186" s="1421">
        <f>T187-T183-T184-T185</f>
        <v>0</v>
      </c>
      <c r="U186" s="1421">
        <f t="shared" si="489"/>
        <v>0</v>
      </c>
      <c r="V186" s="1421">
        <f>V187-V183-V184-V185</f>
        <v>0</v>
      </c>
      <c r="W186" s="1421">
        <f>W187-W183-W184-W185</f>
        <v>0</v>
      </c>
      <c r="X186" s="1421">
        <f t="shared" si="490"/>
        <v>0</v>
      </c>
      <c r="Y186" s="1421">
        <f>Y187-Y183-Y184-Y185</f>
        <v>0</v>
      </c>
      <c r="Z186" s="1421">
        <f>Z187-Z183-Z184-Z185</f>
        <v>0</v>
      </c>
      <c r="AA186" s="1421">
        <f t="shared" si="491"/>
        <v>0</v>
      </c>
      <c r="AB186" s="1421">
        <f>AB187-AB183-AB184-AB185</f>
        <v>0</v>
      </c>
      <c r="AC186" s="1421">
        <f>AC187-AC183-AC184-AC185</f>
        <v>0</v>
      </c>
      <c r="AD186" s="1421">
        <f t="shared" si="492"/>
        <v>0</v>
      </c>
      <c r="AE186" s="1421">
        <f>AE187-AE183-AE184-AE185</f>
        <v>0</v>
      </c>
      <c r="AF186" s="1421">
        <f>AF187-AF183-AF184-AF185</f>
        <v>0</v>
      </c>
      <c r="AG186" s="1421">
        <f t="shared" si="493"/>
        <v>0</v>
      </c>
      <c r="AH186" s="1421">
        <f>AH187-AH183-AH184-AH185</f>
        <v>0</v>
      </c>
      <c r="AI186" s="1421">
        <f>AI187-AI183-AI184-AI185</f>
        <v>0</v>
      </c>
      <c r="AJ186" s="1421">
        <f t="shared" si="494"/>
        <v>-4.8000000000000001E-2</v>
      </c>
      <c r="AK186" s="1421">
        <f>AK187-AK183-AK184-AK185</f>
        <v>-4.8000000000000001E-2</v>
      </c>
      <c r="AL186" s="1421">
        <f>AL187-AL183-AL184-AL185</f>
        <v>0</v>
      </c>
      <c r="AM186" s="1421">
        <f t="shared" si="495"/>
        <v>0</v>
      </c>
      <c r="AN186" s="1421">
        <f>AN187-AN183-AN184-AN185</f>
        <v>0</v>
      </c>
      <c r="AO186" s="1421">
        <f>AO187-AO183-AO184-AO185</f>
        <v>0</v>
      </c>
      <c r="AP186" s="1421">
        <f t="shared" si="496"/>
        <v>0</v>
      </c>
      <c r="AQ186" s="1421">
        <f>AQ187-AQ183-AQ184-AQ185</f>
        <v>0</v>
      </c>
      <c r="AR186" s="1421">
        <f>AR187-AR183-AR184-AR185</f>
        <v>0</v>
      </c>
      <c r="AS186" s="1421">
        <f t="shared" si="497"/>
        <v>0</v>
      </c>
      <c r="AT186" s="1421">
        <f>AT187-AT183-AT184-AT185</f>
        <v>0</v>
      </c>
      <c r="AU186" s="1421">
        <f>AU187-AU183-AU184-AU185</f>
        <v>0</v>
      </c>
      <c r="AV186" s="1421">
        <f t="shared" si="498"/>
        <v>-6.8360000000000127</v>
      </c>
      <c r="AW186" s="1421">
        <f>AW187-AW183-AW184-AW185</f>
        <v>-6.8360000000000127</v>
      </c>
      <c r="AX186" s="1421">
        <f>AX187-AX183-AX184-AX185</f>
        <v>0</v>
      </c>
      <c r="AY186" s="1421">
        <f t="shared" si="499"/>
        <v>-31.295000000000016</v>
      </c>
      <c r="AZ186" s="1421">
        <f>AZ187-AZ183-AZ184-AZ185</f>
        <v>-31.295000000000016</v>
      </c>
      <c r="BA186" s="1421">
        <f>BA187-BA183-BA184-BA185</f>
        <v>-29.621000000000002</v>
      </c>
      <c r="BB186" s="1421">
        <f t="shared" si="500"/>
        <v>-8.7779999999999987</v>
      </c>
      <c r="BC186" s="1421">
        <f>BC187-BC183-BC184-BC185</f>
        <v>-38.399000000000001</v>
      </c>
      <c r="BD186" s="1421">
        <f>BD187-BD183-BD184-BD185</f>
        <v>-175.44365333333332</v>
      </c>
      <c r="BE186" s="1421">
        <f t="shared" si="501"/>
        <v>66.407653333333286</v>
      </c>
      <c r="BF186" s="1421">
        <f>BF187-BF183-BF184-BF185</f>
        <v>-109.03600000000003</v>
      </c>
      <c r="BG186" s="1421">
        <f>BG187-BG183-BG184-BG185</f>
        <v>-63.50500000000001</v>
      </c>
      <c r="BH186" s="1421">
        <f t="shared" si="502"/>
        <v>64.079000000000036</v>
      </c>
      <c r="BI186" s="1421">
        <f>BI187-BI183-BI184-BI185</f>
        <v>0.57400000000001938</v>
      </c>
      <c r="BJ186" s="1421">
        <f>BJ187-BJ183-BJ184-BJ185</f>
        <v>-10.636000000000003</v>
      </c>
      <c r="BK186" s="1421"/>
      <c r="BL186" s="1421"/>
      <c r="BM186" s="1421"/>
      <c r="BN186" s="1421"/>
      <c r="BO186" s="1421">
        <f>BO187-BO183-BO184-BO185</f>
        <v>-160.88400000000013</v>
      </c>
      <c r="BP186" s="1421">
        <f>BP187-BP183-BP184-BP185</f>
        <v>-19.65300000000002</v>
      </c>
      <c r="BQ186" s="1421">
        <f t="shared" si="503"/>
        <v>46.244999999999891</v>
      </c>
      <c r="BR186" s="1421">
        <f>BR187-BR183-BR184-BR185</f>
        <v>26.591999999999871</v>
      </c>
      <c r="BS186" s="1421">
        <f>BS187-BS183-BS184-BS185</f>
        <v>-145.03300000000002</v>
      </c>
      <c r="BT186" s="1421">
        <f t="shared" si="504"/>
        <v>-113.15699999999987</v>
      </c>
      <c r="BU186" s="1421">
        <f>BU187-BU183-BU184-BU185</f>
        <v>-258.18999999999988</v>
      </c>
      <c r="BV186" s="1421">
        <f>BV187-BV183-BV184-BV185</f>
        <v>-158.27095891817066</v>
      </c>
      <c r="BW186" s="1421">
        <f t="shared" si="505"/>
        <v>1205.9340464645509</v>
      </c>
      <c r="BX186" s="1421">
        <f>BX187-BX183-BX184-BX185</f>
        <v>1047.6630875463802</v>
      </c>
      <c r="BY186" s="1421">
        <f>BY187-BY183-BY184-BY185</f>
        <v>-1305.4320599754292</v>
      </c>
      <c r="BZ186" s="1421">
        <f t="shared" si="506"/>
        <v>1216.8868746637836</v>
      </c>
      <c r="CA186" s="1421">
        <f>CA187-CA183-CA184-CA185</f>
        <v>-88.545185311645582</v>
      </c>
      <c r="CB186" s="1421">
        <f>CB187-CB183-CB184-CB185</f>
        <v>-1492.9494595472547</v>
      </c>
      <c r="CC186" s="1421">
        <f t="shared" si="507"/>
        <v>1499.6271589642217</v>
      </c>
      <c r="CD186" s="1421">
        <f>CD187-CD183-CD184-CD185</f>
        <v>6.6776994169670161</v>
      </c>
      <c r="CE186" s="1421">
        <f>CE187-CE183-CE184-CE185</f>
        <v>-1479.8159798062891</v>
      </c>
      <c r="CF186" s="1421">
        <f t="shared" si="508"/>
        <v>1674.9743510796793</v>
      </c>
      <c r="CG186" s="1421">
        <f>CG187-CG183-CG184-CG185</f>
        <v>195.15837127339034</v>
      </c>
      <c r="CH186" s="1421">
        <f>CH187-CH183-CH184-CH185</f>
        <v>-186.94278719312132</v>
      </c>
      <c r="CI186" s="1421">
        <f t="shared" si="509"/>
        <v>-240.69469364214336</v>
      </c>
      <c r="CJ186" s="1421">
        <f>CJ187-CJ183-CJ184-CJ185</f>
        <v>-427.63748083526468</v>
      </c>
      <c r="CK186" s="1421">
        <f>CK187-CK183-CK184-CK185</f>
        <v>149.48821462428202</v>
      </c>
      <c r="CL186" s="1421">
        <f t="shared" si="510"/>
        <v>-10.29131419397504</v>
      </c>
      <c r="CM186" s="1421">
        <f>CM187-CM183-CM184-CM185</f>
        <v>139.19690043030698</v>
      </c>
      <c r="CN186" s="1421">
        <f>CN187-CN183-CN184-CN185</f>
        <v>54.299999999999926</v>
      </c>
      <c r="CO186" s="1421">
        <f t="shared" si="511"/>
        <v>34.599999999999994</v>
      </c>
      <c r="CP186" s="1421">
        <f>CP187-CP183-CP184-CP185</f>
        <v>88.89999999999992</v>
      </c>
      <c r="CQ186" s="1421">
        <f>CQ187-CQ183-CQ184-CQ185</f>
        <v>-195.69999999999982</v>
      </c>
      <c r="CR186" s="1421">
        <f t="shared" si="512"/>
        <v>-64.900000000000148</v>
      </c>
      <c r="CS186" s="1421">
        <f>CS187-CS183-CS184-CS185</f>
        <v>-260.59999999999997</v>
      </c>
      <c r="CT186" s="1421">
        <f>CT187-CT183-CT184-CT185</f>
        <v>55.950635112738411</v>
      </c>
      <c r="CU186" s="1421">
        <f t="shared" si="513"/>
        <v>-187.45063511273872</v>
      </c>
      <c r="CV186" s="1421">
        <f>CV187-CV183-CV184-CV185</f>
        <v>-131.50000000000031</v>
      </c>
      <c r="CW186" s="1421">
        <f>CW187-CW183-CW184-CW185</f>
        <v>-2.7999999999999545</v>
      </c>
      <c r="CX186" s="1421">
        <f t="shared" si="514"/>
        <v>16.528167067436016</v>
      </c>
      <c r="CY186" s="1421">
        <f>CY187-CY183-CY184-CY185</f>
        <v>13.728167067436061</v>
      </c>
      <c r="CZ186" s="1421">
        <f>CZ187-CZ183-CZ184-CZ185</f>
        <v>-26.609093072052417</v>
      </c>
      <c r="DA186" s="1421">
        <f t="shared" si="515"/>
        <v>29.909093072052798</v>
      </c>
      <c r="DB186" s="1421">
        <f>DB187-DB183-DB184-DB185</f>
        <v>3.3000000000003809</v>
      </c>
      <c r="DC186" s="1421">
        <f>DC187-DC183-DC184-DC185</f>
        <v>235.79999999999961</v>
      </c>
      <c r="DD186" s="1421">
        <f t="shared" si="516"/>
        <v>-244.99999999999997</v>
      </c>
      <c r="DE186" s="1104">
        <f>DE187-DE183-DE184-DE185</f>
        <v>-9.2000000000003581</v>
      </c>
      <c r="DF186" s="1421">
        <f>DF187-DF183-DF184-DF185</f>
        <v>-8.582620523716912</v>
      </c>
      <c r="DG186" s="1421">
        <f t="shared" si="517"/>
        <v>-457.66485248653356</v>
      </c>
      <c r="DH186" s="1104">
        <f>DH187-DH183-DH184-DH185</f>
        <v>-466.24747301025047</v>
      </c>
      <c r="DI186" s="1421">
        <f>DI187-DI183-DI184-DI185</f>
        <v>134.47845499999971</v>
      </c>
      <c r="DJ186" s="1421">
        <f t="shared" si="518"/>
        <v>-132.25427624999992</v>
      </c>
      <c r="DK186" s="1104">
        <f>DK187-DK183-DK184-DK185</f>
        <v>2.224178749999794</v>
      </c>
      <c r="DL186" s="1421">
        <f>DL187-DL183-DL184-DL185</f>
        <v>-127.62359624999991</v>
      </c>
      <c r="DM186" s="1421">
        <f t="shared" si="519"/>
        <v>21.723596250000043</v>
      </c>
      <c r="DN186" s="1104">
        <f>DN187-DN183-DN184-DN185</f>
        <v>-105.89999999999986</v>
      </c>
      <c r="DO186" s="1421">
        <f>DO187-DO183-DO184-DO185</f>
        <v>-526.00180849999992</v>
      </c>
      <c r="DP186" s="1421">
        <f t="shared" si="520"/>
        <v>-450.29635949424483</v>
      </c>
      <c r="DQ186" s="1104">
        <f>DQ187-DQ183-DQ184-DQ185</f>
        <v>-976.29816799424475</v>
      </c>
      <c r="DR186" s="1421">
        <f>DR187-DR183-DR184-DR185</f>
        <v>168.02087500000016</v>
      </c>
      <c r="DS186" s="1421">
        <f t="shared" si="521"/>
        <v>83.971524999999929</v>
      </c>
      <c r="DT186" s="1104">
        <f>DT187-DT183-DT184-DT185</f>
        <v>251.99240000000009</v>
      </c>
      <c r="DU186" s="1421">
        <f>DU187-DU183-DU184-DU185</f>
        <v>-251</v>
      </c>
      <c r="DV186" s="1421">
        <f t="shared" si="522"/>
        <v>212</v>
      </c>
      <c r="DW186" s="1104">
        <f>DW187-DW183-DW184-DW185</f>
        <v>-39</v>
      </c>
      <c r="DX186" s="1421">
        <f>DX187-DX183-DX184-DX185</f>
        <v>-23</v>
      </c>
      <c r="DY186" s="1881">
        <v>0</v>
      </c>
      <c r="DZ186" s="1898">
        <f>SUM(DX186:DY186)</f>
        <v>-23</v>
      </c>
      <c r="EA186" s="1421">
        <f>EA187-EA183-EA184-EA185</f>
        <v>0</v>
      </c>
      <c r="EB186" s="1421">
        <f t="shared" si="523"/>
        <v>-4.5474735088646412E-13</v>
      </c>
      <c r="EC186" s="1104">
        <f>EC187-EC183-EC184-EC185</f>
        <v>-4.5474735088646412E-13</v>
      </c>
      <c r="ED186" s="1421">
        <f>ED187-ED183-ED184-ED185</f>
        <v>0</v>
      </c>
      <c r="EE186" s="1421">
        <f t="shared" si="524"/>
        <v>4.5474735088646412E-13</v>
      </c>
      <c r="EF186" s="1104">
        <f>EF187-EF183-EF184-EF185</f>
        <v>4.5474735088646412E-13</v>
      </c>
      <c r="EG186" s="1421">
        <f>EG187-EG183-EG184-EG185</f>
        <v>0</v>
      </c>
      <c r="EH186" s="1421">
        <f t="shared" si="525"/>
        <v>0</v>
      </c>
      <c r="EI186" s="1104">
        <f>EI187-EI183-EI184-EI185</f>
        <v>0</v>
      </c>
      <c r="EJ186" s="1421">
        <f>EJ187-EJ183-EJ184-EJ185</f>
        <v>0</v>
      </c>
      <c r="EK186" s="1421">
        <f t="shared" si="526"/>
        <v>0</v>
      </c>
      <c r="EL186" s="1104">
        <f>EL187-EL183-EL184-EL185</f>
        <v>0</v>
      </c>
      <c r="EM186" s="1421">
        <f>EM187-EM183-EM184-EM185</f>
        <v>0</v>
      </c>
      <c r="EN186" s="1421">
        <f t="shared" si="527"/>
        <v>0</v>
      </c>
      <c r="EO186" s="1104">
        <f>EO187-EO183-EO184-EO185</f>
        <v>0</v>
      </c>
      <c r="EP186" s="1421">
        <f>EP187-EP183-EP184-EP185</f>
        <v>0</v>
      </c>
      <c r="EQ186" s="1421">
        <f t="shared" si="528"/>
        <v>0</v>
      </c>
      <c r="ER186" s="1104">
        <f>ER187-ER183-ER184-ER185</f>
        <v>0</v>
      </c>
      <c r="ES186" s="1421">
        <f>ES187-ES183-ES184-ES185</f>
        <v>0</v>
      </c>
      <c r="ET186" s="1421">
        <f t="shared" si="529"/>
        <v>0</v>
      </c>
      <c r="EU186" s="1104">
        <f>EU187-EU183-EU184-EU185</f>
        <v>0</v>
      </c>
      <c r="EV186" s="1421">
        <f>EV187-EV183-EV184-EV185</f>
        <v>0</v>
      </c>
      <c r="EW186" s="1421">
        <f t="shared" si="530"/>
        <v>0</v>
      </c>
      <c r="EX186" s="1104">
        <f>EX187-EX183-EX184-EX185</f>
        <v>0</v>
      </c>
      <c r="EY186" s="1421">
        <f>EY187-EY183-EY184-EY185</f>
        <v>0</v>
      </c>
      <c r="EZ186" s="1421">
        <f t="shared" si="531"/>
        <v>0</v>
      </c>
      <c r="FA186" s="1104">
        <f>FA187-FA183-FA184-FA185</f>
        <v>0</v>
      </c>
      <c r="FD186"/>
      <c r="FE186"/>
      <c r="FF186"/>
      <c r="FG186"/>
      <c r="FH186"/>
      <c r="FI186"/>
    </row>
    <row r="187" spans="1:169" s="61" customFormat="1" ht="13.5" thickBot="1">
      <c r="B187" s="60" t="s">
        <v>126</v>
      </c>
      <c r="C187" s="60"/>
      <c r="D187" s="1658" t="s">
        <v>506</v>
      </c>
      <c r="E187" s="1740"/>
      <c r="F187" s="1272">
        <f t="shared" si="484"/>
        <v>0</v>
      </c>
      <c r="G187" s="1741"/>
      <c r="H187" s="1742"/>
      <c r="I187" s="1272">
        <f t="shared" si="485"/>
        <v>0</v>
      </c>
      <c r="J187" s="1741"/>
      <c r="K187" s="1742"/>
      <c r="L187" s="1272">
        <f t="shared" si="486"/>
        <v>0</v>
      </c>
      <c r="M187" s="1741"/>
      <c r="N187" s="1742"/>
      <c r="O187" s="1272">
        <f t="shared" si="487"/>
        <v>0</v>
      </c>
      <c r="P187" s="1741"/>
      <c r="Q187" s="1742"/>
      <c r="R187" s="1272">
        <f t="shared" si="488"/>
        <v>0</v>
      </c>
      <c r="S187" s="1741"/>
      <c r="T187" s="1742"/>
      <c r="U187" s="1272">
        <f t="shared" si="489"/>
        <v>0</v>
      </c>
      <c r="V187" s="1741"/>
      <c r="W187" s="1742"/>
      <c r="X187" s="1272">
        <f t="shared" si="490"/>
        <v>0</v>
      </c>
      <c r="Y187" s="1741"/>
      <c r="Z187" s="1742"/>
      <c r="AA187" s="1272">
        <f t="shared" si="491"/>
        <v>0</v>
      </c>
      <c r="AB187" s="1741"/>
      <c r="AC187" s="1742"/>
      <c r="AD187" s="1272">
        <f t="shared" si="492"/>
        <v>0</v>
      </c>
      <c r="AE187" s="1741"/>
      <c r="AF187" s="1742"/>
      <c r="AG187" s="1272">
        <f t="shared" si="493"/>
        <v>0</v>
      </c>
      <c r="AH187" s="1741"/>
      <c r="AI187" s="1742"/>
      <c r="AJ187" s="1272">
        <f t="shared" si="494"/>
        <v>0</v>
      </c>
      <c r="AK187" s="1741"/>
      <c r="AL187" s="1743">
        <f>(AL183+AL184+AL185)+(AL93+AL94)-(AL95+AL96)</f>
        <v>0</v>
      </c>
      <c r="AM187" s="1272">
        <f t="shared" si="495"/>
        <v>78.623000000000005</v>
      </c>
      <c r="AN187" s="1741">
        <f>+(AN183+AN184+AN185)+(AN93+AN94)-(AN95+AN96)</f>
        <v>78.623000000000005</v>
      </c>
      <c r="AO187" s="1743">
        <f>+(AO183+AO184+AO185)+(AO93+AO94)-(AO95+AO96)</f>
        <v>16.681000000000001</v>
      </c>
      <c r="AP187" s="1272">
        <f t="shared" si="496"/>
        <v>71.677999999999997</v>
      </c>
      <c r="AQ187" s="1741">
        <f>+(AQ183+AQ184+AQ185)+(AQ93+AQ94)-(AQ95+AQ96)</f>
        <v>88.358999999999995</v>
      </c>
      <c r="AR187" s="1743">
        <f>+(AR183+AR184+AR185)+(AR93+AR94)-(AR95+AR96)</f>
        <v>27.468999999999998</v>
      </c>
      <c r="AS187" s="1272">
        <f t="shared" si="497"/>
        <v>62.609000000000009</v>
      </c>
      <c r="AT187" s="1741">
        <f>+(AT183+AT184+AT185)+(AT93+AT94)-(AT95+AT96)</f>
        <v>90.078000000000003</v>
      </c>
      <c r="AU187" s="1743">
        <f>+(AU183+AU184+AU185)+(AU93+AU94)-(AU95+AU96)</f>
        <v>53.905000000000001</v>
      </c>
      <c r="AV187" s="1272">
        <f t="shared" si="498"/>
        <v>18.471999999999994</v>
      </c>
      <c r="AW187" s="1744">
        <v>72.376999999999995</v>
      </c>
      <c r="AX187" s="1743">
        <f>+(AX183+AX184+AX185)+(AX93+AX94)-(AX95+AX96)</f>
        <v>11.761000000000003</v>
      </c>
      <c r="AY187" s="1272">
        <f t="shared" si="499"/>
        <v>42.312999999999995</v>
      </c>
      <c r="AZ187" s="1744">
        <v>54.073999999999998</v>
      </c>
      <c r="BA187" s="1745">
        <v>47.280999999999999</v>
      </c>
      <c r="BB187" s="1272">
        <f t="shared" si="500"/>
        <v>81.757000000000005</v>
      </c>
      <c r="BC187" s="1744">
        <v>129.03800000000001</v>
      </c>
      <c r="BD187" s="1745">
        <v>-2.2589999999999999</v>
      </c>
      <c r="BE187" s="1272">
        <f t="shared" si="501"/>
        <v>132.34399999999999</v>
      </c>
      <c r="BF187" s="1744">
        <v>130.08500000000001</v>
      </c>
      <c r="BG187" s="1745">
        <v>24.856999999999999</v>
      </c>
      <c r="BH187" s="1272">
        <f t="shared" si="502"/>
        <v>90.658000000000001</v>
      </c>
      <c r="BI187" s="1744">
        <v>115.515</v>
      </c>
      <c r="BJ187" s="1745">
        <v>49.19</v>
      </c>
      <c r="BK187" s="1272">
        <f t="shared" si="532"/>
        <v>157.804</v>
      </c>
      <c r="BL187" s="1744">
        <v>206.994</v>
      </c>
      <c r="BM187" s="1745">
        <v>192.066</v>
      </c>
      <c r="BN187" s="1272">
        <f t="shared" si="533"/>
        <v>375.75599999999997</v>
      </c>
      <c r="BO187" s="1746">
        <v>567.822</v>
      </c>
      <c r="BP187" s="1745">
        <v>264.25200000000001</v>
      </c>
      <c r="BQ187" s="1272">
        <f t="shared" si="503"/>
        <v>257.91199999999998</v>
      </c>
      <c r="BR187" s="1746">
        <v>522.16399999999999</v>
      </c>
      <c r="BS187" s="1745">
        <v>186.80099999999999</v>
      </c>
      <c r="BT187" s="1272">
        <f t="shared" si="504"/>
        <v>294.03899999999999</v>
      </c>
      <c r="BU187" s="1746">
        <v>480.84</v>
      </c>
      <c r="BV187" s="1745">
        <v>292.726</v>
      </c>
      <c r="BW187" s="1272">
        <f t="shared" si="505"/>
        <v>422.61</v>
      </c>
      <c r="BX187" s="1746">
        <v>715.33600000000001</v>
      </c>
      <c r="BY187" s="1745">
        <v>445.048</v>
      </c>
      <c r="BZ187" s="1272">
        <f t="shared" si="506"/>
        <v>579.77600000000007</v>
      </c>
      <c r="CA187" s="1747">
        <f>1024.824</f>
        <v>1024.8240000000001</v>
      </c>
      <c r="CB187" s="1745">
        <v>491.17099999999999</v>
      </c>
      <c r="CC187" s="1272">
        <f t="shared" si="507"/>
        <v>677.32099999999991</v>
      </c>
      <c r="CD187" s="1746">
        <v>1168.492</v>
      </c>
      <c r="CE187" s="1745">
        <v>408.40300000000002</v>
      </c>
      <c r="CF187" s="1272">
        <f t="shared" si="508"/>
        <v>609.71600000000001</v>
      </c>
      <c r="CG187" s="1746">
        <v>1018.119</v>
      </c>
      <c r="CH187" s="1745">
        <v>538.79999999999995</v>
      </c>
      <c r="CI187" s="1272">
        <f t="shared" si="509"/>
        <v>667</v>
      </c>
      <c r="CJ187" s="1746">
        <v>1205.8</v>
      </c>
      <c r="CK187" s="1745">
        <v>670.2</v>
      </c>
      <c r="CL187" s="1272">
        <f t="shared" si="510"/>
        <v>641.5</v>
      </c>
      <c r="CM187" s="1746">
        <v>1311.7</v>
      </c>
      <c r="CN187" s="1745">
        <v>512.5</v>
      </c>
      <c r="CO187" s="1272">
        <f t="shared" si="511"/>
        <v>848.2</v>
      </c>
      <c r="CP187" s="1746">
        <v>1360.7</v>
      </c>
      <c r="CQ187" s="1745">
        <v>656</v>
      </c>
      <c r="CR187" s="1272">
        <f t="shared" si="512"/>
        <v>707.59999999999991</v>
      </c>
      <c r="CS187" s="1746">
        <v>1363.6</v>
      </c>
      <c r="CT187" s="1745">
        <v>705.2</v>
      </c>
      <c r="CU187" s="1272">
        <f t="shared" si="513"/>
        <v>473.39999999999986</v>
      </c>
      <c r="CV187" s="1746">
        <v>1178.5999999999999</v>
      </c>
      <c r="CW187" s="1745">
        <v>664.2</v>
      </c>
      <c r="CX187" s="1272">
        <f t="shared" si="514"/>
        <v>582.39999999999986</v>
      </c>
      <c r="CY187" s="1746">
        <v>1246.5999999999999</v>
      </c>
      <c r="CZ187" s="1743">
        <v>840</v>
      </c>
      <c r="DA187" s="1272">
        <f t="shared" si="515"/>
        <v>1062.0999999999999</v>
      </c>
      <c r="DB187" s="1747">
        <v>1902.1</v>
      </c>
      <c r="DC187" s="1743">
        <v>535.20000000000005</v>
      </c>
      <c r="DD187" s="1272">
        <f t="shared" si="516"/>
        <v>1109.2</v>
      </c>
      <c r="DE187" s="1748">
        <v>1644.4</v>
      </c>
      <c r="DF187" s="1749">
        <v>1244.9000000000001</v>
      </c>
      <c r="DG187" s="1688">
        <f t="shared" si="517"/>
        <v>1243.4000000000001</v>
      </c>
      <c r="DH187" s="1750">
        <f>2488.3</f>
        <v>2488.3000000000002</v>
      </c>
      <c r="DI187" s="1751">
        <v>2320.5</v>
      </c>
      <c r="DJ187" s="1688">
        <f t="shared" si="518"/>
        <v>1301.4000000000001</v>
      </c>
      <c r="DK187" s="1750">
        <v>3621.9</v>
      </c>
      <c r="DL187" s="1687">
        <v>1426.9</v>
      </c>
      <c r="DM187" s="1688">
        <f t="shared" si="519"/>
        <v>1201.7999999999997</v>
      </c>
      <c r="DN187" s="1697">
        <v>2628.7</v>
      </c>
      <c r="DO187" s="1689">
        <v>980.5</v>
      </c>
      <c r="DP187" s="1688">
        <f t="shared" si="520"/>
        <v>1620.5</v>
      </c>
      <c r="DQ187" s="1700">
        <v>2601</v>
      </c>
      <c r="DR187" s="1689">
        <v>1069</v>
      </c>
      <c r="DS187" s="1688">
        <f t="shared" si="521"/>
        <v>1695</v>
      </c>
      <c r="DT187" s="1700">
        <v>2764</v>
      </c>
      <c r="DU187" s="1689">
        <v>1259</v>
      </c>
      <c r="DV187" s="1688">
        <f t="shared" si="522"/>
        <v>2302</v>
      </c>
      <c r="DW187" s="1700">
        <v>3561</v>
      </c>
      <c r="DX187" s="1689">
        <v>1302</v>
      </c>
      <c r="DY187" s="1272">
        <f t="shared" ref="DY187:DY205" si="535">+DZ187-DX187</f>
        <v>2326.0663067492887</v>
      </c>
      <c r="DZ187" s="1704">
        <f>IF(DZ5="A","",+(DZ183+DZ184+DZ185)+(DZ93+DZ94)-(DZ95+DZ96)+DZ186)</f>
        <v>3628.0663067492887</v>
      </c>
      <c r="EA187" s="1690">
        <f>IF(EA5="A","",+(EA183+EA184+EA185)+(EA93+EA94)-(EA95+EA96))</f>
        <v>1960.3347164985539</v>
      </c>
      <c r="EB187" s="1272">
        <f t="shared" si="523"/>
        <v>2161.3896688940054</v>
      </c>
      <c r="EC187" s="1704">
        <f>IF(EC5="A","",+(EC183+EC184+EC185)+(EC93+EC94)-(EC95+EC96))</f>
        <v>4121.7243853925593</v>
      </c>
      <c r="ED187" s="1690">
        <f>IF(ED5="A","",+(ED183+ED184+ED185)+(ED93+ED94)-(ED95+ED96))</f>
        <v>2263.627639405981</v>
      </c>
      <c r="EE187" s="1272">
        <f t="shared" si="524"/>
        <v>2244.1737531675021</v>
      </c>
      <c r="EF187" s="1704">
        <f>IF(EF5="A","",+(EF183+EF184+EF185)+(EF93+EF94)-(EF95+EF96))</f>
        <v>4507.8013925734831</v>
      </c>
      <c r="EG187" s="1690">
        <f>IF(EG5="A","",+(EG183+EG184+EG185)+(EG93+EG94)-(EG95+EG96))</f>
        <v>2493.6638259950555</v>
      </c>
      <c r="EH187" s="1272">
        <f t="shared" si="525"/>
        <v>2415.128901328239</v>
      </c>
      <c r="EI187" s="1704">
        <f>IF(EI5="A","",+(EI183+EI184+EI185)+(EI93+EI94)-(EI95+EI96))</f>
        <v>4908.7927273232945</v>
      </c>
      <c r="EJ187" s="1690">
        <f>IF(EJ5="A","",+(EJ183+EJ184+EJ185)+(EJ93+EJ94)-(EJ95+EJ96))</f>
        <v>2783.8111104466393</v>
      </c>
      <c r="EK187" s="1272">
        <f t="shared" si="526"/>
        <v>2582.2561454739484</v>
      </c>
      <c r="EL187" s="1704">
        <f>IF(EL5="A","",+(EL183+EL184+EL185)+(EL93+EL94)-(EL95+EL96))</f>
        <v>5366.0672559205877</v>
      </c>
      <c r="EM187" s="1690">
        <f>IF(EM5="A","",+(EM183+EM184+EM185)+(EM93+EM94)-(EM95+EM96))</f>
        <v>3167.3636960338172</v>
      </c>
      <c r="EN187" s="1272">
        <f t="shared" si="527"/>
        <v>2783.1522453302496</v>
      </c>
      <c r="EO187" s="1704">
        <f>IF(EO5="A","",+(EO183+EO184+EO185)+(EO93+EO94)-(EO95+EO96))</f>
        <v>5950.5159413640667</v>
      </c>
      <c r="EP187" s="1690">
        <f>IF(EP5="A","",+(EP183+EP184+EP185)+(EP93+EP94)-(EP95+EP96))</f>
        <v>3468.3426488457935</v>
      </c>
      <c r="EQ187" s="1272">
        <f t="shared" si="528"/>
        <v>2992.646117518977</v>
      </c>
      <c r="ER187" s="1704">
        <f>IF(ER5="A","",+(ER183+ER184+ER185)+(ER93+ER94)-(ER95+ER96))</f>
        <v>6460.9887663647705</v>
      </c>
      <c r="ES187" s="1690">
        <f>IF(ES5="A","",+(ES183+ES184+ES185)+(ES93+ES94)-(ES95+ES96))</f>
        <v>3760.3751447727182</v>
      </c>
      <c r="ET187" s="1272">
        <f t="shared" si="529"/>
        <v>3184.925931716396</v>
      </c>
      <c r="EU187" s="1704">
        <f>IF(EU5="A","",+(EU183+EU184+EU185)+(EU93+EU94)-(EU95+EU96))</f>
        <v>6945.3010764891142</v>
      </c>
      <c r="EV187" s="1690">
        <f>IF(EV5="A","",+(EV183+EV184+EV185)+(EV93+EV94)-(EV95+EV96))</f>
        <v>4043.06449370686</v>
      </c>
      <c r="EW187" s="1272">
        <f t="shared" si="530"/>
        <v>3349.0278975100127</v>
      </c>
      <c r="EX187" s="1704">
        <f>IF(EX5="A","",+(EX183+EX184+EX185)+(EX93+EX94)-(EX95+EX96))</f>
        <v>7392.0923912168728</v>
      </c>
      <c r="EY187" s="1690">
        <f>IF(EY5="A","",+(EY183+EY184+EY185)+(EY93+EY94)-(EY95+EY96))</f>
        <v>4345.9277126920842</v>
      </c>
      <c r="EZ187" s="1272">
        <f t="shared" si="531"/>
        <v>3521.4589378851133</v>
      </c>
      <c r="FA187" s="1704">
        <f>IF(FA5="A","",+(FA183+FA184+FA185)+(FA93+FA94)-(FA95+FA96))</f>
        <v>7867.3866505771975</v>
      </c>
      <c r="FD187"/>
      <c r="FE187"/>
      <c r="FF187"/>
      <c r="FG187"/>
      <c r="FH187"/>
      <c r="FI187"/>
      <c r="FJ187" s="33"/>
      <c r="FK187" s="33"/>
      <c r="FL187" s="33"/>
      <c r="FM187" s="33"/>
    </row>
    <row r="188" spans="1:169" s="33" customFormat="1" ht="13.5" thickBot="1">
      <c r="B188" s="54" t="s">
        <v>127</v>
      </c>
      <c r="C188" s="54"/>
      <c r="D188" s="2" t="s">
        <v>506</v>
      </c>
      <c r="E188" s="32">
        <f>+SUM(E189:E190)</f>
        <v>0</v>
      </c>
      <c r="F188" s="32">
        <f t="shared" si="484"/>
        <v>0</v>
      </c>
      <c r="G188" s="32">
        <f>+SUM(G189:G190)</f>
        <v>0</v>
      </c>
      <c r="H188" s="32">
        <f>+SUM(H189:H190)</f>
        <v>0</v>
      </c>
      <c r="I188" s="32">
        <f t="shared" si="485"/>
        <v>0</v>
      </c>
      <c r="J188" s="32">
        <f>+SUM(J189:J190)</f>
        <v>0</v>
      </c>
      <c r="K188" s="32">
        <f>+SUM(K189:K190)</f>
        <v>0</v>
      </c>
      <c r="L188" s="32">
        <f t="shared" si="486"/>
        <v>0</v>
      </c>
      <c r="M188" s="32">
        <f>+SUM(M189:M190)</f>
        <v>0</v>
      </c>
      <c r="N188" s="32">
        <f>+SUM(N189:N190)</f>
        <v>0</v>
      </c>
      <c r="O188" s="32">
        <f t="shared" si="487"/>
        <v>0</v>
      </c>
      <c r="P188" s="32">
        <f>+SUM(P189:P190)</f>
        <v>0</v>
      </c>
      <c r="Q188" s="32">
        <f>+SUM(Q189:Q190)</f>
        <v>0</v>
      </c>
      <c r="R188" s="32">
        <f t="shared" si="488"/>
        <v>0</v>
      </c>
      <c r="S188" s="32">
        <f>+SUM(S189:S190)</f>
        <v>0</v>
      </c>
      <c r="T188" s="32">
        <f>+SUM(T189:T190)</f>
        <v>0</v>
      </c>
      <c r="U188" s="32">
        <f t="shared" si="489"/>
        <v>0</v>
      </c>
      <c r="V188" s="32">
        <f>+SUM(V189:V190)</f>
        <v>0</v>
      </c>
      <c r="W188" s="32">
        <f>+SUM(W189:W190)</f>
        <v>0</v>
      </c>
      <c r="X188" s="32">
        <f t="shared" si="490"/>
        <v>0</v>
      </c>
      <c r="Y188" s="32">
        <f>+SUM(Y189:Y190)</f>
        <v>0</v>
      </c>
      <c r="Z188" s="32">
        <f>+SUM(Z189:Z190)</f>
        <v>0</v>
      </c>
      <c r="AA188" s="32">
        <f t="shared" si="491"/>
        <v>0</v>
      </c>
      <c r="AB188" s="32">
        <f>+SUM(AB189:AB190)</f>
        <v>0</v>
      </c>
      <c r="AC188" s="32">
        <f>+SUM(AC189:AC190)</f>
        <v>0</v>
      </c>
      <c r="AD188" s="32">
        <f t="shared" si="492"/>
        <v>0</v>
      </c>
      <c r="AE188" s="32">
        <f>+SUM(AE189:AE190)</f>
        <v>0</v>
      </c>
      <c r="AF188" s="32">
        <f>+SUM(AF189:AF190)</f>
        <v>0</v>
      </c>
      <c r="AG188" s="32">
        <f t="shared" si="493"/>
        <v>0</v>
      </c>
      <c r="AH188" s="32">
        <f>+SUM(AH189:AH190)</f>
        <v>0</v>
      </c>
      <c r="AI188" s="32">
        <f>+SUM(AI189:AI190)</f>
        <v>0</v>
      </c>
      <c r="AJ188" s="32">
        <f t="shared" si="494"/>
        <v>-0.03</v>
      </c>
      <c r="AK188" s="32">
        <f>+SUM(AK189:AK190)</f>
        <v>-0.03</v>
      </c>
      <c r="AL188" s="32">
        <f>+SUM(AL189:AL190)</f>
        <v>0</v>
      </c>
      <c r="AM188" s="32">
        <f t="shared" si="495"/>
        <v>-16.219000000000001</v>
      </c>
      <c r="AN188" s="32">
        <f>+SUM(AN189:AN190)</f>
        <v>-16.219000000000001</v>
      </c>
      <c r="AO188" s="32">
        <f>+SUM(AO189:AO190)</f>
        <v>0</v>
      </c>
      <c r="AP188" s="32">
        <f t="shared" si="496"/>
        <v>-16.623000000000001</v>
      </c>
      <c r="AQ188" s="32">
        <f>+SUM(AQ189:AQ190)</f>
        <v>-16.623000000000001</v>
      </c>
      <c r="AR188" s="32">
        <f>+SUM(AR189:AR190)</f>
        <v>-9.1329999999999991</v>
      </c>
      <c r="AS188" s="32">
        <f t="shared" si="497"/>
        <v>-12.028000000000002</v>
      </c>
      <c r="AT188" s="32">
        <f>+SUM(AT189:AT190)</f>
        <v>-21.161000000000001</v>
      </c>
      <c r="AU188" s="32">
        <f>+SUM(AU189:AU190)</f>
        <v>-17.677</v>
      </c>
      <c r="AV188" s="32">
        <f t="shared" si="498"/>
        <v>-21.344999999999999</v>
      </c>
      <c r="AW188" s="32">
        <f>+SUM(AW189:AW190)</f>
        <v>-39.021999999999998</v>
      </c>
      <c r="AX188" s="32">
        <f>+SUM(AX189:AX190)</f>
        <v>-13.669</v>
      </c>
      <c r="AY188" s="32">
        <f t="shared" si="499"/>
        <v>-24.152999999999995</v>
      </c>
      <c r="AZ188" s="32">
        <f>+SUM(AZ189:AZ190)</f>
        <v>-37.821999999999996</v>
      </c>
      <c r="BA188" s="32">
        <f>+SUM(BA189:BA190)</f>
        <v>-27.286000000000001</v>
      </c>
      <c r="BB188" s="32">
        <f t="shared" si="500"/>
        <v>-41.099919999999997</v>
      </c>
      <c r="BC188" s="32">
        <f>+SUM(BC189:BC190)</f>
        <v>-68.385919999999999</v>
      </c>
      <c r="BD188" s="32">
        <f>+SUM(BD189:BD190)</f>
        <v>-38.369</v>
      </c>
      <c r="BE188" s="32">
        <f t="shared" si="501"/>
        <v>-44.489999999999995</v>
      </c>
      <c r="BF188" s="32">
        <f>+SUM(BF189:BF190)</f>
        <v>-82.858999999999995</v>
      </c>
      <c r="BG188" s="32">
        <f>+SUM(BG189:BG190)</f>
        <v>-47.558</v>
      </c>
      <c r="BH188" s="32">
        <f t="shared" si="502"/>
        <v>-26.720999999999997</v>
      </c>
      <c r="BI188" s="32">
        <f>+SUM(BI189:BI190)</f>
        <v>-74.278999999999996</v>
      </c>
      <c r="BJ188" s="32">
        <f>+SUM(BJ189:BJ190)</f>
        <v>-69.205970000000008</v>
      </c>
      <c r="BK188" s="32">
        <f t="shared" si="532"/>
        <v>-36.137029999999982</v>
      </c>
      <c r="BL188" s="32">
        <f>+SUM(BL189:BL190)</f>
        <v>-105.34299999999999</v>
      </c>
      <c r="BM188" s="32">
        <f>+SUM(BM189:BM190)</f>
        <v>-125.386</v>
      </c>
      <c r="BN188" s="32">
        <f t="shared" si="533"/>
        <v>-63.596000000000004</v>
      </c>
      <c r="BO188" s="32">
        <f>+SUM(BO189:BO190)</f>
        <v>-188.982</v>
      </c>
      <c r="BP188" s="32">
        <f>+SUM(BP189:BP190)</f>
        <v>0</v>
      </c>
      <c r="BQ188" s="32">
        <f t="shared" si="503"/>
        <v>-122.065</v>
      </c>
      <c r="BR188" s="32">
        <f>+SUM(BR189:BR190)</f>
        <v>-122.065</v>
      </c>
      <c r="BS188" s="32">
        <f>+SUM(BS189:BS190)</f>
        <v>-72.834999999999994</v>
      </c>
      <c r="BT188" s="32">
        <f t="shared" si="504"/>
        <v>-134.77199999999999</v>
      </c>
      <c r="BU188" s="32">
        <f>+SUM(BU189:BU190)</f>
        <v>-207.60699999999997</v>
      </c>
      <c r="BV188" s="32">
        <f>+SUM(BV189:BV190)</f>
        <v>-102.631</v>
      </c>
      <c r="BW188" s="32">
        <f t="shared" si="505"/>
        <v>-115.64100000000002</v>
      </c>
      <c r="BX188" s="32">
        <f>+SUM(BX189:BX190)</f>
        <v>-218.27200000000002</v>
      </c>
      <c r="BY188" s="32">
        <f>+SUM(BY189:BY190)</f>
        <v>-133.18700000000001</v>
      </c>
      <c r="BZ188" s="32">
        <f t="shared" si="506"/>
        <v>-152.42399999999998</v>
      </c>
      <c r="CA188" s="32">
        <f>+SUM(CA189:CA190)</f>
        <v>-285.61099999999999</v>
      </c>
      <c r="CB188" s="32">
        <f>+SUM(CB189:CB190)</f>
        <v>-68.585045954725487</v>
      </c>
      <c r="CC188" s="32">
        <f t="shared" si="507"/>
        <v>-175.06195404527455</v>
      </c>
      <c r="CD188" s="32">
        <f>+SUM(CD189:CD190)</f>
        <v>-243.64700000000002</v>
      </c>
      <c r="CE188" s="32">
        <f>+SUM(CE189:CE190)</f>
        <v>-81.963999999999999</v>
      </c>
      <c r="CF188" s="32">
        <f t="shared" si="508"/>
        <v>-116.18800000000002</v>
      </c>
      <c r="CG188" s="32">
        <f>+SUM(CG189:CG190)</f>
        <v>-198.15200000000002</v>
      </c>
      <c r="CH188" s="32">
        <f>+SUM(CH189:CH190)</f>
        <v>-147.19999999999999</v>
      </c>
      <c r="CI188" s="32">
        <f t="shared" si="509"/>
        <v>-161.89999999999998</v>
      </c>
      <c r="CJ188" s="32">
        <f>+SUM(CJ189:CJ190)</f>
        <v>-309.09999999999997</v>
      </c>
      <c r="CK188" s="32">
        <f>+SUM(CK189:CK190)</f>
        <v>-231.9</v>
      </c>
      <c r="CL188" s="32">
        <f t="shared" si="510"/>
        <v>-200.9</v>
      </c>
      <c r="CM188" s="32">
        <f>+SUM(CM189:CM190)</f>
        <v>-432.8</v>
      </c>
      <c r="CN188" s="32">
        <f>+SUM(CN189:CN190)</f>
        <v>-189</v>
      </c>
      <c r="CO188" s="32">
        <f t="shared" si="511"/>
        <v>-164.59999999999997</v>
      </c>
      <c r="CP188" s="32">
        <f>+SUM(CP189:CP190)</f>
        <v>-353.59999999999997</v>
      </c>
      <c r="CQ188" s="32">
        <f>+SUM(CQ189:CQ190)</f>
        <v>-176.9</v>
      </c>
      <c r="CR188" s="32">
        <f t="shared" si="512"/>
        <v>-170.6</v>
      </c>
      <c r="CS188" s="32">
        <f>+SUM(CS189:CS190)</f>
        <v>-347.5</v>
      </c>
      <c r="CT188" s="32">
        <f>+SUM(CT189:CT190)</f>
        <v>-239.70000000000002</v>
      </c>
      <c r="CU188" s="32">
        <f t="shared" si="513"/>
        <v>-255.29999999999998</v>
      </c>
      <c r="CV188" s="32">
        <f>+SUM(CV189:CV190)</f>
        <v>-495</v>
      </c>
      <c r="CW188" s="32">
        <f>+SUM(CW189:CW190)</f>
        <v>-461.64566169188777</v>
      </c>
      <c r="CX188" s="32">
        <f t="shared" si="514"/>
        <v>-394.93529068906457</v>
      </c>
      <c r="CY188" s="32">
        <f>+SUM(CY189:CY190)</f>
        <v>-856.58095238095234</v>
      </c>
      <c r="CZ188" s="32">
        <f>+SUM(CZ189:CZ190)</f>
        <v>-317.60000000000002</v>
      </c>
      <c r="DA188" s="32">
        <f t="shared" si="515"/>
        <v>-674.99999999999989</v>
      </c>
      <c r="DB188" s="32">
        <f>+SUM(DB189:DB190)</f>
        <v>-992.59999999999991</v>
      </c>
      <c r="DC188" s="32">
        <f>+SUM(DC189:DC190)</f>
        <v>-539</v>
      </c>
      <c r="DD188" s="32">
        <f t="shared" si="516"/>
        <v>-745.8</v>
      </c>
      <c r="DE188" s="1061">
        <f>+SUM(DE189:DE190)</f>
        <v>-1284.8</v>
      </c>
      <c r="DF188" s="32">
        <f>+SUM(DF189:DF190)</f>
        <v>-704</v>
      </c>
      <c r="DG188" s="32">
        <f t="shared" si="517"/>
        <v>-663.59999999999991</v>
      </c>
      <c r="DH188" s="1061">
        <f>+SUM(DH189:DH190)</f>
        <v>-1367.6</v>
      </c>
      <c r="DI188" s="32">
        <f>+SUM(DI189:DI190)</f>
        <v>-565</v>
      </c>
      <c r="DJ188" s="32">
        <f t="shared" si="518"/>
        <v>-631.29999999999995</v>
      </c>
      <c r="DK188" s="1061">
        <f>+SUM(DK189:DK190)</f>
        <v>-1196.3</v>
      </c>
      <c r="DL188" s="32">
        <f>+SUM(DL189:DL190)</f>
        <v>-525</v>
      </c>
      <c r="DM188" s="32">
        <f t="shared" si="519"/>
        <v>-554</v>
      </c>
      <c r="DN188" s="1061">
        <f>+SUM(DN189:DN190)</f>
        <v>-1079</v>
      </c>
      <c r="DO188" s="32">
        <f>+SUM(DO189:DO190)</f>
        <v>-570</v>
      </c>
      <c r="DP188" s="32">
        <f t="shared" si="520"/>
        <v>-658</v>
      </c>
      <c r="DQ188" s="1061">
        <f>+SUM(DQ189:DQ190)</f>
        <v>-1228</v>
      </c>
      <c r="DR188" s="32">
        <f>+SUM(DR189:DR190)</f>
        <v>-475</v>
      </c>
      <c r="DS188" s="32">
        <f t="shared" si="521"/>
        <v>-374</v>
      </c>
      <c r="DT188" s="1061">
        <f>+SUM(DT189:DT190)</f>
        <v>-849</v>
      </c>
      <c r="DU188" s="32">
        <f>+SUM(DU189:DU190)</f>
        <v>-378</v>
      </c>
      <c r="DV188" s="32">
        <f t="shared" si="522"/>
        <v>-258</v>
      </c>
      <c r="DW188" s="1061">
        <f>+SUM(DW189:DW190)</f>
        <v>-636</v>
      </c>
      <c r="DX188" s="32">
        <f>+SUM(DX189:DX190)</f>
        <v>-296</v>
      </c>
      <c r="DY188" s="32">
        <f t="shared" si="535"/>
        <v>-516.96310784077889</v>
      </c>
      <c r="DZ188" s="1061">
        <f>+SUM(DZ189:DZ190)</f>
        <v>-812.96310784077889</v>
      </c>
      <c r="EA188" s="32">
        <f>+SUM(EA189:EA190)</f>
        <v>-514.63700481123271</v>
      </c>
      <c r="EB188" s="32">
        <f t="shared" si="523"/>
        <v>-465.47007967432671</v>
      </c>
      <c r="EC188" s="1061">
        <f>+SUM(EC189:EC190)</f>
        <v>-980.10708448555943</v>
      </c>
      <c r="ED188" s="32">
        <f>+SUM(ED189:ED190)</f>
        <v>-627.97059196247403</v>
      </c>
      <c r="EE188" s="32">
        <f t="shared" si="524"/>
        <v>-577.8575148537833</v>
      </c>
      <c r="EF188" s="1061">
        <f>+SUM(EF189:EF190)</f>
        <v>-1205.8281068162573</v>
      </c>
      <c r="EG188" s="32">
        <f>+SUM(EG189:EG190)</f>
        <v>-663.96127498187241</v>
      </c>
      <c r="EH188" s="32">
        <f t="shared" si="525"/>
        <v>-617.06337582648678</v>
      </c>
      <c r="EI188" s="1061">
        <f>+SUM(EI189:EI190)</f>
        <v>-1281.0246508083592</v>
      </c>
      <c r="EJ188" s="32">
        <f>+SUM(EJ189:EJ190)</f>
        <v>-601.24324388929301</v>
      </c>
      <c r="EK188" s="32">
        <f t="shared" si="526"/>
        <v>-566.41719568957035</v>
      </c>
      <c r="EL188" s="1061">
        <f>+SUM(EL189:EL190)</f>
        <v>-1167.6604395788634</v>
      </c>
      <c r="EM188" s="32">
        <f>+SUM(EM189:EM190)</f>
        <v>-526.66655964934102</v>
      </c>
      <c r="EN188" s="32">
        <f t="shared" si="527"/>
        <v>-500.31326765816107</v>
      </c>
      <c r="EO188" s="1061">
        <f>+SUM(EO189:EO190)</f>
        <v>-1026.9798273075021</v>
      </c>
      <c r="EP188" s="32">
        <f>+SUM(EP189:EP190)</f>
        <v>-554.59620429623612</v>
      </c>
      <c r="EQ188" s="32">
        <f t="shared" si="528"/>
        <v>-530.4620761807081</v>
      </c>
      <c r="ER188" s="1061">
        <f>+SUM(ER189:ER190)</f>
        <v>-1085.0582804769442</v>
      </c>
      <c r="ES188" s="32">
        <f>+SUM(ES189:ES190)</f>
        <v>-584.89130571653379</v>
      </c>
      <c r="ET188" s="32">
        <f t="shared" si="529"/>
        <v>-561.49230204467801</v>
      </c>
      <c r="EU188" s="1061">
        <f>+SUM(EU189:EU190)</f>
        <v>-1146.3836077612118</v>
      </c>
      <c r="EV188" s="32">
        <f>+SUM(EV189:EV190)</f>
        <v>-618.12807031663817</v>
      </c>
      <c r="EW188" s="32">
        <f t="shared" si="530"/>
        <v>-594.52952809962323</v>
      </c>
      <c r="EX188" s="1061">
        <f>+SUM(EX189:EX190)</f>
        <v>-1212.6575984162614</v>
      </c>
      <c r="EY188" s="32">
        <f>+SUM(EY189:EY190)</f>
        <v>-653.43372095647942</v>
      </c>
      <c r="EZ188" s="32">
        <f t="shared" si="531"/>
        <v>-629.70792170424716</v>
      </c>
      <c r="FA188" s="1061">
        <f>+SUM(FA189:FA190)</f>
        <v>-1283.1416426607266</v>
      </c>
      <c r="FD188"/>
      <c r="FE188"/>
      <c r="FF188"/>
      <c r="FG188"/>
      <c r="FH188"/>
      <c r="FI188"/>
    </row>
    <row r="189" spans="1:169" s="33" customFormat="1" outlineLevel="1">
      <c r="B189" s="54" t="s">
        <v>128</v>
      </c>
      <c r="C189" s="54"/>
      <c r="D189" s="2" t="s">
        <v>506</v>
      </c>
      <c r="E189" s="1183"/>
      <c r="F189" s="1192">
        <f t="shared" si="484"/>
        <v>0</v>
      </c>
      <c r="G189" s="1184"/>
      <c r="H189" s="1185"/>
      <c r="I189" s="1192">
        <f t="shared" si="485"/>
        <v>0</v>
      </c>
      <c r="J189" s="1184"/>
      <c r="K189" s="1185"/>
      <c r="L189" s="1192">
        <f t="shared" si="486"/>
        <v>0</v>
      </c>
      <c r="M189" s="1184"/>
      <c r="N189" s="1185"/>
      <c r="O189" s="1192">
        <f t="shared" si="487"/>
        <v>0</v>
      </c>
      <c r="P189" s="1184"/>
      <c r="Q189" s="1185"/>
      <c r="R189" s="1192">
        <f t="shared" si="488"/>
        <v>0</v>
      </c>
      <c r="S189" s="1184"/>
      <c r="T189" s="1185"/>
      <c r="U189" s="1192">
        <f t="shared" si="489"/>
        <v>0</v>
      </c>
      <c r="V189" s="1184"/>
      <c r="W189" s="1185"/>
      <c r="X189" s="1192">
        <f t="shared" si="490"/>
        <v>0</v>
      </c>
      <c r="Y189" s="1184"/>
      <c r="Z189" s="1185"/>
      <c r="AA189" s="1192">
        <f t="shared" si="491"/>
        <v>0</v>
      </c>
      <c r="AB189" s="1184"/>
      <c r="AC189" s="1185"/>
      <c r="AD189" s="1192">
        <f t="shared" si="492"/>
        <v>0</v>
      </c>
      <c r="AE189" s="1184"/>
      <c r="AF189" s="1185"/>
      <c r="AG189" s="1192">
        <f t="shared" si="493"/>
        <v>0</v>
      </c>
      <c r="AH189" s="1184"/>
      <c r="AI189" s="1185"/>
      <c r="AJ189" s="1192">
        <f t="shared" si="494"/>
        <v>0</v>
      </c>
      <c r="AK189" s="1193">
        <v>0</v>
      </c>
      <c r="AL189" s="1185"/>
      <c r="AM189" s="1192">
        <f t="shared" si="495"/>
        <v>0</v>
      </c>
      <c r="AN189" s="1184"/>
      <c r="AO189" s="1185"/>
      <c r="AP189" s="1192">
        <f t="shared" si="496"/>
        <v>0</v>
      </c>
      <c r="AQ189" s="1184"/>
      <c r="AR189" s="1185"/>
      <c r="AS189" s="1192">
        <f t="shared" si="497"/>
        <v>0</v>
      </c>
      <c r="AT189" s="1184"/>
      <c r="AU189" s="1186"/>
      <c r="AV189" s="1192">
        <f t="shared" si="498"/>
        <v>0</v>
      </c>
      <c r="AW189" s="1193">
        <v>0</v>
      </c>
      <c r="AX189" s="1186"/>
      <c r="AY189" s="1192">
        <f t="shared" si="499"/>
        <v>-0.65300000000000002</v>
      </c>
      <c r="AZ189" s="1193">
        <v>-0.65300000000000002</v>
      </c>
      <c r="BA189" s="1186">
        <f>IF(Assumptions!BA153&lt;&gt;"0",-(Assumptions!BA153*(Model!BA57+Model!BA66)),0)</f>
        <v>0</v>
      </c>
      <c r="BB189" s="1192">
        <f t="shared" si="500"/>
        <v>0</v>
      </c>
      <c r="BC189" s="1184">
        <f>IF(Assumptions!BC153&lt;&gt;"0",-(Assumptions!BC153*(Model!BC57+Model!BC66)),0)</f>
        <v>0</v>
      </c>
      <c r="BD189" s="1194">
        <v>-1.48</v>
      </c>
      <c r="BE189" s="1192">
        <f t="shared" si="501"/>
        <v>1.48</v>
      </c>
      <c r="BF189" s="1193">
        <v>0</v>
      </c>
      <c r="BG189" s="1186"/>
      <c r="BH189" s="1192">
        <f t="shared" si="502"/>
        <v>0</v>
      </c>
      <c r="BI189" s="1193">
        <v>0</v>
      </c>
      <c r="BJ189" s="1186">
        <f>-27.857</f>
        <v>-27.856999999999999</v>
      </c>
      <c r="BK189" s="1192">
        <f t="shared" si="532"/>
        <v>2.1050000000000004</v>
      </c>
      <c r="BL189" s="1193">
        <v>-25.751999999999999</v>
      </c>
      <c r="BM189" s="1194">
        <v>-64.78</v>
      </c>
      <c r="BN189" s="1192">
        <f t="shared" si="533"/>
        <v>-19.186999999999998</v>
      </c>
      <c r="BO189" s="1193">
        <v>-83.966999999999999</v>
      </c>
      <c r="BP189" s="1194">
        <v>0</v>
      </c>
      <c r="BQ189" s="1192">
        <f t="shared" si="503"/>
        <v>0</v>
      </c>
      <c r="BR189" s="1193">
        <v>0</v>
      </c>
      <c r="BS189" s="1186">
        <f>-(Assumptions!BS158)</f>
        <v>0</v>
      </c>
      <c r="BT189" s="1192">
        <f t="shared" si="504"/>
        <v>-1.9990000000000001</v>
      </c>
      <c r="BU189" s="1184">
        <f>-1.999</f>
        <v>-1.9990000000000001</v>
      </c>
      <c r="BV189" s="1194">
        <v>-102.631</v>
      </c>
      <c r="BW189" s="1192">
        <f t="shared" si="505"/>
        <v>102.44499999999999</v>
      </c>
      <c r="BX189" s="1184">
        <f>-0.186</f>
        <v>-0.186</v>
      </c>
      <c r="BY189" s="1194">
        <v>0</v>
      </c>
      <c r="BZ189" s="1192">
        <f t="shared" si="506"/>
        <v>0</v>
      </c>
      <c r="CA189" s="1193">
        <v>0</v>
      </c>
      <c r="CB189" s="1186">
        <f>IF(Assumptions!CB153&lt;&gt;"",-(Assumptions!CB153*(Model!CB57+Model!CB66)),0)</f>
        <v>-6.7050459547254704</v>
      </c>
      <c r="CC189" s="1192">
        <f t="shared" si="507"/>
        <v>7.3460459547254704</v>
      </c>
      <c r="CD189" s="1193">
        <v>0.64100000000000001</v>
      </c>
      <c r="CE189" s="1186">
        <f>0.1+1.454</f>
        <v>1.554</v>
      </c>
      <c r="CF189" s="1192">
        <f t="shared" si="508"/>
        <v>-1.234</v>
      </c>
      <c r="CG189" s="1193">
        <v>0.32</v>
      </c>
      <c r="CH189" s="1194">
        <v>0.4</v>
      </c>
      <c r="CI189" s="1192">
        <f t="shared" si="509"/>
        <v>-0.30000000000000004</v>
      </c>
      <c r="CJ189" s="1193">
        <v>0.1</v>
      </c>
      <c r="CK189" s="1194">
        <v>0</v>
      </c>
      <c r="CL189" s="1192">
        <f t="shared" si="510"/>
        <v>0</v>
      </c>
      <c r="CM189" s="1193">
        <v>0</v>
      </c>
      <c r="CN189" s="1194">
        <v>0</v>
      </c>
      <c r="CO189" s="1192">
        <f t="shared" si="511"/>
        <v>0</v>
      </c>
      <c r="CP189" s="1193">
        <v>0</v>
      </c>
      <c r="CQ189" s="1186"/>
      <c r="CR189" s="1192">
        <f t="shared" si="512"/>
        <v>0</v>
      </c>
      <c r="CS189" s="1193">
        <v>0</v>
      </c>
      <c r="CT189" s="1194">
        <v>0.1</v>
      </c>
      <c r="CU189" s="1192">
        <f t="shared" si="513"/>
        <v>-0.1</v>
      </c>
      <c r="CV189" s="1193">
        <v>0</v>
      </c>
      <c r="CW189" s="1194">
        <v>0.1</v>
      </c>
      <c r="CX189" s="1192">
        <f t="shared" si="514"/>
        <v>0</v>
      </c>
      <c r="CY189" s="1193">
        <v>0.1</v>
      </c>
      <c r="CZ189" s="1186">
        <v>0</v>
      </c>
      <c r="DA189" s="1192">
        <f t="shared" si="515"/>
        <v>0</v>
      </c>
      <c r="DB189" s="1184">
        <v>0</v>
      </c>
      <c r="DC189" s="1186">
        <v>0</v>
      </c>
      <c r="DD189" s="1192">
        <f t="shared" si="516"/>
        <v>0</v>
      </c>
      <c r="DE189" s="1540">
        <v>0</v>
      </c>
      <c r="DF189" s="1541">
        <v>0</v>
      </c>
      <c r="DG189" s="1542">
        <f t="shared" si="517"/>
        <v>0</v>
      </c>
      <c r="DH189" s="1540">
        <v>0</v>
      </c>
      <c r="DI189" s="1541">
        <v>-0.2</v>
      </c>
      <c r="DJ189" s="1542">
        <f t="shared" si="518"/>
        <v>0.2</v>
      </c>
      <c r="DK189" s="1540">
        <v>0</v>
      </c>
      <c r="DL189" s="1685">
        <v>0</v>
      </c>
      <c r="DM189" s="1530">
        <f t="shared" si="519"/>
        <v>0</v>
      </c>
      <c r="DN189" s="1696">
        <v>0</v>
      </c>
      <c r="DO189" s="1685">
        <v>0</v>
      </c>
      <c r="DP189" s="1530">
        <f t="shared" si="520"/>
        <v>0</v>
      </c>
      <c r="DQ189" s="1696">
        <v>0</v>
      </c>
      <c r="DR189" s="1686">
        <v>0</v>
      </c>
      <c r="DS189" s="1530">
        <f t="shared" si="521"/>
        <v>0</v>
      </c>
      <c r="DT189" s="1696">
        <v>0</v>
      </c>
      <c r="DU189" s="1686">
        <v>0</v>
      </c>
      <c r="DV189" s="1530">
        <f t="shared" si="522"/>
        <v>0</v>
      </c>
      <c r="DW189" s="1696">
        <v>0</v>
      </c>
      <c r="DX189" s="1686">
        <v>0</v>
      </c>
      <c r="DY189" s="32">
        <v>0</v>
      </c>
      <c r="DZ189" s="1223">
        <f>+SUM(DX189:DY189)</f>
        <v>0</v>
      </c>
      <c r="EA189" s="1222">
        <v>4</v>
      </c>
      <c r="EB189" s="32">
        <f t="shared" si="523"/>
        <v>-4</v>
      </c>
      <c r="EC189" s="1223">
        <v>0</v>
      </c>
      <c r="ED189" s="1222">
        <v>5</v>
      </c>
      <c r="EE189" s="32">
        <f t="shared" si="524"/>
        <v>-5</v>
      </c>
      <c r="EF189" s="1223">
        <v>0</v>
      </c>
      <c r="EG189" s="1222">
        <v>6</v>
      </c>
      <c r="EH189" s="32">
        <f t="shared" si="525"/>
        <v>-6</v>
      </c>
      <c r="EI189" s="1223">
        <v>0</v>
      </c>
      <c r="EJ189" s="1222">
        <v>7</v>
      </c>
      <c r="EK189" s="32">
        <f t="shared" si="526"/>
        <v>-7</v>
      </c>
      <c r="EL189" s="1223">
        <v>0</v>
      </c>
      <c r="EM189" s="1222">
        <v>8</v>
      </c>
      <c r="EN189" s="32">
        <f t="shared" si="527"/>
        <v>-8</v>
      </c>
      <c r="EO189" s="1223">
        <v>0</v>
      </c>
      <c r="EP189" s="1222">
        <v>9</v>
      </c>
      <c r="EQ189" s="32">
        <f t="shared" si="528"/>
        <v>-9</v>
      </c>
      <c r="ER189" s="1223">
        <v>0</v>
      </c>
      <c r="ES189" s="1222">
        <v>10</v>
      </c>
      <c r="ET189" s="32">
        <f t="shared" si="529"/>
        <v>-9</v>
      </c>
      <c r="EU189" s="1223">
        <v>1</v>
      </c>
      <c r="EV189" s="1222">
        <v>10</v>
      </c>
      <c r="EW189" s="32">
        <f t="shared" si="530"/>
        <v>-9</v>
      </c>
      <c r="EX189" s="1223">
        <v>1</v>
      </c>
      <c r="EY189" s="1222">
        <v>10</v>
      </c>
      <c r="EZ189" s="32">
        <f t="shared" si="531"/>
        <v>-9</v>
      </c>
      <c r="FA189" s="1223">
        <v>1</v>
      </c>
      <c r="FD189"/>
      <c r="FE189"/>
      <c r="FF189"/>
      <c r="FG189"/>
      <c r="FH189"/>
      <c r="FI189"/>
    </row>
    <row r="190" spans="1:169" s="33" customFormat="1" ht="13.5" outlineLevel="1" thickBot="1">
      <c r="B190" s="54" t="s">
        <v>129</v>
      </c>
      <c r="C190" s="54"/>
      <c r="D190" s="2" t="s">
        <v>506</v>
      </c>
      <c r="E190" s="1188"/>
      <c r="F190" s="32">
        <f t="shared" si="484"/>
        <v>0</v>
      </c>
      <c r="G190" s="1189"/>
      <c r="H190" s="1190"/>
      <c r="I190" s="32">
        <f t="shared" si="485"/>
        <v>0</v>
      </c>
      <c r="J190" s="1189"/>
      <c r="K190" s="1190"/>
      <c r="L190" s="32">
        <f t="shared" si="486"/>
        <v>0</v>
      </c>
      <c r="M190" s="1189"/>
      <c r="N190" s="1190"/>
      <c r="O190" s="32">
        <f t="shared" si="487"/>
        <v>0</v>
      </c>
      <c r="P190" s="1189"/>
      <c r="Q190" s="1190"/>
      <c r="R190" s="32">
        <f t="shared" si="488"/>
        <v>0</v>
      </c>
      <c r="S190" s="1189"/>
      <c r="T190" s="1190"/>
      <c r="U190" s="32">
        <f t="shared" si="489"/>
        <v>0</v>
      </c>
      <c r="V190" s="1189"/>
      <c r="W190" s="1190"/>
      <c r="X190" s="32">
        <f t="shared" si="490"/>
        <v>0</v>
      </c>
      <c r="Y190" s="1189"/>
      <c r="Z190" s="1190"/>
      <c r="AA190" s="32">
        <f t="shared" si="491"/>
        <v>0</v>
      </c>
      <c r="AB190" s="1189"/>
      <c r="AC190" s="1190"/>
      <c r="AD190" s="32">
        <f t="shared" si="492"/>
        <v>0</v>
      </c>
      <c r="AE190" s="1189"/>
      <c r="AF190" s="1190"/>
      <c r="AG190" s="32">
        <f t="shared" si="493"/>
        <v>0</v>
      </c>
      <c r="AH190" s="1189"/>
      <c r="AI190" s="1190"/>
      <c r="AJ190" s="32">
        <f t="shared" si="494"/>
        <v>-0.03</v>
      </c>
      <c r="AK190" s="1195">
        <v>-0.03</v>
      </c>
      <c r="AL190" s="1190"/>
      <c r="AM190" s="32">
        <f t="shared" si="495"/>
        <v>-16.219000000000001</v>
      </c>
      <c r="AN190" s="1195">
        <v>-16.219000000000001</v>
      </c>
      <c r="AO190" s="1190"/>
      <c r="AP190" s="32">
        <f t="shared" si="496"/>
        <v>-16.623000000000001</v>
      </c>
      <c r="AQ190" s="1195">
        <v>-16.623000000000001</v>
      </c>
      <c r="AR190" s="1196">
        <v>-9.1329999999999991</v>
      </c>
      <c r="AS190" s="32">
        <f t="shared" si="497"/>
        <v>-12.028000000000002</v>
      </c>
      <c r="AT190" s="1195">
        <v>-21.161000000000001</v>
      </c>
      <c r="AU190" s="1196">
        <v>-17.677</v>
      </c>
      <c r="AV190" s="32">
        <f t="shared" si="498"/>
        <v>-21.344999999999999</v>
      </c>
      <c r="AW190" s="1195">
        <v>-39.021999999999998</v>
      </c>
      <c r="AX190" s="1196">
        <v>-13.669</v>
      </c>
      <c r="AY190" s="32">
        <f t="shared" si="499"/>
        <v>-23.499999999999996</v>
      </c>
      <c r="AZ190" s="1195">
        <v>-37.168999999999997</v>
      </c>
      <c r="BA190" s="1196">
        <v>-27.286000000000001</v>
      </c>
      <c r="BB190" s="32">
        <f t="shared" si="500"/>
        <v>-41.099919999999997</v>
      </c>
      <c r="BC190" s="1189">
        <f>IF(Assumptions!BC154&lt;&gt;"0",-Assumptions!BC154,0)</f>
        <v>-68.385919999999999</v>
      </c>
      <c r="BD190" s="1190">
        <f>-36.889</f>
        <v>-36.889000000000003</v>
      </c>
      <c r="BE190" s="32">
        <f t="shared" si="501"/>
        <v>-45.969999999999992</v>
      </c>
      <c r="BF190" s="1195">
        <v>-82.858999999999995</v>
      </c>
      <c r="BG190" s="1196">
        <v>-47.558</v>
      </c>
      <c r="BH190" s="32">
        <f t="shared" si="502"/>
        <v>-26.720999999999997</v>
      </c>
      <c r="BI190" s="1195">
        <v>-74.278999999999996</v>
      </c>
      <c r="BJ190" s="1190">
        <f>IF(Assumptions!BJ154&lt;&gt;"0",-Assumptions!BJ154,0)</f>
        <v>-41.348970000000001</v>
      </c>
      <c r="BK190" s="32">
        <f t="shared" si="532"/>
        <v>-38.242029999999993</v>
      </c>
      <c r="BL190" s="1189">
        <f>-79.591</f>
        <v>-79.590999999999994</v>
      </c>
      <c r="BM190" s="1196">
        <v>-60.606000000000002</v>
      </c>
      <c r="BN190" s="32">
        <f t="shared" si="533"/>
        <v>-44.408999999999999</v>
      </c>
      <c r="BO190" s="1195">
        <v>-105.015</v>
      </c>
      <c r="BP190" s="1190">
        <f>IF(Assumptions!BP154&lt;&gt;"0",-Assumptions!BP154,0)</f>
        <v>0</v>
      </c>
      <c r="BQ190" s="32">
        <f t="shared" si="503"/>
        <v>-122.065</v>
      </c>
      <c r="BR190" s="1195">
        <v>-122.065</v>
      </c>
      <c r="BS190" s="1196">
        <v>-72.834999999999994</v>
      </c>
      <c r="BT190" s="32">
        <f t="shared" si="504"/>
        <v>-132.77299999999997</v>
      </c>
      <c r="BU190" s="1189">
        <f>-205.48-0.128</f>
        <v>-205.60799999999998</v>
      </c>
      <c r="BV190" s="1190"/>
      <c r="BW190" s="32">
        <f t="shared" si="505"/>
        <v>-218.08600000000001</v>
      </c>
      <c r="BX190" s="1195">
        <v>-218.08600000000001</v>
      </c>
      <c r="BY190" s="1190">
        <f>-133.187</f>
        <v>-133.18700000000001</v>
      </c>
      <c r="BZ190" s="32">
        <f t="shared" si="506"/>
        <v>-152.42399999999998</v>
      </c>
      <c r="CA190" s="1195">
        <v>-285.61099999999999</v>
      </c>
      <c r="CB190" s="1190">
        <f>IF(Assumptions!CB154&lt;&gt;"",-Assumptions!CB154,0)</f>
        <v>-61.880000000000017</v>
      </c>
      <c r="CC190" s="32">
        <f t="shared" si="507"/>
        <v>-182.40799999999999</v>
      </c>
      <c r="CD190" s="1195">
        <v>-244.28800000000001</v>
      </c>
      <c r="CE190" s="1196">
        <v>-83.518000000000001</v>
      </c>
      <c r="CF190" s="32">
        <f t="shared" si="508"/>
        <v>-114.95400000000001</v>
      </c>
      <c r="CG190" s="1195">
        <v>-198.47200000000001</v>
      </c>
      <c r="CH190" s="1196">
        <v>-147.6</v>
      </c>
      <c r="CI190" s="32">
        <f t="shared" si="509"/>
        <v>-161.6</v>
      </c>
      <c r="CJ190" s="1195">
        <v>-309.2</v>
      </c>
      <c r="CK190" s="1196">
        <v>-231.9</v>
      </c>
      <c r="CL190" s="32">
        <f t="shared" si="510"/>
        <v>-200.9</v>
      </c>
      <c r="CM190" s="1189">
        <f>0.4-433.2</f>
        <v>-432.8</v>
      </c>
      <c r="CN190" s="1190">
        <f>-170.4-18.6</f>
        <v>-189</v>
      </c>
      <c r="CO190" s="32">
        <f t="shared" si="511"/>
        <v>-164.59999999999997</v>
      </c>
      <c r="CP190" s="1189">
        <f>0.3-353.9</f>
        <v>-353.59999999999997</v>
      </c>
      <c r="CQ190" s="1190">
        <f>+-161.3-15.6</f>
        <v>-176.9</v>
      </c>
      <c r="CR190" s="32">
        <f t="shared" si="512"/>
        <v>-170.6</v>
      </c>
      <c r="CS190" s="1189">
        <f>0.3-347.8</f>
        <v>-347.5</v>
      </c>
      <c r="CT190" s="1190">
        <f>+-217.5-22.3</f>
        <v>-239.8</v>
      </c>
      <c r="CU190" s="32">
        <f t="shared" si="513"/>
        <v>-255.2</v>
      </c>
      <c r="CV190" s="1189">
        <f>+-495.1+0.1</f>
        <v>-495</v>
      </c>
      <c r="CW190" s="1190">
        <f>IF(Assumptions!CW154&lt;&gt;"",-Assumptions!CW154,0)</f>
        <v>-461.74566169188779</v>
      </c>
      <c r="CX190" s="32">
        <f t="shared" si="514"/>
        <v>-394.93529068906457</v>
      </c>
      <c r="CY190" s="1189">
        <f>IF(Assumptions!CY154&lt;&gt;"",-Assumptions!CY154,0)</f>
        <v>-856.68095238095236</v>
      </c>
      <c r="CZ190" s="1190">
        <v>-317.60000000000002</v>
      </c>
      <c r="DA190" s="32">
        <f t="shared" si="515"/>
        <v>-674.99999999999989</v>
      </c>
      <c r="DB190" s="1189">
        <f>-778.8-213.8</f>
        <v>-992.59999999999991</v>
      </c>
      <c r="DC190" s="1190">
        <f>-454.5-84.5</f>
        <v>-539</v>
      </c>
      <c r="DD190" s="32">
        <f t="shared" si="516"/>
        <v>-745.8</v>
      </c>
      <c r="DE190" s="1197">
        <f>-1117.6-167.2</f>
        <v>-1284.8</v>
      </c>
      <c r="DF190" s="1190">
        <f>-615.4-88.6</f>
        <v>-704</v>
      </c>
      <c r="DG190" s="32">
        <f t="shared" si="517"/>
        <v>-663.59999999999991</v>
      </c>
      <c r="DH190" s="1191">
        <f>-1206.8-160.8</f>
        <v>-1367.6</v>
      </c>
      <c r="DI190" s="1190">
        <f>-564.8</f>
        <v>-564.79999999999995</v>
      </c>
      <c r="DJ190" s="32">
        <f t="shared" si="518"/>
        <v>-631.5</v>
      </c>
      <c r="DK190" s="1191">
        <f>-1196.3</f>
        <v>-1196.3</v>
      </c>
      <c r="DL190" s="32">
        <v>-525</v>
      </c>
      <c r="DM190" s="32">
        <f t="shared" si="519"/>
        <v>-554</v>
      </c>
      <c r="DN190" s="1223">
        <f>IF(Assumptions!DN154&lt;&gt;"",-Assumptions!DN154,0)</f>
        <v>-1079</v>
      </c>
      <c r="DO190" s="32">
        <f>IF(Assumptions!DO154&lt;&gt;"",-Assumptions!DO154,0)</f>
        <v>-570</v>
      </c>
      <c r="DP190" s="32">
        <f t="shared" si="520"/>
        <v>-658</v>
      </c>
      <c r="DQ190" s="1223">
        <f>IF(Assumptions!DQ154&lt;&gt;"",-Assumptions!DQ154,0)</f>
        <v>-1228</v>
      </c>
      <c r="DR190" s="32">
        <f>IF(Assumptions!DR154&lt;&gt;"",-Assumptions!DR154,0)</f>
        <v>-475</v>
      </c>
      <c r="DS190" s="32">
        <f t="shared" si="521"/>
        <v>-374</v>
      </c>
      <c r="DT190" s="1223">
        <f>IF(Assumptions!DT154&lt;&gt;"",-Assumptions!DT154,0)</f>
        <v>-849</v>
      </c>
      <c r="DU190" s="32">
        <f>IF(Assumptions!DU154&lt;&gt;"",-Assumptions!DU154,0)</f>
        <v>-378</v>
      </c>
      <c r="DV190" s="32">
        <f t="shared" si="522"/>
        <v>-258</v>
      </c>
      <c r="DW190" s="1223">
        <f>IF(Assumptions!DW154&lt;&gt;"",-Assumptions!DW154,0)</f>
        <v>-636</v>
      </c>
      <c r="DX190" s="32">
        <f>IF(Assumptions!DX154&lt;&gt;"",-Assumptions!DX154,0)</f>
        <v>-296</v>
      </c>
      <c r="DY190" s="32">
        <f>IF(Assumptions!DY154&lt;&gt;"",-Assumptions!DY154,0)</f>
        <v>-516.96310784077889</v>
      </c>
      <c r="DZ190" s="1223">
        <f>+SUM(DX190:DY190)</f>
        <v>-812.96310784077889</v>
      </c>
      <c r="EA190" s="32">
        <f>IF(Assumptions!EA154&lt;&gt;"",-Assumptions!EA154,0)</f>
        <v>-518.63700481123271</v>
      </c>
      <c r="EB190" s="32">
        <f t="shared" si="523"/>
        <v>-461.47007967432671</v>
      </c>
      <c r="EC190" s="1223">
        <f>IF(Assumptions!EC154&lt;&gt;"",-Assumptions!EC154,0)</f>
        <v>-980.10708448555943</v>
      </c>
      <c r="ED190" s="32">
        <f>IF(Assumptions!ED154&lt;&gt;"",-Assumptions!ED154,0)</f>
        <v>-632.97059196247403</v>
      </c>
      <c r="EE190" s="32">
        <f t="shared" si="524"/>
        <v>-572.8575148537833</v>
      </c>
      <c r="EF190" s="1223">
        <f>IF(Assumptions!EF154&lt;&gt;"",-Assumptions!EF154,0)</f>
        <v>-1205.8281068162573</v>
      </c>
      <c r="EG190" s="32">
        <f>IF(Assumptions!EG154&lt;&gt;"",-Assumptions!EG154,0)</f>
        <v>-669.96127498187241</v>
      </c>
      <c r="EH190" s="32">
        <f t="shared" si="525"/>
        <v>-611.06337582648678</v>
      </c>
      <c r="EI190" s="1223">
        <f>IF(Assumptions!EI154&lt;&gt;"",-Assumptions!EI154,0)</f>
        <v>-1281.0246508083592</v>
      </c>
      <c r="EJ190" s="32">
        <f>IF(Assumptions!EJ154&lt;&gt;"",-Assumptions!EJ154,0)</f>
        <v>-608.24324388929301</v>
      </c>
      <c r="EK190" s="32">
        <f t="shared" si="526"/>
        <v>-559.41719568957035</v>
      </c>
      <c r="EL190" s="1223">
        <f>IF(Assumptions!EL154&lt;&gt;"",-Assumptions!EL154,0)</f>
        <v>-1167.6604395788634</v>
      </c>
      <c r="EM190" s="32">
        <f>IF(Assumptions!EM154&lt;&gt;"",-Assumptions!EM154,0)</f>
        <v>-534.66655964934102</v>
      </c>
      <c r="EN190" s="32">
        <f t="shared" si="527"/>
        <v>-492.31326765816107</v>
      </c>
      <c r="EO190" s="1223">
        <f>IF(Assumptions!EO154&lt;&gt;"",-Assumptions!EO154,0)</f>
        <v>-1026.9798273075021</v>
      </c>
      <c r="EP190" s="32">
        <f>IF(Assumptions!EP154&lt;&gt;"",-Assumptions!EP154,0)</f>
        <v>-563.59620429623612</v>
      </c>
      <c r="EQ190" s="32">
        <f t="shared" si="528"/>
        <v>-521.4620761807081</v>
      </c>
      <c r="ER190" s="1223">
        <f>IF(Assumptions!ER154&lt;&gt;"",-Assumptions!ER154,0)</f>
        <v>-1085.0582804769442</v>
      </c>
      <c r="ES190" s="32">
        <f>IF(Assumptions!ES154&lt;&gt;"",-Assumptions!ES154,0)</f>
        <v>-594.89130571653379</v>
      </c>
      <c r="ET190" s="32">
        <f t="shared" si="529"/>
        <v>-552.49230204467801</v>
      </c>
      <c r="EU190" s="1223">
        <f>IF(Assumptions!EU154&lt;&gt;"",-Assumptions!EU154,0)</f>
        <v>-1147.3836077612118</v>
      </c>
      <c r="EV190" s="32">
        <f>IF(Assumptions!EV154&lt;&gt;"",-Assumptions!EV154,0)</f>
        <v>-628.12807031663817</v>
      </c>
      <c r="EW190" s="32">
        <f t="shared" si="530"/>
        <v>-585.52952809962323</v>
      </c>
      <c r="EX190" s="1223">
        <f>IF(Assumptions!EX154&lt;&gt;"",-Assumptions!EX154,0)</f>
        <v>-1213.6575984162614</v>
      </c>
      <c r="EY190" s="32">
        <f>IF(Assumptions!EY154&lt;&gt;"",-Assumptions!EY154,0)</f>
        <v>-663.43372095647942</v>
      </c>
      <c r="EZ190" s="32">
        <f t="shared" si="531"/>
        <v>-620.70792170424716</v>
      </c>
      <c r="FA190" s="1223">
        <f>IF(Assumptions!FA154&lt;&gt;"",-Assumptions!FA154,0)</f>
        <v>-1284.1416426607266</v>
      </c>
      <c r="FD190"/>
      <c r="FE190"/>
      <c r="FF190"/>
      <c r="FG190"/>
      <c r="FH190"/>
      <c r="FI190"/>
    </row>
    <row r="191" spans="1:169" s="33" customFormat="1" ht="13.5" thickBot="1">
      <c r="B191" s="54" t="s">
        <v>743</v>
      </c>
      <c r="C191" s="54"/>
      <c r="D191" s="2" t="s">
        <v>506</v>
      </c>
      <c r="E191" s="1188"/>
      <c r="F191" s="32">
        <f t="shared" si="484"/>
        <v>0</v>
      </c>
      <c r="G191" s="1189"/>
      <c r="H191" s="1190"/>
      <c r="I191" s="32">
        <f t="shared" si="485"/>
        <v>0</v>
      </c>
      <c r="J191" s="1189"/>
      <c r="K191" s="1190"/>
      <c r="L191" s="32">
        <f t="shared" si="486"/>
        <v>0</v>
      </c>
      <c r="M191" s="1189"/>
      <c r="N191" s="1190"/>
      <c r="O191" s="32">
        <f t="shared" si="487"/>
        <v>0</v>
      </c>
      <c r="P191" s="1189"/>
      <c r="Q191" s="1190"/>
      <c r="R191" s="32">
        <f t="shared" si="488"/>
        <v>0</v>
      </c>
      <c r="S191" s="1189"/>
      <c r="T191" s="1190"/>
      <c r="U191" s="32">
        <f t="shared" si="489"/>
        <v>0</v>
      </c>
      <c r="V191" s="1189"/>
      <c r="W191" s="1190"/>
      <c r="X191" s="32">
        <f t="shared" si="490"/>
        <v>0</v>
      </c>
      <c r="Y191" s="1189"/>
      <c r="Z191" s="1190"/>
      <c r="AA191" s="32">
        <f t="shared" si="491"/>
        <v>0</v>
      </c>
      <c r="AB191" s="1189"/>
      <c r="AC191" s="1190"/>
      <c r="AD191" s="32">
        <f t="shared" si="492"/>
        <v>0</v>
      </c>
      <c r="AE191" s="1189"/>
      <c r="AF191" s="1190"/>
      <c r="AG191" s="32">
        <f t="shared" si="493"/>
        <v>0</v>
      </c>
      <c r="AH191" s="1189"/>
      <c r="AI191" s="1190"/>
      <c r="AJ191" s="32">
        <f t="shared" si="494"/>
        <v>0</v>
      </c>
      <c r="AK191" s="1189"/>
      <c r="AL191" s="1190"/>
      <c r="AM191" s="32">
        <f t="shared" si="495"/>
        <v>0.252</v>
      </c>
      <c r="AN191" s="1195">
        <v>0.252</v>
      </c>
      <c r="AO191" s="1190"/>
      <c r="AP191" s="32">
        <f t="shared" si="496"/>
        <v>0.11</v>
      </c>
      <c r="AQ191" s="1195">
        <v>0.11</v>
      </c>
      <c r="AR191" s="1196">
        <v>0.30599999999999999</v>
      </c>
      <c r="AS191" s="32">
        <f t="shared" si="497"/>
        <v>0.16999999999999998</v>
      </c>
      <c r="AT191" s="1195">
        <v>0.47599999999999998</v>
      </c>
      <c r="AU191" s="1196">
        <v>4.0000000000000001E-3</v>
      </c>
      <c r="AV191" s="32">
        <f t="shared" si="498"/>
        <v>0.65300000000000002</v>
      </c>
      <c r="AW191" s="1195">
        <v>0.65700000000000003</v>
      </c>
      <c r="AX191" s="1190"/>
      <c r="AY191" s="32">
        <f t="shared" si="499"/>
        <v>0</v>
      </c>
      <c r="AZ191" s="1195">
        <v>0</v>
      </c>
      <c r="BA191" s="1196">
        <v>6.5000000000000002E-2</v>
      </c>
      <c r="BB191" s="32">
        <f t="shared" si="500"/>
        <v>3.5000000000000003E-2</v>
      </c>
      <c r="BC191" s="1189">
        <f>IF(Assumptions!BC156&lt;&gt;"0",Assumptions!BC156,0)</f>
        <v>0.1</v>
      </c>
      <c r="BD191" s="1196">
        <v>0.36399999999999999</v>
      </c>
      <c r="BE191" s="32">
        <f t="shared" si="501"/>
        <v>3.400000000000003E-2</v>
      </c>
      <c r="BF191" s="1195">
        <v>0.39800000000000002</v>
      </c>
      <c r="BG191" s="1196">
        <v>3.625</v>
      </c>
      <c r="BH191" s="32">
        <f t="shared" si="502"/>
        <v>4.5839999999999996</v>
      </c>
      <c r="BI191" s="1195">
        <v>8.2089999999999996</v>
      </c>
      <c r="BJ191" s="1190">
        <f>IF(Assumptions!BJ156&lt;&gt;"0",Assumptions!BJ156,0)</f>
        <v>0</v>
      </c>
      <c r="BK191" s="32">
        <f t="shared" si="532"/>
        <v>0.41299999999999998</v>
      </c>
      <c r="BL191" s="1189">
        <f>0.413</f>
        <v>0.41299999999999998</v>
      </c>
      <c r="BM191" s="1190">
        <f>0.722+0.375</f>
        <v>1.097</v>
      </c>
      <c r="BN191" s="32">
        <f t="shared" si="533"/>
        <v>-0.38500000000000001</v>
      </c>
      <c r="BO191" s="1176">
        <v>0.71199999999999997</v>
      </c>
      <c r="BP191" s="1174">
        <f>IF(Assumptions!BP156&lt;&gt;"0",Assumptions!BP156,0)</f>
        <v>0</v>
      </c>
      <c r="BQ191" s="32">
        <f t="shared" si="503"/>
        <v>2.7389999999999999</v>
      </c>
      <c r="BR191" s="1173">
        <f>2.739</f>
        <v>2.7389999999999999</v>
      </c>
      <c r="BS191" s="1174">
        <f>IF(Assumptions!BS156&lt;&gt;"0",Assumptions!BS156,0)</f>
        <v>0</v>
      </c>
      <c r="BT191" s="32">
        <f t="shared" si="504"/>
        <v>3.9289999999999998</v>
      </c>
      <c r="BU191" s="1176">
        <v>3.9289999999999998</v>
      </c>
      <c r="BV191" s="1180">
        <v>0.85299999999999998</v>
      </c>
      <c r="BW191" s="32">
        <f t="shared" si="505"/>
        <v>-8.0000000000000071E-3</v>
      </c>
      <c r="BX191" s="1176">
        <v>0.84499999999999997</v>
      </c>
      <c r="BY191" s="1174">
        <f>0.317</f>
        <v>0.317</v>
      </c>
      <c r="BZ191" s="32">
        <f t="shared" si="506"/>
        <v>1.0940000000000001</v>
      </c>
      <c r="CA191" s="1176">
        <v>1.411</v>
      </c>
      <c r="CB191" s="1180">
        <v>0.16200000000000001</v>
      </c>
      <c r="CC191" s="32">
        <f t="shared" si="507"/>
        <v>-0.16200000000000001</v>
      </c>
      <c r="CD191" s="1173">
        <f>IF(Assumptions!CD156&lt;&gt;"",Assumptions!CD156,0)</f>
        <v>0</v>
      </c>
      <c r="CE191" s="1174">
        <f>IF(Assumptions!CE156&lt;&gt;"",Assumptions!CE156,0)</f>
        <v>0</v>
      </c>
      <c r="CF191" s="32">
        <f t="shared" si="508"/>
        <v>0</v>
      </c>
      <c r="CG191" s="1173">
        <f>IF(Assumptions!CG156&lt;&gt;"",Assumptions!CG156,0)</f>
        <v>0</v>
      </c>
      <c r="CH191" s="1174">
        <f>IF(Assumptions!CH156&lt;&gt;"",Assumptions!CH156,0)</f>
        <v>0</v>
      </c>
      <c r="CI191" s="32">
        <f t="shared" si="509"/>
        <v>0</v>
      </c>
      <c r="CJ191" s="1173">
        <f>IF(Assumptions!CJ156&lt;&gt;"",Assumptions!CJ156,0)</f>
        <v>0</v>
      </c>
      <c r="CK191" s="1174">
        <f>IF(Assumptions!CK156&lt;&gt;"",Assumptions!CK156,0)</f>
        <v>0</v>
      </c>
      <c r="CL191" s="32">
        <f t="shared" si="510"/>
        <v>0</v>
      </c>
      <c r="CM191" s="1173">
        <f>IF(Assumptions!CM156&lt;&gt;"",Assumptions!CM156,0)</f>
        <v>0</v>
      </c>
      <c r="CN191" s="1180">
        <v>0.1</v>
      </c>
      <c r="CO191" s="32">
        <f t="shared" si="511"/>
        <v>-0.1</v>
      </c>
      <c r="CP191" s="1173">
        <f>IF(Assumptions!CP156&lt;&gt;"",Assumptions!CP156,0)</f>
        <v>0</v>
      </c>
      <c r="CQ191" s="1174">
        <f>IF(Assumptions!CQ156&lt;&gt;"",Assumptions!CQ156,0)</f>
        <v>0</v>
      </c>
      <c r="CR191" s="32">
        <f t="shared" si="512"/>
        <v>0</v>
      </c>
      <c r="CS191" s="1173">
        <f>IF(Assumptions!CS156&lt;&gt;"",Assumptions!CS156,0)</f>
        <v>0</v>
      </c>
      <c r="CT191" s="1174">
        <f>IF(Assumptions!CT156&lt;&gt;"",Assumptions!CT156,0)</f>
        <v>0</v>
      </c>
      <c r="CU191" s="32">
        <f t="shared" si="513"/>
        <v>0</v>
      </c>
      <c r="CV191" s="1173">
        <f>IF(Assumptions!CV156&lt;&gt;"",Assumptions!CV156,0)</f>
        <v>0</v>
      </c>
      <c r="CW191" s="1174">
        <f>IF(Assumptions!CW156&lt;&gt;"",Assumptions!CW156,0)</f>
        <v>0</v>
      </c>
      <c r="CX191" s="32">
        <f t="shared" si="514"/>
        <v>0</v>
      </c>
      <c r="CY191" s="1173">
        <f>IF(Assumptions!CY156&lt;&gt;"",Assumptions!CY156,0)</f>
        <v>0</v>
      </c>
      <c r="CZ191" s="1174">
        <f>IF(Assumptions!CZ156&lt;&gt;"",Assumptions!CZ156,0)</f>
        <v>0</v>
      </c>
      <c r="DA191" s="32">
        <f t="shared" si="515"/>
        <v>0</v>
      </c>
      <c r="DB191" s="1173">
        <f>IF(Assumptions!DB156&lt;&gt;"",Assumptions!DB156,0)</f>
        <v>0</v>
      </c>
      <c r="DC191" s="1174">
        <f>IF(Assumptions!DC156&lt;&gt;"",Assumptions!DC156,0)</f>
        <v>0</v>
      </c>
      <c r="DD191" s="32">
        <f t="shared" si="516"/>
        <v>0</v>
      </c>
      <c r="DE191" s="1179">
        <f>IF(Assumptions!DE156&lt;&gt;"",Assumptions!DE156,0)</f>
        <v>0</v>
      </c>
      <c r="DF191" s="1174">
        <f>IF(Assumptions!DF156&lt;&gt;"",Assumptions!DF156,0)</f>
        <v>0</v>
      </c>
      <c r="DG191" s="32">
        <f t="shared" si="517"/>
        <v>0</v>
      </c>
      <c r="DH191" s="1179">
        <f>IF(Assumptions!DH156&lt;&gt;"",Assumptions!DH156,0)</f>
        <v>0</v>
      </c>
      <c r="DI191" s="1174">
        <f>IF(Assumptions!DI156&lt;&gt;"",Assumptions!DI156,0)</f>
        <v>0</v>
      </c>
      <c r="DJ191" s="32">
        <f t="shared" si="518"/>
        <v>0</v>
      </c>
      <c r="DK191" s="1179">
        <f>IF(Assumptions!DK156&lt;&gt;"",Assumptions!DK156,0)</f>
        <v>0</v>
      </c>
      <c r="DL191" s="32">
        <f>IF(Assumptions!DL156&lt;&gt;"",Assumptions!DL156,0)</f>
        <v>0</v>
      </c>
      <c r="DM191" s="32">
        <f t="shared" si="519"/>
        <v>0</v>
      </c>
      <c r="DN191" s="1223">
        <f>IF(Assumptions!DN156&lt;&gt;"",Assumptions!DN156,0)</f>
        <v>0</v>
      </c>
      <c r="DO191" s="32">
        <f>IF(Assumptions!DO156&lt;&gt;"",Assumptions!DO156,0)</f>
        <v>0</v>
      </c>
      <c r="DP191" s="32">
        <f t="shared" si="520"/>
        <v>0</v>
      </c>
      <c r="DQ191" s="1223">
        <f>IF(Assumptions!DQ156&lt;&gt;"",Assumptions!DQ156,0)</f>
        <v>0</v>
      </c>
      <c r="DR191" s="32">
        <f>IF(Assumptions!DR156&lt;&gt;"",Assumptions!DR156,0)</f>
        <v>0</v>
      </c>
      <c r="DS191" s="32">
        <f t="shared" si="521"/>
        <v>0</v>
      </c>
      <c r="DT191" s="1223">
        <f>IF(Assumptions!DT156&lt;&gt;"",Assumptions!DT156,0)</f>
        <v>0</v>
      </c>
      <c r="DU191" s="32">
        <v>180</v>
      </c>
      <c r="DV191" s="32">
        <f t="shared" si="522"/>
        <v>-180</v>
      </c>
      <c r="DW191" s="1223">
        <f>IF(Assumptions!DW156&lt;&gt;"",Assumptions!DW156,0)</f>
        <v>0</v>
      </c>
      <c r="DX191" s="1693">
        <v>0</v>
      </c>
      <c r="DY191" s="32">
        <v>0</v>
      </c>
      <c r="DZ191" s="1223">
        <f t="shared" ref="DZ191" si="536">SUM(DX191:DY191)</f>
        <v>0</v>
      </c>
      <c r="EA191" s="32">
        <f>IF(Assumptions!EA156&lt;&gt;"",Assumptions!EA156,0)</f>
        <v>0</v>
      </c>
      <c r="EB191" s="32">
        <f t="shared" si="523"/>
        <v>0</v>
      </c>
      <c r="EC191" s="1223">
        <f>IF(Assumptions!EC156&lt;&gt;"",Assumptions!EC156,0)</f>
        <v>0</v>
      </c>
      <c r="ED191" s="32">
        <f>IF(Assumptions!ED156&lt;&gt;"",Assumptions!ED156,0)</f>
        <v>0</v>
      </c>
      <c r="EE191" s="32">
        <f t="shared" si="524"/>
        <v>0</v>
      </c>
      <c r="EF191" s="1223">
        <f>IF(Assumptions!EF156&lt;&gt;"",Assumptions!EF156,0)</f>
        <v>0</v>
      </c>
      <c r="EG191" s="32">
        <f>IF(Assumptions!EG156&lt;&gt;"",Assumptions!EG156,0)</f>
        <v>0</v>
      </c>
      <c r="EH191" s="32">
        <f t="shared" si="525"/>
        <v>0</v>
      </c>
      <c r="EI191" s="1223">
        <f>IF(Assumptions!EI156&lt;&gt;"",Assumptions!EI156,0)</f>
        <v>0</v>
      </c>
      <c r="EJ191" s="32">
        <f>IF(Assumptions!EJ156&lt;&gt;"",Assumptions!EJ156,0)</f>
        <v>0</v>
      </c>
      <c r="EK191" s="32">
        <f t="shared" si="526"/>
        <v>0</v>
      </c>
      <c r="EL191" s="1223">
        <f>IF(Assumptions!EL156&lt;&gt;"",Assumptions!EL156,0)</f>
        <v>0</v>
      </c>
      <c r="EM191" s="32">
        <f>IF(Assumptions!EM156&lt;&gt;"",Assumptions!EM156,0)</f>
        <v>0</v>
      </c>
      <c r="EN191" s="32">
        <f t="shared" si="527"/>
        <v>0</v>
      </c>
      <c r="EO191" s="1223">
        <f>IF(Assumptions!EO156&lt;&gt;"",Assumptions!EO156,0)</f>
        <v>0</v>
      </c>
      <c r="EP191" s="32">
        <f>IF(Assumptions!EP156&lt;&gt;"",Assumptions!EP156,0)</f>
        <v>0</v>
      </c>
      <c r="EQ191" s="32">
        <f t="shared" si="528"/>
        <v>0</v>
      </c>
      <c r="ER191" s="1223">
        <f>IF(Assumptions!ER156&lt;&gt;"",Assumptions!ER156,0)</f>
        <v>0</v>
      </c>
      <c r="ES191" s="32">
        <f>IF(Assumptions!ES156&lt;&gt;"",Assumptions!ES156,0)</f>
        <v>0</v>
      </c>
      <c r="ET191" s="32">
        <f t="shared" si="529"/>
        <v>0</v>
      </c>
      <c r="EU191" s="1223">
        <f>IF(Assumptions!EU156&lt;&gt;"",Assumptions!EU156,0)</f>
        <v>0</v>
      </c>
      <c r="EV191" s="32">
        <f>IF(Assumptions!EV156&lt;&gt;"",Assumptions!EV156,0)</f>
        <v>0</v>
      </c>
      <c r="EW191" s="32">
        <f t="shared" si="530"/>
        <v>0</v>
      </c>
      <c r="EX191" s="1223">
        <f>IF(Assumptions!EX156&lt;&gt;"",Assumptions!EX156,0)</f>
        <v>0</v>
      </c>
      <c r="EY191" s="32">
        <f>IF(Assumptions!EY156&lt;&gt;"",Assumptions!EY156,0)</f>
        <v>0</v>
      </c>
      <c r="EZ191" s="32">
        <f t="shared" si="531"/>
        <v>0</v>
      </c>
      <c r="FA191" s="1223">
        <f>IF(Assumptions!FA156&lt;&gt;"",Assumptions!FA156,0)</f>
        <v>0</v>
      </c>
      <c r="FD191"/>
      <c r="FE191"/>
      <c r="FF191"/>
      <c r="FG191"/>
      <c r="FH191"/>
      <c r="FI191"/>
    </row>
    <row r="192" spans="1:169" s="33" customFormat="1" ht="13.5" thickBot="1">
      <c r="B192" s="54" t="s">
        <v>744</v>
      </c>
      <c r="C192" s="54"/>
      <c r="D192" s="2" t="s">
        <v>506</v>
      </c>
      <c r="E192" s="32">
        <f>+SUM(E193:E194)</f>
        <v>0</v>
      </c>
      <c r="F192" s="32">
        <f t="shared" si="484"/>
        <v>0</v>
      </c>
      <c r="G192" s="32">
        <f>+SUM(G193:G194)</f>
        <v>0</v>
      </c>
      <c r="H192" s="32">
        <f>+SUM(H193:H194)</f>
        <v>0</v>
      </c>
      <c r="I192" s="32">
        <f t="shared" si="485"/>
        <v>0</v>
      </c>
      <c r="J192" s="32">
        <f>+SUM(J193:J194)</f>
        <v>0</v>
      </c>
      <c r="K192" s="32">
        <f>+SUM(K193:K194)</f>
        <v>0</v>
      </c>
      <c r="L192" s="32">
        <f t="shared" si="486"/>
        <v>0</v>
      </c>
      <c r="M192" s="32">
        <f>+SUM(M193:M194)</f>
        <v>0</v>
      </c>
      <c r="N192" s="32">
        <f>+SUM(N193:N194)</f>
        <v>0</v>
      </c>
      <c r="O192" s="32">
        <f t="shared" si="487"/>
        <v>0</v>
      </c>
      <c r="P192" s="32">
        <f>+SUM(P193:P194)</f>
        <v>0</v>
      </c>
      <c r="Q192" s="32">
        <f>+SUM(Q193:Q194)</f>
        <v>0</v>
      </c>
      <c r="R192" s="32">
        <f t="shared" si="488"/>
        <v>0</v>
      </c>
      <c r="S192" s="32">
        <f>+SUM(S193:S194)</f>
        <v>0</v>
      </c>
      <c r="T192" s="32">
        <f>+SUM(T193:T194)</f>
        <v>0</v>
      </c>
      <c r="U192" s="32">
        <f t="shared" si="489"/>
        <v>0</v>
      </c>
      <c r="V192" s="32">
        <f>+SUM(V193:V194)</f>
        <v>0</v>
      </c>
      <c r="W192" s="32">
        <f>+SUM(W193:W194)</f>
        <v>0</v>
      </c>
      <c r="X192" s="32">
        <f t="shared" si="490"/>
        <v>0</v>
      </c>
      <c r="Y192" s="32">
        <f>+SUM(Y193:Y194)</f>
        <v>0</v>
      </c>
      <c r="Z192" s="32">
        <f>+SUM(Z193:Z194)</f>
        <v>0</v>
      </c>
      <c r="AA192" s="32">
        <f t="shared" si="491"/>
        <v>0</v>
      </c>
      <c r="AB192" s="32">
        <f>+SUM(AB193:AB194)</f>
        <v>0</v>
      </c>
      <c r="AC192" s="32">
        <f>+SUM(AC193:AC194)</f>
        <v>0</v>
      </c>
      <c r="AD192" s="32">
        <f t="shared" si="492"/>
        <v>0</v>
      </c>
      <c r="AE192" s="32">
        <f>+SUM(AE193:AE194)</f>
        <v>0</v>
      </c>
      <c r="AF192" s="32">
        <f>+SUM(AF193:AF194)</f>
        <v>0</v>
      </c>
      <c r="AG192" s="32">
        <f t="shared" si="493"/>
        <v>0</v>
      </c>
      <c r="AH192" s="32">
        <f>+SUM(AH193:AH194)</f>
        <v>0</v>
      </c>
      <c r="AI192" s="32">
        <f>+SUM(AI193:AI194)</f>
        <v>0</v>
      </c>
      <c r="AJ192" s="32">
        <f t="shared" si="494"/>
        <v>0</v>
      </c>
      <c r="AK192" s="32">
        <f>+SUM(AK193:AK194)</f>
        <v>0</v>
      </c>
      <c r="AL192" s="32">
        <f>+SUM(AL193:AL194)</f>
        <v>0</v>
      </c>
      <c r="AM192" s="32">
        <f t="shared" si="495"/>
        <v>0</v>
      </c>
      <c r="AN192" s="32">
        <f>+SUM(AN193:AN194)</f>
        <v>0</v>
      </c>
      <c r="AO192" s="32">
        <f>+SUM(AO193:AO194)</f>
        <v>0</v>
      </c>
      <c r="AP192" s="32">
        <f t="shared" si="496"/>
        <v>0</v>
      </c>
      <c r="AQ192" s="32">
        <f>+SUM(AQ193:AQ194)</f>
        <v>0</v>
      </c>
      <c r="AR192" s="32">
        <f>+SUM(AR193:AR194)</f>
        <v>7.5</v>
      </c>
      <c r="AS192" s="32">
        <f t="shared" si="497"/>
        <v>-22.240000000000002</v>
      </c>
      <c r="AT192" s="32">
        <f>+SUM(AT193:AT194)</f>
        <v>-14.74</v>
      </c>
      <c r="AU192" s="32">
        <f>+SUM(AU193:AU194)</f>
        <v>-0.218</v>
      </c>
      <c r="AV192" s="32">
        <f t="shared" si="498"/>
        <v>-2.431</v>
      </c>
      <c r="AW192" s="32">
        <f>+SUM(AW193:AW194)</f>
        <v>-2.649</v>
      </c>
      <c r="AX192" s="32">
        <f>+SUM(AX193:AX194)</f>
        <v>-1.329</v>
      </c>
      <c r="AY192" s="32">
        <f t="shared" si="499"/>
        <v>-2.8020000000000005</v>
      </c>
      <c r="AZ192" s="32">
        <f>+SUM(AZ193:AZ194)</f>
        <v>-4.1310000000000002</v>
      </c>
      <c r="BA192" s="32">
        <f>+SUM(BA193:BA194)</f>
        <v>-912.24800000000005</v>
      </c>
      <c r="BB192" s="32">
        <f t="shared" si="500"/>
        <v>-1.5</v>
      </c>
      <c r="BC192" s="32">
        <f>+SUM(BC193:BC194)</f>
        <v>-913.74800000000005</v>
      </c>
      <c r="BD192" s="32">
        <f>+SUM(BD193:BD194)</f>
        <v>-309.65999999999997</v>
      </c>
      <c r="BE192" s="32">
        <f t="shared" si="501"/>
        <v>-3.5430000000000064</v>
      </c>
      <c r="BF192" s="32">
        <f>+SUM(BF193:BF194)</f>
        <v>-313.20299999999997</v>
      </c>
      <c r="BG192" s="32">
        <f>+SUM(BG193:BG194)</f>
        <v>-0.39600000000000002</v>
      </c>
      <c r="BH192" s="32">
        <f t="shared" si="502"/>
        <v>-16.576000000000001</v>
      </c>
      <c r="BI192" s="32">
        <f>+SUM(BI193:BI194)</f>
        <v>-16.972000000000001</v>
      </c>
      <c r="BJ192" s="32">
        <f>+SUM(BJ193:BJ194)</f>
        <v>-15.3</v>
      </c>
      <c r="BK192" s="32">
        <f t="shared" si="532"/>
        <v>-758.20500000000004</v>
      </c>
      <c r="BL192" s="32">
        <f>+SUM(BL193:BL194)</f>
        <v>-773.505</v>
      </c>
      <c r="BM192" s="32">
        <f>+SUM(BM193:BM194)</f>
        <v>0</v>
      </c>
      <c r="BN192" s="32">
        <f t="shared" si="533"/>
        <v>-0.27700000000000002</v>
      </c>
      <c r="BO192" s="32">
        <f>+SUM(BO193:BO194)</f>
        <v>-0.27700000000000002</v>
      </c>
      <c r="BP192" s="32">
        <f>+SUM(BP193:BP194)</f>
        <v>0</v>
      </c>
      <c r="BQ192" s="32">
        <f t="shared" si="503"/>
        <v>-15.052</v>
      </c>
      <c r="BR192" s="32">
        <f>+SUM(BR193:BR194)</f>
        <v>-15.052</v>
      </c>
      <c r="BS192" s="32">
        <f>+SUM(BS193:BS194)</f>
        <v>-192.547</v>
      </c>
      <c r="BT192" s="32">
        <f t="shared" si="504"/>
        <v>88.608000000000004</v>
      </c>
      <c r="BU192" s="32">
        <f>+SUM(BU193:BU194)</f>
        <v>-103.93899999999999</v>
      </c>
      <c r="BV192" s="32">
        <f>+SUM(BV193:BV194)</f>
        <v>4.2000000000000003E-2</v>
      </c>
      <c r="BW192" s="32">
        <f t="shared" si="505"/>
        <v>-4.2000000000000003E-2</v>
      </c>
      <c r="BX192" s="32">
        <f>+SUM(BX193:BX194)</f>
        <v>0</v>
      </c>
      <c r="BY192" s="32">
        <f>+SUM(BY193:BY194)</f>
        <v>0</v>
      </c>
      <c r="BZ192" s="32">
        <f t="shared" si="506"/>
        <v>0</v>
      </c>
      <c r="CA192" s="32">
        <f>+SUM(CA193:CA194)</f>
        <v>0</v>
      </c>
      <c r="CB192" s="32">
        <f>+SUM(CB193:CB194)</f>
        <v>0</v>
      </c>
      <c r="CC192" s="32">
        <f t="shared" si="507"/>
        <v>0</v>
      </c>
      <c r="CD192" s="32">
        <f>+SUM(CD193:CD194)</f>
        <v>0</v>
      </c>
      <c r="CE192" s="32">
        <f>+SUM(CE193:CE194)</f>
        <v>0</v>
      </c>
      <c r="CF192" s="32">
        <f t="shared" si="508"/>
        <v>0</v>
      </c>
      <c r="CG192" s="32">
        <f>+SUM(CG193:CG194)</f>
        <v>0</v>
      </c>
      <c r="CH192" s="32">
        <f>+SUM(CH193:CH194)</f>
        <v>0</v>
      </c>
      <c r="CI192" s="32">
        <f t="shared" si="509"/>
        <v>0</v>
      </c>
      <c r="CJ192" s="32">
        <f>+SUM(CJ193:CJ194)</f>
        <v>0</v>
      </c>
      <c r="CK192" s="32">
        <f>+SUM(CK193:CK194)</f>
        <v>0</v>
      </c>
      <c r="CL192" s="32">
        <f t="shared" si="510"/>
        <v>0</v>
      </c>
      <c r="CM192" s="32">
        <f>+SUM(CM193:CM194)</f>
        <v>0</v>
      </c>
      <c r="CN192" s="32">
        <f>+SUM(CN193:CN194)</f>
        <v>0</v>
      </c>
      <c r="CO192" s="32">
        <f t="shared" si="511"/>
        <v>0</v>
      </c>
      <c r="CP192" s="32">
        <f>+SUM(CP193:CP194)</f>
        <v>0</v>
      </c>
      <c r="CQ192" s="32">
        <f>+SUM(CQ193:CQ194)</f>
        <v>0</v>
      </c>
      <c r="CR192" s="32">
        <f t="shared" si="512"/>
        <v>0</v>
      </c>
      <c r="CS192" s="32">
        <f>+SUM(CS193:CS194)</f>
        <v>0</v>
      </c>
      <c r="CT192" s="32">
        <f>+SUM(CT193:CT194)</f>
        <v>-261.2</v>
      </c>
      <c r="CU192" s="32">
        <f t="shared" si="513"/>
        <v>16.599999999999994</v>
      </c>
      <c r="CV192" s="32">
        <f>+SUM(CV193:CV194)</f>
        <v>-244.6</v>
      </c>
      <c r="CW192" s="32">
        <f>+SUM(CW193:CW194)</f>
        <v>0</v>
      </c>
      <c r="CX192" s="32">
        <f t="shared" si="514"/>
        <v>-2.4</v>
      </c>
      <c r="CY192" s="32">
        <f>+SUM(CY193:CY194)</f>
        <v>-2.4</v>
      </c>
      <c r="CZ192" s="32">
        <f>+SUM(CZ193:CZ194)</f>
        <v>-441.5</v>
      </c>
      <c r="DA192" s="32">
        <f t="shared" si="515"/>
        <v>-100</v>
      </c>
      <c r="DB192" s="32">
        <f>+SUM(DB193:DB194)</f>
        <v>-541.5</v>
      </c>
      <c r="DC192" s="32">
        <f>+SUM(DC193:DC194)</f>
        <v>0</v>
      </c>
      <c r="DD192" s="32">
        <f t="shared" si="516"/>
        <v>0</v>
      </c>
      <c r="DE192" s="1061">
        <f>+SUM(DE193:DE194)</f>
        <v>0</v>
      </c>
      <c r="DF192" s="32">
        <f>+SUM(DF193:DF194)</f>
        <v>0</v>
      </c>
      <c r="DG192" s="32">
        <f t="shared" si="517"/>
        <v>0</v>
      </c>
      <c r="DH192" s="1061">
        <f>+SUM(DH193:DH194)</f>
        <v>0</v>
      </c>
      <c r="DI192" s="32">
        <f>+SUM(DI193:DI194)</f>
        <v>0</v>
      </c>
      <c r="DJ192" s="32">
        <f t="shared" si="518"/>
        <v>0</v>
      </c>
      <c r="DK192" s="1061">
        <f>+SUM(DK193:DK194)</f>
        <v>0</v>
      </c>
      <c r="DL192" s="32">
        <f>+SUM(DL193:DL194)</f>
        <v>0</v>
      </c>
      <c r="DM192" s="32">
        <f t="shared" si="519"/>
        <v>0</v>
      </c>
      <c r="DN192" s="1061">
        <f>+SUM(DN193:DN194)</f>
        <v>0</v>
      </c>
      <c r="DO192" s="32">
        <f>+SUM(DO193:DO194)</f>
        <v>0</v>
      </c>
      <c r="DP192" s="32">
        <f t="shared" si="520"/>
        <v>-10534</v>
      </c>
      <c r="DQ192" s="1061">
        <f>+SUM(DQ193:DQ194)</f>
        <v>-10534</v>
      </c>
      <c r="DR192" s="32">
        <f>+SUM(DR193:DR194)</f>
        <v>0</v>
      </c>
      <c r="DS192" s="32">
        <f t="shared" si="521"/>
        <v>0</v>
      </c>
      <c r="DT192" s="1061">
        <f>+SUM(DT193:DT194)</f>
        <v>0</v>
      </c>
      <c r="DU192" s="32">
        <f>+SUM(DU193:DU194)</f>
        <v>-13</v>
      </c>
      <c r="DV192" s="32">
        <f t="shared" si="522"/>
        <v>13</v>
      </c>
      <c r="DW192" s="1061">
        <f>+SUM(DW193:DW194)</f>
        <v>0</v>
      </c>
      <c r="DX192" s="32">
        <f>+SUM(DX193:DX194)</f>
        <v>0</v>
      </c>
      <c r="DY192" s="32">
        <v>0</v>
      </c>
      <c r="DZ192" s="1223">
        <f t="shared" ref="DZ192" si="537">SUM(DX192:DY192)</f>
        <v>0</v>
      </c>
      <c r="EA192" s="32">
        <f>+SUM(EA193:EA194)</f>
        <v>0</v>
      </c>
      <c r="EB192" s="32">
        <f t="shared" si="523"/>
        <v>0</v>
      </c>
      <c r="EC192" s="1061">
        <f>+SUM(EC193:EC194)</f>
        <v>0</v>
      </c>
      <c r="ED192" s="32">
        <f>+SUM(ED193:ED194)</f>
        <v>0</v>
      </c>
      <c r="EE192" s="32">
        <f t="shared" si="524"/>
        <v>0</v>
      </c>
      <c r="EF192" s="1061">
        <f>+SUM(EF193:EF194)</f>
        <v>0</v>
      </c>
      <c r="EG192" s="32">
        <f>+SUM(EG193:EG194)</f>
        <v>0</v>
      </c>
      <c r="EH192" s="32">
        <f t="shared" si="525"/>
        <v>0</v>
      </c>
      <c r="EI192" s="1061">
        <f>+SUM(EI193:EI194)</f>
        <v>0</v>
      </c>
      <c r="EJ192" s="32">
        <f>+SUM(EJ193:EJ194)</f>
        <v>0</v>
      </c>
      <c r="EK192" s="32">
        <f t="shared" si="526"/>
        <v>0</v>
      </c>
      <c r="EL192" s="1061">
        <f>+SUM(EL193:EL194)</f>
        <v>0</v>
      </c>
      <c r="EM192" s="32">
        <f>+SUM(EM193:EM194)</f>
        <v>0</v>
      </c>
      <c r="EN192" s="32">
        <f t="shared" si="527"/>
        <v>0</v>
      </c>
      <c r="EO192" s="1061">
        <f>+SUM(EO193:EO194)</f>
        <v>0</v>
      </c>
      <c r="EP192" s="32">
        <f>+SUM(EP193:EP194)</f>
        <v>0</v>
      </c>
      <c r="EQ192" s="32">
        <f t="shared" si="528"/>
        <v>0</v>
      </c>
      <c r="ER192" s="1061">
        <f>+SUM(ER193:ER194)</f>
        <v>0</v>
      </c>
      <c r="ES192" s="32">
        <f>+SUM(ES193:ES194)</f>
        <v>0</v>
      </c>
      <c r="ET192" s="32">
        <f t="shared" si="529"/>
        <v>0</v>
      </c>
      <c r="EU192" s="1061">
        <f>+SUM(EU193:EU194)</f>
        <v>0</v>
      </c>
      <c r="EV192" s="32">
        <f>+SUM(EV193:EV194)</f>
        <v>0</v>
      </c>
      <c r="EW192" s="32">
        <f t="shared" si="530"/>
        <v>0</v>
      </c>
      <c r="EX192" s="1061">
        <f>+SUM(EX193:EX194)</f>
        <v>0</v>
      </c>
      <c r="EY192" s="32">
        <f>+SUM(EY193:EY194)</f>
        <v>0</v>
      </c>
      <c r="EZ192" s="32">
        <f t="shared" si="531"/>
        <v>0</v>
      </c>
      <c r="FA192" s="1061">
        <f>+SUM(FA193:FA194)</f>
        <v>0</v>
      </c>
      <c r="FD192"/>
      <c r="FE192"/>
      <c r="FF192"/>
      <c r="FG192"/>
      <c r="FH192"/>
      <c r="FI192"/>
    </row>
    <row r="193" spans="2:169" s="33" customFormat="1" outlineLevel="1">
      <c r="B193" s="54" t="s">
        <v>349</v>
      </c>
      <c r="C193" s="54"/>
      <c r="D193" s="2" t="s">
        <v>506</v>
      </c>
      <c r="E193" s="1183"/>
      <c r="F193" s="1192">
        <f t="shared" si="484"/>
        <v>0</v>
      </c>
      <c r="G193" s="1184"/>
      <c r="H193" s="1185"/>
      <c r="I193" s="1192">
        <f t="shared" si="485"/>
        <v>0</v>
      </c>
      <c r="J193" s="1184"/>
      <c r="K193" s="1185"/>
      <c r="L193" s="1192">
        <f t="shared" si="486"/>
        <v>0</v>
      </c>
      <c r="M193" s="1184"/>
      <c r="N193" s="1185"/>
      <c r="O193" s="1192">
        <f t="shared" si="487"/>
        <v>0</v>
      </c>
      <c r="P193" s="1184"/>
      <c r="Q193" s="1185"/>
      <c r="R193" s="1192">
        <f t="shared" si="488"/>
        <v>0</v>
      </c>
      <c r="S193" s="1184"/>
      <c r="T193" s="1185"/>
      <c r="U193" s="1192">
        <f t="shared" si="489"/>
        <v>0</v>
      </c>
      <c r="V193" s="1184"/>
      <c r="W193" s="1185"/>
      <c r="X193" s="1192">
        <f t="shared" si="490"/>
        <v>0</v>
      </c>
      <c r="Y193" s="1184"/>
      <c r="Z193" s="1185"/>
      <c r="AA193" s="1192">
        <f t="shared" si="491"/>
        <v>0</v>
      </c>
      <c r="AB193" s="1184"/>
      <c r="AC193" s="1185"/>
      <c r="AD193" s="1192">
        <f t="shared" si="492"/>
        <v>0</v>
      </c>
      <c r="AE193" s="1184"/>
      <c r="AF193" s="1185"/>
      <c r="AG193" s="1192">
        <f t="shared" si="493"/>
        <v>0</v>
      </c>
      <c r="AH193" s="1184"/>
      <c r="AI193" s="1185"/>
      <c r="AJ193" s="1192">
        <f t="shared" si="494"/>
        <v>0</v>
      </c>
      <c r="AK193" s="1193">
        <v>0</v>
      </c>
      <c r="AL193" s="1185"/>
      <c r="AM193" s="1192">
        <f t="shared" si="495"/>
        <v>0</v>
      </c>
      <c r="AN193" s="1193">
        <v>0</v>
      </c>
      <c r="AO193" s="1185"/>
      <c r="AP193" s="1192">
        <f t="shared" si="496"/>
        <v>0</v>
      </c>
      <c r="AQ193" s="1193">
        <v>0</v>
      </c>
      <c r="AR193" s="1198">
        <v>7.5</v>
      </c>
      <c r="AS193" s="1192">
        <f t="shared" si="497"/>
        <v>-22.240000000000002</v>
      </c>
      <c r="AT193" s="1193">
        <v>-14.74</v>
      </c>
      <c r="AU193" s="1198">
        <v>-0.218</v>
      </c>
      <c r="AV193" s="1192">
        <f t="shared" si="498"/>
        <v>-1.9140000000000001</v>
      </c>
      <c r="AW193" s="1193">
        <v>-2.1320000000000001</v>
      </c>
      <c r="AX193" s="1185"/>
      <c r="AY193" s="1192">
        <f t="shared" si="499"/>
        <v>-2.048</v>
      </c>
      <c r="AZ193" s="1193">
        <v>-2.048</v>
      </c>
      <c r="BA193" s="1198">
        <v>-0.499</v>
      </c>
      <c r="BB193" s="1192">
        <f t="shared" si="500"/>
        <v>-1.5489999999999999</v>
      </c>
      <c r="BC193" s="1184">
        <f>IF(Assumptions!BC158&lt;&gt;"0",-Assumptions!BC158,0)</f>
        <v>-2.048</v>
      </c>
      <c r="BD193" s="1198">
        <v>-0.32300000000000001</v>
      </c>
      <c r="BE193" s="1192">
        <f t="shared" si="501"/>
        <v>0.32300000000000001</v>
      </c>
      <c r="BF193" s="1193">
        <v>0</v>
      </c>
      <c r="BG193" s="1198">
        <v>-0.39600000000000002</v>
      </c>
      <c r="BH193" s="1192">
        <f t="shared" si="502"/>
        <v>-0.35399999999999998</v>
      </c>
      <c r="BI193" s="1193">
        <v>-0.75</v>
      </c>
      <c r="BJ193" s="1185">
        <f>-0.455-14.576</f>
        <v>-15.031000000000001</v>
      </c>
      <c r="BK193" s="1192">
        <f t="shared" si="532"/>
        <v>14.396000000000001</v>
      </c>
      <c r="BL193" s="1193">
        <v>-0.63500000000000001</v>
      </c>
      <c r="BM193" s="1198">
        <v>0</v>
      </c>
      <c r="BN193" s="1192">
        <f t="shared" si="533"/>
        <v>-0.27700000000000002</v>
      </c>
      <c r="BO193" s="1199">
        <v>-0.27700000000000002</v>
      </c>
      <c r="BP193" s="1185">
        <f>IF(Assumptions!BP158&lt;&gt;"0",-Assumptions!BP158,0)</f>
        <v>0</v>
      </c>
      <c r="BQ193" s="1192">
        <f t="shared" si="503"/>
        <v>-15.052</v>
      </c>
      <c r="BR193" s="1200">
        <f>-14.92-0.132</f>
        <v>-15.052</v>
      </c>
      <c r="BS193" s="1185">
        <f>-88.577-0.031-103.939</f>
        <v>-192.547</v>
      </c>
      <c r="BT193" s="1192">
        <f t="shared" si="504"/>
        <v>88.608000000000004</v>
      </c>
      <c r="BU193" s="1199">
        <v>-103.93899999999999</v>
      </c>
      <c r="BV193" s="1198">
        <v>4.2000000000000003E-2</v>
      </c>
      <c r="BW193" s="1192">
        <f t="shared" si="505"/>
        <v>-4.2000000000000003E-2</v>
      </c>
      <c r="BX193" s="1200">
        <f>IF(Assumptions!BX158&lt;&gt;"",-Assumptions!BX158,0)</f>
        <v>0</v>
      </c>
      <c r="BY193" s="1185">
        <f>IF(Assumptions!BY158&lt;&gt;"",-Assumptions!BY158,0)</f>
        <v>0</v>
      </c>
      <c r="BZ193" s="1192">
        <f t="shared" si="506"/>
        <v>0</v>
      </c>
      <c r="CA193" s="1200">
        <f>IF(Assumptions!CA158&lt;&gt;"",-Assumptions!CA158,0)</f>
        <v>0</v>
      </c>
      <c r="CB193" s="1185">
        <f>IF(Assumptions!CB158&lt;&gt;"",-Assumptions!CB158,0)</f>
        <v>0</v>
      </c>
      <c r="CC193" s="1192">
        <f t="shared" si="507"/>
        <v>0</v>
      </c>
      <c r="CD193" s="1200">
        <f>IF(Assumptions!CD158&lt;&gt;"",-Assumptions!CD158,0)</f>
        <v>0</v>
      </c>
      <c r="CE193" s="1185">
        <f>IF(Assumptions!CE158&lt;&gt;"",-Assumptions!CE158,0)</f>
        <v>0</v>
      </c>
      <c r="CF193" s="1192">
        <f t="shared" si="508"/>
        <v>0</v>
      </c>
      <c r="CG193" s="1200">
        <f>IF(Assumptions!CG158&lt;&gt;"",-Assumptions!CG158,0)</f>
        <v>0</v>
      </c>
      <c r="CH193" s="1185">
        <f>IF(Assumptions!CH158&lt;&gt;"",-Assumptions!CH158,0)</f>
        <v>0</v>
      </c>
      <c r="CI193" s="1192">
        <f t="shared" si="509"/>
        <v>0</v>
      </c>
      <c r="CJ193" s="1200">
        <f>IF(Assumptions!CJ158&lt;&gt;"",-Assumptions!CJ158,0)</f>
        <v>0</v>
      </c>
      <c r="CK193" s="1185">
        <f>IF(Assumptions!CK158&lt;&gt;"",-Assumptions!CK158,0)</f>
        <v>0</v>
      </c>
      <c r="CL193" s="1192">
        <f t="shared" si="510"/>
        <v>0</v>
      </c>
      <c r="CM193" s="1200">
        <f>IF(Assumptions!CM158&lt;&gt;"",-Assumptions!CM158,0)</f>
        <v>0</v>
      </c>
      <c r="CN193" s="1185">
        <f>IF(Assumptions!CN158&lt;&gt;"",-Assumptions!CN158,0)</f>
        <v>0</v>
      </c>
      <c r="CO193" s="1192">
        <f t="shared" si="511"/>
        <v>0</v>
      </c>
      <c r="CP193" s="1200">
        <f>IF(Assumptions!CP158&lt;&gt;"",-Assumptions!CP158,0)</f>
        <v>0</v>
      </c>
      <c r="CQ193" s="1185">
        <f>IF(Assumptions!CQ158&lt;&gt;"",-Assumptions!CQ158,0)</f>
        <v>0</v>
      </c>
      <c r="CR193" s="1192">
        <f t="shared" si="512"/>
        <v>0</v>
      </c>
      <c r="CS193" s="1200">
        <f>IF(Assumptions!CS158&lt;&gt;"",-Assumptions!CS158,0)</f>
        <v>0</v>
      </c>
      <c r="CT193" s="1185">
        <f>IF(Assumptions!CT158&lt;&gt;"",-Assumptions!CT158,0)</f>
        <v>0</v>
      </c>
      <c r="CU193" s="1192">
        <f t="shared" si="513"/>
        <v>0</v>
      </c>
      <c r="CV193" s="1200">
        <f>IF(Assumptions!CV158&lt;&gt;"",-Assumptions!CV158,0)</f>
        <v>0</v>
      </c>
      <c r="CW193" s="1185">
        <f>IF(Assumptions!CW158&lt;&gt;"",-Assumptions!CW158,0)</f>
        <v>0</v>
      </c>
      <c r="CX193" s="1192">
        <f t="shared" si="514"/>
        <v>-2.4</v>
      </c>
      <c r="CY193" s="1199">
        <v>-2.4</v>
      </c>
      <c r="CZ193" s="1185">
        <f>IF(Assumptions!CZ158&lt;&gt;"",-Assumptions!CZ158,0)</f>
        <v>0</v>
      </c>
      <c r="DA193" s="1192">
        <f t="shared" si="515"/>
        <v>-1.8</v>
      </c>
      <c r="DB193" s="1200">
        <v>-1.8</v>
      </c>
      <c r="DC193" s="1185">
        <f>IF(Assumptions!DC158&lt;&gt;"",-Assumptions!DC158,0)</f>
        <v>0</v>
      </c>
      <c r="DD193" s="1192">
        <f t="shared" si="516"/>
        <v>0</v>
      </c>
      <c r="DE193" s="1187">
        <f>IF(Assumptions!DE158&lt;&gt;"",-Assumptions!DE158,0)</f>
        <v>0</v>
      </c>
      <c r="DF193" s="1185">
        <f>IF(Assumptions!DF158&lt;&gt;"",-Assumptions!DF158,0)</f>
        <v>0</v>
      </c>
      <c r="DG193" s="1192">
        <f t="shared" si="517"/>
        <v>0</v>
      </c>
      <c r="DH193" s="1187">
        <f>IF(Assumptions!DH158&lt;&gt;"",-Assumptions!DH158,0)</f>
        <v>0</v>
      </c>
      <c r="DI193" s="1185">
        <f>IF(Assumptions!DI158&lt;&gt;"",-Assumptions!DI158,0)</f>
        <v>0</v>
      </c>
      <c r="DJ193" s="1192">
        <f t="shared" si="518"/>
        <v>0</v>
      </c>
      <c r="DK193" s="1187">
        <f>IF(Assumptions!DK158&lt;&gt;"",-Assumptions!DK158,0)</f>
        <v>0</v>
      </c>
      <c r="DL193" s="32">
        <f>IF(Assumptions!DL158&lt;&gt;"",-Assumptions!DL158,0)</f>
        <v>0</v>
      </c>
      <c r="DM193" s="32">
        <f t="shared" si="519"/>
        <v>0</v>
      </c>
      <c r="DN193" s="1223">
        <f>IF(Assumptions!DN158&lt;&gt;"",-Assumptions!DN158,0)</f>
        <v>0</v>
      </c>
      <c r="DO193" s="32">
        <f>IF(Assumptions!DO158&lt;&gt;"",-Assumptions!DO158,0)</f>
        <v>0</v>
      </c>
      <c r="DP193" s="32">
        <f t="shared" si="520"/>
        <v>0</v>
      </c>
      <c r="DQ193" s="1223">
        <f>IF(Assumptions!DQ158&lt;&gt;"",-Assumptions!DQ158,0)</f>
        <v>0</v>
      </c>
      <c r="DR193" s="32">
        <f>IF(Assumptions!DR158&lt;&gt;"",-Assumptions!DR158,0)</f>
        <v>0</v>
      </c>
      <c r="DS193" s="32">
        <f t="shared" si="521"/>
        <v>0</v>
      </c>
      <c r="DT193" s="1223">
        <f>IF(Assumptions!DT158&lt;&gt;"",-Assumptions!DT158,0)</f>
        <v>0</v>
      </c>
      <c r="DU193" s="32">
        <f>IF(Assumptions!DU158&lt;&gt;"",-Assumptions!DU158,0)</f>
        <v>0</v>
      </c>
      <c r="DV193" s="32">
        <f t="shared" si="522"/>
        <v>0</v>
      </c>
      <c r="DW193" s="1223">
        <f>IF(Assumptions!DW158&lt;&gt;"",-Assumptions!DW158,0)</f>
        <v>0</v>
      </c>
      <c r="DX193" s="32">
        <f>IF(Assumptions!DX158&lt;&gt;"",-Assumptions!DX158,0)</f>
        <v>0</v>
      </c>
      <c r="DY193" s="32">
        <v>0</v>
      </c>
      <c r="DZ193" s="1223">
        <f t="shared" ref="DZ193:DZ197" si="538">SUM(DX193:DY193)</f>
        <v>0</v>
      </c>
      <c r="EA193" s="32">
        <f>IF(Assumptions!EA158&lt;&gt;"",-Assumptions!EA158,0)</f>
        <v>0</v>
      </c>
      <c r="EB193" s="32">
        <f t="shared" si="523"/>
        <v>0</v>
      </c>
      <c r="EC193" s="1223">
        <f>IF(Assumptions!EC158&lt;&gt;"",-Assumptions!EC158,0)</f>
        <v>0</v>
      </c>
      <c r="ED193" s="32">
        <f>IF(Assumptions!ED158&lt;&gt;"",-Assumptions!ED158,0)</f>
        <v>0</v>
      </c>
      <c r="EE193" s="32">
        <f t="shared" si="524"/>
        <v>0</v>
      </c>
      <c r="EF193" s="1223">
        <f>IF(Assumptions!EF158&lt;&gt;"",-Assumptions!EF158,0)</f>
        <v>0</v>
      </c>
      <c r="EG193" s="32">
        <f>IF(Assumptions!EG158&lt;&gt;"",-Assumptions!EG158,0)</f>
        <v>0</v>
      </c>
      <c r="EH193" s="32">
        <f t="shared" si="525"/>
        <v>0</v>
      </c>
      <c r="EI193" s="1223">
        <f>IF(Assumptions!EI158&lt;&gt;"",-Assumptions!EI158,0)</f>
        <v>0</v>
      </c>
      <c r="EJ193" s="32">
        <f>IF(Assumptions!EJ158&lt;&gt;"",-Assumptions!EJ158,0)</f>
        <v>0</v>
      </c>
      <c r="EK193" s="32">
        <f t="shared" si="526"/>
        <v>0</v>
      </c>
      <c r="EL193" s="1223">
        <f>IF(Assumptions!EL158&lt;&gt;"",-Assumptions!EL158,0)</f>
        <v>0</v>
      </c>
      <c r="EM193" s="32">
        <f>IF(Assumptions!EM158&lt;&gt;"",-Assumptions!EM158,0)</f>
        <v>0</v>
      </c>
      <c r="EN193" s="32">
        <f t="shared" si="527"/>
        <v>0</v>
      </c>
      <c r="EO193" s="1223">
        <f>IF(Assumptions!EO158&lt;&gt;"",-Assumptions!EO158,0)</f>
        <v>0</v>
      </c>
      <c r="EP193" s="32">
        <f>IF(Assumptions!EP158&lt;&gt;"",-Assumptions!EP158,0)</f>
        <v>0</v>
      </c>
      <c r="EQ193" s="32">
        <f t="shared" si="528"/>
        <v>0</v>
      </c>
      <c r="ER193" s="1223">
        <f>IF(Assumptions!ER158&lt;&gt;"",-Assumptions!ER158,0)</f>
        <v>0</v>
      </c>
      <c r="ES193" s="32">
        <f>IF(Assumptions!ES158&lt;&gt;"",-Assumptions!ES158,0)</f>
        <v>0</v>
      </c>
      <c r="ET193" s="32">
        <f t="shared" si="529"/>
        <v>0</v>
      </c>
      <c r="EU193" s="1223">
        <f>IF(Assumptions!EU158&lt;&gt;"",-Assumptions!EU158,0)</f>
        <v>0</v>
      </c>
      <c r="EV193" s="32">
        <f>IF(Assumptions!EV158&lt;&gt;"",-Assumptions!EV158,0)</f>
        <v>0</v>
      </c>
      <c r="EW193" s="32">
        <f t="shared" si="530"/>
        <v>0</v>
      </c>
      <c r="EX193" s="1223">
        <f>IF(Assumptions!EX158&lt;&gt;"",-Assumptions!EX158,0)</f>
        <v>0</v>
      </c>
      <c r="EY193" s="32">
        <f>IF(Assumptions!EY158&lt;&gt;"",-Assumptions!EY158,0)</f>
        <v>0</v>
      </c>
      <c r="EZ193" s="32">
        <f t="shared" si="531"/>
        <v>0</v>
      </c>
      <c r="FA193" s="1223">
        <f>IF(Assumptions!FA158&lt;&gt;"",-Assumptions!FA158,0)</f>
        <v>0</v>
      </c>
      <c r="FD193"/>
      <c r="FE193"/>
      <c r="FF193"/>
      <c r="FG193"/>
      <c r="FH193"/>
      <c r="FI193"/>
    </row>
    <row r="194" spans="2:169" s="33" customFormat="1" ht="13.5" outlineLevel="1" thickBot="1">
      <c r="B194" s="54" t="s">
        <v>601</v>
      </c>
      <c r="C194" s="54"/>
      <c r="D194" s="2" t="s">
        <v>506</v>
      </c>
      <c r="E194" s="1188"/>
      <c r="F194" s="32">
        <f t="shared" si="484"/>
        <v>0</v>
      </c>
      <c r="G194" s="1189"/>
      <c r="H194" s="1190"/>
      <c r="I194" s="32">
        <f t="shared" si="485"/>
        <v>0</v>
      </c>
      <c r="J194" s="1189"/>
      <c r="K194" s="1190"/>
      <c r="L194" s="32">
        <f t="shared" si="486"/>
        <v>0</v>
      </c>
      <c r="M194" s="1189"/>
      <c r="N194" s="1190"/>
      <c r="O194" s="32">
        <f t="shared" si="487"/>
        <v>0</v>
      </c>
      <c r="P194" s="1189"/>
      <c r="Q194" s="1190"/>
      <c r="R194" s="32">
        <f t="shared" si="488"/>
        <v>0</v>
      </c>
      <c r="S194" s="1189"/>
      <c r="T194" s="1190"/>
      <c r="U194" s="32">
        <f t="shared" si="489"/>
        <v>0</v>
      </c>
      <c r="V194" s="1189"/>
      <c r="W194" s="1190"/>
      <c r="X194" s="32">
        <f t="shared" si="490"/>
        <v>0</v>
      </c>
      <c r="Y194" s="1189"/>
      <c r="Z194" s="1190"/>
      <c r="AA194" s="32">
        <f t="shared" si="491"/>
        <v>0</v>
      </c>
      <c r="AB194" s="1189"/>
      <c r="AC194" s="1190"/>
      <c r="AD194" s="32">
        <f t="shared" si="492"/>
        <v>0</v>
      </c>
      <c r="AE194" s="1189"/>
      <c r="AF194" s="1190"/>
      <c r="AG194" s="32">
        <f t="shared" si="493"/>
        <v>0</v>
      </c>
      <c r="AH194" s="1189"/>
      <c r="AI194" s="1190"/>
      <c r="AJ194" s="32">
        <f t="shared" si="494"/>
        <v>0</v>
      </c>
      <c r="AK194" s="1189"/>
      <c r="AL194" s="1190"/>
      <c r="AM194" s="32">
        <f t="shared" si="495"/>
        <v>0</v>
      </c>
      <c r="AN194" s="1189"/>
      <c r="AO194" s="1190"/>
      <c r="AP194" s="32">
        <f t="shared" si="496"/>
        <v>0</v>
      </c>
      <c r="AQ194" s="1189"/>
      <c r="AR194" s="1190"/>
      <c r="AS194" s="32">
        <f t="shared" si="497"/>
        <v>0</v>
      </c>
      <c r="AT194" s="1189"/>
      <c r="AU194" s="1190"/>
      <c r="AV194" s="32">
        <f t="shared" si="498"/>
        <v>-0.51700000000000002</v>
      </c>
      <c r="AW194" s="1195">
        <v>-0.51700000000000002</v>
      </c>
      <c r="AX194" s="1196">
        <v>-1.329</v>
      </c>
      <c r="AY194" s="32">
        <f t="shared" si="499"/>
        <v>-0.75400000000000023</v>
      </c>
      <c r="AZ194" s="1195">
        <v>-2.0830000000000002</v>
      </c>
      <c r="BA194" s="1196">
        <v>-911.74900000000002</v>
      </c>
      <c r="BB194" s="32">
        <f t="shared" si="500"/>
        <v>4.8999999999978172E-2</v>
      </c>
      <c r="BC194" s="1189">
        <f>IF(Assumptions!BC159&lt;&gt;"0",Assumptions!BC159,0)</f>
        <v>-911.7</v>
      </c>
      <c r="BD194" s="1196">
        <v>-309.33699999999999</v>
      </c>
      <c r="BE194" s="32">
        <f t="shared" si="501"/>
        <v>-3.8659999999999854</v>
      </c>
      <c r="BF194" s="1195">
        <v>-313.20299999999997</v>
      </c>
      <c r="BG194" s="1190">
        <f>IF(Assumptions!BG159&lt;&gt;"0",-Assumptions!BG159,0)</f>
        <v>0</v>
      </c>
      <c r="BH194" s="32">
        <f t="shared" si="502"/>
        <v>-16.222000000000001</v>
      </c>
      <c r="BI194" s="1195">
        <v>-16.222000000000001</v>
      </c>
      <c r="BJ194" s="1190">
        <f>-0.269</f>
        <v>-0.26900000000000002</v>
      </c>
      <c r="BK194" s="32">
        <f t="shared" si="532"/>
        <v>-772.601</v>
      </c>
      <c r="BL194" s="1195">
        <v>-772.87</v>
      </c>
      <c r="BM194" s="1190">
        <f>IF(Assumptions!BM159&lt;&gt;"0",-Assumptions!BM159,0)</f>
        <v>0</v>
      </c>
      <c r="BN194" s="32">
        <f t="shared" si="533"/>
        <v>0</v>
      </c>
      <c r="BO194" s="1201">
        <f>IF(Assumptions!BO159&lt;&gt;"0",-Assumptions!BO159,0)</f>
        <v>0</v>
      </c>
      <c r="BP194" s="1190">
        <f>IF(Assumptions!BP159&lt;&gt;"0",-Assumptions!BP159,0)</f>
        <v>0</v>
      </c>
      <c r="BQ194" s="32">
        <f t="shared" si="503"/>
        <v>0</v>
      </c>
      <c r="BR194" s="1201">
        <f>IF(Assumptions!BR159&lt;&gt;"0",-Assumptions!BR159,0)</f>
        <v>0</v>
      </c>
      <c r="BS194" s="1190">
        <f>IF(Assumptions!BS159&lt;&gt;"0",-Assumptions!BS159,0)</f>
        <v>0</v>
      </c>
      <c r="BT194" s="32">
        <f t="shared" si="504"/>
        <v>0</v>
      </c>
      <c r="BU194" s="1201">
        <f>IF(Assumptions!BU159&lt;&gt;"0",-Assumptions!BU159,0)</f>
        <v>0</v>
      </c>
      <c r="BV194" s="1190">
        <f>IF(Assumptions!BV159&lt;&gt;"",-Assumptions!BV159,0)</f>
        <v>0</v>
      </c>
      <c r="BW194" s="32">
        <f t="shared" si="505"/>
        <v>0</v>
      </c>
      <c r="BX194" s="1201">
        <f>IF(Assumptions!BX159&lt;&gt;"",-Assumptions!BX159,0)</f>
        <v>0</v>
      </c>
      <c r="BY194" s="1190">
        <f>IF(Assumptions!BY159&lt;&gt;"",-Assumptions!BY159,0)</f>
        <v>0</v>
      </c>
      <c r="BZ194" s="32">
        <f t="shared" si="506"/>
        <v>0</v>
      </c>
      <c r="CA194" s="1201">
        <f>IF(Assumptions!CA159&lt;&gt;"",-Assumptions!CA159,0)</f>
        <v>0</v>
      </c>
      <c r="CB194" s="1190">
        <f>IF(Assumptions!CB159&lt;&gt;"",-Assumptions!CB159,0)</f>
        <v>0</v>
      </c>
      <c r="CC194" s="32">
        <f t="shared" si="507"/>
        <v>0</v>
      </c>
      <c r="CD194" s="1201">
        <f>IF(Assumptions!CD159&lt;&gt;"",-Assumptions!CD159,0)</f>
        <v>0</v>
      </c>
      <c r="CE194" s="1190">
        <f>IF(Assumptions!CE159&lt;&gt;"",-Assumptions!CE159,0)</f>
        <v>0</v>
      </c>
      <c r="CF194" s="32">
        <f t="shared" si="508"/>
        <v>0</v>
      </c>
      <c r="CG194" s="1201">
        <f>IF(Assumptions!CG159&lt;&gt;"",-Assumptions!CG159,0)</f>
        <v>0</v>
      </c>
      <c r="CH194" s="1190">
        <f>IF(Assumptions!CH159&lt;&gt;"",-Assumptions!CH159,0)</f>
        <v>0</v>
      </c>
      <c r="CI194" s="32">
        <f t="shared" si="509"/>
        <v>0</v>
      </c>
      <c r="CJ194" s="1201">
        <f>IF(Assumptions!CJ159&lt;&gt;"",-Assumptions!CJ159,0)</f>
        <v>0</v>
      </c>
      <c r="CK194" s="1190">
        <f>IF(Assumptions!CK159&lt;&gt;"",-Assumptions!CK159,0)</f>
        <v>0</v>
      </c>
      <c r="CL194" s="32">
        <f t="shared" si="510"/>
        <v>0</v>
      </c>
      <c r="CM194" s="1201">
        <f>IF(Assumptions!CM159&lt;&gt;"",-Assumptions!CM159,0)</f>
        <v>0</v>
      </c>
      <c r="CN194" s="1190">
        <f>IF(Assumptions!CN159&lt;&gt;"",-Assumptions!CN159,0)</f>
        <v>0</v>
      </c>
      <c r="CO194" s="32">
        <f t="shared" si="511"/>
        <v>0</v>
      </c>
      <c r="CP194" s="1201">
        <f>IF(Assumptions!CP159&lt;&gt;"",-Assumptions!CP159,0)</f>
        <v>0</v>
      </c>
      <c r="CQ194" s="1190">
        <f>IF(Assumptions!CQ159&lt;&gt;"",-Assumptions!CQ159,0)</f>
        <v>0</v>
      </c>
      <c r="CR194" s="32">
        <f t="shared" si="512"/>
        <v>0</v>
      </c>
      <c r="CS194" s="1201">
        <f>IF(Assumptions!CS159&lt;&gt;"",-Assumptions!CS159,0)</f>
        <v>0</v>
      </c>
      <c r="CT194" s="1196">
        <v>-261.2</v>
      </c>
      <c r="CU194" s="32">
        <f t="shared" si="513"/>
        <v>16.599999999999994</v>
      </c>
      <c r="CV194" s="1201">
        <f>+-244.6</f>
        <v>-244.6</v>
      </c>
      <c r="CW194" s="1190">
        <f>IF(Assumptions!CW159&lt;&gt;"",-Assumptions!CW159,0)</f>
        <v>0</v>
      </c>
      <c r="CX194" s="32">
        <f t="shared" si="514"/>
        <v>0</v>
      </c>
      <c r="CY194" s="1201">
        <f>IF(Assumptions!CY159&lt;&gt;"",-Assumptions!CY159,0)</f>
        <v>0</v>
      </c>
      <c r="CZ194" s="1190">
        <v>-441.5</v>
      </c>
      <c r="DA194" s="32">
        <f t="shared" si="515"/>
        <v>-98.200000000000045</v>
      </c>
      <c r="DB194" s="1201">
        <v>-539.70000000000005</v>
      </c>
      <c r="DC194" s="1190">
        <v>0</v>
      </c>
      <c r="DD194" s="32">
        <f t="shared" si="516"/>
        <v>0</v>
      </c>
      <c r="DE194" s="1191">
        <f>IF(Assumptions!DE159&lt;&gt;"",-Assumptions!DE159,0)</f>
        <v>0</v>
      </c>
      <c r="DF194" s="1190">
        <f>IF(Assumptions!DF159&lt;&gt;"",-Assumptions!DF159,0)</f>
        <v>0</v>
      </c>
      <c r="DG194" s="32">
        <f t="shared" si="517"/>
        <v>0</v>
      </c>
      <c r="DH194" s="1191">
        <f>IF(Assumptions!DH159&lt;&gt;"",-Assumptions!DH159,0)</f>
        <v>0</v>
      </c>
      <c r="DI194" s="1190">
        <f>IF(Assumptions!DI159&lt;&gt;"",-Assumptions!DI159,0)</f>
        <v>0</v>
      </c>
      <c r="DJ194" s="32">
        <f t="shared" si="518"/>
        <v>0</v>
      </c>
      <c r="DK194" s="1191">
        <f>IF(Assumptions!DK159&lt;&gt;"",-Assumptions!DK159,0)</f>
        <v>0</v>
      </c>
      <c r="DL194" s="32">
        <f>IF(Assumptions!DL159&lt;&gt;"",-Assumptions!DL159,0)</f>
        <v>0</v>
      </c>
      <c r="DM194" s="32">
        <f t="shared" si="519"/>
        <v>0</v>
      </c>
      <c r="DN194" s="1223">
        <f>IF(Assumptions!DN159&lt;&gt;"",-Assumptions!DN159,0)</f>
        <v>0</v>
      </c>
      <c r="DO194" s="32"/>
      <c r="DP194" s="32">
        <f t="shared" si="520"/>
        <v>-10534</v>
      </c>
      <c r="DQ194" s="1223">
        <v>-10534</v>
      </c>
      <c r="DR194" s="32">
        <f>IF(Assumptions!DR159&lt;&gt;"",-Assumptions!DR159,0)</f>
        <v>0</v>
      </c>
      <c r="DS194" s="32">
        <f t="shared" si="521"/>
        <v>0</v>
      </c>
      <c r="DT194" s="1223">
        <f>IF(Assumptions!DT159&lt;&gt;"",-Assumptions!DT159,0)</f>
        <v>0</v>
      </c>
      <c r="DU194" s="32">
        <v>-13</v>
      </c>
      <c r="DV194" s="32">
        <f t="shared" si="522"/>
        <v>13</v>
      </c>
      <c r="DW194" s="1223">
        <f>IF(Assumptions!DW159&lt;&gt;"",-Assumptions!DW159,0)</f>
        <v>0</v>
      </c>
      <c r="DX194" s="1693">
        <v>0</v>
      </c>
      <c r="DY194" s="32">
        <v>0</v>
      </c>
      <c r="DZ194" s="1223">
        <f t="shared" si="538"/>
        <v>0</v>
      </c>
      <c r="EA194" s="32">
        <f>IF(Assumptions!EA159&lt;&gt;"",-Assumptions!EA159,0)</f>
        <v>0</v>
      </c>
      <c r="EB194" s="32">
        <f t="shared" si="523"/>
        <v>0</v>
      </c>
      <c r="EC194" s="1223">
        <f>IF(Assumptions!EC159&lt;&gt;"",-Assumptions!EC159,0)</f>
        <v>0</v>
      </c>
      <c r="ED194" s="32">
        <f>IF(Assumptions!ED159&lt;&gt;"",-Assumptions!ED159,0)</f>
        <v>0</v>
      </c>
      <c r="EE194" s="32">
        <f t="shared" si="524"/>
        <v>0</v>
      </c>
      <c r="EF194" s="1223">
        <f>IF(Assumptions!EF159&lt;&gt;"",-Assumptions!EF159,0)</f>
        <v>0</v>
      </c>
      <c r="EG194" s="32">
        <f>IF(Assumptions!EG159&lt;&gt;"",-Assumptions!EG159,0)</f>
        <v>0</v>
      </c>
      <c r="EH194" s="32">
        <f t="shared" si="525"/>
        <v>0</v>
      </c>
      <c r="EI194" s="1223">
        <f>IF(Assumptions!EI159&lt;&gt;"",-Assumptions!EI159,0)</f>
        <v>0</v>
      </c>
      <c r="EJ194" s="32">
        <f>IF(Assumptions!EJ159&lt;&gt;"",-Assumptions!EJ159,0)</f>
        <v>0</v>
      </c>
      <c r="EK194" s="32">
        <f t="shared" si="526"/>
        <v>0</v>
      </c>
      <c r="EL194" s="1223">
        <f>IF(Assumptions!EL159&lt;&gt;"",-Assumptions!EL159,0)</f>
        <v>0</v>
      </c>
      <c r="EM194" s="32">
        <f>IF(Assumptions!EM159&lt;&gt;"",-Assumptions!EM159,0)</f>
        <v>0</v>
      </c>
      <c r="EN194" s="32">
        <f t="shared" si="527"/>
        <v>0</v>
      </c>
      <c r="EO194" s="1223">
        <f>IF(Assumptions!EO159&lt;&gt;"",-Assumptions!EO159,0)</f>
        <v>0</v>
      </c>
      <c r="EP194" s="32">
        <f>IF(Assumptions!EP159&lt;&gt;"",-Assumptions!EP159,0)</f>
        <v>0</v>
      </c>
      <c r="EQ194" s="32">
        <f t="shared" si="528"/>
        <v>0</v>
      </c>
      <c r="ER194" s="1223">
        <f>IF(Assumptions!ER159&lt;&gt;"",-Assumptions!ER159,0)</f>
        <v>0</v>
      </c>
      <c r="ES194" s="32">
        <f>IF(Assumptions!ES159&lt;&gt;"",-Assumptions!ES159,0)</f>
        <v>0</v>
      </c>
      <c r="ET194" s="32">
        <f t="shared" si="529"/>
        <v>0</v>
      </c>
      <c r="EU194" s="1223">
        <f>IF(Assumptions!EU159&lt;&gt;"",-Assumptions!EU159,0)</f>
        <v>0</v>
      </c>
      <c r="EV194" s="32">
        <f>IF(Assumptions!EV159&lt;&gt;"",-Assumptions!EV159,0)</f>
        <v>0</v>
      </c>
      <c r="EW194" s="32">
        <f t="shared" si="530"/>
        <v>0</v>
      </c>
      <c r="EX194" s="1223">
        <f>IF(Assumptions!EX159&lt;&gt;"",-Assumptions!EX159,0)</f>
        <v>0</v>
      </c>
      <c r="EY194" s="32">
        <f>IF(Assumptions!EY159&lt;&gt;"",-Assumptions!EY159,0)</f>
        <v>0</v>
      </c>
      <c r="EZ194" s="32">
        <f t="shared" si="531"/>
        <v>0</v>
      </c>
      <c r="FA194" s="1223">
        <f>IF(Assumptions!FA159&lt;&gt;"",-Assumptions!FA159,0)</f>
        <v>0</v>
      </c>
      <c r="FD194"/>
      <c r="FE194"/>
      <c r="FF194"/>
      <c r="FG194"/>
      <c r="FH194"/>
      <c r="FI194"/>
    </row>
    <row r="195" spans="2:169" s="33" customFormat="1" ht="13.5" thickBot="1">
      <c r="B195" s="54" t="s">
        <v>602</v>
      </c>
      <c r="C195" s="54"/>
      <c r="D195" s="2" t="s">
        <v>506</v>
      </c>
      <c r="E195" s="32">
        <f>+SUM(E196:E197)</f>
        <v>0</v>
      </c>
      <c r="F195" s="32">
        <f t="shared" si="484"/>
        <v>0</v>
      </c>
      <c r="G195" s="32">
        <f>+SUM(G196:G197)</f>
        <v>0</v>
      </c>
      <c r="H195" s="32">
        <f>+SUM(H196:H197)</f>
        <v>0</v>
      </c>
      <c r="I195" s="32">
        <f t="shared" si="485"/>
        <v>0</v>
      </c>
      <c r="J195" s="32">
        <f>+SUM(J196:J197)</f>
        <v>0</v>
      </c>
      <c r="K195" s="32">
        <f>+SUM(K196:K197)</f>
        <v>0</v>
      </c>
      <c r="L195" s="32">
        <f t="shared" si="486"/>
        <v>0</v>
      </c>
      <c r="M195" s="32">
        <f>+SUM(M196:M197)</f>
        <v>0</v>
      </c>
      <c r="N195" s="32">
        <f>+SUM(N196:N197)</f>
        <v>0</v>
      </c>
      <c r="O195" s="32">
        <f t="shared" si="487"/>
        <v>0</v>
      </c>
      <c r="P195" s="32">
        <f>+SUM(P196:P197)</f>
        <v>0</v>
      </c>
      <c r="Q195" s="32">
        <f>+SUM(Q196:Q197)</f>
        <v>0</v>
      </c>
      <c r="R195" s="32">
        <f t="shared" si="488"/>
        <v>0</v>
      </c>
      <c r="S195" s="32">
        <f>+SUM(S196:S197)</f>
        <v>0</v>
      </c>
      <c r="T195" s="32">
        <f>+SUM(T196:T197)</f>
        <v>0</v>
      </c>
      <c r="U195" s="32">
        <f t="shared" si="489"/>
        <v>0</v>
      </c>
      <c r="V195" s="32">
        <f>+SUM(V196:V197)</f>
        <v>0</v>
      </c>
      <c r="W195" s="32">
        <f>+SUM(W196:W197)</f>
        <v>0</v>
      </c>
      <c r="X195" s="32">
        <f t="shared" si="490"/>
        <v>0</v>
      </c>
      <c r="Y195" s="32">
        <f>+SUM(Y196:Y197)</f>
        <v>0</v>
      </c>
      <c r="Z195" s="32">
        <f>+SUM(Z196:Z197)</f>
        <v>0</v>
      </c>
      <c r="AA195" s="32">
        <f t="shared" si="491"/>
        <v>0</v>
      </c>
      <c r="AB195" s="32">
        <f>+SUM(AB196:AB197)</f>
        <v>0</v>
      </c>
      <c r="AC195" s="32">
        <f>+SUM(AC196:AC197)</f>
        <v>0</v>
      </c>
      <c r="AD195" s="32">
        <f t="shared" si="492"/>
        <v>0</v>
      </c>
      <c r="AE195" s="32">
        <f>+SUM(AE196:AE197)</f>
        <v>0</v>
      </c>
      <c r="AF195" s="32">
        <f>+SUM(AF196:AF197)</f>
        <v>0</v>
      </c>
      <c r="AG195" s="32">
        <f t="shared" si="493"/>
        <v>0</v>
      </c>
      <c r="AH195" s="32">
        <f>+SUM(AH196:AH197)</f>
        <v>0</v>
      </c>
      <c r="AI195" s="32">
        <f>+SUM(AI196:AI197)</f>
        <v>0</v>
      </c>
      <c r="AJ195" s="32">
        <f t="shared" si="494"/>
        <v>0</v>
      </c>
      <c r="AK195" s="32">
        <f>+SUM(AK196:AK197)</f>
        <v>0</v>
      </c>
      <c r="AL195" s="32">
        <f>+SUM(AL196:AL197)</f>
        <v>0</v>
      </c>
      <c r="AM195" s="32">
        <f t="shared" si="495"/>
        <v>0</v>
      </c>
      <c r="AN195" s="32">
        <f>+SUM(AN196:AN197)</f>
        <v>0</v>
      </c>
      <c r="AO195" s="32">
        <f>+SUM(AO196:AO197)</f>
        <v>0</v>
      </c>
      <c r="AP195" s="32">
        <f t="shared" si="496"/>
        <v>0</v>
      </c>
      <c r="AQ195" s="32">
        <f>+SUM(AQ196:AQ197)</f>
        <v>0</v>
      </c>
      <c r="AR195" s="32">
        <f>+SUM(AR196:AR197)</f>
        <v>0</v>
      </c>
      <c r="AS195" s="32">
        <f t="shared" si="497"/>
        <v>7.5</v>
      </c>
      <c r="AT195" s="32">
        <f>+SUM(AT196:AT197)</f>
        <v>7.5</v>
      </c>
      <c r="AU195" s="32">
        <f>+SUM(AU196:AU197)</f>
        <v>0</v>
      </c>
      <c r="AV195" s="32">
        <f t="shared" si="498"/>
        <v>2.1320000000000001</v>
      </c>
      <c r="AW195" s="32">
        <f>+SUM(AW196:AW197)</f>
        <v>2.1320000000000001</v>
      </c>
      <c r="AX195" s="32">
        <f>+SUM(AX196:AX197)</f>
        <v>2.2610000000000001</v>
      </c>
      <c r="AY195" s="32">
        <f t="shared" si="499"/>
        <v>36.558999999999997</v>
      </c>
      <c r="AZ195" s="32">
        <f>+SUM(AZ196:AZ197)</f>
        <v>38.82</v>
      </c>
      <c r="BA195" s="32">
        <f>+SUM(BA196:BA197)</f>
        <v>0</v>
      </c>
      <c r="BB195" s="32">
        <f t="shared" si="500"/>
        <v>0</v>
      </c>
      <c r="BC195" s="32">
        <f>+SUM(BC196:BC197)</f>
        <v>0</v>
      </c>
      <c r="BD195" s="32">
        <f>+SUM(BD196:BD197)</f>
        <v>0</v>
      </c>
      <c r="BE195" s="32">
        <f t="shared" si="501"/>
        <v>0</v>
      </c>
      <c r="BF195" s="32">
        <f>+SUM(BF196:BF197)</f>
        <v>0</v>
      </c>
      <c r="BG195" s="32">
        <f>+SUM(BG196:BG197)</f>
        <v>0</v>
      </c>
      <c r="BH195" s="32">
        <f t="shared" si="502"/>
        <v>0</v>
      </c>
      <c r="BI195" s="32">
        <f>+SUM(BI196:BI197)</f>
        <v>0</v>
      </c>
      <c r="BJ195" s="32">
        <f>+SUM(BJ196:BJ197)</f>
        <v>0.40200000000000002</v>
      </c>
      <c r="BK195" s="32">
        <f t="shared" si="532"/>
        <v>161.22500000000002</v>
      </c>
      <c r="BL195" s="32">
        <f>+SUM(BL196:BL197)</f>
        <v>161.62700000000001</v>
      </c>
      <c r="BM195" s="32">
        <f>+SUM(BM196:BM197)</f>
        <v>0</v>
      </c>
      <c r="BN195" s="32">
        <f t="shared" si="533"/>
        <v>460.13499999999999</v>
      </c>
      <c r="BO195" s="32">
        <f>+SUM(BO196:BO197)</f>
        <v>460.13499999999999</v>
      </c>
      <c r="BP195" s="32">
        <f>+SUM(BP196:BP197)</f>
        <v>0</v>
      </c>
      <c r="BQ195" s="32">
        <f t="shared" si="503"/>
        <v>0</v>
      </c>
      <c r="BR195" s="32">
        <f>+SUM(BR196:BR197)</f>
        <v>0</v>
      </c>
      <c r="BS195" s="32">
        <f>+SUM(BS196:BS197)</f>
        <v>35.242000000000004</v>
      </c>
      <c r="BT195" s="32">
        <f t="shared" si="504"/>
        <v>6.3629999999999924</v>
      </c>
      <c r="BU195" s="32">
        <f>+SUM(BU196:BU197)</f>
        <v>41.604999999999997</v>
      </c>
      <c r="BV195" s="32">
        <f>+SUM(BV196:BV197)</f>
        <v>0</v>
      </c>
      <c r="BW195" s="32">
        <f t="shared" si="505"/>
        <v>0</v>
      </c>
      <c r="BX195" s="32">
        <f>+SUM(BX196:BX197)</f>
        <v>0</v>
      </c>
      <c r="BY195" s="32">
        <f>+SUM(BY196:BY197)</f>
        <v>0</v>
      </c>
      <c r="BZ195" s="32">
        <f t="shared" si="506"/>
        <v>0</v>
      </c>
      <c r="CA195" s="32">
        <f>+SUM(CA196:CA197)</f>
        <v>0</v>
      </c>
      <c r="CB195" s="32">
        <f>+SUM(CB196:CB197)</f>
        <v>0</v>
      </c>
      <c r="CC195" s="32">
        <f t="shared" si="507"/>
        <v>0</v>
      </c>
      <c r="CD195" s="32">
        <f>+SUM(CD196:CD197)</f>
        <v>0</v>
      </c>
      <c r="CE195" s="32">
        <f>+SUM(CE196:CE197)</f>
        <v>0</v>
      </c>
      <c r="CF195" s="32">
        <f t="shared" si="508"/>
        <v>0</v>
      </c>
      <c r="CG195" s="32">
        <f>+SUM(CG196:CG197)</f>
        <v>0</v>
      </c>
      <c r="CH195" s="32">
        <f>+SUM(CH196:CH197)</f>
        <v>0</v>
      </c>
      <c r="CI195" s="32">
        <f t="shared" si="509"/>
        <v>0</v>
      </c>
      <c r="CJ195" s="32">
        <f>+SUM(CJ196:CJ197)</f>
        <v>0</v>
      </c>
      <c r="CK195" s="32">
        <f>+SUM(CK196:CK197)</f>
        <v>0</v>
      </c>
      <c r="CL195" s="32">
        <f t="shared" si="510"/>
        <v>0</v>
      </c>
      <c r="CM195" s="32">
        <f>+SUM(CM196:CM197)</f>
        <v>0</v>
      </c>
      <c r="CN195" s="32">
        <f>+SUM(CN196:CN197)</f>
        <v>0</v>
      </c>
      <c r="CO195" s="32">
        <f t="shared" si="511"/>
        <v>0</v>
      </c>
      <c r="CP195" s="32">
        <f>+SUM(CP196:CP197)</f>
        <v>0</v>
      </c>
      <c r="CQ195" s="32">
        <f>+SUM(CQ196:CQ197)</f>
        <v>0</v>
      </c>
      <c r="CR195" s="32">
        <f t="shared" si="512"/>
        <v>0</v>
      </c>
      <c r="CS195" s="32">
        <f>+SUM(CS196:CS197)</f>
        <v>0</v>
      </c>
      <c r="CT195" s="32">
        <f>+SUM(CT196:CT197)</f>
        <v>0</v>
      </c>
      <c r="CU195" s="32">
        <f t="shared" si="513"/>
        <v>0</v>
      </c>
      <c r="CV195" s="32">
        <f>+SUM(CV196:CV197)</f>
        <v>0</v>
      </c>
      <c r="CW195" s="32">
        <f>+SUM(CW196:CW197)</f>
        <v>0</v>
      </c>
      <c r="CX195" s="32">
        <f t="shared" si="514"/>
        <v>0</v>
      </c>
      <c r="CY195" s="32">
        <f>+SUM(CY196:CY197)</f>
        <v>0</v>
      </c>
      <c r="CZ195" s="32">
        <f>+SUM(CZ196:CZ197)</f>
        <v>0</v>
      </c>
      <c r="DA195" s="32">
        <f t="shared" si="515"/>
        <v>0</v>
      </c>
      <c r="DB195" s="32">
        <f>+SUM(DB196:DB197)</f>
        <v>0</v>
      </c>
      <c r="DC195" s="32">
        <f>+SUM(DC196:DC197)</f>
        <v>0</v>
      </c>
      <c r="DD195" s="32">
        <f t="shared" si="516"/>
        <v>0</v>
      </c>
      <c r="DE195" s="1061">
        <f>+SUM(DE196:DE197)</f>
        <v>0</v>
      </c>
      <c r="DF195" s="32">
        <f>+SUM(DF196:DF197)</f>
        <v>0</v>
      </c>
      <c r="DG195" s="32">
        <f t="shared" si="517"/>
        <v>0</v>
      </c>
      <c r="DH195" s="1061">
        <f>+SUM(DH196:DH197)</f>
        <v>0</v>
      </c>
      <c r="DI195" s="32">
        <f>+SUM(DI196:DI197)</f>
        <v>0</v>
      </c>
      <c r="DJ195" s="32">
        <f t="shared" si="518"/>
        <v>0</v>
      </c>
      <c r="DK195" s="1061">
        <f>+SUM(DK196:DK197)</f>
        <v>0</v>
      </c>
      <c r="DL195" s="32">
        <f>+SUM(DL196:DL197)</f>
        <v>0</v>
      </c>
      <c r="DM195" s="32">
        <f t="shared" si="519"/>
        <v>0</v>
      </c>
      <c r="DN195" s="1061">
        <f>+SUM(DN196:DN197)</f>
        <v>0</v>
      </c>
      <c r="DO195" s="32">
        <f>+SUM(DO196:DO197)</f>
        <v>0</v>
      </c>
      <c r="DP195" s="32">
        <f t="shared" si="520"/>
        <v>0</v>
      </c>
      <c r="DQ195" s="1061">
        <f>+SUM(DQ196:DQ197)</f>
        <v>0</v>
      </c>
      <c r="DR195" s="32">
        <f>+SUM(DR196:DR197)</f>
        <v>0</v>
      </c>
      <c r="DS195" s="32">
        <f t="shared" si="521"/>
        <v>0</v>
      </c>
      <c r="DT195" s="1061">
        <f>+SUM(DT196:DT197)</f>
        <v>0</v>
      </c>
      <c r="DU195" s="32">
        <f>+SUM(DU196:DU197)</f>
        <v>0</v>
      </c>
      <c r="DV195" s="32">
        <f t="shared" si="522"/>
        <v>180</v>
      </c>
      <c r="DW195" s="1061">
        <f>+SUM(DW196:DW197)</f>
        <v>180</v>
      </c>
      <c r="DX195" s="32">
        <f>+SUM(DX196:DX197)</f>
        <v>0</v>
      </c>
      <c r="DY195" s="32">
        <v>0</v>
      </c>
      <c r="DZ195" s="1223">
        <f t="shared" ref="DZ195" si="539">SUM(DX195:DY195)</f>
        <v>0</v>
      </c>
      <c r="EA195" s="32">
        <f>+SUM(EA196:EA197)</f>
        <v>0</v>
      </c>
      <c r="EB195" s="32">
        <f t="shared" si="523"/>
        <v>0</v>
      </c>
      <c r="EC195" s="1061">
        <f>+SUM(EC196:EC197)</f>
        <v>0</v>
      </c>
      <c r="ED195" s="32">
        <f>+SUM(ED196:ED197)</f>
        <v>0</v>
      </c>
      <c r="EE195" s="32">
        <f t="shared" si="524"/>
        <v>0</v>
      </c>
      <c r="EF195" s="1061">
        <f>+SUM(EF196:EF197)</f>
        <v>0</v>
      </c>
      <c r="EG195" s="32">
        <f>+SUM(EG196:EG197)</f>
        <v>0</v>
      </c>
      <c r="EH195" s="32">
        <f t="shared" si="525"/>
        <v>0</v>
      </c>
      <c r="EI195" s="1061">
        <f>+SUM(EI196:EI197)</f>
        <v>0</v>
      </c>
      <c r="EJ195" s="32">
        <f>+SUM(EJ196:EJ197)</f>
        <v>0</v>
      </c>
      <c r="EK195" s="32">
        <f t="shared" si="526"/>
        <v>0</v>
      </c>
      <c r="EL195" s="1061">
        <f>+SUM(EL196:EL197)</f>
        <v>0</v>
      </c>
      <c r="EM195" s="32">
        <f>+SUM(EM196:EM197)</f>
        <v>0</v>
      </c>
      <c r="EN195" s="32">
        <f t="shared" si="527"/>
        <v>0</v>
      </c>
      <c r="EO195" s="1061">
        <f>+SUM(EO196:EO197)</f>
        <v>0</v>
      </c>
      <c r="EP195" s="32">
        <f>+SUM(EP196:EP197)</f>
        <v>0</v>
      </c>
      <c r="EQ195" s="32">
        <f t="shared" si="528"/>
        <v>0</v>
      </c>
      <c r="ER195" s="1061">
        <f>+SUM(ER196:ER197)</f>
        <v>0</v>
      </c>
      <c r="ES195" s="32">
        <f>+SUM(ES196:ES197)</f>
        <v>0</v>
      </c>
      <c r="ET195" s="32">
        <f t="shared" si="529"/>
        <v>0</v>
      </c>
      <c r="EU195" s="1061">
        <f>+SUM(EU196:EU197)</f>
        <v>0</v>
      </c>
      <c r="EV195" s="32">
        <f>+SUM(EV196:EV197)</f>
        <v>0</v>
      </c>
      <c r="EW195" s="32">
        <f t="shared" si="530"/>
        <v>0</v>
      </c>
      <c r="EX195" s="1061">
        <f>+SUM(EX196:EX197)</f>
        <v>0</v>
      </c>
      <c r="EY195" s="32">
        <f>+SUM(EY196:EY197)</f>
        <v>0</v>
      </c>
      <c r="EZ195" s="32">
        <f t="shared" si="531"/>
        <v>0</v>
      </c>
      <c r="FA195" s="1061">
        <f>+SUM(FA196:FA197)</f>
        <v>0</v>
      </c>
      <c r="FD195"/>
      <c r="FE195"/>
      <c r="FF195"/>
      <c r="FG195"/>
      <c r="FH195"/>
      <c r="FI195"/>
    </row>
    <row r="196" spans="2:169" s="33" customFormat="1" outlineLevel="1">
      <c r="B196" s="54" t="s">
        <v>349</v>
      </c>
      <c r="C196" s="54"/>
      <c r="D196" s="2" t="s">
        <v>506</v>
      </c>
      <c r="E196" s="1183"/>
      <c r="F196" s="1192">
        <f t="shared" si="484"/>
        <v>0</v>
      </c>
      <c r="G196" s="1184"/>
      <c r="H196" s="1185"/>
      <c r="I196" s="1192">
        <f t="shared" si="485"/>
        <v>0</v>
      </c>
      <c r="J196" s="1184"/>
      <c r="K196" s="1185"/>
      <c r="L196" s="1192">
        <f t="shared" si="486"/>
        <v>0</v>
      </c>
      <c r="M196" s="1184"/>
      <c r="N196" s="1185"/>
      <c r="O196" s="1192">
        <f t="shared" si="487"/>
        <v>0</v>
      </c>
      <c r="P196" s="1184"/>
      <c r="Q196" s="1185"/>
      <c r="R196" s="1192">
        <f t="shared" si="488"/>
        <v>0</v>
      </c>
      <c r="S196" s="1184"/>
      <c r="T196" s="1185"/>
      <c r="U196" s="1192">
        <f t="shared" si="489"/>
        <v>0</v>
      </c>
      <c r="V196" s="1184"/>
      <c r="W196" s="1185"/>
      <c r="X196" s="1192">
        <f t="shared" si="490"/>
        <v>0</v>
      </c>
      <c r="Y196" s="1184"/>
      <c r="Z196" s="1185"/>
      <c r="AA196" s="1192">
        <f t="shared" si="491"/>
        <v>0</v>
      </c>
      <c r="AB196" s="1184"/>
      <c r="AC196" s="1185"/>
      <c r="AD196" s="1192">
        <f t="shared" si="492"/>
        <v>0</v>
      </c>
      <c r="AE196" s="1184"/>
      <c r="AF196" s="1185"/>
      <c r="AG196" s="1192">
        <f t="shared" si="493"/>
        <v>0</v>
      </c>
      <c r="AH196" s="1184"/>
      <c r="AI196" s="1185"/>
      <c r="AJ196" s="1192">
        <f t="shared" si="494"/>
        <v>0</v>
      </c>
      <c r="AK196" s="1184"/>
      <c r="AL196" s="1185"/>
      <c r="AM196" s="1192">
        <f t="shared" si="495"/>
        <v>0</v>
      </c>
      <c r="AN196" s="1184"/>
      <c r="AO196" s="1185"/>
      <c r="AP196" s="1192">
        <f t="shared" si="496"/>
        <v>0</v>
      </c>
      <c r="AQ196" s="1184"/>
      <c r="AR196" s="1185"/>
      <c r="AS196" s="1192">
        <f t="shared" si="497"/>
        <v>7.5</v>
      </c>
      <c r="AT196" s="1193">
        <v>7.5</v>
      </c>
      <c r="AU196" s="1185"/>
      <c r="AV196" s="1192">
        <f t="shared" si="498"/>
        <v>2.1320000000000001</v>
      </c>
      <c r="AW196" s="1193">
        <v>2.1320000000000001</v>
      </c>
      <c r="AX196" s="1198">
        <v>1.0720000000000001</v>
      </c>
      <c r="AY196" s="1192">
        <f t="shared" si="499"/>
        <v>37.419999999999995</v>
      </c>
      <c r="AZ196" s="1193">
        <v>38.491999999999997</v>
      </c>
      <c r="BA196" s="1185">
        <f>IF(Assumptions!BA161&lt;&gt;"0",Assumptions!BA161,0)</f>
        <v>0</v>
      </c>
      <c r="BB196" s="1192">
        <f t="shared" si="500"/>
        <v>0</v>
      </c>
      <c r="BC196" s="1184">
        <f>IF(Assumptions!BC161&lt;&gt;"0",Assumptions!BC161,0)</f>
        <v>0</v>
      </c>
      <c r="BD196" s="1185">
        <f>Assumptions!BD161</f>
        <v>0</v>
      </c>
      <c r="BE196" s="1192">
        <f t="shared" si="501"/>
        <v>0</v>
      </c>
      <c r="BF196" s="1184">
        <f>IF(Assumptions!BF161&lt;&gt;"0",Assumptions!BF161,0)</f>
        <v>0</v>
      </c>
      <c r="BG196" s="1185">
        <f>IF(Assumptions!BG161&lt;&gt;"0",Assumptions!BG161,0)</f>
        <v>0</v>
      </c>
      <c r="BH196" s="1192">
        <f t="shared" si="502"/>
        <v>0</v>
      </c>
      <c r="BI196" s="1184">
        <f>IF(Assumptions!BI161&lt;&gt;"0",Assumptions!BI161,0)</f>
        <v>0</v>
      </c>
      <c r="BJ196" s="1185">
        <f>0.402</f>
        <v>0.40200000000000002</v>
      </c>
      <c r="BK196" s="1192">
        <f t="shared" si="532"/>
        <v>-0.40200000000000002</v>
      </c>
      <c r="BL196" s="1184">
        <f>IF(Assumptions!BL161&lt;&gt;"0",Assumptions!BL161,0)</f>
        <v>0</v>
      </c>
      <c r="BM196" s="1185">
        <f>IF(Assumptions!BM161&lt;&gt;"0",Assumptions!BM161,0)</f>
        <v>0</v>
      </c>
      <c r="BN196" s="1192">
        <f t="shared" si="533"/>
        <v>460.13499999999999</v>
      </c>
      <c r="BO196" s="1199">
        <v>460.13499999999999</v>
      </c>
      <c r="BP196" s="1185">
        <f>IF(Assumptions!BP161&lt;&gt;"0",Assumptions!BP161,0)</f>
        <v>0</v>
      </c>
      <c r="BQ196" s="1192">
        <f t="shared" si="503"/>
        <v>0</v>
      </c>
      <c r="BR196" s="1200">
        <f>IF(Assumptions!BR161&lt;&gt;"0",Assumptions!BR161,0)</f>
        <v>0</v>
      </c>
      <c r="BS196" s="1185" t="str">
        <f>IF(Assumptions!BS164&lt;&gt;"0",Assumptions!BS164,0)</f>
        <v/>
      </c>
      <c r="BT196" s="1192">
        <f t="shared" si="504"/>
        <v>0</v>
      </c>
      <c r="BU196" s="1200" t="str">
        <f>IF(Assumptions!BU164&lt;&gt;"0",Assumptions!BU164,0)</f>
        <v/>
      </c>
      <c r="BV196" s="1185">
        <f>IF(Assumptions!BV161&lt;&gt;"",Assumptions!BV161,0)</f>
        <v>0</v>
      </c>
      <c r="BW196" s="1192">
        <f t="shared" si="505"/>
        <v>0</v>
      </c>
      <c r="BX196" s="1200">
        <f>IF(Assumptions!BX161&lt;&gt;"",Assumptions!BX161,0)</f>
        <v>0</v>
      </c>
      <c r="BY196" s="1185">
        <f>IF(Assumptions!BY161&lt;&gt;"",Assumptions!BY161,0)</f>
        <v>0</v>
      </c>
      <c r="BZ196" s="1192">
        <f t="shared" si="506"/>
        <v>0</v>
      </c>
      <c r="CA196" s="1200">
        <f>IF(Assumptions!CA161&lt;&gt;"",Assumptions!CA161,0)</f>
        <v>0</v>
      </c>
      <c r="CB196" s="1185">
        <f>IF(Assumptions!CB161&lt;&gt;"",Assumptions!CB161,0)</f>
        <v>0</v>
      </c>
      <c r="CC196" s="1192">
        <f t="shared" si="507"/>
        <v>0</v>
      </c>
      <c r="CD196" s="1200">
        <f>IF(Assumptions!CD161&lt;&gt;"",Assumptions!CD161,0)</f>
        <v>0</v>
      </c>
      <c r="CE196" s="1185">
        <f>IF(Assumptions!CE161&lt;&gt;"",Assumptions!CE161,0)</f>
        <v>0</v>
      </c>
      <c r="CF196" s="1192">
        <f t="shared" si="508"/>
        <v>0</v>
      </c>
      <c r="CG196" s="1200">
        <f>IF(Assumptions!CG161&lt;&gt;"",Assumptions!CG161,0)</f>
        <v>0</v>
      </c>
      <c r="CH196" s="1185">
        <f>IF(Assumptions!CH161&lt;&gt;"",Assumptions!CH161,0)</f>
        <v>0</v>
      </c>
      <c r="CI196" s="1192">
        <f t="shared" si="509"/>
        <v>0</v>
      </c>
      <c r="CJ196" s="1200">
        <f>IF(Assumptions!CJ161&lt;&gt;"",Assumptions!CJ161,0)</f>
        <v>0</v>
      </c>
      <c r="CK196" s="1185">
        <f>IF(Assumptions!CK161&lt;&gt;"",Assumptions!CK161,0)</f>
        <v>0</v>
      </c>
      <c r="CL196" s="1192">
        <f t="shared" si="510"/>
        <v>0</v>
      </c>
      <c r="CM196" s="1200">
        <f>IF(Assumptions!CM161&lt;&gt;"",Assumptions!CM161,0)</f>
        <v>0</v>
      </c>
      <c r="CN196" s="1185">
        <f>IF(Assumptions!CN161&lt;&gt;"",Assumptions!CN161,0)</f>
        <v>0</v>
      </c>
      <c r="CO196" s="1192">
        <f t="shared" si="511"/>
        <v>0</v>
      </c>
      <c r="CP196" s="1200">
        <f>IF(Assumptions!CP161&lt;&gt;"",Assumptions!CP161,0)</f>
        <v>0</v>
      </c>
      <c r="CQ196" s="1185">
        <f>IF(Assumptions!CQ161&lt;&gt;"",Assumptions!CQ161,0)</f>
        <v>0</v>
      </c>
      <c r="CR196" s="1192">
        <f t="shared" si="512"/>
        <v>0</v>
      </c>
      <c r="CS196" s="1200">
        <f>IF(Assumptions!CS161&lt;&gt;"",Assumptions!CS161,0)</f>
        <v>0</v>
      </c>
      <c r="CT196" s="1185">
        <f>IF(Assumptions!CT161&lt;&gt;"",Assumptions!CT161,0)</f>
        <v>0</v>
      </c>
      <c r="CU196" s="1192">
        <f t="shared" si="513"/>
        <v>0</v>
      </c>
      <c r="CV196" s="1200">
        <f>IF(Assumptions!CV161&lt;&gt;"",Assumptions!CV161,0)</f>
        <v>0</v>
      </c>
      <c r="CW196" s="1185">
        <f>IF(Assumptions!CW161&lt;&gt;"",Assumptions!CW161,0)</f>
        <v>0</v>
      </c>
      <c r="CX196" s="1192">
        <f t="shared" si="514"/>
        <v>0</v>
      </c>
      <c r="CY196" s="1200">
        <f>IF(Assumptions!CY161&lt;&gt;"",Assumptions!CY161,0)</f>
        <v>0</v>
      </c>
      <c r="CZ196" s="1185">
        <f>IF(Assumptions!CZ161&lt;&gt;"",Assumptions!CZ161,0)</f>
        <v>0</v>
      </c>
      <c r="DA196" s="1192">
        <f t="shared" si="515"/>
        <v>0</v>
      </c>
      <c r="DB196" s="1200">
        <f>IF(Assumptions!DB161&lt;&gt;"",Assumptions!DB161,0)</f>
        <v>0</v>
      </c>
      <c r="DC196" s="1185">
        <f>IF(Assumptions!DC161&lt;&gt;"",Assumptions!DC161,0)</f>
        <v>0</v>
      </c>
      <c r="DD196" s="1192">
        <f t="shared" si="516"/>
        <v>0</v>
      </c>
      <c r="DE196" s="1187">
        <f>IF(Assumptions!DE161&lt;&gt;"",Assumptions!DE161,0)</f>
        <v>0</v>
      </c>
      <c r="DF196" s="1185">
        <f>IF(Assumptions!DF161&lt;&gt;"",Assumptions!DF161,0)</f>
        <v>0</v>
      </c>
      <c r="DG196" s="1192">
        <f t="shared" si="517"/>
        <v>0</v>
      </c>
      <c r="DH196" s="1187">
        <f>IF(Assumptions!DH161&lt;&gt;"",Assumptions!DH161,0)</f>
        <v>0</v>
      </c>
      <c r="DI196" s="1185">
        <f>IF(Assumptions!DI161&lt;&gt;"",Assumptions!DI161,0)</f>
        <v>0</v>
      </c>
      <c r="DJ196" s="1192">
        <f t="shared" si="518"/>
        <v>0</v>
      </c>
      <c r="DK196" s="1187">
        <f>IF(Assumptions!DK161&lt;&gt;"",Assumptions!DK161,0)</f>
        <v>0</v>
      </c>
      <c r="DL196" s="32">
        <f>IF(Assumptions!DL161&lt;&gt;"",Assumptions!DL161,0)</f>
        <v>0</v>
      </c>
      <c r="DM196" s="32">
        <f t="shared" si="519"/>
        <v>0</v>
      </c>
      <c r="DN196" s="1223">
        <f>IF(Assumptions!DN161&lt;&gt;"",Assumptions!DN161,0)</f>
        <v>0</v>
      </c>
      <c r="DO196" s="32">
        <f>IF(Assumptions!DO161&lt;&gt;"",Assumptions!DO161,0)</f>
        <v>0</v>
      </c>
      <c r="DP196" s="32">
        <f t="shared" si="520"/>
        <v>0</v>
      </c>
      <c r="DQ196" s="1223">
        <v>0</v>
      </c>
      <c r="DR196" s="32">
        <f>IF(Assumptions!DR161&lt;&gt;"",Assumptions!DR161,0)</f>
        <v>0</v>
      </c>
      <c r="DS196" s="32">
        <f t="shared" si="521"/>
        <v>0</v>
      </c>
      <c r="DT196" s="1701">
        <v>0</v>
      </c>
      <c r="DU196" s="32">
        <f>IF(Assumptions!DU161&lt;&gt;"",Assumptions!DU161,0)</f>
        <v>0</v>
      </c>
      <c r="DV196" s="32">
        <f t="shared" si="522"/>
        <v>180</v>
      </c>
      <c r="DW196" s="1701">
        <v>180</v>
      </c>
      <c r="DX196" s="32">
        <f>IF(Assumptions!DX161&lt;&gt;"",Assumptions!DX161,0)</f>
        <v>0</v>
      </c>
      <c r="DY196" s="32">
        <v>0</v>
      </c>
      <c r="DZ196" s="1223">
        <f t="shared" si="538"/>
        <v>0</v>
      </c>
      <c r="EA196" s="32">
        <f>IF(Assumptions!EA161&lt;&gt;"",Assumptions!EA161,0)</f>
        <v>0</v>
      </c>
      <c r="EB196" s="32">
        <f t="shared" si="523"/>
        <v>0</v>
      </c>
      <c r="EC196" s="1223">
        <f>IF(Assumptions!EC161&lt;&gt;"",Assumptions!EC161,0)</f>
        <v>0</v>
      </c>
      <c r="ED196" s="32">
        <f>IF(Assumptions!ED161&lt;&gt;"",Assumptions!ED161,0)</f>
        <v>0</v>
      </c>
      <c r="EE196" s="32">
        <f t="shared" si="524"/>
        <v>0</v>
      </c>
      <c r="EF196" s="1223">
        <f>IF(Assumptions!EF161&lt;&gt;"",Assumptions!EF161,0)</f>
        <v>0</v>
      </c>
      <c r="EG196" s="32">
        <f>IF(Assumptions!EG161&lt;&gt;"",Assumptions!EG161,0)</f>
        <v>0</v>
      </c>
      <c r="EH196" s="32">
        <f t="shared" si="525"/>
        <v>0</v>
      </c>
      <c r="EI196" s="1223">
        <f>IF(Assumptions!EI161&lt;&gt;"",Assumptions!EI161,0)</f>
        <v>0</v>
      </c>
      <c r="EJ196" s="32">
        <f>IF(Assumptions!EJ161&lt;&gt;"",Assumptions!EJ161,0)</f>
        <v>0</v>
      </c>
      <c r="EK196" s="32">
        <f t="shared" si="526"/>
        <v>0</v>
      </c>
      <c r="EL196" s="1223">
        <f>IF(Assumptions!EL161&lt;&gt;"",Assumptions!EL161,0)</f>
        <v>0</v>
      </c>
      <c r="EM196" s="32">
        <f>IF(Assumptions!EM161&lt;&gt;"",Assumptions!EM161,0)</f>
        <v>0</v>
      </c>
      <c r="EN196" s="32">
        <f t="shared" si="527"/>
        <v>0</v>
      </c>
      <c r="EO196" s="1223">
        <f>IF(Assumptions!EO161&lt;&gt;"",Assumptions!EO161,0)</f>
        <v>0</v>
      </c>
      <c r="EP196" s="32">
        <f>IF(Assumptions!EP161&lt;&gt;"",Assumptions!EP161,0)</f>
        <v>0</v>
      </c>
      <c r="EQ196" s="32">
        <f t="shared" si="528"/>
        <v>0</v>
      </c>
      <c r="ER196" s="1223">
        <f>IF(Assumptions!ER161&lt;&gt;"",Assumptions!ER161,0)</f>
        <v>0</v>
      </c>
      <c r="ES196" s="32">
        <f>IF(Assumptions!ES161&lt;&gt;"",Assumptions!ES161,0)</f>
        <v>0</v>
      </c>
      <c r="ET196" s="32">
        <f t="shared" si="529"/>
        <v>0</v>
      </c>
      <c r="EU196" s="1223">
        <f>IF(Assumptions!EU161&lt;&gt;"",Assumptions!EU161,0)</f>
        <v>0</v>
      </c>
      <c r="EV196" s="32">
        <f>IF(Assumptions!EV161&lt;&gt;"",Assumptions!EV161,0)</f>
        <v>0</v>
      </c>
      <c r="EW196" s="32">
        <f t="shared" si="530"/>
        <v>0</v>
      </c>
      <c r="EX196" s="1223">
        <f>IF(Assumptions!EX161&lt;&gt;"",Assumptions!EX161,0)</f>
        <v>0</v>
      </c>
      <c r="EY196" s="32">
        <f>IF(Assumptions!EY161&lt;&gt;"",Assumptions!EY161,0)</f>
        <v>0</v>
      </c>
      <c r="EZ196" s="32">
        <f t="shared" si="531"/>
        <v>0</v>
      </c>
      <c r="FA196" s="1223">
        <f>IF(Assumptions!FA161&lt;&gt;"",Assumptions!FA161,0)</f>
        <v>0</v>
      </c>
      <c r="FD196"/>
      <c r="FE196"/>
      <c r="FF196"/>
      <c r="FG196"/>
      <c r="FH196"/>
      <c r="FI196"/>
    </row>
    <row r="197" spans="2:169" s="33" customFormat="1" ht="13.5" outlineLevel="1" thickBot="1">
      <c r="B197" s="54" t="s">
        <v>601</v>
      </c>
      <c r="C197" s="54"/>
      <c r="D197" s="2" t="s">
        <v>506</v>
      </c>
      <c r="E197" s="1188"/>
      <c r="F197" s="32">
        <f t="shared" si="484"/>
        <v>0</v>
      </c>
      <c r="G197" s="1189"/>
      <c r="H197" s="1190"/>
      <c r="I197" s="32">
        <f t="shared" si="485"/>
        <v>0</v>
      </c>
      <c r="J197" s="1189"/>
      <c r="K197" s="1190"/>
      <c r="L197" s="32">
        <f t="shared" si="486"/>
        <v>0</v>
      </c>
      <c r="M197" s="1189"/>
      <c r="N197" s="1190"/>
      <c r="O197" s="32">
        <f t="shared" si="487"/>
        <v>0</v>
      </c>
      <c r="P197" s="1189"/>
      <c r="Q197" s="1190"/>
      <c r="R197" s="32">
        <f t="shared" si="488"/>
        <v>0</v>
      </c>
      <c r="S197" s="1189"/>
      <c r="T197" s="1190"/>
      <c r="U197" s="32">
        <f t="shared" si="489"/>
        <v>0</v>
      </c>
      <c r="V197" s="1189"/>
      <c r="W197" s="1190"/>
      <c r="X197" s="32">
        <f t="shared" si="490"/>
        <v>0</v>
      </c>
      <c r="Y197" s="1189"/>
      <c r="Z197" s="1190"/>
      <c r="AA197" s="32">
        <f t="shared" si="491"/>
        <v>0</v>
      </c>
      <c r="AB197" s="1189"/>
      <c r="AC197" s="1190"/>
      <c r="AD197" s="32">
        <f t="shared" si="492"/>
        <v>0</v>
      </c>
      <c r="AE197" s="1189"/>
      <c r="AF197" s="1190"/>
      <c r="AG197" s="32">
        <f t="shared" si="493"/>
        <v>0</v>
      </c>
      <c r="AH197" s="1189"/>
      <c r="AI197" s="1190"/>
      <c r="AJ197" s="32">
        <f t="shared" si="494"/>
        <v>0</v>
      </c>
      <c r="AK197" s="1189"/>
      <c r="AL197" s="1190"/>
      <c r="AM197" s="32">
        <f t="shared" si="495"/>
        <v>0</v>
      </c>
      <c r="AN197" s="1189"/>
      <c r="AO197" s="1190"/>
      <c r="AP197" s="32">
        <f t="shared" si="496"/>
        <v>0</v>
      </c>
      <c r="AQ197" s="1189"/>
      <c r="AR197" s="1190"/>
      <c r="AS197" s="32">
        <f t="shared" si="497"/>
        <v>0</v>
      </c>
      <c r="AT197" s="1189"/>
      <c r="AU197" s="1190"/>
      <c r="AV197" s="32">
        <f t="shared" si="498"/>
        <v>0</v>
      </c>
      <c r="AW197" s="1195">
        <v>0</v>
      </c>
      <c r="AX197" s="1196">
        <v>1.1890000000000001</v>
      </c>
      <c r="AY197" s="32">
        <f t="shared" si="499"/>
        <v>-0.86099999999999999</v>
      </c>
      <c r="AZ197" s="1195">
        <v>0.32800000000000001</v>
      </c>
      <c r="BA197" s="1190">
        <f>IF(Assumptions!BA162&lt;&gt;"0",Assumptions!BA162,0)</f>
        <v>0</v>
      </c>
      <c r="BB197" s="32">
        <f t="shared" si="500"/>
        <v>0</v>
      </c>
      <c r="BC197" s="1189">
        <f>IF(Assumptions!BC162&lt;&gt;"0",Assumptions!BC162,0)</f>
        <v>0</v>
      </c>
      <c r="BD197" s="1190">
        <f>Assumptions!BD162</f>
        <v>0</v>
      </c>
      <c r="BE197" s="32">
        <f t="shared" si="501"/>
        <v>0</v>
      </c>
      <c r="BF197" s="1189">
        <f>IF(Assumptions!BF162&lt;&gt;"0",Assumptions!BF162,0)</f>
        <v>0</v>
      </c>
      <c r="BG197" s="1190">
        <f>IF(Assumptions!BG162&lt;&gt;"0",Assumptions!BG162,0)</f>
        <v>0</v>
      </c>
      <c r="BH197" s="32">
        <f t="shared" si="502"/>
        <v>0</v>
      </c>
      <c r="BI197" s="1189">
        <f>IF(Assumptions!BI162&lt;&gt;"0",Assumptions!BI162,0)</f>
        <v>0</v>
      </c>
      <c r="BJ197" s="1190">
        <f>IF(Assumptions!BJ162&lt;&gt;"0",Assumptions!BJ162,0)</f>
        <v>0</v>
      </c>
      <c r="BK197" s="32">
        <f t="shared" si="532"/>
        <v>161.62700000000001</v>
      </c>
      <c r="BL197" s="1195">
        <v>161.62700000000001</v>
      </c>
      <c r="BM197" s="1190">
        <f>IF(Assumptions!BM162&lt;&gt;"0",Assumptions!BM162,0)</f>
        <v>0</v>
      </c>
      <c r="BN197" s="32">
        <f t="shared" si="533"/>
        <v>0</v>
      </c>
      <c r="BO197" s="1202">
        <v>0</v>
      </c>
      <c r="BP197" s="1190">
        <f>IF(Assumptions!BP162&lt;&gt;"0",Assumptions!BP162,0)</f>
        <v>0</v>
      </c>
      <c r="BQ197" s="32">
        <f t="shared" si="503"/>
        <v>0</v>
      </c>
      <c r="BR197" s="1201">
        <f>IF(Assumptions!BR162&lt;&gt;"0",Assumptions!BR162,0)</f>
        <v>0</v>
      </c>
      <c r="BS197" s="1190">
        <f>3.857+31.385</f>
        <v>35.242000000000004</v>
      </c>
      <c r="BT197" s="32">
        <f t="shared" si="504"/>
        <v>6.3629999999999924</v>
      </c>
      <c r="BU197" s="1202">
        <v>41.604999999999997</v>
      </c>
      <c r="BV197" s="1190">
        <f>IF(Assumptions!BV162&lt;&gt;"",Assumptions!BV162,0)</f>
        <v>0</v>
      </c>
      <c r="BW197" s="32">
        <f t="shared" si="505"/>
        <v>0</v>
      </c>
      <c r="BX197" s="1201">
        <f>IF(Assumptions!BX162&lt;&gt;"",Assumptions!BX162,0)</f>
        <v>0</v>
      </c>
      <c r="BY197" s="1190">
        <f>IF(Assumptions!BY162&lt;&gt;"",Assumptions!BY162,0)</f>
        <v>0</v>
      </c>
      <c r="BZ197" s="32">
        <f t="shared" si="506"/>
        <v>0</v>
      </c>
      <c r="CA197" s="1201">
        <f>IF(Assumptions!CA162&lt;&gt;"",Assumptions!CA162,0)</f>
        <v>0</v>
      </c>
      <c r="CB197" s="1190">
        <f>IF(Assumptions!CB162&lt;&gt;"",Assumptions!CB162,0)</f>
        <v>0</v>
      </c>
      <c r="CC197" s="32">
        <f t="shared" si="507"/>
        <v>0</v>
      </c>
      <c r="CD197" s="1201">
        <f>IF(Assumptions!CD162&lt;&gt;"",Assumptions!CD162,0)</f>
        <v>0</v>
      </c>
      <c r="CE197" s="1190">
        <f>IF(Assumptions!CE162&lt;&gt;"",Assumptions!CE162,0)</f>
        <v>0</v>
      </c>
      <c r="CF197" s="32">
        <f t="shared" si="508"/>
        <v>0</v>
      </c>
      <c r="CG197" s="1201">
        <f>IF(Assumptions!CG162&lt;&gt;"",Assumptions!CG162,0)</f>
        <v>0</v>
      </c>
      <c r="CH197" s="1190">
        <f>IF(Assumptions!CH162&lt;&gt;"",Assumptions!CH162,0)</f>
        <v>0</v>
      </c>
      <c r="CI197" s="32">
        <f t="shared" si="509"/>
        <v>0</v>
      </c>
      <c r="CJ197" s="1201">
        <f>IF(Assumptions!CJ162&lt;&gt;"",Assumptions!CJ162,0)</f>
        <v>0</v>
      </c>
      <c r="CK197" s="1190">
        <f>IF(Assumptions!CK162&lt;&gt;"",Assumptions!CK162,0)</f>
        <v>0</v>
      </c>
      <c r="CL197" s="32">
        <f t="shared" si="510"/>
        <v>0</v>
      </c>
      <c r="CM197" s="1201">
        <f>IF(Assumptions!CM162&lt;&gt;"",Assumptions!CM162,0)</f>
        <v>0</v>
      </c>
      <c r="CN197" s="1190">
        <f>IF(Assumptions!CN162&lt;&gt;"",Assumptions!CN162,0)</f>
        <v>0</v>
      </c>
      <c r="CO197" s="32">
        <f t="shared" si="511"/>
        <v>0</v>
      </c>
      <c r="CP197" s="1201">
        <f>IF(Assumptions!CP162&lt;&gt;"",Assumptions!CP162,0)</f>
        <v>0</v>
      </c>
      <c r="CQ197" s="1203"/>
      <c r="CR197" s="32">
        <f t="shared" si="512"/>
        <v>0</v>
      </c>
      <c r="CS197" s="1204"/>
      <c r="CT197" s="1190">
        <f>IF(Assumptions!CT162&lt;&gt;"",Assumptions!CT162,0)</f>
        <v>0</v>
      </c>
      <c r="CU197" s="32">
        <f t="shared" si="513"/>
        <v>0</v>
      </c>
      <c r="CV197" s="1201">
        <f>IF(Assumptions!CV162&lt;&gt;"",Assumptions!CV162,0)</f>
        <v>0</v>
      </c>
      <c r="CW197" s="1190">
        <f>IF(Assumptions!CW162&lt;&gt;"",Assumptions!CW162,0)</f>
        <v>0</v>
      </c>
      <c r="CX197" s="32">
        <f t="shared" si="514"/>
        <v>0</v>
      </c>
      <c r="CY197" s="1201">
        <f>IF(Assumptions!CY162&lt;&gt;"",Assumptions!CY162,0)</f>
        <v>0</v>
      </c>
      <c r="CZ197" s="1190">
        <f>IF(Assumptions!CZ162&lt;&gt;"",Assumptions!CZ162,0)</f>
        <v>0</v>
      </c>
      <c r="DA197" s="32">
        <f t="shared" si="515"/>
        <v>0</v>
      </c>
      <c r="DB197" s="1201">
        <f>IF(Assumptions!DB162&lt;&gt;"",Assumptions!DB162,0)</f>
        <v>0</v>
      </c>
      <c r="DC197" s="1190">
        <f>IF(Assumptions!DC162&lt;&gt;"",Assumptions!DC162,0)</f>
        <v>0</v>
      </c>
      <c r="DD197" s="32">
        <f t="shared" si="516"/>
        <v>0</v>
      </c>
      <c r="DE197" s="1191">
        <f>IF(Assumptions!DE162&lt;&gt;"",Assumptions!DE162,0)</f>
        <v>0</v>
      </c>
      <c r="DF197" s="1190">
        <f>IF(Assumptions!DF162&lt;&gt;"",Assumptions!DF162,0)</f>
        <v>0</v>
      </c>
      <c r="DG197" s="32">
        <f t="shared" si="517"/>
        <v>0</v>
      </c>
      <c r="DH197" s="1191">
        <f>IF(Assumptions!DH162&lt;&gt;"",Assumptions!DH162,0)</f>
        <v>0</v>
      </c>
      <c r="DI197" s="1190">
        <f>IF(Assumptions!DI162&lt;&gt;"",Assumptions!DI162,0)</f>
        <v>0</v>
      </c>
      <c r="DJ197" s="32">
        <f t="shared" si="518"/>
        <v>0</v>
      </c>
      <c r="DK197" s="1191">
        <f>IF(Assumptions!DK162&lt;&gt;"",Assumptions!DK162,0)</f>
        <v>0</v>
      </c>
      <c r="DL197" s="32">
        <f>IF(Assumptions!DL162&lt;&gt;"",Assumptions!DL162,0)</f>
        <v>0</v>
      </c>
      <c r="DM197" s="32">
        <f t="shared" si="519"/>
        <v>0</v>
      </c>
      <c r="DN197" s="1223">
        <f>IF(Assumptions!DN162&lt;&gt;"",Assumptions!DN162,0)</f>
        <v>0</v>
      </c>
      <c r="DO197" s="32">
        <f>IF(Assumptions!DO162&lt;&gt;"",Assumptions!DO162,0)</f>
        <v>0</v>
      </c>
      <c r="DP197" s="32">
        <f t="shared" si="520"/>
        <v>0</v>
      </c>
      <c r="DQ197" s="1223">
        <f>IF(Assumptions!DQ162&lt;&gt;"",Assumptions!DQ162,0)</f>
        <v>0</v>
      </c>
      <c r="DR197" s="32">
        <f>IF(Assumptions!DR162&lt;&gt;"",Assumptions!DR162,0)</f>
        <v>0</v>
      </c>
      <c r="DS197" s="32">
        <f t="shared" si="521"/>
        <v>0</v>
      </c>
      <c r="DT197" s="1223">
        <f>IF(Assumptions!DT162&lt;&gt;"",Assumptions!DT162,0)</f>
        <v>0</v>
      </c>
      <c r="DU197" s="32">
        <f>IF(Assumptions!DU162&lt;&gt;"",Assumptions!DU162,0)</f>
        <v>0</v>
      </c>
      <c r="DV197" s="32">
        <f t="shared" si="522"/>
        <v>0</v>
      </c>
      <c r="DW197" s="1223">
        <f>IF(Assumptions!DW162&lt;&gt;"",Assumptions!DW162,0)</f>
        <v>0</v>
      </c>
      <c r="DX197" s="32">
        <f>IF(Assumptions!DX162&lt;&gt;"",Assumptions!DX162,0)</f>
        <v>0</v>
      </c>
      <c r="DY197" s="32">
        <v>0</v>
      </c>
      <c r="DZ197" s="1223">
        <f t="shared" si="538"/>
        <v>0</v>
      </c>
      <c r="EA197" s="32">
        <f>IF(Assumptions!EA162&lt;&gt;"",Assumptions!EA162,0)</f>
        <v>0</v>
      </c>
      <c r="EB197" s="32">
        <f t="shared" si="523"/>
        <v>0</v>
      </c>
      <c r="EC197" s="1223">
        <f>IF(Assumptions!EC162&lt;&gt;"",Assumptions!EC162,0)</f>
        <v>0</v>
      </c>
      <c r="ED197" s="32">
        <f>IF(Assumptions!ED162&lt;&gt;"",Assumptions!ED162,0)</f>
        <v>0</v>
      </c>
      <c r="EE197" s="32">
        <f t="shared" si="524"/>
        <v>0</v>
      </c>
      <c r="EF197" s="1223">
        <f>IF(Assumptions!EF162&lt;&gt;"",Assumptions!EF162,0)</f>
        <v>0</v>
      </c>
      <c r="EG197" s="32">
        <f>IF(Assumptions!EG162&lt;&gt;"",Assumptions!EG162,0)</f>
        <v>0</v>
      </c>
      <c r="EH197" s="32">
        <f t="shared" si="525"/>
        <v>0</v>
      </c>
      <c r="EI197" s="1223">
        <f>IF(Assumptions!EI162&lt;&gt;"",Assumptions!EI162,0)</f>
        <v>0</v>
      </c>
      <c r="EJ197" s="32">
        <f>IF(Assumptions!EJ162&lt;&gt;"",Assumptions!EJ162,0)</f>
        <v>0</v>
      </c>
      <c r="EK197" s="32">
        <f t="shared" si="526"/>
        <v>0</v>
      </c>
      <c r="EL197" s="1223">
        <f>IF(Assumptions!EL162&lt;&gt;"",Assumptions!EL162,0)</f>
        <v>0</v>
      </c>
      <c r="EM197" s="32">
        <f>IF(Assumptions!EM162&lt;&gt;"",Assumptions!EM162,0)</f>
        <v>0</v>
      </c>
      <c r="EN197" s="32">
        <f t="shared" si="527"/>
        <v>0</v>
      </c>
      <c r="EO197" s="1223">
        <f>IF(Assumptions!EO162&lt;&gt;"",Assumptions!EO162,0)</f>
        <v>0</v>
      </c>
      <c r="EP197" s="32">
        <f>IF(Assumptions!EP162&lt;&gt;"",Assumptions!EP162,0)</f>
        <v>0</v>
      </c>
      <c r="EQ197" s="32">
        <f t="shared" si="528"/>
        <v>0</v>
      </c>
      <c r="ER197" s="1223">
        <f>IF(Assumptions!ER162&lt;&gt;"",Assumptions!ER162,0)</f>
        <v>0</v>
      </c>
      <c r="ES197" s="32">
        <f>IF(Assumptions!ES162&lt;&gt;"",Assumptions!ES162,0)</f>
        <v>0</v>
      </c>
      <c r="ET197" s="32">
        <f t="shared" si="529"/>
        <v>0</v>
      </c>
      <c r="EU197" s="1223">
        <f>IF(Assumptions!EU162&lt;&gt;"",Assumptions!EU162,0)</f>
        <v>0</v>
      </c>
      <c r="EV197" s="32">
        <f>IF(Assumptions!EV162&lt;&gt;"",Assumptions!EV162,0)</f>
        <v>0</v>
      </c>
      <c r="EW197" s="32">
        <f t="shared" si="530"/>
        <v>0</v>
      </c>
      <c r="EX197" s="1223">
        <f>IF(Assumptions!EX162&lt;&gt;"",Assumptions!EX162,0)</f>
        <v>0</v>
      </c>
      <c r="EY197" s="32">
        <f>IF(Assumptions!EY162&lt;&gt;"",Assumptions!EY162,0)</f>
        <v>0</v>
      </c>
      <c r="EZ197" s="32">
        <f t="shared" si="531"/>
        <v>0</v>
      </c>
      <c r="FA197" s="1223">
        <f>IF(Assumptions!FA162&lt;&gt;"",Assumptions!FA162,0)</f>
        <v>0</v>
      </c>
      <c r="FD197"/>
      <c r="FE197"/>
      <c r="FF197"/>
      <c r="FG197"/>
      <c r="FH197"/>
      <c r="FI197"/>
    </row>
    <row r="198" spans="2:169" s="33" customFormat="1" ht="13.5" thickBot="1">
      <c r="B198" s="54" t="s">
        <v>603</v>
      </c>
      <c r="C198" s="54"/>
      <c r="D198" s="2" t="s">
        <v>506</v>
      </c>
      <c r="E198" s="32">
        <f>+SUM(E199:E201)</f>
        <v>0</v>
      </c>
      <c r="F198" s="32">
        <f t="shared" si="484"/>
        <v>0</v>
      </c>
      <c r="G198" s="32">
        <f>+SUM(G199:G201)</f>
        <v>0</v>
      </c>
      <c r="H198" s="32">
        <f>+SUM(H199:H201)</f>
        <v>0</v>
      </c>
      <c r="I198" s="32">
        <f t="shared" si="485"/>
        <v>0</v>
      </c>
      <c r="J198" s="32">
        <f>+SUM(J199:J201)</f>
        <v>0</v>
      </c>
      <c r="K198" s="32">
        <f>+SUM(K199:K201)</f>
        <v>0</v>
      </c>
      <c r="L198" s="32">
        <f t="shared" si="486"/>
        <v>0</v>
      </c>
      <c r="M198" s="32">
        <f>+SUM(M199:M201)</f>
        <v>0</v>
      </c>
      <c r="N198" s="32">
        <f>+SUM(N199:N201)</f>
        <v>0</v>
      </c>
      <c r="O198" s="32">
        <f t="shared" si="487"/>
        <v>0</v>
      </c>
      <c r="P198" s="32">
        <f>+SUM(P199:P201)</f>
        <v>0</v>
      </c>
      <c r="Q198" s="32">
        <f>+SUM(Q199:Q201)</f>
        <v>0</v>
      </c>
      <c r="R198" s="32">
        <f t="shared" si="488"/>
        <v>0</v>
      </c>
      <c r="S198" s="32">
        <f>+SUM(S199:S201)</f>
        <v>0</v>
      </c>
      <c r="T198" s="32">
        <f>+SUM(T199:T201)</f>
        <v>0</v>
      </c>
      <c r="U198" s="32">
        <f t="shared" si="489"/>
        <v>0</v>
      </c>
      <c r="V198" s="32">
        <f>+SUM(V199:V201)</f>
        <v>0</v>
      </c>
      <c r="W198" s="32">
        <f>+SUM(W199:W201)</f>
        <v>0</v>
      </c>
      <c r="X198" s="32">
        <f t="shared" si="490"/>
        <v>0</v>
      </c>
      <c r="Y198" s="32">
        <f>+SUM(Y199:Y201)</f>
        <v>0</v>
      </c>
      <c r="Z198" s="32">
        <f>+SUM(Z199:Z201)</f>
        <v>0</v>
      </c>
      <c r="AA198" s="32">
        <f t="shared" si="491"/>
        <v>0</v>
      </c>
      <c r="AB198" s="32">
        <f>+SUM(AB199:AB201)</f>
        <v>0</v>
      </c>
      <c r="AC198" s="32">
        <f>+SUM(AC199:AC201)</f>
        <v>0</v>
      </c>
      <c r="AD198" s="32">
        <f t="shared" si="492"/>
        <v>0</v>
      </c>
      <c r="AE198" s="32">
        <f>+SUM(AE199:AE201)</f>
        <v>0</v>
      </c>
      <c r="AF198" s="32">
        <f>+SUM(AF199:AF201)</f>
        <v>0</v>
      </c>
      <c r="AG198" s="32">
        <f t="shared" si="493"/>
        <v>0</v>
      </c>
      <c r="AH198" s="32">
        <f>+SUM(AH199:AH201)</f>
        <v>0</v>
      </c>
      <c r="AI198" s="32">
        <f>+SUM(AI199:AI201)</f>
        <v>0</v>
      </c>
      <c r="AJ198" s="32">
        <f t="shared" si="494"/>
        <v>0</v>
      </c>
      <c r="AK198" s="32">
        <f>+SUM(AK199:AK201)</f>
        <v>0</v>
      </c>
      <c r="AL198" s="32">
        <f>+SUM(AL199:AL201)</f>
        <v>0</v>
      </c>
      <c r="AM198" s="32">
        <f t="shared" si="495"/>
        <v>0</v>
      </c>
      <c r="AN198" s="32">
        <f>+SUM(AN199:AN201)</f>
        <v>0</v>
      </c>
      <c r="AO198" s="32">
        <f>+SUM(AO199:AO201)</f>
        <v>0</v>
      </c>
      <c r="AP198" s="32">
        <f t="shared" si="496"/>
        <v>0</v>
      </c>
      <c r="AQ198" s="32">
        <f>+SUM(AQ199:AQ201)</f>
        <v>0</v>
      </c>
      <c r="AR198" s="32">
        <f>+SUM(AR199:AR201)</f>
        <v>0</v>
      </c>
      <c r="AS198" s="32">
        <f t="shared" si="497"/>
        <v>0</v>
      </c>
      <c r="AT198" s="32">
        <f>+SUM(AT199:AT201)</f>
        <v>0</v>
      </c>
      <c r="AU198" s="32">
        <f>+SUM(AU199:AU201)</f>
        <v>0</v>
      </c>
      <c r="AV198" s="32">
        <f t="shared" si="498"/>
        <v>0</v>
      </c>
      <c r="AW198" s="32">
        <f>+SUM(AW199:AW201)</f>
        <v>0</v>
      </c>
      <c r="AX198" s="32"/>
      <c r="AY198" s="32">
        <f t="shared" si="499"/>
        <v>0</v>
      </c>
      <c r="AZ198" s="32">
        <f>+SUM(AZ199:AZ201)</f>
        <v>0</v>
      </c>
      <c r="BA198" s="32">
        <f>+SUM(BA199:BA201)</f>
        <v>0</v>
      </c>
      <c r="BB198" s="32">
        <f t="shared" si="500"/>
        <v>0</v>
      </c>
      <c r="BC198" s="32">
        <f>+SUM(BC199:BC201)</f>
        <v>0</v>
      </c>
      <c r="BD198" s="32">
        <f>+SUM(BD199:BD201)</f>
        <v>0</v>
      </c>
      <c r="BE198" s="32">
        <f t="shared" si="501"/>
        <v>0</v>
      </c>
      <c r="BF198" s="32">
        <f>+SUM(BF199:BF201)</f>
        <v>0</v>
      </c>
      <c r="BG198" s="32">
        <f>+SUM(BG199:BG201)</f>
        <v>-37.036999999999999</v>
      </c>
      <c r="BH198" s="32">
        <f t="shared" si="502"/>
        <v>-37.109000000000002</v>
      </c>
      <c r="BI198" s="32">
        <f>+SUM(BI199:BI201)</f>
        <v>-74.146000000000001</v>
      </c>
      <c r="BJ198" s="32">
        <f>+SUM(BJ199:BJ201)</f>
        <v>-8.1229999999999993</v>
      </c>
      <c r="BK198" s="32">
        <f t="shared" si="532"/>
        <v>0</v>
      </c>
      <c r="BL198" s="32">
        <f>+SUM(BL199:BL201)</f>
        <v>-8.1229999999999993</v>
      </c>
      <c r="BM198" s="32">
        <f>+SUM(BM199:BM201)</f>
        <v>-9.2370000000000001</v>
      </c>
      <c r="BN198" s="32">
        <f t="shared" si="533"/>
        <v>0.23600000000000065</v>
      </c>
      <c r="BO198" s="32">
        <f>+SUM(BO199:BO201)</f>
        <v>-9.0009999999999994</v>
      </c>
      <c r="BP198" s="32">
        <f>+SUM(BP199:BP201)</f>
        <v>0</v>
      </c>
      <c r="BQ198" s="32">
        <f t="shared" si="503"/>
        <v>-8.548</v>
      </c>
      <c r="BR198" s="32">
        <f>+SUM(BR199:BR201)</f>
        <v>-8.548</v>
      </c>
      <c r="BS198" s="32">
        <f>+SUM(BS199:BS201)</f>
        <v>0</v>
      </c>
      <c r="BT198" s="32">
        <f t="shared" si="504"/>
        <v>-79.305999999999997</v>
      </c>
      <c r="BU198" s="32">
        <f>+SUM(BU199:BU201)</f>
        <v>-79.305999999999997</v>
      </c>
      <c r="BV198" s="32">
        <f>+SUM(BV199:BV201)</f>
        <v>0</v>
      </c>
      <c r="BW198" s="32">
        <f t="shared" si="505"/>
        <v>-26.577999999999999</v>
      </c>
      <c r="BX198" s="32">
        <f>+SUM(BX199:BX201)</f>
        <v>-26.577999999999999</v>
      </c>
      <c r="BY198" s="32">
        <f>+SUM(BY199:BY201)</f>
        <v>-46.573999999999998</v>
      </c>
      <c r="BZ198" s="32">
        <f t="shared" si="506"/>
        <v>14.281999999999996</v>
      </c>
      <c r="CA198" s="32">
        <f>+SUM(CA199:CA201)</f>
        <v>-32.292000000000002</v>
      </c>
      <c r="CB198" s="32">
        <f>+SUM(CB199:CB201)</f>
        <v>-28.768999999999998</v>
      </c>
      <c r="CC198" s="32">
        <f t="shared" si="507"/>
        <v>-23.157000000000004</v>
      </c>
      <c r="CD198" s="32">
        <f>+SUM(CD199:CD201)</f>
        <v>-51.926000000000002</v>
      </c>
      <c r="CE198" s="32">
        <f>+SUM(CE199:CE201)</f>
        <v>-4.08</v>
      </c>
      <c r="CF198" s="32">
        <f t="shared" si="508"/>
        <v>-9.6579999999999995</v>
      </c>
      <c r="CG198" s="32">
        <f>+SUM(CG199:CG201)</f>
        <v>-13.738</v>
      </c>
      <c r="CH198" s="32">
        <f>+SUM(CH199:CH201)</f>
        <v>-5.4</v>
      </c>
      <c r="CI198" s="32">
        <f t="shared" si="509"/>
        <v>-8.7999999999999989</v>
      </c>
      <c r="CJ198" s="32">
        <f>+SUM(CJ199:CJ201)</f>
        <v>-14.2</v>
      </c>
      <c r="CK198" s="32">
        <f>+SUM(CK199:CK201)</f>
        <v>-5.2</v>
      </c>
      <c r="CL198" s="32">
        <f t="shared" si="510"/>
        <v>-11.7</v>
      </c>
      <c r="CM198" s="32">
        <f>+SUM(CM199:CM201)</f>
        <v>-16.899999999999999</v>
      </c>
      <c r="CN198" s="32">
        <f>+SUM(CN199:CN201)</f>
        <v>0</v>
      </c>
      <c r="CO198" s="32">
        <f t="shared" si="511"/>
        <v>-48</v>
      </c>
      <c r="CP198" s="32">
        <f>+SUM(CP199:CP201)</f>
        <v>-48</v>
      </c>
      <c r="CQ198" s="32">
        <f>+SUM(CQ199:CQ201)</f>
        <v>0</v>
      </c>
      <c r="CR198" s="32">
        <f t="shared" si="512"/>
        <v>-66</v>
      </c>
      <c r="CS198" s="32">
        <f>+SUM(CS199:CS201)</f>
        <v>-66</v>
      </c>
      <c r="CT198" s="32">
        <f>+SUM(CT199:CT201)</f>
        <v>0</v>
      </c>
      <c r="CU198" s="32">
        <f t="shared" si="513"/>
        <v>-70.599999999999994</v>
      </c>
      <c r="CV198" s="32">
        <f>+SUM(CV199:CV201)</f>
        <v>-70.599999999999994</v>
      </c>
      <c r="CW198" s="32">
        <f>+SUM(CW199:CW201)</f>
        <v>-57.4</v>
      </c>
      <c r="CX198" s="32">
        <f t="shared" si="514"/>
        <v>57.4</v>
      </c>
      <c r="CY198" s="32">
        <f>+SUM(CY199:CY201)</f>
        <v>0</v>
      </c>
      <c r="CZ198" s="32">
        <f>+SUM(CZ199:CZ201)</f>
        <v>-108.8</v>
      </c>
      <c r="DA198" s="32">
        <f t="shared" si="515"/>
        <v>108.8</v>
      </c>
      <c r="DB198" s="32">
        <f>+SUM(DB199:DB201)</f>
        <v>0</v>
      </c>
      <c r="DC198" s="32">
        <f>+SUM(DC199:DC201)</f>
        <v>0</v>
      </c>
      <c r="DD198" s="32">
        <f t="shared" si="516"/>
        <v>0</v>
      </c>
      <c r="DE198" s="1061">
        <f>+SUM(DE199:DE201)</f>
        <v>0</v>
      </c>
      <c r="DF198" s="32">
        <f>+SUM(DF199:DF201)</f>
        <v>0</v>
      </c>
      <c r="DG198" s="32">
        <f t="shared" si="517"/>
        <v>0</v>
      </c>
      <c r="DH198" s="1061">
        <f>+SUM(DH199:DH201)</f>
        <v>0</v>
      </c>
      <c r="DI198" s="32">
        <f>+SUM(DI199:DI201)</f>
        <v>-44.4</v>
      </c>
      <c r="DJ198" s="32">
        <f t="shared" si="518"/>
        <v>-426.40000000000003</v>
      </c>
      <c r="DK198" s="1061">
        <f>+SUM(DK199:DK201)</f>
        <v>-470.8</v>
      </c>
      <c r="DL198" s="32">
        <f>+SUM(DL199:DL201)</f>
        <v>-24.8</v>
      </c>
      <c r="DM198" s="32">
        <f t="shared" si="519"/>
        <v>-144.1</v>
      </c>
      <c r="DN198" s="1061">
        <f>+SUM(DN199:DN201)</f>
        <v>-168.9</v>
      </c>
      <c r="DO198" s="32">
        <f>+SUM(DO199:DO201)</f>
        <v>-10826.900000000001</v>
      </c>
      <c r="DP198" s="32">
        <f t="shared" si="520"/>
        <v>10362.900000000001</v>
      </c>
      <c r="DQ198" s="1061">
        <f>+SUM(DQ199:DQ201)</f>
        <v>-464</v>
      </c>
      <c r="DR198" s="32">
        <f>+SUM(DR199:DR201)</f>
        <v>-227</v>
      </c>
      <c r="DS198" s="32">
        <f t="shared" si="521"/>
        <v>-182</v>
      </c>
      <c r="DT198" s="1061">
        <f>+SUM(DT199:DT201)</f>
        <v>-409</v>
      </c>
      <c r="DU198" s="32">
        <f>+SUM(DU199:DU201)</f>
        <v>-155</v>
      </c>
      <c r="DV198" s="32">
        <f t="shared" si="522"/>
        <v>-207</v>
      </c>
      <c r="DW198" s="1061">
        <f>+SUM(DW199:DW201)</f>
        <v>-362</v>
      </c>
      <c r="DX198" s="32">
        <f>+SUM(DX199:DX201)</f>
        <v>-360</v>
      </c>
      <c r="DY198" s="32">
        <f t="shared" si="535"/>
        <v>-200</v>
      </c>
      <c r="DZ198" s="1061">
        <f>+SUM(DZ199:DZ201)</f>
        <v>-560</v>
      </c>
      <c r="EA198" s="32">
        <f>+SUM(EA199:EA201)</f>
        <v>-250</v>
      </c>
      <c r="EB198" s="32">
        <f t="shared" si="523"/>
        <v>-250</v>
      </c>
      <c r="EC198" s="1061">
        <f>+SUM(EC199:EC201)</f>
        <v>-500</v>
      </c>
      <c r="ED198" s="32">
        <f>+SUM(ED199:ED201)</f>
        <v>-257.5</v>
      </c>
      <c r="EE198" s="32">
        <f t="shared" si="524"/>
        <v>-257.5</v>
      </c>
      <c r="EF198" s="1061">
        <f>+SUM(EF199:EF201)</f>
        <v>-515</v>
      </c>
      <c r="EG198" s="32">
        <f>+SUM(EG199:EG201)</f>
        <v>-265.22500000000002</v>
      </c>
      <c r="EH198" s="32">
        <f t="shared" si="525"/>
        <v>-265.22500000000002</v>
      </c>
      <c r="EI198" s="1061">
        <f>+SUM(EI199:EI201)</f>
        <v>-530.45000000000005</v>
      </c>
      <c r="EJ198" s="32">
        <f>+SUM(EJ199:EJ201)</f>
        <v>-273.18175000000002</v>
      </c>
      <c r="EK198" s="32">
        <f t="shared" si="526"/>
        <v>-273.18175000000002</v>
      </c>
      <c r="EL198" s="1061">
        <f>+SUM(EL199:EL201)</f>
        <v>-546.36350000000004</v>
      </c>
      <c r="EM198" s="32">
        <f>+SUM(EM199:EM201)</f>
        <v>-281.37720250000001</v>
      </c>
      <c r="EN198" s="32">
        <f t="shared" si="527"/>
        <v>-281.37720250000001</v>
      </c>
      <c r="EO198" s="1061">
        <f>+SUM(EO199:EO201)</f>
        <v>-562.75440500000002</v>
      </c>
      <c r="EP198" s="32">
        <f>+SUM(EP199:EP201)</f>
        <v>-289.81851857500004</v>
      </c>
      <c r="EQ198" s="32">
        <f t="shared" si="528"/>
        <v>-289.81851857500004</v>
      </c>
      <c r="ER198" s="1061">
        <f>+SUM(ER199:ER201)</f>
        <v>-579.63703715000008</v>
      </c>
      <c r="ES198" s="32">
        <f>+SUM(ES199:ES201)</f>
        <v>-298.51307413225004</v>
      </c>
      <c r="ET198" s="32">
        <f t="shared" si="529"/>
        <v>-298.51307413225004</v>
      </c>
      <c r="EU198" s="1061">
        <f>+SUM(EU199:EU201)</f>
        <v>-597.02614826450008</v>
      </c>
      <c r="EV198" s="32">
        <f>+SUM(EV199:EV201)</f>
        <v>-307.46846635621756</v>
      </c>
      <c r="EW198" s="32">
        <f t="shared" si="530"/>
        <v>-307.46846635621756</v>
      </c>
      <c r="EX198" s="1061">
        <f>+SUM(EX199:EX201)</f>
        <v>-614.93693271243512</v>
      </c>
      <c r="EY198" s="32">
        <f>+SUM(EY199:EY201)</f>
        <v>-316.69252034690408</v>
      </c>
      <c r="EZ198" s="32">
        <f t="shared" si="531"/>
        <v>-316.69252034690408</v>
      </c>
      <c r="FA198" s="1061">
        <f>+SUM(FA199:FA201)</f>
        <v>-633.38504069380815</v>
      </c>
      <c r="FD198"/>
      <c r="FE198"/>
      <c r="FF198"/>
      <c r="FG198"/>
      <c r="FH198"/>
      <c r="FI198"/>
    </row>
    <row r="199" spans="2:169" s="33" customFormat="1" outlineLevel="1">
      <c r="B199" s="54" t="s">
        <v>604</v>
      </c>
      <c r="C199" s="54"/>
      <c r="D199" s="2" t="s">
        <v>506</v>
      </c>
      <c r="E199" s="1183"/>
      <c r="F199" s="1192">
        <f t="shared" si="484"/>
        <v>0</v>
      </c>
      <c r="G199" s="1184"/>
      <c r="H199" s="1185"/>
      <c r="I199" s="1192">
        <f t="shared" si="485"/>
        <v>0</v>
      </c>
      <c r="J199" s="1184"/>
      <c r="K199" s="1185"/>
      <c r="L199" s="1192">
        <f t="shared" si="486"/>
        <v>0</v>
      </c>
      <c r="M199" s="1184"/>
      <c r="N199" s="1185"/>
      <c r="O199" s="1192">
        <f t="shared" si="487"/>
        <v>0</v>
      </c>
      <c r="P199" s="1184"/>
      <c r="Q199" s="1185"/>
      <c r="R199" s="1192">
        <f t="shared" si="488"/>
        <v>0</v>
      </c>
      <c r="S199" s="1184"/>
      <c r="T199" s="1185"/>
      <c r="U199" s="1192">
        <f t="shared" si="489"/>
        <v>0</v>
      </c>
      <c r="V199" s="1184"/>
      <c r="W199" s="1185"/>
      <c r="X199" s="1192">
        <f t="shared" si="490"/>
        <v>0</v>
      </c>
      <c r="Y199" s="1184"/>
      <c r="Z199" s="1185"/>
      <c r="AA199" s="1192">
        <f t="shared" si="491"/>
        <v>0</v>
      </c>
      <c r="AB199" s="1184"/>
      <c r="AC199" s="1185"/>
      <c r="AD199" s="1192">
        <f t="shared" si="492"/>
        <v>0</v>
      </c>
      <c r="AE199" s="1184"/>
      <c r="AF199" s="1185"/>
      <c r="AG199" s="1192">
        <f t="shared" si="493"/>
        <v>0</v>
      </c>
      <c r="AH199" s="1184"/>
      <c r="AI199" s="1185"/>
      <c r="AJ199" s="1192">
        <f t="shared" si="494"/>
        <v>0</v>
      </c>
      <c r="AK199" s="1184"/>
      <c r="AL199" s="1185"/>
      <c r="AM199" s="1192">
        <f t="shared" si="495"/>
        <v>0</v>
      </c>
      <c r="AN199" s="1184"/>
      <c r="AO199" s="1185"/>
      <c r="AP199" s="1192">
        <f t="shared" si="496"/>
        <v>0</v>
      </c>
      <c r="AQ199" s="1184"/>
      <c r="AR199" s="1185"/>
      <c r="AS199" s="1192">
        <f t="shared" si="497"/>
        <v>0</v>
      </c>
      <c r="AT199" s="1184"/>
      <c r="AU199" s="1185"/>
      <c r="AV199" s="1192">
        <f t="shared" si="498"/>
        <v>0</v>
      </c>
      <c r="AW199" s="1193">
        <v>0</v>
      </c>
      <c r="AX199" s="1198">
        <v>0</v>
      </c>
      <c r="AY199" s="1192">
        <f t="shared" si="499"/>
        <v>0</v>
      </c>
      <c r="AZ199" s="1193">
        <v>0</v>
      </c>
      <c r="BA199" s="1185"/>
      <c r="BB199" s="1192">
        <f t="shared" si="500"/>
        <v>0</v>
      </c>
      <c r="BC199" s="1184">
        <f>IF(Assumptions!BC165&lt;&gt;"0",Assumptions!BC165,0)</f>
        <v>0</v>
      </c>
      <c r="BD199" s="1185">
        <f>Assumptions!BD165</f>
        <v>0</v>
      </c>
      <c r="BE199" s="1192">
        <f t="shared" si="501"/>
        <v>0</v>
      </c>
      <c r="BF199" s="1184">
        <f>IF(Assumptions!BF165&lt;&gt;"0",Assumptions!BF165,0)</f>
        <v>0</v>
      </c>
      <c r="BG199" s="1185">
        <f>IF(Assumptions!BG165&lt;&gt;"0",Assumptions!BG165,0)</f>
        <v>0</v>
      </c>
      <c r="BH199" s="1192">
        <f t="shared" si="502"/>
        <v>0</v>
      </c>
      <c r="BI199" s="1184">
        <f>IF(Assumptions!BI165&lt;&gt;"0",Assumptions!BI165,0)</f>
        <v>0</v>
      </c>
      <c r="BJ199" s="1185">
        <f>IF(Assumptions!BJ165&lt;&gt;"0",Assumptions!BJ165,0)</f>
        <v>0</v>
      </c>
      <c r="BK199" s="1192">
        <f t="shared" si="532"/>
        <v>0</v>
      </c>
      <c r="BL199" s="1184">
        <f>IF(Assumptions!BL165&lt;&gt;"0",Assumptions!BL165,0)</f>
        <v>0</v>
      </c>
      <c r="BM199" s="1185">
        <f>IF(Assumptions!BM165&lt;&gt;"0",Assumptions!BM165,0)</f>
        <v>0</v>
      </c>
      <c r="BN199" s="1192">
        <f t="shared" si="533"/>
        <v>0</v>
      </c>
      <c r="BO199" s="1200">
        <f>IF(Assumptions!BO165&lt;&gt;"0",Assumptions!BO165,0)</f>
        <v>0</v>
      </c>
      <c r="BP199" s="1185">
        <f>IF(Assumptions!BP165&lt;&gt;"0",Assumptions!BP165,0)</f>
        <v>0</v>
      </c>
      <c r="BQ199" s="1192">
        <f t="shared" si="503"/>
        <v>0</v>
      </c>
      <c r="BR199" s="1200">
        <f>IF(Assumptions!BR165&lt;&gt;"0",Assumptions!BR165,0)</f>
        <v>0</v>
      </c>
      <c r="BS199" s="1185">
        <f>IF(Assumptions!BS165&lt;&gt;"0",Assumptions!BS165,0)</f>
        <v>0</v>
      </c>
      <c r="BT199" s="1192">
        <f t="shared" si="504"/>
        <v>0</v>
      </c>
      <c r="BU199" s="1200">
        <f>IF(Assumptions!BU165&lt;&gt;"0",Assumptions!BU165,0)</f>
        <v>0</v>
      </c>
      <c r="BV199" s="1185">
        <f>IF(Assumptions!BV165&lt;&gt;"",Assumptions!BV165,0)</f>
        <v>0</v>
      </c>
      <c r="BW199" s="1192">
        <f t="shared" si="505"/>
        <v>0</v>
      </c>
      <c r="BX199" s="1200">
        <f>IF(Assumptions!BX165&lt;&gt;"",Assumptions!BX165,0)</f>
        <v>0</v>
      </c>
      <c r="BY199" s="1185">
        <f>IF(Assumptions!BY165&lt;&gt;"",Assumptions!BY165,0)</f>
        <v>0</v>
      </c>
      <c r="BZ199" s="1192">
        <f t="shared" si="506"/>
        <v>0</v>
      </c>
      <c r="CA199" s="1200">
        <f>IF(Assumptions!CA165&lt;&gt;"",Assumptions!CA165,0)</f>
        <v>0</v>
      </c>
      <c r="CB199" s="1185">
        <f>IF(Assumptions!CB165&lt;&gt;"",Assumptions!CB165,0)</f>
        <v>0</v>
      </c>
      <c r="CC199" s="1192">
        <f t="shared" si="507"/>
        <v>0</v>
      </c>
      <c r="CD199" s="1200">
        <f>IF(Assumptions!CD165&lt;&gt;"",Assumptions!CD165,0)</f>
        <v>0</v>
      </c>
      <c r="CE199" s="1185">
        <f>IF(Assumptions!CE165&lt;&gt;"",Assumptions!CE165,0)</f>
        <v>0</v>
      </c>
      <c r="CF199" s="1192">
        <f t="shared" si="508"/>
        <v>0</v>
      </c>
      <c r="CG199" s="1200">
        <f>IF(Assumptions!CG165&lt;&gt;"",Assumptions!CG165,0)</f>
        <v>0</v>
      </c>
      <c r="CH199" s="1185">
        <f>IF(Assumptions!CH165&lt;&gt;"",Assumptions!CH165,0)</f>
        <v>0</v>
      </c>
      <c r="CI199" s="1192">
        <f t="shared" si="509"/>
        <v>0</v>
      </c>
      <c r="CJ199" s="1200">
        <f>IF(Assumptions!CJ165&lt;&gt;"",Assumptions!CJ165,0)</f>
        <v>0</v>
      </c>
      <c r="CK199" s="1185">
        <f>IF(Assumptions!CK165&lt;&gt;"",Assumptions!CK165,0)</f>
        <v>0</v>
      </c>
      <c r="CL199" s="1192">
        <f t="shared" si="510"/>
        <v>0</v>
      </c>
      <c r="CM199" s="1200">
        <f>IF(Assumptions!CM165&lt;&gt;"",Assumptions!CM165,0)</f>
        <v>0</v>
      </c>
      <c r="CN199" s="1185">
        <f>IF(Assumptions!CN165&lt;&gt;"",Assumptions!CN165,0)</f>
        <v>0</v>
      </c>
      <c r="CO199" s="1192">
        <f t="shared" si="511"/>
        <v>0</v>
      </c>
      <c r="CP199" s="1200">
        <f>IF(Assumptions!CP165&lt;&gt;"",Assumptions!CP165,0)</f>
        <v>0</v>
      </c>
      <c r="CQ199" s="1185">
        <f>IF(Assumptions!CQ165&lt;&gt;"",Assumptions!CQ165,0)</f>
        <v>0</v>
      </c>
      <c r="CR199" s="1192">
        <f t="shared" si="512"/>
        <v>0</v>
      </c>
      <c r="CS199" s="1200">
        <f>IF(Assumptions!CS165&lt;&gt;"",Assumptions!CS165,0)</f>
        <v>0</v>
      </c>
      <c r="CT199" s="1185">
        <f>IF(Assumptions!CT165&lt;&gt;"",Assumptions!CT165,0)</f>
        <v>0</v>
      </c>
      <c r="CU199" s="1192">
        <f t="shared" si="513"/>
        <v>0</v>
      </c>
      <c r="CV199" s="1200">
        <f>IF(Assumptions!CV165&lt;&gt;"",Assumptions!CV165,0)</f>
        <v>0</v>
      </c>
      <c r="CW199" s="1185">
        <f>IF(Assumptions!CW165&lt;&gt;"",Assumptions!CW165,0)</f>
        <v>0</v>
      </c>
      <c r="CX199" s="1192">
        <f t="shared" si="514"/>
        <v>0</v>
      </c>
      <c r="CY199" s="1200">
        <f>IF(Assumptions!CY165&lt;&gt;"",Assumptions!CY165,0)</f>
        <v>0</v>
      </c>
      <c r="CZ199" s="1198">
        <v>-108.8</v>
      </c>
      <c r="DA199" s="1192">
        <f t="shared" si="515"/>
        <v>108.8</v>
      </c>
      <c r="DB199" s="1200">
        <v>0</v>
      </c>
      <c r="DC199" s="1185">
        <v>0</v>
      </c>
      <c r="DD199" s="1192">
        <f t="shared" si="516"/>
        <v>0</v>
      </c>
      <c r="DE199" s="1540">
        <v>0</v>
      </c>
      <c r="DF199" s="1543">
        <f>IF(Assumptions!DF165&lt;&gt;"",Assumptions!DF165,0)</f>
        <v>0</v>
      </c>
      <c r="DG199" s="1542">
        <f t="shared" si="517"/>
        <v>0</v>
      </c>
      <c r="DH199" s="1540">
        <f>IF(Assumptions!DH165&lt;&gt;"",Assumptions!DH165,0)</f>
        <v>0</v>
      </c>
      <c r="DI199" s="1543">
        <v>-44.4</v>
      </c>
      <c r="DJ199" s="1542">
        <f t="shared" si="518"/>
        <v>-426.40000000000003</v>
      </c>
      <c r="DK199" s="1540">
        <v>-470.8</v>
      </c>
      <c r="DL199" s="1530">
        <v>-24.8</v>
      </c>
      <c r="DM199" s="1530">
        <f t="shared" si="519"/>
        <v>-144.1</v>
      </c>
      <c r="DN199" s="1696">
        <v>-168.9</v>
      </c>
      <c r="DO199" s="1558">
        <f>-293.2-10533.7</f>
        <v>-10826.900000000001</v>
      </c>
      <c r="DP199" s="1530">
        <f t="shared" si="520"/>
        <v>10362.900000000001</v>
      </c>
      <c r="DQ199" s="1699">
        <v>-464</v>
      </c>
      <c r="DR199" s="1558">
        <v>-227</v>
      </c>
      <c r="DS199" s="1530">
        <f t="shared" si="521"/>
        <v>-182</v>
      </c>
      <c r="DT199" s="1699">
        <v>-409</v>
      </c>
      <c r="DU199" s="32">
        <v>-155</v>
      </c>
      <c r="DV199" s="1530">
        <f t="shared" si="522"/>
        <v>-207</v>
      </c>
      <c r="DW199" s="1699">
        <v>-362</v>
      </c>
      <c r="DX199" s="1693">
        <v>-360</v>
      </c>
      <c r="DY199" s="32">
        <v>-200</v>
      </c>
      <c r="DZ199" s="1223">
        <f>SUM(DX199:DY199)</f>
        <v>-560</v>
      </c>
      <c r="EA199" s="32">
        <v>-250</v>
      </c>
      <c r="EB199" s="32">
        <f>+EA199</f>
        <v>-250</v>
      </c>
      <c r="EC199" s="1223">
        <f>+EA199+EB199</f>
        <v>-500</v>
      </c>
      <c r="ED199" s="32">
        <f>+EA199*1.03</f>
        <v>-257.5</v>
      </c>
      <c r="EE199" s="32">
        <f>+ED199</f>
        <v>-257.5</v>
      </c>
      <c r="EF199" s="1223">
        <f>+ED199+EE199</f>
        <v>-515</v>
      </c>
      <c r="EG199" s="32">
        <f>+ED199*1.03</f>
        <v>-265.22500000000002</v>
      </c>
      <c r="EH199" s="32">
        <f>+EG199</f>
        <v>-265.22500000000002</v>
      </c>
      <c r="EI199" s="1223">
        <f>+EG199+EH199</f>
        <v>-530.45000000000005</v>
      </c>
      <c r="EJ199" s="32">
        <f>+EG199*1.03</f>
        <v>-273.18175000000002</v>
      </c>
      <c r="EK199" s="32">
        <f>+EJ199</f>
        <v>-273.18175000000002</v>
      </c>
      <c r="EL199" s="1223">
        <f>+EJ199+EK199</f>
        <v>-546.36350000000004</v>
      </c>
      <c r="EM199" s="32">
        <f>+EJ199*1.03</f>
        <v>-281.37720250000001</v>
      </c>
      <c r="EN199" s="32">
        <f>+EM199</f>
        <v>-281.37720250000001</v>
      </c>
      <c r="EO199" s="1223">
        <f>+EM199+EN199</f>
        <v>-562.75440500000002</v>
      </c>
      <c r="EP199" s="32">
        <f>+EM199*1.03</f>
        <v>-289.81851857500004</v>
      </c>
      <c r="EQ199" s="32">
        <f>+EP199</f>
        <v>-289.81851857500004</v>
      </c>
      <c r="ER199" s="1223">
        <f>+EP199+EQ199</f>
        <v>-579.63703715000008</v>
      </c>
      <c r="ES199" s="32">
        <f>+EP199*1.03</f>
        <v>-298.51307413225004</v>
      </c>
      <c r="ET199" s="32">
        <f>+ES199</f>
        <v>-298.51307413225004</v>
      </c>
      <c r="EU199" s="1223">
        <f>+ES199+ET199</f>
        <v>-597.02614826450008</v>
      </c>
      <c r="EV199" s="32">
        <f>+ES199*1.03</f>
        <v>-307.46846635621756</v>
      </c>
      <c r="EW199" s="32">
        <f>+EV199</f>
        <v>-307.46846635621756</v>
      </c>
      <c r="EX199" s="1223">
        <f>+EV199+EW199</f>
        <v>-614.93693271243512</v>
      </c>
      <c r="EY199" s="32">
        <f>+EV199*1.03</f>
        <v>-316.69252034690408</v>
      </c>
      <c r="EZ199" s="32">
        <f>+EY199</f>
        <v>-316.69252034690408</v>
      </c>
      <c r="FA199" s="1223">
        <f>+EY199+EZ199</f>
        <v>-633.38504069380815</v>
      </c>
      <c r="FD199"/>
      <c r="FE199"/>
      <c r="FF199"/>
      <c r="FG199"/>
      <c r="FH199"/>
      <c r="FI199"/>
    </row>
    <row r="200" spans="2:169" s="33" customFormat="1" outlineLevel="1">
      <c r="B200" s="54" t="s">
        <v>605</v>
      </c>
      <c r="C200" s="54"/>
      <c r="D200" s="2" t="s">
        <v>506</v>
      </c>
      <c r="E200" s="1205"/>
      <c r="F200" s="1192">
        <f t="shared" si="484"/>
        <v>0</v>
      </c>
      <c r="G200" s="1206"/>
      <c r="H200" s="1207"/>
      <c r="I200" s="1192">
        <f t="shared" si="485"/>
        <v>0</v>
      </c>
      <c r="J200" s="1206"/>
      <c r="K200" s="1207"/>
      <c r="L200" s="1192">
        <f t="shared" si="486"/>
        <v>0</v>
      </c>
      <c r="M200" s="1206"/>
      <c r="N200" s="1207"/>
      <c r="O200" s="1192">
        <f t="shared" si="487"/>
        <v>0</v>
      </c>
      <c r="P200" s="1206"/>
      <c r="Q200" s="1207"/>
      <c r="R200" s="1192">
        <f t="shared" si="488"/>
        <v>0</v>
      </c>
      <c r="S200" s="1206"/>
      <c r="T200" s="1207"/>
      <c r="U200" s="1192">
        <f t="shared" si="489"/>
        <v>0</v>
      </c>
      <c r="V200" s="1206"/>
      <c r="W200" s="1207"/>
      <c r="X200" s="1192">
        <f t="shared" si="490"/>
        <v>0</v>
      </c>
      <c r="Y200" s="1206"/>
      <c r="Z200" s="1207"/>
      <c r="AA200" s="1192">
        <f t="shared" si="491"/>
        <v>0</v>
      </c>
      <c r="AB200" s="1206"/>
      <c r="AC200" s="1207"/>
      <c r="AD200" s="1192">
        <f t="shared" si="492"/>
        <v>0</v>
      </c>
      <c r="AE200" s="1206"/>
      <c r="AF200" s="1207"/>
      <c r="AG200" s="1192">
        <f t="shared" si="493"/>
        <v>0</v>
      </c>
      <c r="AH200" s="1206"/>
      <c r="AI200" s="1207"/>
      <c r="AJ200" s="1192">
        <f t="shared" si="494"/>
        <v>0</v>
      </c>
      <c r="AK200" s="1206"/>
      <c r="AL200" s="1207"/>
      <c r="AM200" s="1192">
        <f t="shared" si="495"/>
        <v>0</v>
      </c>
      <c r="AN200" s="1206"/>
      <c r="AO200" s="1207"/>
      <c r="AP200" s="1192">
        <f t="shared" si="496"/>
        <v>0</v>
      </c>
      <c r="AQ200" s="1206"/>
      <c r="AR200" s="1207"/>
      <c r="AS200" s="1192">
        <f t="shared" si="497"/>
        <v>0</v>
      </c>
      <c r="AT200" s="1206"/>
      <c r="AU200" s="1207"/>
      <c r="AV200" s="1192">
        <f t="shared" si="498"/>
        <v>0</v>
      </c>
      <c r="AW200" s="1208">
        <v>0</v>
      </c>
      <c r="AX200" s="1207"/>
      <c r="AY200" s="1209">
        <f t="shared" si="499"/>
        <v>0</v>
      </c>
      <c r="AZ200" s="1208">
        <v>0</v>
      </c>
      <c r="BA200" s="1207">
        <f>IF(Assumptions!BA166&lt;&gt;"0",Assumptions!BA166,0)</f>
        <v>0</v>
      </c>
      <c r="BB200" s="1192">
        <f t="shared" si="500"/>
        <v>0</v>
      </c>
      <c r="BC200" s="1206">
        <f>IF(Assumptions!BC166&lt;&gt;"0",Assumptions!BC166,0)</f>
        <v>0</v>
      </c>
      <c r="BD200" s="1207"/>
      <c r="BE200" s="1192">
        <f t="shared" si="501"/>
        <v>0</v>
      </c>
      <c r="BF200" s="1206">
        <f>IF(Assumptions!BF166&lt;&gt;"0",Assumptions!BF166,0)</f>
        <v>0</v>
      </c>
      <c r="BG200" s="1207">
        <f>IF(Assumptions!BG166&lt;&gt;"0",Assumptions!BG166,0)</f>
        <v>0</v>
      </c>
      <c r="BH200" s="1192">
        <f t="shared" si="502"/>
        <v>0</v>
      </c>
      <c r="BI200" s="1206">
        <f>IF(Assumptions!BI166&lt;&gt;"0",Assumptions!BI166,0)</f>
        <v>0</v>
      </c>
      <c r="BJ200" s="1207">
        <f>IF(Assumptions!BJ166&lt;&gt;"0",Assumptions!BJ166,0)</f>
        <v>0</v>
      </c>
      <c r="BK200" s="1192">
        <f t="shared" si="532"/>
        <v>0</v>
      </c>
      <c r="BL200" s="1206">
        <f>IF(Assumptions!BL166&lt;&gt;"0",Assumptions!BL166,0)</f>
        <v>0</v>
      </c>
      <c r="BM200" s="1207">
        <f>IF(Assumptions!BM166&lt;&gt;"0",Assumptions!BM166,0)</f>
        <v>0</v>
      </c>
      <c r="BN200" s="1192">
        <f t="shared" si="533"/>
        <v>0</v>
      </c>
      <c r="BO200" s="1210">
        <f>IF(Assumptions!BO166&lt;&gt;"0",Assumptions!BO166,0)</f>
        <v>0</v>
      </c>
      <c r="BP200" s="1207">
        <f>IF(Assumptions!BP166&lt;&gt;"0",Assumptions!BP166,0)</f>
        <v>0</v>
      </c>
      <c r="BQ200" s="1192">
        <f t="shared" si="503"/>
        <v>0</v>
      </c>
      <c r="BR200" s="1210">
        <f>IF(Assumptions!BR166&lt;&gt;"0",Assumptions!BR166,0)</f>
        <v>0</v>
      </c>
      <c r="BS200" s="1207">
        <f>IF(Assumptions!BS166&lt;&gt;"0",Assumptions!BS166,0)</f>
        <v>0</v>
      </c>
      <c r="BT200" s="1192">
        <f t="shared" si="504"/>
        <v>0</v>
      </c>
      <c r="BU200" s="1210">
        <f>IF(Assumptions!BU166&lt;&gt;"0",Assumptions!BU166,0)</f>
        <v>0</v>
      </c>
      <c r="BV200" s="1207">
        <f>IF(Assumptions!BV166&lt;&gt;"",Assumptions!BV166,0)</f>
        <v>0</v>
      </c>
      <c r="BW200" s="1192">
        <f t="shared" si="505"/>
        <v>0</v>
      </c>
      <c r="BX200" s="1210">
        <f>IF(Assumptions!BX166&lt;&gt;"",Assumptions!BX166,0)</f>
        <v>0</v>
      </c>
      <c r="BY200" s="1207">
        <f>IF(Assumptions!BY166&lt;&gt;"",Assumptions!BY166,0)</f>
        <v>0</v>
      </c>
      <c r="BZ200" s="1192">
        <f t="shared" si="506"/>
        <v>0</v>
      </c>
      <c r="CA200" s="1210">
        <f>IF(Assumptions!CA166&lt;&gt;"",Assumptions!CA166,0)</f>
        <v>0</v>
      </c>
      <c r="CB200" s="1207">
        <f>IF(Assumptions!CB166&lt;&gt;"",Assumptions!CB166,0)</f>
        <v>0</v>
      </c>
      <c r="CC200" s="1192">
        <f t="shared" si="507"/>
        <v>0</v>
      </c>
      <c r="CD200" s="1210">
        <f>IF(Assumptions!CD166&lt;&gt;"",Assumptions!CD166,0)</f>
        <v>0</v>
      </c>
      <c r="CE200" s="1207">
        <f>IF(Assumptions!CE166&lt;&gt;"",Assumptions!CE166,0)</f>
        <v>0</v>
      </c>
      <c r="CF200" s="1192">
        <f t="shared" si="508"/>
        <v>0</v>
      </c>
      <c r="CG200" s="1210">
        <f>IF(Assumptions!CG166&lt;&gt;"",Assumptions!CG166,0)</f>
        <v>0</v>
      </c>
      <c r="CH200" s="1207">
        <f>IF(Assumptions!CH166&lt;&gt;"",Assumptions!CH166,0)</f>
        <v>0</v>
      </c>
      <c r="CI200" s="1192">
        <f t="shared" si="509"/>
        <v>0</v>
      </c>
      <c r="CJ200" s="1210">
        <f>IF(Assumptions!CJ166&lt;&gt;"",Assumptions!CJ166,0)</f>
        <v>0</v>
      </c>
      <c r="CK200" s="1207">
        <f>IF(Assumptions!CK166&lt;&gt;"",Assumptions!CK166,0)</f>
        <v>0</v>
      </c>
      <c r="CL200" s="1192">
        <f t="shared" si="510"/>
        <v>0</v>
      </c>
      <c r="CM200" s="1210">
        <f>IF(Assumptions!CM166&lt;&gt;"",Assumptions!CM166,0)</f>
        <v>0</v>
      </c>
      <c r="CN200" s="1207">
        <f>IF(Assumptions!CN166&lt;&gt;"",Assumptions!CN166,0)</f>
        <v>0</v>
      </c>
      <c r="CO200" s="1192">
        <f t="shared" si="511"/>
        <v>0</v>
      </c>
      <c r="CP200" s="1210">
        <f>IF(Assumptions!CP166&lt;&gt;"",Assumptions!CP166,0)</f>
        <v>0</v>
      </c>
      <c r="CQ200" s="1207">
        <f>IF(Assumptions!CQ166&lt;&gt;"",Assumptions!CQ166,0)</f>
        <v>0</v>
      </c>
      <c r="CR200" s="1192">
        <f t="shared" si="512"/>
        <v>0</v>
      </c>
      <c r="CS200" s="1210">
        <f>IF(Assumptions!CS166&lt;&gt;"",Assumptions!CS166,0)</f>
        <v>0</v>
      </c>
      <c r="CT200" s="1207">
        <f>IF(Assumptions!CT166&lt;&gt;"",Assumptions!CT166,0)</f>
        <v>0</v>
      </c>
      <c r="CU200" s="1192">
        <f t="shared" si="513"/>
        <v>0</v>
      </c>
      <c r="CV200" s="1210">
        <f>IF(Assumptions!CV166&lt;&gt;"",Assumptions!CV166,0)</f>
        <v>0</v>
      </c>
      <c r="CW200" s="1207">
        <f>IF(Assumptions!CW166&lt;&gt;"",Assumptions!CW166,0)</f>
        <v>0</v>
      </c>
      <c r="CX200" s="1192">
        <f t="shared" si="514"/>
        <v>0</v>
      </c>
      <c r="CY200" s="1210">
        <f>IF(Assumptions!CY166&lt;&gt;"",Assumptions!CY166,0)</f>
        <v>0</v>
      </c>
      <c r="CZ200" s="1207">
        <f>IF(Assumptions!CZ166&lt;&gt;"",Assumptions!CZ166,0)</f>
        <v>0</v>
      </c>
      <c r="DA200" s="1192">
        <f t="shared" si="515"/>
        <v>0</v>
      </c>
      <c r="DB200" s="1210">
        <f>IF(Assumptions!DB166&lt;&gt;"",Assumptions!DB166,0)</f>
        <v>0</v>
      </c>
      <c r="DC200" s="1207">
        <f>IF(Assumptions!DC166&lt;&gt;"",Assumptions!DC166,0)</f>
        <v>0</v>
      </c>
      <c r="DD200" s="1192">
        <f t="shared" si="516"/>
        <v>0</v>
      </c>
      <c r="DE200" s="1211">
        <f>IF(Assumptions!DE166&lt;&gt;"",Assumptions!DE166,0)</f>
        <v>0</v>
      </c>
      <c r="DF200" s="1207">
        <f>IF(Assumptions!DF166&lt;&gt;"",Assumptions!DF166,0)</f>
        <v>0</v>
      </c>
      <c r="DG200" s="1192">
        <f t="shared" si="517"/>
        <v>0</v>
      </c>
      <c r="DH200" s="1211">
        <f>IF(Assumptions!DH166&lt;&gt;"",Assumptions!DH166,0)</f>
        <v>0</v>
      </c>
      <c r="DI200" s="1207">
        <f>IF(Assumptions!DI166&lt;&gt;"",Assumptions!DI166,0)</f>
        <v>0</v>
      </c>
      <c r="DJ200" s="1192">
        <f t="shared" si="518"/>
        <v>0</v>
      </c>
      <c r="DK200" s="1211">
        <f>IF(Assumptions!DK166&lt;&gt;"",Assumptions!DK166,0)</f>
        <v>0</v>
      </c>
      <c r="DL200" s="32">
        <f>IF(Assumptions!DL166&lt;&gt;"",Assumptions!DL166,0)</f>
        <v>0</v>
      </c>
      <c r="DM200" s="32">
        <f t="shared" si="519"/>
        <v>0</v>
      </c>
      <c r="DN200" s="1223">
        <f>IF(Assumptions!DN166&lt;&gt;"",Assumptions!DN166,0)</f>
        <v>0</v>
      </c>
      <c r="DO200" s="32">
        <f>IF(Assumptions!DO166&lt;&gt;"",Assumptions!DO166,0)</f>
        <v>0</v>
      </c>
      <c r="DP200" s="32">
        <f t="shared" si="520"/>
        <v>0</v>
      </c>
      <c r="DQ200" s="1223">
        <f>IF(Assumptions!DQ166&lt;&gt;"",Assumptions!DQ166,0)</f>
        <v>0</v>
      </c>
      <c r="DR200" s="32">
        <f>IF(Assumptions!DR166&lt;&gt;"",Assumptions!DR166,0)</f>
        <v>0</v>
      </c>
      <c r="DS200" s="32">
        <f t="shared" si="521"/>
        <v>0</v>
      </c>
      <c r="DT200" s="1223">
        <f>IF(Assumptions!DT166&lt;&gt;"",Assumptions!DT166,0)</f>
        <v>0</v>
      </c>
      <c r="DU200" s="32">
        <f>IF(Assumptions!DU166&lt;&gt;"",Assumptions!DU166,0)</f>
        <v>0</v>
      </c>
      <c r="DV200" s="32">
        <f t="shared" si="522"/>
        <v>0</v>
      </c>
      <c r="DW200" s="1223">
        <f>IF(Assumptions!DW166&lt;&gt;"",Assumptions!DW166,0)</f>
        <v>0</v>
      </c>
      <c r="DX200" s="32">
        <f>IF(Assumptions!DX166&lt;&gt;"",Assumptions!DX166,0)</f>
        <v>0</v>
      </c>
      <c r="DY200" s="32">
        <f t="shared" si="535"/>
        <v>0</v>
      </c>
      <c r="DZ200" s="1223">
        <f>IF(Assumptions!DZ166&lt;&gt;"",Assumptions!DZ166,0)</f>
        <v>0</v>
      </c>
      <c r="EA200" s="32">
        <f>IF(Assumptions!EA166&lt;&gt;"",Assumptions!EA166,0)</f>
        <v>0</v>
      </c>
      <c r="EB200" s="32">
        <f t="shared" si="523"/>
        <v>0</v>
      </c>
      <c r="EC200" s="1223">
        <f>IF(Assumptions!EC166&lt;&gt;"",Assumptions!EC166,0)</f>
        <v>0</v>
      </c>
      <c r="ED200" s="32">
        <f>IF(Assumptions!ED166&lt;&gt;"",Assumptions!ED166,0)</f>
        <v>0</v>
      </c>
      <c r="EE200" s="32">
        <f t="shared" si="524"/>
        <v>0</v>
      </c>
      <c r="EF200" s="1223">
        <f>IF(Assumptions!EF166&lt;&gt;"",Assumptions!EF166,0)</f>
        <v>0</v>
      </c>
      <c r="EG200" s="32">
        <f>IF(Assumptions!EG166&lt;&gt;"",Assumptions!EG166,0)</f>
        <v>0</v>
      </c>
      <c r="EH200" s="32">
        <f t="shared" si="525"/>
        <v>0</v>
      </c>
      <c r="EI200" s="1223">
        <f>IF(Assumptions!EI166&lt;&gt;"",Assumptions!EI166,0)</f>
        <v>0</v>
      </c>
      <c r="EJ200" s="32">
        <f>IF(Assumptions!EJ166&lt;&gt;"",Assumptions!EJ166,0)</f>
        <v>0</v>
      </c>
      <c r="EK200" s="32">
        <f t="shared" si="526"/>
        <v>0</v>
      </c>
      <c r="EL200" s="1223">
        <f>IF(Assumptions!EL166&lt;&gt;"",Assumptions!EL166,0)</f>
        <v>0</v>
      </c>
      <c r="EM200" s="32">
        <f>IF(Assumptions!EM166&lt;&gt;"",Assumptions!EM166,0)</f>
        <v>0</v>
      </c>
      <c r="EN200" s="32">
        <f t="shared" si="527"/>
        <v>0</v>
      </c>
      <c r="EO200" s="1223">
        <f>IF(Assumptions!EO166&lt;&gt;"",Assumptions!EO166,0)</f>
        <v>0</v>
      </c>
      <c r="EP200" s="32">
        <f>IF(Assumptions!EP166&lt;&gt;"",Assumptions!EP166,0)</f>
        <v>0</v>
      </c>
      <c r="EQ200" s="32">
        <f t="shared" si="528"/>
        <v>0</v>
      </c>
      <c r="ER200" s="1223">
        <f>IF(Assumptions!ER166&lt;&gt;"",Assumptions!ER166,0)</f>
        <v>0</v>
      </c>
      <c r="ES200" s="32">
        <f>IF(Assumptions!ES166&lt;&gt;"",Assumptions!ES166,0)</f>
        <v>0</v>
      </c>
      <c r="ET200" s="32">
        <f t="shared" si="529"/>
        <v>0</v>
      </c>
      <c r="EU200" s="1223">
        <f>IF(Assumptions!EU166&lt;&gt;"",Assumptions!EU166,0)</f>
        <v>0</v>
      </c>
      <c r="EV200" s="32">
        <f>IF(Assumptions!EV166&lt;&gt;"",Assumptions!EV166,0)</f>
        <v>0</v>
      </c>
      <c r="EW200" s="32">
        <f t="shared" si="530"/>
        <v>0</v>
      </c>
      <c r="EX200" s="1223">
        <f>IF(Assumptions!EX166&lt;&gt;"",Assumptions!EX166,0)</f>
        <v>0</v>
      </c>
      <c r="EY200" s="32">
        <f>IF(Assumptions!EY166&lt;&gt;"",Assumptions!EY166,0)</f>
        <v>0</v>
      </c>
      <c r="EZ200" s="32">
        <f t="shared" ref="EZ200:EZ208" si="540">+FA200-EY200</f>
        <v>0</v>
      </c>
      <c r="FA200" s="1223">
        <f>IF(Assumptions!FA166&lt;&gt;"",Assumptions!FA166,0)</f>
        <v>0</v>
      </c>
      <c r="FD200"/>
      <c r="FE200"/>
      <c r="FF200"/>
      <c r="FG200"/>
      <c r="FH200"/>
      <c r="FI200"/>
    </row>
    <row r="201" spans="2:169" s="33" customFormat="1" ht="13.5" outlineLevel="1" thickBot="1">
      <c r="B201" s="54" t="s">
        <v>606</v>
      </c>
      <c r="C201" s="54"/>
      <c r="D201" s="2" t="s">
        <v>506</v>
      </c>
      <c r="E201" s="1205"/>
      <c r="F201" s="32">
        <f t="shared" si="484"/>
        <v>0</v>
      </c>
      <c r="G201" s="1206"/>
      <c r="H201" s="1207"/>
      <c r="I201" s="32">
        <f t="shared" si="485"/>
        <v>0</v>
      </c>
      <c r="J201" s="1206"/>
      <c r="K201" s="1207"/>
      <c r="L201" s="32">
        <f t="shared" si="486"/>
        <v>0</v>
      </c>
      <c r="M201" s="1206"/>
      <c r="N201" s="1207"/>
      <c r="O201" s="32">
        <f t="shared" si="487"/>
        <v>0</v>
      </c>
      <c r="P201" s="1206"/>
      <c r="Q201" s="1207"/>
      <c r="R201" s="32">
        <f t="shared" si="488"/>
        <v>0</v>
      </c>
      <c r="S201" s="1206"/>
      <c r="T201" s="1207"/>
      <c r="U201" s="32">
        <f t="shared" si="489"/>
        <v>0</v>
      </c>
      <c r="V201" s="1206"/>
      <c r="W201" s="1207"/>
      <c r="X201" s="32">
        <f t="shared" si="490"/>
        <v>0</v>
      </c>
      <c r="Y201" s="1206"/>
      <c r="Z201" s="1207"/>
      <c r="AA201" s="32">
        <f t="shared" si="491"/>
        <v>0</v>
      </c>
      <c r="AB201" s="1206"/>
      <c r="AC201" s="1207"/>
      <c r="AD201" s="32">
        <f t="shared" si="492"/>
        <v>0</v>
      </c>
      <c r="AE201" s="1206"/>
      <c r="AF201" s="1207"/>
      <c r="AG201" s="32">
        <f t="shared" si="493"/>
        <v>0</v>
      </c>
      <c r="AH201" s="1206"/>
      <c r="AI201" s="1207"/>
      <c r="AJ201" s="32">
        <f t="shared" si="494"/>
        <v>0</v>
      </c>
      <c r="AK201" s="1208">
        <v>0</v>
      </c>
      <c r="AL201" s="1207"/>
      <c r="AM201" s="32">
        <f t="shared" si="495"/>
        <v>0</v>
      </c>
      <c r="AN201" s="1208">
        <v>0</v>
      </c>
      <c r="AO201" s="1207"/>
      <c r="AP201" s="32">
        <f t="shared" si="496"/>
        <v>0</v>
      </c>
      <c r="AQ201" s="1208">
        <v>0</v>
      </c>
      <c r="AR201" s="1207"/>
      <c r="AS201" s="32">
        <f t="shared" si="497"/>
        <v>0</v>
      </c>
      <c r="AT201" s="1208">
        <v>0</v>
      </c>
      <c r="AU201" s="1207"/>
      <c r="AV201" s="32">
        <f t="shared" si="498"/>
        <v>0</v>
      </c>
      <c r="AW201" s="1208">
        <v>0</v>
      </c>
      <c r="AX201" s="1207"/>
      <c r="AY201" s="32">
        <f t="shared" si="499"/>
        <v>0</v>
      </c>
      <c r="AZ201" s="1208">
        <v>0</v>
      </c>
      <c r="BA201" s="1207">
        <f>IF(Assumptions!BA167&lt;&gt;"0",Assumptions!BA167,0)</f>
        <v>0</v>
      </c>
      <c r="BB201" s="32">
        <f t="shared" si="500"/>
        <v>0</v>
      </c>
      <c r="BC201" s="1206">
        <f>IF(Assumptions!BC167&lt;&gt;"0",Assumptions!BC167,0)</f>
        <v>0</v>
      </c>
      <c r="BD201" s="1207">
        <f>Assumptions!BD167</f>
        <v>0</v>
      </c>
      <c r="BE201" s="32">
        <f t="shared" si="501"/>
        <v>0</v>
      </c>
      <c r="BF201" s="1206">
        <f>IF(Assumptions!BF167&lt;&gt;"0",Assumptions!BF167,0)</f>
        <v>0</v>
      </c>
      <c r="BG201" s="1212">
        <v>-37.036999999999999</v>
      </c>
      <c r="BH201" s="32">
        <f t="shared" si="502"/>
        <v>-37.109000000000002</v>
      </c>
      <c r="BI201" s="1206">
        <f>-37.789-36.357</f>
        <v>-74.146000000000001</v>
      </c>
      <c r="BJ201" s="1207">
        <f>-8.123</f>
        <v>-8.1229999999999993</v>
      </c>
      <c r="BK201" s="32">
        <f t="shared" si="532"/>
        <v>0</v>
      </c>
      <c r="BL201" s="1208">
        <v>-8.1229999999999993</v>
      </c>
      <c r="BM201" s="1212">
        <v>-9.2370000000000001</v>
      </c>
      <c r="BN201" s="32">
        <f t="shared" si="533"/>
        <v>0.23600000000000065</v>
      </c>
      <c r="BO201" s="1213">
        <v>-9.0009999999999994</v>
      </c>
      <c r="BP201" s="1207">
        <f>IF(Assumptions!BP167&lt;&gt;"0",Assumptions!BP167,0)</f>
        <v>0</v>
      </c>
      <c r="BQ201" s="32">
        <f t="shared" si="503"/>
        <v>-8.548</v>
      </c>
      <c r="BR201" s="1213">
        <v>-8.548</v>
      </c>
      <c r="BS201" s="1207">
        <f>IF(Assumptions!BS167&lt;&gt;"0",Assumptions!BS167,0)</f>
        <v>0</v>
      </c>
      <c r="BT201" s="32">
        <f t="shared" si="504"/>
        <v>-79.305999999999997</v>
      </c>
      <c r="BU201" s="1210">
        <f>-79.306</f>
        <v>-79.305999999999997</v>
      </c>
      <c r="BV201" s="1207">
        <f>IF(Assumptions!BV167&lt;&gt;"",Assumptions!BV167,0)</f>
        <v>0</v>
      </c>
      <c r="BW201" s="32">
        <f t="shared" si="505"/>
        <v>-26.577999999999999</v>
      </c>
      <c r="BX201" s="1213">
        <v>-26.577999999999999</v>
      </c>
      <c r="BY201" s="1212">
        <v>-46.573999999999998</v>
      </c>
      <c r="BZ201" s="32">
        <f t="shared" si="506"/>
        <v>14.281999999999996</v>
      </c>
      <c r="CA201" s="1213">
        <v>-32.292000000000002</v>
      </c>
      <c r="CB201" s="1207">
        <f>-28.769</f>
        <v>-28.768999999999998</v>
      </c>
      <c r="CC201" s="32">
        <f t="shared" si="507"/>
        <v>-23.157000000000004</v>
      </c>
      <c r="CD201" s="1213">
        <v>-51.926000000000002</v>
      </c>
      <c r="CE201" s="1212">
        <v>-4.08</v>
      </c>
      <c r="CF201" s="32">
        <f t="shared" si="508"/>
        <v>-9.6579999999999995</v>
      </c>
      <c r="CG201" s="1213">
        <v>-13.738</v>
      </c>
      <c r="CH201" s="1212">
        <v>-5.4</v>
      </c>
      <c r="CI201" s="32">
        <f t="shared" si="509"/>
        <v>-8.7999999999999989</v>
      </c>
      <c r="CJ201" s="1213">
        <v>-14.2</v>
      </c>
      <c r="CK201" s="1207">
        <f>-5.2</f>
        <v>-5.2</v>
      </c>
      <c r="CL201" s="32">
        <f t="shared" si="510"/>
        <v>-11.7</v>
      </c>
      <c r="CM201" s="1213">
        <v>-16.899999999999999</v>
      </c>
      <c r="CN201" s="1207">
        <f>IF(Assumptions!CN167&lt;&gt;"",Assumptions!CN167,0)</f>
        <v>0</v>
      </c>
      <c r="CO201" s="32">
        <f t="shared" si="511"/>
        <v>-48</v>
      </c>
      <c r="CP201" s="1213">
        <v>-48</v>
      </c>
      <c r="CQ201" s="1207">
        <f>IF(Assumptions!CQ167&lt;&gt;"",Assumptions!CQ167,0)</f>
        <v>0</v>
      </c>
      <c r="CR201" s="32">
        <f t="shared" si="512"/>
        <v>-66</v>
      </c>
      <c r="CS201" s="1210">
        <f>+-66</f>
        <v>-66</v>
      </c>
      <c r="CT201" s="1207">
        <f>IF(Assumptions!CT167&lt;&gt;"",Assumptions!CT167,0)</f>
        <v>0</v>
      </c>
      <c r="CU201" s="32">
        <f t="shared" si="513"/>
        <v>-70.599999999999994</v>
      </c>
      <c r="CV201" s="1210">
        <f>+-70.6</f>
        <v>-70.599999999999994</v>
      </c>
      <c r="CW201" s="1212">
        <v>-57.4</v>
      </c>
      <c r="CX201" s="32">
        <f t="shared" si="514"/>
        <v>57.4</v>
      </c>
      <c r="CY201" s="1210">
        <f>IF(Assumptions!CY167&lt;&gt;"",Assumptions!CY167,0)</f>
        <v>0</v>
      </c>
      <c r="CZ201" s="1207">
        <f>IF(Assumptions!CZ167&lt;&gt;"",Assumptions!CZ167,0)</f>
        <v>0</v>
      </c>
      <c r="DA201" s="32">
        <f t="shared" si="515"/>
        <v>0</v>
      </c>
      <c r="DB201" s="1210">
        <f>IF(Assumptions!DB167&lt;&gt;"",Assumptions!DB167,0)</f>
        <v>0</v>
      </c>
      <c r="DC201" s="1207">
        <f>IF(Assumptions!DC167&lt;&gt;"",Assumptions!DC167,0)</f>
        <v>0</v>
      </c>
      <c r="DD201" s="32">
        <f t="shared" si="516"/>
        <v>0</v>
      </c>
      <c r="DE201" s="1211">
        <f>IF(Assumptions!DE167&lt;&gt;"",Assumptions!DE167,0)</f>
        <v>0</v>
      </c>
      <c r="DF201" s="1207">
        <f>IF(Assumptions!DF167&lt;&gt;"",Assumptions!DF167,0)</f>
        <v>0</v>
      </c>
      <c r="DG201" s="32">
        <f t="shared" si="517"/>
        <v>0</v>
      </c>
      <c r="DH201" s="1211">
        <f>IF(Assumptions!DH167&lt;&gt;"",Assumptions!DH167,0)</f>
        <v>0</v>
      </c>
      <c r="DI201" s="1207">
        <f>IF(Assumptions!DI167&lt;&gt;"",Assumptions!DI167,0)</f>
        <v>0</v>
      </c>
      <c r="DJ201" s="32">
        <f t="shared" si="518"/>
        <v>0</v>
      </c>
      <c r="DK201" s="1211">
        <f>IF(Assumptions!DK167&lt;&gt;"",Assumptions!DK167,0)</f>
        <v>0</v>
      </c>
      <c r="DL201" s="32">
        <f>IF(Assumptions!DL167&lt;&gt;"",Assumptions!DL167,0)</f>
        <v>0</v>
      </c>
      <c r="DM201" s="32">
        <f t="shared" si="519"/>
        <v>0</v>
      </c>
      <c r="DN201" s="1223">
        <f>IF(Assumptions!DN167&lt;&gt;"",Assumptions!DN167,0)</f>
        <v>0</v>
      </c>
      <c r="DO201" s="32">
        <v>0</v>
      </c>
      <c r="DP201" s="32">
        <f t="shared" si="520"/>
        <v>0</v>
      </c>
      <c r="DQ201" s="1223">
        <v>0</v>
      </c>
      <c r="DR201" s="32">
        <f>IF(Assumptions!DR167&lt;&gt;"",Assumptions!DR167,0)</f>
        <v>0</v>
      </c>
      <c r="DS201" s="32">
        <f t="shared" si="521"/>
        <v>0</v>
      </c>
      <c r="DT201" s="1223">
        <f>IF(Assumptions!DT167&lt;&gt;"",Assumptions!DT167,0)</f>
        <v>0</v>
      </c>
      <c r="DU201" s="32">
        <f>IF(Assumptions!DU167&lt;&gt;"",Assumptions!DU167,0)</f>
        <v>0</v>
      </c>
      <c r="DV201" s="32">
        <f t="shared" si="522"/>
        <v>0</v>
      </c>
      <c r="DW201" s="1223">
        <f>IF(Assumptions!DW167&lt;&gt;"",Assumptions!DW167,0)</f>
        <v>0</v>
      </c>
      <c r="DX201" s="32">
        <f>IF(Assumptions!DX167&lt;&gt;"",Assumptions!DX167,0)</f>
        <v>0</v>
      </c>
      <c r="DY201" s="32">
        <f t="shared" si="535"/>
        <v>0</v>
      </c>
      <c r="DZ201" s="1223">
        <f>IF(Assumptions!DZ167&lt;&gt;"",Assumptions!DZ167,0)</f>
        <v>0</v>
      </c>
      <c r="EA201" s="32">
        <f>IF(Assumptions!EA167&lt;&gt;"",Assumptions!EA167,0)</f>
        <v>0</v>
      </c>
      <c r="EB201" s="32">
        <f t="shared" si="523"/>
        <v>0</v>
      </c>
      <c r="EC201" s="1223">
        <f>IF(Assumptions!EC167&lt;&gt;"",Assumptions!EC167,0)</f>
        <v>0</v>
      </c>
      <c r="ED201" s="32">
        <f>IF(Assumptions!ED167&lt;&gt;"",Assumptions!ED167,0)</f>
        <v>0</v>
      </c>
      <c r="EE201" s="32">
        <f t="shared" si="524"/>
        <v>0</v>
      </c>
      <c r="EF201" s="1223">
        <f>IF(Assumptions!EF167&lt;&gt;"",Assumptions!EF167,0)</f>
        <v>0</v>
      </c>
      <c r="EG201" s="32">
        <f>IF(Assumptions!EG167&lt;&gt;"",Assumptions!EG167,0)</f>
        <v>0</v>
      </c>
      <c r="EH201" s="32">
        <f t="shared" si="525"/>
        <v>0</v>
      </c>
      <c r="EI201" s="1223">
        <f>IF(Assumptions!EI167&lt;&gt;"",Assumptions!EI167,0)</f>
        <v>0</v>
      </c>
      <c r="EJ201" s="32">
        <f>IF(Assumptions!EJ167&lt;&gt;"",Assumptions!EJ167,0)</f>
        <v>0</v>
      </c>
      <c r="EK201" s="32">
        <f t="shared" si="526"/>
        <v>0</v>
      </c>
      <c r="EL201" s="1223">
        <f>IF(Assumptions!EL167&lt;&gt;"",Assumptions!EL167,0)</f>
        <v>0</v>
      </c>
      <c r="EM201" s="32">
        <f>IF(Assumptions!EM167&lt;&gt;"",Assumptions!EM167,0)</f>
        <v>0</v>
      </c>
      <c r="EN201" s="32">
        <f t="shared" si="527"/>
        <v>0</v>
      </c>
      <c r="EO201" s="1223">
        <f>IF(Assumptions!EO167&lt;&gt;"",Assumptions!EO167,0)</f>
        <v>0</v>
      </c>
      <c r="EP201" s="32">
        <f>IF(Assumptions!EP167&lt;&gt;"",Assumptions!EP167,0)</f>
        <v>0</v>
      </c>
      <c r="EQ201" s="32">
        <f t="shared" si="528"/>
        <v>0</v>
      </c>
      <c r="ER201" s="1223">
        <f>IF(Assumptions!ER167&lt;&gt;"",Assumptions!ER167,0)</f>
        <v>0</v>
      </c>
      <c r="ES201" s="32">
        <f>IF(Assumptions!ES167&lt;&gt;"",Assumptions!ES167,0)</f>
        <v>0</v>
      </c>
      <c r="ET201" s="32">
        <f t="shared" si="529"/>
        <v>0</v>
      </c>
      <c r="EU201" s="1223">
        <f>IF(Assumptions!EU167&lt;&gt;"",Assumptions!EU167,0)</f>
        <v>0</v>
      </c>
      <c r="EV201" s="32">
        <f>IF(Assumptions!EV167&lt;&gt;"",Assumptions!EV167,0)</f>
        <v>0</v>
      </c>
      <c r="EW201" s="32">
        <f t="shared" si="530"/>
        <v>0</v>
      </c>
      <c r="EX201" s="1223">
        <f>IF(Assumptions!EX167&lt;&gt;"",Assumptions!EX167,0)</f>
        <v>0</v>
      </c>
      <c r="EY201" s="32">
        <f>IF(Assumptions!EY167&lt;&gt;"",Assumptions!EY167,0)</f>
        <v>0</v>
      </c>
      <c r="EZ201" s="32">
        <f t="shared" si="540"/>
        <v>0</v>
      </c>
      <c r="FA201" s="1223">
        <f>IF(Assumptions!FA167&lt;&gt;"",Assumptions!FA167,0)</f>
        <v>0</v>
      </c>
      <c r="FD201"/>
      <c r="FE201"/>
      <c r="FF201"/>
      <c r="FG201"/>
      <c r="FH201"/>
      <c r="FI201"/>
    </row>
    <row r="202" spans="2:169" s="33" customFormat="1">
      <c r="B202" s="54" t="s">
        <v>607</v>
      </c>
      <c r="C202" s="54"/>
      <c r="D202" s="2" t="s">
        <v>506</v>
      </c>
      <c r="E202" s="1183"/>
      <c r="F202" s="32">
        <f t="shared" si="484"/>
        <v>0</v>
      </c>
      <c r="G202" s="1184"/>
      <c r="H202" s="1185"/>
      <c r="I202" s="32">
        <f t="shared" si="485"/>
        <v>0</v>
      </c>
      <c r="J202" s="1184"/>
      <c r="K202" s="1185"/>
      <c r="L202" s="32">
        <f t="shared" si="486"/>
        <v>0</v>
      </c>
      <c r="M202" s="1184"/>
      <c r="N202" s="1185"/>
      <c r="O202" s="32">
        <f t="shared" si="487"/>
        <v>0</v>
      </c>
      <c r="P202" s="1184"/>
      <c r="Q202" s="1185"/>
      <c r="R202" s="32">
        <f t="shared" si="488"/>
        <v>0</v>
      </c>
      <c r="S202" s="1184"/>
      <c r="T202" s="1185"/>
      <c r="U202" s="32">
        <f t="shared" si="489"/>
        <v>0</v>
      </c>
      <c r="V202" s="1184"/>
      <c r="W202" s="1185"/>
      <c r="X202" s="32">
        <f t="shared" si="490"/>
        <v>0</v>
      </c>
      <c r="Y202" s="1184"/>
      <c r="Z202" s="1185"/>
      <c r="AA202" s="32">
        <f t="shared" si="491"/>
        <v>0</v>
      </c>
      <c r="AB202" s="1184"/>
      <c r="AC202" s="1185"/>
      <c r="AD202" s="32">
        <f t="shared" si="492"/>
        <v>0</v>
      </c>
      <c r="AE202" s="1184"/>
      <c r="AF202" s="1185"/>
      <c r="AG202" s="32">
        <f t="shared" si="493"/>
        <v>0</v>
      </c>
      <c r="AH202" s="1184"/>
      <c r="AI202" s="1185"/>
      <c r="AJ202" s="32">
        <f t="shared" si="494"/>
        <v>0</v>
      </c>
      <c r="AK202" s="1184"/>
      <c r="AL202" s="1185"/>
      <c r="AM202" s="32">
        <f t="shared" si="495"/>
        <v>0</v>
      </c>
      <c r="AN202" s="1184"/>
      <c r="AO202" s="1185"/>
      <c r="AP202" s="32">
        <f t="shared" si="496"/>
        <v>0</v>
      </c>
      <c r="AQ202" s="1184"/>
      <c r="AR202" s="1185"/>
      <c r="AS202" s="32">
        <f t="shared" si="497"/>
        <v>0</v>
      </c>
      <c r="AT202" s="1193">
        <v>0</v>
      </c>
      <c r="AU202" s="1185"/>
      <c r="AV202" s="32">
        <f t="shared" si="498"/>
        <v>0</v>
      </c>
      <c r="AW202" s="1193">
        <v>0</v>
      </c>
      <c r="AX202" s="1185"/>
      <c r="AY202" s="32">
        <f t="shared" si="499"/>
        <v>0</v>
      </c>
      <c r="AZ202" s="1193">
        <v>0</v>
      </c>
      <c r="BA202" s="1185">
        <f>IF(Assumptions!BA168&lt;&gt;"0",Assumptions!BA168,0)</f>
        <v>0</v>
      </c>
      <c r="BB202" s="32">
        <f t="shared" si="500"/>
        <v>0</v>
      </c>
      <c r="BC202" s="1184">
        <f>IF(Assumptions!BC168&lt;&gt;"0",Assumptions!BC168,0)</f>
        <v>0</v>
      </c>
      <c r="BD202" s="1185"/>
      <c r="BE202" s="32">
        <f t="shared" si="501"/>
        <v>0</v>
      </c>
      <c r="BF202" s="1184">
        <f>IF(Assumptions!BF168&lt;&gt;"0",Assumptions!BF168,0)</f>
        <v>0</v>
      </c>
      <c r="BG202" s="1185">
        <f>IF(Assumptions!BG168&lt;&gt;"0",Assumptions!BG168,0)</f>
        <v>0</v>
      </c>
      <c r="BH202" s="32">
        <f t="shared" si="502"/>
        <v>0</v>
      </c>
      <c r="BI202" s="1184">
        <f>IF(Assumptions!BI168&lt;&gt;"0",Assumptions!BI168,0)</f>
        <v>0</v>
      </c>
      <c r="BJ202" s="1185">
        <f>IF(Assumptions!BJ168&lt;&gt;"0",Assumptions!BJ168,0)</f>
        <v>0</v>
      </c>
      <c r="BK202" s="32">
        <f t="shared" si="532"/>
        <v>0</v>
      </c>
      <c r="BL202" s="1184">
        <f>IF(Assumptions!BL168&lt;&gt;"0",Assumptions!BL168,0)</f>
        <v>0</v>
      </c>
      <c r="BM202" s="1198">
        <v>0</v>
      </c>
      <c r="BN202" s="32">
        <f t="shared" si="533"/>
        <v>-30.433</v>
      </c>
      <c r="BO202" s="1200">
        <f>-30.433</f>
        <v>-30.433</v>
      </c>
      <c r="BP202" s="1185">
        <f>IF(Assumptions!BP168&lt;&gt;"0",Assumptions!BP168,0)</f>
        <v>0</v>
      </c>
      <c r="BQ202" s="32">
        <f t="shared" si="503"/>
        <v>0</v>
      </c>
      <c r="BR202" s="1200">
        <f>IF(Assumptions!BR168&lt;&gt;"0",Assumptions!BR168,0)</f>
        <v>0</v>
      </c>
      <c r="BS202" s="1185">
        <f>IF(Assumptions!BS168&lt;&gt;"0",Assumptions!BS168,0)</f>
        <v>0</v>
      </c>
      <c r="BT202" s="32">
        <f t="shared" si="504"/>
        <v>0</v>
      </c>
      <c r="BU202" s="1200">
        <f>IF(Assumptions!BU168&lt;&gt;"0",Assumptions!BU168,0)</f>
        <v>0</v>
      </c>
      <c r="BV202" s="1185">
        <f>IF(Assumptions!BV168&lt;&gt;"",Assumptions!BV168,0)</f>
        <v>0</v>
      </c>
      <c r="BW202" s="32">
        <f t="shared" si="505"/>
        <v>0</v>
      </c>
      <c r="BX202" s="1200">
        <f>IF(Assumptions!BX168&lt;&gt;"",Assumptions!BX168,0)</f>
        <v>0</v>
      </c>
      <c r="BY202" s="1185">
        <f>IF(Assumptions!BY168&lt;&gt;"",Assumptions!BY168,0)</f>
        <v>0</v>
      </c>
      <c r="BZ202" s="32">
        <f t="shared" si="506"/>
        <v>0</v>
      </c>
      <c r="CA202" s="1200">
        <f>IF(Assumptions!CA168&lt;&gt;"",Assumptions!CA168,0)</f>
        <v>0</v>
      </c>
      <c r="CB202" s="1185">
        <f>IF(Assumptions!CB168&lt;&gt;"",Assumptions!CB168,0)</f>
        <v>0</v>
      </c>
      <c r="CC202" s="32">
        <f t="shared" si="507"/>
        <v>0</v>
      </c>
      <c r="CD202" s="1200">
        <f>IF(Assumptions!CD168&lt;&gt;"",Assumptions!CD168,0)</f>
        <v>0</v>
      </c>
      <c r="CE202" s="1185">
        <f>IF(Assumptions!CE168&lt;&gt;"",Assumptions!CE168,0)</f>
        <v>0</v>
      </c>
      <c r="CF202" s="32">
        <f t="shared" si="508"/>
        <v>0</v>
      </c>
      <c r="CG202" s="1200">
        <f>IF(Assumptions!CG168&lt;&gt;"",Assumptions!CG168,0)</f>
        <v>0</v>
      </c>
      <c r="CH202" s="1185">
        <f>IF(Assumptions!CH168&lt;&gt;"",Assumptions!CH168,0)</f>
        <v>0</v>
      </c>
      <c r="CI202" s="32">
        <f t="shared" si="509"/>
        <v>0</v>
      </c>
      <c r="CJ202" s="1200">
        <f>IF(Assumptions!CJ168&lt;&gt;"",Assumptions!CJ168,0)</f>
        <v>0</v>
      </c>
      <c r="CK202" s="1185">
        <f>IF(Assumptions!CK168&lt;&gt;"",Assumptions!CK168,0)</f>
        <v>0</v>
      </c>
      <c r="CL202" s="32">
        <f t="shared" si="510"/>
        <v>0</v>
      </c>
      <c r="CM202" s="1200">
        <f>IF(Assumptions!CM168&lt;&gt;"",Assumptions!CM168,0)</f>
        <v>0</v>
      </c>
      <c r="CN202" s="1185">
        <f>IF(Assumptions!CN168&lt;&gt;"",Assumptions!CN168,0)</f>
        <v>0</v>
      </c>
      <c r="CO202" s="32">
        <f t="shared" si="511"/>
        <v>0</v>
      </c>
      <c r="CP202" s="1200">
        <f>IF(Assumptions!CP168&lt;&gt;"",Assumptions!CP168,0)</f>
        <v>0</v>
      </c>
      <c r="CQ202" s="1185">
        <f>IF(Assumptions!CQ168&lt;&gt;"",Assumptions!CQ168,0)</f>
        <v>0</v>
      </c>
      <c r="CR202" s="32">
        <f t="shared" si="512"/>
        <v>0</v>
      </c>
      <c r="CS202" s="1200">
        <f>IF(Assumptions!CS168&lt;&gt;"",Assumptions!CS168,0)</f>
        <v>0</v>
      </c>
      <c r="CT202" s="1185">
        <f>IF(Assumptions!CT168&lt;&gt;"",Assumptions!CT168,0)</f>
        <v>0</v>
      </c>
      <c r="CU202" s="32">
        <f t="shared" si="513"/>
        <v>0</v>
      </c>
      <c r="CV202" s="1200">
        <f>IF(Assumptions!CV168&lt;&gt;"",Assumptions!CV168,0)</f>
        <v>0</v>
      </c>
      <c r="CW202" s="1185">
        <f>IF(Assumptions!CW168&lt;&gt;"",Assumptions!CW168,0)</f>
        <v>0</v>
      </c>
      <c r="CX202" s="32">
        <f t="shared" si="514"/>
        <v>0</v>
      </c>
      <c r="CY202" s="1200">
        <f>IF(Assumptions!CY168&lt;&gt;"",Assumptions!CY168,0)</f>
        <v>0</v>
      </c>
      <c r="CZ202" s="1185">
        <f>IF(Assumptions!CZ168&lt;&gt;"",Assumptions!CZ168,0)</f>
        <v>0</v>
      </c>
      <c r="DA202" s="32">
        <f t="shared" si="515"/>
        <v>0</v>
      </c>
      <c r="DB202" s="1200">
        <f>IF(Assumptions!DB168&lt;&gt;"",Assumptions!DB168,0)</f>
        <v>0</v>
      </c>
      <c r="DC202" s="1185">
        <f>IF(Assumptions!DC168&lt;&gt;"",Assumptions!DC168,0)</f>
        <v>0</v>
      </c>
      <c r="DD202" s="32">
        <f t="shared" si="516"/>
        <v>0</v>
      </c>
      <c r="DE202" s="1187">
        <f>IF(Assumptions!DE168&lt;&gt;"",Assumptions!DE168,0)</f>
        <v>0</v>
      </c>
      <c r="DF202" s="1185">
        <f>IF(Assumptions!DF168&lt;&gt;"",Assumptions!DF168,0)</f>
        <v>0</v>
      </c>
      <c r="DG202" s="32">
        <f t="shared" si="517"/>
        <v>0</v>
      </c>
      <c r="DH202" s="1187">
        <f>IF(Assumptions!DH168&lt;&gt;"",Assumptions!DH168,0)</f>
        <v>0</v>
      </c>
      <c r="DI202" s="1185">
        <f>IF(Assumptions!DI168&lt;&gt;"",Assumptions!DI168,0)</f>
        <v>0</v>
      </c>
      <c r="DJ202" s="32">
        <f t="shared" si="518"/>
        <v>0</v>
      </c>
      <c r="DK202" s="1187">
        <f>IF(Assumptions!DK168&lt;&gt;"",Assumptions!DK168,0)</f>
        <v>0</v>
      </c>
      <c r="DL202" s="32">
        <f>IF(Assumptions!DL168&lt;&gt;"",Assumptions!DL168,0)</f>
        <v>0</v>
      </c>
      <c r="DM202" s="32">
        <f t="shared" si="519"/>
        <v>0</v>
      </c>
      <c r="DN202" s="1223">
        <f>IF(Assumptions!DN168&lt;&gt;"",Assumptions!DN168,0)</f>
        <v>0</v>
      </c>
      <c r="DO202" s="32">
        <f>IF(Assumptions!DO168&lt;&gt;"",Assumptions!DO168,0)</f>
        <v>0</v>
      </c>
      <c r="DP202" s="32">
        <f t="shared" si="520"/>
        <v>0</v>
      </c>
      <c r="DQ202" s="1223">
        <f>IF(Assumptions!DQ168&lt;&gt;"",Assumptions!DQ168,0)</f>
        <v>0</v>
      </c>
      <c r="DR202" s="32">
        <f>IF(Assumptions!DR168&lt;&gt;"",Assumptions!DR168,0)</f>
        <v>0</v>
      </c>
      <c r="DS202" s="32">
        <f t="shared" si="521"/>
        <v>0</v>
      </c>
      <c r="DT202" s="1223">
        <f>IF(Assumptions!DT168&lt;&gt;"",Assumptions!DT168,0)</f>
        <v>0</v>
      </c>
      <c r="DU202" s="32">
        <f>IF(Assumptions!DU168&lt;&gt;"",Assumptions!DU168,0)</f>
        <v>0</v>
      </c>
      <c r="DV202" s="32">
        <f t="shared" si="522"/>
        <v>0</v>
      </c>
      <c r="DW202" s="1223">
        <f>IF(Assumptions!DW168&lt;&gt;"",Assumptions!DW168,0)</f>
        <v>0</v>
      </c>
      <c r="DX202" s="32">
        <f>IF(Assumptions!DX168&lt;&gt;"",Assumptions!DX168,0)</f>
        <v>0</v>
      </c>
      <c r="DY202" s="32">
        <f t="shared" si="535"/>
        <v>0</v>
      </c>
      <c r="DZ202" s="1223">
        <f>IF(Assumptions!DZ168&lt;&gt;"",Assumptions!DZ168,0)</f>
        <v>0</v>
      </c>
      <c r="EA202" s="32">
        <f>IF(Assumptions!EA168&lt;&gt;"",Assumptions!EA168,0)</f>
        <v>0</v>
      </c>
      <c r="EB202" s="32">
        <f t="shared" si="523"/>
        <v>0</v>
      </c>
      <c r="EC202" s="1223">
        <f>IF(Assumptions!EC168&lt;&gt;"",Assumptions!EC168,0)</f>
        <v>0</v>
      </c>
      <c r="ED202" s="32">
        <f>IF(Assumptions!ED168&lt;&gt;"",Assumptions!ED168,0)</f>
        <v>0</v>
      </c>
      <c r="EE202" s="32">
        <f t="shared" si="524"/>
        <v>0</v>
      </c>
      <c r="EF202" s="1223">
        <f>IF(Assumptions!EF168&lt;&gt;"",Assumptions!EF168,0)</f>
        <v>0</v>
      </c>
      <c r="EG202" s="32">
        <f>IF(Assumptions!EG168&lt;&gt;"",Assumptions!EG168,0)</f>
        <v>0</v>
      </c>
      <c r="EH202" s="32">
        <f t="shared" si="525"/>
        <v>0</v>
      </c>
      <c r="EI202" s="1223">
        <f>IF(Assumptions!EI168&lt;&gt;"",Assumptions!EI168,0)</f>
        <v>0</v>
      </c>
      <c r="EJ202" s="32">
        <f>IF(Assumptions!EJ168&lt;&gt;"",Assumptions!EJ168,0)</f>
        <v>0</v>
      </c>
      <c r="EK202" s="32">
        <f t="shared" si="526"/>
        <v>0</v>
      </c>
      <c r="EL202" s="1223">
        <f>IF(Assumptions!EL168&lt;&gt;"",Assumptions!EL168,0)</f>
        <v>0</v>
      </c>
      <c r="EM202" s="32">
        <f>IF(Assumptions!EM168&lt;&gt;"",Assumptions!EM168,0)</f>
        <v>0</v>
      </c>
      <c r="EN202" s="32">
        <f t="shared" si="527"/>
        <v>0</v>
      </c>
      <c r="EO202" s="1223">
        <f>IF(Assumptions!EO168&lt;&gt;"",Assumptions!EO168,0)</f>
        <v>0</v>
      </c>
      <c r="EP202" s="32">
        <f>IF(Assumptions!EP168&lt;&gt;"",Assumptions!EP168,0)</f>
        <v>0</v>
      </c>
      <c r="EQ202" s="32">
        <f t="shared" si="528"/>
        <v>0</v>
      </c>
      <c r="ER202" s="1223">
        <f>IF(Assumptions!ER168&lt;&gt;"",Assumptions!ER168,0)</f>
        <v>0</v>
      </c>
      <c r="ES202" s="32">
        <f>IF(Assumptions!ES168&lt;&gt;"",Assumptions!ES168,0)</f>
        <v>0</v>
      </c>
      <c r="ET202" s="32">
        <f t="shared" si="529"/>
        <v>0</v>
      </c>
      <c r="EU202" s="1223">
        <f>IF(Assumptions!EU168&lt;&gt;"",Assumptions!EU168,0)</f>
        <v>0</v>
      </c>
      <c r="EV202" s="32">
        <f>IF(Assumptions!EV168&lt;&gt;"",Assumptions!EV168,0)</f>
        <v>0</v>
      </c>
      <c r="EW202" s="32">
        <f t="shared" si="530"/>
        <v>0</v>
      </c>
      <c r="EX202" s="1223">
        <f>IF(Assumptions!EX168&lt;&gt;"",Assumptions!EX168,0)</f>
        <v>0</v>
      </c>
      <c r="EY202" s="32">
        <f>IF(Assumptions!EY168&lt;&gt;"",Assumptions!EY168,0)</f>
        <v>0</v>
      </c>
      <c r="EZ202" s="32">
        <f t="shared" si="540"/>
        <v>0</v>
      </c>
      <c r="FA202" s="1223">
        <f>IF(Assumptions!FA168&lt;&gt;"",Assumptions!FA168,0)</f>
        <v>0</v>
      </c>
      <c r="FD202"/>
      <c r="FE202"/>
      <c r="FF202"/>
      <c r="FG202"/>
      <c r="FH202"/>
      <c r="FI202"/>
    </row>
    <row r="203" spans="2:169" s="33" customFormat="1">
      <c r="B203" s="1730" t="s">
        <v>608</v>
      </c>
      <c r="C203" s="1730"/>
      <c r="D203" s="1732" t="s">
        <v>506</v>
      </c>
      <c r="E203" s="1753"/>
      <c r="F203" s="1421">
        <f t="shared" si="484"/>
        <v>0</v>
      </c>
      <c r="G203" s="1754"/>
      <c r="H203" s="1755"/>
      <c r="I203" s="1421">
        <f t="shared" si="485"/>
        <v>0</v>
      </c>
      <c r="J203" s="1754"/>
      <c r="K203" s="1755"/>
      <c r="L203" s="1421">
        <f t="shared" si="486"/>
        <v>0</v>
      </c>
      <c r="M203" s="1754"/>
      <c r="N203" s="1755"/>
      <c r="O203" s="1421">
        <f t="shared" si="487"/>
        <v>0</v>
      </c>
      <c r="P203" s="1754"/>
      <c r="Q203" s="1755"/>
      <c r="R203" s="1421">
        <f t="shared" si="488"/>
        <v>0</v>
      </c>
      <c r="S203" s="1754"/>
      <c r="T203" s="1755"/>
      <c r="U203" s="1421">
        <f t="shared" si="489"/>
        <v>0</v>
      </c>
      <c r="V203" s="1754"/>
      <c r="W203" s="1755"/>
      <c r="X203" s="1421">
        <f t="shared" si="490"/>
        <v>0</v>
      </c>
      <c r="Y203" s="1754"/>
      <c r="Z203" s="1755"/>
      <c r="AA203" s="1421">
        <f t="shared" si="491"/>
        <v>0</v>
      </c>
      <c r="AB203" s="1754"/>
      <c r="AC203" s="1755"/>
      <c r="AD203" s="1421">
        <f t="shared" si="492"/>
        <v>0</v>
      </c>
      <c r="AE203" s="1754"/>
      <c r="AF203" s="1755"/>
      <c r="AG203" s="1421">
        <f t="shared" si="493"/>
        <v>0</v>
      </c>
      <c r="AH203" s="1754"/>
      <c r="AI203" s="1755"/>
      <c r="AJ203" s="1421">
        <f t="shared" si="494"/>
        <v>0</v>
      </c>
      <c r="AK203" s="1754"/>
      <c r="AL203" s="1755"/>
      <c r="AM203" s="1421">
        <f t="shared" si="495"/>
        <v>0</v>
      </c>
      <c r="AN203" s="1754"/>
      <c r="AO203" s="1755"/>
      <c r="AP203" s="1421">
        <f t="shared" si="496"/>
        <v>0</v>
      </c>
      <c r="AQ203" s="1754"/>
      <c r="AR203" s="1755"/>
      <c r="AS203" s="1421">
        <f t="shared" si="497"/>
        <v>0</v>
      </c>
      <c r="AT203" s="1754"/>
      <c r="AU203" s="1755"/>
      <c r="AV203" s="1421">
        <f t="shared" si="498"/>
        <v>-0.67900000000000005</v>
      </c>
      <c r="AW203" s="1756">
        <v>-0.67900000000000005</v>
      </c>
      <c r="AX203" s="1755"/>
      <c r="AY203" s="1421">
        <f t="shared" si="499"/>
        <v>-6.4989999999999997</v>
      </c>
      <c r="AZ203" s="1756">
        <v>-6.4989999999999997</v>
      </c>
      <c r="BA203" s="1755">
        <f>IF(Assumptions!BA169&lt;&gt;"0",Assumptions!BA169,0)</f>
        <v>0</v>
      </c>
      <c r="BB203" s="1421">
        <f t="shared" si="500"/>
        <v>0</v>
      </c>
      <c r="BC203" s="1754">
        <f>IF(Assumptions!BC169&lt;&gt;"0",Assumptions!BC169,0)</f>
        <v>0</v>
      </c>
      <c r="BD203" s="1755">
        <f>Assumptions!BD169</f>
        <v>0</v>
      </c>
      <c r="BE203" s="1421">
        <f t="shared" si="501"/>
        <v>-9.6219999999999999</v>
      </c>
      <c r="BF203" s="1756">
        <v>-9.6219999999999999</v>
      </c>
      <c r="BG203" s="1757">
        <v>-4.101</v>
      </c>
      <c r="BH203" s="1421">
        <f t="shared" si="502"/>
        <v>4.101</v>
      </c>
      <c r="BI203" s="1754">
        <f>IF(Assumptions!BI169&lt;&gt;"0",Assumptions!BI169,0)</f>
        <v>0</v>
      </c>
      <c r="BJ203" s="1755">
        <f>IF(Assumptions!BJ169&lt;&gt;"0",Assumptions!BJ169,0)</f>
        <v>0</v>
      </c>
      <c r="BK203" s="1421">
        <f t="shared" si="532"/>
        <v>0</v>
      </c>
      <c r="BL203" s="1754">
        <f>IF(Assumptions!BL169&lt;&gt;"0",Assumptions!BL169,0)</f>
        <v>0</v>
      </c>
      <c r="BM203" s="1757">
        <v>0</v>
      </c>
      <c r="BN203" s="1421">
        <f t="shared" si="533"/>
        <v>-14.682</v>
      </c>
      <c r="BO203" s="1758">
        <v>-14.682</v>
      </c>
      <c r="BP203" s="1755">
        <f>IF(Assumptions!BP169&lt;&gt;"0",Assumptions!BP169,0)</f>
        <v>0</v>
      </c>
      <c r="BQ203" s="1421">
        <f t="shared" si="503"/>
        <v>-14.715</v>
      </c>
      <c r="BR203" s="1759">
        <f>0.396-10.086-5.025</f>
        <v>-14.715</v>
      </c>
      <c r="BS203" s="1755">
        <f>-1.608-2.608</f>
        <v>-4.2160000000000002</v>
      </c>
      <c r="BT203" s="1421">
        <f t="shared" si="504"/>
        <v>-485.71</v>
      </c>
      <c r="BU203" s="1759">
        <f>0.098-486.555-3.469</f>
        <v>-489.92599999999999</v>
      </c>
      <c r="BV203" s="1755">
        <f>7.325-1.114</f>
        <v>6.2110000000000003</v>
      </c>
      <c r="BW203" s="1421">
        <f t="shared" si="505"/>
        <v>-1.327</v>
      </c>
      <c r="BX203" s="1759">
        <f>-2.399-0.042+7.325</f>
        <v>4.8840000000000003</v>
      </c>
      <c r="BY203" s="1755">
        <f>IF(Assumptions!BY169&lt;&gt;"",Assumptions!BY169,0)</f>
        <v>0</v>
      </c>
      <c r="BZ203" s="1421">
        <f t="shared" si="506"/>
        <v>-133.03700000000001</v>
      </c>
      <c r="CA203" s="1758">
        <v>-133.03700000000001</v>
      </c>
      <c r="CB203" s="1757">
        <v>1.6539999999999999</v>
      </c>
      <c r="CC203" s="1421">
        <f t="shared" si="507"/>
        <v>0.9650000000000003</v>
      </c>
      <c r="CD203" s="1758">
        <v>2.6190000000000002</v>
      </c>
      <c r="CE203" s="1755">
        <f>IF(Assumptions!CE169&lt;&gt;"",Assumptions!CE169,0)</f>
        <v>0</v>
      </c>
      <c r="CF203" s="1421">
        <f t="shared" si="508"/>
        <v>2.2480000000000002</v>
      </c>
      <c r="CG203" s="1758">
        <v>2.2480000000000002</v>
      </c>
      <c r="CH203" s="1757">
        <v>0.8</v>
      </c>
      <c r="CI203" s="1421">
        <f t="shared" si="509"/>
        <v>0.30000000000000004</v>
      </c>
      <c r="CJ203" s="1758">
        <v>1.1000000000000001</v>
      </c>
      <c r="CK203" s="1757">
        <v>0.2</v>
      </c>
      <c r="CL203" s="1421">
        <f t="shared" si="510"/>
        <v>0</v>
      </c>
      <c r="CM203" s="1758">
        <v>0.2</v>
      </c>
      <c r="CN203" s="1755">
        <f>IF(Assumptions!CN169&lt;&gt;"",Assumptions!CN169,0)</f>
        <v>0</v>
      </c>
      <c r="CO203" s="1421">
        <f t="shared" si="511"/>
        <v>0.1</v>
      </c>
      <c r="CP203" s="1758">
        <v>0.1</v>
      </c>
      <c r="CQ203" s="1757">
        <v>0.1</v>
      </c>
      <c r="CR203" s="1421">
        <f t="shared" si="512"/>
        <v>-0.1</v>
      </c>
      <c r="CS203" s="1758">
        <v>0</v>
      </c>
      <c r="CT203" s="1757">
        <v>0.1</v>
      </c>
      <c r="CU203" s="1421">
        <f t="shared" si="513"/>
        <v>-0.1</v>
      </c>
      <c r="CV203" s="1759">
        <f>IF(Assumptions!CV169&lt;&gt;"",Assumptions!CV169,0)</f>
        <v>0</v>
      </c>
      <c r="CW203" s="1755">
        <f>IF(Assumptions!CW169&lt;&gt;"",Assumptions!CW169,0)</f>
        <v>0</v>
      </c>
      <c r="CX203" s="1421">
        <f t="shared" si="514"/>
        <v>0</v>
      </c>
      <c r="CY203" s="1759">
        <f>IF(Assumptions!CY169&lt;&gt;"",Assumptions!CY169,0)</f>
        <v>0</v>
      </c>
      <c r="CZ203" s="1755">
        <v>0.6</v>
      </c>
      <c r="DA203" s="1421">
        <f t="shared" si="515"/>
        <v>-0.6</v>
      </c>
      <c r="DB203" s="1759">
        <f>IF(Assumptions!DB169&lt;&gt;"",Assumptions!DB169,0)</f>
        <v>0</v>
      </c>
      <c r="DC203" s="1755">
        <v>-1.1000000000000001</v>
      </c>
      <c r="DD203" s="1421">
        <f t="shared" si="516"/>
        <v>-1.4</v>
      </c>
      <c r="DE203" s="1760">
        <v>-2.5</v>
      </c>
      <c r="DF203" s="1757">
        <v>18.100000000000001</v>
      </c>
      <c r="DG203" s="1421">
        <f t="shared" si="517"/>
        <v>-17.200000000000003</v>
      </c>
      <c r="DH203" s="1761">
        <f>IF(Assumptions!DH169&lt;&gt;"",Assumptions!DH169,0)</f>
        <v>0.89999999999999858</v>
      </c>
      <c r="DI203" s="1755">
        <v>-1.8</v>
      </c>
      <c r="DJ203" s="1421">
        <f t="shared" si="518"/>
        <v>-4.3</v>
      </c>
      <c r="DK203" s="1761">
        <v>-6.1</v>
      </c>
      <c r="DL203" s="1421">
        <v>-3.6</v>
      </c>
      <c r="DM203" s="1421">
        <f t="shared" si="519"/>
        <v>-384.79999999999995</v>
      </c>
      <c r="DN203" s="1762">
        <f>-(387.7+0.7)</f>
        <v>-388.4</v>
      </c>
      <c r="DO203" s="1421">
        <f>271.4+1</f>
        <v>272.39999999999998</v>
      </c>
      <c r="DP203" s="1421">
        <f t="shared" si="520"/>
        <v>110.60000000000002</v>
      </c>
      <c r="DQ203" s="1762">
        <f>272+111</f>
        <v>383</v>
      </c>
      <c r="DR203" s="1421">
        <f>IF(Assumptions!DR169&lt;&gt;"",Assumptions!DR169,0)</f>
        <v>0</v>
      </c>
      <c r="DS203" s="1421">
        <f t="shared" si="521"/>
        <v>-1</v>
      </c>
      <c r="DT203" s="1763">
        <f>-3+2</f>
        <v>-1</v>
      </c>
      <c r="DU203" s="1421">
        <f>IF(Assumptions!DU169&lt;&gt;"",Assumptions!DU169,0)</f>
        <v>0</v>
      </c>
      <c r="DV203" s="1421">
        <f t="shared" si="522"/>
        <v>-32</v>
      </c>
      <c r="DW203" s="1763">
        <f>-13-19</f>
        <v>-32</v>
      </c>
      <c r="DX203" s="1421">
        <v>4</v>
      </c>
      <c r="DY203" s="1421">
        <v>0</v>
      </c>
      <c r="DZ203" s="1762">
        <f t="shared" ref="DZ203" si="541">SUM(DX203:DY203)</f>
        <v>4</v>
      </c>
      <c r="EA203" s="1421">
        <f>IF(Assumptions!EA169&lt;&gt;"",Assumptions!EA169,0)</f>
        <v>0</v>
      </c>
      <c r="EB203" s="1421">
        <f t="shared" si="523"/>
        <v>0</v>
      </c>
      <c r="EC203" s="1762">
        <f>IF(Assumptions!EC169&lt;&gt;"",Assumptions!EC169,0)</f>
        <v>0</v>
      </c>
      <c r="ED203" s="1421">
        <f>IF(Assumptions!ED169&lt;&gt;"",Assumptions!ED169,0)</f>
        <v>0</v>
      </c>
      <c r="EE203" s="1421">
        <f t="shared" si="524"/>
        <v>0</v>
      </c>
      <c r="EF203" s="1762">
        <f>IF(Assumptions!EF169&lt;&gt;"",Assumptions!EF169,0)</f>
        <v>0</v>
      </c>
      <c r="EG203" s="1421">
        <f>IF(Assumptions!EG169&lt;&gt;"",Assumptions!EG169,0)</f>
        <v>0</v>
      </c>
      <c r="EH203" s="1421">
        <f t="shared" si="525"/>
        <v>0</v>
      </c>
      <c r="EI203" s="1762">
        <f>IF(Assumptions!EI169&lt;&gt;"",Assumptions!EI169,0)</f>
        <v>0</v>
      </c>
      <c r="EJ203" s="1421">
        <f>IF(Assumptions!EJ169&lt;&gt;"",Assumptions!EJ169,0)</f>
        <v>0</v>
      </c>
      <c r="EK203" s="1421">
        <f t="shared" si="526"/>
        <v>0</v>
      </c>
      <c r="EL203" s="1762">
        <f>IF(Assumptions!EL169&lt;&gt;"",Assumptions!EL169,0)</f>
        <v>0</v>
      </c>
      <c r="EM203" s="1421">
        <f>IF(Assumptions!EM169&lt;&gt;"",Assumptions!EM169,0)</f>
        <v>0</v>
      </c>
      <c r="EN203" s="1421">
        <f t="shared" si="527"/>
        <v>0</v>
      </c>
      <c r="EO203" s="1762">
        <f>IF(Assumptions!EO169&lt;&gt;"",Assumptions!EO169,0)</f>
        <v>0</v>
      </c>
      <c r="EP203" s="1421">
        <f>IF(Assumptions!EP169&lt;&gt;"",Assumptions!EP169,0)</f>
        <v>0</v>
      </c>
      <c r="EQ203" s="1421">
        <f t="shared" si="528"/>
        <v>0</v>
      </c>
      <c r="ER203" s="1762">
        <f>IF(Assumptions!ER169&lt;&gt;"",Assumptions!ER169,0)</f>
        <v>0</v>
      </c>
      <c r="ES203" s="1421">
        <f>IF(Assumptions!ES169&lt;&gt;"",Assumptions!ES169,0)</f>
        <v>0</v>
      </c>
      <c r="ET203" s="1421">
        <f t="shared" si="529"/>
        <v>0</v>
      </c>
      <c r="EU203" s="1762">
        <f>IF(Assumptions!EU169&lt;&gt;"",Assumptions!EU169,0)</f>
        <v>0</v>
      </c>
      <c r="EV203" s="1421">
        <f>IF(Assumptions!EV169&lt;&gt;"",Assumptions!EV169,0)</f>
        <v>0</v>
      </c>
      <c r="EW203" s="1421">
        <f t="shared" si="530"/>
        <v>0</v>
      </c>
      <c r="EX203" s="1762">
        <f>IF(Assumptions!EX169&lt;&gt;"",Assumptions!EX169,0)</f>
        <v>0</v>
      </c>
      <c r="EY203" s="1421">
        <f>IF(Assumptions!EY169&lt;&gt;"",Assumptions!EY169,0)</f>
        <v>0</v>
      </c>
      <c r="EZ203" s="1421">
        <f t="shared" si="540"/>
        <v>0</v>
      </c>
      <c r="FA203" s="1762">
        <f>IF(Assumptions!FA169&lt;&gt;"",Assumptions!FA169,0)</f>
        <v>0</v>
      </c>
      <c r="FD203"/>
      <c r="FE203"/>
      <c r="FF203"/>
      <c r="FG203"/>
      <c r="FH203"/>
      <c r="FI203"/>
    </row>
    <row r="204" spans="2:169" s="61" customFormat="1">
      <c r="B204" s="60" t="s">
        <v>609</v>
      </c>
      <c r="C204" s="60"/>
      <c r="D204" s="1658" t="s">
        <v>506</v>
      </c>
      <c r="E204" s="1272">
        <f>+E188+E191+E192+E195+E198+E202+E203</f>
        <v>0</v>
      </c>
      <c r="F204" s="1272">
        <f t="shared" si="484"/>
        <v>0</v>
      </c>
      <c r="G204" s="1272">
        <f>+G188+G191+G192+G195+G198+G202+G203</f>
        <v>0</v>
      </c>
      <c r="H204" s="1272">
        <f>+H188+H191+H192+H195+H198+H202+H203</f>
        <v>0</v>
      </c>
      <c r="I204" s="1272">
        <f t="shared" si="485"/>
        <v>0</v>
      </c>
      <c r="J204" s="1272">
        <f>+J188+J191+J192+J195+J198+J202+J203</f>
        <v>0</v>
      </c>
      <c r="K204" s="1272">
        <f>+K188+K191+K192+K195+K198+K202+K203</f>
        <v>0</v>
      </c>
      <c r="L204" s="1272">
        <f t="shared" si="486"/>
        <v>0</v>
      </c>
      <c r="M204" s="1272">
        <f>+M188+M191+M192+M195+M198+M202+M203</f>
        <v>0</v>
      </c>
      <c r="N204" s="1272">
        <f>+N188+N191+N192+N195+N198+N202+N203</f>
        <v>0</v>
      </c>
      <c r="O204" s="1272">
        <f t="shared" si="487"/>
        <v>0</v>
      </c>
      <c r="P204" s="1272">
        <f>+P188+P191+P192+P195+P198+P202+P203</f>
        <v>0</v>
      </c>
      <c r="Q204" s="1272">
        <f>+Q188+Q191+Q192+Q195+Q198+Q202+Q203</f>
        <v>0</v>
      </c>
      <c r="R204" s="1272">
        <f t="shared" si="488"/>
        <v>0</v>
      </c>
      <c r="S204" s="1272">
        <f>+S188+S191+S192+S195+S198+S202+S203</f>
        <v>0</v>
      </c>
      <c r="T204" s="1272">
        <f>+T188+T191+T192+T195+T198+T202+T203</f>
        <v>0</v>
      </c>
      <c r="U204" s="1272">
        <f t="shared" si="489"/>
        <v>0</v>
      </c>
      <c r="V204" s="1272">
        <f>+V188+V191+V192+V195+V198+V202+V203</f>
        <v>0</v>
      </c>
      <c r="W204" s="1272">
        <f>+W188+W191+W192+W195+W198+W202+W203</f>
        <v>0</v>
      </c>
      <c r="X204" s="1272">
        <f t="shared" si="490"/>
        <v>0</v>
      </c>
      <c r="Y204" s="1272">
        <f>+Y188+Y191+Y192+Y195+Y198+Y202+Y203</f>
        <v>0</v>
      </c>
      <c r="Z204" s="1272">
        <f>+Z188+Z191+Z192+Z195+Z198+Z202+Z203</f>
        <v>0</v>
      </c>
      <c r="AA204" s="1272">
        <f t="shared" si="491"/>
        <v>0</v>
      </c>
      <c r="AB204" s="1272">
        <f>+AB188+AB191+AB192+AB195+AB198+AB202+AB203</f>
        <v>0</v>
      </c>
      <c r="AC204" s="1272">
        <f>+AC188+AC191+AC192+AC195+AC198+AC202+AC203</f>
        <v>0</v>
      </c>
      <c r="AD204" s="1272">
        <f t="shared" si="492"/>
        <v>0</v>
      </c>
      <c r="AE204" s="1272">
        <f>+AE188+AE191+AE192+AE195+AE198+AE202+AE203</f>
        <v>0</v>
      </c>
      <c r="AF204" s="1272">
        <f>+AF188+AF191+AF192+AF195+AF198+AF202+AF203</f>
        <v>0</v>
      </c>
      <c r="AG204" s="1272">
        <f t="shared" si="493"/>
        <v>0</v>
      </c>
      <c r="AH204" s="1272">
        <f>+AH188+AH191+AH192+AH195+AH198+AH202+AH203</f>
        <v>0</v>
      </c>
      <c r="AI204" s="1272">
        <f>+AI188+AI191+AI192+AI195+AI198+AI202+AI203</f>
        <v>0</v>
      </c>
      <c r="AJ204" s="1272">
        <f t="shared" si="494"/>
        <v>-0.03</v>
      </c>
      <c r="AK204" s="1272">
        <f>+AK188+AK191+AK192+AK195+AK198+AK202+AK203</f>
        <v>-0.03</v>
      </c>
      <c r="AL204" s="1272">
        <f>+AL188+AL191+AL192+AL195+AL198+AL202+AL203</f>
        <v>0</v>
      </c>
      <c r="AM204" s="1272">
        <f t="shared" si="495"/>
        <v>-15.967000000000001</v>
      </c>
      <c r="AN204" s="1272">
        <f>+AN188+AN191+AN192+AN195+AN198+AN202+AN203</f>
        <v>-15.967000000000001</v>
      </c>
      <c r="AO204" s="1272">
        <f>+AO188+AO191+AO192+AO195+AO198+AO202+AO203</f>
        <v>0</v>
      </c>
      <c r="AP204" s="1272">
        <f t="shared" si="496"/>
        <v>-16.513000000000002</v>
      </c>
      <c r="AQ204" s="1272">
        <f>+AQ188+AQ191+AQ192+AQ195+AQ198+AQ202+AQ203</f>
        <v>-16.513000000000002</v>
      </c>
      <c r="AR204" s="1272">
        <f>+AR188+AR191+AR192+AR195+AR198+AR202+AR203</f>
        <v>-1.327</v>
      </c>
      <c r="AS204" s="1272">
        <f t="shared" si="497"/>
        <v>-26.598000000000006</v>
      </c>
      <c r="AT204" s="1272">
        <f>+AT188+AT191+AT192+AT195+AT198+AT202+AT203</f>
        <v>-27.925000000000004</v>
      </c>
      <c r="AU204" s="1272">
        <f>+AU188+AU191+AU192+AU195+AU198+AU202+AU203</f>
        <v>-17.890999999999998</v>
      </c>
      <c r="AV204" s="1272">
        <f t="shared" si="498"/>
        <v>-21.67</v>
      </c>
      <c r="AW204" s="1272">
        <f>+AW188+AW191+AW192+AW195+AW198+AW202+AW203</f>
        <v>-39.561</v>
      </c>
      <c r="AX204" s="1272">
        <f>+AX188+AX191+AX192+AX195+AX198+AX202+AX203</f>
        <v>-12.737000000000002</v>
      </c>
      <c r="AY204" s="1272">
        <f t="shared" si="499"/>
        <v>3.1050000000000075</v>
      </c>
      <c r="AZ204" s="1272">
        <f>+AZ188+AZ191+AZ192+AZ195+AZ198+AZ202+AZ203</f>
        <v>-9.6319999999999943</v>
      </c>
      <c r="BA204" s="1752">
        <f>+BA188+BA191+BA192+BA195+BA198+BA202+BA203</f>
        <v>-939.46900000000005</v>
      </c>
      <c r="BB204" s="1272">
        <f t="shared" si="500"/>
        <v>-42.564920000000029</v>
      </c>
      <c r="BC204" s="1272">
        <f>+BC188+BC191+BC192+BC195+BC198+BC202+BC203</f>
        <v>-982.03392000000008</v>
      </c>
      <c r="BD204" s="1272">
        <f>+BD188+BD191+BD192+BD195+BD198+BD202+BD203</f>
        <v>-347.66499999999996</v>
      </c>
      <c r="BE204" s="1272">
        <f t="shared" si="501"/>
        <v>-57.621000000000038</v>
      </c>
      <c r="BF204" s="1272">
        <f>+BF188+BF191+BF192+BF195+BF198+BF202+BF203</f>
        <v>-405.286</v>
      </c>
      <c r="BG204" s="1272">
        <f>+BG188+BG191+BG192+BG195+BG198+BG202+BG203</f>
        <v>-85.466999999999999</v>
      </c>
      <c r="BH204" s="1272">
        <f t="shared" si="502"/>
        <v>-71.720999999999989</v>
      </c>
      <c r="BI204" s="1272">
        <f>+BI188+BI191+BI192+BI195+BI198+BI202+BI203</f>
        <v>-157.18799999999999</v>
      </c>
      <c r="BJ204" s="1272">
        <f>+BJ188+BJ191+BJ192+BJ195+BJ198+BJ202+BJ203</f>
        <v>-92.226970000000009</v>
      </c>
      <c r="BK204" s="1272">
        <f t="shared" si="532"/>
        <v>-632.70402999999999</v>
      </c>
      <c r="BL204" s="1272">
        <f>+BL188+BL191+BL192+BL195+BL198+BL202+BL203</f>
        <v>-724.93100000000004</v>
      </c>
      <c r="BM204" s="1272">
        <f>+BM188+BM191+BM192+BM195+BM198+BM202+BM203</f>
        <v>-133.52600000000001</v>
      </c>
      <c r="BN204" s="1272">
        <f t="shared" si="533"/>
        <v>350.99800000000005</v>
      </c>
      <c r="BO204" s="1272">
        <f>+BO188+BO191+BO192+BO195+BO198+BO202+BO203</f>
        <v>217.47200000000001</v>
      </c>
      <c r="BP204" s="1272">
        <f>+BP188+BP191+BP192+BP195+BP198+BP202+BP203</f>
        <v>0</v>
      </c>
      <c r="BQ204" s="1272">
        <f t="shared" si="503"/>
        <v>-157.64099999999999</v>
      </c>
      <c r="BR204" s="1272">
        <f>+BR188+BR191+BR192+BR195+BR198+BR202+BR203</f>
        <v>-157.64099999999999</v>
      </c>
      <c r="BS204" s="1272">
        <f>+BS188+BS191+BS192+BS195+BS198+BS202+BS203</f>
        <v>-234.35599999999999</v>
      </c>
      <c r="BT204" s="1272">
        <f t="shared" si="504"/>
        <v>-600.88799999999992</v>
      </c>
      <c r="BU204" s="1272">
        <f>+BU188+BU191+BU192+BU195+BU198+BU202+BU203</f>
        <v>-835.24399999999991</v>
      </c>
      <c r="BV204" s="1272">
        <f>+BV188+BV191+BV192+BV195+BV198+BV202+BV203</f>
        <v>-95.525000000000006</v>
      </c>
      <c r="BW204" s="1272">
        <f t="shared" si="505"/>
        <v>-143.59600000000003</v>
      </c>
      <c r="BX204" s="1272">
        <f>+BX188+BX191+BX192+BX195+BX198+BX202+BX203</f>
        <v>-239.12100000000004</v>
      </c>
      <c r="BY204" s="1272">
        <f>+BY188+BY191+BY192+BY195+BY198+BY202+BY203</f>
        <v>-179.44400000000002</v>
      </c>
      <c r="BZ204" s="1272">
        <f t="shared" si="506"/>
        <v>-270.08499999999998</v>
      </c>
      <c r="CA204" s="1272">
        <f>+CA188+CA191+CA192+CA195+CA198+CA202+CA203</f>
        <v>-449.529</v>
      </c>
      <c r="CB204" s="1272">
        <f>+CB188+CB191+CB192+CB195+CB198+CB202+CB203</f>
        <v>-95.538045954725476</v>
      </c>
      <c r="CC204" s="1272">
        <f t="shared" si="507"/>
        <v>-197.41595404527453</v>
      </c>
      <c r="CD204" s="1272">
        <f>+CD188+CD191+CD192+CD195+CD198+CD202+CD203</f>
        <v>-292.95400000000001</v>
      </c>
      <c r="CE204" s="1272">
        <f>+CE188+CE191+CE192+CE195+CE198+CE202+CE203</f>
        <v>-86.043999999999997</v>
      </c>
      <c r="CF204" s="1272">
        <f t="shared" si="508"/>
        <v>-123.59800000000003</v>
      </c>
      <c r="CG204" s="1272">
        <f>+CG188+CG191+CG192+CG195+CG198+CG202+CG203</f>
        <v>-209.64200000000002</v>
      </c>
      <c r="CH204" s="1272">
        <f>+CH188+CH191+CH192+CH195+CH198+CH202+CH203</f>
        <v>-151.79999999999998</v>
      </c>
      <c r="CI204" s="1272">
        <f t="shared" si="509"/>
        <v>-170.39999999999995</v>
      </c>
      <c r="CJ204" s="1272">
        <f>+CJ188+CJ191+CJ192+CJ195+CJ198+CJ202+CJ203</f>
        <v>-322.19999999999993</v>
      </c>
      <c r="CK204" s="1272">
        <f>+CK188+CK191+CK192+CK195+CK198+CK202+CK203</f>
        <v>-236.9</v>
      </c>
      <c r="CL204" s="1272">
        <f t="shared" si="510"/>
        <v>-212.6</v>
      </c>
      <c r="CM204" s="1272">
        <f>+CM188+CM191+CM192+CM195+CM198+CM202+CM203</f>
        <v>-449.5</v>
      </c>
      <c r="CN204" s="1272">
        <f>+CN188+CN191+CN192+CN195+CN198+CN202+CN203</f>
        <v>-188.9</v>
      </c>
      <c r="CO204" s="1272">
        <f t="shared" si="511"/>
        <v>-212.59999999999994</v>
      </c>
      <c r="CP204" s="1272">
        <f>+CP188+CP191+CP192+CP195+CP198+CP202+CP203</f>
        <v>-401.49999999999994</v>
      </c>
      <c r="CQ204" s="1272">
        <f>+CQ188+CQ191+CQ192+CQ195+CQ198+CQ202+CQ203</f>
        <v>-176.8</v>
      </c>
      <c r="CR204" s="1272">
        <f t="shared" si="512"/>
        <v>-236.7</v>
      </c>
      <c r="CS204" s="1272">
        <f>+CS188+CS191+CS192+CS195+CS198+CS202+CS203</f>
        <v>-413.5</v>
      </c>
      <c r="CT204" s="1272">
        <f>+CT188+CT191+CT192+CT195+CT198+CT202+CT203</f>
        <v>-500.79999999999995</v>
      </c>
      <c r="CU204" s="1272">
        <f t="shared" si="513"/>
        <v>-309.40000000000009</v>
      </c>
      <c r="CV204" s="1272">
        <f>+CV188+CV191+CV192+CV195+CV198+CV202+CV203</f>
        <v>-810.2</v>
      </c>
      <c r="CW204" s="1272">
        <f>+CW188+CW191+CW192+CW195+CW198+CW202+CW203</f>
        <v>-519.04566169188774</v>
      </c>
      <c r="CX204" s="1272">
        <f t="shared" si="514"/>
        <v>-339.93529068906457</v>
      </c>
      <c r="CY204" s="1272">
        <f>+CY188+CY191+CY192+CY195+CY198+CY202+CY203</f>
        <v>-858.98095238095232</v>
      </c>
      <c r="CZ204" s="1272">
        <f>+CZ188+CZ191+CZ192+CZ195+CZ198+CZ202+CZ203</f>
        <v>-867.3</v>
      </c>
      <c r="DA204" s="1272">
        <f t="shared" si="515"/>
        <v>-666.8</v>
      </c>
      <c r="DB204" s="1272">
        <f>+DB188+DB191+DB192+DB195+DB198+DB202+DB203</f>
        <v>-1534.1</v>
      </c>
      <c r="DC204" s="1272">
        <f>+DC188+DC191+DC192+DC195+DC198+DC202+DC203</f>
        <v>-540.1</v>
      </c>
      <c r="DD204" s="1272">
        <f t="shared" si="516"/>
        <v>-747.19999999999993</v>
      </c>
      <c r="DE204" s="1276">
        <f>+DE188+DE191+DE192+DE195+DE198+DE202+DE203</f>
        <v>-1287.3</v>
      </c>
      <c r="DF204" s="1272">
        <f>+DF188+DF191+DF192+DF195+DF198+DF202+DF203</f>
        <v>-685.9</v>
      </c>
      <c r="DG204" s="1272">
        <f t="shared" si="517"/>
        <v>-680.79999999999984</v>
      </c>
      <c r="DH204" s="1276">
        <f>+DH188+DH191+DH192+DH195+DH198+DH202+DH203</f>
        <v>-1366.6999999999998</v>
      </c>
      <c r="DI204" s="1272">
        <f>+DI188+DI191+DI192+DI195+DI198+DI202+DI203</f>
        <v>-611.19999999999993</v>
      </c>
      <c r="DJ204" s="1272">
        <f t="shared" si="518"/>
        <v>-1062</v>
      </c>
      <c r="DK204" s="1276">
        <f>+DK188+DK191+DK192+DK195+DK198+DK202+DK203</f>
        <v>-1673.1999999999998</v>
      </c>
      <c r="DL204" s="1272">
        <f>+DL188+DL191+DL192+DL195+DL198+DL202+DL203</f>
        <v>-553.4</v>
      </c>
      <c r="DM204" s="1272">
        <f t="shared" si="519"/>
        <v>-1082.9000000000001</v>
      </c>
      <c r="DN204" s="1276">
        <f>+DN188+DN191+DN192+DN195+DN198+DN202+DN203</f>
        <v>-1636.3000000000002</v>
      </c>
      <c r="DO204" s="1272">
        <f>+DO188+DO191+DO192+DO195+DO198+DO202+DO203</f>
        <v>-11124.500000000002</v>
      </c>
      <c r="DP204" s="1272">
        <f t="shared" si="520"/>
        <v>-718.49999999999818</v>
      </c>
      <c r="DQ204" s="1276">
        <f>+DQ188+DQ191+DQ192+DQ195+DQ198+DQ202+DQ203</f>
        <v>-11843</v>
      </c>
      <c r="DR204" s="1272">
        <f>+DR188+DR191+DR192+DR195+DR198+DR202+DR203</f>
        <v>-702</v>
      </c>
      <c r="DS204" s="1272">
        <f t="shared" si="521"/>
        <v>-557</v>
      </c>
      <c r="DT204" s="1276">
        <f>+DT188+DT191+DT192+DT195+DT198+DT202+DT203</f>
        <v>-1259</v>
      </c>
      <c r="DU204" s="1272">
        <f>+DU188+DU191+DU192+DU195+DU198+DU202+DU203</f>
        <v>-366</v>
      </c>
      <c r="DV204" s="1272">
        <f t="shared" si="522"/>
        <v>-484</v>
      </c>
      <c r="DW204" s="1276">
        <f>+DW188+DW191+DW192+DW195+DW198+DW202+DW203</f>
        <v>-850</v>
      </c>
      <c r="DX204" s="1272">
        <f>+DX188+DX191+DX192+DX195+DX198+DX202+DX203</f>
        <v>-652</v>
      </c>
      <c r="DY204" s="1272">
        <f t="shared" si="535"/>
        <v>-716.96310784077878</v>
      </c>
      <c r="DZ204" s="1276">
        <f>+DZ188+DZ191+DZ192+DZ195+DZ198+DZ202+DZ203</f>
        <v>-1368.9631078407788</v>
      </c>
      <c r="EA204" s="1272">
        <f>+EA188+EA191+EA192+EA195+EA198+EA202+EA203</f>
        <v>-764.63700481123271</v>
      </c>
      <c r="EB204" s="1272">
        <f t="shared" si="523"/>
        <v>-715.47007967432671</v>
      </c>
      <c r="EC204" s="1276">
        <f>+EC188+EC191+EC192+EC195+EC198+EC202+EC203</f>
        <v>-1480.1070844855594</v>
      </c>
      <c r="ED204" s="1272">
        <f>+ED188+ED191+ED192+ED195+ED198+ED202+ED203</f>
        <v>-885.47059196247403</v>
      </c>
      <c r="EE204" s="1272">
        <f t="shared" si="524"/>
        <v>-835.3575148537833</v>
      </c>
      <c r="EF204" s="1276">
        <f>+EF188+EF191+EF192+EF195+EF198+EF202+EF203</f>
        <v>-1720.8281068162573</v>
      </c>
      <c r="EG204" s="1272">
        <f>+EG188+EG191+EG192+EG195+EG198+EG202+EG203</f>
        <v>-929.18627498187243</v>
      </c>
      <c r="EH204" s="1272">
        <f t="shared" si="525"/>
        <v>-882.2883758264868</v>
      </c>
      <c r="EI204" s="1276">
        <f>+EI188+EI191+EI192+EI195+EI198+EI202+EI203</f>
        <v>-1811.4746508083592</v>
      </c>
      <c r="EJ204" s="1272">
        <f>+EJ188+EJ191+EJ192+EJ195+EJ198+EJ202+EJ203</f>
        <v>-874.42499388929309</v>
      </c>
      <c r="EK204" s="1272">
        <f t="shared" si="526"/>
        <v>-839.59894568957043</v>
      </c>
      <c r="EL204" s="1276">
        <f>+EL188+EL191+EL192+EL195+EL198+EL202+EL203</f>
        <v>-1714.0239395788635</v>
      </c>
      <c r="EM204" s="1272">
        <f>+EM188+EM191+EM192+EM195+EM198+EM202+EM203</f>
        <v>-808.04376214934109</v>
      </c>
      <c r="EN204" s="1272">
        <f t="shared" si="527"/>
        <v>-781.69047015816113</v>
      </c>
      <c r="EO204" s="1276">
        <f>+EO188+EO191+EO192+EO195+EO198+EO202+EO203</f>
        <v>-1589.7342323075022</v>
      </c>
      <c r="EP204" s="1272">
        <f>+EP188+EP191+EP192+EP195+EP198+EP202+EP203</f>
        <v>-844.41472287123611</v>
      </c>
      <c r="EQ204" s="1272">
        <f t="shared" si="528"/>
        <v>-820.28059475570831</v>
      </c>
      <c r="ER204" s="1276">
        <f>+ER188+ER191+ER192+ER195+ER198+ER202+ER203</f>
        <v>-1664.6953176269444</v>
      </c>
      <c r="ES204" s="1272">
        <f>+ES188+ES191+ES192+ES195+ES198+ES202+ES203</f>
        <v>-883.40437984878383</v>
      </c>
      <c r="ET204" s="1272">
        <f t="shared" si="529"/>
        <v>-860.00537617692805</v>
      </c>
      <c r="EU204" s="1276">
        <f>+EU188+EU191+EU192+EU195+EU198+EU202+EU203</f>
        <v>-1743.4097560257119</v>
      </c>
      <c r="EV204" s="1272">
        <f>+EV188+EV191+EV192+EV195+EV198+EV202+EV203</f>
        <v>-925.59653667285579</v>
      </c>
      <c r="EW204" s="1272">
        <f t="shared" si="530"/>
        <v>-901.99799445584063</v>
      </c>
      <c r="EX204" s="1276">
        <f>+EX188+EX191+EX192+EX195+EX198+EX202+EX203</f>
        <v>-1827.5945311286964</v>
      </c>
      <c r="EY204" s="1272">
        <f>+EY188+EY191+EY192+EY195+EY198+EY202+EY203</f>
        <v>-970.12624130338349</v>
      </c>
      <c r="EZ204" s="1272">
        <f t="shared" si="540"/>
        <v>-946.40044205115123</v>
      </c>
      <c r="FA204" s="1276">
        <f>+FA188+FA191+FA192+FA195+FA198+FA202+FA203</f>
        <v>-1916.5266833545347</v>
      </c>
      <c r="FD204"/>
      <c r="FE204"/>
      <c r="FF204"/>
      <c r="FG204"/>
      <c r="FH204"/>
      <c r="FI204"/>
      <c r="FJ204" s="33"/>
      <c r="FK204" s="33"/>
      <c r="FL204" s="33"/>
      <c r="FM204" s="33"/>
    </row>
    <row r="205" spans="2:169" s="33" customFormat="1" ht="13.5" thickBot="1">
      <c r="B205" s="54" t="s">
        <v>610</v>
      </c>
      <c r="C205" s="54"/>
      <c r="D205" s="2" t="s">
        <v>506</v>
      </c>
      <c r="E205" s="32">
        <f>+SUM(E206:E207)</f>
        <v>0</v>
      </c>
      <c r="F205" s="32">
        <f t="shared" si="484"/>
        <v>0</v>
      </c>
      <c r="G205" s="32">
        <f>+SUM(G206:G207)</f>
        <v>0</v>
      </c>
      <c r="H205" s="32">
        <f>+SUM(H206:H207)</f>
        <v>0</v>
      </c>
      <c r="I205" s="32">
        <f t="shared" si="485"/>
        <v>0</v>
      </c>
      <c r="J205" s="32">
        <f>+SUM(J206:J207)</f>
        <v>0</v>
      </c>
      <c r="K205" s="32">
        <f>+SUM(K206:K207)</f>
        <v>0</v>
      </c>
      <c r="L205" s="32">
        <f t="shared" si="486"/>
        <v>0</v>
      </c>
      <c r="M205" s="32">
        <f>+SUM(M206:M207)</f>
        <v>0</v>
      </c>
      <c r="N205" s="32">
        <f>+SUM(N206:N207)</f>
        <v>0</v>
      </c>
      <c r="O205" s="32">
        <f t="shared" si="487"/>
        <v>0</v>
      </c>
      <c r="P205" s="32">
        <f>+SUM(P206:P207)</f>
        <v>0</v>
      </c>
      <c r="Q205" s="32">
        <f>+SUM(Q206:Q207)</f>
        <v>0</v>
      </c>
      <c r="R205" s="32">
        <f t="shared" si="488"/>
        <v>0</v>
      </c>
      <c r="S205" s="32">
        <f>+SUM(S206:S207)</f>
        <v>0</v>
      </c>
      <c r="T205" s="32">
        <f>+SUM(T206:T207)</f>
        <v>0</v>
      </c>
      <c r="U205" s="32">
        <f t="shared" si="489"/>
        <v>0</v>
      </c>
      <c r="V205" s="32">
        <f>+SUM(V206:V207)</f>
        <v>0</v>
      </c>
      <c r="W205" s="32">
        <f>+SUM(W206:W207)</f>
        <v>0</v>
      </c>
      <c r="X205" s="32">
        <f t="shared" si="490"/>
        <v>0</v>
      </c>
      <c r="Y205" s="32">
        <f>+SUM(Y206:Y207)</f>
        <v>0</v>
      </c>
      <c r="Z205" s="32">
        <f>+SUM(Z206:Z207)</f>
        <v>0</v>
      </c>
      <c r="AA205" s="32">
        <f t="shared" si="491"/>
        <v>0</v>
      </c>
      <c r="AB205" s="32">
        <f>+SUM(AB206:AB207)</f>
        <v>0</v>
      </c>
      <c r="AC205" s="32">
        <f>+SUM(AC206:AC207)</f>
        <v>0</v>
      </c>
      <c r="AD205" s="32">
        <f t="shared" si="492"/>
        <v>0</v>
      </c>
      <c r="AE205" s="32">
        <f>+SUM(AE206:AE207)</f>
        <v>0</v>
      </c>
      <c r="AF205" s="32">
        <f>+SUM(AF206:AF207)</f>
        <v>0</v>
      </c>
      <c r="AG205" s="32">
        <f t="shared" si="493"/>
        <v>0</v>
      </c>
      <c r="AH205" s="32">
        <f>+SUM(AH206:AH207)</f>
        <v>0</v>
      </c>
      <c r="AI205" s="32">
        <f>+SUM(AI206:AI207)</f>
        <v>0</v>
      </c>
      <c r="AJ205" s="32">
        <f t="shared" si="494"/>
        <v>0</v>
      </c>
      <c r="AK205" s="32">
        <f>+SUM(AK206:AK207)</f>
        <v>0</v>
      </c>
      <c r="AL205" s="32">
        <f>+SUM(AL206:AL207)</f>
        <v>0</v>
      </c>
      <c r="AM205" s="32">
        <f t="shared" si="495"/>
        <v>0</v>
      </c>
      <c r="AN205" s="32">
        <f>+SUM(AN206:AN207)</f>
        <v>0</v>
      </c>
      <c r="AO205" s="32">
        <f>+SUM(AO206:AO207)</f>
        <v>0</v>
      </c>
      <c r="AP205" s="32">
        <f t="shared" si="496"/>
        <v>0</v>
      </c>
      <c r="AQ205" s="32">
        <f>+SUM(AQ206:AQ207)</f>
        <v>0</v>
      </c>
      <c r="AR205" s="32">
        <f>+SUM(AR206:AR207)</f>
        <v>2.6680000000000001</v>
      </c>
      <c r="AS205" s="32">
        <f t="shared" si="497"/>
        <v>0</v>
      </c>
      <c r="AT205" s="32">
        <f>+SUM(AT206:AT207)</f>
        <v>2.6680000000000001</v>
      </c>
      <c r="AU205" s="32">
        <f>+SUM(AU206:AU207)</f>
        <v>0.43</v>
      </c>
      <c r="AV205" s="32">
        <f t="shared" si="498"/>
        <v>0.32800000000000001</v>
      </c>
      <c r="AW205" s="32">
        <f>+SUM(AW206:AW207)</f>
        <v>0.75800000000000001</v>
      </c>
      <c r="AX205" s="32">
        <f>+SUM(AX206:AX207)</f>
        <v>2.4049999999999998</v>
      </c>
      <c r="AY205" s="32">
        <f t="shared" si="499"/>
        <v>354.113</v>
      </c>
      <c r="AZ205" s="32">
        <f>+SUM(AZ206:AZ207)</f>
        <v>356.51799999999997</v>
      </c>
      <c r="BA205" s="32">
        <f>+SUM(BA206:BA207)</f>
        <v>4.6459999999999999</v>
      </c>
      <c r="BB205" s="32">
        <f t="shared" si="500"/>
        <v>-4.6459999999999999</v>
      </c>
      <c r="BC205" s="32">
        <f>+SUM(BC206:BC207)</f>
        <v>0</v>
      </c>
      <c r="BD205" s="32">
        <f>+SUM(BD206:BD207)</f>
        <v>326.82799999999997</v>
      </c>
      <c r="BE205" s="32">
        <f t="shared" si="501"/>
        <v>-0.37199999999995725</v>
      </c>
      <c r="BF205" s="32">
        <f>+SUM(BF206:BF207)</f>
        <v>326.45600000000002</v>
      </c>
      <c r="BG205" s="32">
        <f>+SUM(BG206:BG207)</f>
        <v>6.4349999999999996</v>
      </c>
      <c r="BH205" s="32">
        <f t="shared" si="502"/>
        <v>1.0330000000000004</v>
      </c>
      <c r="BI205" s="32">
        <f>+SUM(BI206:BI207)</f>
        <v>7.468</v>
      </c>
      <c r="BJ205" s="32">
        <f>+SUM(BJ206:BJ207)</f>
        <v>429.92599999999999</v>
      </c>
      <c r="BK205" s="32">
        <f t="shared" si="532"/>
        <v>124.37799999999999</v>
      </c>
      <c r="BL205" s="32">
        <f>+SUM(BL206:BL207)</f>
        <v>554.30399999999997</v>
      </c>
      <c r="BM205" s="32">
        <f>+SUM(BM206:BM207)</f>
        <v>5.492</v>
      </c>
      <c r="BN205" s="32">
        <f t="shared" si="533"/>
        <v>-306.31700000000006</v>
      </c>
      <c r="BO205" s="32">
        <f>+SUM(BO206:BO207)</f>
        <v>-300.82500000000005</v>
      </c>
      <c r="BP205" s="32">
        <f>+SUM(BP206:BP207)</f>
        <v>-272</v>
      </c>
      <c r="BQ205" s="32">
        <f t="shared" si="503"/>
        <v>42.173000000000002</v>
      </c>
      <c r="BR205" s="32">
        <f>+SUM(BR206:BR207)</f>
        <v>-229.827</v>
      </c>
      <c r="BS205" s="32">
        <f>+SUM(BS206:BS207)</f>
        <v>17.888000000000002</v>
      </c>
      <c r="BT205" s="32">
        <f t="shared" si="504"/>
        <v>13.806999999999999</v>
      </c>
      <c r="BU205" s="32">
        <f>+SUM(BU206:BU207)</f>
        <v>31.695</v>
      </c>
      <c r="BV205" s="32">
        <f>+SUM(BV206:BV207)</f>
        <v>9.8520000000000003</v>
      </c>
      <c r="BW205" s="32">
        <f t="shared" si="505"/>
        <v>3.2469999999999999</v>
      </c>
      <c r="BX205" s="32">
        <f>+SUM(BX206:BX207)</f>
        <v>13.099</v>
      </c>
      <c r="BY205" s="32">
        <f>+SUM(BY206:BY207)</f>
        <v>1854.704</v>
      </c>
      <c r="BZ205" s="32">
        <f t="shared" si="506"/>
        <v>-333.23399999999992</v>
      </c>
      <c r="CA205" s="32">
        <f>+SUM(CA206:CA207)</f>
        <v>1521.47</v>
      </c>
      <c r="CB205" s="32">
        <f>+SUM(CB206:CB207)</f>
        <v>-1436.96</v>
      </c>
      <c r="CC205" s="32">
        <f t="shared" si="507"/>
        <v>-271.16300000000001</v>
      </c>
      <c r="CD205" s="32">
        <f>+SUM(CD206:CD207)</f>
        <v>-1708.123</v>
      </c>
      <c r="CE205" s="32">
        <f>+SUM(CE206:CE207)</f>
        <v>-290.755</v>
      </c>
      <c r="CF205" s="32">
        <f t="shared" si="508"/>
        <v>-609.245</v>
      </c>
      <c r="CG205" s="32">
        <f>+SUM(CG206:CG207)</f>
        <v>-900</v>
      </c>
      <c r="CH205" s="32">
        <f>+SUM(CH206:CH207)</f>
        <v>-177.8</v>
      </c>
      <c r="CI205" s="32">
        <f t="shared" si="509"/>
        <v>-462.00000000000006</v>
      </c>
      <c r="CJ205" s="32">
        <f>+SUM(CJ206:CJ207)</f>
        <v>-639.80000000000007</v>
      </c>
      <c r="CK205" s="32">
        <f>+SUM(CK206:CK207)</f>
        <v>-451.3</v>
      </c>
      <c r="CL205" s="32">
        <f t="shared" si="510"/>
        <v>-662.7</v>
      </c>
      <c r="CM205" s="32">
        <f>+SUM(CM206:CM207)</f>
        <v>-1114</v>
      </c>
      <c r="CN205" s="32">
        <f>+SUM(CN206:CN207)</f>
        <v>-228.6</v>
      </c>
      <c r="CO205" s="32">
        <f t="shared" si="511"/>
        <v>-583.5</v>
      </c>
      <c r="CP205" s="32">
        <f>+SUM(CP206:CP207)</f>
        <v>-812.1</v>
      </c>
      <c r="CQ205" s="32">
        <f>+SUM(CQ206:CQ207)</f>
        <v>-135.6</v>
      </c>
      <c r="CR205" s="32">
        <f t="shared" si="512"/>
        <v>-648.29999999999995</v>
      </c>
      <c r="CS205" s="32">
        <f>+SUM(CS206:CS207)</f>
        <v>-783.9</v>
      </c>
      <c r="CT205" s="32">
        <f>+SUM(CT206:CT207)</f>
        <v>-160.6</v>
      </c>
      <c r="CU205" s="32">
        <f t="shared" si="513"/>
        <v>-470.20000000000005</v>
      </c>
      <c r="CV205" s="32">
        <f>+SUM(CV206:CV207)</f>
        <v>-630.80000000000007</v>
      </c>
      <c r="CW205" s="32">
        <f>+SUM(CW206:CW207)</f>
        <v>-104.80000000000001</v>
      </c>
      <c r="CX205" s="32">
        <f t="shared" si="514"/>
        <v>-197.39999999999998</v>
      </c>
      <c r="CY205" s="32">
        <f>+SUM(CY206:CY207)</f>
        <v>-302.2</v>
      </c>
      <c r="CZ205" s="32">
        <f>+SUM(CZ206:CZ207)</f>
        <v>-132</v>
      </c>
      <c r="DA205" s="32">
        <f t="shared" si="515"/>
        <v>9.2999999999999972</v>
      </c>
      <c r="DB205" s="32">
        <f>+SUM(DB206:DB207)</f>
        <v>-122.7</v>
      </c>
      <c r="DC205" s="32">
        <f>+SUM(DC206:DC207)</f>
        <v>19.5</v>
      </c>
      <c r="DD205" s="32">
        <f t="shared" si="516"/>
        <v>12.3</v>
      </c>
      <c r="DE205" s="1061">
        <f>+SUM(DE206:DE207)</f>
        <v>31.8</v>
      </c>
      <c r="DF205" s="32">
        <f>+SUM(DF206:DF207)</f>
        <v>26.9</v>
      </c>
      <c r="DG205" s="32">
        <f t="shared" si="517"/>
        <v>15.100000000000001</v>
      </c>
      <c r="DH205" s="1061">
        <f>+SUM(DH206:DH207)</f>
        <v>42</v>
      </c>
      <c r="DI205" s="32">
        <f>+SUM(DI206:DI207)</f>
        <v>38.200000000000003</v>
      </c>
      <c r="DJ205" s="32">
        <f t="shared" si="518"/>
        <v>18.199999999999996</v>
      </c>
      <c r="DK205" s="1061">
        <f>+SUM(DK206:DK207)</f>
        <v>56.4</v>
      </c>
      <c r="DL205" s="32">
        <f>+SUM(DL206:DL207)</f>
        <v>4458.1000000000004</v>
      </c>
      <c r="DM205" s="32">
        <f t="shared" si="519"/>
        <v>530.29999999999927</v>
      </c>
      <c r="DN205" s="1061">
        <f>+SUM(DN206:DN207)</f>
        <v>4988.3999999999996</v>
      </c>
      <c r="DO205" s="32">
        <f>+SUM(DO206:DO207)</f>
        <v>13.5</v>
      </c>
      <c r="DP205" s="32">
        <f t="shared" si="520"/>
        <v>20.5</v>
      </c>
      <c r="DQ205" s="1061">
        <f>+SUM(DQ206:DQ207)</f>
        <v>34</v>
      </c>
      <c r="DR205" s="32">
        <f>+SUM(DR206:DR207)</f>
        <v>20</v>
      </c>
      <c r="DS205" s="32">
        <f t="shared" si="521"/>
        <v>20</v>
      </c>
      <c r="DT205" s="1061">
        <f>+SUM(DT206:DT207)</f>
        <v>40</v>
      </c>
      <c r="DU205" s="32">
        <f>+SUM(DU206:DU207)</f>
        <v>19</v>
      </c>
      <c r="DV205" s="32">
        <f t="shared" si="522"/>
        <v>-2</v>
      </c>
      <c r="DW205" s="1061">
        <f>+SUM(DW206:DW207)</f>
        <v>17</v>
      </c>
      <c r="DX205" s="32">
        <f>+SUM(DX206:DX207)</f>
        <v>-368</v>
      </c>
      <c r="DY205" s="32">
        <f t="shared" si="535"/>
        <v>-382</v>
      </c>
      <c r="DZ205" s="1061">
        <f>+SUM(DZ206:DZ207)</f>
        <v>-750</v>
      </c>
      <c r="EA205" s="32">
        <f>+SUM(EA206:EA207)</f>
        <v>-375</v>
      </c>
      <c r="EB205" s="32">
        <f t="shared" si="523"/>
        <v>-375</v>
      </c>
      <c r="EC205" s="1061">
        <f>+SUM(EC206:EC207)</f>
        <v>-750</v>
      </c>
      <c r="ED205" s="32">
        <f>+SUM(ED206:ED207)</f>
        <v>-375</v>
      </c>
      <c r="EE205" s="32">
        <f t="shared" si="524"/>
        <v>-375</v>
      </c>
      <c r="EF205" s="1061">
        <f>+SUM(EF206:EF207)</f>
        <v>-750</v>
      </c>
      <c r="EG205" s="32">
        <f>+SUM(EG206:EG207)</f>
        <v>0</v>
      </c>
      <c r="EH205" s="32">
        <f t="shared" si="525"/>
        <v>0</v>
      </c>
      <c r="EI205" s="1061">
        <f>+SUM(EI206:EI207)</f>
        <v>0</v>
      </c>
      <c r="EJ205" s="32">
        <f>+SUM(EJ206:EJ207)</f>
        <v>0</v>
      </c>
      <c r="EK205" s="32">
        <f t="shared" si="526"/>
        <v>0</v>
      </c>
      <c r="EL205" s="1061">
        <f>+SUM(EL206:EL207)</f>
        <v>0</v>
      </c>
      <c r="EM205" s="32">
        <f>+SUM(EM206:EM207)</f>
        <v>0</v>
      </c>
      <c r="EN205" s="32">
        <f t="shared" si="527"/>
        <v>0</v>
      </c>
      <c r="EO205" s="1061">
        <f>+SUM(EO206:EO207)</f>
        <v>0</v>
      </c>
      <c r="EP205" s="32">
        <f>+SUM(EP206:EP207)</f>
        <v>0</v>
      </c>
      <c r="EQ205" s="32">
        <f t="shared" si="528"/>
        <v>0</v>
      </c>
      <c r="ER205" s="1061">
        <f>+SUM(ER206:ER207)</f>
        <v>0</v>
      </c>
      <c r="ES205" s="32">
        <f>+SUM(ES206:ES207)</f>
        <v>0</v>
      </c>
      <c r="ET205" s="32">
        <f t="shared" si="529"/>
        <v>0</v>
      </c>
      <c r="EU205" s="1061">
        <f>+SUM(EU206:EU207)</f>
        <v>0</v>
      </c>
      <c r="EV205" s="32">
        <f>+SUM(EV206:EV207)</f>
        <v>0</v>
      </c>
      <c r="EW205" s="32">
        <f t="shared" si="530"/>
        <v>0</v>
      </c>
      <c r="EX205" s="1061">
        <f>+SUM(EX206:EX207)</f>
        <v>0</v>
      </c>
      <c r="EY205" s="32">
        <f>+SUM(EY206:EY207)</f>
        <v>0</v>
      </c>
      <c r="EZ205" s="32">
        <f t="shared" si="540"/>
        <v>0</v>
      </c>
      <c r="FA205" s="1061">
        <f>+SUM(FA206:FA207)</f>
        <v>0</v>
      </c>
      <c r="FD205"/>
      <c r="FE205"/>
      <c r="FF205"/>
      <c r="FG205"/>
      <c r="FH205"/>
      <c r="FI205"/>
    </row>
    <row r="206" spans="2:169" s="33" customFormat="1" outlineLevel="1">
      <c r="B206" s="54" t="s">
        <v>611</v>
      </c>
      <c r="C206" s="54"/>
      <c r="D206" s="2" t="s">
        <v>506</v>
      </c>
      <c r="E206" s="1183"/>
      <c r="F206" s="1192">
        <f t="shared" si="484"/>
        <v>0</v>
      </c>
      <c r="G206" s="1184"/>
      <c r="H206" s="1185"/>
      <c r="I206" s="1192">
        <f t="shared" si="485"/>
        <v>0</v>
      </c>
      <c r="J206" s="1184"/>
      <c r="K206" s="1185"/>
      <c r="L206" s="1192">
        <f t="shared" si="486"/>
        <v>0</v>
      </c>
      <c r="M206" s="1184"/>
      <c r="N206" s="1185"/>
      <c r="O206" s="1192">
        <f t="shared" si="487"/>
        <v>0</v>
      </c>
      <c r="P206" s="1184"/>
      <c r="Q206" s="1185"/>
      <c r="R206" s="1192">
        <f t="shared" si="488"/>
        <v>0</v>
      </c>
      <c r="S206" s="1184"/>
      <c r="T206" s="1185"/>
      <c r="U206" s="1192">
        <f t="shared" si="489"/>
        <v>0</v>
      </c>
      <c r="V206" s="1184"/>
      <c r="W206" s="1185"/>
      <c r="X206" s="1192">
        <f t="shared" si="490"/>
        <v>0</v>
      </c>
      <c r="Y206" s="1184"/>
      <c r="Z206" s="1185"/>
      <c r="AA206" s="1192">
        <f t="shared" si="491"/>
        <v>0</v>
      </c>
      <c r="AB206" s="1184"/>
      <c r="AC206" s="1185"/>
      <c r="AD206" s="1192">
        <f t="shared" si="492"/>
        <v>0</v>
      </c>
      <c r="AE206" s="1184"/>
      <c r="AF206" s="1185"/>
      <c r="AG206" s="1192">
        <f t="shared" si="493"/>
        <v>0</v>
      </c>
      <c r="AH206" s="1184"/>
      <c r="AI206" s="1185"/>
      <c r="AJ206" s="1192">
        <f t="shared" si="494"/>
        <v>0</v>
      </c>
      <c r="AK206" s="1184"/>
      <c r="AL206" s="1185"/>
      <c r="AM206" s="1192">
        <f t="shared" si="495"/>
        <v>0</v>
      </c>
      <c r="AN206" s="1184"/>
      <c r="AO206" s="1185"/>
      <c r="AP206" s="1192">
        <f t="shared" si="496"/>
        <v>0</v>
      </c>
      <c r="AQ206" s="1184"/>
      <c r="AR206" s="1198">
        <v>2.6680000000000001</v>
      </c>
      <c r="AS206" s="1192">
        <f t="shared" si="497"/>
        <v>0</v>
      </c>
      <c r="AT206" s="1193">
        <v>2.6680000000000001</v>
      </c>
      <c r="AU206" s="1198">
        <v>0.43</v>
      </c>
      <c r="AV206" s="1192">
        <f t="shared" si="498"/>
        <v>0.32800000000000001</v>
      </c>
      <c r="AW206" s="1193">
        <v>0.75800000000000001</v>
      </c>
      <c r="AX206" s="1198">
        <v>2.4049999999999998</v>
      </c>
      <c r="AY206" s="1192">
        <f t="shared" si="499"/>
        <v>354.113</v>
      </c>
      <c r="AZ206" s="1193">
        <v>356.51799999999997</v>
      </c>
      <c r="BA206" s="1198">
        <v>4.6459999999999999</v>
      </c>
      <c r="BB206" s="1192">
        <f t="shared" si="500"/>
        <v>-4.6459999999999999</v>
      </c>
      <c r="BC206" s="1184">
        <f>IF(Assumptions!BC172&lt;&gt;"0",Assumptions!BC172,0)</f>
        <v>0</v>
      </c>
      <c r="BD206" s="1198">
        <v>326.82799999999997</v>
      </c>
      <c r="BE206" s="1192">
        <f t="shared" si="501"/>
        <v>-0.37199999999995725</v>
      </c>
      <c r="BF206" s="1193">
        <v>326.45600000000002</v>
      </c>
      <c r="BG206" s="1198">
        <v>6.4349999999999996</v>
      </c>
      <c r="BH206" s="1192">
        <f t="shared" si="502"/>
        <v>1.0330000000000004</v>
      </c>
      <c r="BI206" s="1193">
        <v>7.468</v>
      </c>
      <c r="BJ206" s="1198">
        <v>429.92599999999999</v>
      </c>
      <c r="BK206" s="1192">
        <f t="shared" si="532"/>
        <v>124.37799999999999</v>
      </c>
      <c r="BL206" s="1193">
        <v>554.30399999999997</v>
      </c>
      <c r="BM206" s="1198">
        <v>5.492</v>
      </c>
      <c r="BN206" s="1192">
        <f t="shared" si="533"/>
        <v>-306.31700000000006</v>
      </c>
      <c r="BO206" s="1200">
        <f>-317.795+16.97</f>
        <v>-300.82500000000005</v>
      </c>
      <c r="BP206" s="1185">
        <f>IF(Assumptions!BP172&lt;&gt;"0",Assumptions!BP172,0)</f>
        <v>-272</v>
      </c>
      <c r="BQ206" s="1192">
        <f t="shared" si="503"/>
        <v>42.173000000000002</v>
      </c>
      <c r="BR206" s="1200">
        <f>51.711-281.538</f>
        <v>-229.827</v>
      </c>
      <c r="BS206" s="1198">
        <v>17.888000000000002</v>
      </c>
      <c r="BT206" s="1192">
        <f t="shared" si="504"/>
        <v>13.806999999999999</v>
      </c>
      <c r="BU206" s="1199">
        <v>31.695</v>
      </c>
      <c r="BV206" s="1198">
        <v>9.8520000000000003</v>
      </c>
      <c r="BW206" s="1192">
        <f t="shared" si="505"/>
        <v>3.2469999999999999</v>
      </c>
      <c r="BX206" s="1199">
        <v>13.099</v>
      </c>
      <c r="BY206" s="1198">
        <v>1854.704</v>
      </c>
      <c r="BZ206" s="1192">
        <f t="shared" si="506"/>
        <v>-13.741999999999962</v>
      </c>
      <c r="CA206" s="1200">
        <f>1895.903-54.941</f>
        <v>1840.962</v>
      </c>
      <c r="CB206" s="1185">
        <f>5.772-1442.732</f>
        <v>-1436.96</v>
      </c>
      <c r="CC206" s="1192">
        <f t="shared" si="507"/>
        <v>-271.16300000000001</v>
      </c>
      <c r="CD206" s="1200">
        <f>13.194-1721.317</f>
        <v>-1708.123</v>
      </c>
      <c r="CE206" s="1185">
        <f>9.69-300.445</f>
        <v>-290.755</v>
      </c>
      <c r="CF206" s="1192">
        <f t="shared" si="508"/>
        <v>-609.245</v>
      </c>
      <c r="CG206" s="1199">
        <v>-900</v>
      </c>
      <c r="CH206" s="1185">
        <f>4-181.8</f>
        <v>-177.8</v>
      </c>
      <c r="CI206" s="1192">
        <f t="shared" si="509"/>
        <v>-462.00000000000006</v>
      </c>
      <c r="CJ206" s="1200">
        <f>10.3-650.1</f>
        <v>-639.80000000000007</v>
      </c>
      <c r="CK206" s="1185">
        <f>29.5-480.8</f>
        <v>-451.3</v>
      </c>
      <c r="CL206" s="1192">
        <f t="shared" si="510"/>
        <v>-662.7</v>
      </c>
      <c r="CM206" s="1200">
        <f>36.1-1150.1</f>
        <v>-1114</v>
      </c>
      <c r="CN206" s="1185">
        <f>-241.7+13.1</f>
        <v>-228.6</v>
      </c>
      <c r="CO206" s="1192">
        <f t="shared" si="511"/>
        <v>-583.5</v>
      </c>
      <c r="CP206" s="1200">
        <f>17.8-829.9</f>
        <v>-812.1</v>
      </c>
      <c r="CQ206" s="1185">
        <f>28.4+-164</f>
        <v>-135.6</v>
      </c>
      <c r="CR206" s="1192">
        <f t="shared" si="512"/>
        <v>-648.29999999999995</v>
      </c>
      <c r="CS206" s="1200">
        <f>34.7-818.6</f>
        <v>-783.9</v>
      </c>
      <c r="CT206" s="1185">
        <f>8-168.6</f>
        <v>-160.6</v>
      </c>
      <c r="CU206" s="1192">
        <f t="shared" si="513"/>
        <v>-470.20000000000005</v>
      </c>
      <c r="CV206" s="1200">
        <f>17.4-648.2</f>
        <v>-630.80000000000007</v>
      </c>
      <c r="CW206" s="1185">
        <f>6.6-111.4</f>
        <v>-104.80000000000001</v>
      </c>
      <c r="CX206" s="1192">
        <f t="shared" si="514"/>
        <v>-197.39999999999998</v>
      </c>
      <c r="CY206" s="1200">
        <f>12.7-314.9</f>
        <v>-302.2</v>
      </c>
      <c r="CZ206" s="1185">
        <f>6.4-138.4</f>
        <v>-132</v>
      </c>
      <c r="DA206" s="1192">
        <f t="shared" si="515"/>
        <v>9.2999999999999972</v>
      </c>
      <c r="DB206" s="1200">
        <f>15.7-138.4</f>
        <v>-122.7</v>
      </c>
      <c r="DC206" s="1185">
        <v>19.5</v>
      </c>
      <c r="DD206" s="1192">
        <f t="shared" si="516"/>
        <v>12.3</v>
      </c>
      <c r="DE206" s="1544">
        <v>31.8</v>
      </c>
      <c r="DF206" s="1543">
        <v>26.9</v>
      </c>
      <c r="DG206" s="1542">
        <f t="shared" si="517"/>
        <v>15.100000000000001</v>
      </c>
      <c r="DH206" s="1540">
        <f>42</f>
        <v>42</v>
      </c>
      <c r="DI206" s="1543">
        <v>38.200000000000003</v>
      </c>
      <c r="DJ206" s="1542">
        <f t="shared" si="518"/>
        <v>18.199999999999996</v>
      </c>
      <c r="DK206" s="1540">
        <v>56.4</v>
      </c>
      <c r="DL206" s="1530">
        <v>4458.1000000000004</v>
      </c>
      <c r="DM206" s="1530">
        <f t="shared" si="519"/>
        <v>530.29999999999927</v>
      </c>
      <c r="DN206" s="1696">
        <v>4988.3999999999996</v>
      </c>
      <c r="DO206" s="1558">
        <v>13.5</v>
      </c>
      <c r="DP206" s="1530">
        <f t="shared" si="520"/>
        <v>20.5</v>
      </c>
      <c r="DQ206" s="1699">
        <v>34</v>
      </c>
      <c r="DR206" s="1558">
        <v>20</v>
      </c>
      <c r="DS206" s="1530">
        <f t="shared" si="521"/>
        <v>20</v>
      </c>
      <c r="DT206" s="1699">
        <v>40</v>
      </c>
      <c r="DU206" s="32">
        <v>19</v>
      </c>
      <c r="DV206" s="1530">
        <f t="shared" si="522"/>
        <v>-2</v>
      </c>
      <c r="DW206" s="1699">
        <v>17</v>
      </c>
      <c r="DX206" s="1693">
        <f>18-386</f>
        <v>-368</v>
      </c>
      <c r="DY206" s="32">
        <f>IF(Assumptions!DY172&lt;&gt;"",Assumptions!DY172,0)</f>
        <v>-382</v>
      </c>
      <c r="DZ206" s="1223">
        <f>+SUM(DX206:DY206)</f>
        <v>-750</v>
      </c>
      <c r="EA206" s="32">
        <f>IF(Assumptions!EA172&lt;&gt;"",Assumptions!EA172,0)</f>
        <v>-375</v>
      </c>
      <c r="EB206" s="32">
        <f t="shared" si="523"/>
        <v>-375</v>
      </c>
      <c r="EC206" s="1223">
        <f>IF(Assumptions!EC172&lt;&gt;"",Assumptions!EC172,0)</f>
        <v>-750</v>
      </c>
      <c r="ED206" s="32">
        <f>IF(Assumptions!ED172&lt;&gt;"",Assumptions!ED172,0)</f>
        <v>-375</v>
      </c>
      <c r="EE206" s="32">
        <f t="shared" si="524"/>
        <v>-375</v>
      </c>
      <c r="EF206" s="1223">
        <f>IF(Assumptions!EF172&lt;&gt;"",Assumptions!EF172,0)</f>
        <v>-750</v>
      </c>
      <c r="EG206" s="32">
        <f>IF(Assumptions!EG172&lt;&gt;"",Assumptions!EG172,0)</f>
        <v>0</v>
      </c>
      <c r="EH206" s="32">
        <f t="shared" si="525"/>
        <v>0</v>
      </c>
      <c r="EI206" s="1223">
        <f>IF(Assumptions!EI172&lt;&gt;"",Assumptions!EI172,0)</f>
        <v>0</v>
      </c>
      <c r="EJ206" s="32">
        <f>IF(Assumptions!EJ172&lt;&gt;"",Assumptions!EJ172,0)</f>
        <v>0</v>
      </c>
      <c r="EK206" s="32">
        <f t="shared" si="526"/>
        <v>0</v>
      </c>
      <c r="EL206" s="1223">
        <f>IF(Assumptions!EL172&lt;&gt;"",Assumptions!EL172,0)</f>
        <v>0</v>
      </c>
      <c r="EM206" s="32">
        <f>IF(Assumptions!EM172&lt;&gt;"",Assumptions!EM172,0)</f>
        <v>0</v>
      </c>
      <c r="EN206" s="32">
        <f t="shared" si="527"/>
        <v>0</v>
      </c>
      <c r="EO206" s="1223">
        <f>IF(Assumptions!EO172&lt;&gt;"",Assumptions!EO172,0)</f>
        <v>0</v>
      </c>
      <c r="EP206" s="32">
        <f>IF(Assumptions!EP172&lt;&gt;"",Assumptions!EP172,0)</f>
        <v>0</v>
      </c>
      <c r="EQ206" s="32">
        <f t="shared" si="528"/>
        <v>0</v>
      </c>
      <c r="ER206" s="1223">
        <f>IF(Assumptions!ER172&lt;&gt;"",Assumptions!ER172,0)</f>
        <v>0</v>
      </c>
      <c r="ES206" s="32">
        <f>IF(Assumptions!ES172&lt;&gt;"",Assumptions!ES172,0)</f>
        <v>0</v>
      </c>
      <c r="ET206" s="32">
        <f t="shared" si="529"/>
        <v>0</v>
      </c>
      <c r="EU206" s="1223">
        <f>IF(Assumptions!EU172&lt;&gt;"",Assumptions!EU172,0)</f>
        <v>0</v>
      </c>
      <c r="EV206" s="32">
        <f>IF(Assumptions!EV172&lt;&gt;"",Assumptions!EV172,0)</f>
        <v>0</v>
      </c>
      <c r="EW206" s="32">
        <f t="shared" si="530"/>
        <v>0</v>
      </c>
      <c r="EX206" s="1223">
        <f>IF(Assumptions!EX172&lt;&gt;"",Assumptions!EX172,0)</f>
        <v>0</v>
      </c>
      <c r="EY206" s="32">
        <f>IF(Assumptions!EY172&lt;&gt;"",Assumptions!EY172,0)</f>
        <v>0</v>
      </c>
      <c r="EZ206" s="32">
        <f t="shared" si="540"/>
        <v>0</v>
      </c>
      <c r="FA206" s="1223">
        <f>IF(Assumptions!FA172&lt;&gt;"",Assumptions!FA172,0)</f>
        <v>0</v>
      </c>
      <c r="FD206"/>
      <c r="FE206"/>
      <c r="FF206"/>
      <c r="FG206"/>
      <c r="FH206"/>
      <c r="FI206"/>
    </row>
    <row r="207" spans="2:169" s="33" customFormat="1" ht="13.5" outlineLevel="1" thickBot="1">
      <c r="B207" s="54" t="s">
        <v>612</v>
      </c>
      <c r="C207" s="54"/>
      <c r="D207" s="2" t="s">
        <v>506</v>
      </c>
      <c r="E207" s="1205"/>
      <c r="F207" s="32">
        <f t="shared" si="484"/>
        <v>0</v>
      </c>
      <c r="G207" s="1206"/>
      <c r="H207" s="1207"/>
      <c r="I207" s="32">
        <f t="shared" si="485"/>
        <v>0</v>
      </c>
      <c r="J207" s="1206"/>
      <c r="K207" s="1207"/>
      <c r="L207" s="32">
        <f t="shared" si="486"/>
        <v>0</v>
      </c>
      <c r="M207" s="1206"/>
      <c r="N207" s="1207"/>
      <c r="O207" s="32">
        <f t="shared" si="487"/>
        <v>0</v>
      </c>
      <c r="P207" s="1206"/>
      <c r="Q207" s="1207"/>
      <c r="R207" s="32">
        <f t="shared" si="488"/>
        <v>0</v>
      </c>
      <c r="S207" s="1206"/>
      <c r="T207" s="1207"/>
      <c r="U207" s="32">
        <f t="shared" si="489"/>
        <v>0</v>
      </c>
      <c r="V207" s="1206"/>
      <c r="W207" s="1207"/>
      <c r="X207" s="32">
        <f t="shared" si="490"/>
        <v>0</v>
      </c>
      <c r="Y207" s="1206"/>
      <c r="Z207" s="1207"/>
      <c r="AA207" s="32">
        <f t="shared" si="491"/>
        <v>0</v>
      </c>
      <c r="AB207" s="1206"/>
      <c r="AC207" s="1207"/>
      <c r="AD207" s="32">
        <f t="shared" si="492"/>
        <v>0</v>
      </c>
      <c r="AE207" s="1206"/>
      <c r="AF207" s="1207"/>
      <c r="AG207" s="32">
        <f t="shared" si="493"/>
        <v>0</v>
      </c>
      <c r="AH207" s="1206"/>
      <c r="AI207" s="1207"/>
      <c r="AJ207" s="32">
        <f t="shared" si="494"/>
        <v>0</v>
      </c>
      <c r="AK207" s="1206"/>
      <c r="AL207" s="1207"/>
      <c r="AM207" s="32">
        <f t="shared" si="495"/>
        <v>0</v>
      </c>
      <c r="AN207" s="1206"/>
      <c r="AO207" s="1207"/>
      <c r="AP207" s="32">
        <f t="shared" si="496"/>
        <v>0</v>
      </c>
      <c r="AQ207" s="1206"/>
      <c r="AR207" s="1207"/>
      <c r="AS207" s="32">
        <f t="shared" si="497"/>
        <v>0</v>
      </c>
      <c r="AT207" s="1208">
        <v>0</v>
      </c>
      <c r="AU207" s="1207"/>
      <c r="AV207" s="32">
        <f t="shared" si="498"/>
        <v>0</v>
      </c>
      <c r="AW207" s="1208">
        <v>0</v>
      </c>
      <c r="AX207" s="1207"/>
      <c r="AY207" s="32">
        <f t="shared" si="499"/>
        <v>0</v>
      </c>
      <c r="AZ207" s="1208">
        <v>0</v>
      </c>
      <c r="BA207" s="1207">
        <f>IF(Assumptions!BA173&lt;&gt;"0",Assumptions!BA173,0)</f>
        <v>0</v>
      </c>
      <c r="BB207" s="32">
        <f t="shared" si="500"/>
        <v>0</v>
      </c>
      <c r="BC207" s="1206">
        <f>IF(Assumptions!BC173&lt;&gt;"0",Assumptions!BC173,0)</f>
        <v>0</v>
      </c>
      <c r="BD207" s="1207">
        <f>Assumptions!BD173</f>
        <v>0</v>
      </c>
      <c r="BE207" s="32">
        <f t="shared" si="501"/>
        <v>0</v>
      </c>
      <c r="BF207" s="1206">
        <f>IF(Assumptions!BF173&lt;&gt;"0",Assumptions!BF173,0)</f>
        <v>0</v>
      </c>
      <c r="BG207" s="1207">
        <f>IF(Assumptions!BG173&lt;&gt;"0",Assumptions!BG173,0)</f>
        <v>0</v>
      </c>
      <c r="BH207" s="32">
        <f t="shared" si="502"/>
        <v>0</v>
      </c>
      <c r="BI207" s="1206">
        <f>IF(Assumptions!BI173&lt;&gt;"0",Assumptions!BI173,0)</f>
        <v>0</v>
      </c>
      <c r="BJ207" s="1207">
        <f>IF(Assumptions!BJ173&lt;&gt;"0",Assumptions!BJ173,0)</f>
        <v>0</v>
      </c>
      <c r="BK207" s="32">
        <f t="shared" si="532"/>
        <v>0</v>
      </c>
      <c r="BL207" s="1206">
        <f>IF(Assumptions!BL173&lt;&gt;"0",Assumptions!BL173,0)</f>
        <v>0</v>
      </c>
      <c r="BM207" s="1207">
        <f>IF(Assumptions!BM173&lt;&gt;"0",Assumptions!BM173,0)</f>
        <v>0</v>
      </c>
      <c r="BN207" s="32">
        <f t="shared" si="533"/>
        <v>0</v>
      </c>
      <c r="BO207" s="1210">
        <f>IF(Assumptions!BO173&lt;&gt;"0",Assumptions!BO173,0)</f>
        <v>0</v>
      </c>
      <c r="BP207" s="1207">
        <f>IF(Assumptions!BP173&lt;&gt;"0",Assumptions!BP173,0)</f>
        <v>0</v>
      </c>
      <c r="BQ207" s="32">
        <f t="shared" si="503"/>
        <v>0</v>
      </c>
      <c r="BR207" s="1210">
        <f>IF(Assumptions!BR173&lt;&gt;"0",Assumptions!BR173,0)</f>
        <v>0</v>
      </c>
      <c r="BS207" s="1207">
        <f>IF(Assumptions!BS179&lt;&gt;"0",Assumptions!BS179,0)</f>
        <v>0</v>
      </c>
      <c r="BT207" s="32">
        <f t="shared" si="504"/>
        <v>0</v>
      </c>
      <c r="BU207" s="1210">
        <f>IF(Assumptions!BU179&lt;&gt;"0",Assumptions!BU179,0)</f>
        <v>0</v>
      </c>
      <c r="BV207" s="1207">
        <f>IF(Assumptions!BV173&lt;&gt;"",Assumptions!BV173,0)</f>
        <v>0</v>
      </c>
      <c r="BW207" s="32">
        <f t="shared" si="505"/>
        <v>0</v>
      </c>
      <c r="BX207" s="1210">
        <f>IF(Assumptions!BX173&lt;&gt;"",Assumptions!BX173,0)</f>
        <v>0</v>
      </c>
      <c r="BY207" s="1207">
        <f>IF(Assumptions!BY173&lt;&gt;"",Assumptions!BY173,0)</f>
        <v>0</v>
      </c>
      <c r="BZ207" s="32">
        <f t="shared" si="506"/>
        <v>-319.49200000000002</v>
      </c>
      <c r="CA207" s="1213">
        <v>-319.49200000000002</v>
      </c>
      <c r="CB207" s="1207">
        <f>IF(Assumptions!CB173&lt;&gt;"",Assumptions!CB173,0)</f>
        <v>0</v>
      </c>
      <c r="CC207" s="32">
        <f t="shared" si="507"/>
        <v>0</v>
      </c>
      <c r="CD207" s="1213">
        <v>0</v>
      </c>
      <c r="CE207" s="1207">
        <f>IF(Assumptions!CE173&lt;&gt;"",Assumptions!CE173,0)</f>
        <v>0</v>
      </c>
      <c r="CF207" s="32">
        <f t="shared" si="508"/>
        <v>0</v>
      </c>
      <c r="CG207" s="1210">
        <f>IF(Assumptions!CG173&lt;&gt;"",Assumptions!CG173,0)</f>
        <v>0</v>
      </c>
      <c r="CH207" s="1207">
        <f>IF(Assumptions!CH173&lt;&gt;"",Assumptions!CH173,0)</f>
        <v>0</v>
      </c>
      <c r="CI207" s="32">
        <f t="shared" si="509"/>
        <v>0</v>
      </c>
      <c r="CJ207" s="1210">
        <f>IF(Assumptions!CJ173&lt;&gt;"",Assumptions!CJ173,0)</f>
        <v>0</v>
      </c>
      <c r="CK207" s="1207">
        <f>IF(Assumptions!CK173&lt;&gt;"",Assumptions!CK173,0)</f>
        <v>0</v>
      </c>
      <c r="CL207" s="32">
        <f t="shared" si="510"/>
        <v>0</v>
      </c>
      <c r="CM207" s="1213">
        <v>0</v>
      </c>
      <c r="CN207" s="1207">
        <f>IF(Assumptions!CN173&lt;&gt;"",Assumptions!CN173,0)</f>
        <v>0</v>
      </c>
      <c r="CO207" s="32">
        <f t="shared" si="511"/>
        <v>0</v>
      </c>
      <c r="CP207" s="1210">
        <f>IF(Assumptions!CP173&lt;&gt;"",Assumptions!CP173,0)</f>
        <v>0</v>
      </c>
      <c r="CQ207" s="1207">
        <f>IF(Assumptions!CQ173&lt;&gt;"",Assumptions!CQ173,0)</f>
        <v>0</v>
      </c>
      <c r="CR207" s="32">
        <f t="shared" si="512"/>
        <v>0</v>
      </c>
      <c r="CS207" s="1210">
        <f>IF(Assumptions!CS173&lt;&gt;"",Assumptions!CS173,0)</f>
        <v>0</v>
      </c>
      <c r="CT207" s="1207">
        <f>IF(Assumptions!CT173&lt;&gt;"",Assumptions!CT173,0)</f>
        <v>0</v>
      </c>
      <c r="CU207" s="32">
        <f t="shared" si="513"/>
        <v>0</v>
      </c>
      <c r="CV207" s="1210">
        <f>IF(Assumptions!CV173&lt;&gt;"",Assumptions!CV173,0)</f>
        <v>0</v>
      </c>
      <c r="CW207" s="1207">
        <f>IF(Assumptions!CW173&lt;&gt;"",Assumptions!CW173,0)</f>
        <v>0</v>
      </c>
      <c r="CX207" s="32">
        <f t="shared" si="514"/>
        <v>0</v>
      </c>
      <c r="CY207" s="1210">
        <f>IF(Assumptions!CY173&lt;&gt;"",Assumptions!CY173,0)</f>
        <v>0</v>
      </c>
      <c r="CZ207" s="1207">
        <f>IF(Assumptions!CZ173&lt;&gt;"",Assumptions!CZ173,0)</f>
        <v>0</v>
      </c>
      <c r="DA207" s="32">
        <f t="shared" si="515"/>
        <v>0</v>
      </c>
      <c r="DB207" s="1210">
        <f>IF(Assumptions!DB173&lt;&gt;"",Assumptions!DB173,0)</f>
        <v>0</v>
      </c>
      <c r="DC207" s="1207">
        <f>IF(Assumptions!DC173&lt;&gt;"",Assumptions!DC173,0)</f>
        <v>0</v>
      </c>
      <c r="DD207" s="32">
        <f t="shared" si="516"/>
        <v>0</v>
      </c>
      <c r="DE207" s="1211">
        <f>IF(Assumptions!DE173&lt;&gt;"",Assumptions!DE173,0)</f>
        <v>0</v>
      </c>
      <c r="DF207" s="1207">
        <v>0</v>
      </c>
      <c r="DG207" s="32">
        <f t="shared" si="517"/>
        <v>0</v>
      </c>
      <c r="DH207" s="1211">
        <v>0</v>
      </c>
      <c r="DI207" s="1207">
        <f>IF(Assumptions!DI173&lt;&gt;"",Assumptions!DI173,0)</f>
        <v>0</v>
      </c>
      <c r="DJ207" s="32">
        <f t="shared" si="518"/>
        <v>0</v>
      </c>
      <c r="DK207" s="1211">
        <v>0</v>
      </c>
      <c r="DL207" s="32">
        <f>IF(Assumptions!DL173&lt;&gt;"",Assumptions!DL173,0)</f>
        <v>0</v>
      </c>
      <c r="DM207" s="32">
        <f t="shared" si="519"/>
        <v>0</v>
      </c>
      <c r="DN207" s="1223">
        <f>IF(Assumptions!DN173&lt;&gt;"",Assumptions!DN173,0)</f>
        <v>0</v>
      </c>
      <c r="DO207" s="32">
        <f>IF(Assumptions!DO173&lt;&gt;"",Assumptions!DO173,0)</f>
        <v>0</v>
      </c>
      <c r="DP207" s="32">
        <f t="shared" si="520"/>
        <v>0</v>
      </c>
      <c r="DQ207" s="1223">
        <f>IF(Assumptions!DQ173&lt;&gt;"",Assumptions!DQ173,0)</f>
        <v>0</v>
      </c>
      <c r="DR207" s="32">
        <f>IF(Assumptions!DR173&lt;&gt;"",Assumptions!DR173,0)</f>
        <v>0</v>
      </c>
      <c r="DS207" s="32">
        <f t="shared" si="521"/>
        <v>0</v>
      </c>
      <c r="DT207" s="1223">
        <f>IF(Assumptions!DT173&lt;&gt;"",Assumptions!DT173,0)</f>
        <v>0</v>
      </c>
      <c r="DU207" s="32">
        <v>0</v>
      </c>
      <c r="DV207" s="32">
        <f t="shared" si="522"/>
        <v>0</v>
      </c>
      <c r="DW207" s="1223">
        <f>IF(Assumptions!DW173&lt;&gt;"",Assumptions!DW173,0)</f>
        <v>0</v>
      </c>
      <c r="DX207" s="32">
        <v>0</v>
      </c>
      <c r="DY207" s="32">
        <v>0</v>
      </c>
      <c r="DZ207" s="1223">
        <f t="shared" ref="DZ207" si="542">SUM(DX207:DY207)</f>
        <v>0</v>
      </c>
      <c r="EA207" s="32">
        <f>IF(Assumptions!EA173&lt;&gt;"",Assumptions!EA173,0)</f>
        <v>0</v>
      </c>
      <c r="EB207" s="32">
        <f t="shared" si="523"/>
        <v>0</v>
      </c>
      <c r="EC207" s="1223">
        <f>IF(Assumptions!EC173&lt;&gt;"",Assumptions!EC173,0)</f>
        <v>0</v>
      </c>
      <c r="ED207" s="32">
        <f>IF(Assumptions!ED173&lt;&gt;"",Assumptions!ED173,0)</f>
        <v>0</v>
      </c>
      <c r="EE207" s="32">
        <f t="shared" si="524"/>
        <v>0</v>
      </c>
      <c r="EF207" s="1223">
        <f>IF(Assumptions!EF173&lt;&gt;"",Assumptions!EF173,0)</f>
        <v>0</v>
      </c>
      <c r="EG207" s="32">
        <f>IF(Assumptions!EG173&lt;&gt;"",Assumptions!EG173,0)</f>
        <v>0</v>
      </c>
      <c r="EH207" s="32">
        <f t="shared" si="525"/>
        <v>0</v>
      </c>
      <c r="EI207" s="1223">
        <f>IF(Assumptions!EI173&lt;&gt;"",Assumptions!EI173,0)</f>
        <v>0</v>
      </c>
      <c r="EJ207" s="32">
        <f>IF(Assumptions!EJ173&lt;&gt;"",Assumptions!EJ173,0)</f>
        <v>0</v>
      </c>
      <c r="EK207" s="32">
        <f t="shared" si="526"/>
        <v>0</v>
      </c>
      <c r="EL207" s="1223">
        <f>IF(Assumptions!EL173&lt;&gt;"",Assumptions!EL173,0)</f>
        <v>0</v>
      </c>
      <c r="EM207" s="32">
        <f>IF(Assumptions!EM173&lt;&gt;"",Assumptions!EM173,0)</f>
        <v>0</v>
      </c>
      <c r="EN207" s="32">
        <f t="shared" si="527"/>
        <v>0</v>
      </c>
      <c r="EO207" s="1223">
        <f>IF(Assumptions!EO173&lt;&gt;"",Assumptions!EO173,0)</f>
        <v>0</v>
      </c>
      <c r="EP207" s="32">
        <f>IF(Assumptions!EP173&lt;&gt;"",Assumptions!EP173,0)</f>
        <v>0</v>
      </c>
      <c r="EQ207" s="32">
        <f t="shared" si="528"/>
        <v>0</v>
      </c>
      <c r="ER207" s="1223">
        <f>IF(Assumptions!ER173&lt;&gt;"",Assumptions!ER173,0)</f>
        <v>0</v>
      </c>
      <c r="ES207" s="32">
        <f>IF(Assumptions!ES173&lt;&gt;"",Assumptions!ES173,0)</f>
        <v>0</v>
      </c>
      <c r="ET207" s="32">
        <f t="shared" si="529"/>
        <v>0</v>
      </c>
      <c r="EU207" s="1223">
        <f>IF(Assumptions!EU173&lt;&gt;"",Assumptions!EU173,0)</f>
        <v>0</v>
      </c>
      <c r="EV207" s="32">
        <f>IF(Assumptions!EV173&lt;&gt;"",Assumptions!EV173,0)</f>
        <v>0</v>
      </c>
      <c r="EW207" s="32">
        <f t="shared" si="530"/>
        <v>0</v>
      </c>
      <c r="EX207" s="1223">
        <f>IF(Assumptions!EX173&lt;&gt;"",Assumptions!EX173,0)</f>
        <v>0</v>
      </c>
      <c r="EY207" s="32">
        <f>IF(Assumptions!EY173&lt;&gt;"",Assumptions!EY173,0)</f>
        <v>0</v>
      </c>
      <c r="EZ207" s="32">
        <f t="shared" si="540"/>
        <v>0</v>
      </c>
      <c r="FA207" s="1223">
        <f>IF(Assumptions!FA173&lt;&gt;"",Assumptions!FA173,0)</f>
        <v>0</v>
      </c>
      <c r="FD207"/>
      <c r="FE207"/>
      <c r="FF207"/>
      <c r="FG207"/>
      <c r="FH207"/>
      <c r="FI207"/>
    </row>
    <row r="208" spans="2:169" s="33" customFormat="1">
      <c r="B208" s="54" t="s">
        <v>613</v>
      </c>
      <c r="C208" s="54"/>
      <c r="D208" s="2" t="s">
        <v>506</v>
      </c>
      <c r="E208" s="1205"/>
      <c r="F208" s="32">
        <f t="shared" si="484"/>
        <v>0</v>
      </c>
      <c r="G208" s="1214"/>
      <c r="H208" s="1207"/>
      <c r="I208" s="32">
        <f t="shared" si="485"/>
        <v>0</v>
      </c>
      <c r="J208" s="1214"/>
      <c r="K208" s="1207"/>
      <c r="L208" s="32">
        <f t="shared" si="486"/>
        <v>0</v>
      </c>
      <c r="M208" s="1214"/>
      <c r="N208" s="1207"/>
      <c r="O208" s="32">
        <f t="shared" si="487"/>
        <v>0</v>
      </c>
      <c r="P208" s="1214"/>
      <c r="Q208" s="1207"/>
      <c r="R208" s="32">
        <f t="shared" si="488"/>
        <v>0</v>
      </c>
      <c r="S208" s="1215"/>
      <c r="T208" s="1216"/>
      <c r="U208" s="1216">
        <f t="shared" si="489"/>
        <v>0</v>
      </c>
      <c r="V208" s="1216"/>
      <c r="W208" s="1216"/>
      <c r="X208" s="1216">
        <f t="shared" si="490"/>
        <v>0</v>
      </c>
      <c r="Y208" s="1216"/>
      <c r="Z208" s="1216"/>
      <c r="AA208" s="1216">
        <f t="shared" si="491"/>
        <v>0</v>
      </c>
      <c r="AB208" s="1216"/>
      <c r="AC208" s="1216"/>
      <c r="AD208" s="1216">
        <f t="shared" si="492"/>
        <v>0</v>
      </c>
      <c r="AE208" s="1185"/>
      <c r="AF208" s="1207"/>
      <c r="AG208" s="32">
        <f t="shared" si="493"/>
        <v>0</v>
      </c>
      <c r="AH208" s="1215"/>
      <c r="AI208" s="1185"/>
      <c r="AJ208" s="32">
        <f t="shared" si="494"/>
        <v>0</v>
      </c>
      <c r="AK208" s="1215"/>
      <c r="AL208" s="1185"/>
      <c r="AM208" s="32">
        <f t="shared" si="495"/>
        <v>-15.6</v>
      </c>
      <c r="AN208" s="1217">
        <v>-15.6</v>
      </c>
      <c r="AO208" s="1207"/>
      <c r="AP208" s="32">
        <f t="shared" si="496"/>
        <v>-17.55</v>
      </c>
      <c r="AQ208" s="1217">
        <v>-17.55</v>
      </c>
      <c r="AR208" s="1212">
        <v>13.125999999999999</v>
      </c>
      <c r="AS208" s="32">
        <f t="shared" si="497"/>
        <v>-34.128</v>
      </c>
      <c r="AT208" s="1217">
        <v>-21.001999999999999</v>
      </c>
      <c r="AU208" s="1212">
        <v>-15.798</v>
      </c>
      <c r="AV208" s="32">
        <f t="shared" si="498"/>
        <v>-9.2159999999999993</v>
      </c>
      <c r="AW208" s="1217">
        <v>-25.013999999999999</v>
      </c>
      <c r="AX208" s="1212">
        <v>-21.622</v>
      </c>
      <c r="AY208" s="32">
        <f t="shared" si="499"/>
        <v>-7.5219999999999985</v>
      </c>
      <c r="AZ208" s="1217">
        <v>-29.143999999999998</v>
      </c>
      <c r="BA208" s="1212">
        <v>-22.422000000000001</v>
      </c>
      <c r="BB208" s="32">
        <f t="shared" si="500"/>
        <v>0</v>
      </c>
      <c r="BC208" s="1217">
        <v>-22.422000000000001</v>
      </c>
      <c r="BD208" s="1212">
        <v>-26.937000000000001</v>
      </c>
      <c r="BE208" s="32">
        <f t="shared" si="501"/>
        <v>-19.010000000000002</v>
      </c>
      <c r="BF208" s="1217">
        <v>-45.947000000000003</v>
      </c>
      <c r="BG208" s="1212">
        <v>-39.423999999999999</v>
      </c>
      <c r="BH208" s="32">
        <f t="shared" si="502"/>
        <v>-14.667000000000002</v>
      </c>
      <c r="BI208" s="1217">
        <v>-54.091000000000001</v>
      </c>
      <c r="BJ208" s="1212">
        <v>-22.687999999999999</v>
      </c>
      <c r="BK208" s="32">
        <f t="shared" si="532"/>
        <v>-12.675999999999998</v>
      </c>
      <c r="BL208" s="1217">
        <v>-35.363999999999997</v>
      </c>
      <c r="BM208" s="1212">
        <v>-29.736999999999998</v>
      </c>
      <c r="BN208" s="32">
        <f t="shared" si="533"/>
        <v>-33.771000000000001</v>
      </c>
      <c r="BO208" s="1218">
        <v>-63.508000000000003</v>
      </c>
      <c r="BP208" s="1207">
        <f>IF(BP5="A",0,IF(BP91=0,0,-(BN342-BN348)-BN84))</f>
        <v>0</v>
      </c>
      <c r="BQ208" s="32">
        <f t="shared" si="503"/>
        <v>-124.39400000000001</v>
      </c>
      <c r="BR208" s="1218">
        <v>-124.39400000000001</v>
      </c>
      <c r="BS208" s="1212">
        <v>-72.926000000000002</v>
      </c>
      <c r="BT208" s="32">
        <f t="shared" si="504"/>
        <v>-89.60799999999999</v>
      </c>
      <c r="BU208" s="1218">
        <v>-162.53399999999999</v>
      </c>
      <c r="BV208" s="1212">
        <v>-100.84</v>
      </c>
      <c r="BW208" s="32">
        <f t="shared" si="505"/>
        <v>-126.59100000000001</v>
      </c>
      <c r="BX208" s="1218">
        <v>-227.43100000000001</v>
      </c>
      <c r="BY208" s="1212">
        <v>-138.51</v>
      </c>
      <c r="BZ208" s="32">
        <f t="shared" si="506"/>
        <v>138.51</v>
      </c>
      <c r="CA208" s="1205">
        <f>IF(CA5="A",0,IF(CA91=0,0,(BY208)-(BY342-BY348)-BX84))</f>
        <v>0</v>
      </c>
      <c r="CB208" s="1212">
        <v>-235.66499999999999</v>
      </c>
      <c r="CC208" s="32">
        <f t="shared" si="507"/>
        <v>-193.81199999999998</v>
      </c>
      <c r="CD208" s="1218">
        <v>-429.47699999999998</v>
      </c>
      <c r="CE208" s="1212">
        <v>-247.489</v>
      </c>
      <c r="CF208" s="32">
        <f t="shared" si="508"/>
        <v>-188.393</v>
      </c>
      <c r="CG208" s="1218">
        <v>-435.88200000000001</v>
      </c>
      <c r="CH208" s="1212">
        <v>-231</v>
      </c>
      <c r="CI208" s="32">
        <f t="shared" si="509"/>
        <v>-193.3</v>
      </c>
      <c r="CJ208" s="1218">
        <v>-424.3</v>
      </c>
      <c r="CK208" s="1212">
        <v>-247.1</v>
      </c>
      <c r="CL208" s="32">
        <f t="shared" si="510"/>
        <v>-252.29999999999998</v>
      </c>
      <c r="CM208" s="1218">
        <v>-499.4</v>
      </c>
      <c r="CN208" s="1212">
        <v>-255.8</v>
      </c>
      <c r="CO208" s="32">
        <f t="shared" si="511"/>
        <v>-265.7</v>
      </c>
      <c r="CP208" s="1218">
        <v>-521.5</v>
      </c>
      <c r="CQ208" s="1207">
        <f>+-268.4</f>
        <v>-268.39999999999998</v>
      </c>
      <c r="CR208" s="32">
        <f t="shared" si="512"/>
        <v>-267</v>
      </c>
      <c r="CS208" s="1205">
        <f>+-535.4</f>
        <v>-535.4</v>
      </c>
      <c r="CT208" s="1207">
        <f>+-293.4</f>
        <v>-293.39999999999998</v>
      </c>
      <c r="CU208" s="32">
        <f t="shared" si="513"/>
        <v>-285.60000000000002</v>
      </c>
      <c r="CV208" s="1205">
        <f>+-579</f>
        <v>-579</v>
      </c>
      <c r="CW208" s="1212">
        <v>-310</v>
      </c>
      <c r="CX208" s="32">
        <f t="shared" si="514"/>
        <v>-291.39999999999998</v>
      </c>
      <c r="CY208" s="1218">
        <v>-601.4</v>
      </c>
      <c r="CZ208" s="1207">
        <f>+-323.6</f>
        <v>-323.60000000000002</v>
      </c>
      <c r="DA208" s="32">
        <f t="shared" si="515"/>
        <v>-348.6</v>
      </c>
      <c r="DB208" s="1205">
        <v>-672.2</v>
      </c>
      <c r="DC208" s="1207">
        <v>-420.3</v>
      </c>
      <c r="DD208" s="32">
        <f t="shared" si="516"/>
        <v>-386.49999999999994</v>
      </c>
      <c r="DE208" s="1545">
        <v>-806.8</v>
      </c>
      <c r="DF208" s="1546">
        <v>-453.9</v>
      </c>
      <c r="DG208" s="1530">
        <f t="shared" si="517"/>
        <v>-429.20000000000005</v>
      </c>
      <c r="DH208" s="1547">
        <v>-883.1</v>
      </c>
      <c r="DI208" s="1546">
        <v>-484.7</v>
      </c>
      <c r="DJ208" s="1530">
        <f t="shared" si="518"/>
        <v>-473.3</v>
      </c>
      <c r="DK208" s="1547">
        <f>-958</f>
        <v>-958</v>
      </c>
      <c r="DL208" s="1558">
        <v>-537.70000000000005</v>
      </c>
      <c r="DM208" s="1530">
        <f t="shared" si="519"/>
        <v>-501</v>
      </c>
      <c r="DN208" s="1532">
        <v>-1038.7</v>
      </c>
      <c r="DO208" s="1558">
        <v>-569</v>
      </c>
      <c r="DP208" s="1530">
        <f t="shared" si="520"/>
        <v>-516</v>
      </c>
      <c r="DQ208" s="1532">
        <v>-1085</v>
      </c>
      <c r="DR208" s="1558">
        <f>-623-74</f>
        <v>-697</v>
      </c>
      <c r="DS208" s="1530">
        <f t="shared" si="521"/>
        <v>-495</v>
      </c>
      <c r="DT208" s="1532">
        <v>-1192</v>
      </c>
      <c r="DU208" s="1693">
        <f>-703-100</f>
        <v>-803</v>
      </c>
      <c r="DV208" s="1530">
        <f t="shared" si="522"/>
        <v>-531</v>
      </c>
      <c r="DW208" s="1532">
        <v>-1334</v>
      </c>
      <c r="DX208" s="1693">
        <f>-786-155</f>
        <v>-941</v>
      </c>
      <c r="DY208" s="32">
        <f>-DX342</f>
        <v>-678.25839451912657</v>
      </c>
      <c r="DZ208" s="1061">
        <f>+SUM(DX208:DY208)</f>
        <v>-1619.2583945191266</v>
      </c>
      <c r="EA208" s="32">
        <f>IF(EA5="A",0,IF(EA91=0,0,-(DY342-DY348)-DY84))</f>
        <v>-805.94288479318925</v>
      </c>
      <c r="EB208" s="32">
        <f t="shared" si="523"/>
        <v>-740.25236779754505</v>
      </c>
      <c r="EC208" s="1061">
        <f>IF(EC5="A",0,IF(EC91=0,0,(EA208)-(EA342-EA348)-DZ84))</f>
        <v>-1546.1952525907343</v>
      </c>
      <c r="ED208" s="32">
        <f>IF(ED5="A",0,IF(ED91=0,0,-(EB342-EB348)-EB84))</f>
        <v>-754.28275759097141</v>
      </c>
      <c r="EE208" s="32">
        <f t="shared" si="524"/>
        <v>-805.77155174907875</v>
      </c>
      <c r="EF208" s="1061">
        <f>IF(EF5="A",0,IF(EF91=0,0,(ED208)-(ED342-ED348)-EC84))</f>
        <v>-1560.0543093400502</v>
      </c>
      <c r="EG208" s="32">
        <f>IF(EG5="A",0,IF(EG91=0,0,-(EE342-EE348)-EE84))</f>
        <v>-820.57768377689672</v>
      </c>
      <c r="EH208" s="32">
        <f t="shared" si="525"/>
        <v>-874.34198486406808</v>
      </c>
      <c r="EI208" s="1061">
        <f>IF(EI5="A",0,IF(EI91=0,0,(EG208)-(EG342-EG348)-EF84))</f>
        <v>-1694.9196686409648</v>
      </c>
      <c r="EJ208" s="32">
        <f>IF(EJ5="A",0,IF(EJ91=0,0,-(EH342-EH348)-EH84))</f>
        <v>-918.28389310989928</v>
      </c>
      <c r="EK208" s="32">
        <f t="shared" si="526"/>
        <v>-951.96519678047321</v>
      </c>
      <c r="EL208" s="1061">
        <f>IF(EL5="A",0,IF(EL91=0,0,(EJ208)-(EJ342-EJ348)-EI84))</f>
        <v>-1870.2490898903725</v>
      </c>
      <c r="EM208" s="32">
        <f>IF(EM5="A",0,IF(EM91=0,0,-(EK342-EK348)-EK84))</f>
        <v>-1025.7459267415259</v>
      </c>
      <c r="EN208" s="32">
        <f t="shared" si="527"/>
        <v>-1043.278467269922</v>
      </c>
      <c r="EO208" s="1061">
        <f>IF(EO5="A",0,IF(EO91=0,0,(EM208)-(EM342-EM348)-EL84))</f>
        <v>-2069.0243940114478</v>
      </c>
      <c r="EP208" s="32">
        <f>IF(EP5="A",0,IF(EP91=0,0,-(EN342-EN348)-EN84))</f>
        <v>-1130.0327665150662</v>
      </c>
      <c r="EQ208" s="32">
        <f t="shared" si="528"/>
        <v>-1130.6647567255873</v>
      </c>
      <c r="ER208" s="1061">
        <f>IF(ER5="A",0,IF(ER91=0,0,(EP208)-(EP342-EP348)-EO84))</f>
        <v>-2260.6975232406535</v>
      </c>
      <c r="ES208" s="32">
        <f>IF(ES5="A",0,IF(ES91=0,0,-(EQ342-EQ348)-EQ84))</f>
        <v>-1247.8802724081183</v>
      </c>
      <c r="ET208" s="32">
        <f t="shared" si="529"/>
        <v>-1214.058860990252</v>
      </c>
      <c r="EU208" s="1061">
        <f>IF(EU5="A",0,IF(EU91=0,0,(ES208)-(ES342-ES348)-ER84))</f>
        <v>-2461.9391333983704</v>
      </c>
      <c r="EV208" s="32">
        <f>IF(EV5="A",0,IF(EV91=0,0,-(ET342-ET348)-ET84))</f>
        <v>-1356.8055207166788</v>
      </c>
      <c r="EW208" s="32">
        <f t="shared" si="530"/>
        <v>-1290.4124028664185</v>
      </c>
      <c r="EX208" s="1061">
        <f>IF(EX5="A",0,IF(EX91=0,0,(EV208)-(EV342-EV348)-EU84))</f>
        <v>-2647.2179235830972</v>
      </c>
      <c r="EY208" s="32">
        <f>IF(EY5="A",0,IF(EY91=0,0,-(EW342-EW348)-EW84))</f>
        <v>-1453.8042079178697</v>
      </c>
      <c r="EZ208" s="32">
        <f t="shared" si="540"/>
        <v>-1371.5809817916027</v>
      </c>
      <c r="FA208" s="1061">
        <f>IF(FA5="A",0,IF(FA91=0,0,(EY208)-(EY342-EY348)-EX84))</f>
        <v>-2825.3851897094723</v>
      </c>
      <c r="FD208"/>
      <c r="FE208"/>
      <c r="FF208"/>
      <c r="FG208"/>
      <c r="FH208"/>
      <c r="FI208"/>
    </row>
    <row r="209" spans="1:169" s="33" customFormat="1">
      <c r="B209" s="54" t="s">
        <v>614</v>
      </c>
      <c r="C209" s="54"/>
      <c r="D209" s="2" t="s">
        <v>506</v>
      </c>
      <c r="E209" s="1205"/>
      <c r="F209" s="32">
        <f t="shared" si="484"/>
        <v>0</v>
      </c>
      <c r="G209" s="1206"/>
      <c r="H209" s="1207"/>
      <c r="I209" s="32">
        <f t="shared" si="485"/>
        <v>0</v>
      </c>
      <c r="J209" s="1206"/>
      <c r="K209" s="1207"/>
      <c r="L209" s="32">
        <f t="shared" si="486"/>
        <v>0</v>
      </c>
      <c r="M209" s="1206"/>
      <c r="N209" s="1207"/>
      <c r="O209" s="32">
        <f t="shared" si="487"/>
        <v>0</v>
      </c>
      <c r="P209" s="1206"/>
      <c r="Q209" s="1207"/>
      <c r="R209" s="32">
        <f t="shared" si="488"/>
        <v>0</v>
      </c>
      <c r="S209" s="1206"/>
      <c r="T209" s="1207"/>
      <c r="U209" s="32">
        <f t="shared" si="489"/>
        <v>0</v>
      </c>
      <c r="V209" s="1206"/>
      <c r="W209" s="1207"/>
      <c r="X209" s="32">
        <f t="shared" si="490"/>
        <v>0</v>
      </c>
      <c r="Y209" s="1206"/>
      <c r="Z209" s="1207"/>
      <c r="AA209" s="32">
        <f t="shared" si="491"/>
        <v>0</v>
      </c>
      <c r="AB209" s="1206"/>
      <c r="AC209" s="1207"/>
      <c r="AD209" s="32">
        <f t="shared" si="492"/>
        <v>0</v>
      </c>
      <c r="AE209" s="1206"/>
      <c r="AF209" s="1207"/>
      <c r="AG209" s="32">
        <f t="shared" si="493"/>
        <v>0</v>
      </c>
      <c r="AH209" s="1206"/>
      <c r="AI209" s="1207"/>
      <c r="AJ209" s="32">
        <f t="shared" si="494"/>
        <v>0</v>
      </c>
      <c r="AK209" s="1206"/>
      <c r="AL209" s="1207"/>
      <c r="AM209" s="32">
        <f t="shared" si="495"/>
        <v>7</v>
      </c>
      <c r="AN209" s="1208">
        <v>7</v>
      </c>
      <c r="AO209" s="1207"/>
      <c r="AP209" s="32">
        <f t="shared" si="496"/>
        <v>0</v>
      </c>
      <c r="AQ209" s="1208">
        <v>0</v>
      </c>
      <c r="AR209" s="1207"/>
      <c r="AS209" s="32">
        <f t="shared" si="497"/>
        <v>13.321999999999999</v>
      </c>
      <c r="AT209" s="1208">
        <v>13.321999999999999</v>
      </c>
      <c r="AU209" s="1212">
        <v>0.98099999999999998</v>
      </c>
      <c r="AV209" s="32">
        <f t="shared" si="498"/>
        <v>-6.8010000000000002</v>
      </c>
      <c r="AW209" s="1208">
        <v>-5.82</v>
      </c>
      <c r="AX209" s="1212">
        <v>1.35</v>
      </c>
      <c r="AY209" s="32">
        <f t="shared" si="499"/>
        <v>-6.2590000000000003</v>
      </c>
      <c r="AZ209" s="1208">
        <v>-4.9089999999999998</v>
      </c>
      <c r="BA209" s="1212">
        <v>0</v>
      </c>
      <c r="BB209" s="32">
        <f t="shared" si="500"/>
        <v>0</v>
      </c>
      <c r="BC209" s="1206">
        <f>IF(Assumptions!BC175&lt;&gt;"0",Assumptions!BC175,0)</f>
        <v>0</v>
      </c>
      <c r="BD209" s="1212">
        <v>9.74</v>
      </c>
      <c r="BE209" s="32">
        <f t="shared" si="501"/>
        <v>4.0969999999999995</v>
      </c>
      <c r="BF209" s="1208">
        <v>13.837</v>
      </c>
      <c r="BG209" s="1207">
        <f>491.197-403.06</f>
        <v>88.137</v>
      </c>
      <c r="BH209" s="32">
        <f t="shared" si="502"/>
        <v>601.43299999999999</v>
      </c>
      <c r="BI209" s="1208">
        <v>689.57</v>
      </c>
      <c r="BJ209" s="1212">
        <v>21.79</v>
      </c>
      <c r="BK209" s="32">
        <f t="shared" si="532"/>
        <v>211.864</v>
      </c>
      <c r="BL209" s="1208">
        <v>233.654</v>
      </c>
      <c r="BM209" s="1212">
        <v>175.316</v>
      </c>
      <c r="BN209" s="32">
        <f t="shared" si="533"/>
        <v>93.301000000000016</v>
      </c>
      <c r="BO209" s="1213">
        <v>268.61700000000002</v>
      </c>
      <c r="BP209" s="1207">
        <f>IF(Assumptions!BP175&lt;&gt;"0",Assumptions!BP175,0)</f>
        <v>0</v>
      </c>
      <c r="BQ209" s="32">
        <f t="shared" si="503"/>
        <v>0</v>
      </c>
      <c r="BR209" s="1210">
        <f>IF(Assumptions!BR175&lt;&gt;"0",Assumptions!BR175,0)</f>
        <v>0</v>
      </c>
      <c r="BS209" s="1207">
        <f>-98.428</f>
        <v>-98.427999999999997</v>
      </c>
      <c r="BT209" s="32">
        <f t="shared" si="504"/>
        <v>352.55599999999998</v>
      </c>
      <c r="BU209" s="1213">
        <v>254.12799999999999</v>
      </c>
      <c r="BV209" s="1207">
        <f>IF(Assumptions!BV175&lt;&gt;"",Assumptions!BV175,0)</f>
        <v>0</v>
      </c>
      <c r="BW209" s="32">
        <f t="shared" si="505"/>
        <v>0</v>
      </c>
      <c r="BX209" s="1210">
        <f>IF(Assumptions!BX175&lt;&gt;"",Assumptions!BX175,0)</f>
        <v>0</v>
      </c>
      <c r="BY209" s="1212">
        <v>-395.36399999999998</v>
      </c>
      <c r="BZ209" s="32">
        <f t="shared" si="506"/>
        <v>361.35999999999996</v>
      </c>
      <c r="CA209" s="1213">
        <v>-34.003999999999998</v>
      </c>
      <c r="CB209" s="1212">
        <v>0.104</v>
      </c>
      <c r="CC209" s="32">
        <f t="shared" si="507"/>
        <v>-214.92500000000001</v>
      </c>
      <c r="CD209" s="1210">
        <f>-214.821</f>
        <v>-214.821</v>
      </c>
      <c r="CE209" s="1212">
        <v>0</v>
      </c>
      <c r="CF209" s="32">
        <f t="shared" si="508"/>
        <v>0</v>
      </c>
      <c r="CG209" s="1210">
        <v>0</v>
      </c>
      <c r="CH209" s="1212">
        <v>1112.4000000000001</v>
      </c>
      <c r="CI209" s="32">
        <f t="shared" si="509"/>
        <v>0</v>
      </c>
      <c r="CJ209" s="1213">
        <v>1112.4000000000001</v>
      </c>
      <c r="CK209" s="1212">
        <v>-170</v>
      </c>
      <c r="CL209" s="32">
        <f t="shared" si="510"/>
        <v>-1.3000000000000114</v>
      </c>
      <c r="CM209" s="1213">
        <v>-171.3</v>
      </c>
      <c r="CN209" s="1212">
        <v>100</v>
      </c>
      <c r="CO209" s="32">
        <f t="shared" si="511"/>
        <v>-103.5</v>
      </c>
      <c r="CP209" s="1213">
        <v>-3.5</v>
      </c>
      <c r="CQ209" s="1212">
        <v>494.1</v>
      </c>
      <c r="CR209" s="32">
        <f t="shared" si="512"/>
        <v>-497.1</v>
      </c>
      <c r="CS209" s="1210">
        <f>+-3</f>
        <v>-3</v>
      </c>
      <c r="CT209" s="1212">
        <v>1414.3</v>
      </c>
      <c r="CU209" s="32">
        <f t="shared" si="513"/>
        <v>-2131.1999999999998</v>
      </c>
      <c r="CV209" s="1210">
        <f>+-716.9</f>
        <v>-716.9</v>
      </c>
      <c r="CW209" s="1212">
        <v>1029.2</v>
      </c>
      <c r="CX209" s="32">
        <f t="shared" si="514"/>
        <v>-1610.5</v>
      </c>
      <c r="CY209" s="1213">
        <v>-581.29999999999995</v>
      </c>
      <c r="CZ209" s="1207">
        <f>+-669</f>
        <v>-669</v>
      </c>
      <c r="DA209" s="32">
        <f t="shared" si="515"/>
        <v>-806.5</v>
      </c>
      <c r="DB209" s="1210">
        <v>-1475.5</v>
      </c>
      <c r="DC209" s="1207">
        <v>762.9</v>
      </c>
      <c r="DD209" s="32">
        <f t="shared" si="516"/>
        <v>135.60000000000002</v>
      </c>
      <c r="DE209" s="1548">
        <v>898.5</v>
      </c>
      <c r="DF209" s="1549">
        <v>227.2</v>
      </c>
      <c r="DG209" s="1530">
        <f t="shared" si="517"/>
        <v>1425.5</v>
      </c>
      <c r="DH209" s="1550">
        <f>1652.7</f>
        <v>1652.7</v>
      </c>
      <c r="DI209" s="1549">
        <f>14.9-80.9</f>
        <v>-66</v>
      </c>
      <c r="DJ209" s="1530">
        <f t="shared" si="518"/>
        <v>-404.9</v>
      </c>
      <c r="DK209" s="1550">
        <v>-470.9</v>
      </c>
      <c r="DL209" s="1530">
        <f>79.8-333</f>
        <v>-253.2</v>
      </c>
      <c r="DM209" s="1530">
        <f t="shared" si="519"/>
        <v>569.59999999999991</v>
      </c>
      <c r="DN209" s="1696">
        <v>316.39999999999998</v>
      </c>
      <c r="DO209" s="1558">
        <f>2525.3-646.8-38.2+0.9</f>
        <v>1841.2000000000003</v>
      </c>
      <c r="DP209" s="1530">
        <f t="shared" si="520"/>
        <v>-100.20000000000027</v>
      </c>
      <c r="DQ209" s="1699">
        <f>-798+2539</f>
        <v>1741</v>
      </c>
      <c r="DR209" s="1686">
        <f>793-886</f>
        <v>-93</v>
      </c>
      <c r="DS209" s="1530">
        <f t="shared" si="521"/>
        <v>134</v>
      </c>
      <c r="DT209" s="1699">
        <f>-2017+2058</f>
        <v>41</v>
      </c>
      <c r="DU209" s="1222">
        <f>83-216</f>
        <v>-133</v>
      </c>
      <c r="DV209" s="1530">
        <f t="shared" si="522"/>
        <v>-602</v>
      </c>
      <c r="DW209" s="1699">
        <f>-832+97</f>
        <v>-735</v>
      </c>
      <c r="DX209" s="1691">
        <f>390-674</f>
        <v>-284</v>
      </c>
      <c r="DY209" s="32">
        <v>0</v>
      </c>
      <c r="DZ209" s="1223">
        <f t="shared" ref="DZ209:DZ211" si="543">SUM(DX209:DY209)</f>
        <v>-284</v>
      </c>
      <c r="EA209" s="1222"/>
      <c r="EB209" s="1222"/>
      <c r="EC209" s="1223"/>
      <c r="ED209" s="1222"/>
      <c r="EE209" s="1222"/>
      <c r="EF209" s="1223"/>
      <c r="EG209" s="1222"/>
      <c r="EH209" s="1222"/>
      <c r="EI209" s="1223"/>
      <c r="EJ209" s="1222"/>
      <c r="EK209" s="1222"/>
      <c r="EL209" s="1223"/>
      <c r="EM209" s="1222"/>
      <c r="EN209" s="1222"/>
      <c r="EO209" s="1223"/>
      <c r="EP209" s="1222"/>
      <c r="EQ209" s="1222"/>
      <c r="ER209" s="1223"/>
      <c r="ES209" s="1222"/>
      <c r="ET209" s="1222"/>
      <c r="EU209" s="1223"/>
      <c r="EV209" s="1222"/>
      <c r="EW209" s="1222"/>
      <c r="EX209" s="1223"/>
      <c r="EY209" s="1222"/>
      <c r="EZ209" s="1222"/>
      <c r="FA209" s="1223"/>
      <c r="FD209"/>
      <c r="FE209"/>
      <c r="FF209"/>
      <c r="FG209"/>
      <c r="FH209"/>
      <c r="FI209"/>
    </row>
    <row r="210" spans="1:169" s="33" customFormat="1">
      <c r="B210" s="54" t="s">
        <v>615</v>
      </c>
      <c r="C210" s="54"/>
      <c r="D210" s="2" t="s">
        <v>506</v>
      </c>
      <c r="E210" s="1205"/>
      <c r="F210" s="32">
        <f t="shared" si="484"/>
        <v>0</v>
      </c>
      <c r="G210" s="1206"/>
      <c r="H210" s="1207"/>
      <c r="I210" s="32">
        <f t="shared" si="485"/>
        <v>0</v>
      </c>
      <c r="J210" s="1206"/>
      <c r="K210" s="1207"/>
      <c r="L210" s="32">
        <f t="shared" si="486"/>
        <v>0</v>
      </c>
      <c r="M210" s="1206"/>
      <c r="N210" s="1207"/>
      <c r="O210" s="32">
        <f t="shared" si="487"/>
        <v>0</v>
      </c>
      <c r="P210" s="1206"/>
      <c r="Q210" s="1207"/>
      <c r="R210" s="32">
        <f t="shared" si="488"/>
        <v>0</v>
      </c>
      <c r="S210" s="1206"/>
      <c r="T210" s="1207"/>
      <c r="U210" s="32">
        <f t="shared" si="489"/>
        <v>0</v>
      </c>
      <c r="V210" s="1206"/>
      <c r="W210" s="1207"/>
      <c r="X210" s="32">
        <f t="shared" si="490"/>
        <v>0</v>
      </c>
      <c r="Y210" s="1206"/>
      <c r="Z210" s="1207"/>
      <c r="AA210" s="32">
        <f t="shared" si="491"/>
        <v>0</v>
      </c>
      <c r="AB210" s="1206"/>
      <c r="AC210" s="1207"/>
      <c r="AD210" s="32">
        <f t="shared" si="492"/>
        <v>0</v>
      </c>
      <c r="AE210" s="1206"/>
      <c r="AF210" s="1207"/>
      <c r="AG210" s="32">
        <f t="shared" si="493"/>
        <v>0</v>
      </c>
      <c r="AH210" s="1206"/>
      <c r="AI210" s="1207"/>
      <c r="AJ210" s="32">
        <f t="shared" si="494"/>
        <v>0</v>
      </c>
      <c r="AK210" s="1206"/>
      <c r="AL210" s="1207"/>
      <c r="AM210" s="32">
        <f t="shared" si="495"/>
        <v>-19.021999999999998</v>
      </c>
      <c r="AN210" s="1208">
        <v>-19.021999999999998</v>
      </c>
      <c r="AO210" s="1207"/>
      <c r="AP210" s="32">
        <f t="shared" si="496"/>
        <v>-1.228</v>
      </c>
      <c r="AQ210" s="1208">
        <v>-1.228</v>
      </c>
      <c r="AR210" s="1212">
        <v>-36.484000000000002</v>
      </c>
      <c r="AS210" s="32">
        <f t="shared" si="497"/>
        <v>-9.2999999999996419E-2</v>
      </c>
      <c r="AT210" s="1208">
        <v>-36.576999999999998</v>
      </c>
      <c r="AU210" s="1764">
        <v>-1.855</v>
      </c>
      <c r="AV210" s="32">
        <f t="shared" si="498"/>
        <v>1.855</v>
      </c>
      <c r="AW210" s="1208">
        <v>0</v>
      </c>
      <c r="AX210" s="1220"/>
      <c r="AY210" s="32">
        <f t="shared" si="499"/>
        <v>0</v>
      </c>
      <c r="AZ210" s="1206" t="str">
        <f>IF(AZ5="A","0",AZ214-AZ187-AZ204-AZ205-AZ208-AZ209-AZ211)</f>
        <v>0</v>
      </c>
      <c r="BA210" s="1764">
        <v>560.79999999999995</v>
      </c>
      <c r="BB210" s="32">
        <f t="shared" si="500"/>
        <v>-560.79999999999995</v>
      </c>
      <c r="BC210" s="1206" t="str">
        <f>IF(BC5="A","0",BC214-BC187-BC204-BC205-BC208-BC209-BC211)</f>
        <v>0</v>
      </c>
      <c r="BD210" s="1764">
        <v>-42.655999999999999</v>
      </c>
      <c r="BE210" s="32">
        <f t="shared" si="501"/>
        <v>0.14300000000000068</v>
      </c>
      <c r="BF210" s="1208">
        <v>-42.512999999999998</v>
      </c>
      <c r="BG210" s="1220" t="str">
        <f>IF(BG5="A","0",BG214-BG187-BG204-BG205-BG208-BG209-BG211)</f>
        <v>0</v>
      </c>
      <c r="BH210" s="32">
        <f t="shared" si="502"/>
        <v>-603.66099999999994</v>
      </c>
      <c r="BI210" s="1208">
        <v>-603.66099999999994</v>
      </c>
      <c r="BJ210" s="1764">
        <v>-4.6710000000000003</v>
      </c>
      <c r="BK210" s="32">
        <f t="shared" si="532"/>
        <v>-195.79500000000002</v>
      </c>
      <c r="BL210" s="1208">
        <v>-200.46600000000001</v>
      </c>
      <c r="BM210" s="1764">
        <v>-46.448999999999998</v>
      </c>
      <c r="BN210" s="32">
        <f t="shared" si="533"/>
        <v>-24.522999999999996</v>
      </c>
      <c r="BO210" s="1213">
        <v>-70.971999999999994</v>
      </c>
      <c r="BP210" s="1220" t="str">
        <f>IF(BP5="A","0",BP214-BP187-BP204-BP205-BP208-BP209-BP211)</f>
        <v>0</v>
      </c>
      <c r="BQ210" s="32">
        <f t="shared" si="503"/>
        <v>-2.0819999999999999</v>
      </c>
      <c r="BR210" s="1213">
        <v>-2.0819999999999999</v>
      </c>
      <c r="BS210" s="1220" t="str">
        <f>IF(BS5="A","0",BS214-BS187-BS204-BS205-BS208-BS209-BS211)</f>
        <v>0</v>
      </c>
      <c r="BT210" s="32">
        <f t="shared" si="504"/>
        <v>-20.718</v>
      </c>
      <c r="BU210" s="1213">
        <v>-20.718</v>
      </c>
      <c r="BV210" s="1764">
        <v>-35.633000000000003</v>
      </c>
      <c r="BW210" s="32">
        <f t="shared" si="505"/>
        <v>-1.2249999999999943</v>
      </c>
      <c r="BX210" s="1213">
        <v>-36.857999999999997</v>
      </c>
      <c r="BY210" s="1220">
        <v>-415.1</v>
      </c>
      <c r="BZ210" s="32">
        <f t="shared" si="506"/>
        <v>415.1</v>
      </c>
      <c r="CA210" s="1210">
        <v>0</v>
      </c>
      <c r="CB210" s="1764">
        <v>-213.56200000000001</v>
      </c>
      <c r="CC210" s="32">
        <f t="shared" si="507"/>
        <v>213.43600000000001</v>
      </c>
      <c r="CD210" s="1213">
        <v>-0.126</v>
      </c>
      <c r="CE210" s="1764">
        <v>-16.925000000000001</v>
      </c>
      <c r="CF210" s="32">
        <f t="shared" si="508"/>
        <v>-1.3670000000000009</v>
      </c>
      <c r="CG210" s="1213">
        <v>-18.292000000000002</v>
      </c>
      <c r="CH210" s="1764">
        <v>-242.2</v>
      </c>
      <c r="CI210" s="32">
        <f t="shared" si="509"/>
        <v>-1.4000000000000057</v>
      </c>
      <c r="CJ210" s="1213">
        <v>-243.6</v>
      </c>
      <c r="CK210" s="1764">
        <v>0</v>
      </c>
      <c r="CL210" s="32">
        <f t="shared" si="510"/>
        <v>566.20000000000005</v>
      </c>
      <c r="CM210" s="1210">
        <f>0.6+565.6</f>
        <v>566.20000000000005</v>
      </c>
      <c r="CN210" s="1764">
        <v>-1.9</v>
      </c>
      <c r="CO210" s="32">
        <f t="shared" si="511"/>
        <v>201.9</v>
      </c>
      <c r="CP210" s="1213">
        <v>200</v>
      </c>
      <c r="CQ210" s="1220">
        <f>+-2.3</f>
        <v>-2.2999999999999998</v>
      </c>
      <c r="CR210" s="32">
        <f t="shared" si="512"/>
        <v>496.5</v>
      </c>
      <c r="CS210" s="1213">
        <v>494.2</v>
      </c>
      <c r="CT210" s="1764">
        <v>-615.6</v>
      </c>
      <c r="CU210" s="32">
        <f t="shared" si="513"/>
        <v>2179.9</v>
      </c>
      <c r="CV210" s="1213">
        <v>1564.3</v>
      </c>
      <c r="CW210" s="1764">
        <v>-580</v>
      </c>
      <c r="CX210" s="32">
        <f t="shared" si="514"/>
        <v>1961.4</v>
      </c>
      <c r="CY210" s="1213">
        <v>1381.4</v>
      </c>
      <c r="CZ210" s="1220">
        <v>1140.9000000000001</v>
      </c>
      <c r="DA210" s="32">
        <f t="shared" si="515"/>
        <v>758</v>
      </c>
      <c r="DB210" s="1210">
        <v>1898.9</v>
      </c>
      <c r="DC210" s="1220">
        <v>-503.5</v>
      </c>
      <c r="DD210" s="32">
        <f t="shared" si="516"/>
        <v>-106.70000000000005</v>
      </c>
      <c r="DE210" s="1765">
        <v>-610.20000000000005</v>
      </c>
      <c r="DF210" s="1220">
        <v>-346.4</v>
      </c>
      <c r="DG210" s="32">
        <f t="shared" si="517"/>
        <v>-1052.8000000000002</v>
      </c>
      <c r="DH210" s="1211">
        <v>-1399.2</v>
      </c>
      <c r="DI210" s="1220"/>
      <c r="DJ210" s="32"/>
      <c r="DK210" s="1211"/>
      <c r="DL210" s="1222" t="str">
        <f>IF(DL5="A","",DL214-DL187-DL204-DL205-DL208-DL209-DL211)</f>
        <v/>
      </c>
      <c r="DM210" s="32">
        <f t="shared" si="519"/>
        <v>0</v>
      </c>
      <c r="DN210" s="1223" t="str">
        <f>IF(DN5="A","",DN214-DN187-DN204-DN205-DN208-DN209-DN211)</f>
        <v/>
      </c>
      <c r="DO210" s="1691">
        <v>0</v>
      </c>
      <c r="DP210" s="32">
        <f t="shared" si="520"/>
        <v>0</v>
      </c>
      <c r="DQ210" s="1701">
        <v>0</v>
      </c>
      <c r="DR210" s="1222" t="str">
        <f>IF(DR5="A","",DR214-DR187-DR204-DR205-DR208-DR209-DR211)</f>
        <v/>
      </c>
      <c r="DS210" s="32">
        <f t="shared" si="521"/>
        <v>0</v>
      </c>
      <c r="DT210" s="1223">
        <v>0</v>
      </c>
      <c r="DU210" s="1222">
        <v>0</v>
      </c>
      <c r="DV210" s="32">
        <f t="shared" si="522"/>
        <v>0</v>
      </c>
      <c r="DW210" s="1223">
        <v>0</v>
      </c>
      <c r="DX210" s="1691">
        <v>0</v>
      </c>
      <c r="DY210" s="32">
        <v>0</v>
      </c>
      <c r="DZ210" s="1223">
        <f t="shared" si="543"/>
        <v>0</v>
      </c>
      <c r="EA210" s="1222">
        <v>0</v>
      </c>
      <c r="EB210" s="32">
        <f>+EA210</f>
        <v>0</v>
      </c>
      <c r="EC210" s="1223">
        <f>IF(EC5="A","",EC214-EC187-EC204-EC205-EC208-EC209-EC211)</f>
        <v>-2.2737367544323206E-13</v>
      </c>
      <c r="ED210" s="1222">
        <v>0</v>
      </c>
      <c r="EE210" s="32">
        <v>0</v>
      </c>
      <c r="EF210" s="1223">
        <f>IF(EF5="A","",EF214-EF187-EF204-EF205-EF208-EF209-EF211)</f>
        <v>0</v>
      </c>
      <c r="EG210" s="1222">
        <v>0</v>
      </c>
      <c r="EH210" s="32">
        <v>0</v>
      </c>
      <c r="EI210" s="1223">
        <f>IF(EI5="A","",EI214-EI187-EI204-EI205-EI208-EI209-EI211)</f>
        <v>0</v>
      </c>
      <c r="EJ210" s="1222">
        <v>0</v>
      </c>
      <c r="EK210" s="32">
        <v>0</v>
      </c>
      <c r="EL210" s="1223">
        <f>IF(EL5="A","",EL214-EL187-EL204-EL205-EL208-EL209-EL211)</f>
        <v>0</v>
      </c>
      <c r="EM210" s="1222">
        <v>0</v>
      </c>
      <c r="EN210" s="32">
        <v>0</v>
      </c>
      <c r="EO210" s="1223">
        <f>IF(EO5="A","",EO214-EO187-EO204-EO205-EO208-EO209-EO211)</f>
        <v>0</v>
      </c>
      <c r="EP210" s="1222">
        <v>0</v>
      </c>
      <c r="EQ210" s="32">
        <v>0</v>
      </c>
      <c r="ER210" s="1223">
        <f>IF(ER5="A","",ER214-ER187-ER204-ER205-ER208-ER209-ER211)</f>
        <v>0</v>
      </c>
      <c r="ES210" s="1222">
        <v>0</v>
      </c>
      <c r="ET210" s="32">
        <v>0</v>
      </c>
      <c r="EU210" s="1223">
        <f>IF(EU5="A","",EU214-EU187-EU204-EU205-EU208-EU209-EU211)</f>
        <v>4.5474735088646412E-13</v>
      </c>
      <c r="EV210" s="1222">
        <v>0</v>
      </c>
      <c r="EW210" s="32">
        <v>0</v>
      </c>
      <c r="EX210" s="1223">
        <f>IF(EX5="A","",EX214-EX187-EX204-EX205-EX208-EX209-EX211)</f>
        <v>-4.5474735088646412E-13</v>
      </c>
      <c r="EY210" s="1222">
        <v>0</v>
      </c>
      <c r="EZ210" s="32">
        <v>0</v>
      </c>
      <c r="FA210" s="1223">
        <f>IF(FA5="A","",FA214-FA187-FA204-FA205-FA208-FA209-FA211)</f>
        <v>-4.5474735088646412E-13</v>
      </c>
      <c r="FD210"/>
      <c r="FE210"/>
      <c r="FF210"/>
      <c r="FG210"/>
      <c r="FH210"/>
      <c r="FI210"/>
    </row>
    <row r="211" spans="1:169" s="33" customFormat="1">
      <c r="B211" s="1730" t="s">
        <v>616</v>
      </c>
      <c r="C211" s="1730"/>
      <c r="D211" s="1732" t="s">
        <v>506</v>
      </c>
      <c r="E211" s="1766">
        <f>IF(E5="A",E212-E210-E209-E208-E205,((-(E239-D239))+(-(E244-D244))+(-(E249-D249))+(-(E256-D256))+(E280-D280)+(E285-D285)+(E298-D298)))</f>
        <v>0</v>
      </c>
      <c r="F211" s="1421">
        <f t="shared" si="484"/>
        <v>0</v>
      </c>
      <c r="G211" s="1766">
        <f>IF(G5="A",G212-G210-G209-G208-G205,((-(G239-D239))+(-(G244-D244))+(-(G249-D249))+(-(G256-D256))+(G280-D280)+(G285-D285)+(G298-D298)))</f>
        <v>0</v>
      </c>
      <c r="H211" s="1766">
        <f>IF(H5="A",H212-H210-H209-H208-H205,((-(H239-G239))+(-(H244-G244))+(-(H249-G249))+(-(H256-G256))+(H280-G280)+(H285-G285)+(H298-G298)))</f>
        <v>0</v>
      </c>
      <c r="I211" s="1421">
        <f t="shared" si="485"/>
        <v>0</v>
      </c>
      <c r="J211" s="1766">
        <f>IF(J5="A",J212-J210-J209-J208-J205,((-(J239-G239))+(-(J244-G244))+(-(J249-G249))+(-(J256-G256))+(J280-G280)+(J285-G285)+(J298-G298)))</f>
        <v>0</v>
      </c>
      <c r="K211" s="1766">
        <f>IF(K5="A",K212-K210-K209-K208-K205,((-(K239-J239))+(-(K244-J244))+(-(K249-J249))+(-(K256-J256))+(K280-J280)+(K285-J285)+(K298-J298)))</f>
        <v>0</v>
      </c>
      <c r="L211" s="1421">
        <f t="shared" si="486"/>
        <v>0</v>
      </c>
      <c r="M211" s="1766">
        <f>IF(M5="A",M212-M210-M209-M208-M205,((-(M239-J239))+(-(M244-J244))+(-(M249-J249))+(-(M256-J256))+(M280-J280)+(M285-J285)+(M298-J298)))</f>
        <v>0</v>
      </c>
      <c r="N211" s="1766">
        <f>IF(N5="A",N212-N210-N209-N208-N205,((-(N239-M239))+(-(N244-M244))+(-(N249-M249))+(-(N256-M256))+(N280-M280)+(N285-M285)+(N298-M298)))</f>
        <v>0</v>
      </c>
      <c r="O211" s="1421">
        <f t="shared" si="487"/>
        <v>0</v>
      </c>
      <c r="P211" s="1766">
        <f>IF(P5="A",P212-P210-P209-P208-P205,((-(P239-M239))+(-(P244-M244))+(-(P249-M249))+(-(P256-M256))+(P280-M280)+(P285-M285)+(P298-M298)))</f>
        <v>0</v>
      </c>
      <c r="Q211" s="1766">
        <f>IF(Q5="A",Q212-Q210-Q209-Q208-Q205,((-(Q239-P239))+(-(Q244-P244))+(-(Q249-P249))+(-(Q256-P256))+(Q280-P280)+(Q285-P285)+(Q298-P298)))</f>
        <v>0</v>
      </c>
      <c r="R211" s="1421">
        <f t="shared" si="488"/>
        <v>0</v>
      </c>
      <c r="S211" s="1766">
        <f>IF(S5="A",S212-S210-S209-S208-S205,((-(S239-P239))+(-(S244-P244))+(-(S249-P249))+(-(S256-P256))+(S280-P280)+(S285-P285)+(S298-P298)))</f>
        <v>0</v>
      </c>
      <c r="T211" s="1766">
        <f>IF(T5="A",T212-T210-T209-T208-T205,((-(T239-S239))+(-(T244-S244))+(-(T249-S249))+(-(T256-S256))+(T280-S280)+(T285-S285)+(T298-S298)))</f>
        <v>0</v>
      </c>
      <c r="U211" s="1421">
        <f t="shared" si="489"/>
        <v>0</v>
      </c>
      <c r="V211" s="1766">
        <f>IF(V5="A",V212-V210-V209-V208-V205,((-(V239-S239))+(-(V244-S244))+(-(V249-S249))+(-(V256-S256))+(V280-S280)+(V285-S285)+(V298-S298)))</f>
        <v>0</v>
      </c>
      <c r="W211" s="1766">
        <f>IF(W5="A",W212-W210-W209-W208-W205,((-(W239-V239))+(-(W244-V244))+(-(W249-V249))+(-(W256-V256))+(W280-V280)+(W285-V285)+(W298-V298)))</f>
        <v>0</v>
      </c>
      <c r="X211" s="1421">
        <f t="shared" si="490"/>
        <v>0</v>
      </c>
      <c r="Y211" s="1766">
        <f>IF(Y5="A",Y212-Y210-Y209-Y208-Y205,((-(Y239-V239))+(-(Y244-V244))+(-(Y249-V249))+(-(Y256-V256))+(Y280-V280)+(Y285-V285)+(Y298-V298)))</f>
        <v>0</v>
      </c>
      <c r="Z211" s="1766">
        <f>IF(Z5="A",Z212-Z210-Z209-Z208-Z205,((-(Z239-Y239))+(-(Z244-Y244))+(-(Z249-Y249))+(-(Z256-Y256))+(Z280-Y280)+(Z285-Y285)+(Z298-Y298)))</f>
        <v>0</v>
      </c>
      <c r="AA211" s="1421">
        <f t="shared" si="491"/>
        <v>0</v>
      </c>
      <c r="AB211" s="1766">
        <f>IF(AB5="A",AB212-AB210-AB209-AB208-AB205,((-(AB239-Y239))+(-(AB244-Y244))+(-(AB249-Y249))+(-(AB256-Y256))+(AB280-Y280)+(AB285-Y285)+(AB298-Y298)))</f>
        <v>0</v>
      </c>
      <c r="AC211" s="1766">
        <f>IF(AC5="A",AC212-AC210-AC209-AC208-AC205,((-(AC239-AB239))+(-(AC244-AB244))+(-(AC249-AB249))+(-(AC256-AB256))+(AC280-AB280)+(AC285-AB285)+(AC298-AB298)))</f>
        <v>0</v>
      </c>
      <c r="AD211" s="1421">
        <f t="shared" si="492"/>
        <v>0</v>
      </c>
      <c r="AE211" s="1766">
        <f>IF(AE5="A",AE212-AE210-AE209-AE208-AE205,((-(AE239-AB239))+(-(AE244-AB244))+(-(AE249-AB249))+(-(AE256-AB256))+(AE280-AB280)+(AE285-AB285)+(AE298-AB298)))</f>
        <v>0</v>
      </c>
      <c r="AF211" s="1766">
        <f>IF(AF5="A",AF212-AF210-AF209-AF208-AF205,((-(AF239-AE239))+(-(AF244-AE244))+(-(AF249-AE249))+(-(AF256-AE256))+(AF280-AE280)+(AF285-AE285)+(AF298-AE298)))</f>
        <v>0</v>
      </c>
      <c r="AG211" s="1421">
        <f t="shared" si="493"/>
        <v>0</v>
      </c>
      <c r="AH211" s="1766">
        <f>IF(AH5="A",AH212-AH210-AH209-AH208-AH205,((-(AH239-AE239))+(-(AH244-AE244))+(-(AH249-AE249))+(-(AH256-AE256))+(AH280-AE280)+(AH285-AE285)+(AH298-AE298)))</f>
        <v>0</v>
      </c>
      <c r="AI211" s="1766">
        <f>IF(AI5="A",AI212-AI210-AI209-AI208-AI205,((-(AI239-AH239))+(-(AI244-AH244))+(-(AI249-AH249))+(-(AI256-AH256))+(AI280-AH280)+(AI285-AH285)+(AI298-AH298)))</f>
        <v>0</v>
      </c>
      <c r="AJ211" s="1421">
        <f t="shared" si="494"/>
        <v>0.03</v>
      </c>
      <c r="AK211" s="1766">
        <f>IF(AK5="A",AK212-AK210-AK209-AK208-AK205,((-(AK239-AH239))+(-(AK244-AH244))+(-(AK249-AH249))+(-(AK256-AH256))+(AK280-AH280)+(AK285-AH285)+(AK298-AH298)))</f>
        <v>0.03</v>
      </c>
      <c r="AL211" s="1766">
        <f>IF(AL5="A",AL212-AL210-AL209-AL208-AL205,((-(AL239-AK239))+(-(AL244-AK244))+(-(AL249-AK249))+(-(AL256-AK256))+(AL280-AK280)+(AL285-AK285)+(AL298-AK298)))</f>
        <v>0</v>
      </c>
      <c r="AM211" s="1421">
        <f t="shared" si="495"/>
        <v>-21.650000000000006</v>
      </c>
      <c r="AN211" s="1766">
        <f>IF(AN5="A",AN212-AN210-AN209-AN208-AN205,((-(AN239-AK239))+(-(AN244-AK244))+(-(AN249-AK249))+(-(AN256-AK256))+(AN280-AK280)+(AN285-AK285)+(AN298-AK298)))</f>
        <v>-21.650000000000006</v>
      </c>
      <c r="AO211" s="1766">
        <v>-16.681000000000001</v>
      </c>
      <c r="AP211" s="1421">
        <v>-13.818999999999988</v>
      </c>
      <c r="AQ211" s="1767">
        <v>-30.499999999999989</v>
      </c>
      <c r="AR211" s="1766">
        <v>-34.889999999999993</v>
      </c>
      <c r="AS211" s="1421">
        <v>12.111999999999998</v>
      </c>
      <c r="AT211" s="1766">
        <v>-22.777999999999995</v>
      </c>
      <c r="AU211" s="1766">
        <v>-38.012</v>
      </c>
      <c r="AV211" s="1421">
        <v>35.272000000000006</v>
      </c>
      <c r="AW211" s="1766">
        <v>-2.7399999999999958</v>
      </c>
      <c r="AX211" s="1766">
        <v>18.842999999999996</v>
      </c>
      <c r="AY211" s="1421">
        <v>-14.677</v>
      </c>
      <c r="AZ211" s="1766">
        <v>4.1659999999999968</v>
      </c>
      <c r="BA211" s="1766">
        <v>4.1000000000100734E-2</v>
      </c>
      <c r="BB211" s="1421">
        <v>569.50391999999999</v>
      </c>
      <c r="BC211" s="1766">
        <v>569.54492000000005</v>
      </c>
      <c r="BD211" s="1766">
        <v>0</v>
      </c>
      <c r="BE211" s="1421">
        <v>0</v>
      </c>
      <c r="BF211" s="1766">
        <v>0</v>
      </c>
      <c r="BG211" s="1766">
        <v>4.4999999999999956</v>
      </c>
      <c r="BH211" s="1421">
        <v>-4.5000000000001554</v>
      </c>
      <c r="BI211" s="1766">
        <v>-1.5987211554602254E-13</v>
      </c>
      <c r="BJ211" s="1766">
        <v>41.348969999999952</v>
      </c>
      <c r="BK211" s="1421">
        <v>-51.474969999999814</v>
      </c>
      <c r="BL211" s="1766">
        <v>-10.125999999999863</v>
      </c>
      <c r="BM211" s="1766">
        <v>2.2204460492503131E-14</v>
      </c>
      <c r="BN211" s="1421">
        <v>-2.2204460492503131E-14</v>
      </c>
      <c r="BO211" s="1766">
        <v>0</v>
      </c>
      <c r="BP211" s="1766">
        <v>7.7479999999999905</v>
      </c>
      <c r="BQ211" s="1421">
        <v>-7.7479999999999905</v>
      </c>
      <c r="BR211" s="1766">
        <v>0</v>
      </c>
      <c r="BS211" s="1766">
        <f>IF(BS5="A",BS212-BS210-BS209-BS208-BS205,((-(BS239-BR239))+(-(BS244-BR244))+(-(BS249-BR249))+(-(BS256-BR256))+(BS280-BR280)+(BS285-BR285)+(BS298-BR298))+BS468+BS470+BS474+BS468+BS482+BS485+BS488)</f>
        <v>-1.0658141036401503E-14</v>
      </c>
      <c r="BT211" s="1421">
        <f t="shared" si="504"/>
        <v>-5.3290705182007514E-14</v>
      </c>
      <c r="BU211" s="1766">
        <f>IF(BU5="A",BU212-BU210-BU209-BU208-BU205,((-(BU239-BR239))+(-(BU244-BR244))+(-(BU249-BR249))+(-(BU256-BR256))+(BU280-BR280)+(BU285-BR285)+(BU298-BR298))+BU468+BU470+BU474+BU468+BU482+BU485+BU488)</f>
        <v>-6.3948846218409017E-14</v>
      </c>
      <c r="BV211" s="1766">
        <f>IF(BV5="A",BV212-BV210-BV209-BV208-BV205,((-(BV239-BU239))+(-(BV244-BU244))+(-(BV249-BU249))+(-(BV256-BU256))+(BV280-BU280)+(BV285-BU285)+(BV298-BU298))+BV468+BV470+BV474+BV478+BV483+BV486+BV489)</f>
        <v>-8.3999999999999631E-2</v>
      </c>
      <c r="BW211" s="1421">
        <f t="shared" si="505"/>
        <v>8.4000000000017394E-2</v>
      </c>
      <c r="BX211" s="1766">
        <f>IF(BX5="A",BX212-BX210-BX209-BX208-BX205,((-(BX239-BU239))+(-(BX244-BU244))+(-(BX249-BU249))+(-(BX256-BU256))+(BX280-BU280)+(BX285-BU285)+(BX298-BU298))+BX459+BX461+BX465+BX469+BX474+BX476+BX479)</f>
        <v>1.7763568394002505E-14</v>
      </c>
      <c r="BY211" s="1766">
        <f>IF(BY5="A",BY212-BY210-BY209-BY208-BY205,((-(BY239-BX239))+(-(BY244-BX244))+(-(BY249-BX249))+(-(BY256-BX256))+(BY280-BX280)+(BY285-BX285)+(BY298-BX298))+BY468+BY470+BY474+BY478+BY483+BY486+BY489)</f>
        <v>304.56100000000038</v>
      </c>
      <c r="BZ211" s="1421">
        <f t="shared" si="506"/>
        <v>-737.90100000000052</v>
      </c>
      <c r="CA211" s="1766">
        <f>IF(CA5="A",CA212-CA210-CA209-CA208-CA205,((-(CA239-BX239))+(-(CA244-BX244))+(-(CA249-BX249))+(-(CA256-BX256))+(CA280-BX280)+(CA285-BX285)+(CA298-BX298))+CA459+CA461+CA465+CA469+CA474+CA476+CA479)</f>
        <v>-433.34000000000015</v>
      </c>
      <c r="CB211" s="1766">
        <f>IF(CB5="A",CB212-CB210-CB209-CB208-CB205,((-(CB239-CA239))+(-(CB244-CA244))+(-(CB249-CA249))+(-(CB256-CA256))+(CB280-CA280)+(CB285-CA285)+(CB298-CA298))+CB468+CB470+CB474+CB478+CB483+CB486+CB489)</f>
        <v>-50.934954045274708</v>
      </c>
      <c r="CC211" s="1421">
        <f t="shared" si="507"/>
        <v>50.934954045274708</v>
      </c>
      <c r="CD211" s="1766">
        <f>IF(CD5="A",CD212-CD210-CD209-CD208-CD205,((-(CD239-CA239))+(-(CD244-CA244))+(-(CD249-CA249))+(-(CD256-CA256))+(CD280-CA280)+(CD285-CA285)+(CD298-CA298))+CD459+CD461+CD465+CD469+CD474+CD476+CD479)</f>
        <v>0</v>
      </c>
      <c r="CE211" s="1766">
        <f>IF(CE5="A",CE212-CE210-CE209-CE208-CE205,((-(CE239-CD239))+(-(CE244-CD244))+(-(CE249-CD249))+(-(CE256-CD256))+(CE280-CD280)+(CE285-CD285)+(CE298-CD298))+CE468+CE470+CE474+CE478+CE483+CE486+CE489)</f>
        <v>-0.20900000000006003</v>
      </c>
      <c r="CF211" s="1421">
        <f t="shared" si="508"/>
        <v>65.788999999999987</v>
      </c>
      <c r="CG211" s="1766">
        <f>IF(CG5="A",CG212-CG210-CG209-CG208-CG205,((-(CG239-CD239))+(-(CG244-CD244))+(-(CG249-CD249))+(-(CG256-CD256))+(CG280-CD280)+(CG285-CD285)+(CG298-CD298))+CG459+CG461+CG465+CG469+CG474+CG476+CG479)</f>
        <v>65.579999999999927</v>
      </c>
      <c r="CH211" s="1766">
        <f>IF(CH5="A",CH212-CH210-CH209-CH208-CH205,((-(CH239-CG239))+(-(CH244-CG244))+(-(CH249-CG249))+(-(CH256-CG256))+(CH280-CG280)+(CH285-CG285)+(CH298-CG298))+CH468+CH470+CH474+CH478+CH483+CH486+CH489)</f>
        <v>0.59999999999996589</v>
      </c>
      <c r="CI211" s="1421">
        <f t="shared" si="509"/>
        <v>-1.7053025658242404E-13</v>
      </c>
      <c r="CJ211" s="1766">
        <f>IF(CJ5="A",CJ212-CJ210-CJ209-CJ208-CJ205,((-(CJ239-CG239))+(-(CJ244-CG244))+(-(CJ249-CG249))+(-(CJ256-CG256))+(CJ280-CG280)+(CJ285-CG285)+(CJ298-CG298))+CJ459+CJ461+CJ465+CJ469+CJ474+CJ476+CJ479)</f>
        <v>0.59999999999979536</v>
      </c>
      <c r="CK211" s="1766">
        <f>IF(CK5="A",CK212-CK210-CK209-CK208-CK205,((-(CK239-CJ239))+(-(CK244-CJ244))+(-(CK249-CJ249))+(-(CK256-CJ256))+(CK280-CJ280)+(CK285-CJ285)+(CK298-CJ298))+CK468+CK470+CK474+CK478+CK483+CK486+CK489)</f>
        <v>9.9999999999965894E-2</v>
      </c>
      <c r="CL211" s="1421">
        <f t="shared" si="510"/>
        <v>-9.9999999999965894E-2</v>
      </c>
      <c r="CM211" s="1766">
        <f>IF(CM5="A",CM212-CM210-CM209-CM208-CM205,((-(CM239-CJ239))+(-(CM244-CJ244))+(-(CM249-CJ249))+(-(CM256-CJ256))+(CM280-CJ280)+(CM285-CJ285)+(CM298-CJ298))+CM459+CM461+CM465+CM469+CM474+CM476+CM479)</f>
        <v>0</v>
      </c>
      <c r="CN211" s="1766">
        <f>IF(CN5="A",CN212-CN210-CN209-CN208-CN205,((-(CN239-CM239))+(-(CN244-CM244))+(-(CN249-CM249))+(-(CN256-CM256))+(CN280-CM280)+(CN285-CM285)+(CN298-CM298))+CN468+CN470+CN474+CN478+CN483+CN486+CN489)</f>
        <v>-8.5265128291212022E-14</v>
      </c>
      <c r="CO211" s="1421">
        <f t="shared" si="511"/>
        <v>-2.8421709430404007E-14</v>
      </c>
      <c r="CP211" s="1766">
        <f>IF(CP5="A",CP212-CP210-CP209-CP208-CP205,((-(CP239-CM239))+(-(CP244-CM244))+(-(CP249-CM249))+(-(CP256-CM256))+(CP280-CM280)+(CP285-CM285)+(CP298-CM298))+CP459+CP461+CP465+CP469+CP474+CP476+CP479)</f>
        <v>-1.1368683772161603E-13</v>
      </c>
      <c r="CQ211" s="1766">
        <f>IF(CQ5="A",CQ212-CQ210-CQ209-CQ208-CQ205,((-(CQ239-CP239))+(-(CQ244-CP244))+(-(CQ249-CP249))+(-(CQ256-CP256))+(CQ280-CP280)+(CQ285-CP285)+(CQ298-CP298))+CQ468+CQ470+CQ474+CQ478+CQ483+CQ486+CQ489)</f>
        <v>9.9999999999994316E-2</v>
      </c>
      <c r="CR211" s="1421">
        <f t="shared" si="512"/>
        <v>0.10000000000005116</v>
      </c>
      <c r="CS211" s="1766">
        <f>IF(CS5="A",CS212-CS210-CS209-CS208-CS205,((-(CS239-CP239))+(-(CS244-CP244))+(-(CS249-CP249))+(-(CS256-CP256))+(CS280-CP280)+(CS285-CP285)+(CS298-CP298))+CS459+CS461+CS465+CS469+CS474+CS476+CS479)</f>
        <v>0.20000000000004547</v>
      </c>
      <c r="CT211" s="1766">
        <f>IF(CT5="A",CT212-CT210-CT209-CT208-CT205,((-(CT239-CS239))+(-(CT244-CS244))+(-(CT249-CS249))+(-(CT256-CS256))+(CT280-CS280)+(CT285-CS285)+(CT298-CS298))+CT468+CT470+CT474+CT478+CT483+CT486+CT489)</f>
        <v>-2.8421709430404007E-14</v>
      </c>
      <c r="CU211" s="1421">
        <f t="shared" si="513"/>
        <v>0.10000000000027853</v>
      </c>
      <c r="CV211" s="1766">
        <f>IF(CV5="A",CV212-CV210-CV209-CV208-CV205,((-(CV239-CS239))+(-(CV244-CS244))+(-(CV249-CS249))+(-(CV256-CS256))+(CV280-CS280)+(CV285-CS285)+(CV298-CS298))+CV459+CV461+CV465+CV469+CV474+CV476+CV479)</f>
        <v>0.10000000000025011</v>
      </c>
      <c r="CW211" s="1766">
        <f>IF(CW5="A",CW212-CW210-CW209-CW208-CW205,((-(CW239-CV239))+(-(CW244-CV244))+(-(CW249-CV249))+(-(CW256-CV256))+(CW280-CV280)+(CW285-CV285)+(CW298-CV298))+CW468+CW470+CW474+CW478+CW483+CW486+CW489)</f>
        <v>181.44566169188766</v>
      </c>
      <c r="CX211" s="1421">
        <f t="shared" si="514"/>
        <v>-185.36470931093527</v>
      </c>
      <c r="CY211" s="1766">
        <f>IF(CY5="A",CY212-CY210-CY209-CY208-CY205,((-(CY239-CV239))+(-(CY244-CV244))+(-(CY249-CV249))+(-(CY256-CV256))+(CY280-CV280)+(CY285-CV285)+(CY298-CV298))+CY459+CY461+CY465+CY469+CY474+CY476+CY479)</f>
        <v>-3.9190476190476033</v>
      </c>
      <c r="CZ211" s="1766">
        <f>IF(CZ5="A",CZ212-CZ210-CZ209-CZ208-CZ205,((-(CZ239-CY239))+(-(CZ244-CY244))+(-(CZ249-CY249))+(-(CZ256-CY256))+(CZ280-CY280)+(CZ285-CY285)+(CZ298-CY298))+CZ468+CZ470+CZ474+CZ478+CZ483+CZ486+CZ489)</f>
        <v>-1.1368683772161603E-13</v>
      </c>
      <c r="DA211" s="1421">
        <f t="shared" si="515"/>
        <v>7.1054273576010019E-14</v>
      </c>
      <c r="DB211" s="1766">
        <f>IF(DB5="A",DB212-DB210-DB209-DB208-DB205,((-(DB239-CY239))+(-(DB244-CY244))+(-(DB249-CY249))+(-(DB256-CY256))+(DB280-CY280)+(DB285-CY285)+(DB298-CY298))+DB459+DB461+DB465+DB469+DB474+DB476+DB479)</f>
        <v>-4.2632564145606011E-14</v>
      </c>
      <c r="DC211" s="1766">
        <f>IF(DC5="A",DC212-DC210-DC209-DC208-DC205,((-(DC239-DB239))+(-(DC244-DB244))+(-(DC249-DB249))+(-(DC256-DB256))+(DC280-DB280)+(DC285-DB285)+(DC298-DB298))+DC468+DC470+DC474+DC478+DC483+DC486+DC489)</f>
        <v>-5.8000000000000114</v>
      </c>
      <c r="DD211" s="1421">
        <f t="shared" si="516"/>
        <v>0.99999999999978328</v>
      </c>
      <c r="DE211" s="1762">
        <f>IF(DE5="A",DE212-DE210-DE209-DE208-DE205,((-(DE239-DB239))+(-(DE244-DB244))+(-(DE249-DB249))+(-(DE256-DB256))+(DE280-DB280)+(DE285-DB285)+(DE298-DB298))+DE459+DE461+DE465+DE469+DE474+DE476+DE479)</f>
        <v>-4.8000000000002281</v>
      </c>
      <c r="DF211" s="1766">
        <f>IF(DF5="A",DF212-DF210-DF209-DF208-DF205,((-(DF239-DE239))+(-(DF244-DE244))+(-(DF249-DE249))+(-(DF256-DE256))+(DF280-DE280)+(DF285-DE285)+(DF298-DE298))+DF468+DF470+DF474+DF478+DF483+DF486+DF489)</f>
        <v>-7.8000000000001464</v>
      </c>
      <c r="DG211" s="1421">
        <f t="shared" si="517"/>
        <v>-47.300000000000104</v>
      </c>
      <c r="DH211" s="1762">
        <f>IF(DH5="A",DH212-DH210-DH209-DH208-DH205,((-(DH239-DE239))+(-(DH244-DE244))+(-(DH249-DE249))+(-(DH256-DE256))+(DH280-DE280)+(DH285-DE285)+(DH298-DE298))+DH459+DH461+DH465+DH469+DH474+DH476+DH479)</f>
        <v>-55.10000000000025</v>
      </c>
      <c r="DI211" s="1766">
        <f>IF(DI5="A",DI212-DI210-DI209-DI208-DI205,((-(DI239-DH239))+(-(DI244-DH244))+(-(DI249-DH249))+(-(DI256-DH256))+(DI280-DH280)+(DI285-DH285)+(DI298-DH298))+DI468+DI470+DI474+DI478+DI483+DI486+DI489)</f>
        <v>-1.3000000000000824</v>
      </c>
      <c r="DJ211" s="1421">
        <f t="shared" si="518"/>
        <v>-28.000000000000121</v>
      </c>
      <c r="DK211" s="1762">
        <f>IF(DK5="A",DK212-DK210-DK209-DK208-DK205,((-(DK239-DH239))+(-(DK244-DH244))+(-(DK249-DH249))+(-(DK256-DH256))+(DK280-DH280)+(DK285-DH285)+(DK298-DH298))+DK459+DK461+DK465+DK469+DK474+DK476+DK479)</f>
        <v>-29.300000000000203</v>
      </c>
      <c r="DL211" s="1766">
        <f>IF(DL5="A",DL212-DL210-DL209-DL208-DL205,((-(DL239-DK239))+(-(DL244-DK244))+(-(DL249-DK249))+(-(DL256-DK256))+(DL280-DK280)+(DL285-DK285)+(DL298-DK298))+DL468+DL470+DL474+DL478+DL483+DL486+DL489)</f>
        <v>-1.7000000000007276</v>
      </c>
      <c r="DM211" s="1421">
        <f t="shared" si="519"/>
        <v>3411.7000000000025</v>
      </c>
      <c r="DN211" s="1762">
        <f>IF(DN5="A",DN212-DN210-DN209-DN208-DN205,((-(DN239-DK239))+(-(DN244-DK244))+(-(DN249-DK249))+(-(DN256-DK256))+(DN280-DK280)+(DN285-DK285)+(DN298-DK298))+DN459+DN461+DN465+DN469+DN474+DN476+DN479)</f>
        <v>3410.0000000000018</v>
      </c>
      <c r="DO211" s="1766">
        <f>IF(DO5="A",DO212-DO210-DO209-DO208-DO205,((-(DO239-DN239))+(-(DO244-DN244))+(-(DO249-DN249))+(-(DO256-DN256))+(DO280-DN280)+(DO285-DN285)+(DO298-DN298))+DO468+DO470+DO474+DO478+DO483+DO486+DO489)</f>
        <v>0.10000000000081855</v>
      </c>
      <c r="DP211" s="1421">
        <f t="shared" si="520"/>
        <v>-234.10000000000082</v>
      </c>
      <c r="DQ211" s="1762">
        <f>IF(DQ5="A",DQ212-DQ210-DQ209-DQ208-DQ205,((-(DQ239-DN239))+(-(DQ244-DN244))+(-(DQ249-DN249))+(-(DQ256-DN256))+(DQ280-DN280)+(DQ285-DN285)+(DQ298-DN298))+DQ459+DQ461+DQ465+DQ469+DQ474+DQ476+DQ479)</f>
        <v>-234</v>
      </c>
      <c r="DR211" s="1766">
        <f>IF(DR5="A",DR212-DR210-DR209-DR208-DR205,((-(DR239-DQ239))+(-(DR244-DQ244))+(-(DR249-DQ249))+(-(DR256-DQ256))+(DR280-DQ280)+(DR285-DQ285)+(DR298-DQ298))+DR468+DR470+DR474+DR478+DR483+DR486+DR489)</f>
        <v>-44</v>
      </c>
      <c r="DS211" s="1421">
        <f t="shared" si="521"/>
        <v>-129</v>
      </c>
      <c r="DT211" s="1762">
        <f>IF(DT5="A",DT212-DT210-DT209-DT208-DT205,((-(DT239-DQ239))+(-(DT244-DQ244))+(-(DT249-DQ249))+(-(DT256-DQ256))+(DT280-DQ280)+(DT285-DQ285)+(DT298-DQ298))+DT459+DT461+DT465+DT469+DT474+DT476+DT479)</f>
        <v>-173</v>
      </c>
      <c r="DU211" s="1766">
        <v>-45</v>
      </c>
      <c r="DV211" s="1421">
        <f t="shared" si="522"/>
        <v>-326</v>
      </c>
      <c r="DW211" s="1762">
        <f>IF(DW5="A",DW212-DW210-DW209-DW208-DW205,((-(DW239-DT239))+(-(DW244-DT244))+(-(DW249-DT249))+(-(DW256-DT256))+(DW280-DT280)+(DW285-DT285)+(DW298-DT298))+DW459+DW461+DW465+DW469+DW474+DW476+DW479)</f>
        <v>-371</v>
      </c>
      <c r="DX211" s="1899">
        <f>-50</f>
        <v>-50</v>
      </c>
      <c r="DY211" s="1421">
        <v>0</v>
      </c>
      <c r="DZ211" s="1762">
        <f t="shared" si="543"/>
        <v>-50</v>
      </c>
      <c r="EA211" s="1766">
        <f>IF(EA5="A",EA212-EA210-EA209-EA208-EA205,((-(EA239-DZ239))+(-(EA244-DZ244))+(-(EA249-DZ249))+(-(EA256-DZ256))+(EA280-DZ280)+(EA285-DZ285)+(EA298-DZ298))+EA468+EA470+EA474+EA478+EA483+EA486+EA489)</f>
        <v>0</v>
      </c>
      <c r="EB211" s="1766">
        <f>IF(EB5="A",EB212-EB210-EB209-EB208-EB205,((-(EB239-EA239))+(-(EB244-EA244))+(-(EB249-EA249))+(-(EB256-EA256))+(EB280-EA280)+(EB285-EA285)+(EB298-EA298))+EB468+EB470+EB474+EB478+EB483+EB486+EB489)</f>
        <v>0</v>
      </c>
      <c r="EC211" s="1762">
        <f>IF(EC5="A",EC212-EC210-EC209-EC208-EC205,((-(EC239-DZ239))+(-(EC244-DZ244))+(-(EC249-DZ249))+(-(EC256-DZ256))+(EC280-DZ280)+(EC285-DZ285)+(EC298-DZ298))+EC459+EC461+EC465+EC469+EC474+EC476+EC479)</f>
        <v>0</v>
      </c>
      <c r="ED211" s="1766">
        <f>IF(ED5="A",ED212-ED210-ED209-ED208-ED205,((-(ED239-EC239))+(-(ED244-EC244))+(-(ED249-EC249))+(-(ED256-EC256))+(ED280-EC280)+(ED285-EC285)+(ED298-EC298))+ED468+ED470+ED474+ED478+ED483+ED486+ED489)</f>
        <v>0</v>
      </c>
      <c r="EE211" s="1766">
        <f>IF(EE5="A",EE212-EE210-EE209-EE208-EE205,((-(EE239-ED239))+(-(EE244-ED244))+(-(EE249-ED249))+(-(EE256-ED256))+(EE280-ED280)+(EE285-ED285)+(EE298-ED298))+EE468+EE470+EE474+EE478+EE483+EE486+EE489)</f>
        <v>0</v>
      </c>
      <c r="EF211" s="1762">
        <f>IF(EF5="A",EF212-EF210-EF209-EF208-EF205,((-(EF239-EC239))+(-(EF244-EC244))+(-(EF249-EC249))+(-(EF256-EC256))+(EF280-EC280)+(EF285-EC285)+(EF298-EC298))+EF459+EF461+EF465+EF469+EF474+EF476+EF479)</f>
        <v>0</v>
      </c>
      <c r="EG211" s="1766">
        <f>IF(EG5="A",EG212-EG210-EG209-EG208-EG205,((-(EG239-EF239))+(-(EG244-EF244))+(-(EG249-EF249))+(-(EG256-EF256))+(EG280-EF280)+(EG285-EF285)+(EG298-EF298))+EG468+EG470+EG474+EG478+EG483+EG486+EG489)</f>
        <v>0</v>
      </c>
      <c r="EH211" s="1766">
        <f>IF(EH5="A",EH212-EH210-EH209-EH208-EH205,((-(EH239-EG239))+(-(EH244-EG244))+(-(EH249-EG249))+(-(EH256-EG256))+(EH280-EG280)+(EH285-EG285)+(EH298-EG298))+EH468+EH470+EH474+EH478+EH483+EH486+EH489)</f>
        <v>0</v>
      </c>
      <c r="EI211" s="1762">
        <f>IF(EI5="A",EI212-EI210-EI209-EI208-EI205,((-(EI239-EF239))+(-(EI244-EF244))+(-(EI249-EF249))+(-(EI256-EF256))+(EI280-EF280)+(EI285-EF285)+(EI298-EF298))+EI459+EI461+EI465+EI469+EI474+EI476+EI479)</f>
        <v>0</v>
      </c>
      <c r="EJ211" s="1766">
        <f>IF(EJ5="A",EJ212-EJ210-EJ209-EJ208-EJ205,((-(EJ239-EI239))+(-(EJ244-EI244))+(-(EJ249-EI249))+(-(EJ256-EI256))+(EJ280-EI280)+(EJ285-EI285)+(EJ298-EI298))+EJ468+EJ470+EJ474+EJ478+EJ483+EJ486+EJ489)</f>
        <v>0</v>
      </c>
      <c r="EK211" s="1766">
        <f>IF(EK5="A",EK212-EK210-EK209-EK208-EK205,((-(EK239-EJ239))+(-(EK244-EJ244))+(-(EK249-EJ249))+(-(EK256-EJ256))+(EK280-EJ280)+(EK285-EJ285)+(EK298-EJ298))+EK468+EK470+EK474+EK478+EK483+EK486+EK489)</f>
        <v>0</v>
      </c>
      <c r="EL211" s="1762">
        <f>IF(EL5="A",EL212-EL210-EL209-EL208-EL205,((-(EL239-EI239))+(-(EL244-EI244))+(-(EL249-EI249))+(-(EL256-EI256))+(EL280-EI280)+(EL285-EI285)+(EL298-EI298))+EL459+EL461+EL465+EL469+EL474+EL476+EL479)</f>
        <v>0</v>
      </c>
      <c r="EM211" s="1766">
        <f>IF(EM5="A",EM212-EM210-EM209-EM208-EM205,((-(EM239-EL239))+(-(EM244-EL244))+(-(EM249-EL249))+(-(EM256-EL256))+(EM280-EL280)+(EM285-EL285)+(EM298-EL298))+EM468+EM470+EM474+EM478+EM483+EM486+EM489)</f>
        <v>0</v>
      </c>
      <c r="EN211" s="1766">
        <f>IF(EN5="A",EN212-EN210-EN209-EN208-EN205,((-(EN239-EM239))+(-(EN244-EM244))+(-(EN249-EM249))+(-(EN256-EM256))+(EN280-EM280)+(EN285-EM285)+(EN298-EM298))+EN468+EN470+EN474+EN478+EN483+EN486+EN489)</f>
        <v>0</v>
      </c>
      <c r="EO211" s="1762">
        <f>IF(EO5="A",EO212-EO210-EO209-EO208-EO205,((-(EO239-EL239))+(-(EO244-EL244))+(-(EO249-EL249))+(-(EO256-EL256))+(EO280-EL280)+(EO285-EL285)+(EO298-EL298))+EO459+EO461+EO465+EO469+EO474+EO476+EO479)</f>
        <v>0</v>
      </c>
      <c r="EP211" s="1766">
        <f>IF(EP5="A",EP212-EP210-EP209-EP208-EP205,((-(EP239-EO239))+(-(EP244-EO244))+(-(EP249-EO249))+(-(EP256-EO256))+(EP280-EO280)+(EP285-EO285)+(EP298-EO298))+EP468+EP470+EP474+EP478+EP483+EP486+EP489)</f>
        <v>0</v>
      </c>
      <c r="EQ211" s="1766">
        <f>IF(EQ5="A",EQ212-EQ210-EQ209-EQ208-EQ205,((-(EQ239-EP239))+(-(EQ244-EP244))+(-(EQ249-EP249))+(-(EQ256-EP256))+(EQ280-EP280)+(EQ285-EP285)+(EQ298-EP298))+EQ468+EQ470+EQ474+EQ478+EQ483+EQ486+EQ489)</f>
        <v>0</v>
      </c>
      <c r="ER211" s="1762">
        <f>IF(ER5="A",ER212-ER210-ER209-ER208-ER205,((-(ER239-EO239))+(-(ER244-EO244))+(-(ER249-EO249))+(-(ER256-EO256))+(ER280-EO280)+(ER285-EO285)+(ER298-EO298))+ER459+ER461+ER465+ER469+ER474+ER476+ER479)</f>
        <v>0</v>
      </c>
      <c r="ES211" s="1766">
        <f>IF(ES5="A",ES212-ES210-ES209-ES208-ES205,((-(ES239-ER239))+(-(ES244-ER244))+(-(ES249-ER249))+(-(ES256-ER256))+(ES280-ER280)+(ES285-ER285)+(ES298-ER298))+ES468+ES470+ES474+ES478+ES483+ES486+ES489)</f>
        <v>0</v>
      </c>
      <c r="ET211" s="1766">
        <f>IF(ET5="A",ET212-ET210-ET209-ET208-ET205,((-(ET239-ES239))+(-(ET244-ES244))+(-(ET249-ES249))+(-(ET256-ES256))+(ET280-ES280)+(ET285-ES285)+(ET298-ES298))+ET468+ET470+ET474+ET478+ET483+ET486+ET489)</f>
        <v>0</v>
      </c>
      <c r="EU211" s="1762">
        <f>IF(EU5="A",EU212-EU210-EU209-EU208-EU205,((-(EU239-ER239))+(-(EU244-ER244))+(-(EU249-ER249))+(-(EU256-ER256))+(EU280-ER280)+(EU285-ER285)+(EU298-ER298))+EU459+EU461+EU465+EU469+EU474+EU476+EU479)</f>
        <v>0</v>
      </c>
      <c r="EV211" s="1766">
        <f>IF(EV5="A",EV212-EV210-EV209-EV208-EV205,((-(EV239-EU239))+(-(EV244-EU244))+(-(EV249-EU249))+(-(EV256-EU256))+(EV280-EU280)+(EV285-EU285)+(EV298-EU298))+EV468+EV470+EV474+EV478+EV483+EV486+EV489)</f>
        <v>0</v>
      </c>
      <c r="EW211" s="1766">
        <f>IF(EW5="A",EW212-EW210-EW209-EW208-EW205,((-(EW239-EV239))+(-(EW244-EV244))+(-(EW249-EV249))+(-(EW256-EV256))+(EW280-EV280)+(EW285-EV285)+(EW298-EV298))+EW468+EW470+EW474+EW478+EW483+EW486+EW489)</f>
        <v>0</v>
      </c>
      <c r="EX211" s="1762">
        <f>IF(EX5="A",EX212-EX210-EX209-EX208-EX205,((-(EX239-EU239))+(-(EX244-EU244))+(-(EX249-EU249))+(-(EX256-EU256))+(EX280-EU280)+(EX285-EU285)+(EX298-EU298))+EX459+EX461+EX465+EX469+EX474+EX476+EX479)</f>
        <v>0</v>
      </c>
      <c r="EY211" s="1766">
        <f>IF(EY5="A",EY212-EY210-EY209-EY208-EY205,((-(EY239-EX239))+(-(EY244-EX244))+(-(EY249-EX249))+(-(EY256-EX256))+(EY280-EX280)+(EY285-EX285)+(EY298-EX298))+EY468+EY470+EY474+EY478+EY483+EY486+EY489)</f>
        <v>0</v>
      </c>
      <c r="EZ211" s="1766">
        <f>IF(EZ5="A",EZ212-EZ210-EZ209-EZ208-EZ205,((-(EZ239-EY239))+(-(EZ244-EY244))+(-(EZ249-EY249))+(-(EZ256-EY256))+(EZ280-EY280)+(EZ285-EY285)+(EZ298-EY298))+EZ468+EZ470+EZ474+EZ478+EZ483+EZ486+EZ489)</f>
        <v>0</v>
      </c>
      <c r="FA211" s="1762">
        <f>IF(FA5="A",FA212-FA210-FA209-FA208-FA205,((-(FA239-EX239))+(-(FA244-EX244))+(-(FA249-EX249))+(-(FA256-EX256))+(FA280-EX280)+(FA285-EX285)+(FA298-EX298))+FA459+FA461+FA465+FA469+FA474+FA476+FA479)</f>
        <v>0</v>
      </c>
      <c r="FD211"/>
      <c r="FE211"/>
      <c r="FF211"/>
      <c r="FG211"/>
      <c r="FH211"/>
      <c r="FI211"/>
    </row>
    <row r="212" spans="1:169" s="61" customFormat="1">
      <c r="B212" s="60" t="s">
        <v>617</v>
      </c>
      <c r="C212" s="60"/>
      <c r="D212" s="1658" t="s">
        <v>506</v>
      </c>
      <c r="E212" s="1272">
        <f>IF(E5="A",E214-E187-E204,E205+E208+E209+E210+E211)</f>
        <v>0</v>
      </c>
      <c r="F212" s="1272">
        <f t="shared" si="484"/>
        <v>0</v>
      </c>
      <c r="G212" s="1272">
        <f>IF(G5="A",G214-G187-G204,G205+G208+G209+G210+G211)</f>
        <v>0</v>
      </c>
      <c r="H212" s="1272">
        <f>IF(H5="A",H214-H187-H204,H205+H208+H209+H210+H211)</f>
        <v>0</v>
      </c>
      <c r="I212" s="1272">
        <f t="shared" si="485"/>
        <v>0</v>
      </c>
      <c r="J212" s="1272">
        <f>IF(J5="A",J214-J187-J204,J205+J208+J209+J210+J211)</f>
        <v>0</v>
      </c>
      <c r="K212" s="1272">
        <f>IF(K5="A",K214-K187-K204,K205+K208+K209+K210+K211)</f>
        <v>0</v>
      </c>
      <c r="L212" s="1272">
        <f t="shared" si="486"/>
        <v>0</v>
      </c>
      <c r="M212" s="1272">
        <f>IF(M5="A",M214-M187-M204,M205+M208+M209+M210+M211)</f>
        <v>0</v>
      </c>
      <c r="N212" s="1272">
        <f>IF(N5="A",N214-N187-N204,N205+N208+N209+N210+N211)</f>
        <v>0</v>
      </c>
      <c r="O212" s="1272">
        <f t="shared" si="487"/>
        <v>0</v>
      </c>
      <c r="P212" s="1272">
        <f>IF(P5="A",P214-P187-P204,P205+P208+P209+P210+P211)</f>
        <v>0</v>
      </c>
      <c r="Q212" s="1272">
        <f>IF(Q5="A",Q214-Q187-Q204,Q205+Q208+Q209+Q210+Q211)</f>
        <v>0</v>
      </c>
      <c r="R212" s="1272">
        <f t="shared" si="488"/>
        <v>0</v>
      </c>
      <c r="S212" s="1272">
        <f>IF(S5="A",S214-S187-S204,S205+S208+S209+S210+S211)</f>
        <v>0</v>
      </c>
      <c r="T212" s="1272">
        <f>IF(T5="A",T214-T187-T204,T205+T208+T209+T210+T211)</f>
        <v>0</v>
      </c>
      <c r="U212" s="1272">
        <f t="shared" si="489"/>
        <v>0</v>
      </c>
      <c r="V212" s="1272">
        <f>IF(V5="A",V214-V187-V204,V205+V208+V209+V210+V211)</f>
        <v>0</v>
      </c>
      <c r="W212" s="1272">
        <f>IF(W5="A",W214-W187-W204,W205+W208+W209+W210+W211)</f>
        <v>0</v>
      </c>
      <c r="X212" s="1272">
        <f t="shared" si="490"/>
        <v>0</v>
      </c>
      <c r="Y212" s="1272">
        <f>IF(Y5="A",Y214-Y187-Y204,Y205+Y208+Y209+Y210+Y211)</f>
        <v>0</v>
      </c>
      <c r="Z212" s="1272">
        <f>IF(Z5="A",Z214-Z187-Z204,Z205+Z208+Z209+Z210+Z211)</f>
        <v>0</v>
      </c>
      <c r="AA212" s="1272">
        <f t="shared" si="491"/>
        <v>0</v>
      </c>
      <c r="AB212" s="1272">
        <f>IF(AB5="A",AB214-AB187-AB204,AB205+AB208+AB209+AB210+AB211)</f>
        <v>0</v>
      </c>
      <c r="AC212" s="1272">
        <f>IF(AC5="A",AC214-AC187-AC204,AC205+AC208+AC209+AC210+AC211)</f>
        <v>0</v>
      </c>
      <c r="AD212" s="1272">
        <f t="shared" si="492"/>
        <v>0</v>
      </c>
      <c r="AE212" s="1272">
        <f>IF(AE5="A",AE214-AE187-AE204,AE205+AE208+AE209+AE210+AE211)</f>
        <v>0</v>
      </c>
      <c r="AF212" s="1272">
        <f>IF(AF5="A",AF214-AF187-AF204,AF205+AF208+AF209+AF210+AF211)</f>
        <v>0</v>
      </c>
      <c r="AG212" s="1272">
        <f t="shared" si="493"/>
        <v>0</v>
      </c>
      <c r="AH212" s="1272">
        <f>IF(AH5="A",AH214-AH187-AH204,AH205+AH208+AH209+AH210+AH211)</f>
        <v>0</v>
      </c>
      <c r="AI212" s="1272">
        <f>IF(AI5="A",AI214-AI187-AI204,AI205+AI208+AI209+AI210+AI211)</f>
        <v>0</v>
      </c>
      <c r="AJ212" s="1272">
        <f t="shared" si="494"/>
        <v>0.03</v>
      </c>
      <c r="AK212" s="1272">
        <f>IF(AK5="A",AK214-AK187-AK204,AK205+AK208+AK209+AK210+AK211)</f>
        <v>0.03</v>
      </c>
      <c r="AL212" s="1272">
        <f>IF(AL5="A",AL214-AL187-AL204,AL205+AL208+AL209+AL210+AL211)</f>
        <v>0</v>
      </c>
      <c r="AM212" s="1272">
        <f t="shared" si="495"/>
        <v>-49.272000000000006</v>
      </c>
      <c r="AN212" s="1272">
        <f>IF(AN5="A",AN214-AN187-AN204,AN205+AN208+AN209+AN210+AN211)</f>
        <v>-49.272000000000006</v>
      </c>
      <c r="AO212" s="1272">
        <f>IF(AO5="A",AO214-AO187-AO204,AO205+AO208+AO209+AO210+AO211)</f>
        <v>-16.681000000000001</v>
      </c>
      <c r="AP212" s="1272">
        <f t="shared" si="496"/>
        <v>-32.596999999999994</v>
      </c>
      <c r="AQ212" s="1272">
        <f>IF(AQ5="A",AQ214-AQ187-AQ204,AQ205+AQ208+AQ209+AQ210+AQ211)</f>
        <v>-49.277999999999992</v>
      </c>
      <c r="AR212" s="1272">
        <f>IF(AR5="A",AR214-AR187-AR204,AR205+AR208+AR209+AR210+AR211)</f>
        <v>-55.58</v>
      </c>
      <c r="AS212" s="1272">
        <f t="shared" si="497"/>
        <v>-8.7869999999999919</v>
      </c>
      <c r="AT212" s="1272">
        <f>IF(AT5="A",AT214-AT187-AT204,AT205+AT208+AT209+AT210+AT211)</f>
        <v>-64.36699999999999</v>
      </c>
      <c r="AU212" s="1272">
        <f>IF(AU5="A",AU214-AU187-AU204,AU205+AU208+AU209+AU210+AU211)</f>
        <v>-54.253999999999998</v>
      </c>
      <c r="AV212" s="1272">
        <f t="shared" si="498"/>
        <v>21.438000000000002</v>
      </c>
      <c r="AW212" s="1272">
        <f>IF(AW5="A",AW214-AW187-AW204,AW205+AW208+AW209+AW210+AW211)</f>
        <v>-32.815999999999995</v>
      </c>
      <c r="AX212" s="1272">
        <f>IF(AX5="A",AX214-AX187-AX204,AX205+AX208+AX209+AX210+AX211)</f>
        <v>0.97599999999999909</v>
      </c>
      <c r="AY212" s="1272">
        <f t="shared" si="499"/>
        <v>325.65499999999997</v>
      </c>
      <c r="AZ212" s="1272">
        <f>IF(AZ5="A",AZ214-AZ187-AZ204,AZ205+AZ208+AZ209+AZ210+AZ211)</f>
        <v>326.63099999999997</v>
      </c>
      <c r="BA212" s="1272">
        <f>IF(BA5="A",BA214-BA187-BA204,BA205+BA208+BA209+BA210+BA211)</f>
        <v>543.08799999999997</v>
      </c>
      <c r="BB212" s="1752">
        <f t="shared" si="500"/>
        <v>4.0349200000000565</v>
      </c>
      <c r="BC212" s="1709">
        <f>IF(BC5="A",BC214-BC187-BC204,BC205+BC208+BC209+BC210+BC211)</f>
        <v>547.12292000000002</v>
      </c>
      <c r="BD212" s="1272">
        <f>IF(BD5="A",BD214-BD187-BD204,BD205+BD208+BD209+BD210+BD211)</f>
        <v>266.97499999999997</v>
      </c>
      <c r="BE212" s="1272">
        <f t="shared" si="501"/>
        <v>-15.141999999999967</v>
      </c>
      <c r="BF212" s="1272">
        <f>IF(BF5="A",BF214-BF187-BF204,BF205+BF208+BF209+BF210+BF211)</f>
        <v>251.833</v>
      </c>
      <c r="BG212" s="1272">
        <f>IF(BG5="A",BG214-BG187-BG204,BG205+BG208+BG209+BG210+BG211)</f>
        <v>59.647999999999996</v>
      </c>
      <c r="BH212" s="1272">
        <f t="shared" si="502"/>
        <v>-20.362000000000009</v>
      </c>
      <c r="BI212" s="1272">
        <f>IF(BI5="A",BI214-BI187-BI204,BI205+BI208+BI209+BI210+BI211)</f>
        <v>39.285999999999987</v>
      </c>
      <c r="BJ212" s="1272">
        <f>IF(BJ5="A",BJ214-BJ187-BJ204,BJ205+BJ208+BJ209+BJ210+BJ211)</f>
        <v>465.70596999999998</v>
      </c>
      <c r="BK212" s="1272">
        <f t="shared" si="532"/>
        <v>76.296030000000087</v>
      </c>
      <c r="BL212" s="1272">
        <f>IF(BL5="A",BL214-BL187-BL204,BL205+BL208+BL209+BL210+BL211)</f>
        <v>542.00200000000007</v>
      </c>
      <c r="BM212" s="1272">
        <f>IF(BM5="A",BM214-BM187-BM204,BM205+BM208+BM209+BM210+BM211)</f>
        <v>104.62200000000001</v>
      </c>
      <c r="BN212" s="1272">
        <f t="shared" si="533"/>
        <v>-271.31000000000006</v>
      </c>
      <c r="BO212" s="1272">
        <f>IF(BO5="A",BO214-BO187-BO204,BO205+BO208+BO209+BO210+BO211)</f>
        <v>-166.68800000000002</v>
      </c>
      <c r="BP212" s="1272">
        <f>IF(BP5="A",BP214-BP187-BP204,BP205+BP208+BP209+BP210+BP211)</f>
        <v>-264.25200000000001</v>
      </c>
      <c r="BQ212" s="1272">
        <f t="shared" si="503"/>
        <v>-92.050999999999988</v>
      </c>
      <c r="BR212" s="1272">
        <f>IF(BR5="A",BR214-BR187-BR204,BR205+BR208+BR209+BR210+BR211)</f>
        <v>-356.303</v>
      </c>
      <c r="BS212" s="1272">
        <f>IF(BS5="A",BS214-BS187-BS204,BS205+BS208+BS209+BS210+BS211)</f>
        <v>-153.46600000000001</v>
      </c>
      <c r="BT212" s="1272">
        <f t="shared" si="504"/>
        <v>256.03699999999992</v>
      </c>
      <c r="BU212" s="1272">
        <f>IF(BU5="A",BU214-BU187-BU204,BU205+BU208+BU209+BU210+BU211)</f>
        <v>102.57099999999991</v>
      </c>
      <c r="BV212" s="1272">
        <f>IF(BV5="A",BV214-BV187-BV204,BV205+BV208+BV209+BV210+BV211)</f>
        <v>-126.70500000000001</v>
      </c>
      <c r="BW212" s="1272">
        <f t="shared" si="505"/>
        <v>-124.48499999999999</v>
      </c>
      <c r="BX212" s="1272">
        <f>IF(BX5="A",BX214-BX187-BX204,BX205+BX208+BX209+BX210+BX211)</f>
        <v>-251.19</v>
      </c>
      <c r="BY212" s="1272">
        <f>IF(BY5="A",BY214-BY187-BY204,BY205+BY208+BY209+BY210+BY211)</f>
        <v>1210.2909999999999</v>
      </c>
      <c r="BZ212" s="1272">
        <f t="shared" si="506"/>
        <v>-156.16499999999996</v>
      </c>
      <c r="CA212" s="1272">
        <f>IF(CA5="A",CA214-CA187-CA204,CA205+CA208+CA209+CA210+CA211)</f>
        <v>1054.126</v>
      </c>
      <c r="CB212" s="1272">
        <f>IF(CB5="A",CB214-CB187-CB204,CB205+CB208+CB209+CB210+CB211)</f>
        <v>-1937.0179540452746</v>
      </c>
      <c r="CC212" s="1272">
        <f t="shared" si="507"/>
        <v>-415.52904595472546</v>
      </c>
      <c r="CD212" s="1272">
        <f>IF(CD5="A",CD214-CD187-CD204,CD205+CD208+CD209+CD210+CD211)</f>
        <v>-2352.547</v>
      </c>
      <c r="CE212" s="1272">
        <f>IF(CE5="A",CE214-CE187-CE204,CE205+CE208+CE209+CE210+CE211)</f>
        <v>-555.37800000000004</v>
      </c>
      <c r="CF212" s="1272">
        <f t="shared" si="508"/>
        <v>-733.21600000000001</v>
      </c>
      <c r="CG212" s="1272">
        <f>IF(CG5="A",CG214-CG187-CG204,CG205+CG208+CG209+CG210+CG211)</f>
        <v>-1288.5940000000001</v>
      </c>
      <c r="CH212" s="1272">
        <f>IF(CH5="A",CH214-CH187-CH204,CH205+CH208+CH209+CH210+CH211)</f>
        <v>462</v>
      </c>
      <c r="CI212" s="1272">
        <f t="shared" si="509"/>
        <v>-656.7</v>
      </c>
      <c r="CJ212" s="1272">
        <f>IF(CJ5="A",CJ214-CJ187-CJ204,CJ205+CJ208+CJ209+CJ210+CJ211)</f>
        <v>-194.70000000000005</v>
      </c>
      <c r="CK212" s="1272">
        <f>IF(CK5="A",CK214-CK187-CK204,CK205+CK208+CK209+CK210+CK211)</f>
        <v>-868.30000000000007</v>
      </c>
      <c r="CL212" s="1272">
        <f t="shared" si="510"/>
        <v>-350.19999999999993</v>
      </c>
      <c r="CM212" s="1272">
        <f>IF(CM5="A",CM214-CM187-CM204,CM205+CM208+CM209+CM210+CM211)</f>
        <v>-1218.5</v>
      </c>
      <c r="CN212" s="1272">
        <f>IF(CN5="A",CN214-CN187-CN204,CN205+CN208+CN209+CN210+CN211)</f>
        <v>-386.30000000000007</v>
      </c>
      <c r="CO212" s="1272">
        <f t="shared" si="511"/>
        <v>-750.80000000000007</v>
      </c>
      <c r="CP212" s="1272">
        <f>IF(CP5="A",CP214-CP187-CP204,CP205+CP208+CP209+CP210+CP211)</f>
        <v>-1137.1000000000001</v>
      </c>
      <c r="CQ212" s="1272">
        <f>IF(CQ5="A",CQ214-CQ187-CQ204,CQ205+CQ208+CQ209+CQ210+CQ211)</f>
        <v>87.900000000000034</v>
      </c>
      <c r="CR212" s="1272">
        <f t="shared" si="512"/>
        <v>-915.8</v>
      </c>
      <c r="CS212" s="1272">
        <f>IF(CS5="A",CS214-CS187-CS204,CS205+CS208+CS209+CS210+CS211)</f>
        <v>-827.89999999999986</v>
      </c>
      <c r="CT212" s="1272">
        <f>IF(CT5="A",CT214-CT187-CT204,CT205+CT208+CT209+CT210+CT211)</f>
        <v>344.69999999999993</v>
      </c>
      <c r="CU212" s="1272">
        <f t="shared" si="513"/>
        <v>-706.99999999999989</v>
      </c>
      <c r="CV212" s="1272">
        <f>IF(CV5="A",CV214-CV187-CV204,CV205+CV208+CV209+CV210+CV211)</f>
        <v>-362.29999999999995</v>
      </c>
      <c r="CW212" s="1272">
        <f>IF(CW5="A",CW214-CW187-CW204,CW205+CW208+CW209+CW210+CW211)</f>
        <v>215.8456616918877</v>
      </c>
      <c r="CX212" s="1272">
        <f t="shared" si="514"/>
        <v>-323.26470931093525</v>
      </c>
      <c r="CY212" s="1272">
        <f>IF(CY5="A",CY214-CY187-CY204,CY205+CY208+CY209+CY210+CY211)</f>
        <v>-107.41904761904755</v>
      </c>
      <c r="CZ212" s="1272">
        <f>IF(CZ5="A",CZ214-CZ187-CZ204,CZ205+CZ208+CZ209+CZ210+CZ211)</f>
        <v>16.299999999999955</v>
      </c>
      <c r="DA212" s="1272">
        <f t="shared" si="515"/>
        <v>-387.79999999999995</v>
      </c>
      <c r="DB212" s="1272">
        <f>IF(DB5="A",DB214-DB187-DB204,DB205+DB208+DB209+DB210+DB211)</f>
        <v>-371.5</v>
      </c>
      <c r="DC212" s="1272">
        <f>IF(DC5="A",DC214-DC187-DC204,DC205+DC208+DC209+DC210+DC211)</f>
        <v>-147.20000000000005</v>
      </c>
      <c r="DD212" s="1272">
        <f t="shared" si="516"/>
        <v>-344.30000000000018</v>
      </c>
      <c r="DE212" s="1276">
        <f>IF(DE5="A",DE214-DE187-DE204,DE205+DE208+DE209+DE210+DE211)</f>
        <v>-491.50000000000023</v>
      </c>
      <c r="DF212" s="1272">
        <f>IF(DF5="A",DF214-DF187-DF204,DF205+DF208+DF209+DF210+DF211)</f>
        <v>-554.00000000000011</v>
      </c>
      <c r="DG212" s="1272">
        <f t="shared" si="517"/>
        <v>-88.700000000000159</v>
      </c>
      <c r="DH212" s="1276">
        <f>IF(DH5="A",DH214-DH187-DH204,DH205+DH208+DH209+DH210+DH211)</f>
        <v>-642.70000000000027</v>
      </c>
      <c r="DI212" s="1272">
        <f>IF(DI5="A",DI214-DI187-DI204,DI205+DI208+DI209+DI210+DI211)</f>
        <v>-513.80000000000007</v>
      </c>
      <c r="DJ212" s="1272">
        <f t="shared" si="518"/>
        <v>-888.00000000000011</v>
      </c>
      <c r="DK212" s="1276">
        <f>IF(DK5="A",DK214-DK187-DK204,DK205+DK208+DK209+DK210+DK211)</f>
        <v>-1401.8000000000002</v>
      </c>
      <c r="DL212" s="1272">
        <f>IF(DL5="A",DL214-DL187-DL204,DL205+DL208+DL209+DL210+DL211)</f>
        <v>3665.5</v>
      </c>
      <c r="DM212" s="1272">
        <f t="shared" si="519"/>
        <v>4010.6000000000004</v>
      </c>
      <c r="DN212" s="1276">
        <f>IF(DN5="A",DN214-DN187-DN204,DN205+DN208+DN209+DN210+DN211)</f>
        <v>7676.1</v>
      </c>
      <c r="DO212" s="1272">
        <f>IF(DO5="A",DO214-DO187-DO204,DO205+DO208+DO209+DO210+DO211)</f>
        <v>1285.8000000000011</v>
      </c>
      <c r="DP212" s="1272">
        <f t="shared" si="520"/>
        <v>-829.80000000000109</v>
      </c>
      <c r="DQ212" s="1276">
        <f>IF(DQ5="A",DQ214-DQ187-DQ204,DQ205+DQ208+DQ209+DQ210+DQ211)</f>
        <v>456</v>
      </c>
      <c r="DR212" s="1272">
        <f>IF(DR5="A",DR214-DR187-DR204,DR205+DR208+DR209+DR210+DR211)</f>
        <v>-814</v>
      </c>
      <c r="DS212" s="1272">
        <f t="shared" si="521"/>
        <v>-470</v>
      </c>
      <c r="DT212" s="1276">
        <f>IF(DT5="A",DT214-DT187-DT204,DT205+DT208+DT209+DT210+DT211)</f>
        <v>-1284</v>
      </c>
      <c r="DU212" s="1272">
        <f>IF(DU5="A",DU214-DU187-DU204,DU205+DU208+DU209+DU210+DU211)</f>
        <v>-962</v>
      </c>
      <c r="DV212" s="1272">
        <f t="shared" si="522"/>
        <v>-1461</v>
      </c>
      <c r="DW212" s="1276">
        <f>IF(DW5="A",DW214-DW187-DW204,DW205+DW208+DW209+DW210+DW211)</f>
        <v>-2423</v>
      </c>
      <c r="DX212" s="1272">
        <f>IF(DX5="A",DX214-DX187-DX204,DX205+DX208+DX209+DX210+DX211)</f>
        <v>-1643</v>
      </c>
      <c r="DY212" s="1272">
        <f>+SUM(DY206:DY211)</f>
        <v>-1060.2583945191266</v>
      </c>
      <c r="DZ212" s="1276">
        <f>IF(DZ5="A",DZ214-DZ187-DZ204,DZ205+DZ208+DZ209+DZ210+DZ211)</f>
        <v>-2703.2583945191263</v>
      </c>
      <c r="EA212" s="1272">
        <f>+SUM(EA206:EA211)</f>
        <v>-1180.9428847931893</v>
      </c>
      <c r="EB212" s="1272">
        <f>+SUM(EB206:EB211)</f>
        <v>-1115.252367797545</v>
      </c>
      <c r="EC212" s="1276">
        <f>IF(EC5="A",EC214-EC187-EC204,EC205+EC208+EC209+EC210+EC211)</f>
        <v>-2296.1952525907345</v>
      </c>
      <c r="ED212" s="1272">
        <f>+SUM(ED206:ED211)</f>
        <v>-1129.2827575909714</v>
      </c>
      <c r="EE212" s="1272">
        <f>+SUM(EE206:EE211)</f>
        <v>-1180.7715517490788</v>
      </c>
      <c r="EF212" s="1276">
        <f>IF(EF5="A",EF214-EF187-EF204,EF205+EF208+EF209+EF210+EF211)</f>
        <v>-2310.0543093400502</v>
      </c>
      <c r="EG212" s="1272">
        <f>+SUM(EG206:EG211)</f>
        <v>-820.57768377689672</v>
      </c>
      <c r="EH212" s="1272">
        <f>+SUM(EH206:EH211)</f>
        <v>-874.34198486406808</v>
      </c>
      <c r="EI212" s="1276">
        <f>IF(EI5="A",EI214-EI187-EI204,EI205+EI208+EI209+EI210+EI211)</f>
        <v>-1694.9196686409648</v>
      </c>
      <c r="EJ212" s="1272">
        <f>+SUM(EJ206:EJ211)</f>
        <v>-918.28389310989928</v>
      </c>
      <c r="EK212" s="1272">
        <f>+SUM(EK206:EK211)</f>
        <v>-951.96519678047321</v>
      </c>
      <c r="EL212" s="1276">
        <f>IF(EL5="A",EL214-EL187-EL204,EL205+EL208+EL209+EL210+EL211)</f>
        <v>-1870.2490898903725</v>
      </c>
      <c r="EM212" s="1272">
        <f>+SUM(EM206:EM211)</f>
        <v>-1025.7459267415259</v>
      </c>
      <c r="EN212" s="1272">
        <f>+SUM(EN206:EN211)</f>
        <v>-1043.278467269922</v>
      </c>
      <c r="EO212" s="1276">
        <f>IF(EO5="A",EO214-EO187-EO204,EO205+EO208+EO209+EO210+EO211)</f>
        <v>-2069.0243940114478</v>
      </c>
      <c r="EP212" s="1272">
        <f>+SUM(EP206:EP211)</f>
        <v>-1130.0327665150662</v>
      </c>
      <c r="EQ212" s="1272">
        <f>+SUM(EQ206:EQ211)</f>
        <v>-1130.6647567255873</v>
      </c>
      <c r="ER212" s="1276">
        <f>IF(ER5="A",ER214-ER187-ER204,ER205+ER208+ER209+ER210+ER211)</f>
        <v>-2260.6975232406535</v>
      </c>
      <c r="ES212" s="1272">
        <f>+SUM(ES206:ES211)</f>
        <v>-1247.8802724081183</v>
      </c>
      <c r="ET212" s="1272">
        <f>+SUM(ET206:ET211)</f>
        <v>-1214.058860990252</v>
      </c>
      <c r="EU212" s="1276">
        <f>IF(EU5="A",EU214-EU187-EU204,EU205+EU208+EU209+EU210+EU211)</f>
        <v>-2461.9391333983699</v>
      </c>
      <c r="EV212" s="1272">
        <f>+SUM(EV206:EV211)</f>
        <v>-1356.8055207166788</v>
      </c>
      <c r="EW212" s="1272">
        <f>+SUM(EW206:EW211)</f>
        <v>-1290.4124028664185</v>
      </c>
      <c r="EX212" s="1276">
        <f>IF(EX5="A",EX214-EX187-EX204,EX205+EX208+EX209+EX210+EX211)</f>
        <v>-2647.2179235830977</v>
      </c>
      <c r="EY212" s="1272">
        <f>+SUM(EY206:EY211)</f>
        <v>-1453.8042079178697</v>
      </c>
      <c r="EZ212" s="1272">
        <f>+SUM(EZ206:EZ211)</f>
        <v>-1371.5809817916027</v>
      </c>
      <c r="FA212" s="1276">
        <f>IF(FA5="A",FA214-FA187-FA204,FA205+FA208+FA209+FA210+FA211)</f>
        <v>-2825.3851897094728</v>
      </c>
      <c r="FD212"/>
      <c r="FE212"/>
      <c r="FF212"/>
      <c r="FG212"/>
      <c r="FH212"/>
      <c r="FI212"/>
      <c r="FJ212" s="33"/>
      <c r="FK212" s="33"/>
      <c r="FL212" s="33"/>
      <c r="FM212" s="33"/>
    </row>
    <row r="213" spans="1:169" s="33" customFormat="1" ht="13.5" thickBot="1">
      <c r="B213" s="54"/>
      <c r="C213" s="54"/>
      <c r="D213" s="2"/>
      <c r="E213" s="32"/>
      <c r="F213" s="32"/>
      <c r="G213" s="1221"/>
      <c r="H213" s="32"/>
      <c r="I213" s="32"/>
      <c r="J213" s="1221"/>
      <c r="K213" s="32"/>
      <c r="L213" s="32"/>
      <c r="M213" s="1221"/>
      <c r="N213" s="32"/>
      <c r="O213" s="32"/>
      <c r="P213" s="1221"/>
      <c r="Q213" s="32"/>
      <c r="R213" s="32"/>
      <c r="S213" s="1221"/>
      <c r="T213" s="32"/>
      <c r="U213" s="32"/>
      <c r="V213" s="1221"/>
      <c r="W213" s="32"/>
      <c r="X213" s="32"/>
      <c r="Y213" s="1221"/>
      <c r="Z213" s="32"/>
      <c r="AA213" s="32"/>
      <c r="AB213" s="1221"/>
      <c r="AC213" s="32"/>
      <c r="AD213" s="32"/>
      <c r="AE213" s="1221"/>
      <c r="AF213" s="32"/>
      <c r="AG213" s="32"/>
      <c r="AH213" s="1221"/>
      <c r="AI213" s="32"/>
      <c r="AJ213" s="32"/>
      <c r="AK213" s="1221"/>
      <c r="AL213" s="32"/>
      <c r="AM213" s="32"/>
      <c r="AN213" s="1221"/>
      <c r="AO213" s="32"/>
      <c r="AP213" s="32"/>
      <c r="AQ213" s="1221"/>
      <c r="AR213" s="32"/>
      <c r="AS213" s="32"/>
      <c r="AT213" s="1221"/>
      <c r="AU213" s="32"/>
      <c r="AV213" s="32"/>
      <c r="AW213" s="1221"/>
      <c r="AX213" s="32"/>
      <c r="AY213" s="32"/>
      <c r="AZ213" s="1221"/>
      <c r="BA213" s="32"/>
      <c r="BB213" s="32"/>
      <c r="BC213" s="1221"/>
      <c r="BD213" s="32"/>
      <c r="BE213" s="32"/>
      <c r="BF213" s="1221"/>
      <c r="BG213" s="32"/>
      <c r="BH213" s="32"/>
      <c r="BI213" s="1221"/>
      <c r="BJ213" s="32"/>
      <c r="BK213" s="32"/>
      <c r="BL213" s="1221"/>
      <c r="BM213" s="32"/>
      <c r="BN213" s="32"/>
      <c r="BO213" s="1221"/>
      <c r="BP213" s="32"/>
      <c r="BQ213" s="32"/>
      <c r="BR213" s="1221"/>
      <c r="BS213" s="32"/>
      <c r="BT213" s="32"/>
      <c r="BU213" s="1222"/>
      <c r="BV213" s="32"/>
      <c r="BW213" s="32"/>
      <c r="BX213" s="1222"/>
      <c r="BY213" s="32"/>
      <c r="BZ213" s="32"/>
      <c r="CA213" s="1222"/>
      <c r="CB213" s="32"/>
      <c r="CC213" s="32"/>
      <c r="CD213" s="1222"/>
      <c r="CE213" s="32"/>
      <c r="CF213" s="32"/>
      <c r="CG213" s="1222"/>
      <c r="CH213" s="32"/>
      <c r="CI213" s="32"/>
      <c r="CJ213" s="1222"/>
      <c r="CK213" s="32"/>
      <c r="CL213" s="32"/>
      <c r="CM213" s="1222"/>
      <c r="CN213" s="32"/>
      <c r="CO213" s="32"/>
      <c r="CP213" s="1222"/>
      <c r="CQ213" s="32"/>
      <c r="CR213" s="32"/>
      <c r="CS213" s="1222"/>
      <c r="CT213" s="32"/>
      <c r="CU213" s="32"/>
      <c r="CV213" s="1222"/>
      <c r="CW213" s="32"/>
      <c r="CX213" s="32"/>
      <c r="CY213" s="1222"/>
      <c r="CZ213" s="32"/>
      <c r="DA213" s="32"/>
      <c r="DB213" s="1222"/>
      <c r="DC213" s="32"/>
      <c r="DD213" s="32"/>
      <c r="DE213" s="1223"/>
      <c r="DF213" s="32"/>
      <c r="DG213" s="32"/>
      <c r="DH213" s="1223"/>
      <c r="DI213" s="32"/>
      <c r="DJ213" s="32"/>
      <c r="DK213" s="1223"/>
      <c r="DL213" s="32"/>
      <c r="DM213" s="32"/>
      <c r="DN213" s="1223"/>
      <c r="DO213" s="32"/>
      <c r="DP213" s="32"/>
      <c r="DQ213" s="1223"/>
      <c r="DR213" s="32"/>
      <c r="DS213" s="32"/>
      <c r="DT213" s="1223"/>
      <c r="DU213" s="32"/>
      <c r="DV213" s="32"/>
      <c r="DW213" s="1223"/>
      <c r="DX213" s="32"/>
      <c r="DY213" s="32"/>
      <c r="DZ213" s="1223"/>
      <c r="EA213" s="32"/>
      <c r="EB213" s="32"/>
      <c r="EC213" s="1223"/>
      <c r="ED213" s="32"/>
      <c r="EE213" s="32"/>
      <c r="EF213" s="1223"/>
      <c r="EG213" s="32"/>
      <c r="EH213" s="32"/>
      <c r="EI213" s="1223"/>
      <c r="EJ213" s="32"/>
      <c r="EK213" s="32"/>
      <c r="EL213" s="1223"/>
      <c r="EM213" s="32"/>
      <c r="EN213" s="32"/>
      <c r="EO213" s="1223"/>
      <c r="EP213" s="32"/>
      <c r="EQ213" s="32"/>
      <c r="ER213" s="1223"/>
      <c r="ES213" s="32"/>
      <c r="ET213" s="32"/>
      <c r="EU213" s="1223"/>
      <c r="EV213" s="32"/>
      <c r="EW213" s="32"/>
      <c r="EX213" s="1223"/>
      <c r="EY213" s="32"/>
      <c r="EZ213" s="32"/>
      <c r="FA213" s="1223"/>
      <c r="FD213"/>
      <c r="FE213"/>
      <c r="FF213"/>
      <c r="FG213"/>
      <c r="FH213"/>
      <c r="FI213"/>
    </row>
    <row r="214" spans="1:169" s="33" customFormat="1" ht="13.5" thickBot="1">
      <c r="B214" s="54" t="s">
        <v>618</v>
      </c>
      <c r="C214" s="54"/>
      <c r="D214" s="2" t="s">
        <v>506</v>
      </c>
      <c r="E214" s="1172"/>
      <c r="F214" s="1182">
        <f>+G214-E214</f>
        <v>0</v>
      </c>
      <c r="G214" s="1224"/>
      <c r="H214" s="1174"/>
      <c r="I214" s="1182">
        <f>+J214-H214</f>
        <v>0</v>
      </c>
      <c r="J214" s="1224"/>
      <c r="K214" s="1174"/>
      <c r="L214" s="1182">
        <f>+M214-K214</f>
        <v>0</v>
      </c>
      <c r="M214" s="1224"/>
      <c r="N214" s="1174"/>
      <c r="O214" s="1182">
        <f>+P214-N214</f>
        <v>0</v>
      </c>
      <c r="P214" s="1224"/>
      <c r="Q214" s="1174"/>
      <c r="R214" s="1182">
        <f>+S214-Q214</f>
        <v>0</v>
      </c>
      <c r="S214" s="1224"/>
      <c r="T214" s="1174"/>
      <c r="U214" s="1182">
        <f>+V214-T214</f>
        <v>0</v>
      </c>
      <c r="V214" s="1224"/>
      <c r="W214" s="1174"/>
      <c r="X214" s="1182">
        <f>+Y214-W214</f>
        <v>0</v>
      </c>
      <c r="Y214" s="1224"/>
      <c r="Z214" s="1174"/>
      <c r="AA214" s="1182">
        <f>+AB214-Z214</f>
        <v>0</v>
      </c>
      <c r="AB214" s="1224"/>
      <c r="AC214" s="1174"/>
      <c r="AD214" s="1182">
        <f>+AE214-AC214</f>
        <v>0</v>
      </c>
      <c r="AE214" s="1224"/>
      <c r="AF214" s="1174"/>
      <c r="AG214" s="1182">
        <f>+AH214-AF214</f>
        <v>0</v>
      </c>
      <c r="AH214" s="1224"/>
      <c r="AI214" s="1174"/>
      <c r="AJ214" s="1182">
        <f>+AK214-AI214</f>
        <v>0</v>
      </c>
      <c r="AK214" s="1224"/>
      <c r="AL214" s="1174"/>
      <c r="AM214" s="1182">
        <f>+AN214-AL214</f>
        <v>13.384</v>
      </c>
      <c r="AN214" s="1225">
        <v>13.384</v>
      </c>
      <c r="AO214" s="1174"/>
      <c r="AP214" s="1182">
        <f>+AQ214-AO214</f>
        <v>22.568000000000001</v>
      </c>
      <c r="AQ214" s="1225">
        <v>22.568000000000001</v>
      </c>
      <c r="AR214" s="1180">
        <v>-29.437999999999999</v>
      </c>
      <c r="AS214" s="1182">
        <f>+AT214-AR214</f>
        <v>27.224</v>
      </c>
      <c r="AT214" s="1225">
        <v>-2.214</v>
      </c>
      <c r="AU214" s="1180">
        <v>-18.239999999999998</v>
      </c>
      <c r="AV214" s="1182">
        <f>+AW214-AU214</f>
        <v>18.239999999999998</v>
      </c>
      <c r="AW214" s="1225">
        <v>0</v>
      </c>
      <c r="AX214" s="1174"/>
      <c r="AY214" s="1182">
        <f>+AZ214-AX214</f>
        <v>371.07299999999998</v>
      </c>
      <c r="AZ214" s="1225">
        <v>371.07299999999998</v>
      </c>
      <c r="BA214" s="1174">
        <v>-349.1</v>
      </c>
      <c r="BB214" s="1182">
        <f>+BC214-BA214</f>
        <v>43.227000000000032</v>
      </c>
      <c r="BC214" s="1225">
        <v>-305.87299999999999</v>
      </c>
      <c r="BD214" s="1180">
        <v>-82.948999999999998</v>
      </c>
      <c r="BE214" s="1182">
        <f>+BF214-BD214</f>
        <v>59.581000000000003</v>
      </c>
      <c r="BF214" s="1225">
        <v>-23.367999999999999</v>
      </c>
      <c r="BG214" s="1180">
        <v>-0.96199999999999997</v>
      </c>
      <c r="BH214" s="1182">
        <f>+BI214-BG214</f>
        <v>-1.425</v>
      </c>
      <c r="BI214" s="1225">
        <v>-2.387</v>
      </c>
      <c r="BJ214" s="1180">
        <v>422.66899999999998</v>
      </c>
      <c r="BK214" s="1182">
        <f>+BL214-BJ214</f>
        <v>-398.60399999999998</v>
      </c>
      <c r="BL214" s="1225">
        <v>24.065000000000001</v>
      </c>
      <c r="BM214" s="1180">
        <v>163.16200000000001</v>
      </c>
      <c r="BN214" s="1182">
        <f>+BO214-BM214</f>
        <v>455.44399999999996</v>
      </c>
      <c r="BO214" s="1226">
        <v>618.60599999999999</v>
      </c>
      <c r="BP214" s="1174">
        <f>IF(Assumptions!BP178&lt;&gt;"0",Assumptions!BP178,0)</f>
        <v>0</v>
      </c>
      <c r="BQ214" s="1182">
        <f>+BR214-BP214</f>
        <v>8.2200000000000006</v>
      </c>
      <c r="BR214" s="1226">
        <v>8.2200000000000006</v>
      </c>
      <c r="BS214" s="1180">
        <v>-201.02099999999999</v>
      </c>
      <c r="BT214" s="1182">
        <f>+BU214-BS214</f>
        <v>-50.812000000000012</v>
      </c>
      <c r="BU214" s="1227">
        <f>-251.833</f>
        <v>-251.833</v>
      </c>
      <c r="BV214" s="1180">
        <v>70.495999999999995</v>
      </c>
      <c r="BW214" s="1182">
        <f>+BX214-BV214</f>
        <v>154.529</v>
      </c>
      <c r="BX214" s="1226">
        <v>225.02500000000001</v>
      </c>
      <c r="BY214" s="1180">
        <v>1475.895</v>
      </c>
      <c r="BZ214" s="1182">
        <f>+CA214-BY214</f>
        <v>153.52600000000007</v>
      </c>
      <c r="CA214" s="1226">
        <v>1629.421</v>
      </c>
      <c r="CB214" s="1180">
        <v>-1541.385</v>
      </c>
      <c r="CC214" s="1182">
        <f>+CD214-CB214</f>
        <v>64.375999999999976</v>
      </c>
      <c r="CD214" s="1226">
        <v>-1477.009</v>
      </c>
      <c r="CE214" s="1180">
        <v>-233.01900000000001</v>
      </c>
      <c r="CF214" s="1182">
        <f>+CG214-CE214</f>
        <v>-247.09800000000001</v>
      </c>
      <c r="CG214" s="1226">
        <v>-480.11700000000002</v>
      </c>
      <c r="CH214" s="1180">
        <v>849</v>
      </c>
      <c r="CI214" s="1182">
        <f>+CJ214-CH214</f>
        <v>-160.10000000000002</v>
      </c>
      <c r="CJ214" s="1226">
        <v>688.9</v>
      </c>
      <c r="CK214" s="1180">
        <v>-435</v>
      </c>
      <c r="CL214" s="1182">
        <f>+CM214-CK214</f>
        <v>78.699999999999989</v>
      </c>
      <c r="CM214" s="1226">
        <v>-356.3</v>
      </c>
      <c r="CN214" s="1180">
        <v>-62.7</v>
      </c>
      <c r="CO214" s="1182">
        <f>+CP214-CN214</f>
        <v>-115.2</v>
      </c>
      <c r="CP214" s="1226">
        <v>-177.9</v>
      </c>
      <c r="CQ214" s="1180">
        <v>567.1</v>
      </c>
      <c r="CR214" s="1182">
        <f>+CS214-CQ214</f>
        <v>-444.90000000000003</v>
      </c>
      <c r="CS214" s="1226">
        <v>122.2</v>
      </c>
      <c r="CT214" s="1180">
        <v>549.1</v>
      </c>
      <c r="CU214" s="1182">
        <f>+CV214-CT214</f>
        <v>-543</v>
      </c>
      <c r="CV214" s="1226">
        <v>6.1</v>
      </c>
      <c r="CW214" s="1180">
        <v>361</v>
      </c>
      <c r="CX214" s="1182">
        <f>+CY214-CW214</f>
        <v>-80.800000000000011</v>
      </c>
      <c r="CY214" s="1226">
        <v>280.2</v>
      </c>
      <c r="CZ214" s="1174">
        <f>+-11</f>
        <v>-11</v>
      </c>
      <c r="DA214" s="1182">
        <f>+DB214-CZ214</f>
        <v>7.5</v>
      </c>
      <c r="DB214" s="1227">
        <v>-3.5</v>
      </c>
      <c r="DC214" s="1174">
        <v>-152.1</v>
      </c>
      <c r="DD214" s="1182">
        <f>+DE214-DC214</f>
        <v>17.699999999999989</v>
      </c>
      <c r="DE214" s="1551">
        <v>-134.4</v>
      </c>
      <c r="DF214" s="1552">
        <v>5</v>
      </c>
      <c r="DG214" s="1539">
        <f>+DH214-DF214</f>
        <v>473.9</v>
      </c>
      <c r="DH214" s="1553">
        <f>478.9</f>
        <v>478.9</v>
      </c>
      <c r="DI214" s="1554">
        <v>1195.5</v>
      </c>
      <c r="DJ214" s="1539">
        <f>+DK214-DI214</f>
        <v>-648.6</v>
      </c>
      <c r="DK214" s="1553">
        <v>546.9</v>
      </c>
      <c r="DL214" s="1530">
        <v>4539</v>
      </c>
      <c r="DM214" s="1530">
        <f>+DN214-DL214</f>
        <v>4129.5</v>
      </c>
      <c r="DN214" s="1695">
        <v>8668.5</v>
      </c>
      <c r="DO214" s="1558">
        <v>-8858.2000000000007</v>
      </c>
      <c r="DP214" s="1530">
        <f>+DQ214-DO214</f>
        <v>72.200000000000728</v>
      </c>
      <c r="DQ214" s="1698">
        <v>-8786</v>
      </c>
      <c r="DR214" s="1558">
        <v>-447</v>
      </c>
      <c r="DS214" s="1530">
        <f>+DT214-DR214</f>
        <v>668</v>
      </c>
      <c r="DT214" s="1698">
        <v>221</v>
      </c>
      <c r="DU214" s="1558">
        <v>-69</v>
      </c>
      <c r="DV214" s="1530">
        <f>+DW214-DU214</f>
        <v>539</v>
      </c>
      <c r="DW214" s="1698">
        <v>470</v>
      </c>
      <c r="DX214" s="1558">
        <v>-993</v>
      </c>
      <c r="DY214" s="32">
        <f>+DY187+DY204+DY212</f>
        <v>548.8448043893834</v>
      </c>
      <c r="DZ214" s="1088">
        <f>+SUM(DX214:DY214)</f>
        <v>-444.1551956106166</v>
      </c>
      <c r="EA214" s="32">
        <f>+EA187+EA204+EA212</f>
        <v>14.754826894132066</v>
      </c>
      <c r="EB214" s="32">
        <f>+EB187+EB204+EB212</f>
        <v>330.66722142213348</v>
      </c>
      <c r="EC214" s="1088">
        <f>+SUM(EA214:EB214)</f>
        <v>345.42204831626555</v>
      </c>
      <c r="ED214" s="32">
        <f>+ED187+ED204+ED212</f>
        <v>248.87428985253564</v>
      </c>
      <c r="EE214" s="32">
        <f>+EE187+EE204+EE212</f>
        <v>228.04468656463996</v>
      </c>
      <c r="EF214" s="1088">
        <f>+SUM(ED214:EE214)</f>
        <v>476.9189764171756</v>
      </c>
      <c r="EG214" s="32">
        <f>+EG187+EG204+EG212</f>
        <v>743.89986723628635</v>
      </c>
      <c r="EH214" s="32">
        <f>+EH187+EH204+EH212</f>
        <v>658.49854063768407</v>
      </c>
      <c r="EI214" s="1088">
        <f>+SUM(EG214:EH214)</f>
        <v>1402.3984078739704</v>
      </c>
      <c r="EJ214" s="32">
        <f>+EJ187+EJ204+EJ212</f>
        <v>991.10222344744693</v>
      </c>
      <c r="EK214" s="32">
        <f>+EK187+EK204+EK212</f>
        <v>790.6920030039048</v>
      </c>
      <c r="EL214" s="1088">
        <f>+SUM(EJ214:EK214)</f>
        <v>1781.7942264513517</v>
      </c>
      <c r="EM214" s="32">
        <f>+EM187+EM204+EM212</f>
        <v>1333.5740071429502</v>
      </c>
      <c r="EN214" s="32">
        <f>+EN187+EN204+EN212</f>
        <v>958.18330790216646</v>
      </c>
      <c r="EO214" s="1088">
        <f>+SUM(EM214:EN214)</f>
        <v>2291.7573150451167</v>
      </c>
      <c r="EP214" s="32">
        <f>+EP187+EP204+EP212</f>
        <v>1493.895159459491</v>
      </c>
      <c r="EQ214" s="32">
        <f>+EQ187+EQ204+EQ212</f>
        <v>1041.7007660376817</v>
      </c>
      <c r="ER214" s="1088">
        <f>+SUM(EP214:EQ214)</f>
        <v>2535.5959254971726</v>
      </c>
      <c r="ES214" s="32">
        <f>+ES187+ES204+ES212</f>
        <v>1629.0904925158161</v>
      </c>
      <c r="ET214" s="32">
        <f>+ET187+ET204+ET212</f>
        <v>1110.8616945492158</v>
      </c>
      <c r="EU214" s="1088">
        <f>+SUM(ES214:ET214)</f>
        <v>2739.9521870650319</v>
      </c>
      <c r="EV214" s="32">
        <f>+EV187+EV204+EV212</f>
        <v>1760.6624363173253</v>
      </c>
      <c r="EW214" s="32">
        <f>+EW187+EW204+EW212</f>
        <v>1156.6175001877534</v>
      </c>
      <c r="EX214" s="1088">
        <f>+SUM(EV214:EW214)</f>
        <v>2917.2799365050787</v>
      </c>
      <c r="EY214" s="32">
        <f>+EY187+EY204+EY212</f>
        <v>1921.9972634708308</v>
      </c>
      <c r="EZ214" s="32">
        <f>+EZ187+EZ204+EZ212</f>
        <v>1203.4775140423596</v>
      </c>
      <c r="FA214" s="1088">
        <f>+SUM(EY214:EZ214)</f>
        <v>3125.4747775131905</v>
      </c>
      <c r="FD214"/>
      <c r="FE214"/>
      <c r="FF214"/>
      <c r="FG214"/>
      <c r="FH214"/>
      <c r="FI214"/>
    </row>
    <row r="215" spans="1:169" s="1078" customFormat="1">
      <c r="A215" s="1068"/>
      <c r="B215" s="1068"/>
      <c r="C215" s="1068"/>
      <c r="D215" s="1068"/>
      <c r="E215" s="1222"/>
      <c r="F215" s="1222"/>
      <c r="G215" s="1221"/>
      <c r="H215" s="1222"/>
      <c r="I215" s="1222"/>
      <c r="J215" s="1222"/>
      <c r="K215" s="1222"/>
      <c r="L215" s="1222"/>
      <c r="M215" s="1222"/>
      <c r="N215" s="1222"/>
      <c r="O215" s="1222"/>
      <c r="P215" s="1222"/>
      <c r="Q215" s="1222"/>
      <c r="R215" s="1222"/>
      <c r="S215" s="1222"/>
      <c r="T215" s="1222"/>
      <c r="U215" s="1222"/>
      <c r="V215" s="1222"/>
      <c r="W215" s="1222"/>
      <c r="X215" s="1222"/>
      <c r="Y215" s="1222"/>
      <c r="Z215" s="1222"/>
      <c r="AA215" s="1222"/>
      <c r="AB215" s="1222"/>
      <c r="AC215" s="1222"/>
      <c r="AD215" s="1222"/>
      <c r="AE215" s="1222"/>
      <c r="AF215" s="1222"/>
      <c r="AG215" s="1222"/>
      <c r="AH215" s="1222"/>
      <c r="AI215" s="1222"/>
      <c r="AJ215" s="1222"/>
      <c r="AK215" s="1222"/>
      <c r="AL215" s="1222"/>
      <c r="AM215" s="1222"/>
      <c r="AN215" s="1222"/>
      <c r="AO215" s="1222"/>
      <c r="AP215" s="1222"/>
      <c r="AQ215" s="1222"/>
      <c r="AR215" s="1222"/>
      <c r="AS215" s="1222"/>
      <c r="AT215" s="1222"/>
      <c r="AU215" s="1222"/>
      <c r="AV215" s="1222"/>
      <c r="AW215" s="1222"/>
      <c r="AX215" s="1222"/>
      <c r="AY215" s="1222"/>
      <c r="AZ215" s="1222"/>
      <c r="BA215" s="1222"/>
      <c r="BB215" s="1222"/>
      <c r="BC215" s="1222"/>
      <c r="BD215" s="1222"/>
      <c r="BE215" s="1222"/>
      <c r="BF215" s="1222"/>
      <c r="BG215" s="1222"/>
      <c r="BH215" s="1222"/>
      <c r="BI215" s="1222"/>
      <c r="BJ215" s="1222"/>
      <c r="BK215" s="1222"/>
      <c r="BL215" s="1222"/>
      <c r="BM215" s="1222"/>
      <c r="BN215" s="1222"/>
      <c r="BO215" s="1222"/>
      <c r="BP215" s="1222"/>
      <c r="BQ215" s="1222"/>
      <c r="BR215" s="1222"/>
      <c r="BS215" s="1222"/>
      <c r="BT215" s="1222"/>
      <c r="BU215" s="1222">
        <f>-BU188</f>
        <v>207.60699999999997</v>
      </c>
      <c r="BV215" s="1222">
        <f t="shared" ref="BV215:CM215" si="544">-BV188</f>
        <v>102.631</v>
      </c>
      <c r="BW215" s="1222">
        <f t="shared" si="544"/>
        <v>115.64100000000002</v>
      </c>
      <c r="BX215" s="1222">
        <f t="shared" si="544"/>
        <v>218.27200000000002</v>
      </c>
      <c r="BY215" s="1222">
        <f t="shared" si="544"/>
        <v>133.18700000000001</v>
      </c>
      <c r="BZ215" s="1222">
        <f t="shared" si="544"/>
        <v>152.42399999999998</v>
      </c>
      <c r="CA215" s="1222">
        <f t="shared" si="544"/>
        <v>285.61099999999999</v>
      </c>
      <c r="CB215" s="1222">
        <f t="shared" si="544"/>
        <v>68.585045954725487</v>
      </c>
      <c r="CC215" s="1222">
        <f t="shared" si="544"/>
        <v>175.06195404527455</v>
      </c>
      <c r="CD215" s="1222">
        <f t="shared" si="544"/>
        <v>243.64700000000002</v>
      </c>
      <c r="CE215" s="1222">
        <f t="shared" si="544"/>
        <v>81.963999999999999</v>
      </c>
      <c r="CF215" s="1222">
        <f t="shared" si="544"/>
        <v>116.18800000000002</v>
      </c>
      <c r="CG215" s="1222">
        <f t="shared" si="544"/>
        <v>198.15200000000002</v>
      </c>
      <c r="CH215" s="1222">
        <f t="shared" si="544"/>
        <v>147.19999999999999</v>
      </c>
      <c r="CI215" s="1222">
        <f t="shared" si="544"/>
        <v>161.89999999999998</v>
      </c>
      <c r="CJ215" s="1222">
        <f t="shared" si="544"/>
        <v>309.09999999999997</v>
      </c>
      <c r="CK215" s="1222">
        <f t="shared" si="544"/>
        <v>231.9</v>
      </c>
      <c r="CL215" s="1222">
        <f t="shared" si="544"/>
        <v>200.9</v>
      </c>
      <c r="CM215" s="1222">
        <f t="shared" si="544"/>
        <v>432.8</v>
      </c>
      <c r="CN215" s="1222"/>
      <c r="CO215" s="1222"/>
      <c r="CP215" s="1222"/>
      <c r="CQ215" s="1222"/>
      <c r="CR215" s="1222"/>
      <c r="CS215" s="1222"/>
      <c r="CT215" s="1222"/>
      <c r="CU215" s="1222"/>
      <c r="CV215" s="1222"/>
      <c r="CW215" s="1222"/>
      <c r="CX215" s="1222"/>
      <c r="CY215" s="1222"/>
      <c r="CZ215" s="1222"/>
      <c r="DA215" s="1222"/>
      <c r="DB215" s="1222"/>
      <c r="DC215" s="1222"/>
      <c r="DD215" s="1222"/>
      <c r="DE215" s="1223"/>
      <c r="DF215" s="1222"/>
      <c r="DG215" s="1222"/>
      <c r="DH215" s="1223"/>
      <c r="DI215" s="1222"/>
      <c r="DJ215" s="1222"/>
      <c r="DK215" s="1223"/>
      <c r="DL215" s="1222"/>
      <c r="DM215" s="1222"/>
      <c r="DN215" s="1223"/>
      <c r="DO215" s="1222"/>
      <c r="DP215" s="1222"/>
      <c r="DQ215" s="1223"/>
      <c r="DR215" s="1222"/>
      <c r="DS215" s="1222"/>
      <c r="DT215" s="1223"/>
      <c r="DU215" s="1222"/>
      <c r="DV215" s="1222"/>
      <c r="DW215" s="1223"/>
      <c r="DX215" s="1222"/>
      <c r="DY215" s="1222"/>
      <c r="DZ215" s="1223"/>
      <c r="EA215" s="1222"/>
      <c r="EB215" s="1222"/>
      <c r="EC215" s="1223"/>
      <c r="ED215" s="1222"/>
      <c r="EE215" s="1222"/>
      <c r="EF215" s="1223"/>
      <c r="EG215" s="1222"/>
      <c r="EH215" s="1222"/>
      <c r="EI215" s="1223"/>
      <c r="EJ215" s="1222"/>
      <c r="EK215" s="1222"/>
      <c r="EL215" s="1223"/>
      <c r="EM215" s="1222"/>
      <c r="EN215" s="1222"/>
      <c r="EO215" s="1223"/>
      <c r="EP215" s="1222"/>
      <c r="EQ215" s="1222"/>
      <c r="ER215" s="1223"/>
      <c r="ES215" s="1222"/>
      <c r="ET215" s="1222"/>
      <c r="EU215" s="1223"/>
      <c r="EV215" s="1222"/>
      <c r="EW215" s="1222"/>
      <c r="EX215" s="1223"/>
      <c r="EY215" s="1222"/>
      <c r="EZ215" s="1222"/>
      <c r="FA215" s="1223"/>
      <c r="FB215" s="1068"/>
      <c r="FC215" s="1068"/>
      <c r="FD215"/>
      <c r="FE215"/>
      <c r="FF215"/>
      <c r="FG215"/>
      <c r="FH215"/>
      <c r="FI215"/>
    </row>
    <row r="216" spans="1:169" s="1078" customFormat="1">
      <c r="B216" s="1228" t="s">
        <v>619</v>
      </c>
      <c r="D216" s="2"/>
      <c r="E216" s="32"/>
      <c r="F216" s="32"/>
      <c r="G216" s="1222"/>
      <c r="H216" s="1222"/>
      <c r="I216" s="1222"/>
      <c r="J216" s="1222"/>
      <c r="K216" s="1222"/>
      <c r="L216" s="1222"/>
      <c r="M216" s="1222"/>
      <c r="N216" s="1222"/>
      <c r="O216" s="1222"/>
      <c r="P216" s="1222"/>
      <c r="Q216" s="1222"/>
      <c r="R216" s="1222"/>
      <c r="S216" s="1222"/>
      <c r="T216" s="1222"/>
      <c r="U216" s="1222"/>
      <c r="V216" s="1222"/>
      <c r="W216" s="1222"/>
      <c r="X216" s="1222"/>
      <c r="Y216" s="1222"/>
      <c r="Z216" s="1222"/>
      <c r="AA216" s="1222"/>
      <c r="AB216" s="1222"/>
      <c r="AC216" s="1222"/>
      <c r="AD216" s="1222"/>
      <c r="AE216" s="1222"/>
      <c r="AF216" s="1222"/>
      <c r="AG216" s="1222"/>
      <c r="AH216" s="1222"/>
      <c r="AI216" s="1222"/>
      <c r="AJ216" s="1222"/>
      <c r="AK216" s="1222"/>
      <c r="AL216" s="1222"/>
      <c r="AM216" s="1222"/>
      <c r="AN216" s="1222"/>
      <c r="AO216" s="1222"/>
      <c r="AP216" s="1222"/>
      <c r="AQ216" s="1222"/>
      <c r="AR216" s="1222"/>
      <c r="AS216" s="1222"/>
      <c r="AT216" s="1222"/>
      <c r="AU216" s="1222"/>
      <c r="AV216" s="1222"/>
      <c r="AW216" s="1222"/>
      <c r="AX216" s="1222"/>
      <c r="AY216" s="1222"/>
      <c r="AZ216" s="1222"/>
      <c r="BA216" s="1222"/>
      <c r="BB216" s="1222"/>
      <c r="BC216" s="1222"/>
      <c r="BD216" s="1222"/>
      <c r="BE216" s="1222"/>
      <c r="BF216" s="1222"/>
      <c r="BG216" s="1222"/>
      <c r="BH216" s="1222"/>
      <c r="BI216" s="1222"/>
      <c r="BJ216" s="1222"/>
      <c r="BK216" s="1222"/>
      <c r="BL216" s="1222"/>
      <c r="BM216" s="1222"/>
      <c r="BN216" s="1222"/>
      <c r="BO216" s="1222"/>
      <c r="BP216" s="1222"/>
      <c r="BQ216" s="1222"/>
      <c r="BR216" s="1222"/>
      <c r="BS216" s="1222"/>
      <c r="BT216" s="1222"/>
      <c r="BU216" s="1222"/>
      <c r="BV216" s="1222"/>
      <c r="BW216" s="1222"/>
      <c r="BX216" s="1222"/>
      <c r="BY216" s="1222"/>
      <c r="BZ216" s="1222"/>
      <c r="CA216" s="1222"/>
      <c r="CB216" s="1222"/>
      <c r="CC216" s="1222"/>
      <c r="CD216" s="1222"/>
      <c r="CE216" s="1222"/>
      <c r="CF216" s="1222"/>
      <c r="CG216" s="1222"/>
      <c r="CH216" s="1222"/>
      <c r="CI216" s="1222"/>
      <c r="CJ216" s="1222"/>
      <c r="CK216" s="1222"/>
      <c r="CL216" s="1222"/>
      <c r="CM216" s="1222"/>
      <c r="CN216" s="1222"/>
      <c r="CO216" s="1222"/>
      <c r="CP216" s="1222"/>
      <c r="CQ216" s="1222"/>
      <c r="CR216" s="1222"/>
      <c r="CS216" s="1222"/>
      <c r="CT216" s="1222"/>
      <c r="CU216" s="1222"/>
      <c r="CV216" s="1222"/>
      <c r="CW216" s="1222"/>
      <c r="CX216" s="1222"/>
      <c r="CY216" s="1222"/>
      <c r="CZ216" s="1222"/>
      <c r="DA216" s="1222"/>
      <c r="DB216" s="1222"/>
      <c r="DC216" s="1222"/>
      <c r="DD216" s="1222"/>
      <c r="DE216" s="1223"/>
      <c r="DF216" s="1222"/>
      <c r="DG216" s="1222"/>
      <c r="DH216" s="1223"/>
      <c r="DI216" s="1222"/>
      <c r="DJ216" s="1222"/>
      <c r="DK216" s="1223"/>
      <c r="DL216" s="1222"/>
      <c r="DM216" s="1222"/>
      <c r="DN216" s="1223"/>
      <c r="DO216" s="1222"/>
      <c r="DP216" s="1222"/>
      <c r="DQ216" s="1223"/>
      <c r="DR216" s="1222"/>
      <c r="DS216" s="1222"/>
      <c r="DT216" s="1223"/>
      <c r="DU216" s="1222"/>
      <c r="DV216" s="1222"/>
      <c r="DW216" s="1223"/>
      <c r="DX216" s="1222"/>
      <c r="DY216" s="1222"/>
      <c r="DZ216" s="1223"/>
      <c r="EA216" s="1222"/>
      <c r="EB216" s="1222"/>
      <c r="EC216" s="1223"/>
      <c r="ED216" s="1222"/>
      <c r="EE216" s="1222"/>
      <c r="EF216" s="1223"/>
      <c r="EG216" s="1222"/>
      <c r="EH216" s="1222"/>
      <c r="EI216" s="1223"/>
      <c r="EJ216" s="1222"/>
      <c r="EK216" s="1222"/>
      <c r="EL216" s="1223"/>
      <c r="EM216" s="1222"/>
      <c r="EN216" s="1222"/>
      <c r="EO216" s="1223"/>
      <c r="EP216" s="1222"/>
      <c r="EQ216" s="1222"/>
      <c r="ER216" s="1223"/>
      <c r="ES216" s="1222"/>
      <c r="ET216" s="1222"/>
      <c r="EU216" s="1223"/>
      <c r="EV216" s="1222"/>
      <c r="EW216" s="1222"/>
      <c r="EX216" s="1223"/>
      <c r="EY216" s="1222"/>
      <c r="EZ216" s="1222"/>
      <c r="FA216" s="1223"/>
      <c r="FB216" s="1068"/>
      <c r="FC216" s="1068"/>
      <c r="FD216"/>
      <c r="FE216"/>
      <c r="FF216"/>
      <c r="FG216"/>
      <c r="FH216"/>
      <c r="FI216"/>
    </row>
    <row r="217" spans="1:169" s="1078" customFormat="1">
      <c r="B217" s="54" t="s">
        <v>126</v>
      </c>
      <c r="D217" s="2" t="s">
        <v>506</v>
      </c>
      <c r="E217" s="32">
        <f>+E187</f>
        <v>0</v>
      </c>
      <c r="F217" s="32">
        <f>+G217-E217</f>
        <v>0</v>
      </c>
      <c r="G217" s="32">
        <f>+G187</f>
        <v>0</v>
      </c>
      <c r="H217" s="32">
        <f>+H187</f>
        <v>0</v>
      </c>
      <c r="I217" s="32">
        <f>+J217-H217</f>
        <v>0</v>
      </c>
      <c r="J217" s="32">
        <f>+J187</f>
        <v>0</v>
      </c>
      <c r="K217" s="32">
        <f>+K187</f>
        <v>0</v>
      </c>
      <c r="L217" s="32">
        <f>+M217-K217</f>
        <v>0</v>
      </c>
      <c r="M217" s="32">
        <f>+M187</f>
        <v>0</v>
      </c>
      <c r="N217" s="32">
        <f>+N187</f>
        <v>0</v>
      </c>
      <c r="O217" s="32">
        <f>+P217-N217</f>
        <v>0</v>
      </c>
      <c r="P217" s="32">
        <f>+P187</f>
        <v>0</v>
      </c>
      <c r="Q217" s="32">
        <f>+Q187</f>
        <v>0</v>
      </c>
      <c r="R217" s="32">
        <f>+S217-Q217</f>
        <v>0</v>
      </c>
      <c r="S217" s="32">
        <f>+S187</f>
        <v>0</v>
      </c>
      <c r="T217" s="32">
        <f>+T187</f>
        <v>0</v>
      </c>
      <c r="U217" s="32">
        <f>+V217-T217</f>
        <v>0</v>
      </c>
      <c r="V217" s="32">
        <f>+V187</f>
        <v>0</v>
      </c>
      <c r="W217" s="32">
        <f>+W187</f>
        <v>0</v>
      </c>
      <c r="X217" s="32">
        <f>+Y217-W217</f>
        <v>0</v>
      </c>
      <c r="Y217" s="32">
        <f>+Y187</f>
        <v>0</v>
      </c>
      <c r="Z217" s="32">
        <f>+Z187</f>
        <v>0</v>
      </c>
      <c r="AA217" s="32">
        <f>+AB217-Z217</f>
        <v>0</v>
      </c>
      <c r="AB217" s="32">
        <f>+AB187</f>
        <v>0</v>
      </c>
      <c r="AC217" s="32">
        <f>+AC187</f>
        <v>0</v>
      </c>
      <c r="AD217" s="32">
        <f>+AE217-AC217</f>
        <v>0</v>
      </c>
      <c r="AE217" s="32">
        <f>+AE187</f>
        <v>0</v>
      </c>
      <c r="AF217" s="32">
        <f>+AF187</f>
        <v>0</v>
      </c>
      <c r="AG217" s="32">
        <f>+AH217-AF217</f>
        <v>0</v>
      </c>
      <c r="AH217" s="32">
        <f>+AH187</f>
        <v>0</v>
      </c>
      <c r="AI217" s="32">
        <f>+AI187</f>
        <v>0</v>
      </c>
      <c r="AJ217" s="32">
        <f>+AK217-AI217</f>
        <v>0</v>
      </c>
      <c r="AK217" s="32">
        <f>+AK187</f>
        <v>0</v>
      </c>
      <c r="AL217" s="32">
        <f>+AL187</f>
        <v>0</v>
      </c>
      <c r="AM217" s="32">
        <f>+AN217-AL217</f>
        <v>78.623000000000005</v>
      </c>
      <c r="AN217" s="32">
        <f>+AN187</f>
        <v>78.623000000000005</v>
      </c>
      <c r="AO217" s="32">
        <f>+AO187</f>
        <v>16.681000000000001</v>
      </c>
      <c r="AP217" s="32">
        <f>+AQ217-AO217</f>
        <v>71.677999999999997</v>
      </c>
      <c r="AQ217" s="32">
        <f>+AQ187</f>
        <v>88.358999999999995</v>
      </c>
      <c r="AR217" s="32">
        <f>+AR187</f>
        <v>27.468999999999998</v>
      </c>
      <c r="AS217" s="32">
        <f>+AT217-AR217</f>
        <v>62.609000000000009</v>
      </c>
      <c r="AT217" s="32">
        <f>+AT187</f>
        <v>90.078000000000003</v>
      </c>
      <c r="AU217" s="32">
        <f>+AU187</f>
        <v>53.905000000000001</v>
      </c>
      <c r="AV217" s="32">
        <f>+AW217-AU217</f>
        <v>18.471999999999994</v>
      </c>
      <c r="AW217" s="32">
        <f>+AW187</f>
        <v>72.376999999999995</v>
      </c>
      <c r="AX217" s="32">
        <f>+AX187</f>
        <v>11.761000000000003</v>
      </c>
      <c r="AY217" s="32">
        <f>+AZ217-AX217</f>
        <v>42.312999999999995</v>
      </c>
      <c r="AZ217" s="32">
        <f>+AZ187</f>
        <v>54.073999999999998</v>
      </c>
      <c r="BA217" s="32">
        <f>+BA187</f>
        <v>47.280999999999999</v>
      </c>
      <c r="BB217" s="32">
        <f>+BC217-BA217</f>
        <v>81.757000000000005</v>
      </c>
      <c r="BC217" s="32">
        <f>+BC187</f>
        <v>129.03800000000001</v>
      </c>
      <c r="BD217" s="32">
        <f>+BD187</f>
        <v>-2.2589999999999999</v>
      </c>
      <c r="BE217" s="32">
        <f>+BF217-BD217</f>
        <v>132.34399999999999</v>
      </c>
      <c r="BF217" s="32">
        <f>+BF187</f>
        <v>130.08500000000001</v>
      </c>
      <c r="BG217" s="32">
        <f>+BG187</f>
        <v>24.856999999999999</v>
      </c>
      <c r="BH217" s="32">
        <f>+BI217-BG217</f>
        <v>90.658000000000001</v>
      </c>
      <c r="BI217" s="32">
        <f>+BI187</f>
        <v>115.515</v>
      </c>
      <c r="BJ217" s="32">
        <f>+BJ187</f>
        <v>49.19</v>
      </c>
      <c r="BK217" s="32">
        <f>+BL217-BJ217</f>
        <v>157.804</v>
      </c>
      <c r="BL217" s="32">
        <f>+BL187</f>
        <v>206.994</v>
      </c>
      <c r="BM217" s="32">
        <f>+BM187</f>
        <v>192.066</v>
      </c>
      <c r="BN217" s="32">
        <f>+BO217-BM217</f>
        <v>375.75599999999997</v>
      </c>
      <c r="BO217" s="32">
        <f>+BO187</f>
        <v>567.822</v>
      </c>
      <c r="BP217" s="32">
        <f>+BP187</f>
        <v>264.25200000000001</v>
      </c>
      <c r="BQ217" s="32">
        <f>+BR217-BP217</f>
        <v>257.91199999999998</v>
      </c>
      <c r="BR217" s="32">
        <f>+BR187</f>
        <v>522.16399999999999</v>
      </c>
      <c r="BS217" s="32">
        <f>+BS187</f>
        <v>186.80099999999999</v>
      </c>
      <c r="BT217" s="32">
        <f>+BU217-BS217</f>
        <v>294.03899999999999</v>
      </c>
      <c r="BU217" s="32">
        <f>+BU187</f>
        <v>480.84</v>
      </c>
      <c r="BV217" s="32">
        <f>+BV187</f>
        <v>292.726</v>
      </c>
      <c r="BW217" s="32">
        <f>+BX217-BV217</f>
        <v>422.61</v>
      </c>
      <c r="BX217" s="32">
        <f>+BX187</f>
        <v>715.33600000000001</v>
      </c>
      <c r="BY217" s="32">
        <f>+BY187</f>
        <v>445.048</v>
      </c>
      <c r="BZ217" s="32">
        <f>+CA217-BY217</f>
        <v>579.77600000000007</v>
      </c>
      <c r="CA217" s="32">
        <f>+CA187</f>
        <v>1024.8240000000001</v>
      </c>
      <c r="CB217" s="32">
        <f>+CB187</f>
        <v>491.17099999999999</v>
      </c>
      <c r="CC217" s="32">
        <f>+CD217-CB217</f>
        <v>677.32099999999991</v>
      </c>
      <c r="CD217" s="32">
        <f>+CD187</f>
        <v>1168.492</v>
      </c>
      <c r="CE217" s="32">
        <f>+CE187</f>
        <v>408.40300000000002</v>
      </c>
      <c r="CF217" s="32">
        <f>+CG217-CE217</f>
        <v>609.71600000000001</v>
      </c>
      <c r="CG217" s="32">
        <f>+CG187</f>
        <v>1018.119</v>
      </c>
      <c r="CH217" s="32">
        <f>+CH187</f>
        <v>538.79999999999995</v>
      </c>
      <c r="CI217" s="32">
        <f>+CJ217-CH217</f>
        <v>667</v>
      </c>
      <c r="CJ217" s="32">
        <f>+CJ187</f>
        <v>1205.8</v>
      </c>
      <c r="CK217" s="32">
        <f>+CK187</f>
        <v>670.2</v>
      </c>
      <c r="CL217" s="32">
        <f>+CM217-CK217</f>
        <v>641.5</v>
      </c>
      <c r="CM217" s="32">
        <f>+CM187</f>
        <v>1311.7</v>
      </c>
      <c r="CN217" s="32">
        <f>+CN187</f>
        <v>512.5</v>
      </c>
      <c r="CO217" s="32">
        <f>+CP217-CN217</f>
        <v>848.2</v>
      </c>
      <c r="CP217" s="32">
        <f>+CP187</f>
        <v>1360.7</v>
      </c>
      <c r="CQ217" s="32">
        <f>+CQ187</f>
        <v>656</v>
      </c>
      <c r="CR217" s="32">
        <f>+CS217-CQ217</f>
        <v>707.59999999999991</v>
      </c>
      <c r="CS217" s="32">
        <f>+CS187</f>
        <v>1363.6</v>
      </c>
      <c r="CT217" s="32">
        <f>+CT187</f>
        <v>705.2</v>
      </c>
      <c r="CU217" s="32">
        <f>+CV217-CT217</f>
        <v>473.39999999999986</v>
      </c>
      <c r="CV217" s="32">
        <f>+CV187</f>
        <v>1178.5999999999999</v>
      </c>
      <c r="CW217" s="32">
        <f>+CW187</f>
        <v>664.2</v>
      </c>
      <c r="CX217" s="32">
        <f>+CY217-CW217</f>
        <v>582.39999999999986</v>
      </c>
      <c r="CY217" s="32">
        <f>+CY187</f>
        <v>1246.5999999999999</v>
      </c>
      <c r="CZ217" s="32">
        <f>+CZ187</f>
        <v>840</v>
      </c>
      <c r="DA217" s="32">
        <f>+DB217-CZ217</f>
        <v>1062.0999999999999</v>
      </c>
      <c r="DB217" s="32">
        <f>+DB187</f>
        <v>1902.1</v>
      </c>
      <c r="DC217" s="32">
        <f>+DC187</f>
        <v>535.20000000000005</v>
      </c>
      <c r="DD217" s="32">
        <f>+DE217-DC217</f>
        <v>1109.2</v>
      </c>
      <c r="DE217" s="1061">
        <f>+DE187</f>
        <v>1644.4</v>
      </c>
      <c r="DF217" s="32">
        <f>+DF187</f>
        <v>1244.9000000000001</v>
      </c>
      <c r="DG217" s="32">
        <f>+DH217-DF217</f>
        <v>1243.4000000000001</v>
      </c>
      <c r="DH217" s="1061">
        <f>+DH187</f>
        <v>2488.3000000000002</v>
      </c>
      <c r="DI217" s="32">
        <f>+DI187</f>
        <v>2320.5</v>
      </c>
      <c r="DJ217" s="32">
        <f>+DK217-DI217</f>
        <v>1301.4000000000001</v>
      </c>
      <c r="DK217" s="1061">
        <f>+DK187</f>
        <v>3621.9</v>
      </c>
      <c r="DL217" s="32">
        <f>+DL187</f>
        <v>1426.9</v>
      </c>
      <c r="DM217" s="32">
        <f>+DN217-DL217</f>
        <v>1201.7999999999997</v>
      </c>
      <c r="DN217" s="1061">
        <f>+DN187</f>
        <v>2628.7</v>
      </c>
      <c r="DO217" s="32">
        <f>+DO187</f>
        <v>980.5</v>
      </c>
      <c r="DP217" s="32">
        <f>+DQ217-DO217</f>
        <v>1620.5</v>
      </c>
      <c r="DQ217" s="1061">
        <f>+DQ187</f>
        <v>2601</v>
      </c>
      <c r="DR217" s="32">
        <f>+DR187</f>
        <v>1069</v>
      </c>
      <c r="DS217" s="32">
        <f>+DT217-DR217</f>
        <v>1695</v>
      </c>
      <c r="DT217" s="1061">
        <f>+DT187</f>
        <v>2764</v>
      </c>
      <c r="DU217" s="32">
        <f>+DU187</f>
        <v>1259</v>
      </c>
      <c r="DV217" s="32">
        <f>+DW217-DU217</f>
        <v>2302</v>
      </c>
      <c r="DW217" s="1061">
        <f>+DW187</f>
        <v>3561</v>
      </c>
      <c r="DX217" s="32">
        <f>+DX187</f>
        <v>1302</v>
      </c>
      <c r="DY217" s="32">
        <f>+DY187</f>
        <v>2326.0663067492887</v>
      </c>
      <c r="DZ217" s="1061">
        <f t="shared" ref="DZ217:DZ219" si="545">SUM(DX217:DY217)</f>
        <v>3628.0663067492887</v>
      </c>
      <c r="EA217" s="32">
        <f>+EA187</f>
        <v>1960.3347164985539</v>
      </c>
      <c r="EB217" s="32">
        <f>+EC217-EA217</f>
        <v>2161.3896688940054</v>
      </c>
      <c r="EC217" s="1061">
        <f>+EC187</f>
        <v>4121.7243853925593</v>
      </c>
      <c r="ED217" s="32">
        <f>+ED187</f>
        <v>2263.627639405981</v>
      </c>
      <c r="EE217" s="32">
        <f>+EF217-ED217</f>
        <v>2244.1737531675021</v>
      </c>
      <c r="EF217" s="1061">
        <f>+EF187</f>
        <v>4507.8013925734831</v>
      </c>
      <c r="EG217" s="32">
        <f>+EG187</f>
        <v>2493.6638259950555</v>
      </c>
      <c r="EH217" s="32">
        <f>+EI217-EG217</f>
        <v>2415.128901328239</v>
      </c>
      <c r="EI217" s="1061">
        <f>+EI187</f>
        <v>4908.7927273232945</v>
      </c>
      <c r="EJ217" s="32">
        <f>+EJ187</f>
        <v>2783.8111104466393</v>
      </c>
      <c r="EK217" s="32">
        <f>+EL217-EJ217</f>
        <v>2582.2561454739484</v>
      </c>
      <c r="EL217" s="1061">
        <f>+EL187</f>
        <v>5366.0672559205877</v>
      </c>
      <c r="EM217" s="32">
        <f>+EM187</f>
        <v>3167.3636960338172</v>
      </c>
      <c r="EN217" s="32">
        <f>+EO217-EM217</f>
        <v>2783.1522453302496</v>
      </c>
      <c r="EO217" s="1061">
        <f>+EO187</f>
        <v>5950.5159413640667</v>
      </c>
      <c r="EP217" s="32">
        <f>+EP187</f>
        <v>3468.3426488457935</v>
      </c>
      <c r="EQ217" s="32">
        <f>+ER217-EP217</f>
        <v>2992.646117518977</v>
      </c>
      <c r="ER217" s="1061">
        <f>+ER187</f>
        <v>6460.9887663647705</v>
      </c>
      <c r="ES217" s="32">
        <f>+ES187</f>
        <v>3760.3751447727182</v>
      </c>
      <c r="ET217" s="32">
        <f>+EU217-ES217</f>
        <v>3184.925931716396</v>
      </c>
      <c r="EU217" s="1061">
        <f>+EU187</f>
        <v>6945.3010764891142</v>
      </c>
      <c r="EV217" s="32">
        <f>+EV187</f>
        <v>4043.06449370686</v>
      </c>
      <c r="EW217" s="32">
        <f>+EX217-EV217</f>
        <v>3349.0278975100127</v>
      </c>
      <c r="EX217" s="1061">
        <f>+EX187</f>
        <v>7392.0923912168728</v>
      </c>
      <c r="EY217" s="32">
        <f>+EY187</f>
        <v>4345.9277126920842</v>
      </c>
      <c r="EZ217" s="32">
        <f>+FA217-EY217</f>
        <v>3521.4589378851133</v>
      </c>
      <c r="FA217" s="1061">
        <f>+FA187</f>
        <v>7867.3866505771975</v>
      </c>
      <c r="FB217" s="1068"/>
      <c r="FC217" s="1068"/>
      <c r="FD217"/>
      <c r="FE217"/>
      <c r="FF217"/>
      <c r="FG217"/>
      <c r="FH217"/>
      <c r="FI217"/>
    </row>
    <row r="218" spans="1:169" s="1078" customFormat="1">
      <c r="B218" s="54" t="s">
        <v>552</v>
      </c>
      <c r="D218" s="2" t="s">
        <v>506</v>
      </c>
      <c r="E218" s="32">
        <f>-E189</f>
        <v>0</v>
      </c>
      <c r="F218" s="32">
        <f>+G218-E218</f>
        <v>0</v>
      </c>
      <c r="G218" s="32">
        <f>-G189</f>
        <v>0</v>
      </c>
      <c r="H218" s="32">
        <f>-H189</f>
        <v>0</v>
      </c>
      <c r="I218" s="32">
        <f>+J218-H218</f>
        <v>0</v>
      </c>
      <c r="J218" s="32">
        <f>-J189</f>
        <v>0</v>
      </c>
      <c r="K218" s="32">
        <f>-K189</f>
        <v>0</v>
      </c>
      <c r="L218" s="32">
        <f>+M218-K218</f>
        <v>0</v>
      </c>
      <c r="M218" s="32">
        <f>-M189</f>
        <v>0</v>
      </c>
      <c r="N218" s="32">
        <f>-N189</f>
        <v>0</v>
      </c>
      <c r="O218" s="32">
        <f>+P218-N218</f>
        <v>0</v>
      </c>
      <c r="P218" s="32">
        <f>-P189</f>
        <v>0</v>
      </c>
      <c r="Q218" s="32">
        <f>-Q189</f>
        <v>0</v>
      </c>
      <c r="R218" s="32">
        <f>+S218-Q218</f>
        <v>0</v>
      </c>
      <c r="S218" s="32">
        <f>-S189</f>
        <v>0</v>
      </c>
      <c r="T218" s="32">
        <f>-T189</f>
        <v>0</v>
      </c>
      <c r="U218" s="32">
        <f>+V218-T218</f>
        <v>0</v>
      </c>
      <c r="V218" s="32">
        <f>-V189</f>
        <v>0</v>
      </c>
      <c r="W218" s="32">
        <f>-W189</f>
        <v>0</v>
      </c>
      <c r="X218" s="32">
        <f>+Y218-W218</f>
        <v>0</v>
      </c>
      <c r="Y218" s="32">
        <f>-Y189</f>
        <v>0</v>
      </c>
      <c r="Z218" s="32">
        <f>-Z189</f>
        <v>0</v>
      </c>
      <c r="AA218" s="32">
        <f>+AB218-Z218</f>
        <v>0</v>
      </c>
      <c r="AB218" s="32">
        <f>-AB189</f>
        <v>0</v>
      </c>
      <c r="AC218" s="32">
        <f>-AC189</f>
        <v>0</v>
      </c>
      <c r="AD218" s="32">
        <f>+AE218-AC218</f>
        <v>0</v>
      </c>
      <c r="AE218" s="32">
        <f>-AE189</f>
        <v>0</v>
      </c>
      <c r="AF218" s="32">
        <f>-AF189</f>
        <v>0</v>
      </c>
      <c r="AG218" s="32">
        <f>+AH218-AF218</f>
        <v>0</v>
      </c>
      <c r="AH218" s="32">
        <f>-AH189</f>
        <v>0</v>
      </c>
      <c r="AI218" s="32">
        <f>-AI189</f>
        <v>0</v>
      </c>
      <c r="AJ218" s="32">
        <f>+AK218-AI218</f>
        <v>0</v>
      </c>
      <c r="AK218" s="32">
        <f>-AK189</f>
        <v>0</v>
      </c>
      <c r="AL218" s="32">
        <f>-AL189</f>
        <v>0</v>
      </c>
      <c r="AM218" s="32">
        <f>+AN218-AL218</f>
        <v>0</v>
      </c>
      <c r="AN218" s="32">
        <f>-AN189</f>
        <v>0</v>
      </c>
      <c r="AO218" s="32">
        <f>-AO189</f>
        <v>0</v>
      </c>
      <c r="AP218" s="32">
        <f>+AQ218-AO218</f>
        <v>0</v>
      </c>
      <c r="AQ218" s="32">
        <f>-AQ189</f>
        <v>0</v>
      </c>
      <c r="AR218" s="32">
        <f>-AR189</f>
        <v>0</v>
      </c>
      <c r="AS218" s="32">
        <f>+AT218-AR218</f>
        <v>0</v>
      </c>
      <c r="AT218" s="32"/>
      <c r="AU218" s="32">
        <f>-AU189</f>
        <v>0</v>
      </c>
      <c r="AV218" s="32">
        <f>+AW218-AU218</f>
        <v>0</v>
      </c>
      <c r="AW218" s="32">
        <f>-AW189</f>
        <v>0</v>
      </c>
      <c r="AX218" s="32">
        <f>-AX189</f>
        <v>0</v>
      </c>
      <c r="AY218" s="32">
        <f>+AZ218-AX218</f>
        <v>0.65300000000000002</v>
      </c>
      <c r="AZ218" s="32">
        <f>-AZ189</f>
        <v>0.65300000000000002</v>
      </c>
      <c r="BA218" s="32">
        <f>-BA189</f>
        <v>0</v>
      </c>
      <c r="BB218" s="32">
        <f>+BC218-BA218</f>
        <v>0</v>
      </c>
      <c r="BC218" s="32">
        <f>-BC189</f>
        <v>0</v>
      </c>
      <c r="BD218" s="32">
        <f>-BD189</f>
        <v>1.48</v>
      </c>
      <c r="BE218" s="32">
        <f>+BF218-BD218</f>
        <v>-1.48</v>
      </c>
      <c r="BF218" s="32">
        <f>-BF189</f>
        <v>0</v>
      </c>
      <c r="BG218" s="32">
        <f>-BG189</f>
        <v>0</v>
      </c>
      <c r="BH218" s="32">
        <f>+BI218-BG218</f>
        <v>0</v>
      </c>
      <c r="BI218" s="32">
        <f>-BI189</f>
        <v>0</v>
      </c>
      <c r="BJ218" s="32">
        <f>-BJ189</f>
        <v>27.856999999999999</v>
      </c>
      <c r="BK218" s="32">
        <f>+BL218-BJ218</f>
        <v>-2.1050000000000004</v>
      </c>
      <c r="BL218" s="32">
        <f>-BL189</f>
        <v>25.751999999999999</v>
      </c>
      <c r="BM218" s="32">
        <f t="shared" ref="BM218:BU218" si="546">BM188</f>
        <v>-125.386</v>
      </c>
      <c r="BN218" s="32">
        <f t="shared" si="546"/>
        <v>-63.596000000000004</v>
      </c>
      <c r="BO218" s="32">
        <f t="shared" si="546"/>
        <v>-188.982</v>
      </c>
      <c r="BP218" s="32">
        <f t="shared" si="546"/>
        <v>0</v>
      </c>
      <c r="BQ218" s="32">
        <f t="shared" si="546"/>
        <v>-122.065</v>
      </c>
      <c r="BR218" s="32">
        <f t="shared" si="546"/>
        <v>-122.065</v>
      </c>
      <c r="BS218" s="32">
        <f t="shared" si="546"/>
        <v>-72.834999999999994</v>
      </c>
      <c r="BT218" s="32">
        <f t="shared" si="546"/>
        <v>-134.77199999999999</v>
      </c>
      <c r="BU218" s="32">
        <f t="shared" si="546"/>
        <v>-207.60699999999997</v>
      </c>
      <c r="BV218" s="32">
        <f>-BV188</f>
        <v>102.631</v>
      </c>
      <c r="BW218" s="32">
        <f>+BX218-BV218</f>
        <v>115.64100000000002</v>
      </c>
      <c r="BX218" s="32">
        <f>-BX188</f>
        <v>218.27200000000002</v>
      </c>
      <c r="BY218" s="32">
        <f>-BY188</f>
        <v>133.18700000000001</v>
      </c>
      <c r="BZ218" s="32">
        <f>+CA218-BY218</f>
        <v>152.42399999999998</v>
      </c>
      <c r="CA218" s="32">
        <f>-CA188</f>
        <v>285.61099999999999</v>
      </c>
      <c r="CB218" s="32">
        <f>-CB188</f>
        <v>68.585045954725487</v>
      </c>
      <c r="CC218" s="32">
        <f>+CD218-CB218</f>
        <v>175.06195404527455</v>
      </c>
      <c r="CD218" s="32">
        <f>-CD188</f>
        <v>243.64700000000002</v>
      </c>
      <c r="CE218" s="32">
        <f>-CE188</f>
        <v>81.963999999999999</v>
      </c>
      <c r="CF218" s="32">
        <f>+CG218-CE218</f>
        <v>116.18800000000002</v>
      </c>
      <c r="CG218" s="32">
        <f>-CG188</f>
        <v>198.15200000000002</v>
      </c>
      <c r="CH218" s="32">
        <f>-CH188</f>
        <v>147.19999999999999</v>
      </c>
      <c r="CI218" s="32">
        <f>+CJ218-CH218</f>
        <v>161.89999999999998</v>
      </c>
      <c r="CJ218" s="32">
        <f>-CJ188</f>
        <v>309.09999999999997</v>
      </c>
      <c r="CK218" s="32">
        <f>-CK188</f>
        <v>231.9</v>
      </c>
      <c r="CL218" s="32">
        <f>+CM218-CK218</f>
        <v>200.9</v>
      </c>
      <c r="CM218" s="32">
        <f>-CM188</f>
        <v>432.8</v>
      </c>
      <c r="CN218" s="32">
        <f>-CN188</f>
        <v>189</v>
      </c>
      <c r="CO218" s="32">
        <f>+CP218-CN218</f>
        <v>164.59999999999997</v>
      </c>
      <c r="CP218" s="32">
        <f>-CP188</f>
        <v>353.59999999999997</v>
      </c>
      <c r="CQ218" s="32">
        <f>-CQ188</f>
        <v>176.9</v>
      </c>
      <c r="CR218" s="32">
        <f>+CS218-CQ218</f>
        <v>170.6</v>
      </c>
      <c r="CS218" s="32">
        <f>-CS188</f>
        <v>347.5</v>
      </c>
      <c r="CT218" s="32">
        <f>-CT188</f>
        <v>239.70000000000002</v>
      </c>
      <c r="CU218" s="32">
        <f>+CV218-CT218</f>
        <v>255.29999999999998</v>
      </c>
      <c r="CV218" s="32">
        <f>-CV188</f>
        <v>495</v>
      </c>
      <c r="CW218" s="32">
        <f>-CW188</f>
        <v>461.64566169188777</v>
      </c>
      <c r="CX218" s="32">
        <f>+CY218-CW218</f>
        <v>394.93529068906457</v>
      </c>
      <c r="CY218" s="32">
        <f>-CY188</f>
        <v>856.58095238095234</v>
      </c>
      <c r="CZ218" s="32">
        <f>-CZ188</f>
        <v>317.60000000000002</v>
      </c>
      <c r="DA218" s="32">
        <f>+DB218-CZ218</f>
        <v>674.99999999999989</v>
      </c>
      <c r="DB218" s="32">
        <f>-DB188</f>
        <v>992.59999999999991</v>
      </c>
      <c r="DC218" s="32">
        <f>-DC188</f>
        <v>539</v>
      </c>
      <c r="DD218" s="32">
        <f>+DE218-DC218</f>
        <v>745.8</v>
      </c>
      <c r="DE218" s="1061">
        <f>-DE188</f>
        <v>1284.8</v>
      </c>
      <c r="DF218" s="32">
        <f>-DF188</f>
        <v>704</v>
      </c>
      <c r="DG218" s="32">
        <f>+DH218-DF218</f>
        <v>663.59999999999991</v>
      </c>
      <c r="DH218" s="1061">
        <f>-DH188</f>
        <v>1367.6</v>
      </c>
      <c r="DI218" s="32">
        <f>-DI188</f>
        <v>565</v>
      </c>
      <c r="DJ218" s="32">
        <f>+DK218-DI218</f>
        <v>631.29999999999995</v>
      </c>
      <c r="DK218" s="1061">
        <f>-DK188</f>
        <v>1196.3</v>
      </c>
      <c r="DL218" s="32">
        <f>-DL188</f>
        <v>525</v>
      </c>
      <c r="DM218" s="32">
        <f>+DN218-DL218</f>
        <v>554</v>
      </c>
      <c r="DN218" s="1061">
        <f>-DN188</f>
        <v>1079</v>
      </c>
      <c r="DO218" s="32">
        <f>-DO188</f>
        <v>570</v>
      </c>
      <c r="DP218" s="32">
        <f>+DQ218-DO218</f>
        <v>658</v>
      </c>
      <c r="DQ218" s="1061">
        <f>-DQ188</f>
        <v>1228</v>
      </c>
      <c r="DR218" s="32">
        <f>-DR188</f>
        <v>475</v>
      </c>
      <c r="DS218" s="32">
        <f>+DT218-DR218</f>
        <v>374</v>
      </c>
      <c r="DT218" s="1061">
        <f>-DT188</f>
        <v>849</v>
      </c>
      <c r="DU218" s="32">
        <f>-DU188</f>
        <v>378</v>
      </c>
      <c r="DV218" s="32">
        <f>+DW218-DU218</f>
        <v>258</v>
      </c>
      <c r="DW218" s="1061">
        <f>-DW188</f>
        <v>636</v>
      </c>
      <c r="DX218" s="32">
        <f>-DX188</f>
        <v>296</v>
      </c>
      <c r="DY218" s="32">
        <f>-DY188</f>
        <v>516.96310784077889</v>
      </c>
      <c r="DZ218" s="1061">
        <f t="shared" si="545"/>
        <v>812.96310784077889</v>
      </c>
      <c r="EA218" s="32">
        <f>-EA188</f>
        <v>514.63700481123271</v>
      </c>
      <c r="EB218" s="32">
        <f>+EC218-EA218</f>
        <v>465.47007967432671</v>
      </c>
      <c r="EC218" s="1061">
        <f>-EC188</f>
        <v>980.10708448555943</v>
      </c>
      <c r="ED218" s="32">
        <f>-ED188</f>
        <v>627.97059196247403</v>
      </c>
      <c r="EE218" s="32">
        <f>+EF218-ED218</f>
        <v>577.8575148537833</v>
      </c>
      <c r="EF218" s="1061">
        <f>-EF188</f>
        <v>1205.8281068162573</v>
      </c>
      <c r="EG218" s="32">
        <f>-EG188</f>
        <v>663.96127498187241</v>
      </c>
      <c r="EH218" s="32">
        <f>+EI218-EG218</f>
        <v>617.06337582648678</v>
      </c>
      <c r="EI218" s="1061">
        <f>-EI188</f>
        <v>1281.0246508083592</v>
      </c>
      <c r="EJ218" s="32">
        <f>-EJ188</f>
        <v>601.24324388929301</v>
      </c>
      <c r="EK218" s="32">
        <f>+EL218-EJ218</f>
        <v>566.41719568957035</v>
      </c>
      <c r="EL218" s="1061">
        <f>-EL188</f>
        <v>1167.6604395788634</v>
      </c>
      <c r="EM218" s="32">
        <f>-EM188</f>
        <v>526.66655964934102</v>
      </c>
      <c r="EN218" s="32">
        <f>+EO218-EM218</f>
        <v>500.31326765816107</v>
      </c>
      <c r="EO218" s="1061">
        <f>-EO188</f>
        <v>1026.9798273075021</v>
      </c>
      <c r="EP218" s="32">
        <f>-EP188</f>
        <v>554.59620429623612</v>
      </c>
      <c r="EQ218" s="32">
        <f>+ER218-EP218</f>
        <v>530.4620761807081</v>
      </c>
      <c r="ER218" s="1061">
        <f>-ER188</f>
        <v>1085.0582804769442</v>
      </c>
      <c r="ES218" s="32">
        <f>-ES188</f>
        <v>584.89130571653379</v>
      </c>
      <c r="ET218" s="32">
        <f>+EU218-ES218</f>
        <v>561.49230204467801</v>
      </c>
      <c r="EU218" s="1061">
        <f>-EU188</f>
        <v>1146.3836077612118</v>
      </c>
      <c r="EV218" s="32">
        <f>-EV188</f>
        <v>618.12807031663817</v>
      </c>
      <c r="EW218" s="32">
        <f>+EX218-EV218</f>
        <v>594.52952809962323</v>
      </c>
      <c r="EX218" s="1061">
        <f>-EX188</f>
        <v>1212.6575984162614</v>
      </c>
      <c r="EY218" s="32">
        <f>-EY188</f>
        <v>653.43372095647942</v>
      </c>
      <c r="EZ218" s="32">
        <f>+FA218-EY218</f>
        <v>629.70792170424716</v>
      </c>
      <c r="FA218" s="1061">
        <f>-FA188</f>
        <v>1283.1416426607266</v>
      </c>
      <c r="FB218" s="1068"/>
      <c r="FC218" s="1068"/>
      <c r="FD218"/>
      <c r="FE218"/>
      <c r="FF218"/>
      <c r="FG218"/>
      <c r="FH218"/>
      <c r="FI218"/>
    </row>
    <row r="219" spans="1:169" s="1078" customFormat="1">
      <c r="B219" s="54" t="s">
        <v>613</v>
      </c>
      <c r="D219" s="2" t="s">
        <v>506</v>
      </c>
      <c r="E219" s="32">
        <f>-E208</f>
        <v>0</v>
      </c>
      <c r="F219" s="32">
        <f>+G219-E219</f>
        <v>0</v>
      </c>
      <c r="G219" s="32">
        <f>-G208</f>
        <v>0</v>
      </c>
      <c r="H219" s="32">
        <f>-H208</f>
        <v>0</v>
      </c>
      <c r="I219" s="32">
        <f>+J219-H219</f>
        <v>0</v>
      </c>
      <c r="J219" s="32">
        <f>-J208</f>
        <v>0</v>
      </c>
      <c r="K219" s="32">
        <f>-K208</f>
        <v>0</v>
      </c>
      <c r="L219" s="32">
        <f>+M219-K219</f>
        <v>0</v>
      </c>
      <c r="M219" s="32">
        <f>-M208</f>
        <v>0</v>
      </c>
      <c r="N219" s="32">
        <f>-N208</f>
        <v>0</v>
      </c>
      <c r="O219" s="32">
        <f>+P219-N219</f>
        <v>0</v>
      </c>
      <c r="P219" s="32">
        <f>-P208</f>
        <v>0</v>
      </c>
      <c r="Q219" s="32">
        <f>-Q208</f>
        <v>0</v>
      </c>
      <c r="R219" s="32">
        <f>+S219-Q219</f>
        <v>0</v>
      </c>
      <c r="S219" s="32">
        <f>-S208</f>
        <v>0</v>
      </c>
      <c r="T219" s="32">
        <f>-T208</f>
        <v>0</v>
      </c>
      <c r="U219" s="32">
        <f>+V219-T219</f>
        <v>0</v>
      </c>
      <c r="V219" s="32">
        <f>-V208</f>
        <v>0</v>
      </c>
      <c r="W219" s="32">
        <f>-W208</f>
        <v>0</v>
      </c>
      <c r="X219" s="32">
        <f>+Y219-W219</f>
        <v>0</v>
      </c>
      <c r="Y219" s="32">
        <f>-Y208</f>
        <v>0</v>
      </c>
      <c r="Z219" s="32">
        <f>-Z208</f>
        <v>0</v>
      </c>
      <c r="AA219" s="32">
        <f>+AB219-Z219</f>
        <v>0</v>
      </c>
      <c r="AB219" s="32">
        <f>-AB208</f>
        <v>0</v>
      </c>
      <c r="AC219" s="32">
        <f>-AC208</f>
        <v>0</v>
      </c>
      <c r="AD219" s="32">
        <f>+AE219-AC219</f>
        <v>0</v>
      </c>
      <c r="AE219" s="32">
        <f>-AE208</f>
        <v>0</v>
      </c>
      <c r="AF219" s="32">
        <f>-AF208</f>
        <v>0</v>
      </c>
      <c r="AG219" s="32">
        <f>+AH219-AF219</f>
        <v>0</v>
      </c>
      <c r="AH219" s="32">
        <f>-AH208</f>
        <v>0</v>
      </c>
      <c r="AI219" s="32">
        <f>-AI208</f>
        <v>0</v>
      </c>
      <c r="AJ219" s="32">
        <f>+AK219-AI219</f>
        <v>0</v>
      </c>
      <c r="AK219" s="32">
        <f>-AK208</f>
        <v>0</v>
      </c>
      <c r="AL219" s="32">
        <f>-AL208</f>
        <v>0</v>
      </c>
      <c r="AM219" s="32">
        <f>+AN219-AL219</f>
        <v>15.6</v>
      </c>
      <c r="AN219" s="32">
        <f>-AN208</f>
        <v>15.6</v>
      </c>
      <c r="AO219" s="32">
        <f>-AO208</f>
        <v>0</v>
      </c>
      <c r="AP219" s="32">
        <f>+AQ219-AO219</f>
        <v>17.55</v>
      </c>
      <c r="AQ219" s="32">
        <f>-AQ208</f>
        <v>17.55</v>
      </c>
      <c r="AR219" s="32">
        <f>-AR208</f>
        <v>-13.125999999999999</v>
      </c>
      <c r="AS219" s="32">
        <f>+AT219-AR219</f>
        <v>34.128</v>
      </c>
      <c r="AT219" s="32">
        <f>-AT208</f>
        <v>21.001999999999999</v>
      </c>
      <c r="AU219" s="32">
        <f>-AU208</f>
        <v>15.798</v>
      </c>
      <c r="AV219" s="32">
        <f>+AW219-AU219</f>
        <v>9.2159999999999993</v>
      </c>
      <c r="AW219" s="32">
        <f>-AW208</f>
        <v>25.013999999999999</v>
      </c>
      <c r="AX219" s="32">
        <f>-AX208</f>
        <v>21.622</v>
      </c>
      <c r="AY219" s="32">
        <f>+AZ219-AX219</f>
        <v>7.5219999999999985</v>
      </c>
      <c r="AZ219" s="32">
        <f>-AZ208</f>
        <v>29.143999999999998</v>
      </c>
      <c r="BA219" s="32">
        <f>-BA208</f>
        <v>22.422000000000001</v>
      </c>
      <c r="BB219" s="32">
        <f>+BC219-BA219</f>
        <v>0</v>
      </c>
      <c r="BC219" s="32">
        <f>-BC208</f>
        <v>22.422000000000001</v>
      </c>
      <c r="BD219" s="32">
        <f>-BD208</f>
        <v>26.937000000000001</v>
      </c>
      <c r="BE219" s="32">
        <f>+BF219-BD219</f>
        <v>19.010000000000002</v>
      </c>
      <c r="BF219" s="32">
        <f>-BF208</f>
        <v>45.947000000000003</v>
      </c>
      <c r="BG219" s="32">
        <f>-BG208</f>
        <v>39.423999999999999</v>
      </c>
      <c r="BH219" s="32">
        <f>+BI219-BG219</f>
        <v>14.667000000000002</v>
      </c>
      <c r="BI219" s="32">
        <f>-BI208</f>
        <v>54.091000000000001</v>
      </c>
      <c r="BJ219" s="32">
        <f>-BJ208</f>
        <v>22.687999999999999</v>
      </c>
      <c r="BK219" s="32">
        <f>+BL219-BJ219</f>
        <v>12.675999999999998</v>
      </c>
      <c r="BL219" s="32">
        <f>-BL208</f>
        <v>35.363999999999997</v>
      </c>
      <c r="BM219" s="32">
        <f>-BM208</f>
        <v>29.736999999999998</v>
      </c>
      <c r="BN219" s="32">
        <f>+BO219-BM219</f>
        <v>33.771000000000001</v>
      </c>
      <c r="BO219" s="32">
        <f>-BO208</f>
        <v>63.508000000000003</v>
      </c>
      <c r="BP219" s="32">
        <f>-BP208</f>
        <v>0</v>
      </c>
      <c r="BQ219" s="32">
        <f>+BR219-BP219</f>
        <v>124.39400000000001</v>
      </c>
      <c r="BR219" s="32">
        <f>-BR208</f>
        <v>124.39400000000001</v>
      </c>
      <c r="BS219" s="32">
        <f>-BS208</f>
        <v>72.926000000000002</v>
      </c>
      <c r="BT219" s="32">
        <f>+BU219-BS219</f>
        <v>89.60799999999999</v>
      </c>
      <c r="BU219" s="32">
        <f>-BU208</f>
        <v>162.53399999999999</v>
      </c>
      <c r="BV219" s="32">
        <f>+BV342</f>
        <v>125.97282597</v>
      </c>
      <c r="BW219" s="32">
        <f>+BX219-BV219</f>
        <v>127.07589447000001</v>
      </c>
      <c r="BX219" s="32">
        <f>+BX342</f>
        <v>253.04872044000001</v>
      </c>
      <c r="BY219" s="32">
        <f>+BY342</f>
        <v>179.73842845094288</v>
      </c>
      <c r="BZ219" s="32">
        <f>+CA219-BY219</f>
        <v>240.62444680000004</v>
      </c>
      <c r="CA219" s="32">
        <f>+CA342</f>
        <v>420.36287525094292</v>
      </c>
      <c r="CB219" s="32">
        <f>+CB342</f>
        <v>194.86322568324337</v>
      </c>
      <c r="CC219" s="32">
        <f>+CD219-CB219</f>
        <v>244.78740274072524</v>
      </c>
      <c r="CD219" s="32">
        <f>+CD342</f>
        <v>439.65062842396861</v>
      </c>
      <c r="CE219" s="32">
        <f>+CE342</f>
        <v>189.53392499999995</v>
      </c>
      <c r="CF219" s="32">
        <f>+CG219-CE219</f>
        <v>241.54742739289202</v>
      </c>
      <c r="CG219" s="32">
        <f>+CG342</f>
        <v>431.08135239289197</v>
      </c>
      <c r="CH219" s="32">
        <f>+CH342</f>
        <v>186.86835720000002</v>
      </c>
      <c r="CI219" s="32">
        <f>+CJ219-CH219</f>
        <v>243.63403679092355</v>
      </c>
      <c r="CJ219" s="32">
        <f>+CJ342</f>
        <v>430.50239399092357</v>
      </c>
      <c r="CK219" s="32">
        <f>+CK342</f>
        <v>248.46308230212162</v>
      </c>
      <c r="CL219" s="32">
        <f>+CM219-CK219</f>
        <v>246.98018304347573</v>
      </c>
      <c r="CM219" s="32">
        <f>+CM342</f>
        <v>495.44326534559735</v>
      </c>
      <c r="CN219" s="32">
        <f>+CN342</f>
        <v>257.60258568838566</v>
      </c>
      <c r="CO219" s="32">
        <f>+CP219-CN219</f>
        <v>290.91821920001195</v>
      </c>
      <c r="CP219" s="32">
        <f>+CP342</f>
        <v>548.52080488839761</v>
      </c>
      <c r="CQ219" s="32">
        <f>+CQ342</f>
        <v>275.37719602000004</v>
      </c>
      <c r="CR219" s="32">
        <f>+CS219-CQ219</f>
        <v>301.78826133999996</v>
      </c>
      <c r="CS219" s="32">
        <f>+CS342</f>
        <v>577.16545736</v>
      </c>
      <c r="CT219" s="32">
        <f>+CT342</f>
        <v>268.93642767999995</v>
      </c>
      <c r="CU219" s="32">
        <f>+CV219-CT219</f>
        <v>306.30684764000011</v>
      </c>
      <c r="CV219" s="32">
        <f>+CV342</f>
        <v>575.24327532000007</v>
      </c>
      <c r="CW219" s="32">
        <f>+CW342</f>
        <v>357.37781191906549</v>
      </c>
      <c r="CX219" s="32">
        <f>+CY219-CW219</f>
        <v>263.16949379200594</v>
      </c>
      <c r="CY219" s="32">
        <f>+CY342</f>
        <v>620.54730571107143</v>
      </c>
      <c r="CZ219" s="32">
        <f>+CZ342</f>
        <v>359.00245829612396</v>
      </c>
      <c r="DA219" s="32">
        <f>+DB219-CZ219</f>
        <v>421.27009756679269</v>
      </c>
      <c r="DB219" s="32">
        <f>+DB342</f>
        <v>780.27255586291665</v>
      </c>
      <c r="DC219" s="32">
        <f>+DC342</f>
        <v>384.31117054488868</v>
      </c>
      <c r="DD219" s="32">
        <f>+DE219-DC219</f>
        <v>453.99533380511195</v>
      </c>
      <c r="DE219" s="1061">
        <f>+DE342</f>
        <v>838.30650435000064</v>
      </c>
      <c r="DF219" s="32">
        <f>+DF342</f>
        <v>431.07063961319443</v>
      </c>
      <c r="DG219" s="32">
        <f>+DH219-DF219</f>
        <v>486.46763431220154</v>
      </c>
      <c r="DH219" s="1061">
        <f>+DH342</f>
        <v>917.53827392539597</v>
      </c>
      <c r="DI219" s="32">
        <f>+DI342</f>
        <v>473.02545148591668</v>
      </c>
      <c r="DJ219" s="32">
        <f>+DK219-DI219</f>
        <v>552.76995079602807</v>
      </c>
      <c r="DK219" s="1061">
        <f>+DK342</f>
        <v>1025.7954022819447</v>
      </c>
      <c r="DL219" s="32">
        <f>+DL342</f>
        <v>500.84435495456069</v>
      </c>
      <c r="DM219" s="32">
        <f>+DN219-DL219</f>
        <v>696.62806638988945</v>
      </c>
      <c r="DN219" s="1061">
        <f>+DN342</f>
        <v>1197.4724213444501</v>
      </c>
      <c r="DO219" s="32">
        <f>+DO342</f>
        <v>515.82494273599286</v>
      </c>
      <c r="DP219" s="32">
        <f>+DQ219-DO219</f>
        <v>622.38327824537873</v>
      </c>
      <c r="DQ219" s="1061">
        <f>+DQ342</f>
        <v>1138.2082209813716</v>
      </c>
      <c r="DR219" s="32">
        <f>+DR342</f>
        <v>574.64838854094569</v>
      </c>
      <c r="DS219" s="32">
        <f>+DT219-DR219</f>
        <v>699.01659600756807</v>
      </c>
      <c r="DT219" s="1061">
        <f>+DT342</f>
        <v>1273.6649845485138</v>
      </c>
      <c r="DU219" s="32">
        <f>+DU342</f>
        <v>628.43586129999994</v>
      </c>
      <c r="DV219" s="32">
        <f>+DW219-DU219</f>
        <v>785.46353786000009</v>
      </c>
      <c r="DW219" s="1061">
        <f>+DW342</f>
        <v>1413.89939916</v>
      </c>
      <c r="DX219" s="32">
        <f>+DX342</f>
        <v>678.25839451912657</v>
      </c>
      <c r="DY219" s="32">
        <f>+DY342</f>
        <v>805.94288479318925</v>
      </c>
      <c r="DZ219" s="1061">
        <f t="shared" si="545"/>
        <v>1484.2012793123158</v>
      </c>
      <c r="EA219" s="32">
        <f>+EA342</f>
        <v>740.25236779754505</v>
      </c>
      <c r="EB219" s="32">
        <f>+EC219-EA219</f>
        <v>754.28275759097141</v>
      </c>
      <c r="EC219" s="1061">
        <f>+EC342</f>
        <v>1494.5351253885165</v>
      </c>
      <c r="ED219" s="32">
        <f>+ED342</f>
        <v>805.77155174907875</v>
      </c>
      <c r="EE219" s="32">
        <f>+EF219-ED219</f>
        <v>820.57768377689672</v>
      </c>
      <c r="EF219" s="1061">
        <f>+EF342</f>
        <v>1626.3492355259755</v>
      </c>
      <c r="EG219" s="32">
        <f>+EG342</f>
        <v>874.34198486406808</v>
      </c>
      <c r="EH219" s="32">
        <f>+EI219-EG219</f>
        <v>918.28389310989928</v>
      </c>
      <c r="EI219" s="1061">
        <f>+EI342</f>
        <v>1792.6258779739674</v>
      </c>
      <c r="EJ219" s="32">
        <f>+EJ342</f>
        <v>951.96519678047321</v>
      </c>
      <c r="EK219" s="32">
        <f>+EL219-EJ219</f>
        <v>1025.7459267415259</v>
      </c>
      <c r="EL219" s="1061">
        <f>+EL342</f>
        <v>1977.7111235219991</v>
      </c>
      <c r="EM219" s="32">
        <f>+EM342</f>
        <v>1043.2784672699222</v>
      </c>
      <c r="EN219" s="32">
        <f>+EO219-EM219</f>
        <v>1130.0327665150662</v>
      </c>
      <c r="EO219" s="1061">
        <f>+EO342</f>
        <v>2173.3112337849884</v>
      </c>
      <c r="EP219" s="32">
        <f>+EP342</f>
        <v>1130.6647567255873</v>
      </c>
      <c r="EQ219" s="32">
        <f>+ER219-EP219</f>
        <v>1247.8802724081183</v>
      </c>
      <c r="ER219" s="1061">
        <f>+ER342</f>
        <v>2378.5450291337056</v>
      </c>
      <c r="ES219" s="32">
        <f>+ES342</f>
        <v>1214.0588609902522</v>
      </c>
      <c r="ET219" s="32">
        <f>+EU219-ES219</f>
        <v>1356.8055207166788</v>
      </c>
      <c r="EU219" s="1061">
        <f>+EU342</f>
        <v>2570.864381706931</v>
      </c>
      <c r="EV219" s="32">
        <f>+EV342</f>
        <v>1290.4124028664185</v>
      </c>
      <c r="EW219" s="32">
        <f>+EX219-EV219</f>
        <v>1453.8042079178697</v>
      </c>
      <c r="EX219" s="1061">
        <f>+EX342</f>
        <v>2744.2166107842882</v>
      </c>
      <c r="EY219" s="32">
        <f>+EY342</f>
        <v>1371.5809817916027</v>
      </c>
      <c r="EZ219" s="32">
        <f>+FA219-EY219</f>
        <v>1557.2656145923872</v>
      </c>
      <c r="FA219" s="1061">
        <f>+FA342</f>
        <v>2928.8465963839899</v>
      </c>
      <c r="FB219" s="1068"/>
      <c r="FC219" s="1068"/>
      <c r="FD219"/>
      <c r="FE219"/>
      <c r="FF219"/>
      <c r="FG219"/>
      <c r="FH219"/>
      <c r="FI219"/>
    </row>
    <row r="220" spans="1:169" s="1078" customFormat="1">
      <c r="B220" s="54" t="s">
        <v>318</v>
      </c>
      <c r="D220" s="2" t="s">
        <v>506</v>
      </c>
      <c r="E220" s="32">
        <f>+E217+E218+E219</f>
        <v>0</v>
      </c>
      <c r="F220" s="32">
        <f>+G220-E220</f>
        <v>0</v>
      </c>
      <c r="G220" s="32">
        <f>+G217+G218+G219</f>
        <v>0</v>
      </c>
      <c r="H220" s="32">
        <f>+H217+H218+H219</f>
        <v>0</v>
      </c>
      <c r="I220" s="32">
        <f>+J220-H220</f>
        <v>0</v>
      </c>
      <c r="J220" s="32">
        <f>+J217+J218+J219</f>
        <v>0</v>
      </c>
      <c r="K220" s="32">
        <f>+K217+K218+K219</f>
        <v>0</v>
      </c>
      <c r="L220" s="32">
        <f>+M220-K220</f>
        <v>0</v>
      </c>
      <c r="M220" s="32">
        <f>+M217+M218+M219</f>
        <v>0</v>
      </c>
      <c r="N220" s="32">
        <f>+N217+N218+N219</f>
        <v>0</v>
      </c>
      <c r="O220" s="32">
        <f>+P220-N220</f>
        <v>0</v>
      </c>
      <c r="P220" s="32">
        <f>+P217+P218+P219</f>
        <v>0</v>
      </c>
      <c r="Q220" s="32">
        <f>+Q217+Q218+Q219</f>
        <v>0</v>
      </c>
      <c r="R220" s="32">
        <f>+S220-Q220</f>
        <v>0</v>
      </c>
      <c r="S220" s="32">
        <f>+S217+S218+S219</f>
        <v>0</v>
      </c>
      <c r="T220" s="32">
        <f>+T217+T218+T219</f>
        <v>0</v>
      </c>
      <c r="U220" s="32">
        <f>+V220-T220</f>
        <v>0</v>
      </c>
      <c r="V220" s="32">
        <f>+V217+V218+V219</f>
        <v>0</v>
      </c>
      <c r="W220" s="32">
        <f>+W217+W218+W219</f>
        <v>0</v>
      </c>
      <c r="X220" s="32">
        <f>+Y220-W220</f>
        <v>0</v>
      </c>
      <c r="Y220" s="32">
        <f>+Y217+Y218+Y219</f>
        <v>0</v>
      </c>
      <c r="Z220" s="32">
        <f>+Z217+Z218+Z219</f>
        <v>0</v>
      </c>
      <c r="AA220" s="32">
        <f>+AB220-Z220</f>
        <v>0</v>
      </c>
      <c r="AB220" s="32">
        <f>+AB217+AB218+AB219</f>
        <v>0</v>
      </c>
      <c r="AC220" s="32">
        <f>+AC217+AC218+AC219</f>
        <v>0</v>
      </c>
      <c r="AD220" s="32">
        <f>+AE220-AC220</f>
        <v>0</v>
      </c>
      <c r="AE220" s="32">
        <f>+AE217+AE218+AE219</f>
        <v>0</v>
      </c>
      <c r="AF220" s="32">
        <f>+AF217+AF218+AF219</f>
        <v>0</v>
      </c>
      <c r="AG220" s="32">
        <f>+AH220-AF220</f>
        <v>0</v>
      </c>
      <c r="AH220" s="32">
        <f>+AH217+AH218+AH219</f>
        <v>0</v>
      </c>
      <c r="AI220" s="32">
        <f>+AI217+AI218+AI219</f>
        <v>0</v>
      </c>
      <c r="AJ220" s="32">
        <f>+AK220-AI220</f>
        <v>0</v>
      </c>
      <c r="AK220" s="32">
        <f>+AK217+AK218+AK219</f>
        <v>0</v>
      </c>
      <c r="AL220" s="32">
        <f>+AL217+AL218+AL219</f>
        <v>0</v>
      </c>
      <c r="AM220" s="32">
        <f>+AN220-AL220</f>
        <v>94.222999999999999</v>
      </c>
      <c r="AN220" s="32">
        <f>+AN217+AN218+AN219</f>
        <v>94.222999999999999</v>
      </c>
      <c r="AO220" s="32">
        <f>+AO217+AO218+AO219</f>
        <v>16.681000000000001</v>
      </c>
      <c r="AP220" s="32">
        <f>+AQ220-AO220</f>
        <v>89.227999999999994</v>
      </c>
      <c r="AQ220" s="32">
        <f>+AQ217+AQ218+AQ219</f>
        <v>105.90899999999999</v>
      </c>
      <c r="AR220" s="32">
        <f>+AR217+AR218+AR219</f>
        <v>14.342999999999998</v>
      </c>
      <c r="AS220" s="32">
        <f>+AT220-AR220</f>
        <v>96.736999999999995</v>
      </c>
      <c r="AT220" s="32">
        <f>+AT217+AT218+AT219</f>
        <v>111.08</v>
      </c>
      <c r="AU220" s="32">
        <f>+AU217+AU218+AU219</f>
        <v>69.703000000000003</v>
      </c>
      <c r="AV220" s="32">
        <f>+AW220-AU220</f>
        <v>27.687999999999988</v>
      </c>
      <c r="AW220" s="32">
        <f>+AW217+AW218+AW219</f>
        <v>97.390999999999991</v>
      </c>
      <c r="AX220" s="32">
        <f>+AX217+AX218+AX219</f>
        <v>33.383000000000003</v>
      </c>
      <c r="AY220" s="32">
        <f>+AZ220-AX220</f>
        <v>50.487999999999992</v>
      </c>
      <c r="AZ220" s="32">
        <f>+AZ217+AZ218+AZ219</f>
        <v>83.870999999999995</v>
      </c>
      <c r="BA220" s="32">
        <f>+BA217+BA218+BA219</f>
        <v>69.703000000000003</v>
      </c>
      <c r="BB220" s="32">
        <f>+BC220-BA220</f>
        <v>81.757000000000005</v>
      </c>
      <c r="BC220" s="32">
        <f>+BC217+BC218+BC219</f>
        <v>151.46</v>
      </c>
      <c r="BD220" s="32">
        <f>+BD217+BD218+BD219</f>
        <v>26.158000000000001</v>
      </c>
      <c r="BE220" s="32">
        <f>+BF220-BD220</f>
        <v>149.87400000000002</v>
      </c>
      <c r="BF220" s="32">
        <f>+BF217+BF218+BF219</f>
        <v>176.03200000000001</v>
      </c>
      <c r="BG220" s="32">
        <f>+BG217+BG218+BG219</f>
        <v>64.281000000000006</v>
      </c>
      <c r="BH220" s="32">
        <f>+BI220-BG220</f>
        <v>105.32499999999999</v>
      </c>
      <c r="BI220" s="32">
        <f>+BI217+BI218+BI219</f>
        <v>169.60599999999999</v>
      </c>
      <c r="BJ220" s="32">
        <f>+BJ217+BJ218+BJ219</f>
        <v>99.734999999999999</v>
      </c>
      <c r="BK220" s="32">
        <f>+BL220-BJ220</f>
        <v>168.375</v>
      </c>
      <c r="BL220" s="32">
        <f>+BL217+BL218+BL219</f>
        <v>268.11</v>
      </c>
      <c r="BM220" s="32">
        <f>+BM217+BM218+BM219</f>
        <v>96.417000000000002</v>
      </c>
      <c r="BN220" s="32">
        <f>+BO220-BM220</f>
        <v>345.93100000000004</v>
      </c>
      <c r="BO220" s="32">
        <f>+BO217+BO218+BO219</f>
        <v>442.34800000000001</v>
      </c>
      <c r="BP220" s="32">
        <f>+BP217+BP218+BP219</f>
        <v>264.25200000000001</v>
      </c>
      <c r="BQ220" s="32">
        <f>+BR220-BP220</f>
        <v>260.24099999999993</v>
      </c>
      <c r="BR220" s="32">
        <f>+BR217+BR218+BR219</f>
        <v>524.49299999999994</v>
      </c>
      <c r="BS220" s="32">
        <f>+BS217+BS218-BS219</f>
        <v>41.039999999999992</v>
      </c>
      <c r="BT220" s="32">
        <f>+BT217+BT218-BT219</f>
        <v>69.659000000000006</v>
      </c>
      <c r="BU220" s="32">
        <f>+BU217+BU218-BU219</f>
        <v>110.69900000000001</v>
      </c>
      <c r="BV220" s="32">
        <f>+BV217+BV218+BV219</f>
        <v>521.32982597</v>
      </c>
      <c r="BW220" s="32">
        <f>+BX220-BV220</f>
        <v>665.32689447000007</v>
      </c>
      <c r="BX220" s="32">
        <f>+BX217+BX218+BX219</f>
        <v>1186.6567204400001</v>
      </c>
      <c r="BY220" s="32">
        <f>+BY217+BY218+BY219</f>
        <v>757.97342845094295</v>
      </c>
      <c r="BZ220" s="32">
        <f>+CA220-BY220</f>
        <v>972.82444680000003</v>
      </c>
      <c r="CA220" s="32">
        <f>+CA217+CA218+CA219</f>
        <v>1730.797875250943</v>
      </c>
      <c r="CB220" s="32">
        <f>+CB217+CB218+CB219</f>
        <v>754.61927163796884</v>
      </c>
      <c r="CC220" s="32">
        <f>+CD220-CB220</f>
        <v>1097.1703567859995</v>
      </c>
      <c r="CD220" s="32">
        <f>+CD217+CD218+CD219</f>
        <v>1851.7896284239685</v>
      </c>
      <c r="CE220" s="32">
        <f>+CE217+CE218+CE219</f>
        <v>679.90092499999992</v>
      </c>
      <c r="CF220" s="32">
        <f>+CG220-CE220</f>
        <v>967.45142739289213</v>
      </c>
      <c r="CG220" s="32">
        <f>+CG217+CG218+CG219</f>
        <v>1647.352352392892</v>
      </c>
      <c r="CH220" s="32">
        <f>+CH217+CH218+CH219</f>
        <v>872.86835719999999</v>
      </c>
      <c r="CI220" s="32">
        <f>+CJ220-CH220</f>
        <v>1072.5340367909234</v>
      </c>
      <c r="CJ220" s="32">
        <f>+CJ217+CJ218+CJ219</f>
        <v>1945.4023939909234</v>
      </c>
      <c r="CK220" s="32">
        <f>+CK217+CK218+CK219</f>
        <v>1150.5630823021215</v>
      </c>
      <c r="CL220" s="32">
        <f>+CM220-CK220</f>
        <v>1089.3801830434759</v>
      </c>
      <c r="CM220" s="32">
        <f>+CM217+CM218+CM219</f>
        <v>2239.9432653455974</v>
      </c>
      <c r="CN220" s="32">
        <f>+CN217+CN218+CN219</f>
        <v>959.10258568838572</v>
      </c>
      <c r="CO220" s="32">
        <f>+CP220-CN220</f>
        <v>1303.7182192000118</v>
      </c>
      <c r="CP220" s="32">
        <f>+CP217+CP218+CP219</f>
        <v>2262.8208048883976</v>
      </c>
      <c r="CQ220" s="32">
        <f>+CQ217+CQ218+CQ219</f>
        <v>1108.27719602</v>
      </c>
      <c r="CR220" s="32">
        <f>+CS220-CQ220</f>
        <v>1179.9882613399998</v>
      </c>
      <c r="CS220" s="32">
        <f>+CS217+CS218+CS219</f>
        <v>2288.2654573599998</v>
      </c>
      <c r="CT220" s="32">
        <f>+CT217+CT218+CT219</f>
        <v>1213.83642768</v>
      </c>
      <c r="CU220" s="32">
        <f>+CV220-CT220</f>
        <v>1035.0068476399999</v>
      </c>
      <c r="CV220" s="32">
        <f>+CV217+CV218+CV219</f>
        <v>2248.84327532</v>
      </c>
      <c r="CW220" s="32">
        <f>+CW217+CW218+CW219</f>
        <v>1483.2234736109535</v>
      </c>
      <c r="CX220" s="32">
        <f>+CY220-CW220</f>
        <v>1240.5047844810701</v>
      </c>
      <c r="CY220" s="32">
        <f>+CY217+CY218+CY219</f>
        <v>2723.7282580920237</v>
      </c>
      <c r="CZ220" s="32">
        <f>+CZ217+CZ218+CZ219</f>
        <v>1516.6024582961238</v>
      </c>
      <c r="DA220" s="32">
        <f>+DB220-CZ220</f>
        <v>2158.3700975667925</v>
      </c>
      <c r="DB220" s="32">
        <f>+DB217+DB218+DB219</f>
        <v>3674.9725558629166</v>
      </c>
      <c r="DC220" s="32">
        <f>+DC217+DC218+DC219</f>
        <v>1458.5111705448887</v>
      </c>
      <c r="DD220" s="32">
        <f>+DE220-DC220</f>
        <v>2308.9953338051118</v>
      </c>
      <c r="DE220" s="1061">
        <f>+DE217+DE218+DE219</f>
        <v>3767.5065043500003</v>
      </c>
      <c r="DF220" s="32">
        <f>+DF217+DF218+DF219</f>
        <v>2379.9706396131946</v>
      </c>
      <c r="DG220" s="32">
        <f>+DH220-DF220</f>
        <v>2393.4676343122014</v>
      </c>
      <c r="DH220" s="1061">
        <f>+DH217+DH218+DH219</f>
        <v>4773.4382739253961</v>
      </c>
      <c r="DI220" s="32">
        <f>+DI217+DI218+DI219</f>
        <v>3358.5254514859166</v>
      </c>
      <c r="DJ220" s="32">
        <f>+DK220-DI220</f>
        <v>2485.4699507960281</v>
      </c>
      <c r="DK220" s="1061">
        <f>+DK217+DK218+DK219</f>
        <v>5843.9954022819447</v>
      </c>
      <c r="DL220" s="32">
        <f>+DL217+DL218+DL219</f>
        <v>2452.7443549545605</v>
      </c>
      <c r="DM220" s="32">
        <f>+DN220-DL220</f>
        <v>2452.4280663898899</v>
      </c>
      <c r="DN220" s="1061">
        <f>+DN217+DN218+DN219</f>
        <v>4905.1724213444504</v>
      </c>
      <c r="DO220" s="32">
        <f>+DO217+DO218+DO219</f>
        <v>2066.3249427359929</v>
      </c>
      <c r="DP220" s="32">
        <f>+DQ220-DO220</f>
        <v>2900.8832782453787</v>
      </c>
      <c r="DQ220" s="1061">
        <f>+DQ217+DQ218+DQ219</f>
        <v>4967.2082209813716</v>
      </c>
      <c r="DR220" s="32">
        <f>+DR217+DR218+DR219</f>
        <v>2118.6483885409457</v>
      </c>
      <c r="DS220" s="32">
        <f>+DT220-DR220</f>
        <v>2768.0165960075678</v>
      </c>
      <c r="DT220" s="1061">
        <f>+DT217+DT218+DT219</f>
        <v>4886.6649845485135</v>
      </c>
      <c r="DU220" s="32">
        <f>+DU217+DU218+DU219</f>
        <v>2265.4358612999999</v>
      </c>
      <c r="DV220" s="32">
        <f>+DW220-DU220</f>
        <v>3345.4635378600001</v>
      </c>
      <c r="DW220" s="1061">
        <f>+DW217+DW218+DW219</f>
        <v>5610.89939916</v>
      </c>
      <c r="DX220" s="32">
        <f>+DX217+DX218+DX219</f>
        <v>2276.2583945191263</v>
      </c>
      <c r="DY220" s="32">
        <f>+DZ220-DX220</f>
        <v>3648.9722993832575</v>
      </c>
      <c r="DZ220" s="1061">
        <f>+DZ217+DZ218+DZ219</f>
        <v>5925.2306939023838</v>
      </c>
      <c r="EA220" s="32">
        <f>+EA217+EA218+EA219</f>
        <v>3215.2240891073316</v>
      </c>
      <c r="EB220" s="32">
        <f>+EC220-EA220</f>
        <v>3381.1425061593036</v>
      </c>
      <c r="EC220" s="1061">
        <f>+EC217+EC218+EC219</f>
        <v>6596.3665952666352</v>
      </c>
      <c r="ED220" s="32">
        <f>+ED217+ED218+ED219</f>
        <v>3697.3697831175336</v>
      </c>
      <c r="EE220" s="32">
        <f>+EF220-ED220</f>
        <v>3642.6089517981823</v>
      </c>
      <c r="EF220" s="1061">
        <f>+EF217+EF218+EF219</f>
        <v>7339.9787349157159</v>
      </c>
      <c r="EG220" s="32">
        <f>+EG217+EG218+EG219</f>
        <v>4031.9670858409963</v>
      </c>
      <c r="EH220" s="32">
        <f>+EI220-EG220</f>
        <v>3950.4761702646247</v>
      </c>
      <c r="EI220" s="1061">
        <f>+EI217+EI218+EI219</f>
        <v>7982.443256105621</v>
      </c>
      <c r="EJ220" s="32">
        <f>+EJ217+EJ218+EJ219</f>
        <v>4337.0195511164056</v>
      </c>
      <c r="EK220" s="32">
        <f>+EL220-EJ220</f>
        <v>4174.4192679050448</v>
      </c>
      <c r="EL220" s="1061">
        <f>+EL217+EL218+EL219</f>
        <v>8511.4388190214504</v>
      </c>
      <c r="EM220" s="32">
        <f>+EM217+EM218+EM219</f>
        <v>4737.3087229530811</v>
      </c>
      <c r="EN220" s="32">
        <f>+EO220-EM220</f>
        <v>4413.4982795034757</v>
      </c>
      <c r="EO220" s="1061">
        <f>+EO217+EO218+EO219</f>
        <v>9150.8070024565568</v>
      </c>
      <c r="EP220" s="32">
        <f>+EP217+EP218+EP219</f>
        <v>5153.6036098676168</v>
      </c>
      <c r="EQ220" s="32">
        <f>+ER220-EP220</f>
        <v>4770.988466107804</v>
      </c>
      <c r="ER220" s="1061">
        <f>+ER217+ER218+ER219</f>
        <v>9924.5920759754208</v>
      </c>
      <c r="ES220" s="32">
        <f>+ES217+ES218+ES219</f>
        <v>5559.3253114795043</v>
      </c>
      <c r="ET220" s="32">
        <f>+EU220-ES220</f>
        <v>5103.2237544777527</v>
      </c>
      <c r="EU220" s="1061">
        <f>+EU217+EU218+EU219</f>
        <v>10662.549065957257</v>
      </c>
      <c r="EV220" s="32">
        <f>+EV217+EV218+EV219</f>
        <v>5951.6049668899168</v>
      </c>
      <c r="EW220" s="32">
        <f>+EX220-EV220</f>
        <v>5397.3616335275046</v>
      </c>
      <c r="EX220" s="1061">
        <f>+EX217+EX218+EX219</f>
        <v>11348.966600417421</v>
      </c>
      <c r="EY220" s="32">
        <f>+EY217+EY218+EY219</f>
        <v>6370.9424154401659</v>
      </c>
      <c r="EZ220" s="32">
        <f>+FA220-EY220</f>
        <v>5708.4324741817472</v>
      </c>
      <c r="FA220" s="1061">
        <f>+FA217+FA218+FA219</f>
        <v>12079.374889621913</v>
      </c>
      <c r="FB220" s="1068"/>
      <c r="FC220" s="1068"/>
      <c r="FD220"/>
      <c r="FE220"/>
      <c r="FF220"/>
      <c r="FG220"/>
      <c r="FH220"/>
      <c r="FI220"/>
    </row>
    <row r="221" spans="1:169" s="1078" customFormat="1" outlineLevel="1">
      <c r="B221" s="54"/>
      <c r="D221" s="2"/>
      <c r="E221" s="32"/>
      <c r="F221" s="32"/>
      <c r="G221" s="1222"/>
      <c r="H221" s="1222"/>
      <c r="I221" s="1222"/>
      <c r="J221" s="1222"/>
      <c r="K221" s="1222"/>
      <c r="L221" s="1222"/>
      <c r="M221" s="1222"/>
      <c r="N221" s="1222"/>
      <c r="O221" s="1222"/>
      <c r="P221" s="1222"/>
      <c r="Q221" s="1222"/>
      <c r="R221" s="1222"/>
      <c r="S221" s="1222"/>
      <c r="T221" s="1222"/>
      <c r="U221" s="1222"/>
      <c r="V221" s="1222"/>
      <c r="W221" s="1222"/>
      <c r="X221" s="1222"/>
      <c r="Y221" s="1222"/>
      <c r="Z221" s="1222"/>
      <c r="AA221" s="1222"/>
      <c r="AB221" s="1222"/>
      <c r="AC221" s="1222"/>
      <c r="AD221" s="1222"/>
      <c r="AE221" s="1222"/>
      <c r="AF221" s="1222"/>
      <c r="AG221" s="1222"/>
      <c r="AH221" s="1222"/>
      <c r="AI221" s="1222"/>
      <c r="AJ221" s="1222"/>
      <c r="AK221" s="1222"/>
      <c r="AL221" s="1222"/>
      <c r="AM221" s="1222"/>
      <c r="AN221" s="1222"/>
      <c r="AO221" s="1222"/>
      <c r="AP221" s="1222"/>
      <c r="AQ221" s="1222"/>
      <c r="AR221" s="1222"/>
      <c r="AS221" s="1222"/>
      <c r="AT221" s="1222"/>
      <c r="AU221" s="1222"/>
      <c r="AV221" s="1222"/>
      <c r="AW221" s="1222"/>
      <c r="AX221" s="1222"/>
      <c r="AY221" s="1222"/>
      <c r="AZ221" s="1222"/>
      <c r="BA221" s="1222"/>
      <c r="BB221" s="1222"/>
      <c r="BC221" s="1222"/>
      <c r="BD221" s="1222"/>
      <c r="BE221" s="1222"/>
      <c r="BF221" s="1222"/>
      <c r="BG221" s="1222"/>
      <c r="BH221" s="1222"/>
      <c r="BI221" s="1222"/>
      <c r="BJ221" s="1222"/>
      <c r="BK221" s="1222"/>
      <c r="BL221" s="1222"/>
      <c r="BM221" s="1222"/>
      <c r="BN221" s="1222"/>
      <c r="BO221" s="1222"/>
      <c r="BP221" s="1222"/>
      <c r="BQ221" s="1222"/>
      <c r="BR221" s="1222"/>
      <c r="BS221" s="1222"/>
      <c r="BT221" s="1222"/>
      <c r="BU221" s="1222"/>
      <c r="BV221" s="1222"/>
      <c r="BW221" s="1222"/>
      <c r="BX221" s="1222"/>
      <c r="BY221" s="1222"/>
      <c r="BZ221" s="1222"/>
      <c r="CA221" s="1222"/>
      <c r="CB221" s="1222"/>
      <c r="CC221" s="1222"/>
      <c r="CD221" s="1222"/>
      <c r="CE221" s="1222"/>
      <c r="CF221" s="1222"/>
      <c r="CG221" s="1222"/>
      <c r="CH221" s="1222"/>
      <c r="CI221" s="1222"/>
      <c r="CJ221" s="1222"/>
      <c r="CK221" s="1222"/>
      <c r="CL221" s="1222"/>
      <c r="CM221" s="1222"/>
      <c r="CN221" s="1222"/>
      <c r="CO221" s="1222"/>
      <c r="CP221" s="1222"/>
      <c r="CQ221" s="1222"/>
      <c r="CR221" s="1222"/>
      <c r="CS221" s="1222"/>
      <c r="CT221" s="1222"/>
      <c r="CU221" s="1222"/>
      <c r="CV221" s="1222"/>
      <c r="CW221" s="1222"/>
      <c r="CX221" s="1222"/>
      <c r="CY221" s="1222"/>
      <c r="CZ221" s="1222"/>
      <c r="DA221" s="1222"/>
      <c r="DB221" s="1222"/>
      <c r="DC221" s="1222"/>
      <c r="DD221" s="1222"/>
      <c r="DE221" s="1223"/>
      <c r="DF221" s="1222"/>
      <c r="DG221" s="1222"/>
      <c r="DH221" s="1223"/>
      <c r="DI221" s="1222"/>
      <c r="DJ221" s="1222"/>
      <c r="DK221" s="1223"/>
      <c r="DL221" s="1222"/>
      <c r="DM221" s="1222"/>
      <c r="DN221" s="1223"/>
      <c r="DO221" s="1222"/>
      <c r="DP221" s="1222"/>
      <c r="DQ221" s="1223"/>
      <c r="DR221" s="1222"/>
      <c r="DS221" s="1222"/>
      <c r="DT221" s="1223"/>
      <c r="DU221" s="1222"/>
      <c r="DV221" s="1222"/>
      <c r="DW221" s="1223"/>
      <c r="DX221" s="1222"/>
      <c r="DY221" s="1222"/>
      <c r="DZ221" s="1223"/>
      <c r="EA221" s="1222"/>
      <c r="EB221" s="1222"/>
      <c r="EC221" s="1223"/>
      <c r="ED221" s="1222"/>
      <c r="EE221" s="1222"/>
      <c r="EF221" s="1223"/>
      <c r="EG221" s="1222"/>
      <c r="EH221" s="1222"/>
      <c r="EI221" s="1223"/>
      <c r="EJ221" s="1222"/>
      <c r="EK221" s="1222"/>
      <c r="EL221" s="1223"/>
      <c r="EM221" s="1222"/>
      <c r="EN221" s="1222"/>
      <c r="EO221" s="1223"/>
      <c r="EP221" s="1222"/>
      <c r="EQ221" s="1222"/>
      <c r="ER221" s="1223"/>
      <c r="ES221" s="1222"/>
      <c r="ET221" s="1222"/>
      <c r="EU221" s="1223"/>
      <c r="EV221" s="1222"/>
      <c r="EW221" s="1222"/>
      <c r="EX221" s="1223"/>
      <c r="EY221" s="1222"/>
      <c r="EZ221" s="1222"/>
      <c r="FA221" s="1223"/>
      <c r="FB221" s="1068"/>
      <c r="FC221" s="1068"/>
      <c r="FD221"/>
      <c r="FE221"/>
      <c r="FF221"/>
      <c r="FG221"/>
      <c r="FH221"/>
      <c r="FI221"/>
    </row>
    <row r="222" spans="1:169" s="33" customFormat="1" ht="13.5" outlineLevel="1" thickBot="1">
      <c r="B222" s="54" t="s">
        <v>319</v>
      </c>
      <c r="C222" s="54"/>
      <c r="D222" s="2" t="s">
        <v>506</v>
      </c>
      <c r="E222" s="1229"/>
      <c r="F222" s="32">
        <f>+E224</f>
        <v>0</v>
      </c>
      <c r="G222" s="32">
        <f>+E222</f>
        <v>0</v>
      </c>
      <c r="H222" s="1229">
        <f>+G224</f>
        <v>0</v>
      </c>
      <c r="I222" s="32">
        <f>+H224</f>
        <v>0</v>
      </c>
      <c r="J222" s="32">
        <f>+G224</f>
        <v>0</v>
      </c>
      <c r="K222" s="1229">
        <f>+J224</f>
        <v>0</v>
      </c>
      <c r="L222" s="32">
        <f>+K224</f>
        <v>0</v>
      </c>
      <c r="M222" s="32">
        <f>+J224</f>
        <v>0</v>
      </c>
      <c r="N222" s="1229">
        <f>+M224</f>
        <v>0</v>
      </c>
      <c r="O222" s="32">
        <f>+N224</f>
        <v>0</v>
      </c>
      <c r="P222" s="32">
        <f>+M224</f>
        <v>0</v>
      </c>
      <c r="Q222" s="1229">
        <f>+P224</f>
        <v>0</v>
      </c>
      <c r="R222" s="32">
        <f>+Q224</f>
        <v>0</v>
      </c>
      <c r="S222" s="32">
        <f>+P224</f>
        <v>0</v>
      </c>
      <c r="T222" s="1229">
        <f>+S224</f>
        <v>0</v>
      </c>
      <c r="U222" s="32">
        <f>+T224</f>
        <v>0</v>
      </c>
      <c r="V222" s="32">
        <f>+S224</f>
        <v>0</v>
      </c>
      <c r="W222" s="1229">
        <f>+V224</f>
        <v>0</v>
      </c>
      <c r="X222" s="32">
        <f>+W224</f>
        <v>0</v>
      </c>
      <c r="Y222" s="32">
        <f>+V224</f>
        <v>0</v>
      </c>
      <c r="Z222" s="1229">
        <f>+Y224</f>
        <v>0</v>
      </c>
      <c r="AA222" s="32">
        <f>+Z224</f>
        <v>0</v>
      </c>
      <c r="AB222" s="32">
        <f>+Y224</f>
        <v>0</v>
      </c>
      <c r="AC222" s="1229">
        <f>+AB224</f>
        <v>0</v>
      </c>
      <c r="AD222" s="32">
        <f>+AC224</f>
        <v>0</v>
      </c>
      <c r="AE222" s="32">
        <f>+AB224</f>
        <v>0</v>
      </c>
      <c r="AF222" s="1229">
        <f>+AE224</f>
        <v>0</v>
      </c>
      <c r="AG222" s="32">
        <f>+AF224</f>
        <v>0</v>
      </c>
      <c r="AH222" s="32">
        <f>+AE224</f>
        <v>0</v>
      </c>
      <c r="AI222" s="32">
        <f>+AH224</f>
        <v>21.736000000000001</v>
      </c>
      <c r="AJ222" s="32">
        <f>+AI224</f>
        <v>21.736000000000001</v>
      </c>
      <c r="AK222" s="32">
        <f>+AH224</f>
        <v>21.736000000000001</v>
      </c>
      <c r="AL222" s="32">
        <f>+AK224</f>
        <v>7.2809999999999997</v>
      </c>
      <c r="AM222" s="32">
        <f>+AL224</f>
        <v>7.2809999999999997</v>
      </c>
      <c r="AN222" s="32">
        <f>+AK224</f>
        <v>7.2809999999999997</v>
      </c>
      <c r="AO222" s="32">
        <f>+AN224</f>
        <v>20.811999999999998</v>
      </c>
      <c r="AP222" s="32">
        <f>+AO224</f>
        <v>20.811999999999998</v>
      </c>
      <c r="AQ222" s="32">
        <f>+AN224</f>
        <v>20.811999999999998</v>
      </c>
      <c r="AR222" s="32">
        <f>+AQ224</f>
        <v>43.350999999999992</v>
      </c>
      <c r="AS222" s="32">
        <f>+AR224</f>
        <v>13.830999999999992</v>
      </c>
      <c r="AT222" s="32">
        <f>+AQ224</f>
        <v>43.350999999999992</v>
      </c>
      <c r="AU222" s="32">
        <f>+AT224</f>
        <v>41.032999999999994</v>
      </c>
      <c r="AV222" s="32">
        <f>+AU224</f>
        <v>22.792999999999996</v>
      </c>
      <c r="AW222" s="32">
        <f>+AT224</f>
        <v>41.032999999999994</v>
      </c>
      <c r="AX222" s="32">
        <f>+AW224</f>
        <v>41.072999999999993</v>
      </c>
      <c r="AY222" s="32">
        <f>+AX224</f>
        <v>41.072999999999993</v>
      </c>
      <c r="AZ222" s="32">
        <f>+AW224</f>
        <v>41.072999999999993</v>
      </c>
      <c r="BA222" s="32">
        <f>+AZ224</f>
        <v>414.89499999999998</v>
      </c>
      <c r="BB222" s="32">
        <f>+BA224</f>
        <v>66.19999999999996</v>
      </c>
      <c r="BC222" s="32">
        <f>+AZ224</f>
        <v>414.89499999999998</v>
      </c>
      <c r="BD222" s="32">
        <f>+BC224</f>
        <v>109.48899999999999</v>
      </c>
      <c r="BE222" s="32">
        <f>+BD224</f>
        <v>28.798999999999992</v>
      </c>
      <c r="BF222" s="32">
        <f>+BC224</f>
        <v>109.48899999999999</v>
      </c>
      <c r="BG222" s="32">
        <f>+BF224</f>
        <v>89.35499999999999</v>
      </c>
      <c r="BH222" s="32">
        <f>+BG224</f>
        <v>89.680999999999983</v>
      </c>
      <c r="BI222" s="32">
        <f>+BF224</f>
        <v>89.35499999999999</v>
      </c>
      <c r="BJ222" s="32">
        <f>+BI224</f>
        <v>82.85499999999999</v>
      </c>
      <c r="BK222" s="32">
        <f>+BJ224</f>
        <v>502.73200000000003</v>
      </c>
      <c r="BL222" s="32">
        <f>+BI224</f>
        <v>82.85499999999999</v>
      </c>
      <c r="BM222" s="32">
        <f>+BL224</f>
        <v>110.34299999999999</v>
      </c>
      <c r="BN222" s="32">
        <f>+BM224</f>
        <v>268.08</v>
      </c>
      <c r="BO222" s="32">
        <f>+BL224</f>
        <v>110.34299999999999</v>
      </c>
      <c r="BP222" s="32">
        <f>+BO224</f>
        <v>719.75099999999998</v>
      </c>
      <c r="BQ222" s="32">
        <f>+BP224</f>
        <v>719.75099999999998</v>
      </c>
      <c r="BR222" s="32">
        <f>+BO224</f>
        <v>719.75099999999998</v>
      </c>
      <c r="BS222" s="1064">
        <v>747.98800000000006</v>
      </c>
      <c r="BT222" s="32">
        <f>+BS224</f>
        <v>534.41500000000008</v>
      </c>
      <c r="BU222" s="32">
        <f>+BR224</f>
        <v>747.98800000000006</v>
      </c>
      <c r="BV222" s="32">
        <f>+BU224</f>
        <v>474.13800000000009</v>
      </c>
      <c r="BW222" s="32">
        <f>+BV224</f>
        <v>557.26900000000012</v>
      </c>
      <c r="BX222" s="32">
        <f>+BU224</f>
        <v>474.13800000000009</v>
      </c>
      <c r="BY222" s="1064">
        <v>695.95600000000002</v>
      </c>
      <c r="BZ222" s="32">
        <f>+BY224</f>
        <v>2732.4859999999999</v>
      </c>
      <c r="CA222" s="32">
        <f>+BX224</f>
        <v>695.59600000000012</v>
      </c>
      <c r="CB222" s="1064">
        <v>2522.192</v>
      </c>
      <c r="CC222" s="32">
        <f>+CB224</f>
        <v>955.78200000000004</v>
      </c>
      <c r="CD222" s="32">
        <f>+CA224</f>
        <v>2522.1920000000005</v>
      </c>
      <c r="CE222" s="32">
        <f>+CD224</f>
        <v>994.50500000000045</v>
      </c>
      <c r="CF222" s="32">
        <f>+CE224</f>
        <v>719.36600000000044</v>
      </c>
      <c r="CG222" s="32">
        <f>+CD224</f>
        <v>994.50500000000045</v>
      </c>
      <c r="CH222" s="1064">
        <v>514.6</v>
      </c>
      <c r="CI222" s="32">
        <f>+CH224</f>
        <v>1317.1999999999998</v>
      </c>
      <c r="CJ222" s="32">
        <f>CH222</f>
        <v>514.6</v>
      </c>
      <c r="CK222" s="1064">
        <v>1168.2</v>
      </c>
      <c r="CL222" s="32">
        <f>+CK224</f>
        <v>751.7</v>
      </c>
      <c r="CM222" s="32">
        <f>+CJ224</f>
        <v>1168.0999999999999</v>
      </c>
      <c r="CN222" s="32">
        <f>+CM224</f>
        <v>759.8</v>
      </c>
      <c r="CO222" s="32">
        <f>+CN224</f>
        <v>689.8</v>
      </c>
      <c r="CP222" s="32">
        <f>+CM224</f>
        <v>759.8</v>
      </c>
      <c r="CQ222" s="32">
        <f>+CP224</f>
        <v>606.29999999999995</v>
      </c>
      <c r="CR222" s="32">
        <f>+CQ224</f>
        <v>1060.7</v>
      </c>
      <c r="CS222" s="32">
        <f>+CP224</f>
        <v>606.29999999999995</v>
      </c>
      <c r="CT222" s="32">
        <f>+CS224</f>
        <v>728.5</v>
      </c>
      <c r="CU222" s="32">
        <f>+CT224</f>
        <v>1277.5999999999999</v>
      </c>
      <c r="CV222" s="1230">
        <f>+CS224</f>
        <v>728.5</v>
      </c>
      <c r="CW222" s="32">
        <f>+CV224</f>
        <v>728.30000000000007</v>
      </c>
      <c r="CX222" s="32">
        <f>+CW224</f>
        <v>1055.6000000000001</v>
      </c>
      <c r="CY222" s="32">
        <v>555.29999999999995</v>
      </c>
      <c r="CZ222" s="32">
        <v>843</v>
      </c>
      <c r="DA222" s="32">
        <f>+CZ224</f>
        <v>841.1</v>
      </c>
      <c r="DB222" s="32">
        <v>843</v>
      </c>
      <c r="DC222" s="32">
        <f>+DB224</f>
        <v>812.7</v>
      </c>
      <c r="DD222" s="32">
        <f>+DC224</f>
        <v>644.9</v>
      </c>
      <c r="DE222" s="1061">
        <f>+DB224</f>
        <v>812.7</v>
      </c>
      <c r="DF222" s="32">
        <f>+DE224</f>
        <v>657.80000000000007</v>
      </c>
      <c r="DG222" s="32">
        <f>+DF224</f>
        <v>659.7</v>
      </c>
      <c r="DH222" s="1061">
        <f>+DE224</f>
        <v>657.80000000000007</v>
      </c>
      <c r="DI222" s="32">
        <f>+DH224</f>
        <v>1151.3</v>
      </c>
      <c r="DJ222" s="32">
        <f>+DI224</f>
        <v>2380.3000000000002</v>
      </c>
      <c r="DK222" s="1061">
        <f>+DH224</f>
        <v>1151.3</v>
      </c>
      <c r="DL222" s="32">
        <f>+DK224</f>
        <v>1730.1</v>
      </c>
      <c r="DM222" s="32">
        <f>+DL224</f>
        <v>6249.4000000000005</v>
      </c>
      <c r="DN222" s="1061">
        <f>+DK224</f>
        <v>1730.1</v>
      </c>
      <c r="DO222" s="32">
        <f>+DN224</f>
        <v>10334.4</v>
      </c>
      <c r="DP222" s="32">
        <f>+DO224</f>
        <v>1457.6999999999989</v>
      </c>
      <c r="DQ222" s="1061">
        <f>+DN224</f>
        <v>10334.4</v>
      </c>
      <c r="DR222" s="32">
        <f>+DQ224</f>
        <v>1509.3999999999996</v>
      </c>
      <c r="DS222" s="32">
        <f>+DR224</f>
        <v>1011.3999999999996</v>
      </c>
      <c r="DT222" s="1061">
        <f>+DQ224</f>
        <v>1509.3999999999996</v>
      </c>
      <c r="DU222" s="32">
        <f>+DT224</f>
        <v>1643.3999999999996</v>
      </c>
      <c r="DV222" s="32">
        <f>+DU224</f>
        <v>1524.3999999999996</v>
      </c>
      <c r="DW222" s="1061">
        <f>+DT224</f>
        <v>1643.3999999999996</v>
      </c>
      <c r="DX222" s="32">
        <f>+DW224</f>
        <v>2157.3999999999996</v>
      </c>
      <c r="DY222" s="32">
        <f>+DX224</f>
        <v>1145.3999999999996</v>
      </c>
      <c r="DZ222" s="1061">
        <f>+DW224</f>
        <v>2157.3999999999996</v>
      </c>
      <c r="EA222" s="32">
        <f>+DZ224</f>
        <v>1694.244804389383</v>
      </c>
      <c r="EB222" s="32">
        <f>+EA224</f>
        <v>1708.9996312835151</v>
      </c>
      <c r="EC222" s="1061">
        <f>+DZ224</f>
        <v>1694.244804389383</v>
      </c>
      <c r="ED222" s="32">
        <f>+EC224</f>
        <v>2039.6668527056486</v>
      </c>
      <c r="EE222" s="32">
        <f>+ED224</f>
        <v>2288.5411425581842</v>
      </c>
      <c r="EF222" s="1061">
        <f>+EC224</f>
        <v>2039.6668527056486</v>
      </c>
      <c r="EG222" s="32">
        <f>+EF224</f>
        <v>2516.5858291228242</v>
      </c>
      <c r="EH222" s="32">
        <f>+EG224</f>
        <v>3260.4856963591105</v>
      </c>
      <c r="EI222" s="1061">
        <f>+EF224</f>
        <v>2516.5858291228242</v>
      </c>
      <c r="EJ222" s="32">
        <f>+EI224</f>
        <v>3918.9842369967946</v>
      </c>
      <c r="EK222" s="32">
        <f>+EJ224</f>
        <v>4910.0864604442413</v>
      </c>
      <c r="EL222" s="1061">
        <f>+EI224</f>
        <v>3918.9842369967946</v>
      </c>
      <c r="EM222" s="32">
        <f>+EL224</f>
        <v>5700.7784634481468</v>
      </c>
      <c r="EN222" s="32">
        <f>+EM224</f>
        <v>7034.3524705910968</v>
      </c>
      <c r="EO222" s="1061">
        <f>+EL224</f>
        <v>5700.7784634481468</v>
      </c>
      <c r="EP222" s="32">
        <f>+EO224</f>
        <v>7992.5357784932639</v>
      </c>
      <c r="EQ222" s="32">
        <f>+EP224</f>
        <v>9486.4309379527549</v>
      </c>
      <c r="ER222" s="1061">
        <f>+EO224</f>
        <v>7992.5357784932639</v>
      </c>
      <c r="ES222" s="32">
        <f>+ER224</f>
        <v>10528.131703990437</v>
      </c>
      <c r="ET222" s="32">
        <f>+ES224</f>
        <v>12157.222196506253</v>
      </c>
      <c r="EU222" s="1061">
        <f>+ER224</f>
        <v>10528.131703990437</v>
      </c>
      <c r="EV222" s="32">
        <f>+EU224</f>
        <v>13268.083891055468</v>
      </c>
      <c r="EW222" s="32">
        <f>+EV224</f>
        <v>15028.746327372794</v>
      </c>
      <c r="EX222" s="1061">
        <f>+EU224</f>
        <v>13268.083891055468</v>
      </c>
      <c r="EY222" s="32">
        <f>+EX224</f>
        <v>16185.363827560548</v>
      </c>
      <c r="EZ222" s="32">
        <f>+EY224</f>
        <v>18107.36109103138</v>
      </c>
      <c r="FA222" s="1061">
        <f>+EX224</f>
        <v>16185.363827560548</v>
      </c>
      <c r="FD222"/>
      <c r="FE222"/>
      <c r="FF222"/>
      <c r="FG222"/>
      <c r="FH222"/>
      <c r="FI222"/>
    </row>
    <row r="223" spans="1:169" s="33" customFormat="1" ht="13.5" outlineLevel="1" thickBot="1">
      <c r="B223" s="54" t="s">
        <v>121</v>
      </c>
      <c r="C223" s="54"/>
      <c r="D223" s="2" t="s">
        <v>506</v>
      </c>
      <c r="E223" s="1172"/>
      <c r="F223" s="32">
        <f>+G223-E223</f>
        <v>0</v>
      </c>
      <c r="G223" s="1231"/>
      <c r="H223" s="1174"/>
      <c r="I223" s="32">
        <f>+J223-H223</f>
        <v>0</v>
      </c>
      <c r="J223" s="1231"/>
      <c r="K223" s="1174"/>
      <c r="L223" s="32">
        <f>+M223-K223</f>
        <v>0</v>
      </c>
      <c r="M223" s="1231"/>
      <c r="N223" s="1174"/>
      <c r="O223" s="32">
        <f>+P223-N223</f>
        <v>0</v>
      </c>
      <c r="P223" s="1231"/>
      <c r="Q223" s="1174"/>
      <c r="R223" s="32">
        <f>+S223-Q223</f>
        <v>0</v>
      </c>
      <c r="S223" s="1231"/>
      <c r="T223" s="1174"/>
      <c r="U223" s="32">
        <f>+V223-T223</f>
        <v>0</v>
      </c>
      <c r="V223" s="1231"/>
      <c r="W223" s="1174"/>
      <c r="X223" s="32">
        <f>+Y223-W223</f>
        <v>0</v>
      </c>
      <c r="Y223" s="1231"/>
      <c r="Z223" s="1174"/>
      <c r="AA223" s="32">
        <f>+AB223-Z223</f>
        <v>0</v>
      </c>
      <c r="AB223" s="1231"/>
      <c r="AC223" s="1174"/>
      <c r="AD223" s="32">
        <f>+AE223-AC223</f>
        <v>0</v>
      </c>
      <c r="AE223" s="1231"/>
      <c r="AF223" s="1174"/>
      <c r="AG223" s="32">
        <f>+AH223-AF223</f>
        <v>0</v>
      </c>
      <c r="AH223" s="1231"/>
      <c r="AI223" s="1174"/>
      <c r="AJ223" s="32">
        <f>+AK223-AI223</f>
        <v>0</v>
      </c>
      <c r="AK223" s="1231"/>
      <c r="AL223" s="1174"/>
      <c r="AM223" s="32">
        <f>+AN223-AL223</f>
        <v>0.14699999999999999</v>
      </c>
      <c r="AN223" s="1232">
        <v>0.14699999999999999</v>
      </c>
      <c r="AO223" s="1174"/>
      <c r="AP223" s="32">
        <f>+AQ223-AO223</f>
        <v>-2.9000000000000001E-2</v>
      </c>
      <c r="AQ223" s="1232">
        <v>-2.9000000000000001E-2</v>
      </c>
      <c r="AR223" s="1180">
        <v>-8.2000000000000003E-2</v>
      </c>
      <c r="AS223" s="32">
        <f>+AT223-AR223</f>
        <v>-2.1999999999999992E-2</v>
      </c>
      <c r="AT223" s="1232">
        <v>-0.104</v>
      </c>
      <c r="AU223" s="1174"/>
      <c r="AV223" s="32">
        <f>+AW223-AU223</f>
        <v>0.04</v>
      </c>
      <c r="AW223" s="1232">
        <v>0.04</v>
      </c>
      <c r="AX223" s="1174"/>
      <c r="AY223" s="32">
        <f>+AZ223-AX223</f>
        <v>0</v>
      </c>
      <c r="AZ223" s="1232">
        <v>0</v>
      </c>
      <c r="BA223" s="1180">
        <v>0.40500000000000003</v>
      </c>
      <c r="BB223" s="32">
        <f>+BC223-BA223</f>
        <v>6.2E-2</v>
      </c>
      <c r="BC223" s="1232">
        <v>0.46700000000000003</v>
      </c>
      <c r="BD223" s="1180">
        <v>2.2589999999999999</v>
      </c>
      <c r="BE223" s="32">
        <f>+BF223-BD223</f>
        <v>0.97500000000000009</v>
      </c>
      <c r="BF223" s="1232">
        <v>3.234</v>
      </c>
      <c r="BG223" s="1180">
        <v>1.288</v>
      </c>
      <c r="BH223" s="32">
        <f>+BI223-BG223</f>
        <v>-5.4010000000000007</v>
      </c>
      <c r="BI223" s="1232">
        <v>-4.1130000000000004</v>
      </c>
      <c r="BJ223" s="1180">
        <v>-2.7919999999999998</v>
      </c>
      <c r="BK223" s="32">
        <f>+BL223-BJ223</f>
        <v>6.2149999999999999</v>
      </c>
      <c r="BL223" s="1232">
        <v>3.423</v>
      </c>
      <c r="BM223" s="1180">
        <v>-5.4249999999999998</v>
      </c>
      <c r="BN223" s="32">
        <f>+BO223-BM223</f>
        <v>-3.7730000000000006</v>
      </c>
      <c r="BO223" s="1233">
        <v>-9.1980000000000004</v>
      </c>
      <c r="BP223" s="1174"/>
      <c r="BQ223" s="32">
        <f>+BR223-BP223</f>
        <v>20.016999999999999</v>
      </c>
      <c r="BR223" s="1233">
        <v>20.016999999999999</v>
      </c>
      <c r="BS223" s="1180">
        <v>-12.552</v>
      </c>
      <c r="BT223" s="32">
        <f>+BU223-BS223</f>
        <v>-9.4649999999999999</v>
      </c>
      <c r="BU223" s="1233">
        <v>-22.016999999999999</v>
      </c>
      <c r="BV223" s="1180">
        <v>12.635</v>
      </c>
      <c r="BW223" s="32">
        <f>+BX223-BV223</f>
        <v>-16.201999999999998</v>
      </c>
      <c r="BX223" s="1233">
        <v>-3.5670000000000002</v>
      </c>
      <c r="BY223" s="1180">
        <v>560.63499999999999</v>
      </c>
      <c r="BZ223" s="32">
        <f>+CA223-BY223</f>
        <v>-363.46</v>
      </c>
      <c r="CA223" s="1233">
        <v>197.17500000000001</v>
      </c>
      <c r="CB223" s="1234">
        <v>-25.024999999999999</v>
      </c>
      <c r="CC223" s="32">
        <f>+CD223-CB223</f>
        <v>-25.652999999999999</v>
      </c>
      <c r="CD223" s="1233">
        <v>-50.677999999999997</v>
      </c>
      <c r="CE223" s="1180">
        <v>-42.12</v>
      </c>
      <c r="CF223" s="32">
        <f>+CG223-CE223</f>
        <v>6.5509999999999948</v>
      </c>
      <c r="CG223" s="1233">
        <v>-35.569000000000003</v>
      </c>
      <c r="CH223" s="1180">
        <v>-46.4</v>
      </c>
      <c r="CI223" s="32">
        <f>+CJ223-CH223</f>
        <v>11</v>
      </c>
      <c r="CJ223" s="1233">
        <v>-35.4</v>
      </c>
      <c r="CK223" s="1180">
        <v>18.5</v>
      </c>
      <c r="CL223" s="32">
        <f>+CM223-CK223</f>
        <v>-70.5</v>
      </c>
      <c r="CM223" s="1233">
        <v>-52</v>
      </c>
      <c r="CN223" s="1180">
        <v>-7.3</v>
      </c>
      <c r="CO223" s="32">
        <f>+CP223-CN223</f>
        <v>31.7</v>
      </c>
      <c r="CP223" s="1233">
        <v>24.4</v>
      </c>
      <c r="CQ223" s="1174">
        <f>+-112.7</f>
        <v>-112.7</v>
      </c>
      <c r="CR223" s="32">
        <f>+CS223-CQ223</f>
        <v>112.7</v>
      </c>
      <c r="CS223" s="1172"/>
      <c r="CT223" s="1235"/>
      <c r="CU223" s="32">
        <f>+CV223-CT223</f>
        <v>-6.3</v>
      </c>
      <c r="CV223" s="1172">
        <f>+-6.3</f>
        <v>-6.3</v>
      </c>
      <c r="CW223" s="1180">
        <v>-33.700000000000003</v>
      </c>
      <c r="CX223" s="32">
        <f>+CY223-CW223</f>
        <v>41.2</v>
      </c>
      <c r="CY223" s="1233">
        <v>7.5</v>
      </c>
      <c r="CZ223" s="1235">
        <v>9.1</v>
      </c>
      <c r="DA223" s="32">
        <f>+DB223-CZ223</f>
        <v>-35.9</v>
      </c>
      <c r="DB223" s="1172">
        <v>-26.8</v>
      </c>
      <c r="DC223" s="1235">
        <v>-15.7</v>
      </c>
      <c r="DD223" s="32">
        <f>+DE223-DC223</f>
        <v>-4.8000000000000007</v>
      </c>
      <c r="DE223" s="1555">
        <v>-20.5</v>
      </c>
      <c r="DF223" s="1556">
        <v>-3.1</v>
      </c>
      <c r="DG223" s="1530">
        <f>+DH223-DF223</f>
        <v>17.7</v>
      </c>
      <c r="DH223" s="1557">
        <v>14.6</v>
      </c>
      <c r="DI223" s="1556">
        <v>33.5</v>
      </c>
      <c r="DJ223" s="1530">
        <f>+DK223-DI223</f>
        <v>-1.6000000000000014</v>
      </c>
      <c r="DK223" s="1557">
        <v>31.9</v>
      </c>
      <c r="DL223" s="1692">
        <v>-19.7</v>
      </c>
      <c r="DM223" s="1530">
        <f>+DN223-DL223</f>
        <v>-44.5</v>
      </c>
      <c r="DN223" s="1531">
        <v>-64.2</v>
      </c>
      <c r="DO223" s="1558">
        <v>-18.5</v>
      </c>
      <c r="DP223" s="1530">
        <f>+DQ223-DO223</f>
        <v>-20.5</v>
      </c>
      <c r="DQ223" s="1532">
        <v>-39</v>
      </c>
      <c r="DR223" s="1558">
        <v>-51</v>
      </c>
      <c r="DS223" s="1530">
        <f>+DT223-DR223</f>
        <v>-36</v>
      </c>
      <c r="DT223" s="1532">
        <v>-87</v>
      </c>
      <c r="DU223" s="1558">
        <v>-50</v>
      </c>
      <c r="DV223" s="1530">
        <f>+DW223-DU223</f>
        <v>94</v>
      </c>
      <c r="DW223" s="1532">
        <v>44</v>
      </c>
      <c r="DX223" s="1558">
        <v>-19</v>
      </c>
      <c r="DY223" s="32">
        <v>0</v>
      </c>
      <c r="DZ223" s="1061">
        <f>+DX223+DY223</f>
        <v>-19</v>
      </c>
      <c r="EA223" s="1125"/>
      <c r="EB223" s="32">
        <f>+EC223-EA223</f>
        <v>0</v>
      </c>
      <c r="EC223" s="1061"/>
      <c r="ED223" s="1125"/>
      <c r="EE223" s="32">
        <f>+EF223-ED223</f>
        <v>0</v>
      </c>
      <c r="EF223" s="1061"/>
      <c r="EG223" s="1125"/>
      <c r="EH223" s="32">
        <f>+EI223-EG223</f>
        <v>0</v>
      </c>
      <c r="EI223" s="1061"/>
      <c r="EJ223" s="1125"/>
      <c r="EK223" s="32">
        <f>+EL223-EJ223</f>
        <v>0</v>
      </c>
      <c r="EL223" s="1061"/>
      <c r="EM223" s="1125"/>
      <c r="EN223" s="32">
        <f>+EO223-EM223</f>
        <v>0</v>
      </c>
      <c r="EO223" s="1061"/>
      <c r="EP223" s="1125"/>
      <c r="EQ223" s="32">
        <f>+ER223-EP223</f>
        <v>0</v>
      </c>
      <c r="ER223" s="1061"/>
      <c r="ES223" s="1125"/>
      <c r="ET223" s="32">
        <f>+EU223-ES223</f>
        <v>0</v>
      </c>
      <c r="EU223" s="1061"/>
      <c r="EV223" s="1125"/>
      <c r="EW223" s="32">
        <f>+EX223-EV223</f>
        <v>0</v>
      </c>
      <c r="EX223" s="1061"/>
      <c r="EY223" s="1125"/>
      <c r="EZ223" s="32">
        <f>+FA223-EY223</f>
        <v>0</v>
      </c>
      <c r="FA223" s="1061"/>
      <c r="FD223"/>
      <c r="FE223"/>
      <c r="FF223"/>
      <c r="FG223"/>
      <c r="FH223"/>
      <c r="FI223"/>
    </row>
    <row r="224" spans="1:169" s="33" customFormat="1" outlineLevel="1">
      <c r="B224" s="54" t="s">
        <v>409</v>
      </c>
      <c r="C224" s="54"/>
      <c r="D224" s="2" t="s">
        <v>506</v>
      </c>
      <c r="E224" s="1182">
        <f>+E222+E214+E223</f>
        <v>0</v>
      </c>
      <c r="F224" s="1182">
        <f>+G224</f>
        <v>0</v>
      </c>
      <c r="G224" s="1182">
        <f>+G222+G214+G223</f>
        <v>0</v>
      </c>
      <c r="H224" s="1182">
        <f>+H222+H214+H223</f>
        <v>0</v>
      </c>
      <c r="I224" s="1182">
        <f>+J224</f>
        <v>0</v>
      </c>
      <c r="J224" s="1182">
        <f>+J222+J214+J223</f>
        <v>0</v>
      </c>
      <c r="K224" s="1182">
        <f>+K222+K214+K223</f>
        <v>0</v>
      </c>
      <c r="L224" s="1182">
        <f>+M224</f>
        <v>0</v>
      </c>
      <c r="M224" s="1182">
        <f>+M222+M214+M223</f>
        <v>0</v>
      </c>
      <c r="N224" s="1182">
        <f>+N222+N214+N223</f>
        <v>0</v>
      </c>
      <c r="O224" s="1182">
        <f>+P224</f>
        <v>0</v>
      </c>
      <c r="P224" s="1182">
        <f>+P222+P214+P223</f>
        <v>0</v>
      </c>
      <c r="Q224" s="1182">
        <f>+Q222+Q214+Q223</f>
        <v>0</v>
      </c>
      <c r="R224" s="1182">
        <f>+S224</f>
        <v>0</v>
      </c>
      <c r="S224" s="1182">
        <f>+S222+S214+S223</f>
        <v>0</v>
      </c>
      <c r="T224" s="1182">
        <f>+T222+T214+T223</f>
        <v>0</v>
      </c>
      <c r="U224" s="1182">
        <f>+V224</f>
        <v>0</v>
      </c>
      <c r="V224" s="1182">
        <f>+V222+V214+V223</f>
        <v>0</v>
      </c>
      <c r="W224" s="1182">
        <f>+W222+W214+W223</f>
        <v>0</v>
      </c>
      <c r="X224" s="1182">
        <f>+Y224</f>
        <v>0</v>
      </c>
      <c r="Y224" s="1182">
        <f>+Y222+Y214+Y223</f>
        <v>0</v>
      </c>
      <c r="Z224" s="1182">
        <f>+Z222+Z214+Z223</f>
        <v>0</v>
      </c>
      <c r="AA224" s="1182">
        <f>+AB224</f>
        <v>0</v>
      </c>
      <c r="AB224" s="1182">
        <f>+AB222+AB214+AB223</f>
        <v>0</v>
      </c>
      <c r="AC224" s="1182">
        <f>+AC222+AC214+AC223</f>
        <v>0</v>
      </c>
      <c r="AD224" s="1182">
        <f>+AE224</f>
        <v>0</v>
      </c>
      <c r="AE224" s="1182">
        <f>+AE222+AE214+AE223</f>
        <v>0</v>
      </c>
      <c r="AF224" s="1182">
        <f>+AF222+AF214+AF223</f>
        <v>0</v>
      </c>
      <c r="AG224" s="1182">
        <f>+AH224</f>
        <v>21.736000000000001</v>
      </c>
      <c r="AH224" s="1237">
        <v>21.736000000000001</v>
      </c>
      <c r="AI224" s="1182">
        <f>+AI222+AI214+AI223</f>
        <v>21.736000000000001</v>
      </c>
      <c r="AJ224" s="1182">
        <f>+AK224</f>
        <v>7.2809999999999997</v>
      </c>
      <c r="AK224" s="1237">
        <v>7.2809999999999997</v>
      </c>
      <c r="AL224" s="1182">
        <f>+AL222+AL214+AL223</f>
        <v>7.2809999999999997</v>
      </c>
      <c r="AM224" s="1182">
        <f>+AN224</f>
        <v>20.811999999999998</v>
      </c>
      <c r="AN224" s="1182">
        <f>+AN222+AN214+AN223</f>
        <v>20.811999999999998</v>
      </c>
      <c r="AO224" s="1182">
        <f>+AO222+AO214+AO223</f>
        <v>20.811999999999998</v>
      </c>
      <c r="AP224" s="1182">
        <f>+AQ224</f>
        <v>43.350999999999992</v>
      </c>
      <c r="AQ224" s="1182">
        <f>+AQ222+AQ214+AQ223</f>
        <v>43.350999999999992</v>
      </c>
      <c r="AR224" s="1182">
        <f>+AR222+AR214+AR223</f>
        <v>13.830999999999992</v>
      </c>
      <c r="AS224" s="1182">
        <f>+AT224</f>
        <v>41.032999999999994</v>
      </c>
      <c r="AT224" s="1182">
        <f>+AT222+AT214+AT223</f>
        <v>41.032999999999994</v>
      </c>
      <c r="AU224" s="1182">
        <f>+AU222+AU214+AU223</f>
        <v>22.792999999999996</v>
      </c>
      <c r="AV224" s="1182">
        <f>+AW224</f>
        <v>41.072999999999993</v>
      </c>
      <c r="AW224" s="1182">
        <f>+AW222+AW214+AW223</f>
        <v>41.072999999999993</v>
      </c>
      <c r="AX224" s="1182">
        <f>+AX222+AX214+AX223</f>
        <v>41.072999999999993</v>
      </c>
      <c r="AY224" s="1182">
        <f>+AZ224</f>
        <v>414.89499999999998</v>
      </c>
      <c r="AZ224" s="1237">
        <v>414.89499999999998</v>
      </c>
      <c r="BA224" s="1182">
        <f>+BA222+BA214+BA223</f>
        <v>66.19999999999996</v>
      </c>
      <c r="BB224" s="1182">
        <f>+BC224</f>
        <v>109.48899999999999</v>
      </c>
      <c r="BC224" s="1182">
        <f>+BC222+BC214+BC223</f>
        <v>109.48899999999999</v>
      </c>
      <c r="BD224" s="1182">
        <f>+BD222+BD214+BD223</f>
        <v>28.798999999999992</v>
      </c>
      <c r="BE224" s="1182">
        <f>+BF224</f>
        <v>89.35499999999999</v>
      </c>
      <c r="BF224" s="1182">
        <f>+BF222+BF214+BF223</f>
        <v>89.35499999999999</v>
      </c>
      <c r="BG224" s="1182">
        <f>+BG222+BG214+BG223</f>
        <v>89.680999999999983</v>
      </c>
      <c r="BH224" s="1182">
        <f>+BI224</f>
        <v>82.85499999999999</v>
      </c>
      <c r="BI224" s="1182">
        <f>+BI222+BI214+BI223</f>
        <v>82.85499999999999</v>
      </c>
      <c r="BJ224" s="1182">
        <f>+BJ222+BJ214+BJ223</f>
        <v>502.73200000000003</v>
      </c>
      <c r="BK224" s="1182">
        <f>+BL224</f>
        <v>110.34299999999999</v>
      </c>
      <c r="BL224" s="1182">
        <f>+BL222+BL214+BL223</f>
        <v>110.34299999999999</v>
      </c>
      <c r="BM224" s="1182">
        <f>+BM222+BM214+BM223</f>
        <v>268.08</v>
      </c>
      <c r="BN224" s="1182">
        <f>+BO224</f>
        <v>719.75099999999998</v>
      </c>
      <c r="BO224" s="1182">
        <f>+BO222+BO214+BO223</f>
        <v>719.75099999999998</v>
      </c>
      <c r="BP224" s="1182">
        <f>+BP222+BP214+BP223</f>
        <v>719.75099999999998</v>
      </c>
      <c r="BQ224" s="1182">
        <f>+BR224</f>
        <v>747.98800000000006</v>
      </c>
      <c r="BR224" s="1182">
        <f>+BR222+BR214+BR223</f>
        <v>747.98800000000006</v>
      </c>
      <c r="BS224" s="1182">
        <f>+BS222+BS214+BS223</f>
        <v>534.41500000000008</v>
      </c>
      <c r="BT224" s="1182">
        <f>+BU224</f>
        <v>474.13800000000009</v>
      </c>
      <c r="BU224" s="1182">
        <f>+BU222+BU214+BU223</f>
        <v>474.13800000000009</v>
      </c>
      <c r="BV224" s="1182">
        <f>+BV222+BV214+BV223</f>
        <v>557.26900000000012</v>
      </c>
      <c r="BW224" s="1182">
        <f>+BX224</f>
        <v>695.59600000000012</v>
      </c>
      <c r="BX224" s="1182">
        <f>+BX222+BX214+BX223</f>
        <v>695.59600000000012</v>
      </c>
      <c r="BY224" s="1182">
        <f>+BY222+BY214+BY223</f>
        <v>2732.4859999999999</v>
      </c>
      <c r="BZ224" s="1182">
        <f>+CA224</f>
        <v>2522.1920000000005</v>
      </c>
      <c r="CA224" s="1182">
        <f>+CA222+CA214+CA223</f>
        <v>2522.1920000000005</v>
      </c>
      <c r="CB224" s="1182">
        <f>+CB222+CB214+CB223</f>
        <v>955.78200000000004</v>
      </c>
      <c r="CC224" s="1182">
        <f>+CD224</f>
        <v>994.50500000000045</v>
      </c>
      <c r="CD224" s="1182">
        <f>+CD222+CD214+CD223</f>
        <v>994.50500000000045</v>
      </c>
      <c r="CE224" s="1182">
        <f>+CE222+CE214+CE223</f>
        <v>719.36600000000044</v>
      </c>
      <c r="CF224" s="1182">
        <f>+CG224</f>
        <v>478.81900000000036</v>
      </c>
      <c r="CG224" s="1182">
        <f>+CG222+CG214+CG223</f>
        <v>478.81900000000036</v>
      </c>
      <c r="CH224" s="1182">
        <f>+CH222+CH214+CH223</f>
        <v>1317.1999999999998</v>
      </c>
      <c r="CI224" s="1182">
        <f>+CJ224</f>
        <v>1168.0999999999999</v>
      </c>
      <c r="CJ224" s="1182">
        <f>+CJ222+CJ214+CJ223</f>
        <v>1168.0999999999999</v>
      </c>
      <c r="CK224" s="1182">
        <f>+CK222+CK214+CK223</f>
        <v>751.7</v>
      </c>
      <c r="CL224" s="1182">
        <f>+CM224</f>
        <v>759.8</v>
      </c>
      <c r="CM224" s="1182">
        <f>+CM222+CM214+CM223</f>
        <v>759.8</v>
      </c>
      <c r="CN224" s="1182">
        <f>+CN222+CN214+CN223</f>
        <v>689.8</v>
      </c>
      <c r="CO224" s="1182">
        <f>+CP224</f>
        <v>606.29999999999995</v>
      </c>
      <c r="CP224" s="1182">
        <f>+CP222+CP214+CP223</f>
        <v>606.29999999999995</v>
      </c>
      <c r="CQ224" s="1182">
        <f>+CQ222+CQ214+CQ223</f>
        <v>1060.7</v>
      </c>
      <c r="CR224" s="1182">
        <f>+CS224</f>
        <v>728.5</v>
      </c>
      <c r="CS224" s="1182">
        <f>+CS222+CS214+CS223</f>
        <v>728.5</v>
      </c>
      <c r="CT224" s="1182">
        <f>+CT222+CT214+CT223</f>
        <v>1277.5999999999999</v>
      </c>
      <c r="CU224" s="1182">
        <f>+CV224</f>
        <v>728.30000000000007</v>
      </c>
      <c r="CV224" s="1182">
        <f>+CV222+CV214+CV223</f>
        <v>728.30000000000007</v>
      </c>
      <c r="CW224" s="1182">
        <f>+CW222+CW214+CW223</f>
        <v>1055.6000000000001</v>
      </c>
      <c r="CX224" s="1182">
        <f>+CY224</f>
        <v>843</v>
      </c>
      <c r="CY224" s="1182">
        <f>+CY222+CY214+CY223</f>
        <v>843</v>
      </c>
      <c r="CZ224" s="1182">
        <f>+CZ222+CZ214+CZ223</f>
        <v>841.1</v>
      </c>
      <c r="DA224" s="1182">
        <f>+DB224</f>
        <v>812.7</v>
      </c>
      <c r="DB224" s="1182">
        <f>+DB222+DB214+DB223</f>
        <v>812.7</v>
      </c>
      <c r="DC224" s="1182">
        <f>+DC222+DC214+DC223</f>
        <v>644.9</v>
      </c>
      <c r="DD224" s="1182">
        <f>+DE224</f>
        <v>657.80000000000007</v>
      </c>
      <c r="DE224" s="1091">
        <f>+DE222+DE214+DE223</f>
        <v>657.80000000000007</v>
      </c>
      <c r="DF224" s="1182">
        <f>+DF222+DF214+DF223</f>
        <v>659.7</v>
      </c>
      <c r="DG224" s="1182">
        <f>+DH224</f>
        <v>1151.3</v>
      </c>
      <c r="DH224" s="1091">
        <f>+DH222+DH214+DH223</f>
        <v>1151.3</v>
      </c>
      <c r="DI224" s="1182">
        <f>+DI222+DI214+DI223</f>
        <v>2380.3000000000002</v>
      </c>
      <c r="DJ224" s="1182">
        <f>+DK224</f>
        <v>1730.1</v>
      </c>
      <c r="DK224" s="1091">
        <f>+DK222+DK214+DK223</f>
        <v>1730.1</v>
      </c>
      <c r="DL224" s="32">
        <f>+DL222+DL214+DL223</f>
        <v>6249.4000000000005</v>
      </c>
      <c r="DM224" s="32">
        <f>+DN224</f>
        <v>10334.4</v>
      </c>
      <c r="DN224" s="1061">
        <f>+DN222+DN214+DN223</f>
        <v>10334.4</v>
      </c>
      <c r="DO224" s="32">
        <f>+DO222+DO214+DO223</f>
        <v>1457.6999999999989</v>
      </c>
      <c r="DP224" s="32">
        <f>+DQ224</f>
        <v>1509.3999999999996</v>
      </c>
      <c r="DQ224" s="1061">
        <f>+DQ222+DQ214+DQ223</f>
        <v>1509.3999999999996</v>
      </c>
      <c r="DR224" s="32">
        <f>+DR222+DR214+DR223</f>
        <v>1011.3999999999996</v>
      </c>
      <c r="DS224" s="32">
        <f>+DT224</f>
        <v>1643.3999999999996</v>
      </c>
      <c r="DT224" s="1061">
        <f>+DT222+DT214+DT223</f>
        <v>1643.3999999999996</v>
      </c>
      <c r="DU224" s="32">
        <f>+DU222+DU214+DU223</f>
        <v>1524.3999999999996</v>
      </c>
      <c r="DV224" s="32">
        <f>+DW224</f>
        <v>2157.3999999999996</v>
      </c>
      <c r="DW224" s="1061">
        <f>+DW222+DW214+DW223</f>
        <v>2157.3999999999996</v>
      </c>
      <c r="DX224" s="32">
        <f>+DX222+DX214+DX223</f>
        <v>1145.3999999999996</v>
      </c>
      <c r="DY224" s="32">
        <f>+DZ224</f>
        <v>1694.244804389383</v>
      </c>
      <c r="DZ224" s="1061">
        <f>+DZ222+DZ214+DZ223</f>
        <v>1694.244804389383</v>
      </c>
      <c r="EA224" s="32">
        <f>+EA222+EA214+EA223</f>
        <v>1708.9996312835151</v>
      </c>
      <c r="EB224" s="32">
        <f>+EC224</f>
        <v>2039.6668527056486</v>
      </c>
      <c r="EC224" s="1061">
        <f>+EC222+EC214+EC223</f>
        <v>2039.6668527056486</v>
      </c>
      <c r="ED224" s="32">
        <f>+ED222+ED214+ED223</f>
        <v>2288.5411425581842</v>
      </c>
      <c r="EE224" s="32">
        <f>+EF224</f>
        <v>2516.5858291228242</v>
      </c>
      <c r="EF224" s="1061">
        <f>+EF222+EF214+EF223</f>
        <v>2516.5858291228242</v>
      </c>
      <c r="EG224" s="32">
        <f>+EG222+EG214+EG223</f>
        <v>3260.4856963591105</v>
      </c>
      <c r="EH224" s="32">
        <f>+EI224</f>
        <v>3918.9842369967946</v>
      </c>
      <c r="EI224" s="1061">
        <f>+EI222+EI214+EI223</f>
        <v>3918.9842369967946</v>
      </c>
      <c r="EJ224" s="32">
        <f>+EJ222+EJ214+EJ223</f>
        <v>4910.0864604442413</v>
      </c>
      <c r="EK224" s="32">
        <f>+EL224</f>
        <v>5700.7784634481468</v>
      </c>
      <c r="EL224" s="1061">
        <f>+EL222+EL214+EL223</f>
        <v>5700.7784634481468</v>
      </c>
      <c r="EM224" s="32">
        <f>+EM222+EM214+EM223</f>
        <v>7034.3524705910968</v>
      </c>
      <c r="EN224" s="32">
        <f>+EO224</f>
        <v>7992.5357784932639</v>
      </c>
      <c r="EO224" s="1061">
        <f>+EO222+EO214+EO223</f>
        <v>7992.5357784932639</v>
      </c>
      <c r="EP224" s="32">
        <f>+EP222+EP214+EP223</f>
        <v>9486.4309379527549</v>
      </c>
      <c r="EQ224" s="32">
        <f>+ER224</f>
        <v>10528.131703990437</v>
      </c>
      <c r="ER224" s="1061">
        <f>+ER222+ER214+ER223</f>
        <v>10528.131703990437</v>
      </c>
      <c r="ES224" s="32">
        <f>+ES222+ES214+ES223</f>
        <v>12157.222196506253</v>
      </c>
      <c r="ET224" s="32">
        <f>+EU224</f>
        <v>13268.083891055468</v>
      </c>
      <c r="EU224" s="1061">
        <f>+EU222+EU214+EU223</f>
        <v>13268.083891055468</v>
      </c>
      <c r="EV224" s="32">
        <f>+EV222+EV214+EV223</f>
        <v>15028.746327372794</v>
      </c>
      <c r="EW224" s="32">
        <f>+EX224</f>
        <v>16185.363827560548</v>
      </c>
      <c r="EX224" s="1061">
        <f>+EX222+EX214+EX223</f>
        <v>16185.363827560548</v>
      </c>
      <c r="EY224" s="32">
        <f>+EY222+EY214+EY223</f>
        <v>18107.36109103138</v>
      </c>
      <c r="EZ224" s="32">
        <f>+FA224</f>
        <v>19310.838605073739</v>
      </c>
      <c r="FA224" s="1061">
        <f>+FA222+FA214+FA223</f>
        <v>19310.838605073739</v>
      </c>
      <c r="FD224"/>
      <c r="FE224"/>
      <c r="FF224"/>
      <c r="FG224"/>
      <c r="FH224"/>
      <c r="FI224"/>
    </row>
    <row r="225" spans="1:165" s="33" customFormat="1" outlineLevel="1">
      <c r="B225" s="54" t="s">
        <v>410</v>
      </c>
      <c r="C225" s="54"/>
      <c r="D225" s="2"/>
      <c r="E225" s="32"/>
      <c r="F225" s="32"/>
      <c r="G225" s="32"/>
      <c r="H225" s="32"/>
      <c r="I225" s="32"/>
      <c r="J225" s="32"/>
      <c r="K225" s="32"/>
      <c r="L225" s="32"/>
      <c r="M225" s="32"/>
      <c r="N225" s="32"/>
      <c r="O225" s="32"/>
      <c r="P225" s="32"/>
      <c r="Q225" s="32"/>
      <c r="R225" s="32"/>
      <c r="S225" s="32"/>
      <c r="T225" s="32"/>
      <c r="U225" s="32"/>
      <c r="V225" s="32"/>
      <c r="W225" s="32"/>
      <c r="X225" s="32"/>
      <c r="Y225" s="32"/>
      <c r="Z225" s="32"/>
      <c r="AA225" s="32"/>
      <c r="AB225" s="32"/>
      <c r="AC225" s="32"/>
      <c r="AD225" s="32"/>
      <c r="AE225" s="32"/>
      <c r="AF225" s="32"/>
      <c r="AG225" s="32"/>
      <c r="AH225" s="32"/>
      <c r="AI225" s="32"/>
      <c r="AJ225" s="32"/>
      <c r="AK225" s="32"/>
      <c r="AL225" s="32"/>
      <c r="AM225" s="32"/>
      <c r="AN225" s="32"/>
      <c r="AO225" s="32"/>
      <c r="AP225" s="32"/>
      <c r="AQ225" s="32"/>
      <c r="AR225" s="32"/>
      <c r="AS225" s="32"/>
      <c r="AT225" s="32"/>
      <c r="AU225" s="32"/>
      <c r="AV225" s="32"/>
      <c r="AW225" s="32"/>
      <c r="AX225" s="32"/>
      <c r="AY225" s="32"/>
      <c r="AZ225" s="32"/>
      <c r="BA225" s="32"/>
      <c r="BB225" s="32"/>
      <c r="BC225" s="32"/>
      <c r="BD225" s="32"/>
      <c r="BE225" s="32"/>
      <c r="BF225" s="32"/>
      <c r="BG225" s="1064">
        <v>95.606999999999999</v>
      </c>
      <c r="BH225" s="1064">
        <v>-5.641</v>
      </c>
      <c r="BI225" s="1064">
        <v>-16.248999999999999</v>
      </c>
      <c r="BJ225" s="32"/>
      <c r="BK225" s="1064">
        <v>4.5529999999999999</v>
      </c>
      <c r="BL225" s="1064">
        <v>3.9420000000000002</v>
      </c>
      <c r="BM225" s="32">
        <f>-130.157+130.757</f>
        <v>0.59999999999999432</v>
      </c>
      <c r="BN225" s="32">
        <f>130.157-131.219</f>
        <v>-1.0619999999999834</v>
      </c>
      <c r="BO225" s="32"/>
      <c r="BP225" s="32">
        <f>-130.57</f>
        <v>-130.57</v>
      </c>
      <c r="BQ225" s="32">
        <f>-BP225</f>
        <v>130.57</v>
      </c>
      <c r="BR225" s="32"/>
      <c r="BS225" s="1064">
        <v>14.472</v>
      </c>
      <c r="BT225" s="32">
        <f>-BS225</f>
        <v>-14.472</v>
      </c>
      <c r="BU225" s="32"/>
      <c r="BV225" s="1064">
        <v>-3.621</v>
      </c>
      <c r="BW225" s="1064">
        <v>3.516</v>
      </c>
      <c r="BX225" s="1064">
        <v>453.54199999999997</v>
      </c>
      <c r="BZ225" s="32"/>
      <c r="CA225" s="1064">
        <v>-450.596</v>
      </c>
      <c r="CB225" s="32"/>
      <c r="CC225" s="32"/>
      <c r="CD225" s="1064">
        <v>329.68700000000001</v>
      </c>
      <c r="CE225" s="32"/>
      <c r="CF225" s="32"/>
      <c r="CG225" s="1064">
        <v>177.68600000000001</v>
      </c>
      <c r="CH225" s="1064">
        <v>496.97</v>
      </c>
      <c r="CI225" s="1125">
        <f>20.53-15.9</f>
        <v>4.6300000000000008</v>
      </c>
      <c r="CJ225" s="1064">
        <v>-13.4</v>
      </c>
      <c r="CK225" s="1125">
        <f>7.7+15.9</f>
        <v>23.6</v>
      </c>
      <c r="CL225" s="1064">
        <v>-8.1999999999999993</v>
      </c>
      <c r="CM225" s="1064">
        <v>15.4</v>
      </c>
      <c r="CN225" s="32"/>
      <c r="CO225" s="32">
        <f>22.6-24.4</f>
        <v>-1.7999999999999972</v>
      </c>
      <c r="CP225" s="32"/>
      <c r="CQ225" s="1064">
        <v>-7</v>
      </c>
      <c r="CR225" s="1238">
        <f>-840.5+668.9</f>
        <v>-171.60000000000002</v>
      </c>
      <c r="CS225" s="1238">
        <f>-843+668.9</f>
        <v>-174.10000000000002</v>
      </c>
      <c r="CT225" s="1064">
        <v>-13.9</v>
      </c>
      <c r="CU225" s="1064">
        <v>13.9</v>
      </c>
      <c r="CV225" s="32"/>
      <c r="CW225" s="1125"/>
      <c r="CX225" s="1125"/>
      <c r="CY225" s="32"/>
      <c r="CZ225" s="1125">
        <v>7</v>
      </c>
      <c r="DA225" s="1125">
        <f>-7</f>
        <v>-7</v>
      </c>
      <c r="DB225" s="32">
        <f>SUM(CZ225:DA225)</f>
        <v>0</v>
      </c>
      <c r="DC225" s="32">
        <v>18.899999999999999</v>
      </c>
      <c r="DD225" s="32">
        <v>-18.899999999999999</v>
      </c>
      <c r="DE225" s="1531"/>
      <c r="DF225" s="1530">
        <v>9.5</v>
      </c>
      <c r="DG225" s="1530">
        <v>33.6</v>
      </c>
      <c r="DH225" s="1531">
        <f>43.1</f>
        <v>43.1</v>
      </c>
      <c r="DI225" s="1530"/>
      <c r="DJ225" s="1530">
        <v>35.6</v>
      </c>
      <c r="DK225" s="1531">
        <v>35.6</v>
      </c>
      <c r="DL225" s="1530"/>
      <c r="DM225" s="1530"/>
      <c r="DN225" s="1531"/>
      <c r="DO225" s="1558">
        <v>-51.8</v>
      </c>
      <c r="DP225" s="1530">
        <f>+DQ225-DO225</f>
        <v>-11.600000000000001</v>
      </c>
      <c r="DQ225" s="1532">
        <v>-63.4</v>
      </c>
      <c r="DR225" s="1558">
        <v>-33</v>
      </c>
      <c r="DS225" s="1530">
        <f>+DT225-DR225</f>
        <v>8</v>
      </c>
      <c r="DT225" s="1559">
        <v>-25</v>
      </c>
      <c r="DU225" s="32">
        <f>14+28-56</f>
        <v>-14</v>
      </c>
      <c r="DV225" s="1530">
        <f>+DW225-DU225</f>
        <v>182</v>
      </c>
      <c r="DW225" s="1559">
        <f>207+11-50</f>
        <v>168</v>
      </c>
      <c r="DX225" s="32"/>
      <c r="DY225" s="32"/>
      <c r="DZ225" s="1061">
        <f>+DX225+DY225</f>
        <v>0</v>
      </c>
      <c r="EA225" s="32"/>
      <c r="EB225" s="32"/>
      <c r="EC225" s="1061"/>
      <c r="ED225" s="32"/>
      <c r="EE225" s="32"/>
      <c r="EF225" s="1061"/>
      <c r="EG225" s="32"/>
      <c r="EH225" s="32"/>
      <c r="EI225" s="1061"/>
      <c r="EJ225" s="32"/>
      <c r="EK225" s="32"/>
      <c r="EL225" s="1061"/>
      <c r="EM225" s="32"/>
      <c r="EN225" s="32"/>
      <c r="EO225" s="1061"/>
      <c r="EP225" s="32"/>
      <c r="EQ225" s="32"/>
      <c r="ER225" s="1061"/>
      <c r="ES225" s="32"/>
      <c r="ET225" s="32"/>
      <c r="EU225" s="1061"/>
      <c r="EV225" s="32"/>
      <c r="EW225" s="32"/>
      <c r="EX225" s="1061"/>
      <c r="EY225" s="32"/>
      <c r="EZ225" s="32"/>
      <c r="FA225" s="1061"/>
      <c r="FD225"/>
      <c r="FE225"/>
      <c r="FF225"/>
      <c r="FG225"/>
      <c r="FH225"/>
      <c r="FI225"/>
    </row>
    <row r="226" spans="1:165" s="1171" customFormat="1">
      <c r="A226" s="48" t="s">
        <v>523</v>
      </c>
      <c r="B226" s="48"/>
      <c r="C226" s="1036"/>
      <c r="D226" s="49" t="str">
        <f t="shared" ref="D226:AI226" si="547">+D4</f>
        <v xml:space="preserve">Year ending Jun </v>
      </c>
      <c r="E226" s="49" t="str">
        <f t="shared" si="547"/>
        <v>1h85</v>
      </c>
      <c r="F226" s="49" t="str">
        <f t="shared" si="547"/>
        <v>2h85</v>
      </c>
      <c r="G226" s="49" t="str">
        <f t="shared" si="547"/>
        <v>1985</v>
      </c>
      <c r="H226" s="49" t="str">
        <f t="shared" si="547"/>
        <v>1h86</v>
      </c>
      <c r="I226" s="49" t="str">
        <f t="shared" si="547"/>
        <v>2h86</v>
      </c>
      <c r="J226" s="49" t="str">
        <f t="shared" si="547"/>
        <v>1986</v>
      </c>
      <c r="K226" s="49" t="str">
        <f t="shared" si="547"/>
        <v>1h87</v>
      </c>
      <c r="L226" s="49" t="str">
        <f t="shared" si="547"/>
        <v>2h87</v>
      </c>
      <c r="M226" s="49" t="str">
        <f t="shared" si="547"/>
        <v>1987</v>
      </c>
      <c r="N226" s="49" t="str">
        <f t="shared" si="547"/>
        <v>1h88</v>
      </c>
      <c r="O226" s="49" t="str">
        <f t="shared" si="547"/>
        <v>2h88</v>
      </c>
      <c r="P226" s="49" t="str">
        <f t="shared" si="547"/>
        <v>1988</v>
      </c>
      <c r="Q226" s="49" t="str">
        <f t="shared" si="547"/>
        <v>1h89</v>
      </c>
      <c r="R226" s="49" t="str">
        <f t="shared" si="547"/>
        <v>2h89</v>
      </c>
      <c r="S226" s="49" t="str">
        <f t="shared" si="547"/>
        <v>1989</v>
      </c>
      <c r="T226" s="49" t="str">
        <f t="shared" si="547"/>
        <v>1h90</v>
      </c>
      <c r="U226" s="49" t="str">
        <f t="shared" si="547"/>
        <v>2h90</v>
      </c>
      <c r="V226" s="49" t="str">
        <f t="shared" si="547"/>
        <v>1990</v>
      </c>
      <c r="W226" s="49" t="str">
        <f t="shared" si="547"/>
        <v>1h91</v>
      </c>
      <c r="X226" s="49" t="str">
        <f t="shared" si="547"/>
        <v>2h91</v>
      </c>
      <c r="Y226" s="49" t="str">
        <f t="shared" si="547"/>
        <v>1991</v>
      </c>
      <c r="Z226" s="49" t="str">
        <f t="shared" si="547"/>
        <v>1h92</v>
      </c>
      <c r="AA226" s="49" t="str">
        <f t="shared" si="547"/>
        <v>2h92</v>
      </c>
      <c r="AB226" s="49" t="str">
        <f t="shared" si="547"/>
        <v>1992</v>
      </c>
      <c r="AC226" s="49" t="str">
        <f t="shared" si="547"/>
        <v>1h93</v>
      </c>
      <c r="AD226" s="49" t="str">
        <f t="shared" si="547"/>
        <v>2h93</v>
      </c>
      <c r="AE226" s="49" t="str">
        <f t="shared" si="547"/>
        <v>1993</v>
      </c>
      <c r="AF226" s="49" t="str">
        <f t="shared" si="547"/>
        <v>1h94</v>
      </c>
      <c r="AG226" s="49" t="str">
        <f t="shared" si="547"/>
        <v>2h94</v>
      </c>
      <c r="AH226" s="49" t="str">
        <f t="shared" si="547"/>
        <v>1994</v>
      </c>
      <c r="AI226" s="49" t="str">
        <f t="shared" si="547"/>
        <v>1h95</v>
      </c>
      <c r="AJ226" s="49" t="str">
        <f t="shared" ref="AJ226:BO226" si="548">+AJ4</f>
        <v>2h95</v>
      </c>
      <c r="AK226" s="49" t="str">
        <f t="shared" si="548"/>
        <v>1995</v>
      </c>
      <c r="AL226" s="49" t="str">
        <f t="shared" si="548"/>
        <v>1h96</v>
      </c>
      <c r="AM226" s="49" t="str">
        <f t="shared" si="548"/>
        <v>2h96</v>
      </c>
      <c r="AN226" s="49" t="str">
        <f t="shared" si="548"/>
        <v>1996</v>
      </c>
      <c r="AO226" s="49" t="str">
        <f t="shared" si="548"/>
        <v>1h97</v>
      </c>
      <c r="AP226" s="49" t="str">
        <f t="shared" si="548"/>
        <v>2h97</v>
      </c>
      <c r="AQ226" s="49" t="str">
        <f t="shared" si="548"/>
        <v>1997</v>
      </c>
      <c r="AR226" s="49" t="str">
        <f t="shared" si="548"/>
        <v>1h98</v>
      </c>
      <c r="AS226" s="49" t="str">
        <f t="shared" si="548"/>
        <v>2h98</v>
      </c>
      <c r="AT226" s="49" t="str">
        <f t="shared" si="548"/>
        <v>1998a</v>
      </c>
      <c r="AU226" s="49" t="str">
        <f t="shared" si="548"/>
        <v>1h99</v>
      </c>
      <c r="AV226" s="49" t="str">
        <f t="shared" si="548"/>
        <v>2h99</v>
      </c>
      <c r="AW226" s="49" t="str">
        <f t="shared" si="548"/>
        <v>1999a</v>
      </c>
      <c r="AX226" s="49" t="str">
        <f t="shared" si="548"/>
        <v>1h00</v>
      </c>
      <c r="AY226" s="49" t="str">
        <f t="shared" si="548"/>
        <v>2h00</v>
      </c>
      <c r="AZ226" s="49" t="str">
        <f t="shared" si="548"/>
        <v>2000a</v>
      </c>
      <c r="BA226" s="49" t="str">
        <f t="shared" si="548"/>
        <v>1h01</v>
      </c>
      <c r="BB226" s="49" t="str">
        <f t="shared" si="548"/>
        <v>2h01</v>
      </c>
      <c r="BC226" s="49" t="str">
        <f t="shared" si="548"/>
        <v>2001a</v>
      </c>
      <c r="BD226" s="49" t="str">
        <f t="shared" si="548"/>
        <v>1h02</v>
      </c>
      <c r="BE226" s="49" t="str">
        <f t="shared" si="548"/>
        <v>2h02f</v>
      </c>
      <c r="BF226" s="49" t="str">
        <f t="shared" si="548"/>
        <v>2002</v>
      </c>
      <c r="BG226" s="49" t="str">
        <f t="shared" si="548"/>
        <v>1h03</v>
      </c>
      <c r="BH226" s="49" t="str">
        <f t="shared" si="548"/>
        <v>2h03</v>
      </c>
      <c r="BI226" s="49" t="str">
        <f t="shared" si="548"/>
        <v>2003</v>
      </c>
      <c r="BJ226" s="49" t="str">
        <f t="shared" si="548"/>
        <v>1h04</v>
      </c>
      <c r="BK226" s="49" t="str">
        <f t="shared" si="548"/>
        <v>2h04</v>
      </c>
      <c r="BL226" s="49" t="str">
        <f t="shared" si="548"/>
        <v>2004</v>
      </c>
      <c r="BM226" s="49" t="str">
        <f t="shared" si="548"/>
        <v>1h05</v>
      </c>
      <c r="BN226" s="49" t="str">
        <f t="shared" si="548"/>
        <v>2h05</v>
      </c>
      <c r="BO226" s="49" t="str">
        <f t="shared" si="548"/>
        <v>2005</v>
      </c>
      <c r="BP226" s="49" t="str">
        <f t="shared" ref="BP226:CU226" si="549">+BP4</f>
        <v>1h06</v>
      </c>
      <c r="BQ226" s="49" t="str">
        <f t="shared" si="549"/>
        <v>2h06</v>
      </c>
      <c r="BR226" s="49" t="str">
        <f t="shared" si="549"/>
        <v>2006</v>
      </c>
      <c r="BS226" s="49" t="str">
        <f t="shared" si="549"/>
        <v>1h07</v>
      </c>
      <c r="BT226" s="49" t="str">
        <f t="shared" si="549"/>
        <v>2h07</v>
      </c>
      <c r="BU226" s="49" t="str">
        <f t="shared" si="549"/>
        <v>2007</v>
      </c>
      <c r="BV226" s="49" t="str">
        <f t="shared" si="549"/>
        <v>1h08</v>
      </c>
      <c r="BW226" s="49" t="str">
        <f t="shared" si="549"/>
        <v>2h08</v>
      </c>
      <c r="BX226" s="49" t="str">
        <f t="shared" si="549"/>
        <v>2008</v>
      </c>
      <c r="BY226" s="49" t="str">
        <f t="shared" si="549"/>
        <v>1h09</v>
      </c>
      <c r="BZ226" s="49" t="str">
        <f t="shared" si="549"/>
        <v>2h09</v>
      </c>
      <c r="CA226" s="49" t="str">
        <f t="shared" si="549"/>
        <v>2009</v>
      </c>
      <c r="CB226" s="49" t="str">
        <f t="shared" si="549"/>
        <v>1h10</v>
      </c>
      <c r="CC226" s="49" t="str">
        <f t="shared" si="549"/>
        <v>2h10</v>
      </c>
      <c r="CD226" s="49" t="str">
        <f t="shared" si="549"/>
        <v>2010</v>
      </c>
      <c r="CE226" s="49" t="str">
        <f t="shared" si="549"/>
        <v>1h11</v>
      </c>
      <c r="CF226" s="49" t="str">
        <f t="shared" si="549"/>
        <v>2h11</v>
      </c>
      <c r="CG226" s="49" t="str">
        <f t="shared" si="549"/>
        <v>2011</v>
      </c>
      <c r="CH226" s="49" t="str">
        <f t="shared" si="549"/>
        <v>1h12</v>
      </c>
      <c r="CI226" s="49" t="str">
        <f t="shared" si="549"/>
        <v>2h12</v>
      </c>
      <c r="CJ226" s="49" t="str">
        <f t="shared" si="549"/>
        <v>2012</v>
      </c>
      <c r="CK226" s="49" t="str">
        <f t="shared" si="549"/>
        <v>1h13</v>
      </c>
      <c r="CL226" s="49" t="str">
        <f t="shared" si="549"/>
        <v>2h13</v>
      </c>
      <c r="CM226" s="49" t="str">
        <f t="shared" si="549"/>
        <v>2013</v>
      </c>
      <c r="CN226" s="49" t="str">
        <f t="shared" si="549"/>
        <v>1h14</v>
      </c>
      <c r="CO226" s="49" t="str">
        <f t="shared" si="549"/>
        <v>2h14</v>
      </c>
      <c r="CP226" s="49" t="str">
        <f t="shared" si="549"/>
        <v>2014</v>
      </c>
      <c r="CQ226" s="49" t="str">
        <f t="shared" si="549"/>
        <v>1h15</v>
      </c>
      <c r="CR226" s="49" t="str">
        <f t="shared" si="549"/>
        <v>2h15</v>
      </c>
      <c r="CS226" s="49" t="str">
        <f t="shared" si="549"/>
        <v>2015</v>
      </c>
      <c r="CT226" s="49" t="str">
        <f t="shared" si="549"/>
        <v>1h16</v>
      </c>
      <c r="CU226" s="49" t="str">
        <f t="shared" si="549"/>
        <v>2h16</v>
      </c>
      <c r="CV226" s="49" t="str">
        <f t="shared" ref="CV226:EC226" si="550">+CV4</f>
        <v>2016</v>
      </c>
      <c r="CW226" s="49" t="str">
        <f t="shared" si="550"/>
        <v>1h17</v>
      </c>
      <c r="CX226" s="49" t="str">
        <f t="shared" si="550"/>
        <v>2h17</v>
      </c>
      <c r="CY226" s="49" t="str">
        <f t="shared" si="550"/>
        <v>2017</v>
      </c>
      <c r="CZ226" s="49" t="str">
        <f t="shared" si="550"/>
        <v>1h18</v>
      </c>
      <c r="DA226" s="49" t="str">
        <f t="shared" si="550"/>
        <v>2h18</v>
      </c>
      <c r="DB226" s="49" t="str">
        <f t="shared" si="550"/>
        <v>2018</v>
      </c>
      <c r="DC226" s="49" t="str">
        <f t="shared" si="550"/>
        <v>1h19</v>
      </c>
      <c r="DD226" s="49" t="str">
        <f t="shared" si="550"/>
        <v>2h19</v>
      </c>
      <c r="DE226" s="63" t="str">
        <f t="shared" si="550"/>
        <v>2019</v>
      </c>
      <c r="DF226" s="49" t="str">
        <f t="shared" si="550"/>
        <v>1h20</v>
      </c>
      <c r="DG226" s="49" t="str">
        <f t="shared" si="550"/>
        <v>2h20</v>
      </c>
      <c r="DH226" s="63" t="str">
        <f t="shared" si="550"/>
        <v>2020</v>
      </c>
      <c r="DI226" s="49" t="str">
        <f t="shared" si="550"/>
        <v>1h21</v>
      </c>
      <c r="DJ226" s="49" t="str">
        <f t="shared" si="550"/>
        <v>2h21</v>
      </c>
      <c r="DK226" s="63" t="str">
        <f t="shared" si="550"/>
        <v>2021</v>
      </c>
      <c r="DL226" s="49" t="str">
        <f t="shared" si="550"/>
        <v>1h22</v>
      </c>
      <c r="DM226" s="49" t="str">
        <f t="shared" si="550"/>
        <v>2h22</v>
      </c>
      <c r="DN226" s="63" t="str">
        <f t="shared" si="550"/>
        <v>2022</v>
      </c>
      <c r="DO226" s="49" t="str">
        <f t="shared" si="550"/>
        <v>1h23</v>
      </c>
      <c r="DP226" s="49" t="str">
        <f t="shared" si="550"/>
        <v>2h23</v>
      </c>
      <c r="DQ226" s="63" t="str">
        <f t="shared" si="550"/>
        <v>2023</v>
      </c>
      <c r="DR226" s="49" t="str">
        <f t="shared" si="550"/>
        <v>1h24</v>
      </c>
      <c r="DS226" s="49" t="str">
        <f t="shared" si="550"/>
        <v>2h24</v>
      </c>
      <c r="DT226" s="63" t="str">
        <f t="shared" si="550"/>
        <v>2024</v>
      </c>
      <c r="DU226" s="49" t="str">
        <f>+DU4</f>
        <v>1h25</v>
      </c>
      <c r="DV226" s="49" t="str">
        <f>+DV4</f>
        <v>2h25</v>
      </c>
      <c r="DW226" s="63" t="str">
        <f>+DW4</f>
        <v>2025</v>
      </c>
      <c r="DX226" s="49" t="str">
        <f t="shared" si="550"/>
        <v>1h26</v>
      </c>
      <c r="DY226" s="49" t="str">
        <f t="shared" si="550"/>
        <v>2h26E</v>
      </c>
      <c r="DZ226" s="63" t="str">
        <f t="shared" si="550"/>
        <v>2026E</v>
      </c>
      <c r="EA226" s="49" t="str">
        <f t="shared" si="550"/>
        <v>1h27E</v>
      </c>
      <c r="EB226" s="49" t="str">
        <f t="shared" si="550"/>
        <v>2h27E</v>
      </c>
      <c r="EC226" s="63" t="str">
        <f t="shared" si="550"/>
        <v>2027E</v>
      </c>
      <c r="ED226" s="49" t="str">
        <f t="shared" ref="ED226:EL226" si="551">+ED4</f>
        <v>1h28E</v>
      </c>
      <c r="EE226" s="49" t="str">
        <f t="shared" si="551"/>
        <v>2h28E</v>
      </c>
      <c r="EF226" s="63" t="str">
        <f t="shared" si="551"/>
        <v>2028E</v>
      </c>
      <c r="EG226" s="49" t="str">
        <f t="shared" si="551"/>
        <v>1h29E</v>
      </c>
      <c r="EH226" s="49" t="str">
        <f t="shared" si="551"/>
        <v>2h29E</v>
      </c>
      <c r="EI226" s="63" t="str">
        <f t="shared" si="551"/>
        <v>2029E</v>
      </c>
      <c r="EJ226" s="49" t="str">
        <f t="shared" si="551"/>
        <v>1h30E</v>
      </c>
      <c r="EK226" s="49" t="str">
        <f t="shared" si="551"/>
        <v>2h30E</v>
      </c>
      <c r="EL226" s="63" t="str">
        <f t="shared" si="551"/>
        <v>2030E</v>
      </c>
      <c r="EM226" s="49" t="str">
        <f t="shared" ref="EM226:ER226" si="552">+EM4</f>
        <v>1h31E</v>
      </c>
      <c r="EN226" s="49" t="str">
        <f t="shared" si="552"/>
        <v>2h31E</v>
      </c>
      <c r="EO226" s="63" t="str">
        <f t="shared" si="552"/>
        <v>2031E</v>
      </c>
      <c r="EP226" s="49" t="str">
        <f t="shared" si="552"/>
        <v>1h32E</v>
      </c>
      <c r="EQ226" s="49" t="str">
        <f t="shared" si="552"/>
        <v>2h32E</v>
      </c>
      <c r="ER226" s="63" t="str">
        <f t="shared" si="552"/>
        <v>2032E</v>
      </c>
      <c r="ES226" s="49" t="str">
        <f t="shared" ref="ES226:FA226" si="553">+ES4</f>
        <v>1h33E</v>
      </c>
      <c r="ET226" s="49" t="str">
        <f t="shared" si="553"/>
        <v>2h33E</v>
      </c>
      <c r="EU226" s="63" t="str">
        <f t="shared" si="553"/>
        <v>2033E</v>
      </c>
      <c r="EV226" s="49" t="str">
        <f t="shared" si="553"/>
        <v>1h34E</v>
      </c>
      <c r="EW226" s="49" t="str">
        <f t="shared" si="553"/>
        <v>2h34E</v>
      </c>
      <c r="EX226" s="63" t="str">
        <f t="shared" si="553"/>
        <v>2034E</v>
      </c>
      <c r="EY226" s="49" t="str">
        <f t="shared" si="553"/>
        <v>1h35E</v>
      </c>
      <c r="EZ226" s="49" t="str">
        <f t="shared" si="553"/>
        <v>2h35E</v>
      </c>
      <c r="FA226" s="63" t="str">
        <f t="shared" si="553"/>
        <v>2035E</v>
      </c>
      <c r="FB226" s="1058"/>
      <c r="FC226" s="1058"/>
      <c r="FD226"/>
      <c r="FE226"/>
      <c r="FF226"/>
      <c r="FG226"/>
      <c r="FH226"/>
      <c r="FI226"/>
    </row>
    <row r="227" spans="1:165" s="33" customFormat="1" ht="13.5" thickBot="1">
      <c r="B227" s="54"/>
      <c r="C227" s="54"/>
      <c r="D227" s="2"/>
      <c r="E227" s="2"/>
      <c r="F227" s="2"/>
      <c r="G227" s="2"/>
      <c r="H227" s="2"/>
      <c r="I227" s="2"/>
      <c r="J227" s="2"/>
      <c r="K227" s="2"/>
      <c r="L227" s="2"/>
      <c r="M227" s="2"/>
      <c r="N227" s="2"/>
      <c r="O227" s="2"/>
      <c r="P227" s="2"/>
      <c r="Q227" s="32"/>
      <c r="R227" s="32"/>
      <c r="S227" s="32"/>
      <c r="T227" s="32"/>
      <c r="U227" s="32"/>
      <c r="V227" s="32"/>
      <c r="W227" s="32"/>
      <c r="X227" s="32"/>
      <c r="Y227" s="32"/>
      <c r="Z227" s="32"/>
      <c r="AA227" s="32"/>
      <c r="AB227" s="32"/>
      <c r="AC227" s="32"/>
      <c r="AD227" s="32"/>
      <c r="AE227" s="32"/>
      <c r="AF227" s="32"/>
      <c r="AG227" s="32"/>
      <c r="AH227" s="32"/>
      <c r="AI227" s="32"/>
      <c r="AJ227" s="32"/>
      <c r="AK227" s="32"/>
      <c r="AL227" s="32"/>
      <c r="AM227" s="32"/>
      <c r="AN227" s="32"/>
      <c r="AO227" s="32"/>
      <c r="AP227" s="32"/>
      <c r="AQ227" s="32"/>
      <c r="AR227" s="32"/>
      <c r="AS227" s="32"/>
      <c r="AT227" s="32"/>
      <c r="AU227" s="1164"/>
      <c r="AV227" s="1164"/>
      <c r="AW227" s="1164"/>
      <c r="AX227" s="1164"/>
      <c r="AY227" s="1164"/>
      <c r="AZ227" s="1164"/>
      <c r="BA227" s="1164"/>
      <c r="BB227" s="1164"/>
      <c r="BC227" s="1164"/>
      <c r="BD227" s="1164"/>
      <c r="BE227" s="1164"/>
      <c r="BF227" s="1164"/>
      <c r="BG227" s="1164"/>
      <c r="BH227" s="1164"/>
      <c r="BI227" s="1164"/>
      <c r="BJ227" s="1164"/>
      <c r="BK227" s="1164"/>
      <c r="BL227" s="1164"/>
      <c r="BM227" s="1164"/>
      <c r="BN227" s="1164"/>
      <c r="BO227" s="1164"/>
      <c r="BP227" s="1164"/>
      <c r="BQ227" s="1164"/>
      <c r="BR227" s="1164"/>
      <c r="BS227" s="1164"/>
      <c r="BT227" s="1239"/>
      <c r="BU227" s="1164"/>
      <c r="BV227" s="1164"/>
      <c r="BW227" s="1164"/>
      <c r="BX227" s="1164"/>
      <c r="BY227" s="1164"/>
      <c r="BZ227" s="1164"/>
      <c r="CA227" s="1164"/>
      <c r="CB227" s="1164"/>
      <c r="CC227" s="1164"/>
      <c r="CD227" s="1164"/>
      <c r="CE227" s="1164"/>
      <c r="CF227" s="1164"/>
      <c r="CG227" s="1164"/>
      <c r="CH227" s="1164"/>
      <c r="CI227" s="1164"/>
      <c r="CJ227" s="1164"/>
      <c r="CK227" s="1164"/>
      <c r="CL227" s="1164"/>
      <c r="CM227" s="1164"/>
      <c r="CN227" s="1164"/>
      <c r="CO227" s="1164"/>
      <c r="CP227" s="1164"/>
      <c r="CQ227" s="1164"/>
      <c r="CR227" s="1164"/>
      <c r="CS227" s="1164"/>
      <c r="CT227" s="1164"/>
      <c r="CU227" s="1164"/>
      <c r="CV227" s="1164"/>
      <c r="CW227" s="1164"/>
      <c r="CX227" s="1164"/>
      <c r="CY227" s="1164"/>
      <c r="CZ227" s="1164"/>
      <c r="DA227" s="1164"/>
      <c r="DB227" s="1240"/>
      <c r="DC227" s="1164"/>
      <c r="DD227" s="1164"/>
      <c r="DE227" s="1165"/>
      <c r="DF227" s="1164"/>
      <c r="DG227" s="1164"/>
      <c r="DH227" s="1165"/>
      <c r="DI227" s="1164"/>
      <c r="DJ227" s="1164"/>
      <c r="DK227" s="1165"/>
      <c r="DL227" s="1164"/>
      <c r="DM227" s="1164"/>
      <c r="DN227" s="1165"/>
      <c r="DO227" s="1164"/>
      <c r="DP227" s="1164"/>
      <c r="DQ227" s="1241"/>
      <c r="DR227" s="1164"/>
      <c r="DS227" s="1164"/>
      <c r="DT227" s="1165"/>
      <c r="DU227" s="1164"/>
      <c r="DV227" s="1164"/>
      <c r="DW227" s="1165"/>
      <c r="DX227" s="1164"/>
      <c r="DY227" s="1164"/>
      <c r="DZ227" s="1165"/>
      <c r="EA227" s="1164"/>
      <c r="EB227" s="1164"/>
      <c r="EC227" s="1165"/>
      <c r="ED227" s="1164"/>
      <c r="EE227" s="1164"/>
      <c r="EF227" s="1165"/>
      <c r="EG227" s="1164"/>
      <c r="EH227" s="1164"/>
      <c r="EI227" s="1165"/>
      <c r="EJ227" s="1164"/>
      <c r="EK227" s="1164"/>
      <c r="EL227" s="1165"/>
      <c r="EM227" s="1164"/>
      <c r="EN227" s="1164"/>
      <c r="EO227" s="1165"/>
      <c r="EP227" s="1164"/>
      <c r="EQ227" s="1164"/>
      <c r="ER227" s="1165"/>
      <c r="ES227" s="1164"/>
      <c r="ET227" s="1164"/>
      <c r="EU227" s="1165"/>
      <c r="EV227" s="1164"/>
      <c r="EW227" s="1164"/>
      <c r="EX227" s="1165"/>
      <c r="EY227" s="1164"/>
      <c r="EZ227" s="1164"/>
      <c r="FA227" s="1165"/>
      <c r="FD227"/>
      <c r="FE227"/>
      <c r="FF227"/>
      <c r="FG227"/>
      <c r="FH227"/>
      <c r="FI227"/>
    </row>
    <row r="228" spans="1:165" s="33" customFormat="1" ht="13.5" thickBot="1">
      <c r="B228" s="1140" t="s">
        <v>524</v>
      </c>
      <c r="C228" s="2"/>
      <c r="D228" s="2" t="s">
        <v>506</v>
      </c>
      <c r="E228" s="1172"/>
      <c r="F228" s="32">
        <f t="shared" ref="F228:F242" si="554">+G228</f>
        <v>0</v>
      </c>
      <c r="G228" s="1231"/>
      <c r="H228" s="1174"/>
      <c r="I228" s="32">
        <f t="shared" ref="I228:I242" si="555">+J228</f>
        <v>0</v>
      </c>
      <c r="J228" s="1231"/>
      <c r="K228" s="1174"/>
      <c r="L228" s="32">
        <f t="shared" ref="L228:L242" si="556">+M228</f>
        <v>0</v>
      </c>
      <c r="M228" s="1231"/>
      <c r="N228" s="1174"/>
      <c r="O228" s="32">
        <f t="shared" ref="O228:O242" si="557">+P228</f>
        <v>0</v>
      </c>
      <c r="P228" s="1231"/>
      <c r="Q228" s="1174"/>
      <c r="R228" s="32">
        <f t="shared" ref="R228:R242" si="558">+S228</f>
        <v>0</v>
      </c>
      <c r="S228" s="1231"/>
      <c r="T228" s="1174"/>
      <c r="U228" s="32">
        <f t="shared" ref="U228:U242" si="559">+V228</f>
        <v>0</v>
      </c>
      <c r="V228" s="1231"/>
      <c r="W228" s="1174"/>
      <c r="X228" s="32">
        <f t="shared" ref="X228:X242" si="560">+Y228</f>
        <v>0</v>
      </c>
      <c r="Y228" s="1231"/>
      <c r="Z228" s="1174"/>
      <c r="AA228" s="32">
        <f t="shared" ref="AA228:AA242" si="561">+AB228</f>
        <v>0</v>
      </c>
      <c r="AB228" s="1231"/>
      <c r="AC228" s="1174"/>
      <c r="AD228" s="32">
        <f t="shared" ref="AD228:AD242" si="562">+AE228</f>
        <v>0</v>
      </c>
      <c r="AE228" s="1231"/>
      <c r="AF228" s="1174"/>
      <c r="AG228" s="32">
        <f t="shared" ref="AG228:AG242" si="563">+AH228</f>
        <v>0</v>
      </c>
      <c r="AH228" s="1231"/>
      <c r="AI228" s="1174"/>
      <c r="AJ228" s="32">
        <f t="shared" ref="AJ228:AJ242" si="564">+AK228</f>
        <v>0</v>
      </c>
      <c r="AK228" s="1231"/>
      <c r="AL228" s="1174"/>
      <c r="AM228" s="32">
        <f t="shared" ref="AM228:AM242" si="565">+AN228</f>
        <v>0</v>
      </c>
      <c r="AN228" s="1231"/>
      <c r="AO228" s="1174"/>
      <c r="AP228" s="32">
        <f t="shared" ref="AP228:AP242" si="566">+AQ228</f>
        <v>0</v>
      </c>
      <c r="AQ228" s="1231"/>
      <c r="AR228" s="1174"/>
      <c r="AS228" s="32">
        <f t="shared" ref="AS228:AS242" si="567">+AT228</f>
        <v>0</v>
      </c>
      <c r="AT228" s="1231"/>
      <c r="AU228" s="1174"/>
      <c r="AV228" s="32">
        <f t="shared" ref="AV228:AV242" si="568">+AW228</f>
        <v>0</v>
      </c>
      <c r="AW228" s="1231"/>
      <c r="AX228" s="1174"/>
      <c r="AY228" s="32">
        <f t="shared" ref="AY228:AY242" si="569">+AZ228</f>
        <v>0</v>
      </c>
      <c r="AZ228" s="1231"/>
      <c r="BA228" s="1174"/>
      <c r="BB228" s="32">
        <f t="shared" ref="BB228:BB242" si="570">+BC228</f>
        <v>0</v>
      </c>
      <c r="BC228" s="1231"/>
      <c r="BD228" s="1174"/>
      <c r="BE228" s="32">
        <f t="shared" ref="BE228:BE242" si="571">+BF228</f>
        <v>0</v>
      </c>
      <c r="BF228" s="1231"/>
      <c r="BG228" s="1174"/>
      <c r="BH228" s="32">
        <f t="shared" ref="BH228:BH242" si="572">+BI228</f>
        <v>0</v>
      </c>
      <c r="BI228" s="1231"/>
      <c r="BJ228" s="1174"/>
      <c r="BK228" s="32">
        <f t="shared" ref="BK228:BK242" si="573">+BL228</f>
        <v>0</v>
      </c>
      <c r="BL228" s="1231"/>
      <c r="BM228" s="1174"/>
      <c r="BN228" s="32">
        <f t="shared" ref="BN228:BN242" si="574">+BO228</f>
        <v>0</v>
      </c>
      <c r="BO228" s="1231"/>
      <c r="BP228" s="1174"/>
      <c r="BQ228" s="32">
        <f t="shared" ref="BQ228:BQ242" si="575">+BR228</f>
        <v>0</v>
      </c>
      <c r="BR228" s="1231"/>
      <c r="BS228" s="1174"/>
      <c r="BT228" s="32">
        <f t="shared" ref="BT228:BT242" si="576">+BU228</f>
        <v>0</v>
      </c>
      <c r="BU228" s="1231"/>
      <c r="BV228" s="1174"/>
      <c r="BW228" s="32">
        <f t="shared" ref="BW228:BW242" si="577">+BX228</f>
        <v>675</v>
      </c>
      <c r="BX228" s="1233">
        <v>675</v>
      </c>
      <c r="BY228" s="1174"/>
      <c r="BZ228" s="32">
        <f t="shared" ref="BZ228:BZ242" si="578">+CA228</f>
        <v>2051</v>
      </c>
      <c r="CA228" s="1233">
        <v>2051</v>
      </c>
      <c r="CB228" s="1174"/>
      <c r="CC228" s="32">
        <f t="shared" ref="CC228:CC242" si="579">+CD228</f>
        <v>853</v>
      </c>
      <c r="CD228" s="1233">
        <v>853</v>
      </c>
      <c r="CE228" s="1174"/>
      <c r="CF228" s="32">
        <f t="shared" ref="CF228:CF242" si="580">+CG228</f>
        <v>515</v>
      </c>
      <c r="CG228" s="1233">
        <v>515</v>
      </c>
      <c r="CH228" s="1180">
        <v>1299.57</v>
      </c>
      <c r="CI228" s="32">
        <f t="shared" ref="CI228:CI242" si="581">+CJ228</f>
        <v>1155.0999999999999</v>
      </c>
      <c r="CJ228" s="1233">
        <v>1155.0999999999999</v>
      </c>
      <c r="CK228" s="1180">
        <v>762.2</v>
      </c>
      <c r="CL228" s="32">
        <f t="shared" ref="CL228:CL242" si="582">+CM228</f>
        <v>762.2</v>
      </c>
      <c r="CM228" s="1233">
        <v>762.2</v>
      </c>
      <c r="CN228" s="1180">
        <v>694</v>
      </c>
      <c r="CO228" s="32">
        <f t="shared" ref="CO228:CO242" si="583">+CP228</f>
        <v>608.70000000000005</v>
      </c>
      <c r="CP228" s="1233">
        <v>608.70000000000005</v>
      </c>
      <c r="CQ228" s="1180">
        <v>1060.5999999999999</v>
      </c>
      <c r="CR228" s="32">
        <f t="shared" ref="CR228:CR242" si="584">+CS228</f>
        <v>556.79999999999995</v>
      </c>
      <c r="CS228" s="1233">
        <v>556.79999999999995</v>
      </c>
      <c r="CT228" s="1180">
        <v>1092</v>
      </c>
      <c r="CU228" s="32">
        <f t="shared" ref="CU228:CU242" si="585">+CV228</f>
        <v>556.6</v>
      </c>
      <c r="CV228" s="1233">
        <v>556.6</v>
      </c>
      <c r="CW228" s="1180">
        <v>884.5</v>
      </c>
      <c r="CX228" s="32">
        <f t="shared" ref="CX228:CX242" si="586">+CY228</f>
        <v>844.5</v>
      </c>
      <c r="CY228" s="1233">
        <v>844.5</v>
      </c>
      <c r="CZ228" s="1174">
        <v>849.6</v>
      </c>
      <c r="DA228" s="32">
        <f t="shared" ref="DA228:DA242" si="587">+DB228</f>
        <v>814.7</v>
      </c>
      <c r="DB228" s="1233">
        <v>814.7</v>
      </c>
      <c r="DC228" s="1174">
        <v>665.8</v>
      </c>
      <c r="DD228" s="32">
        <f t="shared" ref="DD228:DD242" si="588">+DE228</f>
        <v>657.8</v>
      </c>
      <c r="DE228" s="1555">
        <v>657.8</v>
      </c>
      <c r="DF228" s="1552">
        <v>669.2</v>
      </c>
      <c r="DG228" s="1530">
        <f t="shared" ref="DG228:DG242" si="589">+DH228</f>
        <v>1194.4000000000001</v>
      </c>
      <c r="DH228" s="1557">
        <v>1194.4000000000001</v>
      </c>
      <c r="DI228" s="1554">
        <v>2423.4</v>
      </c>
      <c r="DJ228" s="1530">
        <f t="shared" ref="DJ228:DJ242" si="590">+DK228</f>
        <v>1808.8</v>
      </c>
      <c r="DK228" s="1557">
        <v>1808.8</v>
      </c>
      <c r="DL228" s="1530">
        <v>6334.3</v>
      </c>
      <c r="DM228" s="1530">
        <f t="shared" ref="DM228:DM242" si="591">+DN228</f>
        <v>10436.4</v>
      </c>
      <c r="DN228" s="1531">
        <v>10436.4</v>
      </c>
      <c r="DO228" s="1558">
        <v>1507.9</v>
      </c>
      <c r="DP228" s="1530">
        <f t="shared" ref="DP228:DP242" si="592">+DQ228</f>
        <v>1548</v>
      </c>
      <c r="DQ228" s="1532">
        <v>1548</v>
      </c>
      <c r="DR228" s="1558">
        <v>1017</v>
      </c>
      <c r="DS228" s="1530">
        <f t="shared" ref="DS228:DS242" si="593">+DT228</f>
        <v>1657</v>
      </c>
      <c r="DT228" s="1532">
        <v>1657</v>
      </c>
      <c r="DU228" s="1558">
        <v>1524</v>
      </c>
      <c r="DV228" s="1530">
        <f t="shared" ref="DV228:DV242" si="594">+DW228</f>
        <v>2157</v>
      </c>
      <c r="DW228" s="1532">
        <v>2157</v>
      </c>
      <c r="DX228" s="1558">
        <v>1145</v>
      </c>
      <c r="DY228" s="32">
        <f t="shared" ref="DY228:DY242" si="595">+DZ228</f>
        <v>1693.8448043893834</v>
      </c>
      <c r="DZ228" s="1061">
        <f>IF(DZ5="A","",+DX228+DY214+DY456)</f>
        <v>1693.8448043893834</v>
      </c>
      <c r="EA228" s="32">
        <f>IF(EA5="A","",+DZ228+EA214+EA456)</f>
        <v>1708.5996312835155</v>
      </c>
      <c r="EB228" s="32">
        <f t="shared" ref="EB228:EB242" si="596">+EC228</f>
        <v>2039.2668527056489</v>
      </c>
      <c r="EC228" s="1061">
        <f>IF(EC5="A","",+DZ228+EC214+EC456)</f>
        <v>2039.2668527056489</v>
      </c>
      <c r="ED228" s="32">
        <f>IF(ED5="A","",+EC228+ED214+ED456)</f>
        <v>2288.1411425581846</v>
      </c>
      <c r="EE228" s="32">
        <f t="shared" ref="EE228:EE242" si="597">+EF228</f>
        <v>2516.1858291228245</v>
      </c>
      <c r="EF228" s="1061">
        <f>IF(EF5="A","",+EC228+EF214+EF456)</f>
        <v>2516.1858291228245</v>
      </c>
      <c r="EG228" s="32">
        <f>IF(EG5="A","",+EF228+EG214+EG456)</f>
        <v>3260.0856963591109</v>
      </c>
      <c r="EH228" s="32">
        <f t="shared" ref="EH228:EH242" si="598">+EI228</f>
        <v>3918.584236996795</v>
      </c>
      <c r="EI228" s="1061">
        <f>IF(EI5="A","",+EF228+EI214+EI456)</f>
        <v>3918.584236996795</v>
      </c>
      <c r="EJ228" s="32">
        <f>IF(EJ5="A","",+EI228+EJ214+EJ456)</f>
        <v>4909.6864604442417</v>
      </c>
      <c r="EK228" s="32">
        <f t="shared" ref="EK228:EK242" si="599">+EL228</f>
        <v>5700.3784634481472</v>
      </c>
      <c r="EL228" s="1061">
        <f>IF(EL5="A","",+EI228+EL214+EL456)</f>
        <v>5700.3784634481472</v>
      </c>
      <c r="EM228" s="32">
        <f>IF(EM5="A","",+EL228+EM214+EM456)</f>
        <v>7033.9524705910972</v>
      </c>
      <c r="EN228" s="32">
        <f t="shared" ref="EN228:EN242" si="600">+EO228</f>
        <v>7992.1357784932643</v>
      </c>
      <c r="EO228" s="1061">
        <f>IF(EO5="A","",+EL228+EO214+EO456)</f>
        <v>7992.1357784932643</v>
      </c>
      <c r="EP228" s="32">
        <f>IF(EP5="A","",+EO228+EP214+EP456)</f>
        <v>9486.0309379527553</v>
      </c>
      <c r="EQ228" s="32">
        <f t="shared" ref="EQ228:EQ242" si="601">+ER228</f>
        <v>10527.731703990437</v>
      </c>
      <c r="ER228" s="1061">
        <f>IF(ER5="A","",+EO228+ER214+ER456)</f>
        <v>10527.731703990437</v>
      </c>
      <c r="ES228" s="32">
        <f>IF(ES5="A","",+ER228+ES214+ES456)</f>
        <v>12156.822196506253</v>
      </c>
      <c r="ET228" s="32">
        <f t="shared" ref="ET228:ET242" si="602">+EU228</f>
        <v>13267.683891055469</v>
      </c>
      <c r="EU228" s="1061">
        <f>IF(EU5="A","",+ER228+EU214+EU456)</f>
        <v>13267.683891055469</v>
      </c>
      <c r="EV228" s="32">
        <f>IF(EV5="A","",+EU228+EV214+EV456)</f>
        <v>15028.346327372794</v>
      </c>
      <c r="EW228" s="32">
        <f t="shared" ref="EW228:EW242" si="603">+EX228</f>
        <v>16184.963827560547</v>
      </c>
      <c r="EX228" s="1061">
        <f>IF(EX5="A","",+EU228+EX214+EX456)</f>
        <v>16184.963827560547</v>
      </c>
      <c r="EY228" s="32">
        <f>IF(EY5="A","",+EX228+EY214+EY456)</f>
        <v>18106.961091031379</v>
      </c>
      <c r="EZ228" s="32">
        <f t="shared" ref="EZ228:EZ242" si="604">+FA228</f>
        <v>19310.438605073738</v>
      </c>
      <c r="FA228" s="1061">
        <f>IF(FA5="A","",+EX228+FA214+FA456)</f>
        <v>19310.438605073738</v>
      </c>
      <c r="FB228" s="1243"/>
      <c r="FD228"/>
      <c r="FE228"/>
      <c r="FF228"/>
      <c r="FG228"/>
      <c r="FH228"/>
      <c r="FI228"/>
    </row>
    <row r="229" spans="1:165" s="33" customFormat="1" ht="13.5" thickBot="1">
      <c r="B229" s="54" t="s">
        <v>525</v>
      </c>
      <c r="C229" s="2"/>
      <c r="D229" s="2" t="s">
        <v>506</v>
      </c>
      <c r="E229" s="32">
        <f>+SUM(E230:E232)</f>
        <v>0</v>
      </c>
      <c r="F229" s="32">
        <f t="shared" si="554"/>
        <v>0</v>
      </c>
      <c r="G229" s="32">
        <f>+SUM(G230:G232)</f>
        <v>0</v>
      </c>
      <c r="H229" s="32">
        <f>+SUM(H230:H232)</f>
        <v>0</v>
      </c>
      <c r="I229" s="32">
        <f t="shared" si="555"/>
        <v>0</v>
      </c>
      <c r="J229" s="32">
        <f>+SUM(J230:J232)</f>
        <v>0</v>
      </c>
      <c r="K229" s="32">
        <f>+SUM(K230:K232)</f>
        <v>0</v>
      </c>
      <c r="L229" s="32">
        <f t="shared" si="556"/>
        <v>0</v>
      </c>
      <c r="M229" s="32">
        <f>+SUM(M230:M232)</f>
        <v>0</v>
      </c>
      <c r="N229" s="32">
        <f>+SUM(N230:N232)</f>
        <v>0</v>
      </c>
      <c r="O229" s="32">
        <f t="shared" si="557"/>
        <v>0</v>
      </c>
      <c r="P229" s="32">
        <f>+SUM(P230:P232)</f>
        <v>0</v>
      </c>
      <c r="Q229" s="32">
        <f>+SUM(Q230:Q232)</f>
        <v>0</v>
      </c>
      <c r="R229" s="32">
        <f t="shared" si="558"/>
        <v>0</v>
      </c>
      <c r="S229" s="32">
        <f>+SUM(S230:S232)</f>
        <v>0</v>
      </c>
      <c r="T229" s="32">
        <f>+SUM(T230:T232)</f>
        <v>0</v>
      </c>
      <c r="U229" s="32">
        <f t="shared" si="559"/>
        <v>0</v>
      </c>
      <c r="V229" s="32">
        <f>+SUM(V230:V232)</f>
        <v>0</v>
      </c>
      <c r="W229" s="32">
        <f>+SUM(W230:W232)</f>
        <v>0</v>
      </c>
      <c r="X229" s="32">
        <f t="shared" si="560"/>
        <v>0</v>
      </c>
      <c r="Y229" s="32">
        <f>+SUM(Y230:Y232)</f>
        <v>0</v>
      </c>
      <c r="Z229" s="32">
        <f>+SUM(Z230:Z232)</f>
        <v>0</v>
      </c>
      <c r="AA229" s="32">
        <f t="shared" si="561"/>
        <v>0</v>
      </c>
      <c r="AB229" s="32">
        <f>+SUM(AB230:AB232)</f>
        <v>0</v>
      </c>
      <c r="AC229" s="32">
        <f>+SUM(AC230:AC232)</f>
        <v>0</v>
      </c>
      <c r="AD229" s="32">
        <f t="shared" si="562"/>
        <v>0</v>
      </c>
      <c r="AE229" s="32">
        <f>+SUM(AE230:AE232)</f>
        <v>0</v>
      </c>
      <c r="AF229" s="32">
        <f>+SUM(AF230:AF232)</f>
        <v>0</v>
      </c>
      <c r="AG229" s="32">
        <f t="shared" si="563"/>
        <v>0</v>
      </c>
      <c r="AH229" s="32">
        <f>+SUM(AH230:AH232)</f>
        <v>0</v>
      </c>
      <c r="AI229" s="32">
        <f>+SUM(AI230:AI232)</f>
        <v>0</v>
      </c>
      <c r="AJ229" s="32">
        <f t="shared" si="564"/>
        <v>0</v>
      </c>
      <c r="AK229" s="32">
        <f>+SUM(AK230:AK232)</f>
        <v>0</v>
      </c>
      <c r="AL229" s="32">
        <f>+SUM(AL230:AL232)</f>
        <v>0</v>
      </c>
      <c r="AM229" s="32">
        <f t="shared" si="565"/>
        <v>0</v>
      </c>
      <c r="AN229" s="32">
        <f>+SUM(AN230:AN232)</f>
        <v>0</v>
      </c>
      <c r="AO229" s="32">
        <f>+SUM(AO230:AO232)</f>
        <v>0</v>
      </c>
      <c r="AP229" s="32">
        <f t="shared" si="566"/>
        <v>0</v>
      </c>
      <c r="AQ229" s="32">
        <f>+SUM(AQ230:AQ232)</f>
        <v>0</v>
      </c>
      <c r="AR229" s="32">
        <f>+SUM(AR230:AR232)</f>
        <v>0</v>
      </c>
      <c r="AS229" s="32">
        <f t="shared" si="567"/>
        <v>0</v>
      </c>
      <c r="AT229" s="32">
        <f>+SUM(AT230:AT232)</f>
        <v>0</v>
      </c>
      <c r="AU229" s="32">
        <f>+SUM(AU230:AU232)</f>
        <v>0</v>
      </c>
      <c r="AV229" s="32">
        <f t="shared" si="568"/>
        <v>0</v>
      </c>
      <c r="AW229" s="32">
        <f>+SUM(AW230:AW232)</f>
        <v>0</v>
      </c>
      <c r="AX229" s="32">
        <f>+SUM(AX230:AX232)</f>
        <v>0</v>
      </c>
      <c r="AY229" s="32">
        <f t="shared" si="569"/>
        <v>0</v>
      </c>
      <c r="AZ229" s="32">
        <f>+SUM(AZ230:AZ232)</f>
        <v>0</v>
      </c>
      <c r="BA229" s="32">
        <f>+SUM(BA230:BA232)</f>
        <v>0</v>
      </c>
      <c r="BB229" s="32">
        <f t="shared" si="570"/>
        <v>0</v>
      </c>
      <c r="BC229" s="32">
        <f>+SUM(BC230:BC232)</f>
        <v>0</v>
      </c>
      <c r="BD229" s="32">
        <f>+SUM(BD230:BD232)</f>
        <v>0</v>
      </c>
      <c r="BE229" s="32">
        <f t="shared" si="571"/>
        <v>0</v>
      </c>
      <c r="BF229" s="32">
        <f>+SUM(BF230:BF232)</f>
        <v>0</v>
      </c>
      <c r="BG229" s="32">
        <f>+SUM(BG230:BG232)</f>
        <v>0</v>
      </c>
      <c r="BH229" s="32">
        <f t="shared" si="572"/>
        <v>0</v>
      </c>
      <c r="BI229" s="32">
        <f>+SUM(BI230:BI232)</f>
        <v>0</v>
      </c>
      <c r="BJ229" s="32">
        <f>+SUM(BJ230:BJ232)</f>
        <v>0</v>
      </c>
      <c r="BK229" s="32">
        <f t="shared" si="573"/>
        <v>0</v>
      </c>
      <c r="BL229" s="32">
        <f>+SUM(BL230:BL232)</f>
        <v>0</v>
      </c>
      <c r="BM229" s="32">
        <f>+SUM(BM230:BM232)</f>
        <v>0</v>
      </c>
      <c r="BN229" s="32">
        <f t="shared" si="574"/>
        <v>0</v>
      </c>
      <c r="BO229" s="32">
        <f>+SUM(BO230:BO232)</f>
        <v>0</v>
      </c>
      <c r="BP229" s="32">
        <f>+SUM(BP230:BP232)</f>
        <v>0</v>
      </c>
      <c r="BQ229" s="32">
        <f t="shared" si="575"/>
        <v>0</v>
      </c>
      <c r="BR229" s="32">
        <f>+SUM(BR230:BR232)</f>
        <v>0</v>
      </c>
      <c r="BS229" s="32">
        <f>+SUM(BS230:BS232)</f>
        <v>0</v>
      </c>
      <c r="BT229" s="32">
        <f t="shared" si="576"/>
        <v>0</v>
      </c>
      <c r="BU229" s="32">
        <f>+SUM(BU230:BU232)</f>
        <v>0</v>
      </c>
      <c r="BV229" s="32">
        <f>+SUM(BV230:BV232)</f>
        <v>0</v>
      </c>
      <c r="BW229" s="32">
        <f t="shared" si="577"/>
        <v>682</v>
      </c>
      <c r="BX229" s="32">
        <f>+SUM(BX230:BX232)</f>
        <v>682</v>
      </c>
      <c r="BY229" s="32">
        <f>+SUM(BY230:BY232)</f>
        <v>0</v>
      </c>
      <c r="BZ229" s="32">
        <f t="shared" si="578"/>
        <v>719</v>
      </c>
      <c r="CA229" s="32">
        <f>+SUM(CA230:CA232)</f>
        <v>719</v>
      </c>
      <c r="CB229" s="32">
        <f>+SUM(CB230:CB232)</f>
        <v>0</v>
      </c>
      <c r="CC229" s="32">
        <f t="shared" si="579"/>
        <v>752</v>
      </c>
      <c r="CD229" s="32">
        <f>+SUM(CD230:CD232)</f>
        <v>752</v>
      </c>
      <c r="CE229" s="32">
        <f>+SUM(CE230:CE232)</f>
        <v>0</v>
      </c>
      <c r="CF229" s="32">
        <f t="shared" si="580"/>
        <v>869</v>
      </c>
      <c r="CG229" s="32">
        <f>+SUM(CG230:CG232)</f>
        <v>869</v>
      </c>
      <c r="CH229" s="32">
        <f>+SUM(CH230:CH232)</f>
        <v>831.13599999999997</v>
      </c>
      <c r="CI229" s="32">
        <f t="shared" si="581"/>
        <v>772.9</v>
      </c>
      <c r="CJ229" s="32">
        <f>+SUM(CJ230:CJ232)</f>
        <v>772.9</v>
      </c>
      <c r="CK229" s="32">
        <f>+SUM(CK230:CK232)</f>
        <v>850.5</v>
      </c>
      <c r="CL229" s="32">
        <f t="shared" si="582"/>
        <v>850.5</v>
      </c>
      <c r="CM229" s="32">
        <f>+SUM(CM230:CM232)</f>
        <v>850.5</v>
      </c>
      <c r="CN229" s="32">
        <f>+SUM(CN230:CN232)</f>
        <v>920.8</v>
      </c>
      <c r="CO229" s="32">
        <f t="shared" si="583"/>
        <v>953.4</v>
      </c>
      <c r="CP229" s="32">
        <f>+SUM(CP230:CP232)</f>
        <v>953.4</v>
      </c>
      <c r="CQ229" s="32">
        <f>+SUM(CQ230:CQ232)</f>
        <v>917</v>
      </c>
      <c r="CR229" s="32">
        <f t="shared" si="584"/>
        <v>1003.7</v>
      </c>
      <c r="CS229" s="32">
        <f>+SUM(CS230:CS232)</f>
        <v>1003.7</v>
      </c>
      <c r="CT229" s="32">
        <f>+SUM(CT230:CT232)</f>
        <v>1057.3</v>
      </c>
      <c r="CU229" s="32">
        <f t="shared" si="585"/>
        <v>1107.2</v>
      </c>
      <c r="CV229" s="32">
        <f>+SUM(CV230:CV232)</f>
        <v>1107.2</v>
      </c>
      <c r="CW229" s="32">
        <f>+SUM(CW230:CW232)</f>
        <v>1204.7</v>
      </c>
      <c r="CX229" s="32">
        <f t="shared" si="586"/>
        <v>1170.4000000000001</v>
      </c>
      <c r="CY229" s="32">
        <f>+SUM(CY230:CY232)</f>
        <v>1170.4000000000001</v>
      </c>
      <c r="CZ229" s="32">
        <f>+SUM(CZ230:CZ232)</f>
        <v>1636.1</v>
      </c>
      <c r="DA229" s="32">
        <f t="shared" si="587"/>
        <v>1478</v>
      </c>
      <c r="DB229" s="32">
        <f>+SUM(DB230:DB232)</f>
        <v>1478</v>
      </c>
      <c r="DC229" s="32">
        <f>+SUM(DC230:DC232)</f>
        <v>2076</v>
      </c>
      <c r="DD229" s="32">
        <f t="shared" si="588"/>
        <v>1821.7</v>
      </c>
      <c r="DE229" s="1061">
        <f>+SUM(DE230:DE232)</f>
        <v>1821.7</v>
      </c>
      <c r="DF229" s="32">
        <f>+SUM(DF230:DF232)</f>
        <v>1973.6</v>
      </c>
      <c r="DG229" s="32">
        <f t="shared" si="589"/>
        <v>1703.89</v>
      </c>
      <c r="DH229" s="1061">
        <f>+SUM(DH230:DH232)</f>
        <v>1703.89</v>
      </c>
      <c r="DI229" s="32">
        <f>+SUM(DI230:DI232)</f>
        <v>2022.3</v>
      </c>
      <c r="DJ229" s="32">
        <f t="shared" si="590"/>
        <v>1711.2</v>
      </c>
      <c r="DK229" s="1061">
        <f>+SUM(DK230:DK232)</f>
        <v>1711.2</v>
      </c>
      <c r="DL229" s="32">
        <f>+SUM(DL230:DL232)</f>
        <v>2242.6999999999998</v>
      </c>
      <c r="DM229" s="32">
        <f t="shared" si="591"/>
        <v>1657.2</v>
      </c>
      <c r="DN229" s="1061">
        <f>+SUM(DN230:DN232)</f>
        <v>1657.2</v>
      </c>
      <c r="DO229" s="32">
        <f>+SUM(DO230:DO232)</f>
        <v>2996.4</v>
      </c>
      <c r="DP229" s="32">
        <f t="shared" si="592"/>
        <v>2205</v>
      </c>
      <c r="DQ229" s="1061">
        <f>+SUM(DQ230:DQ232)</f>
        <v>2205</v>
      </c>
      <c r="DR229" s="32">
        <f>+SUM(DR230:DR232)</f>
        <v>3473</v>
      </c>
      <c r="DS229" s="32">
        <f t="shared" si="593"/>
        <v>2895</v>
      </c>
      <c r="DT229" s="1061">
        <f>+SUM(DT230:DT232)</f>
        <v>2895</v>
      </c>
      <c r="DU229" s="32">
        <f>+SUM(DU230:DU232)</f>
        <v>3606</v>
      </c>
      <c r="DV229" s="32">
        <f t="shared" si="594"/>
        <v>3141</v>
      </c>
      <c r="DW229" s="1061">
        <f>+SUM(DW230:DW232)</f>
        <v>3141</v>
      </c>
      <c r="DX229" s="32">
        <f>+SUM(DX230:DX232)</f>
        <v>4001</v>
      </c>
      <c r="DY229" s="32">
        <f t="shared" si="595"/>
        <v>3557.804827835278</v>
      </c>
      <c r="DZ229" s="1061">
        <f>+SUM(DZ230:DZ232)</f>
        <v>3557.804827835278</v>
      </c>
      <c r="EA229" s="32">
        <f>+SUM(EA230:EA232)</f>
        <v>3976.217036886118</v>
      </c>
      <c r="EB229" s="32">
        <f t="shared" si="596"/>
        <v>3755.0209216056091</v>
      </c>
      <c r="EC229" s="1061">
        <f>+SUM(EC230:EC232)</f>
        <v>3755.0209216056091</v>
      </c>
      <c r="ED229" s="32">
        <f>+SUM(ED230:ED232)</f>
        <v>4159.5210328962585</v>
      </c>
      <c r="EE229" s="32">
        <f t="shared" si="597"/>
        <v>3959.8382438836825</v>
      </c>
      <c r="EF229" s="1061">
        <f>+SUM(EF230:EF232)</f>
        <v>3959.8382438836825</v>
      </c>
      <c r="EG229" s="32">
        <f>+SUM(EG230:EG232)</f>
        <v>4402.6026641665903</v>
      </c>
      <c r="EH229" s="32">
        <f t="shared" si="598"/>
        <v>4206.7773797560385</v>
      </c>
      <c r="EI229" s="1061">
        <f>+SUM(EI230:EI232)</f>
        <v>4206.7773797560385</v>
      </c>
      <c r="EJ229" s="32">
        <f>+SUM(EJ230:EJ232)</f>
        <v>4663.1982031512471</v>
      </c>
      <c r="EK229" s="32">
        <f t="shared" si="599"/>
        <v>4473.5819680879322</v>
      </c>
      <c r="EL229" s="1061">
        <f>+SUM(EL230:EL232)</f>
        <v>4473.5819680879322</v>
      </c>
      <c r="EM229" s="32">
        <f>+SUM(EM230:EM232)</f>
        <v>4918.9323487739375</v>
      </c>
      <c r="EN229" s="32">
        <f t="shared" si="600"/>
        <v>4721.5217177588756</v>
      </c>
      <c r="EO229" s="1061">
        <f>+SUM(EO230:EO232)</f>
        <v>4721.5217177588756</v>
      </c>
      <c r="EP229" s="32">
        <f>+SUM(EP230:EP232)</f>
        <v>5185.0850795253727</v>
      </c>
      <c r="EQ229" s="32">
        <f t="shared" si="601"/>
        <v>4988.5363860920406</v>
      </c>
      <c r="ER229" s="1061">
        <f>+SUM(ER230:ER232)</f>
        <v>4988.5363860920406</v>
      </c>
      <c r="ES229" s="32">
        <f>+SUM(ES230:ES232)</f>
        <v>5473.0000125921106</v>
      </c>
      <c r="ET229" s="32">
        <f t="shared" si="602"/>
        <v>5275.0759835743056</v>
      </c>
      <c r="EU229" s="1061">
        <f>+SUM(EU230:EU232)</f>
        <v>5275.0759835743056</v>
      </c>
      <c r="EV229" s="32">
        <f>+SUM(EV230:EV232)</f>
        <v>5778.7782469130716</v>
      </c>
      <c r="EW229" s="32">
        <f t="shared" si="603"/>
        <v>5579.7694915478305</v>
      </c>
      <c r="EX229" s="1061">
        <f>+SUM(EX230:EX232)</f>
        <v>5579.7694915478305</v>
      </c>
      <c r="EY229" s="32">
        <f>+SUM(EY230:EY232)</f>
        <v>6103.5902327996109</v>
      </c>
      <c r="EZ229" s="32">
        <f t="shared" si="604"/>
        <v>5903.8186469516131</v>
      </c>
      <c r="FA229" s="1061">
        <f>+SUM(FA230:FA232)</f>
        <v>5903.8186469516131</v>
      </c>
      <c r="FB229" s="1243"/>
      <c r="FD229"/>
      <c r="FE229"/>
      <c r="FF229"/>
      <c r="FG229"/>
      <c r="FH229"/>
      <c r="FI229"/>
    </row>
    <row r="230" spans="1:165" s="33" customFormat="1" outlineLevel="1">
      <c r="B230" s="54" t="s">
        <v>526</v>
      </c>
      <c r="C230" s="2"/>
      <c r="D230" s="2" t="s">
        <v>506</v>
      </c>
      <c r="E230" s="1183"/>
      <c r="F230" s="1192">
        <f t="shared" si="554"/>
        <v>0</v>
      </c>
      <c r="G230" s="1215"/>
      <c r="H230" s="1185"/>
      <c r="I230" s="1192">
        <f t="shared" si="555"/>
        <v>0</v>
      </c>
      <c r="J230" s="1215"/>
      <c r="K230" s="1185"/>
      <c r="L230" s="1192">
        <f t="shared" si="556"/>
        <v>0</v>
      </c>
      <c r="M230" s="1215"/>
      <c r="N230" s="1185"/>
      <c r="O230" s="1192">
        <f t="shared" si="557"/>
        <v>0</v>
      </c>
      <c r="P230" s="1215"/>
      <c r="Q230" s="1185"/>
      <c r="R230" s="1192">
        <f t="shared" si="558"/>
        <v>0</v>
      </c>
      <c r="S230" s="1215"/>
      <c r="T230" s="1185"/>
      <c r="U230" s="1192">
        <f t="shared" si="559"/>
        <v>0</v>
      </c>
      <c r="V230" s="1215"/>
      <c r="W230" s="1185"/>
      <c r="X230" s="1192">
        <f t="shared" si="560"/>
        <v>0</v>
      </c>
      <c r="Y230" s="1215"/>
      <c r="Z230" s="1185"/>
      <c r="AA230" s="1192">
        <f t="shared" si="561"/>
        <v>0</v>
      </c>
      <c r="AB230" s="1215"/>
      <c r="AC230" s="1185"/>
      <c r="AD230" s="1192">
        <f t="shared" si="562"/>
        <v>0</v>
      </c>
      <c r="AE230" s="1215"/>
      <c r="AF230" s="1185"/>
      <c r="AG230" s="1192">
        <f t="shared" si="563"/>
        <v>0</v>
      </c>
      <c r="AH230" s="1215"/>
      <c r="AI230" s="1185"/>
      <c r="AJ230" s="1192">
        <f t="shared" si="564"/>
        <v>0</v>
      </c>
      <c r="AK230" s="1215"/>
      <c r="AL230" s="1185"/>
      <c r="AM230" s="1192">
        <f t="shared" si="565"/>
        <v>0</v>
      </c>
      <c r="AN230" s="1215"/>
      <c r="AO230" s="1185"/>
      <c r="AP230" s="1192">
        <f t="shared" si="566"/>
        <v>0</v>
      </c>
      <c r="AQ230" s="1215"/>
      <c r="AR230" s="1185"/>
      <c r="AS230" s="1192">
        <f t="shared" si="567"/>
        <v>0</v>
      </c>
      <c r="AT230" s="1215"/>
      <c r="AU230" s="1185"/>
      <c r="AV230" s="1192">
        <f t="shared" si="568"/>
        <v>0</v>
      </c>
      <c r="AW230" s="1215"/>
      <c r="AX230" s="1185"/>
      <c r="AY230" s="1192">
        <f t="shared" si="569"/>
        <v>0</v>
      </c>
      <c r="AZ230" s="1215"/>
      <c r="BA230" s="1185"/>
      <c r="BB230" s="1192">
        <f t="shared" si="570"/>
        <v>0</v>
      </c>
      <c r="BC230" s="1215"/>
      <c r="BD230" s="1185"/>
      <c r="BE230" s="1192">
        <f t="shared" si="571"/>
        <v>0</v>
      </c>
      <c r="BF230" s="1215"/>
      <c r="BG230" s="1185"/>
      <c r="BH230" s="1192">
        <f t="shared" si="572"/>
        <v>0</v>
      </c>
      <c r="BI230" s="1215"/>
      <c r="BJ230" s="1185"/>
      <c r="BK230" s="1192">
        <f t="shared" si="573"/>
        <v>0</v>
      </c>
      <c r="BL230" s="1215"/>
      <c r="BM230" s="1185"/>
      <c r="BN230" s="1192">
        <f t="shared" si="574"/>
        <v>0</v>
      </c>
      <c r="BO230" s="1215"/>
      <c r="BP230" s="1185"/>
      <c r="BQ230" s="1192">
        <f t="shared" si="575"/>
        <v>0</v>
      </c>
      <c r="BR230" s="1215"/>
      <c r="BS230" s="1185"/>
      <c r="BT230" s="1192">
        <f t="shared" si="576"/>
        <v>0</v>
      </c>
      <c r="BU230" s="1215"/>
      <c r="BV230" s="1185"/>
      <c r="BW230" s="1192">
        <f t="shared" si="577"/>
        <v>682</v>
      </c>
      <c r="BX230" s="1244">
        <v>682</v>
      </c>
      <c r="BY230" s="1185"/>
      <c r="BZ230" s="1192">
        <f t="shared" si="578"/>
        <v>719</v>
      </c>
      <c r="CA230" s="1245">
        <v>719</v>
      </c>
      <c r="CB230" s="1185"/>
      <c r="CC230" s="1192">
        <f t="shared" si="579"/>
        <v>752</v>
      </c>
      <c r="CD230" s="1244">
        <v>752</v>
      </c>
      <c r="CE230" s="1185"/>
      <c r="CF230" s="1192">
        <f t="shared" si="580"/>
        <v>869</v>
      </c>
      <c r="CG230" s="1244">
        <v>869</v>
      </c>
      <c r="CH230" s="1198">
        <v>831.13599999999997</v>
      </c>
      <c r="CI230" s="1192">
        <f t="shared" si="581"/>
        <v>772.9</v>
      </c>
      <c r="CJ230" s="1244">
        <v>772.9</v>
      </c>
      <c r="CK230" s="1198">
        <v>850.5</v>
      </c>
      <c r="CL230" s="1192">
        <f t="shared" si="582"/>
        <v>850.5</v>
      </c>
      <c r="CM230" s="1244">
        <v>850.5</v>
      </c>
      <c r="CN230" s="1198">
        <v>920.8</v>
      </c>
      <c r="CO230" s="1192">
        <f t="shared" si="583"/>
        <v>953.4</v>
      </c>
      <c r="CP230" s="1244">
        <v>953.4</v>
      </c>
      <c r="CQ230" s="1198">
        <v>917</v>
      </c>
      <c r="CR230" s="1192">
        <f t="shared" si="584"/>
        <v>1003.7</v>
      </c>
      <c r="CS230" s="1244">
        <v>1003.7</v>
      </c>
      <c r="CT230" s="1198">
        <v>1057.3</v>
      </c>
      <c r="CU230" s="1192">
        <f t="shared" si="585"/>
        <v>1107.2</v>
      </c>
      <c r="CV230" s="1244">
        <v>1107.2</v>
      </c>
      <c r="CW230" s="1198">
        <v>1204.7</v>
      </c>
      <c r="CX230" s="1192">
        <f t="shared" si="586"/>
        <v>1170.4000000000001</v>
      </c>
      <c r="CY230" s="1244">
        <v>1170.4000000000001</v>
      </c>
      <c r="CZ230" s="1185">
        <v>1636.1</v>
      </c>
      <c r="DA230" s="1192">
        <f t="shared" si="587"/>
        <v>1478</v>
      </c>
      <c r="DB230" s="1244">
        <v>1478</v>
      </c>
      <c r="DC230" s="1185">
        <v>2076</v>
      </c>
      <c r="DD230" s="1192">
        <f t="shared" si="588"/>
        <v>1821.7</v>
      </c>
      <c r="DE230" s="1560">
        <v>1821.7</v>
      </c>
      <c r="DF230" s="1561">
        <v>1973.6</v>
      </c>
      <c r="DG230" s="1542">
        <f t="shared" si="589"/>
        <v>1703.89</v>
      </c>
      <c r="DH230" s="1562">
        <v>1703.89</v>
      </c>
      <c r="DI230" s="1543">
        <v>2022.3</v>
      </c>
      <c r="DJ230" s="1542">
        <f t="shared" si="590"/>
        <v>1711.2</v>
      </c>
      <c r="DK230" s="1562">
        <v>1711.2</v>
      </c>
      <c r="DL230" s="1530">
        <v>2242.6999999999998</v>
      </c>
      <c r="DM230" s="1530">
        <f t="shared" si="591"/>
        <v>1657.2</v>
      </c>
      <c r="DN230" s="1531">
        <v>1657.2</v>
      </c>
      <c r="DO230" s="1558">
        <v>2996.4</v>
      </c>
      <c r="DP230" s="1530">
        <f t="shared" si="592"/>
        <v>2205</v>
      </c>
      <c r="DQ230" s="1532">
        <v>2205</v>
      </c>
      <c r="DR230" s="1558">
        <v>3473</v>
      </c>
      <c r="DS230" s="1530">
        <f t="shared" si="593"/>
        <v>2895</v>
      </c>
      <c r="DT230" s="1532">
        <v>2895</v>
      </c>
      <c r="DU230" s="1558">
        <v>3606</v>
      </c>
      <c r="DV230" s="1530">
        <f t="shared" si="594"/>
        <v>3141</v>
      </c>
      <c r="DW230" s="1532">
        <v>3141</v>
      </c>
      <c r="DX230" s="1558">
        <v>4001</v>
      </c>
      <c r="DY230" s="32">
        <f t="shared" si="595"/>
        <v>3557.804827835278</v>
      </c>
      <c r="DZ230" s="1061">
        <f>Assumptions!DZ145*DZ30</f>
        <v>3557.804827835278</v>
      </c>
      <c r="EA230" s="32">
        <f>Assumptions!EA145*(EA30*2)</f>
        <v>3976.217036886118</v>
      </c>
      <c r="EB230" s="32">
        <f t="shared" si="596"/>
        <v>3755.0209216056091</v>
      </c>
      <c r="EC230" s="1061">
        <f>Assumptions!EC145*EC30</f>
        <v>3755.0209216056091</v>
      </c>
      <c r="ED230" s="32">
        <f>Assumptions!ED145*(ED30*2)</f>
        <v>4159.5210328962585</v>
      </c>
      <c r="EE230" s="32">
        <f t="shared" si="597"/>
        <v>3959.8382438836825</v>
      </c>
      <c r="EF230" s="1061">
        <f>Assumptions!EF145*EF30</f>
        <v>3959.8382438836825</v>
      </c>
      <c r="EG230" s="32">
        <f>Assumptions!EG145*(EG30*2)</f>
        <v>4402.6026641665903</v>
      </c>
      <c r="EH230" s="32">
        <f t="shared" si="598"/>
        <v>4206.7773797560385</v>
      </c>
      <c r="EI230" s="1061">
        <f>Assumptions!EI145*EI30</f>
        <v>4206.7773797560385</v>
      </c>
      <c r="EJ230" s="32">
        <f>Assumptions!EJ145*(EJ30*2)</f>
        <v>4663.1982031512471</v>
      </c>
      <c r="EK230" s="32">
        <f t="shared" si="599"/>
        <v>4473.5819680879322</v>
      </c>
      <c r="EL230" s="1061">
        <f>Assumptions!EL145*EL30</f>
        <v>4473.5819680879322</v>
      </c>
      <c r="EM230" s="32">
        <f>Assumptions!EM145*(EM30*2)</f>
        <v>4918.9323487739375</v>
      </c>
      <c r="EN230" s="32">
        <f t="shared" si="600"/>
        <v>4721.5217177588756</v>
      </c>
      <c r="EO230" s="1061">
        <f>Assumptions!EO145*EO30</f>
        <v>4721.5217177588756</v>
      </c>
      <c r="EP230" s="32">
        <f>Assumptions!EP145*(EP30*2)</f>
        <v>5185.0850795253727</v>
      </c>
      <c r="EQ230" s="32">
        <f t="shared" si="601"/>
        <v>4988.5363860920406</v>
      </c>
      <c r="ER230" s="1061">
        <f>Assumptions!ER145*ER30</f>
        <v>4988.5363860920406</v>
      </c>
      <c r="ES230" s="32">
        <f>Assumptions!ES145*(ES30*2)</f>
        <v>5473.0000125921106</v>
      </c>
      <c r="ET230" s="32">
        <f t="shared" si="602"/>
        <v>5275.0759835743056</v>
      </c>
      <c r="EU230" s="1061">
        <f>Assumptions!EU145*EU30</f>
        <v>5275.0759835743056</v>
      </c>
      <c r="EV230" s="32">
        <f>Assumptions!EV145*(EV30*2)</f>
        <v>5778.7782469130716</v>
      </c>
      <c r="EW230" s="32">
        <f t="shared" si="603"/>
        <v>5579.7694915478305</v>
      </c>
      <c r="EX230" s="1061">
        <f>Assumptions!EX145*EX30</f>
        <v>5579.7694915478305</v>
      </c>
      <c r="EY230" s="32">
        <f>Assumptions!EY145*(EY30*2)</f>
        <v>6103.5902327996109</v>
      </c>
      <c r="EZ230" s="32">
        <f t="shared" si="604"/>
        <v>5903.8186469516131</v>
      </c>
      <c r="FA230" s="1061">
        <f>Assumptions!FA145*FA30</f>
        <v>5903.8186469516131</v>
      </c>
      <c r="FD230"/>
      <c r="FE230"/>
      <c r="FF230"/>
      <c r="FG230"/>
      <c r="FH230"/>
      <c r="FI230"/>
    </row>
    <row r="231" spans="1:165" s="33" customFormat="1" outlineLevel="1">
      <c r="B231" s="54" t="s">
        <v>94</v>
      </c>
      <c r="C231" s="2"/>
      <c r="D231" s="2" t="s">
        <v>506</v>
      </c>
      <c r="E231" s="1205"/>
      <c r="F231" s="32">
        <f t="shared" si="554"/>
        <v>0</v>
      </c>
      <c r="G231" s="1214"/>
      <c r="H231" s="1207"/>
      <c r="I231" s="32">
        <f t="shared" si="555"/>
        <v>0</v>
      </c>
      <c r="J231" s="1214"/>
      <c r="K231" s="1207"/>
      <c r="L231" s="32">
        <f t="shared" si="556"/>
        <v>0</v>
      </c>
      <c r="M231" s="1214"/>
      <c r="N231" s="1207"/>
      <c r="O231" s="32">
        <f t="shared" si="557"/>
        <v>0</v>
      </c>
      <c r="P231" s="1214"/>
      <c r="Q231" s="1207"/>
      <c r="R231" s="32">
        <f t="shared" si="558"/>
        <v>0</v>
      </c>
      <c r="S231" s="1214"/>
      <c r="T231" s="1207"/>
      <c r="U231" s="32">
        <f t="shared" si="559"/>
        <v>0</v>
      </c>
      <c r="V231" s="1214"/>
      <c r="W231" s="1207"/>
      <c r="X231" s="32">
        <f t="shared" si="560"/>
        <v>0</v>
      </c>
      <c r="Y231" s="1214"/>
      <c r="Z231" s="1207"/>
      <c r="AA231" s="32">
        <f t="shared" si="561"/>
        <v>0</v>
      </c>
      <c r="AB231" s="1214"/>
      <c r="AC231" s="1207"/>
      <c r="AD231" s="32">
        <f t="shared" si="562"/>
        <v>0</v>
      </c>
      <c r="AE231" s="1214"/>
      <c r="AF231" s="1207"/>
      <c r="AG231" s="32">
        <f t="shared" si="563"/>
        <v>0</v>
      </c>
      <c r="AH231" s="1214"/>
      <c r="AI231" s="1207"/>
      <c r="AJ231" s="32">
        <f t="shared" si="564"/>
        <v>0</v>
      </c>
      <c r="AK231" s="1214"/>
      <c r="AL231" s="1207"/>
      <c r="AM231" s="32">
        <f t="shared" si="565"/>
        <v>0</v>
      </c>
      <c r="AN231" s="1214"/>
      <c r="AO231" s="1207"/>
      <c r="AP231" s="32">
        <f t="shared" si="566"/>
        <v>0</v>
      </c>
      <c r="AQ231" s="1214"/>
      <c r="AR231" s="1207"/>
      <c r="AS231" s="32">
        <f t="shared" si="567"/>
        <v>0</v>
      </c>
      <c r="AT231" s="1214"/>
      <c r="AU231" s="1207"/>
      <c r="AV231" s="32">
        <f t="shared" si="568"/>
        <v>0</v>
      </c>
      <c r="AW231" s="1214"/>
      <c r="AX231" s="1207"/>
      <c r="AY231" s="32">
        <f t="shared" si="569"/>
        <v>0</v>
      </c>
      <c r="AZ231" s="1214"/>
      <c r="BA231" s="1207"/>
      <c r="BB231" s="32">
        <f t="shared" si="570"/>
        <v>0</v>
      </c>
      <c r="BC231" s="1214"/>
      <c r="BD231" s="1207"/>
      <c r="BE231" s="32">
        <f t="shared" si="571"/>
        <v>0</v>
      </c>
      <c r="BF231" s="1214"/>
      <c r="BG231" s="1207"/>
      <c r="BH231" s="32">
        <f t="shared" si="572"/>
        <v>0</v>
      </c>
      <c r="BI231" s="1214"/>
      <c r="BJ231" s="1207"/>
      <c r="BK231" s="32">
        <f t="shared" si="573"/>
        <v>0</v>
      </c>
      <c r="BL231" s="1214"/>
      <c r="BM231" s="1207"/>
      <c r="BN231" s="32">
        <f t="shared" si="574"/>
        <v>0</v>
      </c>
      <c r="BO231" s="1214"/>
      <c r="BP231" s="1207"/>
      <c r="BQ231" s="32">
        <f t="shared" si="575"/>
        <v>0</v>
      </c>
      <c r="BR231" s="1214"/>
      <c r="BS231" s="1207"/>
      <c r="BT231" s="32">
        <f t="shared" si="576"/>
        <v>0</v>
      </c>
      <c r="BU231" s="1214"/>
      <c r="BV231" s="1207"/>
      <c r="BW231" s="32">
        <f t="shared" si="577"/>
        <v>0</v>
      </c>
      <c r="BX231" s="1214"/>
      <c r="BY231" s="1207"/>
      <c r="BZ231" s="32">
        <f t="shared" si="578"/>
        <v>0</v>
      </c>
      <c r="CA231" s="1214"/>
      <c r="CB231" s="1207"/>
      <c r="CC231" s="32">
        <f t="shared" si="579"/>
        <v>0</v>
      </c>
      <c r="CD231" s="1214"/>
      <c r="CE231" s="1207"/>
      <c r="CF231" s="32">
        <f t="shared" si="580"/>
        <v>0</v>
      </c>
      <c r="CG231" s="1214"/>
      <c r="CH231" s="1207"/>
      <c r="CI231" s="32">
        <f t="shared" si="581"/>
        <v>0</v>
      </c>
      <c r="CJ231" s="1214"/>
      <c r="CK231" s="1207"/>
      <c r="CL231" s="32">
        <f t="shared" si="582"/>
        <v>0</v>
      </c>
      <c r="CM231" s="1214"/>
      <c r="CN231" s="1207"/>
      <c r="CO231" s="32">
        <f t="shared" si="583"/>
        <v>0</v>
      </c>
      <c r="CP231" s="1214"/>
      <c r="CQ231" s="1207"/>
      <c r="CR231" s="32">
        <f t="shared" si="584"/>
        <v>0</v>
      </c>
      <c r="CS231" s="1214"/>
      <c r="CT231" s="1207"/>
      <c r="CU231" s="32">
        <f t="shared" si="585"/>
        <v>0</v>
      </c>
      <c r="CV231" s="1214"/>
      <c r="CW231" s="1207"/>
      <c r="CX231" s="32">
        <f t="shared" si="586"/>
        <v>0</v>
      </c>
      <c r="CY231" s="1214"/>
      <c r="CZ231" s="1207"/>
      <c r="DA231" s="32">
        <f t="shared" si="587"/>
        <v>0</v>
      </c>
      <c r="DB231" s="1214">
        <v>0</v>
      </c>
      <c r="DC231" s="1207"/>
      <c r="DD231" s="32">
        <f t="shared" si="588"/>
        <v>0</v>
      </c>
      <c r="DE231" s="1219"/>
      <c r="DF231" s="1207"/>
      <c r="DG231" s="32">
        <f t="shared" si="589"/>
        <v>0</v>
      </c>
      <c r="DH231" s="1219"/>
      <c r="DI231" s="1207"/>
      <c r="DJ231" s="32">
        <f t="shared" si="590"/>
        <v>0</v>
      </c>
      <c r="DK231" s="1219"/>
      <c r="DL231" s="32"/>
      <c r="DM231" s="32">
        <f t="shared" si="591"/>
        <v>0</v>
      </c>
      <c r="DN231" s="1061"/>
      <c r="DO231" s="32"/>
      <c r="DP231" s="32">
        <f t="shared" si="592"/>
        <v>0</v>
      </c>
      <c r="DQ231" s="1061"/>
      <c r="DR231" s="32"/>
      <c r="DS231" s="32">
        <f t="shared" si="593"/>
        <v>0</v>
      </c>
      <c r="DT231" s="1061"/>
      <c r="DU231" s="32"/>
      <c r="DV231" s="32">
        <f t="shared" si="594"/>
        <v>0</v>
      </c>
      <c r="DW231" s="1061"/>
      <c r="DX231" s="32"/>
      <c r="DY231" s="32">
        <f t="shared" si="595"/>
        <v>0</v>
      </c>
      <c r="DZ231" s="1061"/>
      <c r="EA231" s="32"/>
      <c r="EB231" s="32">
        <f t="shared" si="596"/>
        <v>0</v>
      </c>
      <c r="EC231" s="1061"/>
      <c r="ED231" s="32"/>
      <c r="EE231" s="32">
        <f t="shared" si="597"/>
        <v>0</v>
      </c>
      <c r="EF231" s="1061"/>
      <c r="EG231" s="32"/>
      <c r="EH231" s="32">
        <f t="shared" si="598"/>
        <v>0</v>
      </c>
      <c r="EI231" s="1061"/>
      <c r="EJ231" s="32"/>
      <c r="EK231" s="32">
        <f t="shared" si="599"/>
        <v>0</v>
      </c>
      <c r="EL231" s="1061"/>
      <c r="EM231" s="32"/>
      <c r="EN231" s="32">
        <f t="shared" si="600"/>
        <v>0</v>
      </c>
      <c r="EO231" s="1061"/>
      <c r="EP231" s="32"/>
      <c r="EQ231" s="32">
        <f t="shared" si="601"/>
        <v>0</v>
      </c>
      <c r="ER231" s="1061"/>
      <c r="ES231" s="32"/>
      <c r="ET231" s="32">
        <f t="shared" si="602"/>
        <v>0</v>
      </c>
      <c r="EU231" s="1061"/>
      <c r="EV231" s="32"/>
      <c r="EW231" s="32">
        <f t="shared" si="603"/>
        <v>0</v>
      </c>
      <c r="EX231" s="1061"/>
      <c r="EY231" s="32"/>
      <c r="EZ231" s="32">
        <f t="shared" si="604"/>
        <v>0</v>
      </c>
      <c r="FA231" s="1061"/>
      <c r="FD231"/>
      <c r="FE231"/>
      <c r="FF231"/>
      <c r="FG231"/>
      <c r="FH231"/>
      <c r="FI231"/>
    </row>
    <row r="232" spans="1:165" s="33" customFormat="1" ht="13.5" outlineLevel="1" thickBot="1">
      <c r="B232" s="54" t="s">
        <v>95</v>
      </c>
      <c r="C232" s="2"/>
      <c r="D232" s="2" t="s">
        <v>506</v>
      </c>
      <c r="E232" s="1188"/>
      <c r="F232" s="32">
        <f t="shared" si="554"/>
        <v>0</v>
      </c>
      <c r="G232" s="1247"/>
      <c r="H232" s="1190"/>
      <c r="I232" s="32">
        <f t="shared" si="555"/>
        <v>0</v>
      </c>
      <c r="J232" s="1247"/>
      <c r="K232" s="1190"/>
      <c r="L232" s="32">
        <f t="shared" si="556"/>
        <v>0</v>
      </c>
      <c r="M232" s="1247"/>
      <c r="N232" s="1190"/>
      <c r="O232" s="32">
        <f t="shared" si="557"/>
        <v>0</v>
      </c>
      <c r="P232" s="1247"/>
      <c r="Q232" s="1190"/>
      <c r="R232" s="32">
        <f t="shared" si="558"/>
        <v>0</v>
      </c>
      <c r="S232" s="1247"/>
      <c r="T232" s="1190"/>
      <c r="U232" s="32">
        <f t="shared" si="559"/>
        <v>0</v>
      </c>
      <c r="V232" s="1247"/>
      <c r="W232" s="1190"/>
      <c r="X232" s="32">
        <f t="shared" si="560"/>
        <v>0</v>
      </c>
      <c r="Y232" s="1247"/>
      <c r="Z232" s="1190"/>
      <c r="AA232" s="32">
        <f t="shared" si="561"/>
        <v>0</v>
      </c>
      <c r="AB232" s="1247"/>
      <c r="AC232" s="1190"/>
      <c r="AD232" s="32">
        <f t="shared" si="562"/>
        <v>0</v>
      </c>
      <c r="AE232" s="1247"/>
      <c r="AF232" s="1190"/>
      <c r="AG232" s="32">
        <f t="shared" si="563"/>
        <v>0</v>
      </c>
      <c r="AH232" s="1247"/>
      <c r="AI232" s="1190"/>
      <c r="AJ232" s="32">
        <f t="shared" si="564"/>
        <v>0</v>
      </c>
      <c r="AK232" s="1247"/>
      <c r="AL232" s="1190"/>
      <c r="AM232" s="32">
        <f t="shared" si="565"/>
        <v>0</v>
      </c>
      <c r="AN232" s="1247"/>
      <c r="AO232" s="1190"/>
      <c r="AP232" s="32">
        <f t="shared" si="566"/>
        <v>0</v>
      </c>
      <c r="AQ232" s="1247"/>
      <c r="AR232" s="1190"/>
      <c r="AS232" s="32">
        <f t="shared" si="567"/>
        <v>0</v>
      </c>
      <c r="AT232" s="1247"/>
      <c r="AU232" s="1190"/>
      <c r="AV232" s="32">
        <f t="shared" si="568"/>
        <v>0</v>
      </c>
      <c r="AW232" s="1247"/>
      <c r="AX232" s="1190"/>
      <c r="AY232" s="32">
        <f t="shared" si="569"/>
        <v>0</v>
      </c>
      <c r="AZ232" s="1247"/>
      <c r="BA232" s="1190"/>
      <c r="BB232" s="32">
        <f t="shared" si="570"/>
        <v>0</v>
      </c>
      <c r="BC232" s="1247"/>
      <c r="BD232" s="1190"/>
      <c r="BE232" s="32">
        <f t="shared" si="571"/>
        <v>0</v>
      </c>
      <c r="BF232" s="1247"/>
      <c r="BG232" s="1190"/>
      <c r="BH232" s="32">
        <f t="shared" si="572"/>
        <v>0</v>
      </c>
      <c r="BI232" s="1247"/>
      <c r="BJ232" s="1190"/>
      <c r="BK232" s="32">
        <f t="shared" si="573"/>
        <v>0</v>
      </c>
      <c r="BL232" s="1247"/>
      <c r="BM232" s="1190"/>
      <c r="BN232" s="32">
        <f t="shared" si="574"/>
        <v>0</v>
      </c>
      <c r="BO232" s="1247"/>
      <c r="BP232" s="1190"/>
      <c r="BQ232" s="32">
        <f t="shared" si="575"/>
        <v>0</v>
      </c>
      <c r="BR232" s="1247"/>
      <c r="BS232" s="1190"/>
      <c r="BT232" s="32">
        <f t="shared" si="576"/>
        <v>0</v>
      </c>
      <c r="BU232" s="1247"/>
      <c r="BV232" s="1190"/>
      <c r="BW232" s="32">
        <f t="shared" si="577"/>
        <v>0</v>
      </c>
      <c r="BX232" s="1188"/>
      <c r="BY232" s="1190"/>
      <c r="BZ232" s="32">
        <f t="shared" si="578"/>
        <v>0</v>
      </c>
      <c r="CA232" s="1247"/>
      <c r="CB232" s="1190"/>
      <c r="CC232" s="32">
        <f t="shared" si="579"/>
        <v>0</v>
      </c>
      <c r="CD232" s="1188"/>
      <c r="CE232" s="1190"/>
      <c r="CF232" s="32">
        <f t="shared" si="580"/>
        <v>0</v>
      </c>
      <c r="CG232" s="1188"/>
      <c r="CH232" s="1190"/>
      <c r="CI232" s="32">
        <f t="shared" si="581"/>
        <v>0</v>
      </c>
      <c r="CJ232" s="1188"/>
      <c r="CK232" s="1190"/>
      <c r="CL232" s="32">
        <f t="shared" si="582"/>
        <v>0</v>
      </c>
      <c r="CM232" s="1188"/>
      <c r="CN232" s="1190"/>
      <c r="CO232" s="32">
        <f t="shared" si="583"/>
        <v>0</v>
      </c>
      <c r="CP232" s="1188"/>
      <c r="CQ232" s="1190"/>
      <c r="CR232" s="32">
        <f t="shared" si="584"/>
        <v>0</v>
      </c>
      <c r="CS232" s="1188"/>
      <c r="CT232" s="1190"/>
      <c r="CU232" s="32">
        <f t="shared" si="585"/>
        <v>0</v>
      </c>
      <c r="CV232" s="1188"/>
      <c r="CW232" s="1190"/>
      <c r="CX232" s="32">
        <f t="shared" si="586"/>
        <v>0</v>
      </c>
      <c r="CY232" s="1188"/>
      <c r="CZ232" s="1190"/>
      <c r="DA232" s="32">
        <f t="shared" si="587"/>
        <v>0</v>
      </c>
      <c r="DB232" s="1188">
        <v>0</v>
      </c>
      <c r="DC232" s="1190"/>
      <c r="DD232" s="32">
        <f t="shared" si="588"/>
        <v>0</v>
      </c>
      <c r="DE232" s="1248"/>
      <c r="DF232" s="1190"/>
      <c r="DG232" s="32">
        <f t="shared" si="589"/>
        <v>0</v>
      </c>
      <c r="DH232" s="1248"/>
      <c r="DI232" s="1190"/>
      <c r="DJ232" s="32">
        <f t="shared" si="590"/>
        <v>0</v>
      </c>
      <c r="DK232" s="1248"/>
      <c r="DL232" s="32"/>
      <c r="DM232" s="32">
        <f t="shared" si="591"/>
        <v>0</v>
      </c>
      <c r="DN232" s="1061"/>
      <c r="DO232" s="32"/>
      <c r="DP232" s="32">
        <f t="shared" si="592"/>
        <v>0</v>
      </c>
      <c r="DQ232" s="1061"/>
      <c r="DR232" s="32"/>
      <c r="DS232" s="32">
        <f t="shared" si="593"/>
        <v>0</v>
      </c>
      <c r="DT232" s="1061"/>
      <c r="DU232" s="32"/>
      <c r="DV232" s="32">
        <f t="shared" si="594"/>
        <v>0</v>
      </c>
      <c r="DW232" s="1061"/>
      <c r="DX232" s="32"/>
      <c r="DY232" s="32">
        <f t="shared" si="595"/>
        <v>0</v>
      </c>
      <c r="DZ232" s="1061"/>
      <c r="EA232" s="32"/>
      <c r="EB232" s="32">
        <f t="shared" si="596"/>
        <v>0</v>
      </c>
      <c r="EC232" s="1061"/>
      <c r="ED232" s="32"/>
      <c r="EE232" s="32">
        <f t="shared" si="597"/>
        <v>0</v>
      </c>
      <c r="EF232" s="1061"/>
      <c r="EG232" s="32"/>
      <c r="EH232" s="32">
        <f t="shared" si="598"/>
        <v>0</v>
      </c>
      <c r="EI232" s="1061"/>
      <c r="EJ232" s="32"/>
      <c r="EK232" s="32">
        <f t="shared" si="599"/>
        <v>0</v>
      </c>
      <c r="EL232" s="1061"/>
      <c r="EM232" s="32"/>
      <c r="EN232" s="32">
        <f t="shared" si="600"/>
        <v>0</v>
      </c>
      <c r="EO232" s="1061"/>
      <c r="EP232" s="32"/>
      <c r="EQ232" s="32">
        <f t="shared" si="601"/>
        <v>0</v>
      </c>
      <c r="ER232" s="1061"/>
      <c r="ES232" s="32"/>
      <c r="ET232" s="32">
        <f t="shared" si="602"/>
        <v>0</v>
      </c>
      <c r="EU232" s="1061"/>
      <c r="EV232" s="32"/>
      <c r="EW232" s="32">
        <f t="shared" si="603"/>
        <v>0</v>
      </c>
      <c r="EX232" s="1061"/>
      <c r="EY232" s="32"/>
      <c r="EZ232" s="32">
        <f t="shared" si="604"/>
        <v>0</v>
      </c>
      <c r="FA232" s="1061"/>
      <c r="FD232"/>
      <c r="FE232"/>
      <c r="FF232"/>
      <c r="FG232"/>
      <c r="FH232"/>
      <c r="FI232"/>
    </row>
    <row r="233" spans="1:165" s="33" customFormat="1" ht="13.5" thickBot="1">
      <c r="B233" s="1140" t="s">
        <v>96</v>
      </c>
      <c r="C233" s="2"/>
      <c r="D233" s="2" t="s">
        <v>506</v>
      </c>
      <c r="E233" s="1188"/>
      <c r="F233" s="32">
        <f t="shared" si="554"/>
        <v>0</v>
      </c>
      <c r="G233" s="1247"/>
      <c r="H233" s="1190"/>
      <c r="I233" s="32">
        <f t="shared" si="555"/>
        <v>0</v>
      </c>
      <c r="J233" s="1247"/>
      <c r="K233" s="1190"/>
      <c r="L233" s="32">
        <f t="shared" si="556"/>
        <v>0</v>
      </c>
      <c r="M233" s="1247"/>
      <c r="N233" s="1190"/>
      <c r="O233" s="32">
        <f t="shared" si="557"/>
        <v>0</v>
      </c>
      <c r="P233" s="1247"/>
      <c r="Q233" s="1190"/>
      <c r="R233" s="32">
        <f t="shared" si="558"/>
        <v>0</v>
      </c>
      <c r="S233" s="1247"/>
      <c r="T233" s="1190"/>
      <c r="U233" s="32">
        <f t="shared" si="559"/>
        <v>0</v>
      </c>
      <c r="V233" s="1247"/>
      <c r="W233" s="1190"/>
      <c r="X233" s="32">
        <f t="shared" si="560"/>
        <v>0</v>
      </c>
      <c r="Y233" s="1247"/>
      <c r="Z233" s="1190"/>
      <c r="AA233" s="32">
        <f t="shared" si="561"/>
        <v>0</v>
      </c>
      <c r="AB233" s="1247"/>
      <c r="AC233" s="1190"/>
      <c r="AD233" s="32">
        <f t="shared" si="562"/>
        <v>0</v>
      </c>
      <c r="AE233" s="1247"/>
      <c r="AF233" s="1190"/>
      <c r="AG233" s="32">
        <f t="shared" si="563"/>
        <v>0</v>
      </c>
      <c r="AH233" s="1247"/>
      <c r="AI233" s="1190"/>
      <c r="AJ233" s="32">
        <f t="shared" si="564"/>
        <v>0</v>
      </c>
      <c r="AK233" s="1247"/>
      <c r="AL233" s="1190"/>
      <c r="AM233" s="32">
        <f t="shared" si="565"/>
        <v>0</v>
      </c>
      <c r="AN233" s="1247"/>
      <c r="AO233" s="1190"/>
      <c r="AP233" s="32">
        <f t="shared" si="566"/>
        <v>0</v>
      </c>
      <c r="AQ233" s="1247"/>
      <c r="AR233" s="1190"/>
      <c r="AS233" s="32">
        <f t="shared" si="567"/>
        <v>0</v>
      </c>
      <c r="AT233" s="1247"/>
      <c r="AU233" s="1190"/>
      <c r="AV233" s="32">
        <f t="shared" si="568"/>
        <v>0</v>
      </c>
      <c r="AW233" s="1247"/>
      <c r="AX233" s="1190"/>
      <c r="AY233" s="32">
        <f t="shared" si="569"/>
        <v>0</v>
      </c>
      <c r="AZ233" s="1247"/>
      <c r="BA233" s="1190"/>
      <c r="BB233" s="32">
        <f t="shared" si="570"/>
        <v>0</v>
      </c>
      <c r="BC233" s="1247"/>
      <c r="BD233" s="1190"/>
      <c r="BE233" s="32">
        <f t="shared" si="571"/>
        <v>0</v>
      </c>
      <c r="BF233" s="1247"/>
      <c r="BG233" s="1190"/>
      <c r="BH233" s="32">
        <f t="shared" si="572"/>
        <v>0</v>
      </c>
      <c r="BI233" s="1247"/>
      <c r="BJ233" s="1190"/>
      <c r="BK233" s="32">
        <f t="shared" si="573"/>
        <v>0</v>
      </c>
      <c r="BL233" s="1247"/>
      <c r="BM233" s="1190"/>
      <c r="BN233" s="32">
        <f t="shared" si="574"/>
        <v>0</v>
      </c>
      <c r="BO233" s="1247"/>
      <c r="BP233" s="1190"/>
      <c r="BQ233" s="32">
        <f t="shared" si="575"/>
        <v>0</v>
      </c>
      <c r="BR233" s="1247"/>
      <c r="BS233" s="1190"/>
      <c r="BT233" s="32">
        <f t="shared" si="576"/>
        <v>0</v>
      </c>
      <c r="BU233" s="1247"/>
      <c r="BV233" s="1190"/>
      <c r="BW233" s="32" t="str">
        <f t="shared" si="577"/>
        <v/>
      </c>
      <c r="BX233" s="1188" t="str">
        <f>IF(BX5="A","",BU233-BX196-BX193-BX458)</f>
        <v/>
      </c>
      <c r="BY233" s="1190"/>
      <c r="BZ233" s="32" t="str">
        <f t="shared" si="578"/>
        <v/>
      </c>
      <c r="CA233" s="1188" t="str">
        <f>IF(CA5="A","",BX233-CA196-CA193-CA458)</f>
        <v/>
      </c>
      <c r="CB233" s="1190"/>
      <c r="CC233" s="32" t="str">
        <f t="shared" si="579"/>
        <v/>
      </c>
      <c r="CD233" s="1188" t="str">
        <f>IF(CD5="A","",CA233-CD196-CD193-CD458)</f>
        <v/>
      </c>
      <c r="CE233" s="1190"/>
      <c r="CF233" s="32" t="str">
        <f t="shared" si="580"/>
        <v/>
      </c>
      <c r="CG233" s="1188" t="str">
        <f>IF(CG5="A","",CD233-CG196-CG193-CG458)</f>
        <v/>
      </c>
      <c r="CH233" s="1190" t="str">
        <f>IF(CH5="A","",CG233-CH196-CH193-CH458)</f>
        <v/>
      </c>
      <c r="CI233" s="32" t="str">
        <f t="shared" si="581"/>
        <v/>
      </c>
      <c r="CJ233" s="1188" t="str">
        <f>IF(CJ5="A","",CG233-CJ196-CJ193-CJ458)</f>
        <v/>
      </c>
      <c r="CK233" s="1190" t="str">
        <f>IF(CK5="A","",CJ233-CK196-CK193-CK458)</f>
        <v/>
      </c>
      <c r="CL233" s="32" t="str">
        <f t="shared" si="582"/>
        <v/>
      </c>
      <c r="CM233" s="1188" t="str">
        <f>IF(CM5="A","",CJ233-CM196-CM193-CM458)</f>
        <v/>
      </c>
      <c r="CN233" s="1190" t="str">
        <f>IF(CN5="A","",CM233-CN196-CN193-CN458)</f>
        <v/>
      </c>
      <c r="CO233" s="32" t="str">
        <f t="shared" si="583"/>
        <v/>
      </c>
      <c r="CP233" s="1188" t="str">
        <f>IF(CP5="A","",CM233-CP196-CP193-CP458)</f>
        <v/>
      </c>
      <c r="CQ233" s="1190" t="str">
        <f>IF(CQ5="A","",CP233-CQ196-CQ193-CQ458)</f>
        <v/>
      </c>
      <c r="CR233" s="32" t="str">
        <f t="shared" si="584"/>
        <v/>
      </c>
      <c r="CS233" s="1188" t="str">
        <f>IF(CS5="A","",CP233-CS196-CS193-CS458)</f>
        <v/>
      </c>
      <c r="CT233" s="1190" t="str">
        <f>IF(CT5="A","",CS233-CT196-CT193-CT458)</f>
        <v/>
      </c>
      <c r="CU233" s="32" t="str">
        <f t="shared" si="585"/>
        <v/>
      </c>
      <c r="CV233" s="1188" t="str">
        <f>IF(CV5="A","",CS233-CV196-CV193-CV458)</f>
        <v/>
      </c>
      <c r="CW233" s="1190" t="str">
        <f>IF(CW5="A","",CV233-CW196-CW193-CW458)</f>
        <v/>
      </c>
      <c r="CX233" s="32" t="str">
        <f t="shared" si="586"/>
        <v/>
      </c>
      <c r="CY233" s="1188" t="str">
        <f>IF(CY5="A","",CV233-CY196-CY193-CY458)</f>
        <v/>
      </c>
      <c r="CZ233" s="1190">
        <f>(CY233-CZ196-CZ193-CZ458)</f>
        <v>0</v>
      </c>
      <c r="DA233" s="32">
        <f t="shared" si="587"/>
        <v>0</v>
      </c>
      <c r="DB233" s="1188">
        <v>0</v>
      </c>
      <c r="DC233" s="1190" t="str">
        <f>IF(DC5="A","",DB233-DC196-DC193-DC458)</f>
        <v/>
      </c>
      <c r="DD233" s="32" t="str">
        <f t="shared" si="588"/>
        <v/>
      </c>
      <c r="DE233" s="1248" t="str">
        <f>IF(DE5="A","",DB233-DE196-DE193-DE458)</f>
        <v/>
      </c>
      <c r="DF233" s="1190" t="str">
        <f>IF(DF5="A","",DE233-DF196-DF193-DF458)</f>
        <v/>
      </c>
      <c r="DG233" s="32" t="str">
        <f t="shared" si="589"/>
        <v/>
      </c>
      <c r="DH233" s="1248" t="str">
        <f>IF(DH5="A","",DE233-DH196-DH193-DH458)</f>
        <v/>
      </c>
      <c r="DI233" s="1190" t="str">
        <f>IF(DI5="A","",DH233-DI196-DI193-DI458)</f>
        <v/>
      </c>
      <c r="DJ233" s="32" t="str">
        <f t="shared" si="590"/>
        <v/>
      </c>
      <c r="DK233" s="1248" t="str">
        <f>IF(DK5="A","",DH233-DK196-DK193-DK458)</f>
        <v/>
      </c>
      <c r="DL233" s="32" t="str">
        <f>IF(DL5="A","",DK233-DL196-DL193-DL458)</f>
        <v/>
      </c>
      <c r="DM233" s="32" t="str">
        <f t="shared" si="591"/>
        <v/>
      </c>
      <c r="DN233" s="1061" t="str">
        <f>IF(DN5="A","",DK233-DN196-DN193-DN458)</f>
        <v/>
      </c>
      <c r="DO233" s="32" t="str">
        <f>IF(DO5="A","",DN233-DO196-DO193-DO458)</f>
        <v/>
      </c>
      <c r="DP233" s="32" t="str">
        <f t="shared" si="592"/>
        <v/>
      </c>
      <c r="DQ233" s="1061" t="str">
        <f>IF(DQ5="A","",DN233-DQ196-DQ193-DQ458)</f>
        <v/>
      </c>
      <c r="DR233" s="32" t="str">
        <f>IF(DR5="A","",DQ233-DR196-DR193-DR458)</f>
        <v/>
      </c>
      <c r="DS233" s="32" t="str">
        <f t="shared" si="593"/>
        <v/>
      </c>
      <c r="DT233" s="1061" t="str">
        <f>IF(DT5="A","",DQ233-DT196-DT193-DT458)</f>
        <v/>
      </c>
      <c r="DU233" s="32" t="str">
        <f>IF(DU5="A","",DT233-DU196-DU193-DU458)</f>
        <v/>
      </c>
      <c r="DV233" s="32">
        <v>0</v>
      </c>
      <c r="DW233" s="1061">
        <v>0</v>
      </c>
      <c r="DX233" s="32" t="str">
        <f>IF(DX5="A","",DW233-DX196-DX193-DX458)</f>
        <v/>
      </c>
      <c r="DY233" s="32">
        <f t="shared" si="595"/>
        <v>0</v>
      </c>
      <c r="DZ233" s="1061">
        <f>IF(DZ5="A","",DW233-DZ196-DZ193-DZ458)</f>
        <v>0</v>
      </c>
      <c r="EA233" s="32">
        <f>IF(EA5="A","",DZ233-EA196-EA193-EA458)</f>
        <v>0</v>
      </c>
      <c r="EB233" s="32">
        <f t="shared" si="596"/>
        <v>0</v>
      </c>
      <c r="EC233" s="1061">
        <f>IF(EC5="A","",DZ233-EC196-EC193-EC458)</f>
        <v>0</v>
      </c>
      <c r="ED233" s="32">
        <f>IF(ED5="A","",EC233-ED196-ED193-ED458)</f>
        <v>0</v>
      </c>
      <c r="EE233" s="32">
        <f t="shared" si="597"/>
        <v>0</v>
      </c>
      <c r="EF233" s="1061">
        <f>IF(EF5="A","",EC233-EF196-EF193-EF458)</f>
        <v>0</v>
      </c>
      <c r="EG233" s="32">
        <f>IF(EG5="A","",EF233-EG196-EG193-EG458)</f>
        <v>0</v>
      </c>
      <c r="EH233" s="32">
        <f t="shared" si="598"/>
        <v>0</v>
      </c>
      <c r="EI233" s="1061">
        <f>IF(EI5="A","",EF233-EI196-EI193-EI458)</f>
        <v>0</v>
      </c>
      <c r="EJ233" s="32">
        <f>IF(EJ5="A","",EI233-EJ196-EJ193-EJ458)</f>
        <v>0</v>
      </c>
      <c r="EK233" s="32">
        <f t="shared" si="599"/>
        <v>0</v>
      </c>
      <c r="EL233" s="1061">
        <f>IF(EL5="A","",EI233-EL196-EL193-EL458)</f>
        <v>0</v>
      </c>
      <c r="EM233" s="32">
        <f>IF(EM5="A","",EL233-EM196-EM193-EM458)</f>
        <v>0</v>
      </c>
      <c r="EN233" s="32">
        <f t="shared" si="600"/>
        <v>0</v>
      </c>
      <c r="EO233" s="1061">
        <f>IF(EO5="A","",EL233-EO196-EO193-EO458)</f>
        <v>0</v>
      </c>
      <c r="EP233" s="32">
        <f>IF(EP5="A","",EO233-EP196-EP193-EP458)</f>
        <v>0</v>
      </c>
      <c r="EQ233" s="32">
        <f t="shared" si="601"/>
        <v>0</v>
      </c>
      <c r="ER233" s="1061">
        <f>IF(ER5="A","",EO233-ER196-ER193-ER458)</f>
        <v>0</v>
      </c>
      <c r="ES233" s="32">
        <f>IF(ES5="A","",ER233-ES196-ES193-ES458)</f>
        <v>0</v>
      </c>
      <c r="ET233" s="32">
        <f t="shared" si="602"/>
        <v>0</v>
      </c>
      <c r="EU233" s="1061">
        <f>IF(EU5="A","",ER233-EU196-EU193-EU458)</f>
        <v>0</v>
      </c>
      <c r="EV233" s="32">
        <f>IF(EV5="A","",EU233-EV196-EV193-EV458)</f>
        <v>0</v>
      </c>
      <c r="EW233" s="32">
        <f t="shared" si="603"/>
        <v>0</v>
      </c>
      <c r="EX233" s="1061">
        <f>IF(EX5="A","",EU233-EX196-EX193-EX458)</f>
        <v>0</v>
      </c>
      <c r="EY233" s="32">
        <f>IF(EY5="A","",EX233-EY196-EY193-EY458)</f>
        <v>0</v>
      </c>
      <c r="EZ233" s="32">
        <f t="shared" si="604"/>
        <v>0</v>
      </c>
      <c r="FA233" s="1061">
        <f>IF(FA5="A","",EX233-FA196-FA193-FA458)</f>
        <v>0</v>
      </c>
      <c r="FB233" s="1243"/>
      <c r="FD233"/>
      <c r="FE233"/>
      <c r="FF233"/>
      <c r="FG233"/>
      <c r="FH233"/>
      <c r="FI233"/>
    </row>
    <row r="234" spans="1:165" s="33" customFormat="1" ht="13.5" thickBot="1">
      <c r="B234" s="1140" t="s">
        <v>418</v>
      </c>
      <c r="C234" s="2"/>
      <c r="D234" s="2" t="s">
        <v>506</v>
      </c>
      <c r="E234" s="32">
        <f>+SUM(E235:E238)</f>
        <v>0</v>
      </c>
      <c r="F234" s="32">
        <f t="shared" si="554"/>
        <v>0</v>
      </c>
      <c r="G234" s="32">
        <f>+SUM(G235:G238)</f>
        <v>0</v>
      </c>
      <c r="H234" s="32">
        <f>+SUM(H235:H238)</f>
        <v>0</v>
      </c>
      <c r="I234" s="32">
        <f t="shared" si="555"/>
        <v>0</v>
      </c>
      <c r="J234" s="32">
        <f>+SUM(J235:J238)</f>
        <v>0</v>
      </c>
      <c r="K234" s="32">
        <f>+SUM(K235:K238)</f>
        <v>0</v>
      </c>
      <c r="L234" s="32">
        <f t="shared" si="556"/>
        <v>0</v>
      </c>
      <c r="M234" s="32">
        <f>+SUM(M235:M238)</f>
        <v>0</v>
      </c>
      <c r="N234" s="32">
        <f>+SUM(N235:N238)</f>
        <v>0</v>
      </c>
      <c r="O234" s="32">
        <f t="shared" si="557"/>
        <v>0</v>
      </c>
      <c r="P234" s="32">
        <f>+SUM(P235:P238)</f>
        <v>0</v>
      </c>
      <c r="Q234" s="32">
        <f>+SUM(Q235:Q238)</f>
        <v>0</v>
      </c>
      <c r="R234" s="32">
        <f t="shared" si="558"/>
        <v>0</v>
      </c>
      <c r="S234" s="32">
        <f>+SUM(S235:S238)</f>
        <v>0</v>
      </c>
      <c r="T234" s="32">
        <f>+SUM(T235:T238)</f>
        <v>0</v>
      </c>
      <c r="U234" s="32">
        <f t="shared" si="559"/>
        <v>0</v>
      </c>
      <c r="V234" s="32">
        <f>+SUM(V235:V238)</f>
        <v>0</v>
      </c>
      <c r="W234" s="32">
        <f>+SUM(W235:W238)</f>
        <v>0</v>
      </c>
      <c r="X234" s="32">
        <f t="shared" si="560"/>
        <v>0</v>
      </c>
      <c r="Y234" s="32">
        <f>+SUM(Y235:Y238)</f>
        <v>0</v>
      </c>
      <c r="Z234" s="32">
        <f>+SUM(Z235:Z238)</f>
        <v>0</v>
      </c>
      <c r="AA234" s="32">
        <f t="shared" si="561"/>
        <v>0</v>
      </c>
      <c r="AB234" s="32">
        <f>+SUM(AB235:AB238)</f>
        <v>0</v>
      </c>
      <c r="AC234" s="32">
        <f>+SUM(AC235:AC238)</f>
        <v>0</v>
      </c>
      <c r="AD234" s="32">
        <f t="shared" si="562"/>
        <v>0</v>
      </c>
      <c r="AE234" s="32">
        <f>+SUM(AE235:AE238)</f>
        <v>0</v>
      </c>
      <c r="AF234" s="32">
        <f>+SUM(AF235:AF238)</f>
        <v>0</v>
      </c>
      <c r="AG234" s="32">
        <f t="shared" si="563"/>
        <v>0</v>
      </c>
      <c r="AH234" s="32">
        <f>+SUM(AH235:AH238)</f>
        <v>0</v>
      </c>
      <c r="AI234" s="32">
        <f>+SUM(AI235:AI238)</f>
        <v>0</v>
      </c>
      <c r="AJ234" s="32">
        <f t="shared" si="564"/>
        <v>0</v>
      </c>
      <c r="AK234" s="32">
        <f>+SUM(AK235:AK238)</f>
        <v>0</v>
      </c>
      <c r="AL234" s="32">
        <f>+SUM(AL235:AL238)</f>
        <v>0</v>
      </c>
      <c r="AM234" s="32">
        <f t="shared" si="565"/>
        <v>0</v>
      </c>
      <c r="AN234" s="32">
        <f>+SUM(AN235:AN238)</f>
        <v>0</v>
      </c>
      <c r="AO234" s="32">
        <f>+SUM(AO235:AO238)</f>
        <v>0</v>
      </c>
      <c r="AP234" s="32">
        <f t="shared" si="566"/>
        <v>0</v>
      </c>
      <c r="AQ234" s="32">
        <f>+SUM(AQ235:AQ238)</f>
        <v>0</v>
      </c>
      <c r="AR234" s="32">
        <f>+SUM(AR235:AR238)</f>
        <v>0</v>
      </c>
      <c r="AS234" s="32">
        <f t="shared" si="567"/>
        <v>0</v>
      </c>
      <c r="AT234" s="32">
        <f>+SUM(AT235:AT238)</f>
        <v>0</v>
      </c>
      <c r="AU234" s="32">
        <f>+SUM(AU235:AU238)</f>
        <v>0</v>
      </c>
      <c r="AV234" s="32">
        <f t="shared" si="568"/>
        <v>0</v>
      </c>
      <c r="AW234" s="32">
        <f>+SUM(AW235:AW238)</f>
        <v>0</v>
      </c>
      <c r="AX234" s="32">
        <f>+SUM(AX235:AX238)</f>
        <v>0</v>
      </c>
      <c r="AY234" s="32">
        <f t="shared" si="569"/>
        <v>0</v>
      </c>
      <c r="AZ234" s="32">
        <f>+SUM(AZ235:AZ238)</f>
        <v>0</v>
      </c>
      <c r="BA234" s="32">
        <f>+SUM(BA235:BA238)</f>
        <v>0</v>
      </c>
      <c r="BB234" s="32">
        <f t="shared" si="570"/>
        <v>0</v>
      </c>
      <c r="BC234" s="32">
        <f>+SUM(BC235:BC238)</f>
        <v>0</v>
      </c>
      <c r="BD234" s="32">
        <f>+SUM(BD235:BD238)</f>
        <v>0</v>
      </c>
      <c r="BE234" s="32">
        <f t="shared" si="571"/>
        <v>0</v>
      </c>
      <c r="BF234" s="32">
        <f>+SUM(BF235:BF238)</f>
        <v>0</v>
      </c>
      <c r="BG234" s="32">
        <f>+SUM(BG235:BG238)</f>
        <v>0</v>
      </c>
      <c r="BH234" s="32">
        <f t="shared" si="572"/>
        <v>0</v>
      </c>
      <c r="BI234" s="32">
        <f>+SUM(BI235:BI238)</f>
        <v>0</v>
      </c>
      <c r="BJ234" s="32">
        <f>+SUM(BJ235:BJ238)</f>
        <v>0</v>
      </c>
      <c r="BK234" s="32">
        <f t="shared" si="573"/>
        <v>0</v>
      </c>
      <c r="BL234" s="32">
        <f>+SUM(BL235:BL238)</f>
        <v>0</v>
      </c>
      <c r="BM234" s="32">
        <f>+SUM(BM235:BM238)</f>
        <v>0</v>
      </c>
      <c r="BN234" s="32">
        <f t="shared" si="574"/>
        <v>0</v>
      </c>
      <c r="BO234" s="32">
        <f>+SUM(BO235:BO238)</f>
        <v>0</v>
      </c>
      <c r="BP234" s="32">
        <f>+SUM(BP235:BP238)</f>
        <v>0</v>
      </c>
      <c r="BQ234" s="32">
        <f t="shared" si="575"/>
        <v>0</v>
      </c>
      <c r="BR234" s="32">
        <f>+SUM(BR235:BR238)</f>
        <v>0</v>
      </c>
      <c r="BS234" s="32">
        <f>+SUM(BS235:BS238)</f>
        <v>0</v>
      </c>
      <c r="BT234" s="32">
        <f t="shared" si="576"/>
        <v>0</v>
      </c>
      <c r="BU234" s="32">
        <f>+SUM(BU235:BU238)</f>
        <v>0</v>
      </c>
      <c r="BV234" s="32">
        <f>+SUM(BV235:BV238)</f>
        <v>0</v>
      </c>
      <c r="BW234" s="32">
        <f t="shared" si="577"/>
        <v>1153</v>
      </c>
      <c r="BX234" s="32">
        <f>+SUM(BX235:BX238)</f>
        <v>1153</v>
      </c>
      <c r="BY234" s="32">
        <f>+SUM(BY235:BY238)</f>
        <v>0</v>
      </c>
      <c r="BZ234" s="32">
        <f t="shared" si="578"/>
        <v>1235</v>
      </c>
      <c r="CA234" s="32">
        <f>+SUM(CA235:CA238)</f>
        <v>1235</v>
      </c>
      <c r="CB234" s="32">
        <f>+SUM(CB235:CB238)</f>
        <v>0</v>
      </c>
      <c r="CC234" s="32">
        <f t="shared" si="579"/>
        <v>1239</v>
      </c>
      <c r="CD234" s="32">
        <f>+SUM(CD235:CD238)</f>
        <v>1239</v>
      </c>
      <c r="CE234" s="32">
        <f>+SUM(CE235:CE238)</f>
        <v>0</v>
      </c>
      <c r="CF234" s="32">
        <f t="shared" si="580"/>
        <v>1565</v>
      </c>
      <c r="CG234" s="32">
        <f>+SUM(CG235:CG238)</f>
        <v>1565</v>
      </c>
      <c r="CH234" s="32">
        <f>+SUM(CH235:CH238)</f>
        <v>1395.0329999999999</v>
      </c>
      <c r="CI234" s="32">
        <f t="shared" si="581"/>
        <v>1462.1</v>
      </c>
      <c r="CJ234" s="32">
        <f>+SUM(CJ235:CJ238)</f>
        <v>1462.1</v>
      </c>
      <c r="CK234" s="32">
        <f>+SUM(CK235:CK238)</f>
        <v>1639.4</v>
      </c>
      <c r="CL234" s="32">
        <f t="shared" si="582"/>
        <v>1639.4</v>
      </c>
      <c r="CM234" s="32">
        <f>+SUM(CM235:CM238)</f>
        <v>1639.4</v>
      </c>
      <c r="CN234" s="32">
        <f>+SUM(CN235:CN238)</f>
        <v>1696.2</v>
      </c>
      <c r="CO234" s="32">
        <f t="shared" si="583"/>
        <v>1644.5</v>
      </c>
      <c r="CP234" s="32">
        <f>+SUM(CP235:CP238)</f>
        <v>1644.5</v>
      </c>
      <c r="CQ234" s="32">
        <f>+SUM(CQ235:CQ238)</f>
        <v>1627.2</v>
      </c>
      <c r="CR234" s="32">
        <f t="shared" si="584"/>
        <v>1755.6</v>
      </c>
      <c r="CS234" s="32">
        <f>+SUM(CS235:CS238)</f>
        <v>1755.6</v>
      </c>
      <c r="CT234" s="32">
        <f>+SUM(CT235:CT238)</f>
        <v>1894.3</v>
      </c>
      <c r="CU234" s="32">
        <f t="shared" si="585"/>
        <v>2152</v>
      </c>
      <c r="CV234" s="32">
        <f>+SUM(CV235:CV238)</f>
        <v>2152</v>
      </c>
      <c r="CW234" s="32">
        <f>+SUM(CW235:CW238)</f>
        <v>2125.1999999999998</v>
      </c>
      <c r="CX234" s="32">
        <f t="shared" si="586"/>
        <v>2575.8000000000002</v>
      </c>
      <c r="CY234" s="32">
        <f>+SUM(CY235:CY238)</f>
        <v>2575.8000000000002</v>
      </c>
      <c r="CZ234" s="32">
        <f>+SUM(CZ235:CZ238)</f>
        <v>2525.6999999999998</v>
      </c>
      <c r="DA234" s="32">
        <f t="shared" si="587"/>
        <v>2692.8</v>
      </c>
      <c r="DB234" s="32">
        <f>+SUM(DB235:DB238)</f>
        <v>2692.8</v>
      </c>
      <c r="DC234" s="32">
        <f>+SUM(DC235:DC238)</f>
        <v>2795.4</v>
      </c>
      <c r="DD234" s="32">
        <f t="shared" si="588"/>
        <v>3038.8</v>
      </c>
      <c r="DE234" s="1061">
        <f>+SUM(DE235:DE238)</f>
        <v>3038.8</v>
      </c>
      <c r="DF234" s="32">
        <f>+SUM(DF235:DF238)</f>
        <v>3226.6</v>
      </c>
      <c r="DG234" s="32">
        <f t="shared" si="589"/>
        <v>3509.5</v>
      </c>
      <c r="DH234" s="1061">
        <f>+SUM(DH235:DH238)</f>
        <v>3509.5</v>
      </c>
      <c r="DI234" s="32">
        <f>+SUM(DI235:DI238)</f>
        <v>3633.6</v>
      </c>
      <c r="DJ234" s="32">
        <f t="shared" si="590"/>
        <v>3780.6</v>
      </c>
      <c r="DK234" s="1061">
        <f>+SUM(DK235:DK238)</f>
        <v>3780.6</v>
      </c>
      <c r="DL234" s="32">
        <f>+SUM(DL235:DL238)</f>
        <v>3806.6</v>
      </c>
      <c r="DM234" s="32">
        <f t="shared" si="591"/>
        <v>4333</v>
      </c>
      <c r="DN234" s="1061">
        <f>+SUM(DN235:DN238)</f>
        <v>4333</v>
      </c>
      <c r="DO234" s="32">
        <f>+SUM(DO235:DO238)</f>
        <v>5057.3</v>
      </c>
      <c r="DP234" s="32">
        <f t="shared" si="592"/>
        <v>5466</v>
      </c>
      <c r="DQ234" s="1061">
        <f>+SUM(DQ235:DQ238)</f>
        <v>5466</v>
      </c>
      <c r="DR234" s="32">
        <f>+SUM(DR235:DR238)</f>
        <v>5566</v>
      </c>
      <c r="DS234" s="32">
        <f t="shared" si="593"/>
        <v>5964</v>
      </c>
      <c r="DT234" s="1061">
        <f>+SUM(DT235:DT238)</f>
        <v>5964</v>
      </c>
      <c r="DU234" s="32">
        <f>+SUM(DU235:DU238)</f>
        <v>6139</v>
      </c>
      <c r="DV234" s="32">
        <f t="shared" si="594"/>
        <v>6466</v>
      </c>
      <c r="DW234" s="1061">
        <f>+SUM(DW235:DW238)</f>
        <v>6466</v>
      </c>
      <c r="DX234" s="32">
        <f>+SUM(DX235:DX238)</f>
        <v>6570</v>
      </c>
      <c r="DY234" s="32">
        <f t="shared" si="595"/>
        <v>7274.2780097880859</v>
      </c>
      <c r="DZ234" s="1061">
        <f>+SUM(DZ235:DZ238)</f>
        <v>7274.2780097880859</v>
      </c>
      <c r="EA234" s="32">
        <f>+SUM(EA235:EA238)</f>
        <v>6915.1600641497707</v>
      </c>
      <c r="EB234" s="32">
        <f t="shared" si="596"/>
        <v>7677.505495136882</v>
      </c>
      <c r="EC234" s="1061">
        <f>+SUM(EC235:EC238)</f>
        <v>7677.505495136882</v>
      </c>
      <c r="ED234" s="32">
        <f>+SUM(ED235:ED238)</f>
        <v>7233.9496224282748</v>
      </c>
      <c r="EE234" s="32">
        <f t="shared" si="597"/>
        <v>8096.274431480585</v>
      </c>
      <c r="EF234" s="1061">
        <f>+SUM(EF235:EF238)</f>
        <v>8096.274431480585</v>
      </c>
      <c r="EG234" s="32">
        <f>+SUM(EG235:EG238)</f>
        <v>7656.7002855071132</v>
      </c>
      <c r="EH234" s="32">
        <f t="shared" si="598"/>
        <v>8601.165512570411</v>
      </c>
      <c r="EI234" s="1061">
        <f>+SUM(EI235:EI238)</f>
        <v>8601.165512570411</v>
      </c>
      <c r="EJ234" s="32">
        <f>+SUM(EJ235:EJ238)</f>
        <v>8109.9099185239074</v>
      </c>
      <c r="EK234" s="32">
        <f t="shared" si="599"/>
        <v>9146.673443367763</v>
      </c>
      <c r="EL234" s="1061">
        <f>+SUM(EL235:EL238)</f>
        <v>9146.673443367763</v>
      </c>
      <c r="EM234" s="32">
        <f>+SUM(EM235:EM238)</f>
        <v>8554.6649543894564</v>
      </c>
      <c r="EN234" s="32">
        <f t="shared" si="600"/>
        <v>9633.0707801443677</v>
      </c>
      <c r="EO234" s="1061">
        <f>+SUM(EO235:EO238)</f>
        <v>9633.0707801443677</v>
      </c>
      <c r="EP234" s="32">
        <f>+SUM(EP235:EP238)</f>
        <v>9017.539268739778</v>
      </c>
      <c r="EQ234" s="32">
        <f t="shared" si="601"/>
        <v>10156.145505264198</v>
      </c>
      <c r="ER234" s="1061">
        <f>+SUM(ER235:ER238)</f>
        <v>10156.145505264198</v>
      </c>
      <c r="ES234" s="32">
        <f>+SUM(ES235:ES238)</f>
        <v>9518.2608914645407</v>
      </c>
      <c r="ET234" s="32">
        <f t="shared" si="602"/>
        <v>10716.562896489715</v>
      </c>
      <c r="EU234" s="1061">
        <f>+SUM(EU235:EU238)</f>
        <v>10716.562896489715</v>
      </c>
      <c r="EV234" s="32">
        <f>+SUM(EV235:EV238)</f>
        <v>10050.049125066211</v>
      </c>
      <c r="EW234" s="32">
        <f t="shared" si="603"/>
        <v>11311.288817239556</v>
      </c>
      <c r="EX234" s="1061">
        <f>+SUM(EX235:EX238)</f>
        <v>11311.288817239556</v>
      </c>
      <c r="EY234" s="32">
        <f>+SUM(EY235:EY238)</f>
        <v>10614.939535303671</v>
      </c>
      <c r="EZ234" s="32">
        <f t="shared" si="604"/>
        <v>11942.517276744757</v>
      </c>
      <c r="FA234" s="1061">
        <f>+SUM(FA235:FA238)</f>
        <v>11942.517276744757</v>
      </c>
      <c r="FB234" s="1243"/>
      <c r="FD234"/>
      <c r="FE234"/>
      <c r="FF234"/>
      <c r="FG234"/>
      <c r="FH234"/>
      <c r="FI234"/>
    </row>
    <row r="235" spans="1:165" s="33" customFormat="1" outlineLevel="1">
      <c r="B235" s="54" t="s">
        <v>419</v>
      </c>
      <c r="C235" s="2"/>
      <c r="D235" s="2" t="s">
        <v>506</v>
      </c>
      <c r="E235" s="1183"/>
      <c r="F235" s="1192">
        <f t="shared" si="554"/>
        <v>0</v>
      </c>
      <c r="G235" s="1215"/>
      <c r="H235" s="1185"/>
      <c r="I235" s="1192">
        <f t="shared" si="555"/>
        <v>0</v>
      </c>
      <c r="J235" s="1215"/>
      <c r="K235" s="1185"/>
      <c r="L235" s="1192">
        <f t="shared" si="556"/>
        <v>0</v>
      </c>
      <c r="M235" s="1215"/>
      <c r="N235" s="1185"/>
      <c r="O235" s="1192">
        <f t="shared" si="557"/>
        <v>0</v>
      </c>
      <c r="P235" s="1215"/>
      <c r="Q235" s="1185"/>
      <c r="R235" s="1192">
        <f t="shared" si="558"/>
        <v>0</v>
      </c>
      <c r="S235" s="1215"/>
      <c r="T235" s="1185"/>
      <c r="U235" s="1192">
        <f t="shared" si="559"/>
        <v>0</v>
      </c>
      <c r="V235" s="1215"/>
      <c r="W235" s="1185"/>
      <c r="X235" s="1192">
        <f t="shared" si="560"/>
        <v>0</v>
      </c>
      <c r="Y235" s="1215"/>
      <c r="Z235" s="1185"/>
      <c r="AA235" s="1192">
        <f t="shared" si="561"/>
        <v>0</v>
      </c>
      <c r="AB235" s="1215"/>
      <c r="AC235" s="1185"/>
      <c r="AD235" s="1192">
        <f t="shared" si="562"/>
        <v>0</v>
      </c>
      <c r="AE235" s="1215"/>
      <c r="AF235" s="1185"/>
      <c r="AG235" s="1192">
        <f t="shared" si="563"/>
        <v>0</v>
      </c>
      <c r="AH235" s="1215"/>
      <c r="AI235" s="1185"/>
      <c r="AJ235" s="1192">
        <f t="shared" si="564"/>
        <v>0</v>
      </c>
      <c r="AK235" s="1215"/>
      <c r="AL235" s="1185"/>
      <c r="AM235" s="1192">
        <f t="shared" si="565"/>
        <v>0</v>
      </c>
      <c r="AN235" s="1215"/>
      <c r="AO235" s="1185"/>
      <c r="AP235" s="1192">
        <f t="shared" si="566"/>
        <v>0</v>
      </c>
      <c r="AQ235" s="1215"/>
      <c r="AR235" s="1185"/>
      <c r="AS235" s="1192">
        <f t="shared" si="567"/>
        <v>0</v>
      </c>
      <c r="AT235" s="1215"/>
      <c r="AU235" s="1185"/>
      <c r="AV235" s="1192">
        <f t="shared" si="568"/>
        <v>0</v>
      </c>
      <c r="AW235" s="1215"/>
      <c r="AX235" s="1185"/>
      <c r="AY235" s="1192">
        <f t="shared" si="569"/>
        <v>0</v>
      </c>
      <c r="AZ235" s="1215"/>
      <c r="BA235" s="1185"/>
      <c r="BB235" s="1192">
        <f t="shared" si="570"/>
        <v>0</v>
      </c>
      <c r="BC235" s="1215"/>
      <c r="BD235" s="1185"/>
      <c r="BE235" s="1192">
        <f t="shared" si="571"/>
        <v>0</v>
      </c>
      <c r="BF235" s="1215"/>
      <c r="BG235" s="1185"/>
      <c r="BH235" s="1192">
        <f t="shared" si="572"/>
        <v>0</v>
      </c>
      <c r="BI235" s="1215"/>
      <c r="BJ235" s="1185"/>
      <c r="BK235" s="1192">
        <f t="shared" si="573"/>
        <v>0</v>
      </c>
      <c r="BL235" s="1215"/>
      <c r="BM235" s="1185"/>
      <c r="BN235" s="1192">
        <f t="shared" si="574"/>
        <v>0</v>
      </c>
      <c r="BO235" s="1215"/>
      <c r="BP235" s="1185"/>
      <c r="BQ235" s="1192">
        <f t="shared" si="575"/>
        <v>0</v>
      </c>
      <c r="BR235" s="1215"/>
      <c r="BS235" s="1185"/>
      <c r="BT235" s="1192">
        <f t="shared" si="576"/>
        <v>0</v>
      </c>
      <c r="BU235" s="1215"/>
      <c r="BV235" s="1185"/>
      <c r="BW235" s="1192">
        <f t="shared" si="577"/>
        <v>0</v>
      </c>
      <c r="BX235" s="1215"/>
      <c r="BY235" s="1185"/>
      <c r="BZ235" s="1192">
        <f t="shared" si="578"/>
        <v>0</v>
      </c>
      <c r="CA235" s="1215"/>
      <c r="CB235" s="1185"/>
      <c r="CC235" s="1192">
        <f t="shared" si="579"/>
        <v>0</v>
      </c>
      <c r="CD235" s="1215"/>
      <c r="CE235" s="1185"/>
      <c r="CF235" s="1192">
        <f t="shared" si="580"/>
        <v>0</v>
      </c>
      <c r="CG235" s="1215"/>
      <c r="CH235" s="1185"/>
      <c r="CI235" s="1192">
        <f t="shared" si="581"/>
        <v>0</v>
      </c>
      <c r="CJ235" s="1215"/>
      <c r="CK235" s="1185"/>
      <c r="CL235" s="1192">
        <f t="shared" si="582"/>
        <v>0</v>
      </c>
      <c r="CM235" s="1215"/>
      <c r="CN235" s="1185"/>
      <c r="CO235" s="1192">
        <f t="shared" si="583"/>
        <v>0</v>
      </c>
      <c r="CP235" s="1215"/>
      <c r="CQ235" s="1185"/>
      <c r="CR235" s="1192">
        <f t="shared" si="584"/>
        <v>0</v>
      </c>
      <c r="CS235" s="1215"/>
      <c r="CT235" s="1185"/>
      <c r="CU235" s="1192">
        <f t="shared" si="585"/>
        <v>0</v>
      </c>
      <c r="CV235" s="1215"/>
      <c r="CW235" s="1185"/>
      <c r="CX235" s="1192">
        <f t="shared" si="586"/>
        <v>0</v>
      </c>
      <c r="CY235" s="1215"/>
      <c r="CZ235" s="1185"/>
      <c r="DA235" s="1192">
        <f t="shared" si="587"/>
        <v>0</v>
      </c>
      <c r="DB235" s="1215">
        <v>0</v>
      </c>
      <c r="DC235" s="1185"/>
      <c r="DD235" s="1192">
        <f t="shared" si="588"/>
        <v>0</v>
      </c>
      <c r="DE235" s="1246"/>
      <c r="DF235" s="1185"/>
      <c r="DG235" s="1192">
        <f t="shared" si="589"/>
        <v>0</v>
      </c>
      <c r="DH235" s="1246"/>
      <c r="DI235" s="1185"/>
      <c r="DJ235" s="1192">
        <f t="shared" si="590"/>
        <v>0</v>
      </c>
      <c r="DK235" s="1246"/>
      <c r="DL235" s="32"/>
      <c r="DM235" s="32">
        <f t="shared" si="591"/>
        <v>0</v>
      </c>
      <c r="DN235" s="1061"/>
      <c r="DO235" s="32"/>
      <c r="DP235" s="32">
        <f t="shared" si="592"/>
        <v>0</v>
      </c>
      <c r="DQ235" s="1061"/>
      <c r="DR235" s="32"/>
      <c r="DS235" s="32">
        <f t="shared" si="593"/>
        <v>0</v>
      </c>
      <c r="DT235" s="1061"/>
      <c r="DU235" s="32"/>
      <c r="DV235" s="32">
        <f t="shared" si="594"/>
        <v>0</v>
      </c>
      <c r="DW235" s="1061"/>
      <c r="DX235" s="32"/>
      <c r="DY235" s="32">
        <f t="shared" si="595"/>
        <v>0</v>
      </c>
      <c r="DZ235" s="1061"/>
      <c r="EA235" s="32"/>
      <c r="EB235" s="32">
        <f t="shared" si="596"/>
        <v>0</v>
      </c>
      <c r="EC235" s="1061"/>
      <c r="ED235" s="32"/>
      <c r="EE235" s="32">
        <f t="shared" si="597"/>
        <v>0</v>
      </c>
      <c r="EF235" s="1061"/>
      <c r="EG235" s="32"/>
      <c r="EH235" s="32">
        <f t="shared" si="598"/>
        <v>0</v>
      </c>
      <c r="EI235" s="1061"/>
      <c r="EJ235" s="32"/>
      <c r="EK235" s="32">
        <f t="shared" si="599"/>
        <v>0</v>
      </c>
      <c r="EL235" s="1061"/>
      <c r="EM235" s="32"/>
      <c r="EN235" s="32">
        <f t="shared" si="600"/>
        <v>0</v>
      </c>
      <c r="EO235" s="1061"/>
      <c r="EP235" s="32"/>
      <c r="EQ235" s="32">
        <f t="shared" si="601"/>
        <v>0</v>
      </c>
      <c r="ER235" s="1061"/>
      <c r="ES235" s="32"/>
      <c r="ET235" s="32">
        <f t="shared" si="602"/>
        <v>0</v>
      </c>
      <c r="EU235" s="1061"/>
      <c r="EV235" s="32"/>
      <c r="EW235" s="32">
        <f t="shared" si="603"/>
        <v>0</v>
      </c>
      <c r="EX235" s="1061"/>
      <c r="EY235" s="32"/>
      <c r="EZ235" s="32">
        <f t="shared" si="604"/>
        <v>0</v>
      </c>
      <c r="FA235" s="1061"/>
      <c r="FD235"/>
      <c r="FE235"/>
      <c r="FF235"/>
      <c r="FG235"/>
      <c r="FH235"/>
      <c r="FI235"/>
    </row>
    <row r="236" spans="1:165" s="33" customFormat="1" outlineLevel="1">
      <c r="B236" s="54" t="s">
        <v>420</v>
      </c>
      <c r="C236" s="2"/>
      <c r="D236" s="2" t="s">
        <v>506</v>
      </c>
      <c r="E236" s="1205"/>
      <c r="F236" s="32">
        <f t="shared" si="554"/>
        <v>0</v>
      </c>
      <c r="G236" s="1214"/>
      <c r="H236" s="1207"/>
      <c r="I236" s="32">
        <f t="shared" si="555"/>
        <v>0</v>
      </c>
      <c r="J236" s="1214"/>
      <c r="K236" s="1207"/>
      <c r="L236" s="32">
        <f t="shared" si="556"/>
        <v>0</v>
      </c>
      <c r="M236" s="1214"/>
      <c r="N236" s="1207"/>
      <c r="O236" s="32">
        <f t="shared" si="557"/>
        <v>0</v>
      </c>
      <c r="P236" s="1214"/>
      <c r="Q236" s="1207"/>
      <c r="R236" s="32">
        <f t="shared" si="558"/>
        <v>0</v>
      </c>
      <c r="S236" s="1214"/>
      <c r="T236" s="1207"/>
      <c r="U236" s="32">
        <f t="shared" si="559"/>
        <v>0</v>
      </c>
      <c r="V236" s="1214"/>
      <c r="W236" s="1207"/>
      <c r="X236" s="32">
        <f t="shared" si="560"/>
        <v>0</v>
      </c>
      <c r="Y236" s="1214"/>
      <c r="Z236" s="1207"/>
      <c r="AA236" s="32">
        <f t="shared" si="561"/>
        <v>0</v>
      </c>
      <c r="AB236" s="1214"/>
      <c r="AC236" s="1207"/>
      <c r="AD236" s="32">
        <f t="shared" si="562"/>
        <v>0</v>
      </c>
      <c r="AE236" s="1214"/>
      <c r="AF236" s="1207"/>
      <c r="AG236" s="32">
        <f t="shared" si="563"/>
        <v>0</v>
      </c>
      <c r="AH236" s="1214"/>
      <c r="AI236" s="1207"/>
      <c r="AJ236" s="32">
        <f t="shared" si="564"/>
        <v>0</v>
      </c>
      <c r="AK236" s="1214"/>
      <c r="AL236" s="1207"/>
      <c r="AM236" s="32">
        <f t="shared" si="565"/>
        <v>0</v>
      </c>
      <c r="AN236" s="1214"/>
      <c r="AO236" s="1207"/>
      <c r="AP236" s="32">
        <f t="shared" si="566"/>
        <v>0</v>
      </c>
      <c r="AQ236" s="1214"/>
      <c r="AR236" s="1207"/>
      <c r="AS236" s="32">
        <f t="shared" si="567"/>
        <v>0</v>
      </c>
      <c r="AT236" s="1214"/>
      <c r="AU236" s="1207"/>
      <c r="AV236" s="32">
        <f t="shared" si="568"/>
        <v>0</v>
      </c>
      <c r="AW236" s="1214"/>
      <c r="AX236" s="1207"/>
      <c r="AY236" s="32">
        <f t="shared" si="569"/>
        <v>0</v>
      </c>
      <c r="AZ236" s="1214"/>
      <c r="BA236" s="1207"/>
      <c r="BB236" s="32">
        <f t="shared" si="570"/>
        <v>0</v>
      </c>
      <c r="BC236" s="1214"/>
      <c r="BD236" s="1207"/>
      <c r="BE236" s="32">
        <f t="shared" si="571"/>
        <v>0</v>
      </c>
      <c r="BF236" s="1214"/>
      <c r="BG236" s="1207"/>
      <c r="BH236" s="32">
        <f t="shared" si="572"/>
        <v>0</v>
      </c>
      <c r="BI236" s="1214"/>
      <c r="BJ236" s="1207"/>
      <c r="BK236" s="32">
        <f t="shared" si="573"/>
        <v>0</v>
      </c>
      <c r="BL236" s="1214"/>
      <c r="BM236" s="1207"/>
      <c r="BN236" s="32">
        <f t="shared" si="574"/>
        <v>0</v>
      </c>
      <c r="BO236" s="1214"/>
      <c r="BP236" s="1207"/>
      <c r="BQ236" s="32">
        <f t="shared" si="575"/>
        <v>0</v>
      </c>
      <c r="BR236" s="1214"/>
      <c r="BS236" s="1207"/>
      <c r="BT236" s="32">
        <f t="shared" si="576"/>
        <v>0</v>
      </c>
      <c r="BU236" s="1214"/>
      <c r="BV236" s="1207"/>
      <c r="BW236" s="32">
        <f t="shared" si="577"/>
        <v>0</v>
      </c>
      <c r="BX236" s="1214"/>
      <c r="BY236" s="1207"/>
      <c r="BZ236" s="32">
        <f t="shared" si="578"/>
        <v>0</v>
      </c>
      <c r="CA236" s="1214"/>
      <c r="CB236" s="1207"/>
      <c r="CC236" s="32">
        <f t="shared" si="579"/>
        <v>0</v>
      </c>
      <c r="CD236" s="1214"/>
      <c r="CE236" s="1207"/>
      <c r="CF236" s="32">
        <f t="shared" si="580"/>
        <v>0</v>
      </c>
      <c r="CG236" s="1214"/>
      <c r="CH236" s="1207"/>
      <c r="CI236" s="32">
        <f t="shared" si="581"/>
        <v>0</v>
      </c>
      <c r="CJ236" s="1214"/>
      <c r="CK236" s="1207"/>
      <c r="CL236" s="32">
        <f t="shared" si="582"/>
        <v>0</v>
      </c>
      <c r="CM236" s="1214"/>
      <c r="CN236" s="1207"/>
      <c r="CO236" s="32">
        <f t="shared" si="583"/>
        <v>0</v>
      </c>
      <c r="CP236" s="1214"/>
      <c r="CQ236" s="1207"/>
      <c r="CR236" s="32">
        <f t="shared" si="584"/>
        <v>0</v>
      </c>
      <c r="CS236" s="1214"/>
      <c r="CT236" s="1207"/>
      <c r="CU236" s="32">
        <f t="shared" si="585"/>
        <v>0</v>
      </c>
      <c r="CV236" s="1214"/>
      <c r="CW236" s="1207"/>
      <c r="CX236" s="32">
        <f t="shared" si="586"/>
        <v>0</v>
      </c>
      <c r="CY236" s="1214"/>
      <c r="CZ236" s="1207"/>
      <c r="DA236" s="32">
        <f t="shared" si="587"/>
        <v>0</v>
      </c>
      <c r="DB236" s="1214">
        <v>0</v>
      </c>
      <c r="DC236" s="1207"/>
      <c r="DD236" s="32">
        <f t="shared" si="588"/>
        <v>0</v>
      </c>
      <c r="DE236" s="1219"/>
      <c r="DF236" s="1207"/>
      <c r="DG236" s="32">
        <f t="shared" si="589"/>
        <v>0</v>
      </c>
      <c r="DH236" s="1219"/>
      <c r="DI236" s="1207"/>
      <c r="DJ236" s="32">
        <f t="shared" si="590"/>
        <v>0</v>
      </c>
      <c r="DK236" s="1219"/>
      <c r="DL236" s="32"/>
      <c r="DM236" s="32">
        <f t="shared" si="591"/>
        <v>0</v>
      </c>
      <c r="DN236" s="1061"/>
      <c r="DO236" s="32"/>
      <c r="DP236" s="32">
        <f t="shared" si="592"/>
        <v>0</v>
      </c>
      <c r="DQ236" s="1702"/>
      <c r="DR236" s="32"/>
      <c r="DS236" s="32">
        <f t="shared" si="593"/>
        <v>0</v>
      </c>
      <c r="DT236" s="1061"/>
      <c r="DU236" s="32"/>
      <c r="DV236" s="32">
        <f t="shared" si="594"/>
        <v>0</v>
      </c>
      <c r="DW236" s="1061"/>
      <c r="DX236" s="32"/>
      <c r="DY236" s="32">
        <f t="shared" si="595"/>
        <v>0</v>
      </c>
      <c r="DZ236" s="1061"/>
      <c r="EA236" s="32"/>
      <c r="EB236" s="32">
        <f t="shared" si="596"/>
        <v>0</v>
      </c>
      <c r="EC236" s="1061"/>
      <c r="ED236" s="32"/>
      <c r="EE236" s="32">
        <f t="shared" si="597"/>
        <v>0</v>
      </c>
      <c r="EF236" s="1061"/>
      <c r="EG236" s="32"/>
      <c r="EH236" s="32">
        <f t="shared" si="598"/>
        <v>0</v>
      </c>
      <c r="EI236" s="1061"/>
      <c r="EJ236" s="32"/>
      <c r="EK236" s="32">
        <f t="shared" si="599"/>
        <v>0</v>
      </c>
      <c r="EL236" s="1061"/>
      <c r="EM236" s="32"/>
      <c r="EN236" s="32">
        <f t="shared" si="600"/>
        <v>0</v>
      </c>
      <c r="EO236" s="1061"/>
      <c r="EP236" s="32"/>
      <c r="EQ236" s="32">
        <f t="shared" si="601"/>
        <v>0</v>
      </c>
      <c r="ER236" s="1061"/>
      <c r="ES236" s="32"/>
      <c r="ET236" s="32">
        <f t="shared" si="602"/>
        <v>0</v>
      </c>
      <c r="EU236" s="1061"/>
      <c r="EV236" s="32"/>
      <c r="EW236" s="32">
        <f t="shared" si="603"/>
        <v>0</v>
      </c>
      <c r="EX236" s="1061"/>
      <c r="EY236" s="32"/>
      <c r="EZ236" s="32">
        <f t="shared" si="604"/>
        <v>0</v>
      </c>
      <c r="FA236" s="1061"/>
      <c r="FD236"/>
      <c r="FE236"/>
      <c r="FF236"/>
      <c r="FG236"/>
      <c r="FH236"/>
      <c r="FI236"/>
    </row>
    <row r="237" spans="1:165" s="33" customFormat="1" outlineLevel="1">
      <c r="B237" s="54" t="s">
        <v>670</v>
      </c>
      <c r="C237" s="2"/>
      <c r="D237" s="2" t="s">
        <v>506</v>
      </c>
      <c r="E237" s="1205"/>
      <c r="F237" s="32">
        <f t="shared" si="554"/>
        <v>0</v>
      </c>
      <c r="G237" s="1214"/>
      <c r="H237" s="1207"/>
      <c r="I237" s="32">
        <f t="shared" si="555"/>
        <v>0</v>
      </c>
      <c r="J237" s="1214"/>
      <c r="K237" s="1207"/>
      <c r="L237" s="32">
        <f t="shared" si="556"/>
        <v>0</v>
      </c>
      <c r="M237" s="1214"/>
      <c r="N237" s="1207"/>
      <c r="O237" s="32">
        <f t="shared" si="557"/>
        <v>0</v>
      </c>
      <c r="P237" s="1214"/>
      <c r="Q237" s="1207"/>
      <c r="R237" s="32">
        <f t="shared" si="558"/>
        <v>0</v>
      </c>
      <c r="S237" s="1214"/>
      <c r="T237" s="1207"/>
      <c r="U237" s="32">
        <f t="shared" si="559"/>
        <v>0</v>
      </c>
      <c r="V237" s="1214"/>
      <c r="W237" s="1207"/>
      <c r="X237" s="32">
        <f t="shared" si="560"/>
        <v>0</v>
      </c>
      <c r="Y237" s="1214"/>
      <c r="Z237" s="1207"/>
      <c r="AA237" s="32">
        <f t="shared" si="561"/>
        <v>0</v>
      </c>
      <c r="AB237" s="1214"/>
      <c r="AC237" s="1207"/>
      <c r="AD237" s="32">
        <f t="shared" si="562"/>
        <v>0</v>
      </c>
      <c r="AE237" s="1214"/>
      <c r="AF237" s="1207"/>
      <c r="AG237" s="32">
        <f t="shared" si="563"/>
        <v>0</v>
      </c>
      <c r="AH237" s="1214"/>
      <c r="AI237" s="1207"/>
      <c r="AJ237" s="32">
        <f t="shared" si="564"/>
        <v>0</v>
      </c>
      <c r="AK237" s="1214"/>
      <c r="AL237" s="1207"/>
      <c r="AM237" s="32">
        <f t="shared" si="565"/>
        <v>0</v>
      </c>
      <c r="AN237" s="1214"/>
      <c r="AO237" s="1207"/>
      <c r="AP237" s="32">
        <f t="shared" si="566"/>
        <v>0</v>
      </c>
      <c r="AQ237" s="1214"/>
      <c r="AR237" s="1207"/>
      <c r="AS237" s="32">
        <f t="shared" si="567"/>
        <v>0</v>
      </c>
      <c r="AT237" s="1214"/>
      <c r="AU237" s="1207"/>
      <c r="AV237" s="32">
        <f t="shared" si="568"/>
        <v>0</v>
      </c>
      <c r="AW237" s="1214"/>
      <c r="AX237" s="1207"/>
      <c r="AY237" s="32">
        <f t="shared" si="569"/>
        <v>0</v>
      </c>
      <c r="AZ237" s="1214"/>
      <c r="BA237" s="1207"/>
      <c r="BB237" s="32">
        <f t="shared" si="570"/>
        <v>0</v>
      </c>
      <c r="BC237" s="1214"/>
      <c r="BD237" s="1207"/>
      <c r="BE237" s="32">
        <f t="shared" si="571"/>
        <v>0</v>
      </c>
      <c r="BF237" s="1214"/>
      <c r="BG237" s="1207"/>
      <c r="BH237" s="32">
        <f t="shared" si="572"/>
        <v>0</v>
      </c>
      <c r="BI237" s="1214"/>
      <c r="BJ237" s="1207"/>
      <c r="BK237" s="32">
        <f t="shared" si="573"/>
        <v>0</v>
      </c>
      <c r="BL237" s="1214"/>
      <c r="BM237" s="1207"/>
      <c r="BN237" s="32">
        <f t="shared" si="574"/>
        <v>0</v>
      </c>
      <c r="BO237" s="1214"/>
      <c r="BP237" s="1207"/>
      <c r="BQ237" s="32">
        <f t="shared" si="575"/>
        <v>0</v>
      </c>
      <c r="BR237" s="1214"/>
      <c r="BS237" s="1207"/>
      <c r="BT237" s="32">
        <f t="shared" si="576"/>
        <v>0</v>
      </c>
      <c r="BU237" s="1214"/>
      <c r="BV237" s="1207"/>
      <c r="BW237" s="32">
        <f t="shared" si="577"/>
        <v>0</v>
      </c>
      <c r="BX237" s="1214"/>
      <c r="BY237" s="1207"/>
      <c r="BZ237" s="32">
        <f t="shared" si="578"/>
        <v>0</v>
      </c>
      <c r="CA237" s="1214"/>
      <c r="CB237" s="1207"/>
      <c r="CC237" s="32">
        <f t="shared" si="579"/>
        <v>0</v>
      </c>
      <c r="CD237" s="1214"/>
      <c r="CE237" s="1207"/>
      <c r="CF237" s="32">
        <f t="shared" si="580"/>
        <v>0</v>
      </c>
      <c r="CG237" s="1214"/>
      <c r="CH237" s="1207"/>
      <c r="CI237" s="32">
        <f t="shared" si="581"/>
        <v>0</v>
      </c>
      <c r="CJ237" s="1214"/>
      <c r="CK237" s="1207"/>
      <c r="CL237" s="32">
        <f t="shared" si="582"/>
        <v>0</v>
      </c>
      <c r="CM237" s="1214"/>
      <c r="CN237" s="1207"/>
      <c r="CO237" s="32">
        <f t="shared" si="583"/>
        <v>0</v>
      </c>
      <c r="CP237" s="1214"/>
      <c r="CQ237" s="1207"/>
      <c r="CR237" s="32">
        <f t="shared" si="584"/>
        <v>0</v>
      </c>
      <c r="CS237" s="1214"/>
      <c r="CT237" s="1207"/>
      <c r="CU237" s="32">
        <f t="shared" si="585"/>
        <v>0</v>
      </c>
      <c r="CV237" s="1214"/>
      <c r="CW237" s="1207"/>
      <c r="CX237" s="32">
        <f t="shared" si="586"/>
        <v>0</v>
      </c>
      <c r="CY237" s="1214"/>
      <c r="CZ237" s="1207"/>
      <c r="DA237" s="32">
        <f t="shared" si="587"/>
        <v>0</v>
      </c>
      <c r="DB237" s="1214"/>
      <c r="DC237" s="1207"/>
      <c r="DD237" s="32">
        <f t="shared" si="588"/>
        <v>0</v>
      </c>
      <c r="DE237" s="1219"/>
      <c r="DF237" s="1207"/>
      <c r="DG237" s="32">
        <f t="shared" si="589"/>
        <v>0</v>
      </c>
      <c r="DH237" s="1219"/>
      <c r="DI237" s="1207"/>
      <c r="DJ237" s="32">
        <f t="shared" si="590"/>
        <v>0</v>
      </c>
      <c r="DK237" s="1219"/>
      <c r="DL237" s="32"/>
      <c r="DM237" s="32">
        <f t="shared" si="591"/>
        <v>0</v>
      </c>
      <c r="DN237" s="1061"/>
      <c r="DO237" s="32"/>
      <c r="DP237" s="32">
        <f t="shared" si="592"/>
        <v>0</v>
      </c>
      <c r="DQ237" s="1061"/>
      <c r="DR237" s="1693"/>
      <c r="DS237" s="32">
        <f t="shared" si="593"/>
        <v>0</v>
      </c>
      <c r="DT237" s="1061"/>
      <c r="DU237" s="32"/>
      <c r="DV237" s="32">
        <f t="shared" si="594"/>
        <v>0</v>
      </c>
      <c r="DW237" s="1061"/>
      <c r="DX237" s="32"/>
      <c r="DY237" s="32">
        <f t="shared" si="595"/>
        <v>0</v>
      </c>
      <c r="DZ237" s="1061"/>
      <c r="EA237" s="32"/>
      <c r="EB237" s="32">
        <f t="shared" si="596"/>
        <v>0</v>
      </c>
      <c r="EC237" s="1061"/>
      <c r="ED237" s="32"/>
      <c r="EE237" s="32">
        <f t="shared" si="597"/>
        <v>0</v>
      </c>
      <c r="EF237" s="1061"/>
      <c r="EG237" s="32"/>
      <c r="EH237" s="32">
        <f t="shared" si="598"/>
        <v>0</v>
      </c>
      <c r="EI237" s="1061"/>
      <c r="EJ237" s="32"/>
      <c r="EK237" s="32">
        <f t="shared" si="599"/>
        <v>0</v>
      </c>
      <c r="EL237" s="1061"/>
      <c r="EM237" s="32"/>
      <c r="EN237" s="32">
        <f t="shared" si="600"/>
        <v>0</v>
      </c>
      <c r="EO237" s="1061"/>
      <c r="EP237" s="32"/>
      <c r="EQ237" s="32">
        <f t="shared" si="601"/>
        <v>0</v>
      </c>
      <c r="ER237" s="1061"/>
      <c r="ES237" s="32"/>
      <c r="ET237" s="32">
        <f t="shared" si="602"/>
        <v>0</v>
      </c>
      <c r="EU237" s="1061"/>
      <c r="EV237" s="32"/>
      <c r="EW237" s="32">
        <f t="shared" si="603"/>
        <v>0</v>
      </c>
      <c r="EX237" s="1061"/>
      <c r="EY237" s="32"/>
      <c r="EZ237" s="32">
        <f t="shared" si="604"/>
        <v>0</v>
      </c>
      <c r="FA237" s="1061"/>
      <c r="FD237"/>
      <c r="FE237"/>
      <c r="FF237"/>
      <c r="FG237"/>
      <c r="FH237"/>
      <c r="FI237"/>
    </row>
    <row r="238" spans="1:165" s="33" customFormat="1" ht="13.5" outlineLevel="1" thickBot="1">
      <c r="B238" s="54" t="s">
        <v>233</v>
      </c>
      <c r="C238" s="2"/>
      <c r="D238" s="2" t="s">
        <v>506</v>
      </c>
      <c r="E238" s="1188"/>
      <c r="F238" s="32">
        <f t="shared" si="554"/>
        <v>0</v>
      </c>
      <c r="G238" s="1247"/>
      <c r="H238" s="1190"/>
      <c r="I238" s="32">
        <f t="shared" si="555"/>
        <v>0</v>
      </c>
      <c r="J238" s="1247"/>
      <c r="K238" s="1190"/>
      <c r="L238" s="32">
        <f t="shared" si="556"/>
        <v>0</v>
      </c>
      <c r="M238" s="1247"/>
      <c r="N238" s="1190"/>
      <c r="O238" s="32">
        <f t="shared" si="557"/>
        <v>0</v>
      </c>
      <c r="P238" s="1247"/>
      <c r="Q238" s="1190"/>
      <c r="R238" s="32">
        <f t="shared" si="558"/>
        <v>0</v>
      </c>
      <c r="S238" s="1247"/>
      <c r="T238" s="1190"/>
      <c r="U238" s="32">
        <f t="shared" si="559"/>
        <v>0</v>
      </c>
      <c r="V238" s="1247"/>
      <c r="W238" s="1190"/>
      <c r="X238" s="32">
        <f t="shared" si="560"/>
        <v>0</v>
      </c>
      <c r="Y238" s="1247"/>
      <c r="Z238" s="1190"/>
      <c r="AA238" s="32">
        <f t="shared" si="561"/>
        <v>0</v>
      </c>
      <c r="AB238" s="1247"/>
      <c r="AC238" s="1190"/>
      <c r="AD238" s="32">
        <f t="shared" si="562"/>
        <v>0</v>
      </c>
      <c r="AE238" s="1247"/>
      <c r="AF238" s="1190"/>
      <c r="AG238" s="32">
        <f t="shared" si="563"/>
        <v>0</v>
      </c>
      <c r="AH238" s="1247"/>
      <c r="AI238" s="1190"/>
      <c r="AJ238" s="32">
        <f t="shared" si="564"/>
        <v>0</v>
      </c>
      <c r="AK238" s="1247"/>
      <c r="AL238" s="1190"/>
      <c r="AM238" s="32">
        <f t="shared" si="565"/>
        <v>0</v>
      </c>
      <c r="AN238" s="1247"/>
      <c r="AO238" s="1190"/>
      <c r="AP238" s="32">
        <f t="shared" si="566"/>
        <v>0</v>
      </c>
      <c r="AQ238" s="1247"/>
      <c r="AR238" s="1190"/>
      <c r="AS238" s="32">
        <f t="shared" si="567"/>
        <v>0</v>
      </c>
      <c r="AT238" s="1247"/>
      <c r="AU238" s="1190"/>
      <c r="AV238" s="32">
        <f t="shared" si="568"/>
        <v>0</v>
      </c>
      <c r="AW238" s="1247"/>
      <c r="AX238" s="1190"/>
      <c r="AY238" s="32">
        <f t="shared" si="569"/>
        <v>0</v>
      </c>
      <c r="AZ238" s="1247"/>
      <c r="BA238" s="1190"/>
      <c r="BB238" s="32">
        <f t="shared" si="570"/>
        <v>0</v>
      </c>
      <c r="BC238" s="1247"/>
      <c r="BD238" s="1190"/>
      <c r="BE238" s="32">
        <f t="shared" si="571"/>
        <v>0</v>
      </c>
      <c r="BF238" s="1247"/>
      <c r="BG238" s="1190"/>
      <c r="BH238" s="32">
        <f t="shared" si="572"/>
        <v>0</v>
      </c>
      <c r="BI238" s="1247"/>
      <c r="BJ238" s="1190"/>
      <c r="BK238" s="32">
        <f t="shared" si="573"/>
        <v>0</v>
      </c>
      <c r="BL238" s="1247"/>
      <c r="BM238" s="1190"/>
      <c r="BN238" s="32">
        <f t="shared" si="574"/>
        <v>0</v>
      </c>
      <c r="BO238" s="1247"/>
      <c r="BP238" s="1190"/>
      <c r="BQ238" s="32">
        <f t="shared" si="575"/>
        <v>0</v>
      </c>
      <c r="BR238" s="1247"/>
      <c r="BS238" s="1190"/>
      <c r="BT238" s="32">
        <f t="shared" si="576"/>
        <v>0</v>
      </c>
      <c r="BU238" s="1247"/>
      <c r="BV238" s="1190"/>
      <c r="BW238" s="32">
        <f t="shared" si="577"/>
        <v>1153</v>
      </c>
      <c r="BX238" s="1249">
        <v>1153</v>
      </c>
      <c r="BY238" s="1190"/>
      <c r="BZ238" s="32">
        <f t="shared" si="578"/>
        <v>1235</v>
      </c>
      <c r="CA238" s="1249">
        <v>1235</v>
      </c>
      <c r="CB238" s="1190"/>
      <c r="CC238" s="32">
        <f t="shared" si="579"/>
        <v>1239</v>
      </c>
      <c r="CD238" s="1249">
        <v>1239</v>
      </c>
      <c r="CE238" s="1190"/>
      <c r="CF238" s="32">
        <f t="shared" si="580"/>
        <v>1565</v>
      </c>
      <c r="CG238" s="1249">
        <v>1565</v>
      </c>
      <c r="CH238" s="1196">
        <v>1395.0329999999999</v>
      </c>
      <c r="CI238" s="32">
        <f t="shared" si="581"/>
        <v>1462.1</v>
      </c>
      <c r="CJ238" s="1249">
        <v>1462.1</v>
      </c>
      <c r="CK238" s="1196">
        <v>1639.4</v>
      </c>
      <c r="CL238" s="32">
        <f t="shared" si="582"/>
        <v>1639.4</v>
      </c>
      <c r="CM238" s="1249">
        <v>1639.4</v>
      </c>
      <c r="CN238" s="1196">
        <v>1696.2</v>
      </c>
      <c r="CO238" s="32">
        <f t="shared" si="583"/>
        <v>1644.5</v>
      </c>
      <c r="CP238" s="1249">
        <v>1644.5</v>
      </c>
      <c r="CQ238" s="1196">
        <v>1627.2</v>
      </c>
      <c r="CR238" s="32">
        <f t="shared" si="584"/>
        <v>1755.6</v>
      </c>
      <c r="CS238" s="1249">
        <v>1755.6</v>
      </c>
      <c r="CT238" s="1196">
        <v>1894.3</v>
      </c>
      <c r="CU238" s="32">
        <f t="shared" si="585"/>
        <v>2152</v>
      </c>
      <c r="CV238" s="1249">
        <v>2152</v>
      </c>
      <c r="CW238" s="1196">
        <v>2125.1999999999998</v>
      </c>
      <c r="CX238" s="32">
        <f t="shared" si="586"/>
        <v>2575.8000000000002</v>
      </c>
      <c r="CY238" s="1249">
        <v>2575.8000000000002</v>
      </c>
      <c r="CZ238" s="1190">
        <v>2525.6999999999998</v>
      </c>
      <c r="DA238" s="32">
        <f t="shared" si="587"/>
        <v>2692.8</v>
      </c>
      <c r="DB238" s="1249">
        <v>2692.8</v>
      </c>
      <c r="DC238" s="1190">
        <v>2795.4</v>
      </c>
      <c r="DD238" s="32">
        <f t="shared" si="588"/>
        <v>3038.8</v>
      </c>
      <c r="DE238" s="1563">
        <v>3038.8</v>
      </c>
      <c r="DF238" s="1564">
        <v>3226.6</v>
      </c>
      <c r="DG238" s="1530">
        <f t="shared" si="589"/>
        <v>3509.5</v>
      </c>
      <c r="DH238" s="1565">
        <v>3509.5</v>
      </c>
      <c r="DI238" s="1566">
        <v>3633.6</v>
      </c>
      <c r="DJ238" s="1530">
        <f t="shared" si="590"/>
        <v>3780.6</v>
      </c>
      <c r="DK238" s="1565">
        <v>3780.6</v>
      </c>
      <c r="DL238" s="1530">
        <v>3806.6</v>
      </c>
      <c r="DM238" s="1530">
        <f t="shared" si="591"/>
        <v>4333</v>
      </c>
      <c r="DN238" s="1531">
        <v>4333</v>
      </c>
      <c r="DO238" s="1558">
        <v>5057.3</v>
      </c>
      <c r="DP238" s="1530">
        <f t="shared" si="592"/>
        <v>5466</v>
      </c>
      <c r="DQ238" s="1532">
        <v>5466</v>
      </c>
      <c r="DR238" s="1558">
        <v>5566</v>
      </c>
      <c r="DS238" s="1530">
        <f t="shared" si="593"/>
        <v>5964</v>
      </c>
      <c r="DT238" s="1532">
        <v>5964</v>
      </c>
      <c r="DU238" s="1558">
        <v>6139</v>
      </c>
      <c r="DV238" s="1530">
        <f t="shared" si="594"/>
        <v>6466</v>
      </c>
      <c r="DW238" s="1532">
        <v>6466</v>
      </c>
      <c r="DX238" s="1558">
        <v>6570</v>
      </c>
      <c r="DY238" s="32">
        <f t="shared" si="595"/>
        <v>7274.2780097880859</v>
      </c>
      <c r="DZ238" s="1061">
        <f>(Assumptions!DZ146*DZ30)</f>
        <v>7274.2780097880859</v>
      </c>
      <c r="EA238" s="32">
        <f>(Assumptions!EA146*EA30)*2</f>
        <v>6915.1600641497707</v>
      </c>
      <c r="EB238" s="32">
        <f t="shared" si="596"/>
        <v>7677.505495136882</v>
      </c>
      <c r="EC238" s="1061">
        <f>(Assumptions!EC146*EC30)</f>
        <v>7677.505495136882</v>
      </c>
      <c r="ED238" s="32">
        <f>(Assumptions!ED146*ED30)*2</f>
        <v>7233.9496224282748</v>
      </c>
      <c r="EE238" s="32">
        <f t="shared" si="597"/>
        <v>8096.274431480585</v>
      </c>
      <c r="EF238" s="1061">
        <f>(Assumptions!EF146*EF30)</f>
        <v>8096.274431480585</v>
      </c>
      <c r="EG238" s="32">
        <f>(Assumptions!EG146*EG30)*2</f>
        <v>7656.7002855071132</v>
      </c>
      <c r="EH238" s="32">
        <f t="shared" si="598"/>
        <v>8601.165512570411</v>
      </c>
      <c r="EI238" s="1061">
        <f>(Assumptions!EI146*EI30)</f>
        <v>8601.165512570411</v>
      </c>
      <c r="EJ238" s="32">
        <f>(Assumptions!EJ146*EJ30)*2</f>
        <v>8109.9099185239074</v>
      </c>
      <c r="EK238" s="32">
        <f t="shared" si="599"/>
        <v>9146.673443367763</v>
      </c>
      <c r="EL238" s="1061">
        <f>(Assumptions!EL146*EL30)</f>
        <v>9146.673443367763</v>
      </c>
      <c r="EM238" s="32">
        <f>(Assumptions!EM146*EM30)*2</f>
        <v>8554.6649543894564</v>
      </c>
      <c r="EN238" s="32">
        <f t="shared" si="600"/>
        <v>9633.0707801443677</v>
      </c>
      <c r="EO238" s="1061">
        <f>(Assumptions!EO146*EO30)</f>
        <v>9633.0707801443677</v>
      </c>
      <c r="EP238" s="32">
        <f>(Assumptions!EP146*EP30)*2</f>
        <v>9017.539268739778</v>
      </c>
      <c r="EQ238" s="32">
        <f t="shared" si="601"/>
        <v>10156.145505264198</v>
      </c>
      <c r="ER238" s="1061">
        <f>(Assumptions!ER146*ER30)</f>
        <v>10156.145505264198</v>
      </c>
      <c r="ES238" s="32">
        <f>(Assumptions!ES146*ES30)*2</f>
        <v>9518.2608914645407</v>
      </c>
      <c r="ET238" s="32">
        <f t="shared" si="602"/>
        <v>10716.562896489715</v>
      </c>
      <c r="EU238" s="1061">
        <f>(Assumptions!EU146*EU30)</f>
        <v>10716.562896489715</v>
      </c>
      <c r="EV238" s="32">
        <f>(Assumptions!EV146*EV30)*2</f>
        <v>10050.049125066211</v>
      </c>
      <c r="EW238" s="32">
        <f t="shared" si="603"/>
        <v>11311.288817239556</v>
      </c>
      <c r="EX238" s="1061">
        <f>(Assumptions!EX146*EX30)</f>
        <v>11311.288817239556</v>
      </c>
      <c r="EY238" s="32">
        <f>(Assumptions!EY146*EY30)*2</f>
        <v>10614.939535303671</v>
      </c>
      <c r="EZ238" s="32">
        <f t="shared" si="604"/>
        <v>11942.517276744757</v>
      </c>
      <c r="FA238" s="1061">
        <f>(Assumptions!FA146*FA30)</f>
        <v>11942.517276744757</v>
      </c>
      <c r="FD238"/>
      <c r="FE238"/>
      <c r="FF238"/>
      <c r="FG238"/>
      <c r="FH238"/>
      <c r="FI238"/>
    </row>
    <row r="239" spans="1:165" s="33" customFormat="1" ht="13.5" thickBot="1">
      <c r="B239" s="1140" t="s">
        <v>234</v>
      </c>
      <c r="C239" s="2"/>
      <c r="D239" s="2" t="s">
        <v>506</v>
      </c>
      <c r="E239" s="32">
        <f>+SUM(E240:E241)</f>
        <v>0</v>
      </c>
      <c r="F239" s="32">
        <f t="shared" si="554"/>
        <v>0</v>
      </c>
      <c r="G239" s="32">
        <f>+SUM(G240:G241)</f>
        <v>0</v>
      </c>
      <c r="H239" s="32">
        <f>+SUM(H240:H241)</f>
        <v>0</v>
      </c>
      <c r="I239" s="32">
        <f t="shared" si="555"/>
        <v>0</v>
      </c>
      <c r="J239" s="32">
        <f>+SUM(J240:J241)</f>
        <v>0</v>
      </c>
      <c r="K239" s="32">
        <f>+SUM(K240:K241)</f>
        <v>0</v>
      </c>
      <c r="L239" s="32">
        <f t="shared" si="556"/>
        <v>0</v>
      </c>
      <c r="M239" s="32">
        <f>+SUM(M240:M241)</f>
        <v>0</v>
      </c>
      <c r="N239" s="32">
        <f>+SUM(N240:N241)</f>
        <v>0</v>
      </c>
      <c r="O239" s="32">
        <f t="shared" si="557"/>
        <v>0</v>
      </c>
      <c r="P239" s="32">
        <f>+SUM(P240:P241)</f>
        <v>0</v>
      </c>
      <c r="Q239" s="32">
        <f>+SUM(Q240:Q241)</f>
        <v>0</v>
      </c>
      <c r="R239" s="32">
        <f t="shared" si="558"/>
        <v>0</v>
      </c>
      <c r="S239" s="32">
        <f>+SUM(S240:S241)</f>
        <v>0</v>
      </c>
      <c r="T239" s="32">
        <f>+SUM(T240:T241)</f>
        <v>0</v>
      </c>
      <c r="U239" s="32">
        <f t="shared" si="559"/>
        <v>0</v>
      </c>
      <c r="V239" s="32">
        <f>+SUM(V240:V241)</f>
        <v>0</v>
      </c>
      <c r="W239" s="32">
        <f>+SUM(W240:W241)</f>
        <v>0</v>
      </c>
      <c r="X239" s="32">
        <f t="shared" si="560"/>
        <v>0</v>
      </c>
      <c r="Y239" s="32">
        <f>+SUM(Y240:Y241)</f>
        <v>0</v>
      </c>
      <c r="Z239" s="32">
        <f>+SUM(Z240:Z241)</f>
        <v>0</v>
      </c>
      <c r="AA239" s="32">
        <f t="shared" si="561"/>
        <v>0</v>
      </c>
      <c r="AB239" s="32">
        <f>+SUM(AB240:AB241)</f>
        <v>0</v>
      </c>
      <c r="AC239" s="32">
        <f>+SUM(AC240:AC241)</f>
        <v>0</v>
      </c>
      <c r="AD239" s="32">
        <f t="shared" si="562"/>
        <v>0</v>
      </c>
      <c r="AE239" s="32">
        <f>+SUM(AE240:AE241)</f>
        <v>0</v>
      </c>
      <c r="AF239" s="32">
        <f>+SUM(AF240:AF241)</f>
        <v>0</v>
      </c>
      <c r="AG239" s="32">
        <f t="shared" si="563"/>
        <v>0</v>
      </c>
      <c r="AH239" s="32">
        <f>+SUM(AH240:AH241)</f>
        <v>0</v>
      </c>
      <c r="AI239" s="32">
        <f>+SUM(AI240:AI241)</f>
        <v>0</v>
      </c>
      <c r="AJ239" s="32">
        <f t="shared" si="564"/>
        <v>0</v>
      </c>
      <c r="AK239" s="32">
        <f>+SUM(AK240:AK241)</f>
        <v>0</v>
      </c>
      <c r="AL239" s="32">
        <f>+SUM(AL240:AL241)</f>
        <v>0</v>
      </c>
      <c r="AM239" s="32">
        <f t="shared" si="565"/>
        <v>0</v>
      </c>
      <c r="AN239" s="32">
        <f>+SUM(AN240:AN241)</f>
        <v>0</v>
      </c>
      <c r="AO239" s="32">
        <f>+SUM(AO240:AO241)</f>
        <v>0</v>
      </c>
      <c r="AP239" s="32">
        <f t="shared" si="566"/>
        <v>0</v>
      </c>
      <c r="AQ239" s="32">
        <f>+SUM(AQ240:AQ241)</f>
        <v>0</v>
      </c>
      <c r="AR239" s="32">
        <f>+SUM(AR240:AR241)</f>
        <v>0</v>
      </c>
      <c r="AS239" s="32">
        <f t="shared" si="567"/>
        <v>0</v>
      </c>
      <c r="AT239" s="32">
        <f>+SUM(AT240:AT241)</f>
        <v>0</v>
      </c>
      <c r="AU239" s="32">
        <f>+SUM(AU240:AU241)</f>
        <v>0</v>
      </c>
      <c r="AV239" s="32">
        <f t="shared" si="568"/>
        <v>0</v>
      </c>
      <c r="AW239" s="32">
        <f>+SUM(AW240:AW241)</f>
        <v>0</v>
      </c>
      <c r="AX239" s="32">
        <f>+SUM(AX240:AX241)</f>
        <v>0</v>
      </c>
      <c r="AY239" s="32">
        <f t="shared" si="569"/>
        <v>0</v>
      </c>
      <c r="AZ239" s="32">
        <f>+SUM(AZ240:AZ241)</f>
        <v>0</v>
      </c>
      <c r="BA239" s="32">
        <f>+SUM(BA240:BA241)</f>
        <v>0</v>
      </c>
      <c r="BB239" s="32">
        <f t="shared" si="570"/>
        <v>0</v>
      </c>
      <c r="BC239" s="32">
        <f>+SUM(BC240:BC241)</f>
        <v>0</v>
      </c>
      <c r="BD239" s="32">
        <f>+SUM(BD240:BD241)</f>
        <v>0</v>
      </c>
      <c r="BE239" s="32">
        <f t="shared" si="571"/>
        <v>0</v>
      </c>
      <c r="BF239" s="32">
        <f>+SUM(BF240:BF241)</f>
        <v>0</v>
      </c>
      <c r="BG239" s="32">
        <f>+SUM(BG240:BG241)</f>
        <v>0</v>
      </c>
      <c r="BH239" s="32">
        <f t="shared" si="572"/>
        <v>0</v>
      </c>
      <c r="BI239" s="32">
        <f>+SUM(BI240:BI241)</f>
        <v>0</v>
      </c>
      <c r="BJ239" s="32">
        <f>+SUM(BJ240:BJ241)</f>
        <v>0</v>
      </c>
      <c r="BK239" s="32">
        <f t="shared" si="573"/>
        <v>0</v>
      </c>
      <c r="BL239" s="32">
        <f>+SUM(BL240:BL241)</f>
        <v>0</v>
      </c>
      <c r="BM239" s="32">
        <f>+SUM(BM240:BM241)</f>
        <v>0</v>
      </c>
      <c r="BN239" s="32">
        <f t="shared" si="574"/>
        <v>0</v>
      </c>
      <c r="BO239" s="32">
        <f>+SUM(BO240:BO241)</f>
        <v>0</v>
      </c>
      <c r="BP239" s="32">
        <f>+SUM(BP240:BP241)</f>
        <v>0</v>
      </c>
      <c r="BQ239" s="32">
        <f t="shared" si="575"/>
        <v>0</v>
      </c>
      <c r="BR239" s="32">
        <f>+SUM(BR240:BR241)</f>
        <v>0</v>
      </c>
      <c r="BS239" s="32">
        <f>+SUM(BS240:BS241)</f>
        <v>0</v>
      </c>
      <c r="BT239" s="32">
        <f t="shared" si="576"/>
        <v>0</v>
      </c>
      <c r="BU239" s="32">
        <f>+SUM(BU240:BU241)</f>
        <v>0</v>
      </c>
      <c r="BV239" s="32">
        <f>+SUM(BV240:BV241)</f>
        <v>0</v>
      </c>
      <c r="BW239" s="32">
        <f t="shared" si="577"/>
        <v>1</v>
      </c>
      <c r="BX239" s="32">
        <f>+SUM(BX240:BX241)</f>
        <v>1</v>
      </c>
      <c r="BY239" s="32">
        <f>+SUM(BY240:BY241)</f>
        <v>0</v>
      </c>
      <c r="BZ239" s="32">
        <f t="shared" si="578"/>
        <v>11</v>
      </c>
      <c r="CA239" s="32">
        <f>+SUM(CA240:CA241)</f>
        <v>11</v>
      </c>
      <c r="CB239" s="32">
        <f>+SUM(CB240:CB241)</f>
        <v>0</v>
      </c>
      <c r="CC239" s="32">
        <f t="shared" si="579"/>
        <v>0</v>
      </c>
      <c r="CD239" s="32">
        <f>+SUM(CD240:CD241)</f>
        <v>0</v>
      </c>
      <c r="CE239" s="32">
        <f>+SUM(CE240:CE241)</f>
        <v>0</v>
      </c>
      <c r="CF239" s="32">
        <f t="shared" si="580"/>
        <v>19</v>
      </c>
      <c r="CG239" s="32">
        <f>+SUM(CG240:CG241)</f>
        <v>19</v>
      </c>
      <c r="CH239" s="32">
        <f>+SUM(CH240:CH241)</f>
        <v>4.2160000000000002</v>
      </c>
      <c r="CI239" s="32">
        <f t="shared" si="581"/>
        <v>7.1</v>
      </c>
      <c r="CJ239" s="32">
        <f>+SUM(CJ240:CJ241)</f>
        <v>7.1</v>
      </c>
      <c r="CK239" s="32">
        <f>+SUM(CK240:CK241)</f>
        <v>7.2</v>
      </c>
      <c r="CL239" s="32">
        <f t="shared" si="582"/>
        <v>7.2</v>
      </c>
      <c r="CM239" s="32">
        <f>+SUM(CM240:CM241)</f>
        <v>7.2</v>
      </c>
      <c r="CN239" s="32">
        <f>+SUM(CN240:CN241)</f>
        <v>56</v>
      </c>
      <c r="CO239" s="32">
        <f t="shared" si="583"/>
        <v>1</v>
      </c>
      <c r="CP239" s="32">
        <f>+SUM(CP240:CP241)</f>
        <v>1</v>
      </c>
      <c r="CQ239" s="32">
        <f>+SUM(CQ240:CQ241)</f>
        <v>23.400000000000002</v>
      </c>
      <c r="CR239" s="32">
        <f t="shared" si="584"/>
        <v>23</v>
      </c>
      <c r="CS239" s="32">
        <f>+SUM(CS240:CS241)</f>
        <v>23</v>
      </c>
      <c r="CT239" s="32">
        <f>+SUM(CT240:CT241)</f>
        <v>3.7</v>
      </c>
      <c r="CU239" s="32">
        <f t="shared" si="585"/>
        <v>2.2000000000000002</v>
      </c>
      <c r="CV239" s="32">
        <f>+SUM(CV240:CV241)</f>
        <v>2.2000000000000002</v>
      </c>
      <c r="CW239" s="32">
        <f>+SUM(CW240:CW241)</f>
        <v>10</v>
      </c>
      <c r="CX239" s="32">
        <f t="shared" si="586"/>
        <v>11.4</v>
      </c>
      <c r="CY239" s="32">
        <f>+SUM(CY240:CY241)</f>
        <v>11.4</v>
      </c>
      <c r="CZ239" s="32">
        <f>+SUM(CZ240:CZ241)</f>
        <v>5.8999999999999995</v>
      </c>
      <c r="DA239" s="32">
        <f t="shared" si="587"/>
        <v>8.1999999999999993</v>
      </c>
      <c r="DB239" s="32">
        <f>+SUM(DB240:DB241)</f>
        <v>8.1999999999999993</v>
      </c>
      <c r="DC239" s="32">
        <f>+SUM(DC240:DC241)</f>
        <v>30.7</v>
      </c>
      <c r="DD239" s="32">
        <f t="shared" si="588"/>
        <v>21.799999999999997</v>
      </c>
      <c r="DE239" s="1061">
        <f>+SUM(DE240:DE241)</f>
        <v>21.799999999999997</v>
      </c>
      <c r="DF239" s="32">
        <f>+SUM(DF240:DF241)</f>
        <v>38.099999999999994</v>
      </c>
      <c r="DG239" s="32">
        <f t="shared" si="589"/>
        <v>38.4</v>
      </c>
      <c r="DH239" s="1061">
        <f>+SUM(DH240:DH241)</f>
        <v>38.4</v>
      </c>
      <c r="DI239" s="32">
        <f>+SUM(DI240:DI241)</f>
        <v>63.9</v>
      </c>
      <c r="DJ239" s="32">
        <f t="shared" si="590"/>
        <v>89.1</v>
      </c>
      <c r="DK239" s="1061">
        <f>+SUM(DK240:DK241)</f>
        <v>89.1</v>
      </c>
      <c r="DL239" s="32">
        <f>+SUM(DL240:DL241)</f>
        <v>73.7</v>
      </c>
      <c r="DM239" s="32">
        <f t="shared" si="591"/>
        <v>34.1</v>
      </c>
      <c r="DN239" s="1061">
        <f>+SUM(DN240:DN241)</f>
        <v>34.1</v>
      </c>
      <c r="DO239" s="32">
        <f>+SUM(DO240:DO241)</f>
        <v>40</v>
      </c>
      <c r="DP239" s="32">
        <f t="shared" si="592"/>
        <v>40</v>
      </c>
      <c r="DQ239" s="1061">
        <f>+SUM(DQ240:DQ241)</f>
        <v>40</v>
      </c>
      <c r="DR239" s="32">
        <f>+SUM(DR240:DR241)</f>
        <v>90</v>
      </c>
      <c r="DS239" s="32">
        <f t="shared" si="593"/>
        <v>252</v>
      </c>
      <c r="DT239" s="1061">
        <f>+SUM(DT240:DT241)</f>
        <v>252</v>
      </c>
      <c r="DU239" s="32">
        <f>+SUM(DU240:DU241)</f>
        <v>39</v>
      </c>
      <c r="DV239" s="32">
        <f t="shared" si="594"/>
        <v>86</v>
      </c>
      <c r="DW239" s="1061">
        <f>+SUM(DW240:DW241)</f>
        <v>86</v>
      </c>
      <c r="DX239" s="32">
        <f>+SUM(DX240:DX241)</f>
        <v>133</v>
      </c>
      <c r="DY239" s="32">
        <f t="shared" si="595"/>
        <v>133</v>
      </c>
      <c r="DZ239" s="1061">
        <f>+SUM(DZ240:DZ241)</f>
        <v>133</v>
      </c>
      <c r="EA239" s="32">
        <f>+SUM(EA240:EA241)</f>
        <v>133</v>
      </c>
      <c r="EB239" s="32">
        <f t="shared" si="596"/>
        <v>133</v>
      </c>
      <c r="EC239" s="1061">
        <f>+SUM(EC240:EC241)</f>
        <v>133</v>
      </c>
      <c r="ED239" s="32">
        <f>+SUM(ED240:ED241)</f>
        <v>133</v>
      </c>
      <c r="EE239" s="32">
        <f t="shared" si="597"/>
        <v>133</v>
      </c>
      <c r="EF239" s="1061">
        <f>+SUM(EF240:EF241)</f>
        <v>133</v>
      </c>
      <c r="EG239" s="32">
        <f>+SUM(EG240:EG241)</f>
        <v>133</v>
      </c>
      <c r="EH239" s="32">
        <f t="shared" si="598"/>
        <v>133</v>
      </c>
      <c r="EI239" s="1061">
        <f>+SUM(EI240:EI241)</f>
        <v>133</v>
      </c>
      <c r="EJ239" s="32">
        <f>+SUM(EJ240:EJ241)</f>
        <v>133</v>
      </c>
      <c r="EK239" s="32">
        <f t="shared" si="599"/>
        <v>133</v>
      </c>
      <c r="EL239" s="1061">
        <f>+SUM(EL240:EL241)</f>
        <v>133</v>
      </c>
      <c r="EM239" s="32">
        <f>+SUM(EM240:EM241)</f>
        <v>133</v>
      </c>
      <c r="EN239" s="32">
        <f t="shared" si="600"/>
        <v>133</v>
      </c>
      <c r="EO239" s="1061">
        <f>+SUM(EO240:EO241)</f>
        <v>133</v>
      </c>
      <c r="EP239" s="32">
        <f>+SUM(EP240:EP241)</f>
        <v>133</v>
      </c>
      <c r="EQ239" s="32">
        <f t="shared" si="601"/>
        <v>133</v>
      </c>
      <c r="ER239" s="1061">
        <f>+SUM(ER240:ER241)</f>
        <v>133</v>
      </c>
      <c r="ES239" s="32">
        <f>+SUM(ES240:ES241)</f>
        <v>133</v>
      </c>
      <c r="ET239" s="32">
        <f t="shared" si="602"/>
        <v>133</v>
      </c>
      <c r="EU239" s="1061">
        <f>+SUM(EU240:EU241)</f>
        <v>133</v>
      </c>
      <c r="EV239" s="32">
        <f>+SUM(EV240:EV241)</f>
        <v>133</v>
      </c>
      <c r="EW239" s="32">
        <f t="shared" si="603"/>
        <v>133</v>
      </c>
      <c r="EX239" s="1061">
        <f>+SUM(EX240:EX241)</f>
        <v>133</v>
      </c>
      <c r="EY239" s="32">
        <f>+SUM(EY240:EY241)</f>
        <v>133</v>
      </c>
      <c r="EZ239" s="32">
        <f t="shared" si="604"/>
        <v>133</v>
      </c>
      <c r="FA239" s="1061">
        <f>+SUM(FA240:FA241)</f>
        <v>133</v>
      </c>
      <c r="FD239"/>
      <c r="FE239"/>
      <c r="FF239"/>
      <c r="FG239"/>
      <c r="FH239"/>
      <c r="FI239"/>
    </row>
    <row r="240" spans="1:165" s="33" customFormat="1" outlineLevel="1">
      <c r="B240" s="54" t="s">
        <v>235</v>
      </c>
      <c r="C240" s="2"/>
      <c r="D240" s="2" t="s">
        <v>506</v>
      </c>
      <c r="E240" s="1183"/>
      <c r="F240" s="32">
        <f t="shared" si="554"/>
        <v>0</v>
      </c>
      <c r="G240" s="1215"/>
      <c r="H240" s="1185"/>
      <c r="I240" s="32">
        <f t="shared" si="555"/>
        <v>0</v>
      </c>
      <c r="J240" s="1215"/>
      <c r="K240" s="1185"/>
      <c r="L240" s="32">
        <f t="shared" si="556"/>
        <v>0</v>
      </c>
      <c r="M240" s="1215"/>
      <c r="N240" s="1185"/>
      <c r="O240" s="32">
        <f t="shared" si="557"/>
        <v>0</v>
      </c>
      <c r="P240" s="1215"/>
      <c r="Q240" s="1185"/>
      <c r="R240" s="32">
        <f t="shared" si="558"/>
        <v>0</v>
      </c>
      <c r="S240" s="1215"/>
      <c r="T240" s="1185"/>
      <c r="U240" s="32">
        <f t="shared" si="559"/>
        <v>0</v>
      </c>
      <c r="V240" s="1215"/>
      <c r="W240" s="1185"/>
      <c r="X240" s="32">
        <f t="shared" si="560"/>
        <v>0</v>
      </c>
      <c r="Y240" s="1215"/>
      <c r="Z240" s="1185"/>
      <c r="AA240" s="32">
        <f t="shared" si="561"/>
        <v>0</v>
      </c>
      <c r="AB240" s="1215"/>
      <c r="AC240" s="1185"/>
      <c r="AD240" s="32">
        <f t="shared" si="562"/>
        <v>0</v>
      </c>
      <c r="AE240" s="1215"/>
      <c r="AF240" s="1185"/>
      <c r="AG240" s="32">
        <f t="shared" si="563"/>
        <v>0</v>
      </c>
      <c r="AH240" s="1215"/>
      <c r="AI240" s="1185"/>
      <c r="AJ240" s="32">
        <f t="shared" si="564"/>
        <v>0</v>
      </c>
      <c r="AK240" s="1251"/>
      <c r="AL240" s="1185"/>
      <c r="AM240" s="32">
        <f t="shared" si="565"/>
        <v>0</v>
      </c>
      <c r="AN240" s="1251"/>
      <c r="AO240" s="1185"/>
      <c r="AP240" s="32">
        <f t="shared" si="566"/>
        <v>0</v>
      </c>
      <c r="AQ240" s="1251"/>
      <c r="AR240" s="1185"/>
      <c r="AS240" s="32">
        <f t="shared" si="567"/>
        <v>0</v>
      </c>
      <c r="AT240" s="1251"/>
      <c r="AU240" s="1185"/>
      <c r="AV240" s="32">
        <f t="shared" si="568"/>
        <v>0</v>
      </c>
      <c r="AW240" s="1251"/>
      <c r="AX240" s="1185"/>
      <c r="AY240" s="32">
        <f t="shared" si="569"/>
        <v>0</v>
      </c>
      <c r="AZ240" s="1251"/>
      <c r="BA240" s="1185"/>
      <c r="BB240" s="32">
        <f t="shared" si="570"/>
        <v>0</v>
      </c>
      <c r="BC240" s="1251"/>
      <c r="BD240" s="1185"/>
      <c r="BE240" s="32">
        <f t="shared" si="571"/>
        <v>0</v>
      </c>
      <c r="BF240" s="1251"/>
      <c r="BG240" s="1185"/>
      <c r="BH240" s="32">
        <f t="shared" si="572"/>
        <v>0</v>
      </c>
      <c r="BI240" s="1251"/>
      <c r="BJ240" s="1185"/>
      <c r="BK240" s="32">
        <f t="shared" si="573"/>
        <v>0</v>
      </c>
      <c r="BL240" s="1251"/>
      <c r="BM240" s="1185"/>
      <c r="BN240" s="32">
        <f t="shared" si="574"/>
        <v>0</v>
      </c>
      <c r="BO240" s="1251"/>
      <c r="BP240" s="1185"/>
      <c r="BQ240" s="32">
        <f t="shared" si="575"/>
        <v>0</v>
      </c>
      <c r="BR240" s="1251"/>
      <c r="BS240" s="1185"/>
      <c r="BT240" s="32">
        <f t="shared" si="576"/>
        <v>0</v>
      </c>
      <c r="BU240" s="1251"/>
      <c r="BV240" s="1185"/>
      <c r="BW240" s="32">
        <f t="shared" si="577"/>
        <v>0</v>
      </c>
      <c r="BX240" s="1183">
        <f>IF(Assumptions!BX182&lt;&gt;"",Assumptions!BX182,0)</f>
        <v>0</v>
      </c>
      <c r="BY240" s="1185"/>
      <c r="BZ240" s="32">
        <f t="shared" si="578"/>
        <v>0</v>
      </c>
      <c r="CA240" s="1183">
        <f>IF(Assumptions!CA182&lt;&gt;"",Assumptions!CA182,0)</f>
        <v>0</v>
      </c>
      <c r="CB240" s="1185"/>
      <c r="CC240" s="32">
        <f t="shared" si="579"/>
        <v>0</v>
      </c>
      <c r="CD240" s="1183">
        <f>IF(Assumptions!CD182&lt;&gt;"",Assumptions!CD182,0)</f>
        <v>0</v>
      </c>
      <c r="CE240" s="1185"/>
      <c r="CF240" s="32">
        <f t="shared" si="580"/>
        <v>0</v>
      </c>
      <c r="CG240" s="1183">
        <f>IF(Assumptions!CG182&lt;&gt;"",Assumptions!CG182,0)</f>
        <v>0</v>
      </c>
      <c r="CH240" s="1185">
        <f>IF(Assumptions!CH182&lt;&gt;"",Assumptions!CH182,0)</f>
        <v>0</v>
      </c>
      <c r="CI240" s="32">
        <f t="shared" si="581"/>
        <v>0</v>
      </c>
      <c r="CJ240" s="1183">
        <f>IF(Assumptions!CJ182&lt;&gt;"",Assumptions!CJ182,0)</f>
        <v>0</v>
      </c>
      <c r="CK240" s="1185">
        <f>IF(Assumptions!CK182&lt;&gt;"",Assumptions!CK182,0)</f>
        <v>0</v>
      </c>
      <c r="CL240" s="32">
        <f t="shared" si="582"/>
        <v>0</v>
      </c>
      <c r="CM240" s="1183">
        <f>IF(Assumptions!CM182&lt;&gt;"",Assumptions!CM182,0)</f>
        <v>0</v>
      </c>
      <c r="CN240" s="1185">
        <f>IF(Assumptions!CN182&lt;&gt;"",Assumptions!CN182,0)</f>
        <v>0</v>
      </c>
      <c r="CO240" s="32">
        <f t="shared" si="583"/>
        <v>0</v>
      </c>
      <c r="CP240" s="1183">
        <f>IF(Assumptions!CP182&lt;&gt;"",Assumptions!CP182,0)</f>
        <v>0</v>
      </c>
      <c r="CQ240" s="1185">
        <f>IF(Assumptions!CQ182&lt;&gt;"",Assumptions!CQ182,0)</f>
        <v>0</v>
      </c>
      <c r="CR240" s="32">
        <f t="shared" si="584"/>
        <v>0</v>
      </c>
      <c r="CS240" s="1183">
        <f>IF(Assumptions!CS182&lt;&gt;"",Assumptions!CS182,0)</f>
        <v>0</v>
      </c>
      <c r="CT240" s="1185">
        <f>IF(Assumptions!CT182&lt;&gt;"",Assumptions!CT182,0)</f>
        <v>0</v>
      </c>
      <c r="CU240" s="32">
        <f t="shared" si="585"/>
        <v>0</v>
      </c>
      <c r="CV240" s="1183">
        <f>IF(Assumptions!CV182&lt;&gt;"",Assumptions!CV182,0)</f>
        <v>0</v>
      </c>
      <c r="CW240" s="1185">
        <f>IF(Assumptions!CW182&lt;&gt;"",Assumptions!CW182,0)</f>
        <v>0</v>
      </c>
      <c r="CX240" s="32">
        <f t="shared" si="586"/>
        <v>0</v>
      </c>
      <c r="CY240" s="1183">
        <f>IF(Assumptions!CY182&lt;&gt;"",Assumptions!CY182,0)</f>
        <v>0</v>
      </c>
      <c r="CZ240" s="1185">
        <f>IF(Assumptions!CZ182&lt;&gt;"",Assumptions!CZ182,0)</f>
        <v>0</v>
      </c>
      <c r="DA240" s="32">
        <f t="shared" si="587"/>
        <v>0</v>
      </c>
      <c r="DB240" s="1183">
        <f>IF(Assumptions!DB182&lt;&gt;"",Assumptions!DB182,0)</f>
        <v>0</v>
      </c>
      <c r="DC240" s="1185">
        <f>IF(Assumptions!DC182&lt;&gt;"",Assumptions!DC182,0)</f>
        <v>0</v>
      </c>
      <c r="DD240" s="32">
        <f t="shared" si="588"/>
        <v>0</v>
      </c>
      <c r="DE240" s="1246">
        <f>IF(Assumptions!DE182&lt;&gt;"",Assumptions!DE182,0)</f>
        <v>0</v>
      </c>
      <c r="DF240" s="1185">
        <f>IF(Assumptions!DF182&lt;&gt;"",Assumptions!DF182,0)</f>
        <v>0</v>
      </c>
      <c r="DG240" s="32">
        <f t="shared" si="589"/>
        <v>0</v>
      </c>
      <c r="DH240" s="1246">
        <f>IF(Assumptions!DH182&lt;&gt;"",Assumptions!DH182,0)</f>
        <v>0</v>
      </c>
      <c r="DI240" s="1185">
        <f>IF(Assumptions!DI182&lt;&gt;"",Assumptions!DI182,0)</f>
        <v>0</v>
      </c>
      <c r="DJ240" s="32">
        <f t="shared" si="590"/>
        <v>0</v>
      </c>
      <c r="DK240" s="1246">
        <f>IF(Assumptions!DK182&lt;&gt;"",Assumptions!DK182,0)</f>
        <v>0</v>
      </c>
      <c r="DL240" s="32">
        <f>IF(Assumptions!DL182&lt;&gt;"",Assumptions!DL182,0)</f>
        <v>0</v>
      </c>
      <c r="DM240" s="32">
        <f t="shared" si="591"/>
        <v>0</v>
      </c>
      <c r="DN240" s="1061">
        <f>IF(Assumptions!DN182&lt;&gt;"",Assumptions!DN182,0)</f>
        <v>0</v>
      </c>
      <c r="DO240" s="32">
        <f>IF(Assumptions!DO182&lt;&gt;"",Assumptions!DO182,0)</f>
        <v>0</v>
      </c>
      <c r="DP240" s="32">
        <f t="shared" si="592"/>
        <v>0</v>
      </c>
      <c r="DQ240" s="1061">
        <f>IF(Assumptions!DQ182&lt;&gt;"",Assumptions!DQ182,0)</f>
        <v>0</v>
      </c>
      <c r="DR240" s="32">
        <f>IF(Assumptions!DR182&lt;&gt;"",Assumptions!DR182,0)</f>
        <v>0</v>
      </c>
      <c r="DS240" s="32">
        <f t="shared" si="593"/>
        <v>0</v>
      </c>
      <c r="DT240" s="1061">
        <f>IF(Assumptions!DT182&lt;&gt;"",Assumptions!DT182,0)</f>
        <v>0</v>
      </c>
      <c r="DU240" s="32">
        <f>IF(Assumptions!DU182&lt;&gt;"",Assumptions!DU182,0)</f>
        <v>0</v>
      </c>
      <c r="DV240" s="32">
        <f t="shared" si="594"/>
        <v>0</v>
      </c>
      <c r="DW240" s="1061">
        <f>IF(Assumptions!DW182&lt;&gt;"",Assumptions!DW182,0)</f>
        <v>0</v>
      </c>
      <c r="DX240" s="32">
        <f>IF(Assumptions!DX182&lt;&gt;"",Assumptions!DX182,0)</f>
        <v>0</v>
      </c>
      <c r="DY240" s="32">
        <f t="shared" si="595"/>
        <v>0</v>
      </c>
      <c r="DZ240" s="1061">
        <f>IF(Assumptions!DZ182&lt;&gt;"",Assumptions!DZ182,0)</f>
        <v>0</v>
      </c>
      <c r="EA240" s="32">
        <f>IF(Assumptions!EA182&lt;&gt;"",Assumptions!EA182,0)</f>
        <v>0</v>
      </c>
      <c r="EB240" s="32">
        <f t="shared" si="596"/>
        <v>0</v>
      </c>
      <c r="EC240" s="1061">
        <f>IF(Assumptions!EC182&lt;&gt;"",Assumptions!EC182,0)</f>
        <v>0</v>
      </c>
      <c r="ED240" s="32">
        <f>IF(Assumptions!ED182&lt;&gt;"",Assumptions!ED182,0)</f>
        <v>0</v>
      </c>
      <c r="EE240" s="32">
        <f t="shared" si="597"/>
        <v>0</v>
      </c>
      <c r="EF240" s="1061">
        <f>IF(Assumptions!EF182&lt;&gt;"",Assumptions!EF182,0)</f>
        <v>0</v>
      </c>
      <c r="EG240" s="32">
        <f>IF(Assumptions!EG182&lt;&gt;"",Assumptions!EG182,0)</f>
        <v>0</v>
      </c>
      <c r="EH240" s="32">
        <f t="shared" si="598"/>
        <v>0</v>
      </c>
      <c r="EI240" s="1061">
        <f>IF(Assumptions!EI182&lt;&gt;"",Assumptions!EI182,0)</f>
        <v>0</v>
      </c>
      <c r="EJ240" s="32">
        <f>IF(Assumptions!EJ182&lt;&gt;"",Assumptions!EJ182,0)</f>
        <v>0</v>
      </c>
      <c r="EK240" s="32">
        <f t="shared" si="599"/>
        <v>0</v>
      </c>
      <c r="EL240" s="1061">
        <f>IF(Assumptions!EL182&lt;&gt;"",Assumptions!EL182,0)</f>
        <v>0</v>
      </c>
      <c r="EM240" s="32">
        <f>IF(Assumptions!EM182&lt;&gt;"",Assumptions!EM182,0)</f>
        <v>0</v>
      </c>
      <c r="EN240" s="32">
        <f t="shared" si="600"/>
        <v>0</v>
      </c>
      <c r="EO240" s="1061">
        <f>IF(Assumptions!EO182&lt;&gt;"",Assumptions!EO182,0)</f>
        <v>0</v>
      </c>
      <c r="EP240" s="32">
        <f>IF(Assumptions!EP182&lt;&gt;"",Assumptions!EP182,0)</f>
        <v>0</v>
      </c>
      <c r="EQ240" s="32">
        <f t="shared" si="601"/>
        <v>0</v>
      </c>
      <c r="ER240" s="1061">
        <f>IF(Assumptions!ER182&lt;&gt;"",Assumptions!ER182,0)</f>
        <v>0</v>
      </c>
      <c r="ES240" s="32">
        <f>IF(Assumptions!ES182&lt;&gt;"",Assumptions!ES182,0)</f>
        <v>0</v>
      </c>
      <c r="ET240" s="32">
        <f t="shared" si="602"/>
        <v>0</v>
      </c>
      <c r="EU240" s="1061">
        <f>IF(Assumptions!EU182&lt;&gt;"",Assumptions!EU182,0)</f>
        <v>0</v>
      </c>
      <c r="EV240" s="32">
        <f>IF(Assumptions!EV182&lt;&gt;"",Assumptions!EV182,0)</f>
        <v>0</v>
      </c>
      <c r="EW240" s="32">
        <f t="shared" si="603"/>
        <v>0</v>
      </c>
      <c r="EX240" s="1061">
        <f>IF(Assumptions!EX182&lt;&gt;"",Assumptions!EX182,0)</f>
        <v>0</v>
      </c>
      <c r="EY240" s="32">
        <f>IF(Assumptions!EY182&lt;&gt;"",Assumptions!EY182,0)</f>
        <v>0</v>
      </c>
      <c r="EZ240" s="32">
        <f t="shared" si="604"/>
        <v>0</v>
      </c>
      <c r="FA240" s="1061">
        <f>IF(Assumptions!FA182&lt;&gt;"",Assumptions!FA182,0)</f>
        <v>0</v>
      </c>
      <c r="FB240" s="1243"/>
      <c r="FD240"/>
      <c r="FE240"/>
      <c r="FF240"/>
      <c r="FG240"/>
      <c r="FH240"/>
      <c r="FI240"/>
    </row>
    <row r="241" spans="2:169" s="33" customFormat="1" outlineLevel="1">
      <c r="B241" s="1730" t="s">
        <v>233</v>
      </c>
      <c r="C241" s="1732"/>
      <c r="D241" s="1732" t="s">
        <v>506</v>
      </c>
      <c r="E241" s="1753"/>
      <c r="F241" s="1421">
        <f t="shared" si="554"/>
        <v>0</v>
      </c>
      <c r="G241" s="1768"/>
      <c r="H241" s="1755"/>
      <c r="I241" s="1421">
        <f t="shared" si="555"/>
        <v>0</v>
      </c>
      <c r="J241" s="1768"/>
      <c r="K241" s="1755"/>
      <c r="L241" s="1421">
        <f t="shared" si="556"/>
        <v>0</v>
      </c>
      <c r="M241" s="1768"/>
      <c r="N241" s="1755"/>
      <c r="O241" s="1421">
        <f t="shared" si="557"/>
        <v>0</v>
      </c>
      <c r="P241" s="1768"/>
      <c r="Q241" s="1755"/>
      <c r="R241" s="1421">
        <f t="shared" si="558"/>
        <v>0</v>
      </c>
      <c r="S241" s="1768"/>
      <c r="T241" s="1755"/>
      <c r="U241" s="1421">
        <f t="shared" si="559"/>
        <v>0</v>
      </c>
      <c r="V241" s="1768"/>
      <c r="W241" s="1755"/>
      <c r="X241" s="1421">
        <f t="shared" si="560"/>
        <v>0</v>
      </c>
      <c r="Y241" s="1768"/>
      <c r="Z241" s="1755"/>
      <c r="AA241" s="1421">
        <f t="shared" si="561"/>
        <v>0</v>
      </c>
      <c r="AB241" s="1768"/>
      <c r="AC241" s="1755"/>
      <c r="AD241" s="1421">
        <f t="shared" si="562"/>
        <v>0</v>
      </c>
      <c r="AE241" s="1768"/>
      <c r="AF241" s="1755"/>
      <c r="AG241" s="1421">
        <f t="shared" si="563"/>
        <v>0</v>
      </c>
      <c r="AH241" s="1768"/>
      <c r="AI241" s="1755"/>
      <c r="AJ241" s="1421">
        <f t="shared" si="564"/>
        <v>0</v>
      </c>
      <c r="AK241" s="1768"/>
      <c r="AL241" s="1755"/>
      <c r="AM241" s="1421">
        <f t="shared" si="565"/>
        <v>0</v>
      </c>
      <c r="AN241" s="1768"/>
      <c r="AO241" s="1755"/>
      <c r="AP241" s="1421">
        <f t="shared" si="566"/>
        <v>0</v>
      </c>
      <c r="AQ241" s="1768"/>
      <c r="AR241" s="1755"/>
      <c r="AS241" s="1421">
        <f t="shared" si="567"/>
        <v>0</v>
      </c>
      <c r="AT241" s="1768"/>
      <c r="AU241" s="1755"/>
      <c r="AV241" s="1421">
        <f t="shared" si="568"/>
        <v>0</v>
      </c>
      <c r="AW241" s="1768"/>
      <c r="AX241" s="1755"/>
      <c r="AY241" s="1421">
        <f t="shared" si="569"/>
        <v>0</v>
      </c>
      <c r="AZ241" s="1768"/>
      <c r="BA241" s="1755"/>
      <c r="BB241" s="1421">
        <f t="shared" si="570"/>
        <v>0</v>
      </c>
      <c r="BC241" s="1768"/>
      <c r="BD241" s="1755"/>
      <c r="BE241" s="1421">
        <f t="shared" si="571"/>
        <v>0</v>
      </c>
      <c r="BF241" s="1768"/>
      <c r="BG241" s="1755"/>
      <c r="BH241" s="1421">
        <f t="shared" si="572"/>
        <v>0</v>
      </c>
      <c r="BI241" s="1768"/>
      <c r="BJ241" s="1755"/>
      <c r="BK241" s="1421">
        <f t="shared" si="573"/>
        <v>0</v>
      </c>
      <c r="BL241" s="1768"/>
      <c r="BM241" s="1755"/>
      <c r="BN241" s="1421">
        <f t="shared" si="574"/>
        <v>0</v>
      </c>
      <c r="BO241" s="1768"/>
      <c r="BP241" s="1755"/>
      <c r="BQ241" s="1421">
        <f t="shared" si="575"/>
        <v>0</v>
      </c>
      <c r="BR241" s="1768"/>
      <c r="BS241" s="1755"/>
      <c r="BT241" s="1421">
        <f t="shared" si="576"/>
        <v>0</v>
      </c>
      <c r="BU241" s="1768"/>
      <c r="BV241" s="1755"/>
      <c r="BW241" s="1421">
        <f t="shared" si="577"/>
        <v>1</v>
      </c>
      <c r="BX241" s="1769">
        <v>1</v>
      </c>
      <c r="BY241" s="1755"/>
      <c r="BZ241" s="1421">
        <f t="shared" si="578"/>
        <v>11</v>
      </c>
      <c r="CA241" s="1769">
        <v>11</v>
      </c>
      <c r="CB241" s="1755"/>
      <c r="CC241" s="1421">
        <f t="shared" si="579"/>
        <v>0</v>
      </c>
      <c r="CD241" s="1769">
        <v>0</v>
      </c>
      <c r="CE241" s="1755"/>
      <c r="CF241" s="1421">
        <f t="shared" si="580"/>
        <v>19</v>
      </c>
      <c r="CG241" s="1769">
        <v>19</v>
      </c>
      <c r="CH241" s="1757">
        <v>4.2160000000000002</v>
      </c>
      <c r="CI241" s="1421">
        <f t="shared" si="581"/>
        <v>7.1</v>
      </c>
      <c r="CJ241" s="1770">
        <f>5.3+1.8</f>
        <v>7.1</v>
      </c>
      <c r="CK241" s="1755">
        <f>6.7+0.5</f>
        <v>7.2</v>
      </c>
      <c r="CL241" s="1421">
        <f t="shared" si="582"/>
        <v>7.2</v>
      </c>
      <c r="CM241" s="1753">
        <f>6.7+0.5</f>
        <v>7.2</v>
      </c>
      <c r="CN241" s="1755">
        <f>53.1+2.9</f>
        <v>56</v>
      </c>
      <c r="CO241" s="1421">
        <f t="shared" si="583"/>
        <v>1</v>
      </c>
      <c r="CP241" s="1753">
        <f>0.7+0.3</f>
        <v>1</v>
      </c>
      <c r="CQ241" s="1755">
        <f>23.1+0.3</f>
        <v>23.400000000000002</v>
      </c>
      <c r="CR241" s="1421">
        <f t="shared" si="584"/>
        <v>23</v>
      </c>
      <c r="CS241" s="1753">
        <f>20.4+2.6</f>
        <v>23</v>
      </c>
      <c r="CT241" s="1755">
        <f>3.6+0.1</f>
        <v>3.7</v>
      </c>
      <c r="CU241" s="1421">
        <f t="shared" si="585"/>
        <v>2.2000000000000002</v>
      </c>
      <c r="CV241" s="1753">
        <f>1.6+0.6</f>
        <v>2.2000000000000002</v>
      </c>
      <c r="CW241" s="1755">
        <f>4.5+5.5</f>
        <v>10</v>
      </c>
      <c r="CX241" s="1421">
        <f t="shared" si="586"/>
        <v>11.4</v>
      </c>
      <c r="CY241" s="1753">
        <f>6.2+5.2</f>
        <v>11.4</v>
      </c>
      <c r="CZ241" s="1755">
        <f>5.8+0.1</f>
        <v>5.8999999999999995</v>
      </c>
      <c r="DA241" s="1421">
        <f t="shared" si="587"/>
        <v>8.1999999999999993</v>
      </c>
      <c r="DB241" s="1769">
        <f>6.6+1.6</f>
        <v>8.1999999999999993</v>
      </c>
      <c r="DC241" s="1755">
        <f>27.8+2.9</f>
        <v>30.7</v>
      </c>
      <c r="DD241" s="1421">
        <f t="shared" si="588"/>
        <v>21.799999999999997</v>
      </c>
      <c r="DE241" s="1771">
        <f>21.4+0.4</f>
        <v>21.799999999999997</v>
      </c>
      <c r="DF241" s="1772">
        <f>35.3+2.8</f>
        <v>38.099999999999994</v>
      </c>
      <c r="DG241" s="1737">
        <f t="shared" si="589"/>
        <v>38.4</v>
      </c>
      <c r="DH241" s="1773">
        <f>35.1+3.3</f>
        <v>38.4</v>
      </c>
      <c r="DI241" s="1774">
        <f>59.8+4.1</f>
        <v>63.9</v>
      </c>
      <c r="DJ241" s="1737">
        <f t="shared" si="590"/>
        <v>89.1</v>
      </c>
      <c r="DK241" s="1773">
        <f>84.3+4.8</f>
        <v>89.1</v>
      </c>
      <c r="DL241" s="1737">
        <f>71+2.7</f>
        <v>73.7</v>
      </c>
      <c r="DM241" s="1737">
        <f t="shared" si="591"/>
        <v>34.1</v>
      </c>
      <c r="DN241" s="1775">
        <f>29.9+4.2</f>
        <v>34.1</v>
      </c>
      <c r="DO241" s="1776">
        <f>35.9+4.1</f>
        <v>40</v>
      </c>
      <c r="DP241" s="1737">
        <f t="shared" si="592"/>
        <v>40</v>
      </c>
      <c r="DQ241" s="1777">
        <f>31+9</f>
        <v>40</v>
      </c>
      <c r="DR241" s="1776">
        <v>90</v>
      </c>
      <c r="DS241" s="1737">
        <f t="shared" si="593"/>
        <v>252</v>
      </c>
      <c r="DT241" s="1777">
        <f>126+126</f>
        <v>252</v>
      </c>
      <c r="DU241" s="1776">
        <v>39</v>
      </c>
      <c r="DV241" s="1737">
        <f t="shared" si="594"/>
        <v>86</v>
      </c>
      <c r="DW241" s="1777">
        <f>86</f>
        <v>86</v>
      </c>
      <c r="DX241" s="1776">
        <v>133</v>
      </c>
      <c r="DY241" s="1421">
        <f>+DX241</f>
        <v>133</v>
      </c>
      <c r="DZ241" s="1104">
        <f>+DY241</f>
        <v>133</v>
      </c>
      <c r="EA241" s="1421">
        <f>DZ241</f>
        <v>133</v>
      </c>
      <c r="EB241" s="1421">
        <f t="shared" si="596"/>
        <v>133</v>
      </c>
      <c r="EC241" s="1104">
        <f>EA241</f>
        <v>133</v>
      </c>
      <c r="ED241" s="1421">
        <f>EC241</f>
        <v>133</v>
      </c>
      <c r="EE241" s="1421">
        <f t="shared" si="597"/>
        <v>133</v>
      </c>
      <c r="EF241" s="1104">
        <f>ED241</f>
        <v>133</v>
      </c>
      <c r="EG241" s="1421">
        <f>EF241</f>
        <v>133</v>
      </c>
      <c r="EH241" s="1421">
        <f t="shared" si="598"/>
        <v>133</v>
      </c>
      <c r="EI241" s="1104">
        <f>EG241</f>
        <v>133</v>
      </c>
      <c r="EJ241" s="1421">
        <f>EI241</f>
        <v>133</v>
      </c>
      <c r="EK241" s="1421">
        <f t="shared" si="599"/>
        <v>133</v>
      </c>
      <c r="EL241" s="1104">
        <f>EJ241</f>
        <v>133</v>
      </c>
      <c r="EM241" s="1421">
        <f>EL241</f>
        <v>133</v>
      </c>
      <c r="EN241" s="1421">
        <f t="shared" si="600"/>
        <v>133</v>
      </c>
      <c r="EO241" s="1104">
        <f>EM241</f>
        <v>133</v>
      </c>
      <c r="EP241" s="1421">
        <f>EO241</f>
        <v>133</v>
      </c>
      <c r="EQ241" s="1421">
        <f t="shared" si="601"/>
        <v>133</v>
      </c>
      <c r="ER241" s="1104">
        <f>EP241</f>
        <v>133</v>
      </c>
      <c r="ES241" s="1421">
        <f>ER241</f>
        <v>133</v>
      </c>
      <c r="ET241" s="1421">
        <f t="shared" si="602"/>
        <v>133</v>
      </c>
      <c r="EU241" s="1104">
        <f>ES241</f>
        <v>133</v>
      </c>
      <c r="EV241" s="1421">
        <f>EU241</f>
        <v>133</v>
      </c>
      <c r="EW241" s="1421">
        <f t="shared" si="603"/>
        <v>133</v>
      </c>
      <c r="EX241" s="1104">
        <f>EV241</f>
        <v>133</v>
      </c>
      <c r="EY241" s="1421">
        <f>EX241</f>
        <v>133</v>
      </c>
      <c r="EZ241" s="1421">
        <f t="shared" si="604"/>
        <v>133</v>
      </c>
      <c r="FA241" s="1104">
        <f>EY241</f>
        <v>133</v>
      </c>
      <c r="FB241" s="1243"/>
      <c r="FD241"/>
      <c r="FE241"/>
      <c r="FF241"/>
      <c r="FG241"/>
      <c r="FH241"/>
      <c r="FI241"/>
    </row>
    <row r="242" spans="2:169" s="61" customFormat="1">
      <c r="B242" s="60" t="s">
        <v>168</v>
      </c>
      <c r="C242" s="60"/>
      <c r="D242" s="1658" t="s">
        <v>506</v>
      </c>
      <c r="E242" s="1272">
        <f>+E228+E229+E233+E234+E239</f>
        <v>0</v>
      </c>
      <c r="F242" s="1272">
        <f t="shared" si="554"/>
        <v>0</v>
      </c>
      <c r="G242" s="1272">
        <f>+G228+G229+G233+G234+G239</f>
        <v>0</v>
      </c>
      <c r="H242" s="1272">
        <f>+H228+H229+H233+H234+H239</f>
        <v>0</v>
      </c>
      <c r="I242" s="1272">
        <f t="shared" si="555"/>
        <v>0</v>
      </c>
      <c r="J242" s="1272">
        <f>+J228+J229+J233+J234+J239</f>
        <v>0</v>
      </c>
      <c r="K242" s="1272">
        <f>+K228+K229+K233+K234+K239</f>
        <v>0</v>
      </c>
      <c r="L242" s="1272">
        <f t="shared" si="556"/>
        <v>0</v>
      </c>
      <c r="M242" s="1272">
        <f>+M228+M229+M233+M234+M239</f>
        <v>0</v>
      </c>
      <c r="N242" s="1272">
        <f>+N228+N229+N233+N234+N239</f>
        <v>0</v>
      </c>
      <c r="O242" s="1272">
        <f t="shared" si="557"/>
        <v>0</v>
      </c>
      <c r="P242" s="1272">
        <f>+P228+P229+P233+P234+P239</f>
        <v>0</v>
      </c>
      <c r="Q242" s="1272">
        <f>+Q228+Q229+Q233+Q234+Q239</f>
        <v>0</v>
      </c>
      <c r="R242" s="1272">
        <f t="shared" si="558"/>
        <v>0</v>
      </c>
      <c r="S242" s="1272">
        <f>+S228+S229+S233+S234+S239</f>
        <v>0</v>
      </c>
      <c r="T242" s="1272">
        <f>+T228+T229+T233+T234+T239</f>
        <v>0</v>
      </c>
      <c r="U242" s="1272">
        <f t="shared" si="559"/>
        <v>0</v>
      </c>
      <c r="V242" s="1272">
        <f>+V228+V229+V233+V234+V239</f>
        <v>0</v>
      </c>
      <c r="W242" s="1272">
        <f>+W228+W229+W233+W234+W239</f>
        <v>0</v>
      </c>
      <c r="X242" s="1272">
        <f t="shared" si="560"/>
        <v>0</v>
      </c>
      <c r="Y242" s="1272">
        <f>+Y228+Y229+Y233+Y234+Y239</f>
        <v>0</v>
      </c>
      <c r="Z242" s="1272">
        <f>+Z228+Z229+Z233+Z234+Z239</f>
        <v>0</v>
      </c>
      <c r="AA242" s="1272">
        <f t="shared" si="561"/>
        <v>0</v>
      </c>
      <c r="AB242" s="1272">
        <f>+AB228+AB229+AB233+AB234+AB239</f>
        <v>0</v>
      </c>
      <c r="AC242" s="1272">
        <f>+AC228+AC229+AC233+AC234+AC239</f>
        <v>0</v>
      </c>
      <c r="AD242" s="1272">
        <f t="shared" si="562"/>
        <v>0</v>
      </c>
      <c r="AE242" s="1272">
        <f>+AE228+AE229+AE233+AE234+AE239</f>
        <v>0</v>
      </c>
      <c r="AF242" s="1272">
        <f>+AF228+AF229+AF233+AF234+AF239</f>
        <v>0</v>
      </c>
      <c r="AG242" s="1272">
        <f t="shared" si="563"/>
        <v>0</v>
      </c>
      <c r="AH242" s="1272">
        <f>+AH228+AH229+AH233+AH234+AH239</f>
        <v>0</v>
      </c>
      <c r="AI242" s="1272">
        <f>+AI228+AI229+AI233+AI234+AI239</f>
        <v>0</v>
      </c>
      <c r="AJ242" s="1272">
        <f t="shared" si="564"/>
        <v>0</v>
      </c>
      <c r="AK242" s="1272">
        <f>+AK228+AK229+AK233+AK234+AK239</f>
        <v>0</v>
      </c>
      <c r="AL242" s="1272">
        <f>+AL228+AL229+AL233+AL234+AL239</f>
        <v>0</v>
      </c>
      <c r="AM242" s="1272">
        <f t="shared" si="565"/>
        <v>0</v>
      </c>
      <c r="AN242" s="1272">
        <f>+AN228+AN229+AN233+AN234+AN239</f>
        <v>0</v>
      </c>
      <c r="AO242" s="1272">
        <f>+AO228+AO229+AO233+AO234+AO239</f>
        <v>0</v>
      </c>
      <c r="AP242" s="1272">
        <f t="shared" si="566"/>
        <v>0</v>
      </c>
      <c r="AQ242" s="1272">
        <f>+AQ228+AQ229+AQ233+AQ234+AQ239</f>
        <v>0</v>
      </c>
      <c r="AR242" s="1272">
        <f>+AR228+AR229+AR233+AR234+AR239</f>
        <v>0</v>
      </c>
      <c r="AS242" s="1272">
        <f t="shared" si="567"/>
        <v>0</v>
      </c>
      <c r="AT242" s="1272">
        <f>+AT228+AT229+AT233+AT234+AT239</f>
        <v>0</v>
      </c>
      <c r="AU242" s="1272">
        <f>+AU228+AU229+AU233+AU234+AU239</f>
        <v>0</v>
      </c>
      <c r="AV242" s="1272">
        <f t="shared" si="568"/>
        <v>0</v>
      </c>
      <c r="AW242" s="1272">
        <f>+AW228+AW229+AW233+AW234+AW239</f>
        <v>0</v>
      </c>
      <c r="AX242" s="1272">
        <f>+AX228+AX229+AX233+AX234+AX239</f>
        <v>0</v>
      </c>
      <c r="AY242" s="1272">
        <f t="shared" si="569"/>
        <v>0</v>
      </c>
      <c r="AZ242" s="1272">
        <f>+AZ228+AZ229+AZ233+AZ234+AZ239</f>
        <v>0</v>
      </c>
      <c r="BA242" s="1272">
        <f>+BA228+BA229+BA233+BA234+BA239</f>
        <v>0</v>
      </c>
      <c r="BB242" s="1272">
        <f t="shared" si="570"/>
        <v>0</v>
      </c>
      <c r="BC242" s="1272">
        <f>+BC228+BC229+BC233+BC234+BC239</f>
        <v>0</v>
      </c>
      <c r="BD242" s="1272">
        <f>+BD228+BD229+BD233+BD234+BD239</f>
        <v>0</v>
      </c>
      <c r="BE242" s="1272">
        <f t="shared" si="571"/>
        <v>0</v>
      </c>
      <c r="BF242" s="1272">
        <f>+BF228+BF229+BF233+BF234+BF239</f>
        <v>0</v>
      </c>
      <c r="BG242" s="1272">
        <f>+BG228+BG229+BG233+BG234+BG239</f>
        <v>0</v>
      </c>
      <c r="BH242" s="1272">
        <f t="shared" si="572"/>
        <v>0</v>
      </c>
      <c r="BI242" s="1272">
        <f>+BI228+BI229+BI233+BI234+BI239</f>
        <v>0</v>
      </c>
      <c r="BJ242" s="1272">
        <f>+BJ228+BJ229+BJ233+BJ234+BJ239</f>
        <v>0</v>
      </c>
      <c r="BK242" s="1272">
        <f t="shared" si="573"/>
        <v>0</v>
      </c>
      <c r="BL242" s="1272">
        <f>+BL228+BL229+BL233+BL234+BL239</f>
        <v>0</v>
      </c>
      <c r="BM242" s="1272">
        <f>+BM228+BM229+BM233+BM234+BM239</f>
        <v>0</v>
      </c>
      <c r="BN242" s="1272">
        <f t="shared" si="574"/>
        <v>0</v>
      </c>
      <c r="BO242" s="1272">
        <f>+BO228+BO229+BO233+BO234+BO239</f>
        <v>0</v>
      </c>
      <c r="BP242" s="1272">
        <f>+BP228+BP229+BP233+BP234+BP239</f>
        <v>0</v>
      </c>
      <c r="BQ242" s="1272">
        <f t="shared" si="575"/>
        <v>0</v>
      </c>
      <c r="BR242" s="1272">
        <f>+BR228+BR229+BR233+BR234+BR239</f>
        <v>0</v>
      </c>
      <c r="BS242" s="1272">
        <f>+BS228+BS229+BS233+BS234+BS239</f>
        <v>0</v>
      </c>
      <c r="BT242" s="1272">
        <f t="shared" si="576"/>
        <v>0</v>
      </c>
      <c r="BU242" s="1272">
        <f>+BU228+BU229+BU233+BU234+BU239</f>
        <v>0</v>
      </c>
      <c r="BV242" s="1272">
        <f>+BV228+BV229+BV233+BV234+BV239</f>
        <v>0</v>
      </c>
      <c r="BW242" s="1272">
        <f t="shared" si="577"/>
        <v>2511</v>
      </c>
      <c r="BX242" s="1272">
        <f>+BX228+BX229+BX233+BX234+BX239</f>
        <v>2511</v>
      </c>
      <c r="BY242" s="1272">
        <f>+BY228+BY229+BY233+BY234+BY239</f>
        <v>0</v>
      </c>
      <c r="BZ242" s="1272">
        <f t="shared" si="578"/>
        <v>4016</v>
      </c>
      <c r="CA242" s="1272">
        <f>+CA228+CA229+CA233+CA234+CA239</f>
        <v>4016</v>
      </c>
      <c r="CB242" s="1272">
        <f>+CB228+CB229+CB233+CB234+CB239</f>
        <v>0</v>
      </c>
      <c r="CC242" s="1272">
        <f t="shared" si="579"/>
        <v>2844</v>
      </c>
      <c r="CD242" s="1272">
        <f>+CD228+CD229+CD233+CD234+CD239</f>
        <v>2844</v>
      </c>
      <c r="CE242" s="1272">
        <f>+CE228+CE229+CE233+CE234+CE239</f>
        <v>0</v>
      </c>
      <c r="CF242" s="1272">
        <f t="shared" si="580"/>
        <v>2968</v>
      </c>
      <c r="CG242" s="1272">
        <f>+CG228+CG229+CG233+CG234+CG239</f>
        <v>2968</v>
      </c>
      <c r="CH242" s="1272">
        <f>+CH228+CH229+CH233+CH234+CH239</f>
        <v>3529.9549999999999</v>
      </c>
      <c r="CI242" s="1272">
        <f t="shared" si="581"/>
        <v>3397.2</v>
      </c>
      <c r="CJ242" s="1272">
        <f>+CJ228+CJ229+CJ233+CJ234+CJ239</f>
        <v>3397.2</v>
      </c>
      <c r="CK242" s="1272">
        <f>+CK228+CK229+CK233+CK234+CK239</f>
        <v>3259.3</v>
      </c>
      <c r="CL242" s="1272">
        <f t="shared" si="582"/>
        <v>3259.3</v>
      </c>
      <c r="CM242" s="1272">
        <f>+CM228+CM229+CM233+CM234+CM239</f>
        <v>3259.3</v>
      </c>
      <c r="CN242" s="1272">
        <f>+CN228+CN229+CN233+CN234+CN239</f>
        <v>3367</v>
      </c>
      <c r="CO242" s="1272">
        <f t="shared" si="583"/>
        <v>3207.6</v>
      </c>
      <c r="CP242" s="1272">
        <f>+CP228+CP229+CP233+CP234+CP239</f>
        <v>3207.6</v>
      </c>
      <c r="CQ242" s="1272">
        <f>+CQ228+CQ229+CQ233+CQ234+CQ239</f>
        <v>3628.2000000000003</v>
      </c>
      <c r="CR242" s="1272">
        <f t="shared" si="584"/>
        <v>3339.1</v>
      </c>
      <c r="CS242" s="1272">
        <f>+CS228+CS229+CS233+CS234+CS239</f>
        <v>3339.1</v>
      </c>
      <c r="CT242" s="1272">
        <f>+CT228+CT229+CT233+CT234+CT239</f>
        <v>4047.3</v>
      </c>
      <c r="CU242" s="1272">
        <f t="shared" si="585"/>
        <v>3818</v>
      </c>
      <c r="CV242" s="1272">
        <f>+CV228+CV229+CV233+CV234+CV239</f>
        <v>3818</v>
      </c>
      <c r="CW242" s="1272">
        <f>+CW228+CW229+CW233+CW234+CW239</f>
        <v>4224.3999999999996</v>
      </c>
      <c r="CX242" s="1272">
        <f t="shared" si="586"/>
        <v>4602.1000000000004</v>
      </c>
      <c r="CY242" s="1272">
        <f>+CY228+CY229+CY233+CY234+CY239</f>
        <v>4602.1000000000004</v>
      </c>
      <c r="CZ242" s="1272">
        <f>+CZ228+CZ229+CZ233+CZ234+CZ239</f>
        <v>5017.2999999999993</v>
      </c>
      <c r="DA242" s="1272">
        <f t="shared" si="587"/>
        <v>4993.7</v>
      </c>
      <c r="DB242" s="1272">
        <f>+DB228+DB229+DB233+DB234+DB239</f>
        <v>4993.7</v>
      </c>
      <c r="DC242" s="1272">
        <f>+DC228+DC229+DC233+DC234+DC239</f>
        <v>5567.9000000000005</v>
      </c>
      <c r="DD242" s="1272">
        <f t="shared" si="588"/>
        <v>5540.1</v>
      </c>
      <c r="DE242" s="1276">
        <f>+DE228+DE229+DE233+DE234+DE239</f>
        <v>5540.1</v>
      </c>
      <c r="DF242" s="1272">
        <f>+DF228+DF229+DF233+DF234+DF239</f>
        <v>5907.5</v>
      </c>
      <c r="DG242" s="1272">
        <f t="shared" si="589"/>
        <v>6446.19</v>
      </c>
      <c r="DH242" s="1276">
        <f>+DH228+DH229+DH233+DH234+DH239</f>
        <v>6446.19</v>
      </c>
      <c r="DI242" s="1272">
        <f>+DI228+DI229+DI233+DI234+DI239</f>
        <v>8143.1999999999989</v>
      </c>
      <c r="DJ242" s="1272">
        <f t="shared" si="590"/>
        <v>7389.7000000000007</v>
      </c>
      <c r="DK242" s="1276">
        <f>+DK228+DK229+DK233+DK234+DK239</f>
        <v>7389.7000000000007</v>
      </c>
      <c r="DL242" s="1272">
        <f>+DL228+DL229+DL233+DL234+DL239</f>
        <v>12457.300000000001</v>
      </c>
      <c r="DM242" s="1272">
        <f t="shared" si="591"/>
        <v>16460.699999999997</v>
      </c>
      <c r="DN242" s="1276">
        <f>+DN228+DN229+DN233+DN234+DN239</f>
        <v>16460.699999999997</v>
      </c>
      <c r="DO242" s="1272">
        <f>+DO228+DO229+DO233+DO234+DO239</f>
        <v>9601.6</v>
      </c>
      <c r="DP242" s="1272">
        <f t="shared" si="592"/>
        <v>9259</v>
      </c>
      <c r="DQ242" s="1276">
        <f>+DQ228+DQ229+DQ233+DQ234+DQ239</f>
        <v>9259</v>
      </c>
      <c r="DR242" s="1272">
        <f>+DR228+DR229+DR233+DR234+DR239</f>
        <v>10146</v>
      </c>
      <c r="DS242" s="1272">
        <f t="shared" si="593"/>
        <v>10768</v>
      </c>
      <c r="DT242" s="1276">
        <f>+DT228+DT229+DT233+DT234+DT239</f>
        <v>10768</v>
      </c>
      <c r="DU242" s="1272">
        <f>+DU228+DU229+DU233+DU234+DU239</f>
        <v>11308</v>
      </c>
      <c r="DV242" s="1272">
        <f t="shared" si="594"/>
        <v>11850</v>
      </c>
      <c r="DW242" s="1276">
        <f>+DW228+DW229+DW233+DW234+DW239</f>
        <v>11850</v>
      </c>
      <c r="DX242" s="1272">
        <f>+DX228+DX229+DX233+DX234+DX239</f>
        <v>11849</v>
      </c>
      <c r="DY242" s="1272">
        <f t="shared" si="595"/>
        <v>12658.927642012746</v>
      </c>
      <c r="DZ242" s="1276">
        <f>+DZ228+DZ229+DZ233+DZ234+DZ239</f>
        <v>12658.927642012746</v>
      </c>
      <c r="EA242" s="1272">
        <f>+EA228+EA229+EA233+EA234+EA239</f>
        <v>12732.976732319403</v>
      </c>
      <c r="EB242" s="1272">
        <f t="shared" si="596"/>
        <v>13604.793269448141</v>
      </c>
      <c r="EC242" s="1276">
        <f>+EC228+EC229+EC233+EC234+EC239</f>
        <v>13604.793269448141</v>
      </c>
      <c r="ED242" s="1272">
        <f>+ED228+ED229+ED233+ED234+ED239</f>
        <v>13814.611797882717</v>
      </c>
      <c r="EE242" s="1272">
        <f t="shared" si="597"/>
        <v>14705.298504487091</v>
      </c>
      <c r="EF242" s="1276">
        <f>+EF228+EF229+EF233+EF234+EF239</f>
        <v>14705.298504487091</v>
      </c>
      <c r="EG242" s="1272">
        <f>+EG228+EG229+EG233+EG234+EG239</f>
        <v>15452.388646032814</v>
      </c>
      <c r="EH242" s="1272">
        <f t="shared" si="598"/>
        <v>16859.527129323244</v>
      </c>
      <c r="EI242" s="1276">
        <f>+EI228+EI229+EI233+EI234+EI239</f>
        <v>16859.527129323244</v>
      </c>
      <c r="EJ242" s="1272">
        <f>+EJ228+EJ229+EJ233+EJ234+EJ239</f>
        <v>17815.794582119397</v>
      </c>
      <c r="EK242" s="1272">
        <f t="shared" si="599"/>
        <v>19453.63387490384</v>
      </c>
      <c r="EL242" s="1276">
        <f>+EL228+EL229+EL233+EL234+EL239</f>
        <v>19453.63387490384</v>
      </c>
      <c r="EM242" s="1272">
        <f>+EM228+EM229+EM233+EM234+EM239</f>
        <v>20640.54977375449</v>
      </c>
      <c r="EN242" s="1272">
        <f t="shared" si="600"/>
        <v>22479.728276396509</v>
      </c>
      <c r="EO242" s="1276">
        <f>+EO228+EO229+EO233+EO234+EO239</f>
        <v>22479.728276396509</v>
      </c>
      <c r="EP242" s="1272">
        <f>+EP228+EP229+EP233+EP234+EP239</f>
        <v>23821.655286217909</v>
      </c>
      <c r="EQ242" s="1272">
        <f t="shared" si="601"/>
        <v>25805.413595346676</v>
      </c>
      <c r="ER242" s="1276">
        <f>+ER228+ER229+ER233+ER234+ER239</f>
        <v>25805.413595346676</v>
      </c>
      <c r="ES242" s="1272">
        <f>+ES228+ES229+ES233+ES234+ES239</f>
        <v>27281.083100562901</v>
      </c>
      <c r="ET242" s="1272">
        <f t="shared" si="602"/>
        <v>29392.322771119489</v>
      </c>
      <c r="EU242" s="1276">
        <f>+EU228+EU229+EU233+EU234+EU239</f>
        <v>29392.322771119489</v>
      </c>
      <c r="EV242" s="1272">
        <f>+EV228+EV229+EV233+EV234+EV239</f>
        <v>30990.173699352075</v>
      </c>
      <c r="EW242" s="1272">
        <f t="shared" si="603"/>
        <v>33209.022136347936</v>
      </c>
      <c r="EX242" s="1276">
        <f>+EX228+EX229+EX233+EX234+EX239</f>
        <v>33209.022136347936</v>
      </c>
      <c r="EY242" s="1272">
        <f>+EY228+EY229+EY233+EY234+EY239</f>
        <v>34958.490859134661</v>
      </c>
      <c r="EZ242" s="1272">
        <f t="shared" si="604"/>
        <v>37289.774528770111</v>
      </c>
      <c r="FA242" s="1276">
        <f>+FA228+FA229+FA233+FA234+FA239</f>
        <v>37289.774528770111</v>
      </c>
      <c r="FB242" s="1722"/>
      <c r="FD242"/>
      <c r="FE242"/>
      <c r="FF242"/>
      <c r="FG242"/>
      <c r="FH242"/>
      <c r="FI242"/>
      <c r="FJ242" s="33"/>
      <c r="FK242" s="33"/>
      <c r="FL242" s="33"/>
      <c r="FM242" s="33"/>
    </row>
    <row r="243" spans="2:169" s="33" customFormat="1" ht="13.5" thickBot="1">
      <c r="B243" s="54"/>
      <c r="D243" s="2"/>
      <c r="E243" s="32"/>
      <c r="F243" s="32"/>
      <c r="G243" s="32"/>
      <c r="H243" s="32"/>
      <c r="I243" s="32"/>
      <c r="J243" s="32"/>
      <c r="K243" s="32"/>
      <c r="L243" s="32"/>
      <c r="M243" s="32"/>
      <c r="N243" s="32"/>
      <c r="O243" s="32"/>
      <c r="P243" s="32"/>
      <c r="Q243" s="32"/>
      <c r="R243" s="32"/>
      <c r="S243" s="32"/>
      <c r="T243" s="32"/>
      <c r="U243" s="32"/>
      <c r="V243" s="32"/>
      <c r="W243" s="32"/>
      <c r="X243" s="32"/>
      <c r="Y243" s="32"/>
      <c r="Z243" s="32"/>
      <c r="AA243" s="32"/>
      <c r="AB243" s="32"/>
      <c r="AC243" s="32"/>
      <c r="AD243" s="32"/>
      <c r="AE243" s="32"/>
      <c r="AF243" s="32"/>
      <c r="AG243" s="32"/>
      <c r="AH243" s="32"/>
      <c r="AI243" s="32"/>
      <c r="AJ243" s="32"/>
      <c r="AK243" s="32"/>
      <c r="AL243" s="32"/>
      <c r="AM243" s="32"/>
      <c r="AN243" s="32"/>
      <c r="AO243" s="32"/>
      <c r="AP243" s="32"/>
      <c r="AQ243" s="32"/>
      <c r="AR243" s="32"/>
      <c r="AS243" s="32"/>
      <c r="AT243" s="32"/>
      <c r="AU243" s="32"/>
      <c r="AV243" s="32"/>
      <c r="AW243" s="32"/>
      <c r="AX243" s="32"/>
      <c r="AY243" s="32"/>
      <c r="AZ243" s="32"/>
      <c r="BA243" s="32"/>
      <c r="BB243" s="32"/>
      <c r="BC243" s="32"/>
      <c r="BD243" s="32"/>
      <c r="BE243" s="32"/>
      <c r="BF243" s="32"/>
      <c r="BG243" s="32"/>
      <c r="BH243" s="32"/>
      <c r="BI243" s="32"/>
      <c r="BJ243" s="32"/>
      <c r="BK243" s="32"/>
      <c r="BL243" s="32"/>
      <c r="BM243" s="32"/>
      <c r="BN243" s="32"/>
      <c r="BO243" s="32"/>
      <c r="BP243" s="32"/>
      <c r="BQ243" s="32"/>
      <c r="BR243" s="32"/>
      <c r="BS243" s="32"/>
      <c r="BT243" s="32"/>
      <c r="BU243" s="32"/>
      <c r="BV243" s="32"/>
      <c r="BW243" s="32"/>
      <c r="BX243" s="32"/>
      <c r="BY243" s="32"/>
      <c r="BZ243" s="32"/>
      <c r="CA243" s="32"/>
      <c r="CB243" s="32"/>
      <c r="CC243" s="32"/>
      <c r="CD243" s="32"/>
      <c r="CE243" s="32"/>
      <c r="CF243" s="32"/>
      <c r="CG243" s="32"/>
      <c r="CH243" s="32"/>
      <c r="CI243" s="32"/>
      <c r="CJ243" s="32"/>
      <c r="CK243" s="32"/>
      <c r="CL243" s="32"/>
      <c r="CM243" s="32"/>
      <c r="CN243" s="32"/>
      <c r="CO243" s="32"/>
      <c r="CP243" s="32"/>
      <c r="CQ243" s="32"/>
      <c r="CR243" s="32"/>
      <c r="CS243" s="32"/>
      <c r="CT243" s="32"/>
      <c r="CU243" s="32"/>
      <c r="CV243" s="32"/>
      <c r="CW243" s="32"/>
      <c r="CX243" s="32"/>
      <c r="CY243" s="32"/>
      <c r="CZ243" s="32"/>
      <c r="DA243" s="32"/>
      <c r="DB243" s="32"/>
      <c r="DC243" s="32"/>
      <c r="DD243" s="32"/>
      <c r="DE243" s="1061"/>
      <c r="DF243" s="32"/>
      <c r="DG243" s="32"/>
      <c r="DH243" s="1061"/>
      <c r="DI243" s="32"/>
      <c r="DJ243" s="32"/>
      <c r="DK243" s="1061"/>
      <c r="DL243" s="32"/>
      <c r="DM243" s="32"/>
      <c r="DN243" s="1061"/>
      <c r="DO243" s="32"/>
      <c r="DP243" s="32"/>
      <c r="DQ243" s="1061"/>
      <c r="DR243" s="32"/>
      <c r="DS243" s="32"/>
      <c r="DT243" s="1061"/>
      <c r="DU243" s="32"/>
      <c r="DV243" s="32"/>
      <c r="DW243" s="1061"/>
      <c r="DX243" s="32"/>
      <c r="DY243" s="32"/>
      <c r="DZ243" s="1061"/>
      <c r="EA243" s="32"/>
      <c r="EB243" s="32"/>
      <c r="EC243" s="1061"/>
      <c r="ED243" s="32"/>
      <c r="EE243" s="32"/>
      <c r="EF243" s="1061"/>
      <c r="EG243" s="32"/>
      <c r="EH243" s="32"/>
      <c r="EI243" s="1061"/>
      <c r="EJ243" s="32"/>
      <c r="EK243" s="32"/>
      <c r="EL243" s="1061"/>
      <c r="EM243" s="32"/>
      <c r="EN243" s="32"/>
      <c r="EO243" s="1061"/>
      <c r="EP243" s="32"/>
      <c r="EQ243" s="32"/>
      <c r="ER243" s="1061"/>
      <c r="ES243" s="32"/>
      <c r="ET243" s="32"/>
      <c r="EU243" s="1061"/>
      <c r="EV243" s="32"/>
      <c r="EW243" s="32"/>
      <c r="EX243" s="1061"/>
      <c r="EY243" s="32"/>
      <c r="EZ243" s="32"/>
      <c r="FA243" s="1061"/>
      <c r="FD243"/>
      <c r="FE243"/>
      <c r="FF243"/>
      <c r="FG243"/>
      <c r="FH243"/>
      <c r="FI243"/>
    </row>
    <row r="244" spans="2:169" s="33" customFormat="1" ht="13.9" customHeight="1" thickBot="1">
      <c r="B244" s="54" t="s">
        <v>169</v>
      </c>
      <c r="C244" s="2"/>
      <c r="D244" s="2" t="s">
        <v>506</v>
      </c>
      <c r="E244" s="1172"/>
      <c r="F244" s="32">
        <f t="shared" ref="F244:F261" si="605">+G244</f>
        <v>0</v>
      </c>
      <c r="G244" s="1231"/>
      <c r="H244" s="1174"/>
      <c r="I244" s="32">
        <f t="shared" ref="I244:I261" si="606">+J244</f>
        <v>0</v>
      </c>
      <c r="J244" s="1231"/>
      <c r="K244" s="1174"/>
      <c r="L244" s="32">
        <f t="shared" ref="L244:L261" si="607">+M244</f>
        <v>0</v>
      </c>
      <c r="M244" s="1231"/>
      <c r="N244" s="1174"/>
      <c r="O244" s="32">
        <f t="shared" ref="O244:O261" si="608">+P244</f>
        <v>0</v>
      </c>
      <c r="P244" s="1231"/>
      <c r="Q244" s="1174"/>
      <c r="R244" s="32">
        <f t="shared" ref="R244:R261" si="609">+S244</f>
        <v>0</v>
      </c>
      <c r="S244" s="1231"/>
      <c r="T244" s="1174"/>
      <c r="U244" s="32">
        <f t="shared" ref="U244:U261" si="610">+V244</f>
        <v>0</v>
      </c>
      <c r="V244" s="1231"/>
      <c r="W244" s="1174"/>
      <c r="X244" s="32">
        <f t="shared" ref="X244:X261" si="611">+Y244</f>
        <v>0</v>
      </c>
      <c r="Y244" s="1231"/>
      <c r="Z244" s="1174"/>
      <c r="AA244" s="32">
        <f t="shared" ref="AA244:AA261" si="612">+AB244</f>
        <v>0</v>
      </c>
      <c r="AB244" s="1231"/>
      <c r="AC244" s="1174"/>
      <c r="AD244" s="32">
        <f t="shared" ref="AD244:AD261" si="613">+AE244</f>
        <v>0</v>
      </c>
      <c r="AE244" s="1231"/>
      <c r="AF244" s="1174"/>
      <c r="AG244" s="32">
        <f t="shared" ref="AG244:AG261" si="614">+AH244</f>
        <v>0</v>
      </c>
      <c r="AH244" s="1231"/>
      <c r="AI244" s="1174"/>
      <c r="AJ244" s="32">
        <f t="shared" ref="AJ244:AJ261" si="615">+AK244</f>
        <v>0</v>
      </c>
      <c r="AK244" s="1231"/>
      <c r="AL244" s="1174"/>
      <c r="AM244" s="32">
        <f t="shared" ref="AM244:AM261" si="616">+AN244</f>
        <v>0</v>
      </c>
      <c r="AN244" s="1231"/>
      <c r="AO244" s="1174"/>
      <c r="AP244" s="32">
        <f t="shared" ref="AP244:AP261" si="617">+AQ244</f>
        <v>0</v>
      </c>
      <c r="AQ244" s="1231"/>
      <c r="AR244" s="1174"/>
      <c r="AS244" s="32">
        <f t="shared" ref="AS244:AS261" si="618">+AT244</f>
        <v>0</v>
      </c>
      <c r="AT244" s="1231"/>
      <c r="AU244" s="1174"/>
      <c r="AV244" s="32">
        <f t="shared" ref="AV244:AV261" si="619">+AW244</f>
        <v>0</v>
      </c>
      <c r="AW244" s="1231"/>
      <c r="AX244" s="1174"/>
      <c r="AY244" s="32">
        <f t="shared" ref="AY244:AY261" si="620">+AZ244</f>
        <v>0</v>
      </c>
      <c r="AZ244" s="1231"/>
      <c r="BA244" s="1174"/>
      <c r="BB244" s="32">
        <f t="shared" ref="BB244:BB261" si="621">+BC244</f>
        <v>0</v>
      </c>
      <c r="BC244" s="1231"/>
      <c r="BD244" s="1174"/>
      <c r="BE244" s="32">
        <f t="shared" ref="BE244:BE261" si="622">+BF244</f>
        <v>0</v>
      </c>
      <c r="BF244" s="1231"/>
      <c r="BG244" s="1174"/>
      <c r="BH244" s="32">
        <f t="shared" ref="BH244:BH261" si="623">+BI244</f>
        <v>0</v>
      </c>
      <c r="BI244" s="1231"/>
      <c r="BJ244" s="1174"/>
      <c r="BK244" s="32">
        <f t="shared" ref="BK244:BK261" si="624">+BL244</f>
        <v>0</v>
      </c>
      <c r="BL244" s="1231"/>
      <c r="BM244" s="1174"/>
      <c r="BN244" s="32">
        <f t="shared" ref="BN244:BN261" si="625">+BO244</f>
        <v>0</v>
      </c>
      <c r="BO244" s="1231"/>
      <c r="BP244" s="1174"/>
      <c r="BQ244" s="32">
        <f t="shared" ref="BQ244:BQ261" si="626">+BR244</f>
        <v>0</v>
      </c>
      <c r="BR244" s="1231"/>
      <c r="BS244" s="1174"/>
      <c r="BT244" s="32">
        <f t="shared" ref="BT244:BT261" si="627">+BU244</f>
        <v>0</v>
      </c>
      <c r="BU244" s="1231"/>
      <c r="BV244" s="1174"/>
      <c r="BW244" s="32">
        <f t="shared" ref="BW244:BW261" si="628">+BX244</f>
        <v>8</v>
      </c>
      <c r="BX244" s="1233">
        <v>8</v>
      </c>
      <c r="BY244" s="1174"/>
      <c r="BZ244" s="32">
        <f t="shared" ref="BZ244:BZ261" si="629">+CA244</f>
        <v>8</v>
      </c>
      <c r="CA244" s="1233">
        <v>8</v>
      </c>
      <c r="CB244" s="1174"/>
      <c r="CC244" s="32">
        <f t="shared" ref="CC244:CC261" si="630">+CD244</f>
        <v>6</v>
      </c>
      <c r="CD244" s="1233">
        <v>6</v>
      </c>
      <c r="CE244" s="1174"/>
      <c r="CF244" s="32">
        <f t="shared" ref="CF244:CF261" si="631">+CG244</f>
        <v>5</v>
      </c>
      <c r="CG244" s="1233">
        <v>5</v>
      </c>
      <c r="CH244" s="1180">
        <v>4.4870000000000001</v>
      </c>
      <c r="CI244" s="32">
        <f t="shared" ref="CI244:CI261" si="632">+CJ244</f>
        <v>11.4</v>
      </c>
      <c r="CJ244" s="1253">
        <f>1.1+10.3</f>
        <v>11.4</v>
      </c>
      <c r="CK244" s="1174">
        <f>8.6+1</f>
        <v>9.6</v>
      </c>
      <c r="CL244" s="32">
        <f t="shared" ref="CL244:CL261" si="633">+CM244</f>
        <v>9.6</v>
      </c>
      <c r="CM244" s="1172">
        <f>8.6+1</f>
        <v>9.6</v>
      </c>
      <c r="CN244" s="1180">
        <v>9.6</v>
      </c>
      <c r="CO244" s="32">
        <f t="shared" ref="CO244:CO261" si="634">+CP244</f>
        <v>9.1999999999999993</v>
      </c>
      <c r="CP244" s="1172">
        <f>8.2+1</f>
        <v>9.1999999999999993</v>
      </c>
      <c r="CQ244" s="1174">
        <f>8+0.7</f>
        <v>8.6999999999999993</v>
      </c>
      <c r="CR244" s="32">
        <f t="shared" ref="CR244:CR261" si="635">+CS244</f>
        <v>11.2</v>
      </c>
      <c r="CS244" s="1172">
        <f>11.2</f>
        <v>11.2</v>
      </c>
      <c r="CT244" s="1180">
        <v>18.100000000000001</v>
      </c>
      <c r="CU244" s="32">
        <f t="shared" ref="CU244:CU261" si="636">+CV244</f>
        <v>15.6</v>
      </c>
      <c r="CV244" s="1233">
        <v>15.6</v>
      </c>
      <c r="CW244" s="1180">
        <v>15.4</v>
      </c>
      <c r="CX244" s="32">
        <f t="shared" ref="CX244:CX261" si="637">+CY244</f>
        <v>16.5</v>
      </c>
      <c r="CY244" s="1233">
        <v>16.5</v>
      </c>
      <c r="CZ244" s="1174">
        <v>19.600000000000001</v>
      </c>
      <c r="DA244" s="32">
        <f t="shared" ref="DA244:DA261" si="638">+DB244</f>
        <v>15.3</v>
      </c>
      <c r="DB244" s="1172">
        <v>15.3</v>
      </c>
      <c r="DC244" s="1174">
        <v>21.4</v>
      </c>
      <c r="DD244" s="32">
        <f t="shared" ref="DD244:DD261" si="639">+DE244</f>
        <v>21.6</v>
      </c>
      <c r="DE244" s="1555">
        <v>21.6</v>
      </c>
      <c r="DF244" s="1552">
        <v>16.5</v>
      </c>
      <c r="DG244" s="1530">
        <f t="shared" ref="DG244:DG261" si="640">+DH244</f>
        <v>14.3</v>
      </c>
      <c r="DH244" s="1557">
        <v>14.3</v>
      </c>
      <c r="DI244" s="1554">
        <v>9.4</v>
      </c>
      <c r="DJ244" s="1530">
        <f t="shared" ref="DJ244:DJ261" si="641">+DK244</f>
        <v>6.6</v>
      </c>
      <c r="DK244" s="1557">
        <v>6.6</v>
      </c>
      <c r="DL244" s="1530">
        <v>0</v>
      </c>
      <c r="DM244" s="1530">
        <f t="shared" ref="DM244:DM261" si="642">+DN244</f>
        <v>12.8</v>
      </c>
      <c r="DN244" s="1531">
        <v>12.8</v>
      </c>
      <c r="DO244" s="1558">
        <v>83.3</v>
      </c>
      <c r="DP244" s="1530">
        <f t="shared" ref="DP244:DP261" si="643">+DQ244</f>
        <v>96</v>
      </c>
      <c r="DQ244" s="1532">
        <v>96</v>
      </c>
      <c r="DR244" s="1558">
        <v>124</v>
      </c>
      <c r="DS244" s="1530">
        <f t="shared" ref="DS244:DS261" si="644">+DT244</f>
        <v>158</v>
      </c>
      <c r="DT244" s="1532">
        <v>158</v>
      </c>
      <c r="DU244" s="1558">
        <v>165</v>
      </c>
      <c r="DV244" s="1530">
        <f t="shared" ref="DV244:DV261" si="645">+DW244</f>
        <v>189</v>
      </c>
      <c r="DW244" s="1532">
        <v>189</v>
      </c>
      <c r="DX244" s="1558">
        <v>183</v>
      </c>
      <c r="DY244" s="32">
        <f>IF(Assumptions!DY184&lt;&gt;"",Assumptions!DY184,0)</f>
        <v>183</v>
      </c>
      <c r="DZ244" s="1061">
        <f>+DY244</f>
        <v>183</v>
      </c>
      <c r="EA244" s="32">
        <f>IF(Assumptions!EA184&lt;&gt;"",Assumptions!EA184,0)</f>
        <v>183</v>
      </c>
      <c r="EB244" s="32">
        <f t="shared" ref="EB244:EB261" si="646">+EC244</f>
        <v>183</v>
      </c>
      <c r="EC244" s="1061">
        <f>IF(Assumptions!EC184&lt;&gt;"",Assumptions!EC184,0)</f>
        <v>183</v>
      </c>
      <c r="ED244" s="32">
        <f>IF(Assumptions!ED184&lt;&gt;"",Assumptions!ED184,0)</f>
        <v>183</v>
      </c>
      <c r="EE244" s="32">
        <f t="shared" ref="EE244:EE261" si="647">+EF244</f>
        <v>183</v>
      </c>
      <c r="EF244" s="1061">
        <f>IF(Assumptions!EF184&lt;&gt;"",Assumptions!EF184,0)</f>
        <v>183</v>
      </c>
      <c r="EG244" s="32">
        <f>IF(Assumptions!EG184&lt;&gt;"",Assumptions!EG184,0)</f>
        <v>183</v>
      </c>
      <c r="EH244" s="32">
        <f t="shared" ref="EH244:EH261" si="648">+EI244</f>
        <v>183</v>
      </c>
      <c r="EI244" s="1061">
        <f>IF(Assumptions!EI184&lt;&gt;"",Assumptions!EI184,0)</f>
        <v>183</v>
      </c>
      <c r="EJ244" s="32">
        <f>IF(Assumptions!EJ184&lt;&gt;"",Assumptions!EJ184,0)</f>
        <v>183</v>
      </c>
      <c r="EK244" s="32">
        <f t="shared" ref="EK244:EK261" si="649">+EL244</f>
        <v>183</v>
      </c>
      <c r="EL244" s="1061">
        <f>IF(Assumptions!EL184&lt;&gt;"",Assumptions!EL184,0)</f>
        <v>183</v>
      </c>
      <c r="EM244" s="32">
        <f>IF(Assumptions!EM184&lt;&gt;"",Assumptions!EM184,0)</f>
        <v>183</v>
      </c>
      <c r="EN244" s="32">
        <f t="shared" ref="EN244:EN261" si="650">+EO244</f>
        <v>183</v>
      </c>
      <c r="EO244" s="1061">
        <f>IF(Assumptions!EO184&lt;&gt;"",Assumptions!EO184,0)</f>
        <v>183</v>
      </c>
      <c r="EP244" s="32">
        <f>IF(Assumptions!EP184&lt;&gt;"",Assumptions!EP184,0)</f>
        <v>183</v>
      </c>
      <c r="EQ244" s="32">
        <f t="shared" ref="EQ244:EQ261" si="651">+ER244</f>
        <v>183</v>
      </c>
      <c r="ER244" s="1061">
        <f>IF(Assumptions!ER184&lt;&gt;"",Assumptions!ER184,0)</f>
        <v>183</v>
      </c>
      <c r="ES244" s="32">
        <f>IF(Assumptions!ES184&lt;&gt;"",Assumptions!ES184,0)</f>
        <v>183</v>
      </c>
      <c r="ET244" s="32">
        <f t="shared" ref="ET244:ET261" si="652">+EU244</f>
        <v>183</v>
      </c>
      <c r="EU244" s="1061">
        <f>IF(Assumptions!EU184&lt;&gt;"",Assumptions!EU184,0)</f>
        <v>183</v>
      </c>
      <c r="EV244" s="32">
        <f>IF(Assumptions!EV184&lt;&gt;"",Assumptions!EV184,0)</f>
        <v>183</v>
      </c>
      <c r="EW244" s="32">
        <f t="shared" ref="EW244:EW261" si="653">+EX244</f>
        <v>183</v>
      </c>
      <c r="EX244" s="1061">
        <f>IF(Assumptions!EX184&lt;&gt;"",Assumptions!EX184,0)</f>
        <v>183</v>
      </c>
      <c r="EY244" s="32">
        <f>IF(Assumptions!EY184&lt;&gt;"",Assumptions!EY184,0)</f>
        <v>183</v>
      </c>
      <c r="EZ244" s="32">
        <f t="shared" ref="EZ244:EZ261" si="654">+FA244</f>
        <v>183</v>
      </c>
      <c r="FA244" s="1061">
        <f>IF(Assumptions!FA184&lt;&gt;"",Assumptions!FA184,0)</f>
        <v>183</v>
      </c>
      <c r="FB244" s="1243"/>
      <c r="FD244"/>
      <c r="FE244"/>
      <c r="FF244"/>
      <c r="FG244"/>
      <c r="FH244"/>
      <c r="FI244"/>
    </row>
    <row r="245" spans="2:169" s="33" customFormat="1" ht="13.9" customHeight="1" thickBot="1">
      <c r="B245" s="54" t="s">
        <v>675</v>
      </c>
      <c r="C245" s="2"/>
      <c r="D245" s="2" t="s">
        <v>506</v>
      </c>
      <c r="E245" s="32">
        <f>+SUM(E246:E247)</f>
        <v>0</v>
      </c>
      <c r="F245" s="32">
        <f t="shared" si="605"/>
        <v>0</v>
      </c>
      <c r="G245" s="32">
        <f>+SUM(G246:G247)</f>
        <v>0</v>
      </c>
      <c r="H245" s="32">
        <f>+SUM(H246:H247)</f>
        <v>0</v>
      </c>
      <c r="I245" s="32">
        <f t="shared" si="606"/>
        <v>0</v>
      </c>
      <c r="J245" s="32">
        <f>+SUM(J246:J247)</f>
        <v>0</v>
      </c>
      <c r="K245" s="32">
        <f>+SUM(K246:K247)</f>
        <v>0</v>
      </c>
      <c r="L245" s="32">
        <f t="shared" si="607"/>
        <v>0</v>
      </c>
      <c r="M245" s="32">
        <f>+SUM(M246:M247)</f>
        <v>0</v>
      </c>
      <c r="N245" s="32">
        <f>+SUM(N246:N247)</f>
        <v>0</v>
      </c>
      <c r="O245" s="32">
        <f t="shared" si="608"/>
        <v>0</v>
      </c>
      <c r="P245" s="32">
        <f>+SUM(P246:P247)</f>
        <v>0</v>
      </c>
      <c r="Q245" s="32">
        <f>+SUM(Q246:Q247)</f>
        <v>0</v>
      </c>
      <c r="R245" s="32">
        <f t="shared" si="609"/>
        <v>0</v>
      </c>
      <c r="S245" s="32">
        <f>+SUM(S246:S247)</f>
        <v>0</v>
      </c>
      <c r="T245" s="32">
        <f>+SUM(T246:T247)</f>
        <v>0</v>
      </c>
      <c r="U245" s="32">
        <f t="shared" si="610"/>
        <v>0</v>
      </c>
      <c r="V245" s="32">
        <f>+SUM(V246:V247)</f>
        <v>0</v>
      </c>
      <c r="W245" s="32">
        <f>+SUM(W246:W247)</f>
        <v>0</v>
      </c>
      <c r="X245" s="32">
        <f t="shared" si="611"/>
        <v>0</v>
      </c>
      <c r="Y245" s="32">
        <f>+SUM(Y246:Y247)</f>
        <v>0</v>
      </c>
      <c r="Z245" s="32">
        <f>+SUM(Z246:Z247)</f>
        <v>0</v>
      </c>
      <c r="AA245" s="32">
        <f t="shared" si="612"/>
        <v>0</v>
      </c>
      <c r="AB245" s="32">
        <f>+SUM(AB246:AB247)</f>
        <v>0</v>
      </c>
      <c r="AC245" s="32">
        <f>+SUM(AC246:AC247)</f>
        <v>0</v>
      </c>
      <c r="AD245" s="32">
        <f t="shared" si="613"/>
        <v>0</v>
      </c>
      <c r="AE245" s="32">
        <f>+SUM(AE246:AE247)</f>
        <v>0</v>
      </c>
      <c r="AF245" s="32">
        <f>+SUM(AF246:AF247)</f>
        <v>0</v>
      </c>
      <c r="AG245" s="32">
        <f t="shared" si="614"/>
        <v>0</v>
      </c>
      <c r="AH245" s="32">
        <f>+SUM(AH246:AH247)</f>
        <v>0</v>
      </c>
      <c r="AI245" s="32">
        <f>+SUM(AI246:AI247)</f>
        <v>0</v>
      </c>
      <c r="AJ245" s="32">
        <f t="shared" si="615"/>
        <v>0</v>
      </c>
      <c r="AK245" s="32">
        <f>+SUM(AK246:AK247)</f>
        <v>0</v>
      </c>
      <c r="AL245" s="32">
        <f>+SUM(AL246:AL247)</f>
        <v>0</v>
      </c>
      <c r="AM245" s="32">
        <f t="shared" si="616"/>
        <v>0</v>
      </c>
      <c r="AN245" s="32">
        <f>+SUM(AN246:AN247)</f>
        <v>0</v>
      </c>
      <c r="AO245" s="32">
        <f>+SUM(AO246:AO247)</f>
        <v>0</v>
      </c>
      <c r="AP245" s="32">
        <f t="shared" si="617"/>
        <v>0</v>
      </c>
      <c r="AQ245" s="32">
        <f>+SUM(AQ246:AQ247)</f>
        <v>0</v>
      </c>
      <c r="AR245" s="32">
        <f>+SUM(AR246:AR247)</f>
        <v>0</v>
      </c>
      <c r="AS245" s="32">
        <f t="shared" si="618"/>
        <v>0</v>
      </c>
      <c r="AT245" s="32">
        <f>+SUM(AT246:AT247)</f>
        <v>0</v>
      </c>
      <c r="AU245" s="32">
        <f>+SUM(AU246:AU247)</f>
        <v>0</v>
      </c>
      <c r="AV245" s="32">
        <f t="shared" si="619"/>
        <v>0</v>
      </c>
      <c r="AW245" s="32">
        <f>+SUM(AW246:AW247)</f>
        <v>0</v>
      </c>
      <c r="AX245" s="32">
        <f>+SUM(AX246:AX247)</f>
        <v>0</v>
      </c>
      <c r="AY245" s="32">
        <f t="shared" si="620"/>
        <v>0</v>
      </c>
      <c r="AZ245" s="32">
        <f>+SUM(AZ246:AZ247)</f>
        <v>0</v>
      </c>
      <c r="BA245" s="32">
        <f>+SUM(BA246:BA247)</f>
        <v>0</v>
      </c>
      <c r="BB245" s="32">
        <f t="shared" si="621"/>
        <v>0</v>
      </c>
      <c r="BC245" s="32">
        <f>+SUM(BC246:BC247)</f>
        <v>0</v>
      </c>
      <c r="BD245" s="32">
        <f>+SUM(BD246:BD247)</f>
        <v>0</v>
      </c>
      <c r="BE245" s="32">
        <f t="shared" si="622"/>
        <v>0</v>
      </c>
      <c r="BF245" s="32">
        <f>+SUM(BF246:BF247)</f>
        <v>0</v>
      </c>
      <c r="BG245" s="32">
        <f>+SUM(BG246:BG247)</f>
        <v>0</v>
      </c>
      <c r="BH245" s="32">
        <f t="shared" si="623"/>
        <v>0</v>
      </c>
      <c r="BI245" s="32">
        <f>+SUM(BI246:BI247)</f>
        <v>0</v>
      </c>
      <c r="BJ245" s="32">
        <f>+SUM(BJ246:BJ247)</f>
        <v>0</v>
      </c>
      <c r="BK245" s="32">
        <f t="shared" si="624"/>
        <v>0</v>
      </c>
      <c r="BL245" s="32">
        <f>+SUM(BL246:BL247)</f>
        <v>0</v>
      </c>
      <c r="BM245" s="32">
        <f>+SUM(BM246:BM247)</f>
        <v>0</v>
      </c>
      <c r="BN245" s="32">
        <f t="shared" si="625"/>
        <v>0</v>
      </c>
      <c r="BO245" s="32">
        <f>+SUM(BO246:BO247)</f>
        <v>0</v>
      </c>
      <c r="BP245" s="32">
        <f>+SUM(BP246:BP247)</f>
        <v>0</v>
      </c>
      <c r="BQ245" s="32">
        <f t="shared" si="626"/>
        <v>0</v>
      </c>
      <c r="BR245" s="32">
        <f>+SUM(BR246:BR247)</f>
        <v>0</v>
      </c>
      <c r="BS245" s="32">
        <f>+SUM(BS246:BS247)</f>
        <v>0</v>
      </c>
      <c r="BT245" s="32">
        <f t="shared" si="627"/>
        <v>0</v>
      </c>
      <c r="BU245" s="32">
        <f>+SUM(BU246:BU247)</f>
        <v>0</v>
      </c>
      <c r="BV245" s="32">
        <f>+SUM(BV246:BV247)</f>
        <v>0</v>
      </c>
      <c r="BW245" s="32">
        <f t="shared" si="628"/>
        <v>939</v>
      </c>
      <c r="BX245" s="32">
        <f>+SUM(BX246:BX247)</f>
        <v>939</v>
      </c>
      <c r="BY245" s="32">
        <f>+SUM(BY246:BY247)</f>
        <v>0</v>
      </c>
      <c r="BZ245" s="32">
        <f t="shared" si="629"/>
        <v>972</v>
      </c>
      <c r="CA245" s="32">
        <f>+SUM(CA246:CA247)</f>
        <v>972</v>
      </c>
      <c r="CB245" s="32">
        <f>+SUM(CB246:CB247)</f>
        <v>0</v>
      </c>
      <c r="CC245" s="32">
        <f t="shared" si="630"/>
        <v>1029</v>
      </c>
      <c r="CD245" s="32">
        <f>+SUM(CD246:CD247)</f>
        <v>1029</v>
      </c>
      <c r="CE245" s="32">
        <f>+SUM(CE246:CE247)</f>
        <v>0</v>
      </c>
      <c r="CF245" s="32">
        <f t="shared" si="631"/>
        <v>1297</v>
      </c>
      <c r="CG245" s="32">
        <f>+SUM(CG246:CG247)</f>
        <v>1297</v>
      </c>
      <c r="CH245" s="32">
        <f>+SUM(CH246:CH247)</f>
        <v>1262.326</v>
      </c>
      <c r="CI245" s="32">
        <f t="shared" si="632"/>
        <v>1361.7</v>
      </c>
      <c r="CJ245" s="32">
        <f>+SUM(CJ246:CJ247)</f>
        <v>1361.7</v>
      </c>
      <c r="CK245" s="32">
        <f>+SUM(CK246:CK247)</f>
        <v>1587.2</v>
      </c>
      <c r="CL245" s="32">
        <f t="shared" si="633"/>
        <v>1587.2</v>
      </c>
      <c r="CM245" s="32">
        <f>+SUM(CM246:CM247)</f>
        <v>1587.2</v>
      </c>
      <c r="CN245" s="32">
        <f>+SUM(CN246:CN247)</f>
        <v>1684.4</v>
      </c>
      <c r="CO245" s="32">
        <f t="shared" si="634"/>
        <v>1831</v>
      </c>
      <c r="CP245" s="32">
        <f>+SUM(CP246:CP247)</f>
        <v>1831</v>
      </c>
      <c r="CQ245" s="32">
        <f>+SUM(CQ246:CQ247)</f>
        <v>1752.6</v>
      </c>
      <c r="CR245" s="32">
        <f t="shared" si="635"/>
        <v>1841.3</v>
      </c>
      <c r="CS245" s="32">
        <f>+SUM(CS246:CS247)</f>
        <v>1841.3</v>
      </c>
      <c r="CT245" s="32">
        <f>+SUM(CT246:CT247)</f>
        <v>2146.8000000000002</v>
      </c>
      <c r="CU245" s="32">
        <f t="shared" si="636"/>
        <v>2389.6</v>
      </c>
      <c r="CV245" s="32">
        <f>+SUM(CV246:CV247)</f>
        <v>2389.6</v>
      </c>
      <c r="CW245" s="32">
        <f>+SUM(CW246:CW247)</f>
        <v>2521.4</v>
      </c>
      <c r="CX245" s="32">
        <f t="shared" si="637"/>
        <v>2942.7</v>
      </c>
      <c r="CY245" s="32">
        <f>+SUM(CY246:CY247)</f>
        <v>2942.7</v>
      </c>
      <c r="CZ245" s="32">
        <f>+SUM(CZ246:CZ247)</f>
        <v>3193</v>
      </c>
      <c r="DA245" s="32">
        <f t="shared" si="638"/>
        <v>3551.4</v>
      </c>
      <c r="DB245" s="32">
        <f>+SUM(DB246:DB247)</f>
        <v>3551.4</v>
      </c>
      <c r="DC245" s="32">
        <f>+SUM(DC246:DC247)</f>
        <v>3786.9</v>
      </c>
      <c r="DD245" s="32">
        <f t="shared" si="639"/>
        <v>4484.3</v>
      </c>
      <c r="DE245" s="1061">
        <f>+SUM(DE246:DE247)</f>
        <v>4484.3</v>
      </c>
      <c r="DF245" s="32">
        <f>+SUM(DF246:DF247)</f>
        <v>5868.2</v>
      </c>
      <c r="DG245" s="32">
        <f t="shared" si="640"/>
        <v>6305.4</v>
      </c>
      <c r="DH245" s="1061">
        <f>+SUM(DH246:DH247)</f>
        <v>6305.4</v>
      </c>
      <c r="DI245" s="32">
        <f>+SUM(DI246:DI247)</f>
        <v>6842.9000000000005</v>
      </c>
      <c r="DJ245" s="32">
        <f t="shared" si="641"/>
        <v>7536</v>
      </c>
      <c r="DK245" s="1061">
        <f>+SUM(DK246:DK247)</f>
        <v>7536</v>
      </c>
      <c r="DL245" s="32">
        <f>+SUM(DL246:DL247)</f>
        <v>7734.7999999999993</v>
      </c>
      <c r="DM245" s="32">
        <f t="shared" si="642"/>
        <v>8308.6</v>
      </c>
      <c r="DN245" s="1061">
        <f>+SUM(DN246:DN247)</f>
        <v>8308.6</v>
      </c>
      <c r="DO245" s="32">
        <f>+SUM(DO246:DO247)</f>
        <v>8740.1999999999989</v>
      </c>
      <c r="DP245" s="32">
        <f t="shared" si="643"/>
        <v>9352</v>
      </c>
      <c r="DQ245" s="1061">
        <f>+SUM(DQ246:DQ247)</f>
        <v>9352</v>
      </c>
      <c r="DR245" s="32">
        <f>+SUM(DR246:DR247)</f>
        <v>9562</v>
      </c>
      <c r="DS245" s="32">
        <f t="shared" si="644"/>
        <v>9658</v>
      </c>
      <c r="DT245" s="1061">
        <f>+SUM(DT246:DT247)</f>
        <v>9658</v>
      </c>
      <c r="DU245" s="32">
        <f>+SUM(DU246:DU247)</f>
        <v>9601</v>
      </c>
      <c r="DV245" s="32">
        <f t="shared" si="645"/>
        <v>9797</v>
      </c>
      <c r="DW245" s="1061">
        <f>+SUM(DW246:DW247)</f>
        <v>9797</v>
      </c>
      <c r="DX245" s="32">
        <f>+SUM(DX246:DX247)</f>
        <v>9315</v>
      </c>
      <c r="DY245" s="32">
        <f t="shared" ref="DY245:DY261" si="655">+DZ245</f>
        <v>9521.6172259852574</v>
      </c>
      <c r="DZ245" s="1061">
        <f>+SUM(DZ246:DZ247)</f>
        <v>9521.6172259852574</v>
      </c>
      <c r="EA245" s="32">
        <f>+SUM(EA246:EA247)</f>
        <v>9665.3941853724955</v>
      </c>
      <c r="EB245" s="32">
        <f t="shared" si="646"/>
        <v>9800.8562596785923</v>
      </c>
      <c r="EC245" s="1061">
        <f>+SUM(EC246:EC247)</f>
        <v>9800.8562596785923</v>
      </c>
      <c r="ED245" s="32">
        <f>+SUM(ED246:ED247)</f>
        <v>10018.337450803869</v>
      </c>
      <c r="EE245" s="32">
        <f t="shared" si="647"/>
        <v>10224.690022037781</v>
      </c>
      <c r="EF245" s="1061">
        <f>+SUM(EF246:EF247)</f>
        <v>10224.690022037781</v>
      </c>
      <c r="EG245" s="32">
        <f>+SUM(EG246:EG247)</f>
        <v>10430.341330284591</v>
      </c>
      <c r="EH245" s="32">
        <f t="shared" si="648"/>
        <v>10629.398326449314</v>
      </c>
      <c r="EI245" s="1061">
        <f>+SUM(EI246:EI247)</f>
        <v>10629.398326449314</v>
      </c>
      <c r="EJ245" s="32">
        <f>+SUM(EJ246:EJ247)</f>
        <v>10745.300917564302</v>
      </c>
      <c r="EK245" s="32">
        <f t="shared" si="649"/>
        <v>10865.363284392764</v>
      </c>
      <c r="EL245" s="1061">
        <f>+SUM(EL246:EL247)</f>
        <v>10865.363284392764</v>
      </c>
      <c r="EM245" s="32">
        <f>+SUM(EM246:EM247)</f>
        <v>10880.162512139568</v>
      </c>
      <c r="EN245" s="32">
        <f t="shared" si="650"/>
        <v>10909.182789202179</v>
      </c>
      <c r="EO245" s="1061">
        <f>+SUM(EO246:EO247)</f>
        <v>10909.182789202179</v>
      </c>
      <c r="EP245" s="32">
        <f>+SUM(EP246:EP247)</f>
        <v>10924.304520168049</v>
      </c>
      <c r="EQ245" s="32">
        <f t="shared" si="651"/>
        <v>10955.657509092371</v>
      </c>
      <c r="ER245" s="1061">
        <f>+SUM(ER246:ER247)</f>
        <v>10955.657509092371</v>
      </c>
      <c r="ES245" s="32">
        <f>+SUM(ES246:ES247)</f>
        <v>10971.2104520298</v>
      </c>
      <c r="ET245" s="32">
        <f t="shared" si="652"/>
        <v>11003.982534130344</v>
      </c>
      <c r="EU245" s="1061">
        <f>+SUM(EU246:EU247)</f>
        <v>11003.982534130344</v>
      </c>
      <c r="EV245" s="32">
        <f>+SUM(EV246:EV247)</f>
        <v>11021.055901281192</v>
      </c>
      <c r="EW245" s="32">
        <f t="shared" si="653"/>
        <v>11055.339228917221</v>
      </c>
      <c r="EX245" s="1061">
        <f>+SUM(EX246:EX247)</f>
        <v>11055.339228917221</v>
      </c>
      <c r="EY245" s="32">
        <f>+SUM(EY246:EY247)</f>
        <v>11074.028082700388</v>
      </c>
      <c r="EZ245" s="32">
        <f t="shared" si="654"/>
        <v>11109.920973899303</v>
      </c>
      <c r="FA245" s="1061">
        <f>+SUM(FA246:FA247)</f>
        <v>11109.920973899303</v>
      </c>
      <c r="FB245" s="1243"/>
      <c r="FD245"/>
      <c r="FE245"/>
      <c r="FF245"/>
      <c r="FG245"/>
      <c r="FH245"/>
      <c r="FI245"/>
    </row>
    <row r="246" spans="2:169" s="33" customFormat="1" ht="13.15" customHeight="1" outlineLevel="1">
      <c r="B246" s="54" t="s">
        <v>676</v>
      </c>
      <c r="C246" s="2"/>
      <c r="D246" s="2" t="s">
        <v>506</v>
      </c>
      <c r="E246" s="1183"/>
      <c r="F246" s="32">
        <f t="shared" si="605"/>
        <v>0</v>
      </c>
      <c r="G246" s="1215"/>
      <c r="H246" s="1185"/>
      <c r="I246" s="32">
        <f t="shared" si="606"/>
        <v>0</v>
      </c>
      <c r="J246" s="1215"/>
      <c r="K246" s="1185"/>
      <c r="L246" s="32">
        <f t="shared" si="607"/>
        <v>0</v>
      </c>
      <c r="M246" s="1215"/>
      <c r="N246" s="1185"/>
      <c r="O246" s="32">
        <f t="shared" si="608"/>
        <v>0</v>
      </c>
      <c r="P246" s="1215"/>
      <c r="Q246" s="1185"/>
      <c r="R246" s="32">
        <f t="shared" si="609"/>
        <v>0</v>
      </c>
      <c r="S246" s="1215"/>
      <c r="T246" s="1185"/>
      <c r="U246" s="32">
        <f t="shared" si="610"/>
        <v>0</v>
      </c>
      <c r="V246" s="1215"/>
      <c r="W246" s="1185"/>
      <c r="X246" s="32">
        <f t="shared" si="611"/>
        <v>0</v>
      </c>
      <c r="Y246" s="1215"/>
      <c r="Z246" s="1185"/>
      <c r="AA246" s="32">
        <f t="shared" si="612"/>
        <v>0</v>
      </c>
      <c r="AB246" s="1215"/>
      <c r="AC246" s="1185"/>
      <c r="AD246" s="32">
        <f t="shared" si="613"/>
        <v>0</v>
      </c>
      <c r="AE246" s="1215"/>
      <c r="AF246" s="1185"/>
      <c r="AG246" s="32">
        <f t="shared" si="614"/>
        <v>0</v>
      </c>
      <c r="AH246" s="1215"/>
      <c r="AI246" s="1185"/>
      <c r="AJ246" s="32">
        <f t="shared" si="615"/>
        <v>0</v>
      </c>
      <c r="AK246" s="1215"/>
      <c r="AL246" s="1185"/>
      <c r="AM246" s="32">
        <f t="shared" si="616"/>
        <v>0</v>
      </c>
      <c r="AN246" s="1215"/>
      <c r="AO246" s="1185"/>
      <c r="AP246" s="32">
        <f t="shared" si="617"/>
        <v>0</v>
      </c>
      <c r="AQ246" s="1215"/>
      <c r="AR246" s="1185"/>
      <c r="AS246" s="32">
        <f t="shared" si="618"/>
        <v>0</v>
      </c>
      <c r="AT246" s="1215"/>
      <c r="AU246" s="1185"/>
      <c r="AV246" s="32">
        <f t="shared" si="619"/>
        <v>0</v>
      </c>
      <c r="AW246" s="1215"/>
      <c r="AX246" s="1185"/>
      <c r="AY246" s="32">
        <f t="shared" si="620"/>
        <v>0</v>
      </c>
      <c r="AZ246" s="1215"/>
      <c r="BA246" s="1185"/>
      <c r="BB246" s="32">
        <f t="shared" si="621"/>
        <v>0</v>
      </c>
      <c r="BC246" s="1215"/>
      <c r="BD246" s="1185"/>
      <c r="BE246" s="32">
        <f t="shared" si="622"/>
        <v>0</v>
      </c>
      <c r="BF246" s="1215"/>
      <c r="BG246" s="1185"/>
      <c r="BH246" s="32">
        <f t="shared" si="623"/>
        <v>0</v>
      </c>
      <c r="BI246" s="1215"/>
      <c r="BJ246" s="1185"/>
      <c r="BK246" s="32">
        <f t="shared" si="624"/>
        <v>0</v>
      </c>
      <c r="BL246" s="1215"/>
      <c r="BM246" s="1185"/>
      <c r="BN246" s="32">
        <f t="shared" si="625"/>
        <v>0</v>
      </c>
      <c r="BO246" s="1215"/>
      <c r="BP246" s="1185"/>
      <c r="BQ246" s="32">
        <f t="shared" si="626"/>
        <v>0</v>
      </c>
      <c r="BR246" s="1215"/>
      <c r="BS246" s="1185"/>
      <c r="BT246" s="32">
        <f t="shared" si="627"/>
        <v>0</v>
      </c>
      <c r="BU246" s="1215"/>
      <c r="BV246" s="1185"/>
      <c r="BW246" s="32" t="str">
        <f t="shared" si="628"/>
        <v/>
      </c>
      <c r="BX246" s="1183" t="str">
        <f>IF(BX5="A","",+BU246-BX58+BX471)</f>
        <v/>
      </c>
      <c r="BY246" s="1185"/>
      <c r="BZ246" s="32" t="str">
        <f t="shared" si="629"/>
        <v/>
      </c>
      <c r="CA246" s="1183" t="str">
        <f>IF(CA5="A","",+BX246-CA60+CA471)</f>
        <v/>
      </c>
      <c r="CB246" s="1185"/>
      <c r="CC246" s="32" t="str">
        <f t="shared" si="630"/>
        <v/>
      </c>
      <c r="CD246" s="1183" t="str">
        <f>IF(CD5="A","",+CA246-CD60+CD471)</f>
        <v/>
      </c>
      <c r="CE246" s="1185"/>
      <c r="CF246" s="32" t="str">
        <f t="shared" si="631"/>
        <v/>
      </c>
      <c r="CG246" s="1183" t="str">
        <f>IF(CG5="A","",+CD246-CG60+CG471)</f>
        <v/>
      </c>
      <c r="CH246" s="1185" t="str">
        <f>IF(CH5="A","",+CG246-CH60+CH471)</f>
        <v/>
      </c>
      <c r="CI246" s="32" t="str">
        <f t="shared" si="632"/>
        <v/>
      </c>
      <c r="CJ246" s="1183" t="str">
        <f>IF(CJ5="A","",+CG246-CJ60+CJ471)</f>
        <v/>
      </c>
      <c r="CK246" s="1185" t="str">
        <f>IF(CK5="A","",+CJ246-CK60+CK471)</f>
        <v/>
      </c>
      <c r="CL246" s="32" t="str">
        <f t="shared" si="633"/>
        <v/>
      </c>
      <c r="CM246" s="1183" t="str">
        <f>IF(CM5="A","",+CJ246-CM60+CM471)</f>
        <v/>
      </c>
      <c r="CN246" s="1185" t="str">
        <f>IF(CN5="A","",+CM246-CN60+CN471)</f>
        <v/>
      </c>
      <c r="CO246" s="32" t="str">
        <f t="shared" si="634"/>
        <v/>
      </c>
      <c r="CP246" s="1183" t="str">
        <f>IF(CP5="A","",+CM246-CP60+CP471)</f>
        <v/>
      </c>
      <c r="CQ246" s="1185" t="str">
        <f>IF(CQ5="A","",+CP246-CQ60+CQ471)</f>
        <v/>
      </c>
      <c r="CR246" s="32" t="str">
        <f t="shared" si="635"/>
        <v/>
      </c>
      <c r="CS246" s="1183" t="str">
        <f>IF(CS5="A","",+CP246-CS60+CS471)</f>
        <v/>
      </c>
      <c r="CT246" s="1185" t="str">
        <f>IF(CT5="A","",+CS246-CT60+CT471)</f>
        <v/>
      </c>
      <c r="CU246" s="32" t="str">
        <f t="shared" si="636"/>
        <v/>
      </c>
      <c r="CV246" s="1183" t="str">
        <f>IF(CV5="A","",+CS246-CV60+CV471)</f>
        <v/>
      </c>
      <c r="CW246" s="1185" t="str">
        <f>IF(CW5="A","",+CV246-CW60+CW471)</f>
        <v/>
      </c>
      <c r="CX246" s="32" t="str">
        <f t="shared" si="637"/>
        <v/>
      </c>
      <c r="CY246" s="1183" t="str">
        <f>IF(CY5="A","",+CV246-CY60+CY471)</f>
        <v/>
      </c>
      <c r="CZ246" s="1185">
        <f>(+CY246-CZ60+CZ471)</f>
        <v>0</v>
      </c>
      <c r="DA246" s="32">
        <f t="shared" si="638"/>
        <v>0</v>
      </c>
      <c r="DB246" s="1183">
        <v>0</v>
      </c>
      <c r="DC246" s="1185" t="str">
        <f>IF(DC5="A","",+DB246-DC60+DC471)</f>
        <v/>
      </c>
      <c r="DD246" s="32" t="str">
        <f t="shared" si="639"/>
        <v/>
      </c>
      <c r="DE246" s="1246" t="str">
        <f>IF(DE5="A","",+DB246-DE60+DE471)</f>
        <v/>
      </c>
      <c r="DF246" s="1185"/>
      <c r="DG246" s="32"/>
      <c r="DH246" s="1246"/>
      <c r="DI246" s="1185" t="str">
        <f>IF(DI5="A","",+DH246-DI60+DI471)</f>
        <v/>
      </c>
      <c r="DJ246" s="32" t="str">
        <f t="shared" si="641"/>
        <v/>
      </c>
      <c r="DK246" s="1246" t="str">
        <f>IF(DK5="A","",+DH246-DK60+DK471)</f>
        <v/>
      </c>
      <c r="DL246" s="32" t="str">
        <f>IF(DL5="A","",+DK246-DL60+DL471)</f>
        <v/>
      </c>
      <c r="DM246" s="32" t="str">
        <f t="shared" si="642"/>
        <v/>
      </c>
      <c r="DN246" s="1061" t="str">
        <f>IF(DN5="A","",+DK246-DN60+DN471)</f>
        <v/>
      </c>
      <c r="DO246" s="32" t="str">
        <f>IF(DO5="A","",+DN246-DO60+DO471)</f>
        <v/>
      </c>
      <c r="DP246" s="32" t="str">
        <f t="shared" si="643"/>
        <v/>
      </c>
      <c r="DQ246" s="1061" t="str">
        <f>IF(DQ5="A","",+DN246-DQ60+DQ471)</f>
        <v/>
      </c>
      <c r="DR246" s="32" t="str">
        <f>IF(DR5="A","",+DQ246-DR60+DR471)</f>
        <v/>
      </c>
      <c r="DS246" s="32" t="str">
        <f t="shared" si="644"/>
        <v/>
      </c>
      <c r="DT246" s="1061" t="str">
        <f>IF(DT5="A","",+DQ246-DT60+DT471)</f>
        <v/>
      </c>
      <c r="DU246" s="32" t="str">
        <f>IF(DU5="A","",+DT246-DU60+DU471)</f>
        <v/>
      </c>
      <c r="DV246" s="32">
        <f t="shared" si="645"/>
        <v>0</v>
      </c>
      <c r="DW246" s="1061">
        <f>IF(DW5="A","",+DT246-DW60+DW471)</f>
        <v>0</v>
      </c>
      <c r="DX246" s="32" t="str">
        <f>IF(DX5="A","",+DW246-DX60+DX471)</f>
        <v/>
      </c>
      <c r="DY246" s="32">
        <f t="shared" si="655"/>
        <v>0</v>
      </c>
      <c r="DZ246" s="1061">
        <f>IF(DZ5="A","",+DW246-DZ60+DZ471)</f>
        <v>0</v>
      </c>
      <c r="EA246" s="32">
        <f>IF(EA5="A","",+DZ246-EA60+EA471)</f>
        <v>0</v>
      </c>
      <c r="EB246" s="32">
        <f t="shared" si="646"/>
        <v>0</v>
      </c>
      <c r="EC246" s="1061">
        <f>IF(EC5="A","",+DZ246-EC60+EC471)</f>
        <v>0</v>
      </c>
      <c r="ED246" s="32">
        <f>IF(ED5="A","",+EC246-ED60+ED471)</f>
        <v>0</v>
      </c>
      <c r="EE246" s="32">
        <f t="shared" si="647"/>
        <v>0</v>
      </c>
      <c r="EF246" s="1061">
        <f>IF(EF5="A","",+EC246-EF60+EF471)</f>
        <v>0</v>
      </c>
      <c r="EG246" s="32">
        <f>IF(EG5="A","",+EF246-EG60+EG471)</f>
        <v>0</v>
      </c>
      <c r="EH246" s="32">
        <f t="shared" si="648"/>
        <v>0</v>
      </c>
      <c r="EI246" s="1061">
        <f>IF(EI5="A","",+EF246-EI60+EI471)</f>
        <v>0</v>
      </c>
      <c r="EJ246" s="32">
        <f>IF(EJ5="A","",+EI246-EJ60+EJ471)</f>
        <v>0</v>
      </c>
      <c r="EK246" s="32">
        <f t="shared" si="649"/>
        <v>0</v>
      </c>
      <c r="EL246" s="1061">
        <f>IF(EL5="A","",+EI246-EL60+EL471)</f>
        <v>0</v>
      </c>
      <c r="EM246" s="32">
        <f>IF(EM5="A","",+EL246-EM60+EM471)</f>
        <v>0</v>
      </c>
      <c r="EN246" s="32">
        <f t="shared" si="650"/>
        <v>0</v>
      </c>
      <c r="EO246" s="1061">
        <f>IF(EO5="A","",+EL246-EO60+EO471)</f>
        <v>0</v>
      </c>
      <c r="EP246" s="32">
        <f>IF(EP5="A","",+EO246-EP60+EP471)</f>
        <v>0</v>
      </c>
      <c r="EQ246" s="32">
        <f t="shared" si="651"/>
        <v>0</v>
      </c>
      <c r="ER246" s="1061">
        <f>IF(ER5="A","",+EO246-ER60+ER471)</f>
        <v>0</v>
      </c>
      <c r="ES246" s="32">
        <f>IF(ES5="A","",+ER246-ES60+ES471)</f>
        <v>0</v>
      </c>
      <c r="ET246" s="32">
        <f t="shared" si="652"/>
        <v>0</v>
      </c>
      <c r="EU246" s="1061">
        <f>IF(EU5="A","",+ER246-EU60+EU471)</f>
        <v>0</v>
      </c>
      <c r="EV246" s="32">
        <f>IF(EV5="A","",+EU246-EV60+EV471)</f>
        <v>0</v>
      </c>
      <c r="EW246" s="32">
        <f t="shared" si="653"/>
        <v>0</v>
      </c>
      <c r="EX246" s="1061">
        <f>IF(EX5="A","",+EU246-EX60+EX471)</f>
        <v>0</v>
      </c>
      <c r="EY246" s="32">
        <f>IF(EY5="A","",+EX246-EY60+EY471)</f>
        <v>0</v>
      </c>
      <c r="EZ246" s="32">
        <f t="shared" si="654"/>
        <v>0</v>
      </c>
      <c r="FA246" s="1061">
        <f>IF(FA5="A","",+EX246-FA60+FA471)</f>
        <v>0</v>
      </c>
      <c r="FD246"/>
      <c r="FE246"/>
      <c r="FF246"/>
      <c r="FG246"/>
      <c r="FH246"/>
      <c r="FI246"/>
    </row>
    <row r="247" spans="2:169" s="33" customFormat="1" ht="13.9" customHeight="1" outlineLevel="1" thickBot="1">
      <c r="B247" s="54" t="s">
        <v>19</v>
      </c>
      <c r="C247" s="2"/>
      <c r="D247" s="2" t="s">
        <v>506</v>
      </c>
      <c r="E247" s="1205"/>
      <c r="F247" s="32">
        <f t="shared" si="605"/>
        <v>0</v>
      </c>
      <c r="G247" s="1214"/>
      <c r="H247" s="1207"/>
      <c r="I247" s="32">
        <f t="shared" si="606"/>
        <v>0</v>
      </c>
      <c r="J247" s="1214"/>
      <c r="K247" s="1207"/>
      <c r="L247" s="32">
        <f t="shared" si="607"/>
        <v>0</v>
      </c>
      <c r="M247" s="1214"/>
      <c r="N247" s="1207"/>
      <c r="O247" s="32">
        <f t="shared" si="608"/>
        <v>0</v>
      </c>
      <c r="P247" s="1214"/>
      <c r="Q247" s="1207"/>
      <c r="R247" s="32">
        <f t="shared" si="609"/>
        <v>0</v>
      </c>
      <c r="S247" s="1214"/>
      <c r="T247" s="1207"/>
      <c r="U247" s="32">
        <f t="shared" si="610"/>
        <v>0</v>
      </c>
      <c r="V247" s="1214"/>
      <c r="W247" s="1207"/>
      <c r="X247" s="32">
        <f t="shared" si="611"/>
        <v>0</v>
      </c>
      <c r="Y247" s="1214"/>
      <c r="Z247" s="1207"/>
      <c r="AA247" s="32">
        <f t="shared" si="612"/>
        <v>0</v>
      </c>
      <c r="AB247" s="1214"/>
      <c r="AC247" s="1207"/>
      <c r="AD247" s="32">
        <f t="shared" si="613"/>
        <v>0</v>
      </c>
      <c r="AE247" s="1214"/>
      <c r="AF247" s="1207"/>
      <c r="AG247" s="32">
        <f t="shared" si="614"/>
        <v>0</v>
      </c>
      <c r="AH247" s="1214"/>
      <c r="AI247" s="1207"/>
      <c r="AJ247" s="32">
        <f t="shared" si="615"/>
        <v>0</v>
      </c>
      <c r="AK247" s="1214"/>
      <c r="AL247" s="1207"/>
      <c r="AM247" s="32">
        <f t="shared" si="616"/>
        <v>0</v>
      </c>
      <c r="AN247" s="1214"/>
      <c r="AO247" s="1207"/>
      <c r="AP247" s="32">
        <f t="shared" si="617"/>
        <v>0</v>
      </c>
      <c r="AQ247" s="1214"/>
      <c r="AR247" s="1207"/>
      <c r="AS247" s="32">
        <f t="shared" si="618"/>
        <v>0</v>
      </c>
      <c r="AT247" s="1214"/>
      <c r="AU247" s="1207"/>
      <c r="AV247" s="32">
        <f t="shared" si="619"/>
        <v>0</v>
      </c>
      <c r="AW247" s="1214"/>
      <c r="AX247" s="1207"/>
      <c r="AY247" s="32">
        <f t="shared" si="620"/>
        <v>0</v>
      </c>
      <c r="AZ247" s="1214"/>
      <c r="BA247" s="1207"/>
      <c r="BB247" s="32">
        <f t="shared" si="621"/>
        <v>0</v>
      </c>
      <c r="BC247" s="1214"/>
      <c r="BD247" s="1207"/>
      <c r="BE247" s="32">
        <f t="shared" si="622"/>
        <v>0</v>
      </c>
      <c r="BF247" s="1214"/>
      <c r="BG247" s="1207"/>
      <c r="BH247" s="32">
        <f t="shared" si="623"/>
        <v>0</v>
      </c>
      <c r="BI247" s="1214"/>
      <c r="BJ247" s="1207"/>
      <c r="BK247" s="32">
        <f t="shared" si="624"/>
        <v>0</v>
      </c>
      <c r="BL247" s="1214"/>
      <c r="BM247" s="1207"/>
      <c r="BN247" s="32">
        <f t="shared" si="625"/>
        <v>0</v>
      </c>
      <c r="BO247" s="1214"/>
      <c r="BP247" s="1207"/>
      <c r="BQ247" s="32">
        <f t="shared" si="626"/>
        <v>0</v>
      </c>
      <c r="BR247" s="1214"/>
      <c r="BS247" s="1207"/>
      <c r="BT247" s="32">
        <f t="shared" si="627"/>
        <v>0</v>
      </c>
      <c r="BU247" s="1214"/>
      <c r="BV247" s="1207"/>
      <c r="BW247" s="32">
        <f t="shared" si="628"/>
        <v>939</v>
      </c>
      <c r="BX247" s="1218">
        <v>939</v>
      </c>
      <c r="BY247" s="1207"/>
      <c r="BZ247" s="32">
        <f t="shared" si="629"/>
        <v>972</v>
      </c>
      <c r="CA247" s="1218">
        <v>972</v>
      </c>
      <c r="CB247" s="1207"/>
      <c r="CC247" s="32">
        <f t="shared" si="630"/>
        <v>1029</v>
      </c>
      <c r="CD247" s="1218">
        <v>1029</v>
      </c>
      <c r="CE247" s="1207"/>
      <c r="CF247" s="32">
        <f t="shared" si="631"/>
        <v>1297</v>
      </c>
      <c r="CG247" s="1218">
        <v>1297</v>
      </c>
      <c r="CH247" s="1212">
        <v>1262.326</v>
      </c>
      <c r="CI247" s="32">
        <f t="shared" si="632"/>
        <v>1361.7</v>
      </c>
      <c r="CJ247" s="1218">
        <v>1361.7</v>
      </c>
      <c r="CK247" s="1212">
        <v>1587.2</v>
      </c>
      <c r="CL247" s="32">
        <f t="shared" si="633"/>
        <v>1587.2</v>
      </c>
      <c r="CM247" s="1218">
        <v>1587.2</v>
      </c>
      <c r="CN247" s="1212">
        <v>1684.4</v>
      </c>
      <c r="CO247" s="32">
        <f t="shared" si="634"/>
        <v>1831</v>
      </c>
      <c r="CP247" s="1218">
        <v>1831</v>
      </c>
      <c r="CQ247" s="1212">
        <v>1752.6</v>
      </c>
      <c r="CR247" s="32">
        <f t="shared" si="635"/>
        <v>1841.3</v>
      </c>
      <c r="CS247" s="1218">
        <v>1841.3</v>
      </c>
      <c r="CT247" s="1212">
        <v>2146.8000000000002</v>
      </c>
      <c r="CU247" s="32">
        <f t="shared" si="636"/>
        <v>2389.6</v>
      </c>
      <c r="CV247" s="1218">
        <v>2389.6</v>
      </c>
      <c r="CW247" s="1212">
        <v>2521.4</v>
      </c>
      <c r="CX247" s="32">
        <f t="shared" si="637"/>
        <v>2942.7</v>
      </c>
      <c r="CY247" s="1218">
        <v>2942.7</v>
      </c>
      <c r="CZ247" s="1207">
        <v>3193</v>
      </c>
      <c r="DA247" s="32">
        <f t="shared" si="638"/>
        <v>3551.4</v>
      </c>
      <c r="DB247" s="1205">
        <v>3551.4</v>
      </c>
      <c r="DC247" s="1207">
        <v>3786.9</v>
      </c>
      <c r="DD247" s="32">
        <f t="shared" si="639"/>
        <v>4484.3</v>
      </c>
      <c r="DE247" s="1545">
        <v>4484.3</v>
      </c>
      <c r="DF247" s="1567">
        <f>4931.9+936.3</f>
        <v>5868.2</v>
      </c>
      <c r="DG247" s="1530">
        <f t="shared" si="640"/>
        <v>6305.4</v>
      </c>
      <c r="DH247" s="1568">
        <f>5366+939.4</f>
        <v>6305.4</v>
      </c>
      <c r="DI247" s="1549">
        <f>5872.8+970.1</f>
        <v>6842.9000000000005</v>
      </c>
      <c r="DJ247" s="1530">
        <f t="shared" si="641"/>
        <v>7536</v>
      </c>
      <c r="DK247" s="1568">
        <f>6434.3+1101.7</f>
        <v>7536</v>
      </c>
      <c r="DL247" s="1530">
        <f>6639.4+1095.4</f>
        <v>7734.7999999999993</v>
      </c>
      <c r="DM247" s="1530">
        <f t="shared" si="642"/>
        <v>8308.6</v>
      </c>
      <c r="DN247" s="1531">
        <f>7016.6+1292</f>
        <v>8308.6</v>
      </c>
      <c r="DO247" s="1558">
        <f>7424.4+1315.8</f>
        <v>8740.1999999999989</v>
      </c>
      <c r="DP247" s="1530">
        <f t="shared" si="643"/>
        <v>9352</v>
      </c>
      <c r="DQ247" s="1532">
        <f>7797+1555</f>
        <v>9352</v>
      </c>
      <c r="DR247" s="1558">
        <f>8036+1526</f>
        <v>9562</v>
      </c>
      <c r="DS247" s="1530">
        <f t="shared" si="644"/>
        <v>9658</v>
      </c>
      <c r="DT247" s="1532">
        <f>8148+1510</f>
        <v>9658</v>
      </c>
      <c r="DU247" s="1558">
        <f>8153+1448</f>
        <v>9601</v>
      </c>
      <c r="DV247" s="1530">
        <f t="shared" si="645"/>
        <v>9797</v>
      </c>
      <c r="DW247" s="1532">
        <f>8333+1464</f>
        <v>9797</v>
      </c>
      <c r="DX247" s="1558">
        <f>7985+1330</f>
        <v>9315</v>
      </c>
      <c r="DY247" s="32">
        <f t="shared" si="655"/>
        <v>9521.6172259852574</v>
      </c>
      <c r="DZ247" s="1061">
        <f>IF(DZ5="A","",+DX247-DY57-DY66-DY188-(DY191+DY46)+DY472)</f>
        <v>9521.6172259852574</v>
      </c>
      <c r="EA247" s="32">
        <f>IF(EA5="A","",+DZ247-EA57-EA66-EA188-(EA191+EA46)+EA472)</f>
        <v>9665.3941853724955</v>
      </c>
      <c r="EB247" s="32">
        <f t="shared" si="646"/>
        <v>9800.8562596785923</v>
      </c>
      <c r="EC247" s="1061">
        <f>IF(EC5="A","",+DZ247-EC57-EC66-EC188-(EC191+EC46)+EC472)</f>
        <v>9800.8562596785923</v>
      </c>
      <c r="ED247" s="32">
        <f>IF(ED5="A","",+EC247-ED57-ED66-ED188-(ED191+ED46)+ED472)</f>
        <v>10018.337450803869</v>
      </c>
      <c r="EE247" s="32">
        <f t="shared" si="647"/>
        <v>10224.690022037781</v>
      </c>
      <c r="EF247" s="1061">
        <f>IF(EF5="A","",+EC247-EF57-EF66-EF188-(EF191+EF46)+EF472)</f>
        <v>10224.690022037781</v>
      </c>
      <c r="EG247" s="32">
        <f>IF(EG5="A","",+EF247-EG57-EG66-EG188-(EG191+EG46)+EG472)</f>
        <v>10430.341330284591</v>
      </c>
      <c r="EH247" s="32">
        <f t="shared" si="648"/>
        <v>10629.398326449314</v>
      </c>
      <c r="EI247" s="1061">
        <f>IF(EI5="A","",+EF247-EI57-EI66-EI188-(EI191+EI46)+EI472)</f>
        <v>10629.398326449314</v>
      </c>
      <c r="EJ247" s="32">
        <f>IF(EJ5="A","",+EI247-EJ57-EJ66-EJ188-(EJ191+EJ46)+EJ472)</f>
        <v>10745.300917564302</v>
      </c>
      <c r="EK247" s="32">
        <f t="shared" si="649"/>
        <v>10865.363284392764</v>
      </c>
      <c r="EL247" s="1061">
        <f>IF(EL5="A","",+EI247-EL57-EL66-EL188-(EL191+EL46)+EL472)</f>
        <v>10865.363284392764</v>
      </c>
      <c r="EM247" s="32">
        <f>IF(EM5="A","",+EL247-EM57-EM66-EM188-(EM191+EM46)+EM472)</f>
        <v>10880.162512139568</v>
      </c>
      <c r="EN247" s="32">
        <f t="shared" si="650"/>
        <v>10909.182789202179</v>
      </c>
      <c r="EO247" s="1061">
        <f>IF(EO5="A","",+EL247-EO57-EO66-EO188-(EO191+EO46)+EO472)</f>
        <v>10909.182789202179</v>
      </c>
      <c r="EP247" s="32">
        <f>IF(EP5="A","",+EO247-EP57-EP66-EP188-(EP191+EP46)+EP472)</f>
        <v>10924.304520168049</v>
      </c>
      <c r="EQ247" s="32">
        <f t="shared" si="651"/>
        <v>10955.657509092371</v>
      </c>
      <c r="ER247" s="1061">
        <f>IF(ER5="A","",+EO247-ER57-ER66-ER188-(ER191+ER46)+ER472)</f>
        <v>10955.657509092371</v>
      </c>
      <c r="ES247" s="32">
        <f>IF(ES5="A","",+ER247-ES57-ES66-ES188-(ES191+ES46)+ES472)</f>
        <v>10971.2104520298</v>
      </c>
      <c r="ET247" s="32">
        <f t="shared" si="652"/>
        <v>11003.982534130344</v>
      </c>
      <c r="EU247" s="1061">
        <f>IF(EU5="A","",+ER247-EU57-EU66-EU188-(EU191+EU46)+EU472)</f>
        <v>11003.982534130344</v>
      </c>
      <c r="EV247" s="32">
        <f>IF(EV5="A","",+EU247-EV57-EV66-EV188-(EV191+EV46)+EV472)</f>
        <v>11021.055901281192</v>
      </c>
      <c r="EW247" s="32">
        <f t="shared" si="653"/>
        <v>11055.339228917221</v>
      </c>
      <c r="EX247" s="1061">
        <f>IF(EX5="A","",+EU247-EX57-EX66-EX188-(EX191+EX46)+EX472)</f>
        <v>11055.339228917221</v>
      </c>
      <c r="EY247" s="32">
        <f>IF(EY5="A","",+EX247-EY57-EY66-EY188-(EY191+EY46)+EY472)</f>
        <v>11074.028082700388</v>
      </c>
      <c r="EZ247" s="32">
        <f t="shared" si="654"/>
        <v>11109.920973899303</v>
      </c>
      <c r="FA247" s="1061">
        <f>IF(FA5="A","",+EX247-FA57-FA66-FA188-(FA191+FA46)+FA472)</f>
        <v>11109.920973899303</v>
      </c>
      <c r="FD247"/>
      <c r="FE247"/>
      <c r="FF247"/>
      <c r="FG247"/>
      <c r="FH247"/>
      <c r="FI247"/>
    </row>
    <row r="248" spans="2:169" s="33" customFormat="1">
      <c r="B248" s="54" t="s">
        <v>20</v>
      </c>
      <c r="C248" s="2"/>
      <c r="D248" s="2" t="s">
        <v>506</v>
      </c>
      <c r="E248" s="1183"/>
      <c r="F248" s="32">
        <f t="shared" si="605"/>
        <v>0</v>
      </c>
      <c r="G248" s="1215"/>
      <c r="H248" s="1185"/>
      <c r="I248" s="32">
        <f t="shared" si="606"/>
        <v>0</v>
      </c>
      <c r="J248" s="1215"/>
      <c r="K248" s="1185"/>
      <c r="L248" s="32">
        <f t="shared" si="607"/>
        <v>0</v>
      </c>
      <c r="M248" s="1215"/>
      <c r="N248" s="1185"/>
      <c r="O248" s="32">
        <f t="shared" si="608"/>
        <v>0</v>
      </c>
      <c r="P248" s="1215"/>
      <c r="Q248" s="1185"/>
      <c r="R248" s="32">
        <f t="shared" si="609"/>
        <v>0</v>
      </c>
      <c r="S248" s="1215"/>
      <c r="T248" s="1185"/>
      <c r="U248" s="32">
        <f t="shared" si="610"/>
        <v>0</v>
      </c>
      <c r="V248" s="1215"/>
      <c r="W248" s="1185"/>
      <c r="X248" s="32">
        <f t="shared" si="611"/>
        <v>0</v>
      </c>
      <c r="Y248" s="1215"/>
      <c r="Z248" s="1185"/>
      <c r="AA248" s="32">
        <f t="shared" si="612"/>
        <v>0</v>
      </c>
      <c r="AB248" s="1215"/>
      <c r="AC248" s="1185"/>
      <c r="AD248" s="32">
        <f t="shared" si="613"/>
        <v>0</v>
      </c>
      <c r="AE248" s="1215"/>
      <c r="AF248" s="1185"/>
      <c r="AG248" s="32">
        <f t="shared" si="614"/>
        <v>0</v>
      </c>
      <c r="AH248" s="1215"/>
      <c r="AI248" s="1185"/>
      <c r="AJ248" s="32">
        <f t="shared" si="615"/>
        <v>0</v>
      </c>
      <c r="AK248" s="1215"/>
      <c r="AL248" s="1185"/>
      <c r="AM248" s="32">
        <f t="shared" si="616"/>
        <v>0</v>
      </c>
      <c r="AN248" s="1215"/>
      <c r="AO248" s="1185"/>
      <c r="AP248" s="32">
        <f t="shared" si="617"/>
        <v>0</v>
      </c>
      <c r="AQ248" s="1215"/>
      <c r="AR248" s="1185"/>
      <c r="AS248" s="32">
        <f t="shared" si="618"/>
        <v>0</v>
      </c>
      <c r="AT248" s="1215"/>
      <c r="AU248" s="1185"/>
      <c r="AV248" s="32">
        <f t="shared" si="619"/>
        <v>0</v>
      </c>
      <c r="AW248" s="1215"/>
      <c r="AX248" s="1185"/>
      <c r="AY248" s="32">
        <f t="shared" si="620"/>
        <v>0</v>
      </c>
      <c r="AZ248" s="1215"/>
      <c r="BA248" s="1185"/>
      <c r="BB248" s="32">
        <f t="shared" si="621"/>
        <v>0</v>
      </c>
      <c r="BC248" s="1215"/>
      <c r="BD248" s="1185"/>
      <c r="BE248" s="32">
        <f t="shared" si="622"/>
        <v>0</v>
      </c>
      <c r="BF248" s="1215"/>
      <c r="BG248" s="1185"/>
      <c r="BH248" s="32">
        <f t="shared" si="623"/>
        <v>0</v>
      </c>
      <c r="BI248" s="1215"/>
      <c r="BJ248" s="1185"/>
      <c r="BK248" s="32">
        <f t="shared" si="624"/>
        <v>0</v>
      </c>
      <c r="BL248" s="1215"/>
      <c r="BM248" s="1185"/>
      <c r="BN248" s="32">
        <f t="shared" si="625"/>
        <v>0</v>
      </c>
      <c r="BO248" s="1215"/>
      <c r="BP248" s="1185"/>
      <c r="BQ248" s="32">
        <f t="shared" si="626"/>
        <v>0</v>
      </c>
      <c r="BR248" s="1215"/>
      <c r="BS248" s="1185"/>
      <c r="BT248" s="32">
        <f t="shared" si="627"/>
        <v>0</v>
      </c>
      <c r="BU248" s="1215"/>
      <c r="BV248" s="1185"/>
      <c r="BW248" s="32">
        <f t="shared" si="628"/>
        <v>0</v>
      </c>
      <c r="BX248" s="1244">
        <v>0</v>
      </c>
      <c r="BY248" s="1185"/>
      <c r="BZ248" s="32">
        <f t="shared" si="629"/>
        <v>0</v>
      </c>
      <c r="CA248" s="1244">
        <v>0</v>
      </c>
      <c r="CB248" s="1185"/>
      <c r="CC248" s="32">
        <f t="shared" si="630"/>
        <v>0</v>
      </c>
      <c r="CD248" s="1244">
        <v>0</v>
      </c>
      <c r="CE248" s="1185"/>
      <c r="CF248" s="32">
        <f t="shared" si="631"/>
        <v>0</v>
      </c>
      <c r="CG248" s="1244">
        <v>0</v>
      </c>
      <c r="CH248" s="1198">
        <v>0</v>
      </c>
      <c r="CI248" s="32" t="str">
        <f t="shared" si="632"/>
        <v/>
      </c>
      <c r="CJ248" s="1183" t="str">
        <f>IF(CJ5="A","",CG248-CJ197-CJ194-CJ451-CJ202+(CJ95+CJ96)+Assumptions!CJ95)</f>
        <v/>
      </c>
      <c r="CK248" s="1185" t="str">
        <f>IF(CK5="A","",CJ248-CK197-CK194-CK451-CK202+(CK95+CK96)+Assumptions!CK95)</f>
        <v/>
      </c>
      <c r="CL248" s="32" t="str">
        <f t="shared" si="633"/>
        <v/>
      </c>
      <c r="CM248" s="1183" t="str">
        <f>IF(CM5="A","",CJ248-CM197-CM194-CM451-CM202+(CM95+CM96)+Assumptions!CM95)</f>
        <v/>
      </c>
      <c r="CN248" s="1185" t="str">
        <f>IF(CN5="A","",CM248-CN197-CN194-CN451-CN202+(CN95+CN96)+Assumptions!CN95)</f>
        <v/>
      </c>
      <c r="CO248" s="32" t="str">
        <f t="shared" si="634"/>
        <v/>
      </c>
      <c r="CP248" s="1183" t="str">
        <f>IF(CP5="A","",CM248-CP197-CP194-CP451-CP202+(CP95+CP96)+Assumptions!CP95)</f>
        <v/>
      </c>
      <c r="CQ248" s="1185">
        <f>(CP248-CQ197-CQ194-CQ451-CQ202+(CQ95+CQ96)+Assumptions!CQ95)</f>
        <v>0</v>
      </c>
      <c r="CR248" s="32">
        <f t="shared" si="635"/>
        <v>0</v>
      </c>
      <c r="CS248" s="1183"/>
      <c r="CT248" s="1198">
        <v>1.3</v>
      </c>
      <c r="CU248" s="32" t="str">
        <f t="shared" si="636"/>
        <v/>
      </c>
      <c r="CV248" s="1183" t="str">
        <f>IF(CV5="A","",CS248-CV197-CV194-CV451-CV202+(CV95+CV96)+Assumptions!CV95)</f>
        <v/>
      </c>
      <c r="CW248" s="1185" t="str">
        <f>IF(CW5="A","",CV248-CW197-CW194-CW451-CW202+(CW95+CW96)+Assumptions!CW95)</f>
        <v/>
      </c>
      <c r="CX248" s="32" t="str">
        <f t="shared" si="637"/>
        <v/>
      </c>
      <c r="CY248" s="1183" t="str">
        <f>IF(CY5="A","",CV248-CY197-CY194-CY451-CY202+(CY95+CY96)+Assumptions!CY95)</f>
        <v/>
      </c>
      <c r="CZ248" s="1185">
        <v>0</v>
      </c>
      <c r="DA248" s="32">
        <f t="shared" si="638"/>
        <v>0</v>
      </c>
      <c r="DB248" s="1183">
        <v>0</v>
      </c>
      <c r="DC248" s="1185" t="str">
        <f>IF(DC5="A","",DB248-DC197-DC194-DC451-DC202+(DC95+DC96)+Assumptions!DC95)</f>
        <v/>
      </c>
      <c r="DD248" s="32" t="str">
        <f t="shared" si="639"/>
        <v/>
      </c>
      <c r="DE248" s="1246" t="str">
        <f>IF(DE5="A","",DB248-DE197-DE194-DE451-DE202+(DE95+DE96)+Assumptions!DE95)</f>
        <v/>
      </c>
      <c r="DF248" s="1185">
        <v>0</v>
      </c>
      <c r="DG248" s="32" t="str">
        <f t="shared" si="640"/>
        <v/>
      </c>
      <c r="DH248" s="1246" t="str">
        <f>IF(DH5="A","",DE248-DH197-DH194-DH451-DH202+(DH95+DH96)+Assumptions!DH95)</f>
        <v/>
      </c>
      <c r="DI248" s="1185" t="str">
        <f>IF(DI5="A","",DH248-DI197-DI194-DI451-DI202+(DI95+DI96)+Assumptions!DI95)</f>
        <v/>
      </c>
      <c r="DJ248" s="32" t="str">
        <f t="shared" si="641"/>
        <v/>
      </c>
      <c r="DK248" s="1246" t="str">
        <f>IF(DK5="A","",DH248-DK197-DK194-DK451-DK202+(DK95+DK96)+Assumptions!DK95)</f>
        <v/>
      </c>
      <c r="DL248" s="32" t="str">
        <f>IF(DL5="A","",DK248-DL197-DL194-DL451-DL202+(DL95+DL96)+Assumptions!DL95)</f>
        <v/>
      </c>
      <c r="DM248" s="32" t="str">
        <f t="shared" si="642"/>
        <v/>
      </c>
      <c r="DN248" s="1061" t="str">
        <f>IF(DN5="A","",DK248-DN197-DN194-DN451-DN202+(DN95+DN96)+Assumptions!DN95)</f>
        <v/>
      </c>
      <c r="DO248" s="32" t="str">
        <f>IF(DO5="A","",DN248-DO197-DO194-DO451-DO202+(DO95+DO96)+Assumptions!DO95)</f>
        <v/>
      </c>
      <c r="DP248" s="32" t="str">
        <f t="shared" si="643"/>
        <v/>
      </c>
      <c r="DQ248" s="1061" t="str">
        <f>IF(DQ5="A","",DN248-DQ197-DQ194-DQ451-DQ202+(DQ95+DQ96)+Assumptions!DQ95)</f>
        <v/>
      </c>
      <c r="DR248" s="32" t="str">
        <f>IF(DR5="A","",DQ248-DR197-DR194-DR451-DR202+(DR95+DR96)+Assumptions!DR95)</f>
        <v/>
      </c>
      <c r="DS248" s="32" t="str">
        <f t="shared" si="644"/>
        <v/>
      </c>
      <c r="DT248" s="1061" t="str">
        <f>IF(DT5="A","",DQ248-DT197-DT194-DT451-DT202+(DT95+DT96)+Assumptions!DT95)</f>
        <v/>
      </c>
      <c r="DU248" s="32">
        <v>0</v>
      </c>
      <c r="DV248" s="32">
        <f t="shared" si="645"/>
        <v>0</v>
      </c>
      <c r="DW248" s="1061">
        <f>IF(DW5="A","",DT248-DW197-DW194-DW451-DW202+(DW95+DW96)+Assumptions!DW95)</f>
        <v>0</v>
      </c>
      <c r="DX248" s="32">
        <v>0</v>
      </c>
      <c r="DY248" s="32">
        <f t="shared" si="655"/>
        <v>0</v>
      </c>
      <c r="DZ248" s="1061">
        <f>IF(DZ5="A","",DW248-DZ197-DZ194-DZ451-DZ202+(DZ95+DZ96)+Assumptions!DZ95)</f>
        <v>0</v>
      </c>
      <c r="EA248" s="32">
        <f>IF(EA5="A","",DZ248-EA197-EA194-EA451-EA202+(EA95+EA96)+Assumptions!EA95)</f>
        <v>0</v>
      </c>
      <c r="EB248" s="32">
        <f t="shared" si="646"/>
        <v>0</v>
      </c>
      <c r="EC248" s="1061">
        <f>IF(EC5="A","",DZ248-EC197-EC194-EC451-EC202+(EC95+EC96)+Assumptions!EC95)</f>
        <v>0</v>
      </c>
      <c r="ED248" s="32">
        <f>IF(ED5="A","",EC248-ED197-ED194-ED451-ED202+(ED95+ED96)+Assumptions!ED95)</f>
        <v>0</v>
      </c>
      <c r="EE248" s="32">
        <f t="shared" si="647"/>
        <v>0</v>
      </c>
      <c r="EF248" s="1061">
        <f>IF(EF5="A","",EC248-EF197-EF194-EF451-EF202+(EF95+EF96)+Assumptions!EF95)</f>
        <v>0</v>
      </c>
      <c r="EG248" s="32">
        <f>IF(EG5="A","",EF248-EG197-EG194-EG451-EG202+(EG95+EG96)+Assumptions!EG95)</f>
        <v>0</v>
      </c>
      <c r="EH248" s="32">
        <f t="shared" si="648"/>
        <v>0</v>
      </c>
      <c r="EI248" s="1061">
        <f>IF(EI5="A","",EF248-EI197-EI194-EI451-EI202+(EI95+EI96)+Assumptions!EI95)</f>
        <v>0</v>
      </c>
      <c r="EJ248" s="32">
        <f>IF(EJ5="A","",EI248-EJ197-EJ194-EJ451-EJ202+(EJ95+EJ96)+Assumptions!EJ95)</f>
        <v>0</v>
      </c>
      <c r="EK248" s="32">
        <f t="shared" si="649"/>
        <v>0</v>
      </c>
      <c r="EL248" s="1061">
        <f>IF(EL5="A","",EI248-EL197-EL194-EL451-EL202+(EL95+EL96)+Assumptions!EL95)</f>
        <v>0</v>
      </c>
      <c r="EM248" s="32">
        <f>IF(EM5="A","",EL248-EM197-EM194-EM451-EM202+(EM95+EM96)+Assumptions!EM95)</f>
        <v>0</v>
      </c>
      <c r="EN248" s="32">
        <f t="shared" si="650"/>
        <v>0</v>
      </c>
      <c r="EO248" s="1061">
        <f>IF(EO5="A","",EL248-EO197-EO194-EO451-EO202+(EO95+EO96)+Assumptions!EO95)</f>
        <v>0</v>
      </c>
      <c r="EP248" s="32">
        <f>IF(EP5="A","",EO248-EP197-EP194-EP451-EP202+(EP95+EP96)+Assumptions!EP95)</f>
        <v>0</v>
      </c>
      <c r="EQ248" s="32">
        <f t="shared" si="651"/>
        <v>0</v>
      </c>
      <c r="ER248" s="1061">
        <f>IF(ER5="A","",EO248-ER197-ER194-ER451-ER202+(ER95+ER96)+Assumptions!ER95)</f>
        <v>0</v>
      </c>
      <c r="ES248" s="32">
        <f>IF(ES5="A","",ER248-ES197-ES194-ES451-ES202+(ES95+ES96)+Assumptions!ES95)</f>
        <v>0</v>
      </c>
      <c r="ET248" s="32">
        <f t="shared" si="652"/>
        <v>0</v>
      </c>
      <c r="EU248" s="1061">
        <f>IF(EU5="A","",ER248-EU197-EU194-EU451-EU202+(EU95+EU96)+Assumptions!EU95)</f>
        <v>0</v>
      </c>
      <c r="EV248" s="32">
        <f>IF(EV5="A","",EU248-EV197-EV194-EV451-EV202+(EV95+EV96)+Assumptions!EV95)</f>
        <v>0</v>
      </c>
      <c r="EW248" s="32">
        <f t="shared" si="653"/>
        <v>0</v>
      </c>
      <c r="EX248" s="1061">
        <f>IF(EX5="A","",EU248-EX197-EX194-EX451-EX202+(EX95+EX96)+Assumptions!EX95)</f>
        <v>0</v>
      </c>
      <c r="EY248" s="32">
        <f>IF(EY5="A","",EX248-EY197-EY194-EY451-EY202+(EY95+EY96)+Assumptions!EY95)</f>
        <v>0</v>
      </c>
      <c r="EZ248" s="32">
        <f t="shared" si="654"/>
        <v>0</v>
      </c>
      <c r="FA248" s="1061">
        <f>IF(FA5="A","",EX248-FA197-FA194-FA451-FA202+(FA95+FA96)+Assumptions!FA95)</f>
        <v>0</v>
      </c>
      <c r="FB248" s="1243"/>
      <c r="FD248"/>
      <c r="FE248"/>
      <c r="FF248"/>
      <c r="FG248"/>
      <c r="FH248"/>
      <c r="FI248"/>
    </row>
    <row r="249" spans="2:169" s="33" customFormat="1" ht="13.5" thickBot="1">
      <c r="B249" s="54" t="s">
        <v>21</v>
      </c>
      <c r="C249" s="2"/>
      <c r="D249" s="2" t="s">
        <v>506</v>
      </c>
      <c r="E249" s="1188"/>
      <c r="F249" s="32">
        <f t="shared" si="605"/>
        <v>0</v>
      </c>
      <c r="G249" s="1247"/>
      <c r="H249" s="1190"/>
      <c r="I249" s="32">
        <f t="shared" si="606"/>
        <v>0</v>
      </c>
      <c r="J249" s="1247"/>
      <c r="K249" s="1190"/>
      <c r="L249" s="32">
        <f t="shared" si="607"/>
        <v>0</v>
      </c>
      <c r="M249" s="1247"/>
      <c r="N249" s="1190"/>
      <c r="O249" s="32">
        <f t="shared" si="608"/>
        <v>0</v>
      </c>
      <c r="P249" s="1247"/>
      <c r="Q249" s="1190"/>
      <c r="R249" s="32">
        <f t="shared" si="609"/>
        <v>0</v>
      </c>
      <c r="S249" s="1247"/>
      <c r="T249" s="1190"/>
      <c r="U249" s="32">
        <f t="shared" si="610"/>
        <v>0</v>
      </c>
      <c r="V249" s="1247"/>
      <c r="W249" s="1190"/>
      <c r="X249" s="32">
        <f t="shared" si="611"/>
        <v>0</v>
      </c>
      <c r="Y249" s="1247"/>
      <c r="Z249" s="1190"/>
      <c r="AA249" s="32">
        <f t="shared" si="612"/>
        <v>0</v>
      </c>
      <c r="AB249" s="1247"/>
      <c r="AC249" s="1190"/>
      <c r="AD249" s="32">
        <f t="shared" si="613"/>
        <v>0</v>
      </c>
      <c r="AE249" s="1247"/>
      <c r="AF249" s="1190"/>
      <c r="AG249" s="32">
        <f t="shared" si="614"/>
        <v>0</v>
      </c>
      <c r="AH249" s="1247"/>
      <c r="AI249" s="1190"/>
      <c r="AJ249" s="32">
        <f t="shared" si="615"/>
        <v>0</v>
      </c>
      <c r="AK249" s="1247"/>
      <c r="AL249" s="1190"/>
      <c r="AM249" s="32">
        <f t="shared" si="616"/>
        <v>0</v>
      </c>
      <c r="AN249" s="1247"/>
      <c r="AO249" s="1190"/>
      <c r="AP249" s="32">
        <f t="shared" si="617"/>
        <v>0</v>
      </c>
      <c r="AQ249" s="1247"/>
      <c r="AR249" s="1190"/>
      <c r="AS249" s="32">
        <f t="shared" si="618"/>
        <v>0</v>
      </c>
      <c r="AT249" s="1247"/>
      <c r="AU249" s="1190"/>
      <c r="AV249" s="32">
        <f t="shared" si="619"/>
        <v>0</v>
      </c>
      <c r="AW249" s="1247"/>
      <c r="AX249" s="1190"/>
      <c r="AY249" s="32">
        <f t="shared" si="620"/>
        <v>0</v>
      </c>
      <c r="AZ249" s="1247"/>
      <c r="BA249" s="1190"/>
      <c r="BB249" s="32">
        <f t="shared" si="621"/>
        <v>0</v>
      </c>
      <c r="BC249" s="1247"/>
      <c r="BD249" s="1190"/>
      <c r="BE249" s="32">
        <f t="shared" si="622"/>
        <v>0</v>
      </c>
      <c r="BF249" s="1247"/>
      <c r="BG249" s="1190"/>
      <c r="BH249" s="32">
        <f t="shared" si="623"/>
        <v>0</v>
      </c>
      <c r="BI249" s="1247"/>
      <c r="BJ249" s="1190"/>
      <c r="BK249" s="32">
        <f t="shared" si="624"/>
        <v>0</v>
      </c>
      <c r="BL249" s="1247"/>
      <c r="BM249" s="1190"/>
      <c r="BN249" s="32">
        <f t="shared" si="625"/>
        <v>0</v>
      </c>
      <c r="BO249" s="1247"/>
      <c r="BP249" s="1190"/>
      <c r="BQ249" s="32">
        <f t="shared" si="626"/>
        <v>0</v>
      </c>
      <c r="BR249" s="1247"/>
      <c r="BS249" s="1190"/>
      <c r="BT249" s="32">
        <f t="shared" si="627"/>
        <v>0</v>
      </c>
      <c r="BU249" s="1247"/>
      <c r="BV249" s="1190"/>
      <c r="BW249" s="32">
        <f t="shared" si="628"/>
        <v>0</v>
      </c>
      <c r="BX249" s="1252">
        <v>0</v>
      </c>
      <c r="BY249" s="1190"/>
      <c r="BZ249" s="32">
        <f t="shared" si="629"/>
        <v>0</v>
      </c>
      <c r="CA249" s="1188">
        <f>IF(Assumptions!CA185&lt;&gt;"",Assumptions!CA185,0)</f>
        <v>0</v>
      </c>
      <c r="CB249" s="1190"/>
      <c r="CC249" s="32">
        <f t="shared" si="630"/>
        <v>0</v>
      </c>
      <c r="CD249" s="1188">
        <f>IF(Assumptions!CD185&lt;&gt;"",Assumptions!CD185,0)</f>
        <v>0</v>
      </c>
      <c r="CE249" s="1190"/>
      <c r="CF249" s="32">
        <f t="shared" si="631"/>
        <v>0</v>
      </c>
      <c r="CG249" s="1188">
        <f>IF(Assumptions!CG185&lt;&gt;"",Assumptions!CG185,0)</f>
        <v>0</v>
      </c>
      <c r="CH249" s="1190">
        <f>IF(Assumptions!CH185&lt;&gt;"",Assumptions!CH185,0)</f>
        <v>0</v>
      </c>
      <c r="CI249" s="32">
        <f t="shared" si="632"/>
        <v>0</v>
      </c>
      <c r="CJ249" s="1188">
        <f>IF(Assumptions!CJ185&lt;&gt;"",Assumptions!CJ185,0)</f>
        <v>0</v>
      </c>
      <c r="CK249" s="1190">
        <f>IF(Assumptions!CK185&lt;&gt;"",Assumptions!CK185,0)</f>
        <v>0</v>
      </c>
      <c r="CL249" s="32">
        <f t="shared" si="633"/>
        <v>0</v>
      </c>
      <c r="CM249" s="1188">
        <f>IF(Assumptions!CM185&lt;&gt;"",Assumptions!CM185,0)</f>
        <v>0</v>
      </c>
      <c r="CN249" s="1190">
        <f>IF(Assumptions!CN185&lt;&gt;"",Assumptions!CN185,0)</f>
        <v>0</v>
      </c>
      <c r="CO249" s="32">
        <f t="shared" si="634"/>
        <v>0</v>
      </c>
      <c r="CP249" s="1188">
        <f>IF(Assumptions!CP185&lt;&gt;"",Assumptions!CP185,0)</f>
        <v>0</v>
      </c>
      <c r="CQ249" s="1190">
        <f>IF(Assumptions!CQ185&lt;&gt;"",Assumptions!CQ185,0)</f>
        <v>0</v>
      </c>
      <c r="CR249" s="32">
        <f t="shared" si="635"/>
        <v>0</v>
      </c>
      <c r="CS249" s="1188">
        <f>IF(Assumptions!CS185&lt;&gt;"",Assumptions!CS185,0)</f>
        <v>0</v>
      </c>
      <c r="CT249" s="1190">
        <f>IF(Assumptions!CT185&lt;&gt;"",Assumptions!CT185,0)</f>
        <v>0</v>
      </c>
      <c r="CU249" s="32">
        <f t="shared" si="636"/>
        <v>0</v>
      </c>
      <c r="CV249" s="1188">
        <f>IF(Assumptions!CV185&lt;&gt;"",Assumptions!CV185,0)</f>
        <v>0</v>
      </c>
      <c r="CW249" s="1190">
        <f>IF(Assumptions!CW185&lt;&gt;"",Assumptions!CW185,0)</f>
        <v>0</v>
      </c>
      <c r="CX249" s="32">
        <f t="shared" si="637"/>
        <v>0</v>
      </c>
      <c r="CY249" s="1188">
        <f>IF(Assumptions!CY185&lt;&gt;"",Assumptions!CY185,0)</f>
        <v>0</v>
      </c>
      <c r="CZ249" s="1190">
        <f>IF(Assumptions!CZ185&lt;&gt;"",Assumptions!CZ185,0)</f>
        <v>0</v>
      </c>
      <c r="DA249" s="32">
        <f t="shared" si="638"/>
        <v>0</v>
      </c>
      <c r="DB249" s="1188">
        <f>IF(Assumptions!DB185&lt;&gt;"",Assumptions!DB185,0)</f>
        <v>0</v>
      </c>
      <c r="DC249" s="1190">
        <f>IF(Assumptions!DC185&lt;&gt;"",Assumptions!DC185,0)</f>
        <v>0</v>
      </c>
      <c r="DD249" s="32">
        <f t="shared" si="639"/>
        <v>0</v>
      </c>
      <c r="DE249" s="1248">
        <f>IF(Assumptions!DE185&lt;&gt;"",Assumptions!DE185,0)</f>
        <v>0</v>
      </c>
      <c r="DF249" s="1190">
        <v>0</v>
      </c>
      <c r="DG249" s="32">
        <f t="shared" si="640"/>
        <v>0</v>
      </c>
      <c r="DH249" s="1248">
        <f>IF(Assumptions!DH185&lt;&gt;"",Assumptions!DH185,0)</f>
        <v>0</v>
      </c>
      <c r="DI249" s="1190">
        <f>IF(Assumptions!DI185&lt;&gt;"",Assumptions!DI185,0)</f>
        <v>0</v>
      </c>
      <c r="DJ249" s="32">
        <f t="shared" si="641"/>
        <v>0</v>
      </c>
      <c r="DK249" s="1248">
        <v>0</v>
      </c>
      <c r="DL249" s="32">
        <f>IF(Assumptions!DL185&lt;&gt;"",Assumptions!DL185,0)</f>
        <v>0</v>
      </c>
      <c r="DM249" s="32">
        <f t="shared" si="642"/>
        <v>0</v>
      </c>
      <c r="DN249" s="1061">
        <f>IF(Assumptions!DN185&lt;&gt;"",Assumptions!DN185,0)</f>
        <v>0</v>
      </c>
      <c r="DO249" s="32">
        <f>IF(Assumptions!DO185&lt;&gt;"",Assumptions!DO185,0)</f>
        <v>0</v>
      </c>
      <c r="DP249" s="32">
        <f t="shared" si="643"/>
        <v>0</v>
      </c>
      <c r="DQ249" s="1061">
        <f>IF(Assumptions!DQ185&lt;&gt;"",Assumptions!DQ185,0)</f>
        <v>0</v>
      </c>
      <c r="DR249" s="32">
        <f>IF(Assumptions!DR185&lt;&gt;"",Assumptions!DR185,0)</f>
        <v>0</v>
      </c>
      <c r="DS249" s="32">
        <f t="shared" si="644"/>
        <v>0</v>
      </c>
      <c r="DT249" s="1061">
        <f>IF(Assumptions!DT185&lt;&gt;"",Assumptions!DT185,0)</f>
        <v>0</v>
      </c>
      <c r="DU249" s="32">
        <f>IF(Assumptions!DU185&lt;&gt;"",Assumptions!DU185,0)</f>
        <v>0</v>
      </c>
      <c r="DV249" s="32">
        <f t="shared" si="645"/>
        <v>0</v>
      </c>
      <c r="DW249" s="1061">
        <f>IF(Assumptions!DW185&lt;&gt;"",Assumptions!DW185,0)</f>
        <v>0</v>
      </c>
      <c r="DX249" s="32">
        <f>IF(Assumptions!DX185&lt;&gt;"",Assumptions!DX185,0)</f>
        <v>0</v>
      </c>
      <c r="DY249" s="32">
        <f t="shared" si="655"/>
        <v>0</v>
      </c>
      <c r="DZ249" s="1061">
        <f>IF(Assumptions!DZ185&lt;&gt;"",Assumptions!DZ185,0)</f>
        <v>0</v>
      </c>
      <c r="EA249" s="32">
        <f>IF(Assumptions!EA185&lt;&gt;"",Assumptions!EA185,0)</f>
        <v>0</v>
      </c>
      <c r="EB249" s="32">
        <f t="shared" si="646"/>
        <v>0</v>
      </c>
      <c r="EC249" s="1061">
        <f>IF(Assumptions!EC185&lt;&gt;"",Assumptions!EC185,0)</f>
        <v>0</v>
      </c>
      <c r="ED249" s="32">
        <f>IF(Assumptions!ED185&lt;&gt;"",Assumptions!ED185,0)</f>
        <v>0</v>
      </c>
      <c r="EE249" s="32">
        <f t="shared" si="647"/>
        <v>0</v>
      </c>
      <c r="EF249" s="1061">
        <f>IF(Assumptions!EF185&lt;&gt;"",Assumptions!EF185,0)</f>
        <v>0</v>
      </c>
      <c r="EG249" s="32">
        <f>IF(Assumptions!EG185&lt;&gt;"",Assumptions!EG185,0)</f>
        <v>0</v>
      </c>
      <c r="EH249" s="32">
        <f t="shared" si="648"/>
        <v>0</v>
      </c>
      <c r="EI249" s="1061">
        <f>IF(Assumptions!EI185&lt;&gt;"",Assumptions!EI185,0)</f>
        <v>0</v>
      </c>
      <c r="EJ249" s="32">
        <f>IF(Assumptions!EJ185&lt;&gt;"",Assumptions!EJ185,0)</f>
        <v>0</v>
      </c>
      <c r="EK249" s="32">
        <f t="shared" si="649"/>
        <v>0</v>
      </c>
      <c r="EL249" s="1061">
        <f>IF(Assumptions!EL185&lt;&gt;"",Assumptions!EL185,0)</f>
        <v>0</v>
      </c>
      <c r="EM249" s="32">
        <f>IF(Assumptions!EM185&lt;&gt;"",Assumptions!EM185,0)</f>
        <v>0</v>
      </c>
      <c r="EN249" s="32">
        <f t="shared" si="650"/>
        <v>0</v>
      </c>
      <c r="EO249" s="1061">
        <f>IF(Assumptions!EO185&lt;&gt;"",Assumptions!EO185,0)</f>
        <v>0</v>
      </c>
      <c r="EP249" s="32">
        <f>IF(Assumptions!EP185&lt;&gt;"",Assumptions!EP185,0)</f>
        <v>0</v>
      </c>
      <c r="EQ249" s="32">
        <f t="shared" si="651"/>
        <v>0</v>
      </c>
      <c r="ER249" s="1061">
        <f>IF(Assumptions!ER185&lt;&gt;"",Assumptions!ER185,0)</f>
        <v>0</v>
      </c>
      <c r="ES249" s="32">
        <f>IF(Assumptions!ES185&lt;&gt;"",Assumptions!ES185,0)</f>
        <v>0</v>
      </c>
      <c r="ET249" s="32">
        <f t="shared" si="652"/>
        <v>0</v>
      </c>
      <c r="EU249" s="1061">
        <f>IF(Assumptions!EU185&lt;&gt;"",Assumptions!EU185,0)</f>
        <v>0</v>
      </c>
      <c r="EV249" s="32">
        <f>IF(Assumptions!EV185&lt;&gt;"",Assumptions!EV185,0)</f>
        <v>0</v>
      </c>
      <c r="EW249" s="32">
        <f t="shared" si="653"/>
        <v>0</v>
      </c>
      <c r="EX249" s="1061">
        <f>IF(Assumptions!EX185&lt;&gt;"",Assumptions!EX185,0)</f>
        <v>0</v>
      </c>
      <c r="EY249" s="32">
        <f>IF(Assumptions!EY185&lt;&gt;"",Assumptions!EY185,0)</f>
        <v>0</v>
      </c>
      <c r="EZ249" s="32">
        <f t="shared" si="654"/>
        <v>0</v>
      </c>
      <c r="FA249" s="1061">
        <f>IF(Assumptions!FA185&lt;&gt;"",Assumptions!FA185,0)</f>
        <v>0</v>
      </c>
      <c r="FD249"/>
      <c r="FE249"/>
      <c r="FF249"/>
      <c r="FG249"/>
      <c r="FH249"/>
      <c r="FI249"/>
    </row>
    <row r="250" spans="2:169" s="33" customFormat="1" ht="13.5" thickBot="1">
      <c r="B250" s="54" t="s">
        <v>22</v>
      </c>
      <c r="C250" s="2"/>
      <c r="D250" s="2" t="s">
        <v>506</v>
      </c>
      <c r="E250" s="32">
        <f>+E251+E252+E253</f>
        <v>0</v>
      </c>
      <c r="F250" s="32">
        <f t="shared" si="605"/>
        <v>0</v>
      </c>
      <c r="G250" s="32">
        <f>+G251+G252+G253</f>
        <v>0</v>
      </c>
      <c r="H250" s="32">
        <f>+H251+H252+H253</f>
        <v>0</v>
      </c>
      <c r="I250" s="32">
        <f t="shared" si="606"/>
        <v>0</v>
      </c>
      <c r="J250" s="32">
        <f>+J251+J252+J253</f>
        <v>0</v>
      </c>
      <c r="K250" s="32">
        <f>+K251+K252+K253</f>
        <v>0</v>
      </c>
      <c r="L250" s="32">
        <f t="shared" si="607"/>
        <v>0</v>
      </c>
      <c r="M250" s="32">
        <f>+M251+M252+M253</f>
        <v>0</v>
      </c>
      <c r="N250" s="32">
        <f>+N251+N252+N253</f>
        <v>0</v>
      </c>
      <c r="O250" s="32">
        <f t="shared" si="608"/>
        <v>0</v>
      </c>
      <c r="P250" s="32">
        <f>+P251+P252+P253</f>
        <v>0</v>
      </c>
      <c r="Q250" s="32">
        <f>+Q251+Q252+Q253</f>
        <v>0</v>
      </c>
      <c r="R250" s="32">
        <f t="shared" si="609"/>
        <v>0</v>
      </c>
      <c r="S250" s="32">
        <f>+S251+S252+S253</f>
        <v>0</v>
      </c>
      <c r="T250" s="32">
        <f>+T251+T252+T253</f>
        <v>0</v>
      </c>
      <c r="U250" s="32">
        <f t="shared" si="610"/>
        <v>0</v>
      </c>
      <c r="V250" s="32">
        <f>+V251+V252+V253</f>
        <v>0</v>
      </c>
      <c r="W250" s="32">
        <f>+W251+W252+W253</f>
        <v>0</v>
      </c>
      <c r="X250" s="32">
        <f t="shared" si="611"/>
        <v>0</v>
      </c>
      <c r="Y250" s="32">
        <f>+Y251+Y252+Y253</f>
        <v>0</v>
      </c>
      <c r="Z250" s="32">
        <f>+Z251+Z252+Z253</f>
        <v>0</v>
      </c>
      <c r="AA250" s="32">
        <f t="shared" si="612"/>
        <v>0</v>
      </c>
      <c r="AB250" s="32">
        <f>+AB251+AB252+AB253</f>
        <v>0</v>
      </c>
      <c r="AC250" s="32">
        <f>+AC251+AC252+AC253</f>
        <v>0</v>
      </c>
      <c r="AD250" s="32">
        <f t="shared" si="613"/>
        <v>0</v>
      </c>
      <c r="AE250" s="32">
        <f>+AE251+AE252+AE253</f>
        <v>0</v>
      </c>
      <c r="AF250" s="32">
        <f>+AF251+AF252+AF253</f>
        <v>0</v>
      </c>
      <c r="AG250" s="32">
        <f t="shared" si="614"/>
        <v>0</v>
      </c>
      <c r="AH250" s="32">
        <f>+AH251+AH252+AH253</f>
        <v>0</v>
      </c>
      <c r="AI250" s="32">
        <f>+AI251+AI252+AI253</f>
        <v>0</v>
      </c>
      <c r="AJ250" s="32">
        <f t="shared" si="615"/>
        <v>0</v>
      </c>
      <c r="AK250" s="32">
        <f>+AK251+AK252+AK253</f>
        <v>0</v>
      </c>
      <c r="AL250" s="32">
        <f>+AL251+AL252+AL253</f>
        <v>0</v>
      </c>
      <c r="AM250" s="32">
        <f t="shared" si="616"/>
        <v>0</v>
      </c>
      <c r="AN250" s="32">
        <f>+AN251+AN252+AN253</f>
        <v>0</v>
      </c>
      <c r="AO250" s="32">
        <f>+AO251+AO252+AO253</f>
        <v>0</v>
      </c>
      <c r="AP250" s="32">
        <f t="shared" si="617"/>
        <v>0</v>
      </c>
      <c r="AQ250" s="32">
        <f>+AQ251+AQ252+AQ253</f>
        <v>0</v>
      </c>
      <c r="AR250" s="32">
        <f>+AR251+AR252+AR253</f>
        <v>0</v>
      </c>
      <c r="AS250" s="32">
        <f t="shared" si="618"/>
        <v>0</v>
      </c>
      <c r="AT250" s="32">
        <f>+AT251+AT252+AT253</f>
        <v>0</v>
      </c>
      <c r="AU250" s="32">
        <f>+AU251+AU252+AU253</f>
        <v>0</v>
      </c>
      <c r="AV250" s="32">
        <f t="shared" si="619"/>
        <v>0</v>
      </c>
      <c r="AW250" s="32">
        <f>+AW251+AW252+AW253</f>
        <v>0</v>
      </c>
      <c r="AX250" s="32">
        <f>+AX251+AX252+AX253</f>
        <v>0</v>
      </c>
      <c r="AY250" s="32">
        <f t="shared" si="620"/>
        <v>0</v>
      </c>
      <c r="AZ250" s="32">
        <f>+AZ251+AZ252+AZ253</f>
        <v>0</v>
      </c>
      <c r="BA250" s="32">
        <f>+BA251+BA252+BA253</f>
        <v>0</v>
      </c>
      <c r="BB250" s="32">
        <f t="shared" si="621"/>
        <v>0</v>
      </c>
      <c r="BC250" s="32">
        <f>+BC251+BC252+BC253</f>
        <v>0</v>
      </c>
      <c r="BD250" s="32">
        <f>+BD251+BD252+BD253</f>
        <v>0</v>
      </c>
      <c r="BE250" s="32">
        <f t="shared" si="622"/>
        <v>0</v>
      </c>
      <c r="BF250" s="32">
        <f>+BF251+BF252+BF253</f>
        <v>0</v>
      </c>
      <c r="BG250" s="32">
        <f>+BG251+BG252+BG253</f>
        <v>0</v>
      </c>
      <c r="BH250" s="32">
        <f t="shared" si="623"/>
        <v>0</v>
      </c>
      <c r="BI250" s="32">
        <f>+BI251+BI252+BI253</f>
        <v>0</v>
      </c>
      <c r="BJ250" s="32">
        <f>+BJ251+BJ252+BJ253</f>
        <v>0</v>
      </c>
      <c r="BK250" s="32">
        <f t="shared" si="624"/>
        <v>0</v>
      </c>
      <c r="BL250" s="32">
        <f>+BL251+BL252+BL253</f>
        <v>0</v>
      </c>
      <c r="BM250" s="32">
        <f>+BM251+BM252+BM253</f>
        <v>0</v>
      </c>
      <c r="BN250" s="32">
        <f t="shared" si="625"/>
        <v>0</v>
      </c>
      <c r="BO250" s="32">
        <f>+BO251+BO252+BO253</f>
        <v>0</v>
      </c>
      <c r="BP250" s="32">
        <f>+BP251+BP252+BP253</f>
        <v>0</v>
      </c>
      <c r="BQ250" s="32">
        <f t="shared" si="626"/>
        <v>0</v>
      </c>
      <c r="BR250" s="32">
        <f>+BR251+BR252+BR253</f>
        <v>0</v>
      </c>
      <c r="BS250" s="32">
        <f>+BS251+BS252+BS253</f>
        <v>0</v>
      </c>
      <c r="BT250" s="32">
        <f t="shared" si="627"/>
        <v>0</v>
      </c>
      <c r="BU250" s="32">
        <f>+BU251+BU252+BU253</f>
        <v>0</v>
      </c>
      <c r="BV250" s="32">
        <f>+BV251+BV252+BV253</f>
        <v>0</v>
      </c>
      <c r="BW250" s="32">
        <f t="shared" si="628"/>
        <v>876</v>
      </c>
      <c r="BX250" s="32">
        <f>+BX251+BX252+BX253</f>
        <v>876</v>
      </c>
      <c r="BY250" s="32">
        <f>+BY251+BY252+BY253</f>
        <v>0</v>
      </c>
      <c r="BZ250" s="32">
        <f t="shared" si="629"/>
        <v>791</v>
      </c>
      <c r="CA250" s="32">
        <f>+CA251+CA252+CA253</f>
        <v>791</v>
      </c>
      <c r="CB250" s="32">
        <f>+CB251+CB252+CB253</f>
        <v>0</v>
      </c>
      <c r="CC250" s="32">
        <f t="shared" si="630"/>
        <v>814</v>
      </c>
      <c r="CD250" s="32">
        <f>+CD251+CD252+CD253</f>
        <v>814</v>
      </c>
      <c r="CE250" s="32">
        <f>+CE251+CE252+CE253</f>
        <v>0</v>
      </c>
      <c r="CF250" s="32">
        <f t="shared" si="631"/>
        <v>983</v>
      </c>
      <c r="CG250" s="32">
        <f>+CG251+CG252+CG253</f>
        <v>983</v>
      </c>
      <c r="CH250" s="32">
        <f>+CH251+CH252+CH253</f>
        <v>870.15599999999995</v>
      </c>
      <c r="CI250" s="32">
        <f t="shared" si="632"/>
        <v>853.3</v>
      </c>
      <c r="CJ250" s="32">
        <f>+CJ251+CJ252+CJ253</f>
        <v>853.3</v>
      </c>
      <c r="CK250" s="32">
        <f>+CK251+CK252+CK253</f>
        <v>855.7</v>
      </c>
      <c r="CL250" s="32">
        <f t="shared" si="633"/>
        <v>855.7</v>
      </c>
      <c r="CM250" s="32">
        <f>+CM251+CM252+CM253</f>
        <v>855.7</v>
      </c>
      <c r="CN250" s="32">
        <f>+CN251+CN252+CN253</f>
        <v>900.2</v>
      </c>
      <c r="CO250" s="32">
        <f t="shared" si="634"/>
        <v>930.80000000000007</v>
      </c>
      <c r="CP250" s="32">
        <f>+CP251+CP252+CP253</f>
        <v>930.80000000000007</v>
      </c>
      <c r="CQ250" s="32">
        <f>+CQ251+CQ252+CQ253</f>
        <v>854.8</v>
      </c>
      <c r="CR250" s="32">
        <f t="shared" si="635"/>
        <v>934.5</v>
      </c>
      <c r="CS250" s="32">
        <f>+CS251+CS252+CS253</f>
        <v>934.5</v>
      </c>
      <c r="CT250" s="32">
        <f>+CT251+CT252+CT253</f>
        <v>923.8</v>
      </c>
      <c r="CU250" s="32">
        <f t="shared" si="636"/>
        <v>947.6</v>
      </c>
      <c r="CV250" s="32">
        <f>+CV251+CV252+CV253</f>
        <v>947.6</v>
      </c>
      <c r="CW250" s="32">
        <f>+CW251+CW252+CW253</f>
        <v>958</v>
      </c>
      <c r="CX250" s="32">
        <f t="shared" si="637"/>
        <v>1061</v>
      </c>
      <c r="CY250" s="32">
        <f>+CY251+CY252+CY253</f>
        <v>1061</v>
      </c>
      <c r="CZ250" s="32">
        <f>+CZ251+CZ252+CZ253</f>
        <v>1695.8000000000002</v>
      </c>
      <c r="DA250" s="32">
        <f t="shared" si="638"/>
        <v>1806.6</v>
      </c>
      <c r="DB250" s="32">
        <f>+DB251+DB252+DB253</f>
        <v>1806.6</v>
      </c>
      <c r="DC250" s="32">
        <f>+DC251+DC252+DC253</f>
        <v>1833</v>
      </c>
      <c r="DD250" s="32">
        <f t="shared" si="639"/>
        <v>1879.8</v>
      </c>
      <c r="DE250" s="1061">
        <f>+DE251+DE252+DE253</f>
        <v>1879.8</v>
      </c>
      <c r="DF250" s="32">
        <f>+DF251+DF252+DF253</f>
        <v>1885.5</v>
      </c>
      <c r="DG250" s="32">
        <f t="shared" si="640"/>
        <v>2140.1999999999998</v>
      </c>
      <c r="DH250" s="1061">
        <f>+DH251+DH252+DH253</f>
        <v>2140.1999999999998</v>
      </c>
      <c r="DI250" s="32">
        <f>+DI251+DI252+DI253</f>
        <v>2154.5</v>
      </c>
      <c r="DJ250" s="32">
        <f t="shared" si="641"/>
        <v>2669.7</v>
      </c>
      <c r="DK250" s="1061">
        <f>+DK251+DK252+DK253</f>
        <v>2669.7</v>
      </c>
      <c r="DL250" s="32">
        <f>+DL251+DL252+DL253</f>
        <v>2678.3</v>
      </c>
      <c r="DM250" s="32">
        <f t="shared" si="642"/>
        <v>2638.1</v>
      </c>
      <c r="DN250" s="1061">
        <f>+DN251+DN252+DN253</f>
        <v>2638.1</v>
      </c>
      <c r="DO250" s="32">
        <f>+DO251+DO252+DO253</f>
        <v>16257.2</v>
      </c>
      <c r="DP250" s="32">
        <f t="shared" si="643"/>
        <v>16446</v>
      </c>
      <c r="DQ250" s="1061">
        <f>+DQ251+DQ252+DQ253</f>
        <v>16446</v>
      </c>
      <c r="DR250" s="32">
        <f>+DR251+DR252+DR253</f>
        <v>16467</v>
      </c>
      <c r="DS250" s="32">
        <f t="shared" si="644"/>
        <v>16346</v>
      </c>
      <c r="DT250" s="1061">
        <f>+DT251+DT252+DT253</f>
        <v>16346</v>
      </c>
      <c r="DU250" s="32">
        <f>+DU251+DU252+DU253</f>
        <v>16282</v>
      </c>
      <c r="DV250" s="32">
        <f t="shared" si="645"/>
        <v>16185</v>
      </c>
      <c r="DW250" s="1061">
        <f>+DW251+DW252+DW253</f>
        <v>16185</v>
      </c>
      <c r="DX250" s="32">
        <f>+DX251+DX252+DX253</f>
        <v>15103</v>
      </c>
      <c r="DY250" s="32">
        <f t="shared" si="655"/>
        <v>15199</v>
      </c>
      <c r="DZ250" s="1061">
        <f>+DZ251+DZ252+DZ253</f>
        <v>15199</v>
      </c>
      <c r="EA250" s="32">
        <f>+EA251+EA252+EA253</f>
        <v>15305</v>
      </c>
      <c r="EB250" s="32">
        <f t="shared" si="646"/>
        <v>15437</v>
      </c>
      <c r="EC250" s="1061">
        <f>+EC251+EC252+EC253</f>
        <v>15437</v>
      </c>
      <c r="ED250" s="32">
        <f>+ED251+ED252+ED253</f>
        <v>15550.5</v>
      </c>
      <c r="EE250" s="32">
        <f t="shared" si="647"/>
        <v>15690</v>
      </c>
      <c r="EF250" s="1061">
        <f>+EF251+EF252+EF253</f>
        <v>15690</v>
      </c>
      <c r="EG250" s="32">
        <f>+EG251+EG252+EG253</f>
        <v>15811.225</v>
      </c>
      <c r="EH250" s="32">
        <f t="shared" si="648"/>
        <v>15958.45</v>
      </c>
      <c r="EI250" s="1061">
        <f>+EI251+EI252+EI253</f>
        <v>15958.45</v>
      </c>
      <c r="EJ250" s="32">
        <f>+EJ251+EJ252+EJ253</f>
        <v>16087.63175</v>
      </c>
      <c r="EK250" s="32">
        <f t="shared" si="649"/>
        <v>16242.8135</v>
      </c>
      <c r="EL250" s="1061">
        <f>+EL251+EL252+EL253</f>
        <v>16242.8135</v>
      </c>
      <c r="EM250" s="32">
        <f>+EM251+EM252+EM253</f>
        <v>16380.1907025</v>
      </c>
      <c r="EN250" s="32">
        <f t="shared" si="650"/>
        <v>16543.567905</v>
      </c>
      <c r="EO250" s="1061">
        <f>+EO251+EO252+EO253</f>
        <v>16543.567905</v>
      </c>
      <c r="EP250" s="32">
        <f>+EP251+EP252+EP253</f>
        <v>16689.386423575001</v>
      </c>
      <c r="EQ250" s="32">
        <f t="shared" si="651"/>
        <v>16861.204942150001</v>
      </c>
      <c r="ER250" s="1061">
        <f>+ER251+ER252+ER253</f>
        <v>16861.204942150001</v>
      </c>
      <c r="ES250" s="32">
        <f>+ES251+ES252+ES253</f>
        <v>17015.718016282251</v>
      </c>
      <c r="ET250" s="32">
        <f t="shared" si="652"/>
        <v>17196.231090414502</v>
      </c>
      <c r="EU250" s="1061">
        <f>+EU251+EU252+EU253</f>
        <v>17196.231090414502</v>
      </c>
      <c r="EV250" s="32">
        <f>+EV251+EV252+EV253</f>
        <v>17359.69955677072</v>
      </c>
      <c r="EW250" s="32">
        <f t="shared" si="653"/>
        <v>17549.168023126938</v>
      </c>
      <c r="EX250" s="1061">
        <f>+EX251+EX252+EX253</f>
        <v>17549.168023126938</v>
      </c>
      <c r="EY250" s="32">
        <f>+EY251+EY252+EY253</f>
        <v>17721.860543473842</v>
      </c>
      <c r="EZ250" s="32">
        <f t="shared" si="654"/>
        <v>17920.553063820746</v>
      </c>
      <c r="FA250" s="1061">
        <f>+FA251+FA252+FA253</f>
        <v>17920.553063820746</v>
      </c>
      <c r="FD250"/>
      <c r="FE250"/>
      <c r="FF250"/>
      <c r="FG250"/>
      <c r="FH250"/>
      <c r="FI250"/>
    </row>
    <row r="251" spans="2:169" s="33" customFormat="1" outlineLevel="1">
      <c r="B251" s="54" t="s">
        <v>998</v>
      </c>
      <c r="C251" s="2"/>
      <c r="D251" s="2" t="s">
        <v>506</v>
      </c>
      <c r="E251" s="1183"/>
      <c r="F251" s="1192">
        <f t="shared" si="605"/>
        <v>0</v>
      </c>
      <c r="G251" s="1215"/>
      <c r="H251" s="1185"/>
      <c r="I251" s="1192">
        <f t="shared" si="606"/>
        <v>0</v>
      </c>
      <c r="J251" s="1215"/>
      <c r="K251" s="1185"/>
      <c r="L251" s="1192">
        <f t="shared" si="607"/>
        <v>0</v>
      </c>
      <c r="M251" s="1215"/>
      <c r="N251" s="1185"/>
      <c r="O251" s="1192">
        <f t="shared" si="608"/>
        <v>0</v>
      </c>
      <c r="P251" s="1215"/>
      <c r="Q251" s="1185"/>
      <c r="R251" s="1192">
        <f t="shared" si="609"/>
        <v>0</v>
      </c>
      <c r="S251" s="1215"/>
      <c r="T251" s="1185"/>
      <c r="U251" s="1192">
        <f t="shared" si="610"/>
        <v>0</v>
      </c>
      <c r="V251" s="1215"/>
      <c r="W251" s="1185"/>
      <c r="X251" s="1192">
        <f t="shared" si="611"/>
        <v>0</v>
      </c>
      <c r="Y251" s="1215"/>
      <c r="Z251" s="1185"/>
      <c r="AA251" s="1192">
        <f t="shared" si="612"/>
        <v>0</v>
      </c>
      <c r="AB251" s="1215"/>
      <c r="AC251" s="1185"/>
      <c r="AD251" s="1192">
        <f t="shared" si="613"/>
        <v>0</v>
      </c>
      <c r="AE251" s="1215"/>
      <c r="AF251" s="1185"/>
      <c r="AG251" s="1192">
        <f t="shared" si="614"/>
        <v>0</v>
      </c>
      <c r="AH251" s="1215"/>
      <c r="AI251" s="1185"/>
      <c r="AJ251" s="1192">
        <f t="shared" si="615"/>
        <v>0</v>
      </c>
      <c r="AK251" s="1215"/>
      <c r="AL251" s="1185"/>
      <c r="AM251" s="1192">
        <f t="shared" si="616"/>
        <v>0</v>
      </c>
      <c r="AN251" s="1215"/>
      <c r="AO251" s="1185"/>
      <c r="AP251" s="1192">
        <f t="shared" si="617"/>
        <v>0</v>
      </c>
      <c r="AQ251" s="1215"/>
      <c r="AR251" s="1185"/>
      <c r="AS251" s="1192">
        <f t="shared" si="618"/>
        <v>0</v>
      </c>
      <c r="AT251" s="1215"/>
      <c r="AU251" s="1185"/>
      <c r="AV251" s="1192">
        <f t="shared" si="619"/>
        <v>0</v>
      </c>
      <c r="AW251" s="1215"/>
      <c r="AX251" s="1185"/>
      <c r="AY251" s="1192">
        <f t="shared" si="620"/>
        <v>0</v>
      </c>
      <c r="AZ251" s="1215"/>
      <c r="BA251" s="1185"/>
      <c r="BB251" s="1192">
        <f t="shared" si="621"/>
        <v>0</v>
      </c>
      <c r="BC251" s="1215"/>
      <c r="BD251" s="1185"/>
      <c r="BE251" s="1192">
        <f t="shared" si="622"/>
        <v>0</v>
      </c>
      <c r="BF251" s="1215"/>
      <c r="BG251" s="1185"/>
      <c r="BH251" s="1192">
        <f t="shared" si="623"/>
        <v>0</v>
      </c>
      <c r="BI251" s="1215"/>
      <c r="BJ251" s="1185"/>
      <c r="BK251" s="1192">
        <f t="shared" si="624"/>
        <v>0</v>
      </c>
      <c r="BL251" s="1215"/>
      <c r="BM251" s="1185"/>
      <c r="BN251" s="1192">
        <f t="shared" si="625"/>
        <v>0</v>
      </c>
      <c r="BO251" s="1215"/>
      <c r="BP251" s="1185"/>
      <c r="BQ251" s="1192">
        <f t="shared" si="626"/>
        <v>0</v>
      </c>
      <c r="BR251" s="1215"/>
      <c r="BS251" s="1185"/>
      <c r="BT251" s="1192">
        <f t="shared" si="627"/>
        <v>0</v>
      </c>
      <c r="BU251" s="1215"/>
      <c r="BV251" s="1185"/>
      <c r="BW251" s="1192">
        <f t="shared" si="628"/>
        <v>876</v>
      </c>
      <c r="BX251" s="1244">
        <v>876</v>
      </c>
      <c r="BY251" s="1185"/>
      <c r="BZ251" s="1192">
        <f t="shared" si="629"/>
        <v>791</v>
      </c>
      <c r="CA251" s="1244">
        <v>791</v>
      </c>
      <c r="CB251" s="1185"/>
      <c r="CC251" s="1192">
        <f t="shared" si="630"/>
        <v>814</v>
      </c>
      <c r="CD251" s="1244">
        <v>814</v>
      </c>
      <c r="CE251" s="1185"/>
      <c r="CF251" s="1192">
        <f t="shared" si="631"/>
        <v>983</v>
      </c>
      <c r="CG251" s="1244">
        <v>983</v>
      </c>
      <c r="CH251" s="1198">
        <v>870.15599999999995</v>
      </c>
      <c r="CI251" s="1192">
        <f t="shared" si="632"/>
        <v>853.3</v>
      </c>
      <c r="CJ251" s="1244">
        <v>853.3</v>
      </c>
      <c r="CK251" s="1198">
        <v>855.7</v>
      </c>
      <c r="CL251" s="1192">
        <f t="shared" si="633"/>
        <v>855.7</v>
      </c>
      <c r="CM251" s="1244">
        <v>855.7</v>
      </c>
      <c r="CN251" s="1198">
        <v>895.7</v>
      </c>
      <c r="CO251" s="1192">
        <f t="shared" si="634"/>
        <v>924.1</v>
      </c>
      <c r="CP251" s="1244">
        <v>924.1</v>
      </c>
      <c r="CQ251" s="1198">
        <v>850.9</v>
      </c>
      <c r="CR251" s="1192">
        <f t="shared" si="635"/>
        <v>926.9</v>
      </c>
      <c r="CS251" s="1244">
        <v>926.9</v>
      </c>
      <c r="CT251" s="1198">
        <v>916.3</v>
      </c>
      <c r="CU251" s="1192">
        <f t="shared" si="636"/>
        <v>942.6</v>
      </c>
      <c r="CV251" s="1244">
        <v>942.6</v>
      </c>
      <c r="CW251" s="1198">
        <v>952.8</v>
      </c>
      <c r="CX251" s="1192">
        <f t="shared" si="637"/>
        <v>1055.4000000000001</v>
      </c>
      <c r="CY251" s="1244">
        <v>1055.4000000000001</v>
      </c>
      <c r="CZ251" s="1185">
        <v>1690.4</v>
      </c>
      <c r="DA251" s="1192">
        <f t="shared" si="638"/>
        <v>1802.5</v>
      </c>
      <c r="DB251" s="1183">
        <v>1802.5</v>
      </c>
      <c r="DC251" s="1185">
        <v>1829.8</v>
      </c>
      <c r="DD251" s="1192">
        <f t="shared" si="639"/>
        <v>1878.3</v>
      </c>
      <c r="DE251" s="1560">
        <v>1878.3</v>
      </c>
      <c r="DF251" s="1561">
        <v>1885.5</v>
      </c>
      <c r="DG251" s="1542">
        <f t="shared" si="640"/>
        <v>2140.1999999999998</v>
      </c>
      <c r="DH251" s="1562">
        <v>2140.1999999999998</v>
      </c>
      <c r="DI251" s="1543">
        <v>2154.5</v>
      </c>
      <c r="DJ251" s="1542">
        <f t="shared" si="641"/>
        <v>2669.7</v>
      </c>
      <c r="DK251" s="1562">
        <v>2669.7</v>
      </c>
      <c r="DL251" s="1530">
        <v>2678.3</v>
      </c>
      <c r="DM251" s="1530">
        <f t="shared" si="642"/>
        <v>2638.1</v>
      </c>
      <c r="DN251" s="1531">
        <v>2638.1</v>
      </c>
      <c r="DO251" s="1558">
        <v>16257.2</v>
      </c>
      <c r="DP251" s="1530">
        <f t="shared" si="643"/>
        <v>16446</v>
      </c>
      <c r="DQ251" s="1532">
        <v>16446</v>
      </c>
      <c r="DR251" s="1558">
        <v>16467</v>
      </c>
      <c r="DS251" s="1530">
        <f t="shared" si="644"/>
        <v>16346</v>
      </c>
      <c r="DT251" s="1532">
        <v>16346</v>
      </c>
      <c r="DU251" s="1558">
        <v>16282</v>
      </c>
      <c r="DV251" s="1530">
        <f t="shared" si="645"/>
        <v>16185</v>
      </c>
      <c r="DW251" s="1532">
        <v>16185</v>
      </c>
      <c r="DX251" s="1558">
        <v>15103</v>
      </c>
      <c r="DY251" s="32">
        <f>IF(DY5="A","",+DX251-DY199+DY87+DY88+DY90)</f>
        <v>15199</v>
      </c>
      <c r="DZ251" s="1061">
        <f>+DY251</f>
        <v>15199</v>
      </c>
      <c r="EA251" s="32">
        <f>IF(EA5="A","",+DZ251-EA71-EA199+EA475+EA86)</f>
        <v>15305</v>
      </c>
      <c r="EB251" s="32">
        <f t="shared" si="646"/>
        <v>15437</v>
      </c>
      <c r="EC251" s="1061">
        <f>IF(EC5="A","",+DZ251-EC71-EC199+EC475+EC86)</f>
        <v>15437</v>
      </c>
      <c r="ED251" s="32">
        <f>IF(ED5="A","",+EC251-ED71-ED199+ED475+ED86)</f>
        <v>15550.5</v>
      </c>
      <c r="EE251" s="32">
        <f t="shared" si="647"/>
        <v>15690</v>
      </c>
      <c r="EF251" s="1061">
        <f>IF(EF5="A","",+EC251-EF71-EF199+EF475+EF86)</f>
        <v>15690</v>
      </c>
      <c r="EG251" s="32">
        <f>IF(EG5="A","",+EF251-EG71-EG199+EG475+EG86)</f>
        <v>15811.225</v>
      </c>
      <c r="EH251" s="32">
        <f t="shared" si="648"/>
        <v>15958.45</v>
      </c>
      <c r="EI251" s="1061">
        <f>IF(EI5="A","",+EF251-EI71-EI199+EI475+EI86)</f>
        <v>15958.45</v>
      </c>
      <c r="EJ251" s="32">
        <f>IF(EJ5="A","",+EI251-EJ71-EJ199+EJ475+EJ86)</f>
        <v>16087.63175</v>
      </c>
      <c r="EK251" s="32">
        <f t="shared" si="649"/>
        <v>16242.8135</v>
      </c>
      <c r="EL251" s="1061">
        <f>IF(EL5="A","",+EI251-EL71-EL199+EL475+EL86)</f>
        <v>16242.8135</v>
      </c>
      <c r="EM251" s="32">
        <f>IF(EM5="A","",+EL251-EM71-EM199+EM475+EM86)</f>
        <v>16380.1907025</v>
      </c>
      <c r="EN251" s="32">
        <f t="shared" si="650"/>
        <v>16543.567905</v>
      </c>
      <c r="EO251" s="1061">
        <f>IF(EO5="A","",+EL251-EO71-EO199+EO475+EO86)</f>
        <v>16543.567905</v>
      </c>
      <c r="EP251" s="32">
        <f>IF(EP5="A","",+EO251-EP71-EP199+EP475+EP86)</f>
        <v>16689.386423575001</v>
      </c>
      <c r="EQ251" s="32">
        <f t="shared" si="651"/>
        <v>16861.204942150001</v>
      </c>
      <c r="ER251" s="1061">
        <f>IF(ER5="A","",+EO251-ER71-ER199+ER475+ER86)</f>
        <v>16861.204942150001</v>
      </c>
      <c r="ES251" s="32">
        <f>IF(ES5="A","",+ER251-ES71-ES199+ES475+ES86)</f>
        <v>17015.718016282251</v>
      </c>
      <c r="ET251" s="32">
        <f t="shared" si="652"/>
        <v>17196.231090414502</v>
      </c>
      <c r="EU251" s="1061">
        <f>IF(EU5="A","",+ER251-EU71-EU199+EU475+EU86)</f>
        <v>17196.231090414502</v>
      </c>
      <c r="EV251" s="32">
        <f>IF(EV5="A","",+EU251-EV71-EV199+EV475+EV86)</f>
        <v>17359.69955677072</v>
      </c>
      <c r="EW251" s="32">
        <f t="shared" si="653"/>
        <v>17549.168023126938</v>
      </c>
      <c r="EX251" s="1061">
        <f>IF(EX5="A","",+EU251-EX71-EX199+EX475+EX86)</f>
        <v>17549.168023126938</v>
      </c>
      <c r="EY251" s="32">
        <f>IF(EY5="A","",+EX251-EY71-EY199+EY475+EY86)</f>
        <v>17721.860543473842</v>
      </c>
      <c r="EZ251" s="32">
        <f t="shared" si="654"/>
        <v>17920.553063820746</v>
      </c>
      <c r="FA251" s="1061">
        <f>IF(FA5="A","",+EX251-FA71-FA199+FA475+FA86)</f>
        <v>17920.553063820746</v>
      </c>
      <c r="FB251" s="1243"/>
      <c r="FD251"/>
      <c r="FE251"/>
      <c r="FF251"/>
      <c r="FG251"/>
      <c r="FH251"/>
      <c r="FI251"/>
    </row>
    <row r="252" spans="2:169" s="33" customFormat="1" ht="13.5" outlineLevel="1" thickBot="1">
      <c r="B252" s="54" t="s">
        <v>23</v>
      </c>
      <c r="C252" s="2"/>
      <c r="D252" s="2" t="s">
        <v>506</v>
      </c>
      <c r="E252" s="1188"/>
      <c r="F252" s="32">
        <f t="shared" si="605"/>
        <v>0</v>
      </c>
      <c r="G252" s="1247"/>
      <c r="H252" s="1190"/>
      <c r="I252" s="32">
        <f t="shared" si="606"/>
        <v>0</v>
      </c>
      <c r="J252" s="1247"/>
      <c r="K252" s="1190"/>
      <c r="L252" s="32">
        <f t="shared" si="607"/>
        <v>0</v>
      </c>
      <c r="M252" s="1247"/>
      <c r="N252" s="1190"/>
      <c r="O252" s="32">
        <f t="shared" si="608"/>
        <v>0</v>
      </c>
      <c r="P252" s="1247"/>
      <c r="Q252" s="1190"/>
      <c r="R252" s="32">
        <f t="shared" si="609"/>
        <v>0</v>
      </c>
      <c r="S252" s="1247"/>
      <c r="T252" s="1190"/>
      <c r="U252" s="32">
        <f t="shared" si="610"/>
        <v>0</v>
      </c>
      <c r="V252" s="1247"/>
      <c r="W252" s="1190"/>
      <c r="X252" s="32">
        <f t="shared" si="611"/>
        <v>0</v>
      </c>
      <c r="Y252" s="1247"/>
      <c r="Z252" s="1190"/>
      <c r="AA252" s="32">
        <f t="shared" si="612"/>
        <v>0</v>
      </c>
      <c r="AB252" s="1247"/>
      <c r="AC252" s="1190"/>
      <c r="AD252" s="32">
        <f t="shared" si="613"/>
        <v>0</v>
      </c>
      <c r="AE252" s="1247"/>
      <c r="AF252" s="1190"/>
      <c r="AG252" s="32">
        <f t="shared" si="614"/>
        <v>0</v>
      </c>
      <c r="AH252" s="1247"/>
      <c r="AI252" s="1190"/>
      <c r="AJ252" s="32">
        <f t="shared" si="615"/>
        <v>0</v>
      </c>
      <c r="AK252" s="1247"/>
      <c r="AL252" s="1190"/>
      <c r="AM252" s="32">
        <f t="shared" si="616"/>
        <v>0</v>
      </c>
      <c r="AN252" s="1247"/>
      <c r="AO252" s="1190"/>
      <c r="AP252" s="32">
        <f t="shared" si="617"/>
        <v>0</v>
      </c>
      <c r="AQ252" s="1247"/>
      <c r="AR252" s="1190"/>
      <c r="AS252" s="32">
        <f t="shared" si="618"/>
        <v>0</v>
      </c>
      <c r="AT252" s="1247"/>
      <c r="AU252" s="1190"/>
      <c r="AV252" s="32">
        <f t="shared" si="619"/>
        <v>0</v>
      </c>
      <c r="AW252" s="1247"/>
      <c r="AX252" s="1190"/>
      <c r="AY252" s="32">
        <f t="shared" si="620"/>
        <v>0</v>
      </c>
      <c r="AZ252" s="1247"/>
      <c r="BA252" s="1190"/>
      <c r="BB252" s="32">
        <f t="shared" si="621"/>
        <v>0</v>
      </c>
      <c r="BC252" s="1247"/>
      <c r="BD252" s="1190"/>
      <c r="BE252" s="32">
        <f t="shared" si="622"/>
        <v>0</v>
      </c>
      <c r="BF252" s="1247"/>
      <c r="BG252" s="1190"/>
      <c r="BH252" s="32">
        <f t="shared" si="623"/>
        <v>0</v>
      </c>
      <c r="BI252" s="1247"/>
      <c r="BJ252" s="1190"/>
      <c r="BK252" s="32">
        <f t="shared" si="624"/>
        <v>0</v>
      </c>
      <c r="BL252" s="1247"/>
      <c r="BM252" s="1190"/>
      <c r="BN252" s="32">
        <f t="shared" si="625"/>
        <v>0</v>
      </c>
      <c r="BO252" s="1247"/>
      <c r="BP252" s="1190"/>
      <c r="BQ252" s="32">
        <f t="shared" si="626"/>
        <v>0</v>
      </c>
      <c r="BR252" s="1247"/>
      <c r="BS252" s="1190"/>
      <c r="BT252" s="32">
        <f t="shared" si="627"/>
        <v>0</v>
      </c>
      <c r="BU252" s="1247"/>
      <c r="BV252" s="1190"/>
      <c r="BW252" s="32">
        <f t="shared" si="628"/>
        <v>0</v>
      </c>
      <c r="BX252" s="1252">
        <v>0</v>
      </c>
      <c r="BY252" s="1190"/>
      <c r="BZ252" s="32">
        <f t="shared" si="629"/>
        <v>0</v>
      </c>
      <c r="CA252" s="1252">
        <v>0</v>
      </c>
      <c r="CB252" s="1190"/>
      <c r="CC252" s="32">
        <f t="shared" si="630"/>
        <v>0</v>
      </c>
      <c r="CD252" s="1188"/>
      <c r="CE252" s="1190"/>
      <c r="CF252" s="32">
        <f t="shared" si="631"/>
        <v>0</v>
      </c>
      <c r="CG252" s="1188"/>
      <c r="CH252" s="1190" t="str">
        <f>IF(CH5="A","",+CG252-CH64-CH200)</f>
        <v/>
      </c>
      <c r="CI252" s="32">
        <f t="shared" si="632"/>
        <v>0</v>
      </c>
      <c r="CJ252" s="1188">
        <f>(+CG252-CJ64-CJ200)</f>
        <v>0</v>
      </c>
      <c r="CK252" s="1190" t="str">
        <f>IF(CK5="A","",+CJ252-CK64-CK200)</f>
        <v/>
      </c>
      <c r="CL252" s="32">
        <f t="shared" si="633"/>
        <v>0</v>
      </c>
      <c r="CM252" s="1188">
        <f>(+CJ252-CM64-CM200)</f>
        <v>0</v>
      </c>
      <c r="CN252" s="1196">
        <v>0</v>
      </c>
      <c r="CO252" s="32">
        <f t="shared" si="634"/>
        <v>0</v>
      </c>
      <c r="CP252" s="1252">
        <v>0</v>
      </c>
      <c r="CQ252" s="1190">
        <f>(+CP252-CQ64-CQ200)</f>
        <v>0</v>
      </c>
      <c r="CR252" s="32">
        <f t="shared" si="635"/>
        <v>0</v>
      </c>
      <c r="CS252" s="1188">
        <f>(+CP252-CS64-CS200)</f>
        <v>0</v>
      </c>
      <c r="CT252" s="1190" t="str">
        <f>IF(CT5="A","",+CS252-CT64-CT200)</f>
        <v/>
      </c>
      <c r="CU252" s="32">
        <f t="shared" si="636"/>
        <v>0</v>
      </c>
      <c r="CV252" s="1252">
        <v>0</v>
      </c>
      <c r="CW252" s="1190">
        <f>(+CV252-CW64-CW200)</f>
        <v>0</v>
      </c>
      <c r="CX252" s="32">
        <f t="shared" si="637"/>
        <v>0</v>
      </c>
      <c r="CY252" s="1188">
        <f>(+CV252-CY64-CY200)</f>
        <v>0</v>
      </c>
      <c r="CZ252" s="1190" t="str">
        <f>IF(CZ5="A","",+CY252-CZ64-CZ200)</f>
        <v/>
      </c>
      <c r="DA252" s="32">
        <f t="shared" si="638"/>
        <v>0</v>
      </c>
      <c r="DB252" s="1188">
        <v>0</v>
      </c>
      <c r="DC252" s="1190" t="str">
        <f>IF(DC5="A","",+DB252-DC64-DC200)</f>
        <v/>
      </c>
      <c r="DD252" s="32">
        <f t="shared" si="639"/>
        <v>0</v>
      </c>
      <c r="DE252" s="1248">
        <v>0</v>
      </c>
      <c r="DF252" s="1190">
        <v>0</v>
      </c>
      <c r="DG252" s="32">
        <f t="shared" si="640"/>
        <v>0</v>
      </c>
      <c r="DH252" s="1248">
        <v>0</v>
      </c>
      <c r="DI252" s="1190">
        <v>0</v>
      </c>
      <c r="DJ252" s="32">
        <f t="shared" si="641"/>
        <v>0</v>
      </c>
      <c r="DK252" s="1248">
        <v>0</v>
      </c>
      <c r="DL252" s="32" t="str">
        <f>IF(DL5="A","",+DK252-DL64-DL200)</f>
        <v/>
      </c>
      <c r="DM252" s="32" t="str">
        <f t="shared" si="642"/>
        <v/>
      </c>
      <c r="DN252" s="1061" t="str">
        <f>IF(DN5="A","",+DK252-DN64-DN200)</f>
        <v/>
      </c>
      <c r="DO252" s="32" t="str">
        <f>IF(DO5="A","",+DN252-DO64-DO200)</f>
        <v/>
      </c>
      <c r="DP252" s="32">
        <f t="shared" si="643"/>
        <v>0</v>
      </c>
      <c r="DQ252" s="1702">
        <v>0</v>
      </c>
      <c r="DR252" s="32" t="str">
        <f>IF(DR5="A","",+DQ252-DR64-DR200)</f>
        <v/>
      </c>
      <c r="DS252" s="32">
        <f t="shared" si="644"/>
        <v>0</v>
      </c>
      <c r="DT252" s="1061">
        <v>0</v>
      </c>
      <c r="DU252" s="32" t="str">
        <f>IF(DU5="A","",+DT252-DU64-DU200)</f>
        <v/>
      </c>
      <c r="DV252" s="32">
        <f t="shared" si="645"/>
        <v>0</v>
      </c>
      <c r="DW252" s="1061">
        <v>0</v>
      </c>
      <c r="DX252" s="32" t="str">
        <f>IF(DX5="A","",+DW252-DX64-DX200)</f>
        <v/>
      </c>
      <c r="DY252" s="32">
        <f t="shared" si="655"/>
        <v>0</v>
      </c>
      <c r="DZ252" s="1061">
        <f>IF(DZ5="A","",+DW252-DZ64-DZ200)</f>
        <v>0</v>
      </c>
      <c r="EA252" s="32">
        <f>IF(EA5="A","",+DZ252-EA64-EA200)</f>
        <v>0</v>
      </c>
      <c r="EB252" s="32">
        <f t="shared" si="646"/>
        <v>0</v>
      </c>
      <c r="EC252" s="1061">
        <f>IF(EC5="A","",+DZ252-EC64-EC200)</f>
        <v>0</v>
      </c>
      <c r="ED252" s="32">
        <f>IF(ED5="A","",+EC252-ED64-ED200)</f>
        <v>0</v>
      </c>
      <c r="EE252" s="32">
        <f t="shared" si="647"/>
        <v>0</v>
      </c>
      <c r="EF252" s="1061">
        <f>IF(EF5="A","",+EC252-EF64-EF200)</f>
        <v>0</v>
      </c>
      <c r="EG252" s="32">
        <f>IF(EG5="A","",+EF252-EG64-EG200)</f>
        <v>0</v>
      </c>
      <c r="EH252" s="32">
        <f t="shared" si="648"/>
        <v>0</v>
      </c>
      <c r="EI252" s="1061">
        <f>IF(EI5="A","",+EF252-EI64-EI200)</f>
        <v>0</v>
      </c>
      <c r="EJ252" s="32">
        <f>IF(EJ5="A","",+EI252-EJ64-EJ200)</f>
        <v>0</v>
      </c>
      <c r="EK252" s="32">
        <f t="shared" si="649"/>
        <v>0</v>
      </c>
      <c r="EL252" s="1061">
        <f>IF(EL5="A","",+EI252-EL64-EL200)</f>
        <v>0</v>
      </c>
      <c r="EM252" s="32">
        <f>IF(EM5="A","",+EL252-EM64-EM200)</f>
        <v>0</v>
      </c>
      <c r="EN252" s="32">
        <f t="shared" si="650"/>
        <v>0</v>
      </c>
      <c r="EO252" s="1061">
        <f>IF(EO5="A","",+EL252-EO64-EO200)</f>
        <v>0</v>
      </c>
      <c r="EP252" s="32">
        <f>IF(EP5="A","",+EO252-EP64-EP200)</f>
        <v>0</v>
      </c>
      <c r="EQ252" s="32">
        <f t="shared" si="651"/>
        <v>0</v>
      </c>
      <c r="ER252" s="1061">
        <f>IF(ER5="A","",+EO252-ER64-ER200)</f>
        <v>0</v>
      </c>
      <c r="ES252" s="32">
        <f>IF(ES5="A","",+ER252-ES64-ES200)</f>
        <v>0</v>
      </c>
      <c r="ET252" s="32">
        <f t="shared" si="652"/>
        <v>0</v>
      </c>
      <c r="EU252" s="1061">
        <f>IF(EU5="A","",+ER252-EU64-EU200)</f>
        <v>0</v>
      </c>
      <c r="EV252" s="32">
        <f>IF(EV5="A","",+EU252-EV64-EV200)</f>
        <v>0</v>
      </c>
      <c r="EW252" s="32">
        <f t="shared" si="653"/>
        <v>0</v>
      </c>
      <c r="EX252" s="1061">
        <f>IF(EX5="A","",+EU252-EX64-EX200)</f>
        <v>0</v>
      </c>
      <c r="EY252" s="32">
        <f>IF(EY5="A","",+EX252-EY64-EY200)</f>
        <v>0</v>
      </c>
      <c r="EZ252" s="32">
        <f t="shared" si="654"/>
        <v>0</v>
      </c>
      <c r="FA252" s="1061">
        <f>IF(FA5="A","",+EX252-FA64-FA200)</f>
        <v>0</v>
      </c>
      <c r="FB252" s="1243"/>
      <c r="FD252"/>
      <c r="FE252"/>
      <c r="FF252"/>
      <c r="FG252"/>
      <c r="FH252"/>
      <c r="FI252"/>
    </row>
    <row r="253" spans="2:169" s="33" customFormat="1" ht="13.5" outlineLevel="1" thickBot="1">
      <c r="B253" s="54" t="s">
        <v>24</v>
      </c>
      <c r="C253" s="2"/>
      <c r="D253" s="2" t="s">
        <v>506</v>
      </c>
      <c r="E253" s="32">
        <f>+SUM(E254:E255)</f>
        <v>0</v>
      </c>
      <c r="F253" s="32">
        <f t="shared" si="605"/>
        <v>0</v>
      </c>
      <c r="G253" s="32">
        <f>+SUM(G254:G255)</f>
        <v>0</v>
      </c>
      <c r="H253" s="32">
        <f>+SUM(H254:H255)</f>
        <v>0</v>
      </c>
      <c r="I253" s="32">
        <f t="shared" si="606"/>
        <v>0</v>
      </c>
      <c r="J253" s="32">
        <f>+SUM(J254:J255)</f>
        <v>0</v>
      </c>
      <c r="K253" s="32">
        <f>+SUM(K254:K255)</f>
        <v>0</v>
      </c>
      <c r="L253" s="32">
        <f t="shared" si="607"/>
        <v>0</v>
      </c>
      <c r="M253" s="32">
        <f>+SUM(M254:M255)</f>
        <v>0</v>
      </c>
      <c r="N253" s="32">
        <f>+SUM(N254:N255)</f>
        <v>0</v>
      </c>
      <c r="O253" s="32">
        <f t="shared" si="608"/>
        <v>0</v>
      </c>
      <c r="P253" s="32">
        <f>+SUM(P254:P255)</f>
        <v>0</v>
      </c>
      <c r="Q253" s="32">
        <f>+SUM(Q254:Q255)</f>
        <v>0</v>
      </c>
      <c r="R253" s="32">
        <f t="shared" si="609"/>
        <v>0</v>
      </c>
      <c r="S253" s="32">
        <f>+SUM(S254:S255)</f>
        <v>0</v>
      </c>
      <c r="T253" s="32">
        <f>+SUM(T254:T255)</f>
        <v>0</v>
      </c>
      <c r="U253" s="32">
        <f t="shared" si="610"/>
        <v>0</v>
      </c>
      <c r="V253" s="32">
        <f>+SUM(V254:V255)</f>
        <v>0</v>
      </c>
      <c r="W253" s="32">
        <f>+SUM(W254:W255)</f>
        <v>0</v>
      </c>
      <c r="X253" s="32">
        <f t="shared" si="611"/>
        <v>0</v>
      </c>
      <c r="Y253" s="32">
        <f>+SUM(Y254:Y255)</f>
        <v>0</v>
      </c>
      <c r="Z253" s="32">
        <f>+SUM(Z254:Z255)</f>
        <v>0</v>
      </c>
      <c r="AA253" s="32">
        <f t="shared" si="612"/>
        <v>0</v>
      </c>
      <c r="AB253" s="32">
        <f>+SUM(AB254:AB255)</f>
        <v>0</v>
      </c>
      <c r="AC253" s="32">
        <f>+SUM(AC254:AC255)</f>
        <v>0</v>
      </c>
      <c r="AD253" s="32">
        <f t="shared" si="613"/>
        <v>0</v>
      </c>
      <c r="AE253" s="32">
        <f>+SUM(AE254:AE255)</f>
        <v>0</v>
      </c>
      <c r="AF253" s="32">
        <f>+SUM(AF254:AF255)</f>
        <v>0</v>
      </c>
      <c r="AG253" s="32">
        <f t="shared" si="614"/>
        <v>0</v>
      </c>
      <c r="AH253" s="32">
        <f>+SUM(AH254:AH255)</f>
        <v>0</v>
      </c>
      <c r="AI253" s="32">
        <f>+SUM(AI254:AI255)</f>
        <v>0</v>
      </c>
      <c r="AJ253" s="32">
        <f t="shared" si="615"/>
        <v>0</v>
      </c>
      <c r="AK253" s="32">
        <f>+SUM(AK254:AK255)</f>
        <v>0</v>
      </c>
      <c r="AL253" s="32">
        <f>+SUM(AL254:AL255)</f>
        <v>0</v>
      </c>
      <c r="AM253" s="32">
        <f t="shared" si="616"/>
        <v>0</v>
      </c>
      <c r="AN253" s="32">
        <f>+SUM(AN254:AN255)</f>
        <v>0</v>
      </c>
      <c r="AO253" s="32">
        <f>+SUM(AO254:AO255)</f>
        <v>0</v>
      </c>
      <c r="AP253" s="32">
        <f t="shared" si="617"/>
        <v>0</v>
      </c>
      <c r="AQ253" s="32">
        <f>+SUM(AQ254:AQ255)</f>
        <v>0</v>
      </c>
      <c r="AR253" s="32">
        <f>+SUM(AR254:AR255)</f>
        <v>0</v>
      </c>
      <c r="AS253" s="32">
        <f t="shared" si="618"/>
        <v>0</v>
      </c>
      <c r="AT253" s="32">
        <f>+SUM(AT254:AT255)</f>
        <v>0</v>
      </c>
      <c r="AU253" s="32">
        <f>+SUM(AU254:AU255)</f>
        <v>0</v>
      </c>
      <c r="AV253" s="32">
        <f t="shared" si="619"/>
        <v>0</v>
      </c>
      <c r="AW253" s="32">
        <f>+SUM(AW254:AW255)</f>
        <v>0</v>
      </c>
      <c r="AX253" s="32">
        <f>+SUM(AX254:AX255)</f>
        <v>0</v>
      </c>
      <c r="AY253" s="32">
        <f t="shared" si="620"/>
        <v>0</v>
      </c>
      <c r="AZ253" s="32">
        <f>+SUM(AZ254:AZ255)</f>
        <v>0</v>
      </c>
      <c r="BA253" s="32">
        <f>+SUM(BA254:BA255)</f>
        <v>0</v>
      </c>
      <c r="BB253" s="32">
        <f t="shared" si="621"/>
        <v>0</v>
      </c>
      <c r="BC253" s="32">
        <f>+SUM(BC254:BC255)</f>
        <v>0</v>
      </c>
      <c r="BD253" s="32">
        <f>+SUM(BD254:BD255)</f>
        <v>0</v>
      </c>
      <c r="BE253" s="32">
        <f t="shared" si="622"/>
        <v>0</v>
      </c>
      <c r="BF253" s="32">
        <f>+SUM(BF254:BF255)</f>
        <v>0</v>
      </c>
      <c r="BG253" s="32">
        <f>+SUM(BG254:BG255)</f>
        <v>0</v>
      </c>
      <c r="BH253" s="32">
        <f t="shared" si="623"/>
        <v>0</v>
      </c>
      <c r="BI253" s="32">
        <f>+SUM(BI254:BI255)</f>
        <v>0</v>
      </c>
      <c r="BJ253" s="32">
        <f>+SUM(BJ254:BJ255)</f>
        <v>0</v>
      </c>
      <c r="BK253" s="32">
        <f t="shared" si="624"/>
        <v>0</v>
      </c>
      <c r="BL253" s="32">
        <f>+SUM(BL254:BL255)</f>
        <v>0</v>
      </c>
      <c r="BM253" s="32">
        <f>+SUM(BM254:BM255)</f>
        <v>0</v>
      </c>
      <c r="BN253" s="32">
        <f t="shared" si="625"/>
        <v>0</v>
      </c>
      <c r="BO253" s="32">
        <f>+SUM(BO254:BO255)</f>
        <v>0</v>
      </c>
      <c r="BP253" s="32">
        <f>+SUM(BP254:BP255)</f>
        <v>0</v>
      </c>
      <c r="BQ253" s="32">
        <f t="shared" si="626"/>
        <v>0</v>
      </c>
      <c r="BR253" s="32">
        <f>+SUM(BR254:BR255)</f>
        <v>0</v>
      </c>
      <c r="BS253" s="32">
        <f>+SUM(BS254:BS255)</f>
        <v>0</v>
      </c>
      <c r="BT253" s="32">
        <f t="shared" si="627"/>
        <v>0</v>
      </c>
      <c r="BU253" s="32">
        <f>+SUM(BU254:BU255)</f>
        <v>0</v>
      </c>
      <c r="BV253" s="32">
        <f>+SUM(BV254:BV255)</f>
        <v>0</v>
      </c>
      <c r="BW253" s="32">
        <f t="shared" si="628"/>
        <v>0</v>
      </c>
      <c r="BX253" s="32">
        <f>+SUM(BX254:BX255)</f>
        <v>0</v>
      </c>
      <c r="BY253" s="32">
        <f>+SUM(BY254:BY255)</f>
        <v>0</v>
      </c>
      <c r="BZ253" s="32">
        <f t="shared" si="629"/>
        <v>0</v>
      </c>
      <c r="CA253" s="32">
        <f>+SUM(CA254:CA255)</f>
        <v>0</v>
      </c>
      <c r="CB253" s="32">
        <f>+SUM(CB254:CB255)</f>
        <v>0</v>
      </c>
      <c r="CC253" s="32">
        <f t="shared" si="630"/>
        <v>0</v>
      </c>
      <c r="CD253" s="32">
        <f>+SUM(CD254:CD255)</f>
        <v>0</v>
      </c>
      <c r="CE253" s="32">
        <f>+SUM(CE254:CE255)</f>
        <v>0</v>
      </c>
      <c r="CF253" s="32">
        <f t="shared" si="631"/>
        <v>0</v>
      </c>
      <c r="CG253" s="32">
        <f>+SUM(CG254:CG255)</f>
        <v>0</v>
      </c>
      <c r="CH253" s="32">
        <f>+SUM(CH254:CH255)</f>
        <v>0</v>
      </c>
      <c r="CI253" s="32">
        <f t="shared" si="632"/>
        <v>0</v>
      </c>
      <c r="CJ253" s="32">
        <f>+SUM(CJ254:CJ255)</f>
        <v>0</v>
      </c>
      <c r="CK253" s="32">
        <f>+SUM(CK254:CK255)</f>
        <v>0</v>
      </c>
      <c r="CL253" s="32">
        <f t="shared" si="633"/>
        <v>0</v>
      </c>
      <c r="CM253" s="32">
        <f>+SUM(CM254:CM255)</f>
        <v>0</v>
      </c>
      <c r="CN253" s="32">
        <f>+SUM(CN254:CN255)</f>
        <v>4.5</v>
      </c>
      <c r="CO253" s="32">
        <f t="shared" si="634"/>
        <v>6.7</v>
      </c>
      <c r="CP253" s="32">
        <f>+SUM(CP254:CP255)</f>
        <v>6.7</v>
      </c>
      <c r="CQ253" s="32">
        <f>+SUM(CQ254:CQ255)</f>
        <v>3.9</v>
      </c>
      <c r="CR253" s="32">
        <f t="shared" si="635"/>
        <v>7.6</v>
      </c>
      <c r="CS253" s="32">
        <f>+SUM(CS254:CS255)</f>
        <v>7.6</v>
      </c>
      <c r="CT253" s="32">
        <f>+SUM(CT254:CT255)</f>
        <v>7.5</v>
      </c>
      <c r="CU253" s="32">
        <f t="shared" si="636"/>
        <v>5</v>
      </c>
      <c r="CV253" s="32">
        <f>+SUM(CV254:CV255)</f>
        <v>5</v>
      </c>
      <c r="CW253" s="32">
        <f>+SUM(CW254:CW255)</f>
        <v>5.2</v>
      </c>
      <c r="CX253" s="32">
        <f t="shared" si="637"/>
        <v>5.6</v>
      </c>
      <c r="CY253" s="32">
        <f>+SUM(CY254:CY255)</f>
        <v>5.6</v>
      </c>
      <c r="CZ253" s="32">
        <f>+SUM(CZ254:CZ255)</f>
        <v>5.4</v>
      </c>
      <c r="DA253" s="32">
        <f t="shared" si="638"/>
        <v>4.0999999999999996</v>
      </c>
      <c r="DB253" s="32">
        <f>+SUM(DB254:DB255)</f>
        <v>4.0999999999999996</v>
      </c>
      <c r="DC253" s="32">
        <f>+SUM(DC254:DC255)</f>
        <v>3.2</v>
      </c>
      <c r="DD253" s="32">
        <f t="shared" si="639"/>
        <v>1.5</v>
      </c>
      <c r="DE253" s="1061">
        <f>+SUM(DE254:DE255)</f>
        <v>1.5</v>
      </c>
      <c r="DF253" s="32">
        <f>+SUM(DF254:DF255)</f>
        <v>0</v>
      </c>
      <c r="DG253" s="32">
        <f t="shared" si="640"/>
        <v>0</v>
      </c>
      <c r="DH253" s="1061">
        <f>+SUM(DH254:DH255)</f>
        <v>0</v>
      </c>
      <c r="DI253" s="32">
        <f>+SUM(DI254:DI255)</f>
        <v>0</v>
      </c>
      <c r="DJ253" s="32">
        <f t="shared" si="641"/>
        <v>0</v>
      </c>
      <c r="DK253" s="1061">
        <f>+SUM(DK254:DK255)</f>
        <v>0</v>
      </c>
      <c r="DL253" s="32">
        <f>+SUM(DL254:DL255)</f>
        <v>0</v>
      </c>
      <c r="DM253" s="32">
        <f t="shared" si="642"/>
        <v>0</v>
      </c>
      <c r="DN253" s="1061">
        <f>+SUM(DN254:DN255)</f>
        <v>0</v>
      </c>
      <c r="DO253" s="32">
        <f>+SUM(DO254:DO255)</f>
        <v>0</v>
      </c>
      <c r="DP253" s="32">
        <f t="shared" si="643"/>
        <v>0</v>
      </c>
      <c r="DQ253" s="1061">
        <f>+SUM(DQ254:DQ255)</f>
        <v>0</v>
      </c>
      <c r="DR253" s="32">
        <f>+SUM(DR254:DR255)</f>
        <v>0</v>
      </c>
      <c r="DS253" s="32">
        <f t="shared" si="644"/>
        <v>0</v>
      </c>
      <c r="DT253" s="1061">
        <f>+SUM(DT254:DT255)</f>
        <v>0</v>
      </c>
      <c r="DU253" s="32">
        <f>+SUM(DU254:DU255)</f>
        <v>0</v>
      </c>
      <c r="DV253" s="32">
        <f t="shared" si="645"/>
        <v>0</v>
      </c>
      <c r="DW253" s="1061">
        <f>+SUM(DW254:DW255)</f>
        <v>0</v>
      </c>
      <c r="DX253" s="32">
        <f>+SUM(DX254:DX255)</f>
        <v>0</v>
      </c>
      <c r="DY253" s="32">
        <f t="shared" si="655"/>
        <v>0</v>
      </c>
      <c r="DZ253" s="1061">
        <f>+SUM(DZ254:DZ255)</f>
        <v>0</v>
      </c>
      <c r="EA253" s="32">
        <f>+SUM(EA254:EA255)</f>
        <v>0</v>
      </c>
      <c r="EB253" s="32">
        <f t="shared" si="646"/>
        <v>0</v>
      </c>
      <c r="EC253" s="1061">
        <f>+SUM(EC254:EC255)</f>
        <v>0</v>
      </c>
      <c r="ED253" s="32">
        <f>+SUM(ED254:ED255)</f>
        <v>0</v>
      </c>
      <c r="EE253" s="32">
        <f t="shared" si="647"/>
        <v>0</v>
      </c>
      <c r="EF253" s="1061">
        <f>+SUM(EF254:EF255)</f>
        <v>0</v>
      </c>
      <c r="EG253" s="32">
        <f>+SUM(EG254:EG255)</f>
        <v>0</v>
      </c>
      <c r="EH253" s="32">
        <f t="shared" si="648"/>
        <v>0</v>
      </c>
      <c r="EI253" s="1061">
        <f>+SUM(EI254:EI255)</f>
        <v>0</v>
      </c>
      <c r="EJ253" s="32">
        <f>+SUM(EJ254:EJ255)</f>
        <v>0</v>
      </c>
      <c r="EK253" s="32">
        <f t="shared" si="649"/>
        <v>0</v>
      </c>
      <c r="EL253" s="1061">
        <f>+SUM(EL254:EL255)</f>
        <v>0</v>
      </c>
      <c r="EM253" s="32">
        <f>+SUM(EM254:EM255)</f>
        <v>0</v>
      </c>
      <c r="EN253" s="32">
        <f t="shared" si="650"/>
        <v>0</v>
      </c>
      <c r="EO253" s="1061">
        <f>+SUM(EO254:EO255)</f>
        <v>0</v>
      </c>
      <c r="EP253" s="32">
        <f>+SUM(EP254:EP255)</f>
        <v>0</v>
      </c>
      <c r="EQ253" s="32">
        <f t="shared" si="651"/>
        <v>0</v>
      </c>
      <c r="ER253" s="1061">
        <f>+SUM(ER254:ER255)</f>
        <v>0</v>
      </c>
      <c r="ES253" s="32">
        <f>+SUM(ES254:ES255)</f>
        <v>0</v>
      </c>
      <c r="ET253" s="32">
        <f t="shared" si="652"/>
        <v>0</v>
      </c>
      <c r="EU253" s="1061">
        <f>+SUM(EU254:EU255)</f>
        <v>0</v>
      </c>
      <c r="EV253" s="32">
        <f>+SUM(EV254:EV255)</f>
        <v>0</v>
      </c>
      <c r="EW253" s="32">
        <f t="shared" si="653"/>
        <v>0</v>
      </c>
      <c r="EX253" s="1061">
        <f>+SUM(EX254:EX255)</f>
        <v>0</v>
      </c>
      <c r="EY253" s="32">
        <f>+SUM(EY254:EY255)</f>
        <v>0</v>
      </c>
      <c r="EZ253" s="32">
        <f t="shared" si="654"/>
        <v>0</v>
      </c>
      <c r="FA253" s="1061">
        <f>+SUM(FA254:FA255)</f>
        <v>0</v>
      </c>
      <c r="FB253" s="1243"/>
      <c r="FD253"/>
      <c r="FE253"/>
      <c r="FF253"/>
      <c r="FG253"/>
      <c r="FH253"/>
      <c r="FI253"/>
    </row>
    <row r="254" spans="2:169" s="33" customFormat="1" outlineLevel="2">
      <c r="B254" s="54" t="s">
        <v>25</v>
      </c>
      <c r="C254" s="2"/>
      <c r="D254" s="2" t="s">
        <v>506</v>
      </c>
      <c r="E254" s="1183"/>
      <c r="F254" s="1192">
        <f t="shared" si="605"/>
        <v>0</v>
      </c>
      <c r="G254" s="1215"/>
      <c r="H254" s="1185"/>
      <c r="I254" s="1192">
        <f t="shared" si="606"/>
        <v>0</v>
      </c>
      <c r="J254" s="1215"/>
      <c r="K254" s="1185"/>
      <c r="L254" s="1192">
        <f t="shared" si="607"/>
        <v>0</v>
      </c>
      <c r="M254" s="1215"/>
      <c r="N254" s="1185"/>
      <c r="O254" s="1192">
        <f t="shared" si="608"/>
        <v>0</v>
      </c>
      <c r="P254" s="1215"/>
      <c r="Q254" s="1185"/>
      <c r="R254" s="1192">
        <f t="shared" si="609"/>
        <v>0</v>
      </c>
      <c r="S254" s="1215"/>
      <c r="T254" s="1185"/>
      <c r="U254" s="1192">
        <f t="shared" si="610"/>
        <v>0</v>
      </c>
      <c r="V254" s="1215"/>
      <c r="W254" s="1185"/>
      <c r="X254" s="1192">
        <f t="shared" si="611"/>
        <v>0</v>
      </c>
      <c r="Y254" s="1215"/>
      <c r="Z254" s="1185"/>
      <c r="AA254" s="1192">
        <f t="shared" si="612"/>
        <v>0</v>
      </c>
      <c r="AB254" s="1215"/>
      <c r="AC254" s="1185"/>
      <c r="AD254" s="1192">
        <f t="shared" si="613"/>
        <v>0</v>
      </c>
      <c r="AE254" s="1215"/>
      <c r="AF254" s="1185"/>
      <c r="AG254" s="1192">
        <f t="shared" si="614"/>
        <v>0</v>
      </c>
      <c r="AH254" s="1215"/>
      <c r="AI254" s="1185"/>
      <c r="AJ254" s="1192">
        <f t="shared" si="615"/>
        <v>0</v>
      </c>
      <c r="AK254" s="1215"/>
      <c r="AL254" s="1185"/>
      <c r="AM254" s="1192">
        <f t="shared" si="616"/>
        <v>0</v>
      </c>
      <c r="AN254" s="1215"/>
      <c r="AO254" s="1185"/>
      <c r="AP254" s="1192">
        <f t="shared" si="617"/>
        <v>0</v>
      </c>
      <c r="AQ254" s="1215"/>
      <c r="AR254" s="1185"/>
      <c r="AS254" s="1192">
        <f t="shared" si="618"/>
        <v>0</v>
      </c>
      <c r="AT254" s="1215"/>
      <c r="AU254" s="1185"/>
      <c r="AV254" s="1192">
        <f t="shared" si="619"/>
        <v>0</v>
      </c>
      <c r="AW254" s="1215"/>
      <c r="AX254" s="1185"/>
      <c r="AY254" s="1192">
        <f t="shared" si="620"/>
        <v>0</v>
      </c>
      <c r="AZ254" s="1215"/>
      <c r="BA254" s="1185"/>
      <c r="BB254" s="1192">
        <f t="shared" si="621"/>
        <v>0</v>
      </c>
      <c r="BC254" s="1215"/>
      <c r="BD254" s="1185"/>
      <c r="BE254" s="1192">
        <f t="shared" si="622"/>
        <v>0</v>
      </c>
      <c r="BF254" s="1215"/>
      <c r="BG254" s="1185"/>
      <c r="BH254" s="1192">
        <f t="shared" si="623"/>
        <v>0</v>
      </c>
      <c r="BI254" s="1215"/>
      <c r="BJ254" s="1185"/>
      <c r="BK254" s="1192">
        <f t="shared" si="624"/>
        <v>0</v>
      </c>
      <c r="BL254" s="1215"/>
      <c r="BM254" s="1185"/>
      <c r="BN254" s="1192">
        <f t="shared" si="625"/>
        <v>0</v>
      </c>
      <c r="BO254" s="1215"/>
      <c r="BP254" s="1185"/>
      <c r="BQ254" s="1192">
        <f t="shared" si="626"/>
        <v>0</v>
      </c>
      <c r="BR254" s="1215"/>
      <c r="BS254" s="1185"/>
      <c r="BT254" s="1192">
        <f t="shared" si="627"/>
        <v>0</v>
      </c>
      <c r="BU254" s="1215"/>
      <c r="BV254" s="1185"/>
      <c r="BW254" s="1192">
        <f t="shared" si="628"/>
        <v>0</v>
      </c>
      <c r="BX254" s="1244">
        <v>0</v>
      </c>
      <c r="BY254" s="1185"/>
      <c r="BZ254" s="1192">
        <f t="shared" si="629"/>
        <v>0</v>
      </c>
      <c r="CA254" s="1183">
        <f>BY254</f>
        <v>0</v>
      </c>
      <c r="CB254" s="1185"/>
      <c r="CC254" s="1192">
        <f t="shared" si="630"/>
        <v>0</v>
      </c>
      <c r="CD254" s="1183">
        <f>CB254</f>
        <v>0</v>
      </c>
      <c r="CE254" s="1185"/>
      <c r="CF254" s="1192">
        <f t="shared" si="631"/>
        <v>0</v>
      </c>
      <c r="CG254" s="1183">
        <f>CE254</f>
        <v>0</v>
      </c>
      <c r="CH254" s="1185">
        <f>CG254</f>
        <v>0</v>
      </c>
      <c r="CI254" s="1192">
        <f t="shared" si="632"/>
        <v>0</v>
      </c>
      <c r="CJ254" s="1183">
        <f>CH254</f>
        <v>0</v>
      </c>
      <c r="CK254" s="1185">
        <f>CJ254</f>
        <v>0</v>
      </c>
      <c r="CL254" s="1192">
        <f t="shared" si="633"/>
        <v>0</v>
      </c>
      <c r="CM254" s="1183">
        <f>CK254</f>
        <v>0</v>
      </c>
      <c r="CN254" s="1185">
        <f>CM254</f>
        <v>0</v>
      </c>
      <c r="CO254" s="1192">
        <f t="shared" si="634"/>
        <v>0</v>
      </c>
      <c r="CP254" s="1183">
        <f>CN254</f>
        <v>0</v>
      </c>
      <c r="CQ254" s="1185">
        <f>CP254</f>
        <v>0</v>
      </c>
      <c r="CR254" s="1192">
        <f t="shared" si="635"/>
        <v>0</v>
      </c>
      <c r="CS254" s="1183">
        <f>CQ254</f>
        <v>0</v>
      </c>
      <c r="CT254" s="1185">
        <f>CS254</f>
        <v>0</v>
      </c>
      <c r="CU254" s="1192">
        <f t="shared" si="636"/>
        <v>0</v>
      </c>
      <c r="CV254" s="1183">
        <f>CT254</f>
        <v>0</v>
      </c>
      <c r="CW254" s="1185">
        <f>CV254</f>
        <v>0</v>
      </c>
      <c r="CX254" s="1192">
        <f t="shared" si="637"/>
        <v>0</v>
      </c>
      <c r="CY254" s="1183">
        <f>CW254</f>
        <v>0</v>
      </c>
      <c r="CZ254" s="1185">
        <f>CY254</f>
        <v>0</v>
      </c>
      <c r="DA254" s="1192">
        <f t="shared" si="638"/>
        <v>0</v>
      </c>
      <c r="DB254" s="1183">
        <f>CZ254</f>
        <v>0</v>
      </c>
      <c r="DC254" s="1185">
        <f>DB254</f>
        <v>0</v>
      </c>
      <c r="DD254" s="1192">
        <f t="shared" si="639"/>
        <v>0</v>
      </c>
      <c r="DE254" s="1246">
        <f>DC254</f>
        <v>0</v>
      </c>
      <c r="DF254" s="1185">
        <f>DE254</f>
        <v>0</v>
      </c>
      <c r="DG254" s="1192">
        <f t="shared" si="640"/>
        <v>0</v>
      </c>
      <c r="DH254" s="1246">
        <f>DF254</f>
        <v>0</v>
      </c>
      <c r="DI254" s="1185">
        <f>DH254</f>
        <v>0</v>
      </c>
      <c r="DJ254" s="1192">
        <f t="shared" si="641"/>
        <v>0</v>
      </c>
      <c r="DK254" s="1246">
        <f>DI254</f>
        <v>0</v>
      </c>
      <c r="DL254" s="32">
        <f>DK254</f>
        <v>0</v>
      </c>
      <c r="DM254" s="32">
        <f t="shared" si="642"/>
        <v>0</v>
      </c>
      <c r="DN254" s="1061">
        <f>DL254</f>
        <v>0</v>
      </c>
      <c r="DO254" s="32">
        <f>DN254</f>
        <v>0</v>
      </c>
      <c r="DP254" s="32">
        <f t="shared" si="643"/>
        <v>0</v>
      </c>
      <c r="DQ254" s="1061">
        <f>DO254</f>
        <v>0</v>
      </c>
      <c r="DR254" s="32">
        <f>DQ254</f>
        <v>0</v>
      </c>
      <c r="DS254" s="32">
        <f t="shared" si="644"/>
        <v>0</v>
      </c>
      <c r="DT254" s="1061">
        <f>DR254</f>
        <v>0</v>
      </c>
      <c r="DU254" s="32">
        <f>DT254</f>
        <v>0</v>
      </c>
      <c r="DV254" s="32">
        <f t="shared" si="645"/>
        <v>0</v>
      </c>
      <c r="DW254" s="1061">
        <f>DU254</f>
        <v>0</v>
      </c>
      <c r="DX254" s="32">
        <f>DW254</f>
        <v>0</v>
      </c>
      <c r="DY254" s="32">
        <f t="shared" si="655"/>
        <v>0</v>
      </c>
      <c r="DZ254" s="1061">
        <f>DX254</f>
        <v>0</v>
      </c>
      <c r="EA254" s="32">
        <f>DZ254</f>
        <v>0</v>
      </c>
      <c r="EB254" s="32">
        <f t="shared" si="646"/>
        <v>0</v>
      </c>
      <c r="EC254" s="1061">
        <f>EA254</f>
        <v>0</v>
      </c>
      <c r="ED254" s="32">
        <f>EC254</f>
        <v>0</v>
      </c>
      <c r="EE254" s="32">
        <f t="shared" si="647"/>
        <v>0</v>
      </c>
      <c r="EF254" s="1061">
        <f>ED254</f>
        <v>0</v>
      </c>
      <c r="EG254" s="32">
        <f>EF254</f>
        <v>0</v>
      </c>
      <c r="EH254" s="32">
        <f t="shared" si="648"/>
        <v>0</v>
      </c>
      <c r="EI254" s="1061">
        <f>EG254</f>
        <v>0</v>
      </c>
      <c r="EJ254" s="32">
        <f>EI254</f>
        <v>0</v>
      </c>
      <c r="EK254" s="32">
        <f t="shared" si="649"/>
        <v>0</v>
      </c>
      <c r="EL254" s="1061">
        <f>EJ254</f>
        <v>0</v>
      </c>
      <c r="EM254" s="32">
        <f>EL254</f>
        <v>0</v>
      </c>
      <c r="EN254" s="32">
        <f t="shared" si="650"/>
        <v>0</v>
      </c>
      <c r="EO254" s="1061">
        <f>EM254</f>
        <v>0</v>
      </c>
      <c r="EP254" s="32">
        <f>EO254</f>
        <v>0</v>
      </c>
      <c r="EQ254" s="32">
        <f t="shared" si="651"/>
        <v>0</v>
      </c>
      <c r="ER254" s="1061">
        <f>EP254</f>
        <v>0</v>
      </c>
      <c r="ES254" s="32">
        <f>ER254</f>
        <v>0</v>
      </c>
      <c r="ET254" s="32">
        <f t="shared" si="652"/>
        <v>0</v>
      </c>
      <c r="EU254" s="1061">
        <f>ES254</f>
        <v>0</v>
      </c>
      <c r="EV254" s="32">
        <f>EU254</f>
        <v>0</v>
      </c>
      <c r="EW254" s="32">
        <f t="shared" si="653"/>
        <v>0</v>
      </c>
      <c r="EX254" s="1061">
        <f>EV254</f>
        <v>0</v>
      </c>
      <c r="EY254" s="32">
        <f>EX254</f>
        <v>0</v>
      </c>
      <c r="EZ254" s="32">
        <f t="shared" si="654"/>
        <v>0</v>
      </c>
      <c r="FA254" s="1061">
        <f>EY254</f>
        <v>0</v>
      </c>
      <c r="FD254"/>
      <c r="FE254"/>
      <c r="FF254"/>
      <c r="FG254"/>
      <c r="FH254"/>
      <c r="FI254"/>
    </row>
    <row r="255" spans="2:169" s="33" customFormat="1" ht="13.5" outlineLevel="2" thickBot="1">
      <c r="B255" s="54" t="s">
        <v>701</v>
      </c>
      <c r="C255" s="2"/>
      <c r="D255" s="2" t="s">
        <v>506</v>
      </c>
      <c r="E255" s="1188"/>
      <c r="F255" s="1192">
        <f t="shared" si="605"/>
        <v>0</v>
      </c>
      <c r="G255" s="1247"/>
      <c r="H255" s="1190"/>
      <c r="I255" s="1192">
        <f t="shared" si="606"/>
        <v>0</v>
      </c>
      <c r="J255" s="1247"/>
      <c r="K255" s="1190"/>
      <c r="L255" s="1192">
        <f t="shared" si="607"/>
        <v>0</v>
      </c>
      <c r="M255" s="1247"/>
      <c r="N255" s="1190"/>
      <c r="O255" s="1192">
        <f t="shared" si="608"/>
        <v>0</v>
      </c>
      <c r="P255" s="1247"/>
      <c r="Q255" s="1190"/>
      <c r="R255" s="1192">
        <f t="shared" si="609"/>
        <v>0</v>
      </c>
      <c r="S255" s="1247"/>
      <c r="T255" s="1190"/>
      <c r="U255" s="1192">
        <f t="shared" si="610"/>
        <v>0</v>
      </c>
      <c r="V255" s="1247"/>
      <c r="W255" s="1190"/>
      <c r="X255" s="1192">
        <f t="shared" si="611"/>
        <v>0</v>
      </c>
      <c r="Y255" s="1247"/>
      <c r="Z255" s="1190"/>
      <c r="AA255" s="1192">
        <f t="shared" si="612"/>
        <v>0</v>
      </c>
      <c r="AB255" s="1247"/>
      <c r="AC255" s="1190"/>
      <c r="AD255" s="1192">
        <f t="shared" si="613"/>
        <v>0</v>
      </c>
      <c r="AE255" s="1247"/>
      <c r="AF255" s="1190"/>
      <c r="AG255" s="1192">
        <f t="shared" si="614"/>
        <v>0</v>
      </c>
      <c r="AH255" s="1247"/>
      <c r="AI255" s="1190"/>
      <c r="AJ255" s="1192">
        <f t="shared" si="615"/>
        <v>0</v>
      </c>
      <c r="AK255" s="1247"/>
      <c r="AL255" s="1190"/>
      <c r="AM255" s="1192">
        <f t="shared" si="616"/>
        <v>0</v>
      </c>
      <c r="AN255" s="1247"/>
      <c r="AO255" s="1190"/>
      <c r="AP255" s="1192">
        <f t="shared" si="617"/>
        <v>0</v>
      </c>
      <c r="AQ255" s="1247"/>
      <c r="AR255" s="1190"/>
      <c r="AS255" s="1192">
        <f t="shared" si="618"/>
        <v>0</v>
      </c>
      <c r="AT255" s="1247"/>
      <c r="AU255" s="1190"/>
      <c r="AV255" s="1192">
        <f t="shared" si="619"/>
        <v>0</v>
      </c>
      <c r="AW255" s="1247"/>
      <c r="AX255" s="1190"/>
      <c r="AY255" s="1192">
        <f t="shared" si="620"/>
        <v>0</v>
      </c>
      <c r="AZ255" s="1247"/>
      <c r="BA255" s="1190"/>
      <c r="BB255" s="1192">
        <f t="shared" si="621"/>
        <v>0</v>
      </c>
      <c r="BC255" s="1247"/>
      <c r="BD255" s="1190"/>
      <c r="BE255" s="1192">
        <f t="shared" si="622"/>
        <v>0</v>
      </c>
      <c r="BF255" s="1247"/>
      <c r="BG255" s="1190"/>
      <c r="BH255" s="1192">
        <f t="shared" si="623"/>
        <v>0</v>
      </c>
      <c r="BI255" s="1247"/>
      <c r="BJ255" s="1190"/>
      <c r="BK255" s="1192">
        <f t="shared" si="624"/>
        <v>0</v>
      </c>
      <c r="BL255" s="1247"/>
      <c r="BM255" s="1190"/>
      <c r="BN255" s="1192">
        <f t="shared" si="625"/>
        <v>0</v>
      </c>
      <c r="BO255" s="1247"/>
      <c r="BP255" s="1190"/>
      <c r="BQ255" s="1192">
        <f t="shared" si="626"/>
        <v>0</v>
      </c>
      <c r="BR255" s="1247"/>
      <c r="BS255" s="1190"/>
      <c r="BT255" s="1192">
        <f t="shared" si="627"/>
        <v>0</v>
      </c>
      <c r="BU255" s="1247"/>
      <c r="BV255" s="1190"/>
      <c r="BW255" s="1192">
        <f t="shared" si="628"/>
        <v>0</v>
      </c>
      <c r="BX255" s="1252">
        <v>0</v>
      </c>
      <c r="BY255" s="1190"/>
      <c r="BZ255" s="1192">
        <f t="shared" si="629"/>
        <v>0</v>
      </c>
      <c r="CA255" s="1252">
        <v>0</v>
      </c>
      <c r="CB255" s="1190"/>
      <c r="CC255" s="1192">
        <f t="shared" si="630"/>
        <v>0</v>
      </c>
      <c r="CD255" s="1252">
        <v>0</v>
      </c>
      <c r="CE255" s="1190"/>
      <c r="CF255" s="1192">
        <f t="shared" si="631"/>
        <v>0</v>
      </c>
      <c r="CG255" s="1252">
        <v>0</v>
      </c>
      <c r="CH255" s="1196">
        <v>0</v>
      </c>
      <c r="CI255" s="1192">
        <f t="shared" si="632"/>
        <v>0</v>
      </c>
      <c r="CJ255" s="1188"/>
      <c r="CK255" s="1190"/>
      <c r="CL255" s="1192">
        <f t="shared" si="633"/>
        <v>0</v>
      </c>
      <c r="CM255" s="1252">
        <v>0</v>
      </c>
      <c r="CN255" s="1196">
        <v>4.5</v>
      </c>
      <c r="CO255" s="1192">
        <f t="shared" si="634"/>
        <v>6.7</v>
      </c>
      <c r="CP255" s="1252">
        <v>6.7</v>
      </c>
      <c r="CQ255" s="1196">
        <v>3.9</v>
      </c>
      <c r="CR255" s="1192">
        <f t="shared" si="635"/>
        <v>7.6</v>
      </c>
      <c r="CS255" s="1252">
        <v>7.6</v>
      </c>
      <c r="CT255" s="1196">
        <v>7.5</v>
      </c>
      <c r="CU255" s="1192">
        <f t="shared" si="636"/>
        <v>5</v>
      </c>
      <c r="CV255" s="1252">
        <v>5</v>
      </c>
      <c r="CW255" s="1196">
        <v>5.2</v>
      </c>
      <c r="CX255" s="1192">
        <f t="shared" si="637"/>
        <v>5.6</v>
      </c>
      <c r="CY255" s="1252">
        <v>5.6</v>
      </c>
      <c r="CZ255" s="1190">
        <v>5.4</v>
      </c>
      <c r="DA255" s="1192">
        <f t="shared" si="638"/>
        <v>4.0999999999999996</v>
      </c>
      <c r="DB255" s="1188">
        <v>4.0999999999999996</v>
      </c>
      <c r="DC255" s="1190">
        <v>3.2</v>
      </c>
      <c r="DD255" s="1192">
        <f t="shared" si="639"/>
        <v>1.5</v>
      </c>
      <c r="DE255" s="1250">
        <v>1.5</v>
      </c>
      <c r="DF255" s="1190">
        <v>0</v>
      </c>
      <c r="DG255" s="1192">
        <f t="shared" si="640"/>
        <v>0</v>
      </c>
      <c r="DH255" s="1248">
        <v>0</v>
      </c>
      <c r="DI255" s="1190">
        <v>0</v>
      </c>
      <c r="DJ255" s="1192">
        <f t="shared" si="641"/>
        <v>0</v>
      </c>
      <c r="DK255" s="1248">
        <v>0</v>
      </c>
      <c r="DL255" s="32" t="str">
        <f>IF(DL5="A","",+DK253-DL67-DL68-DL201)</f>
        <v/>
      </c>
      <c r="DM255" s="32" t="str">
        <f t="shared" si="642"/>
        <v/>
      </c>
      <c r="DN255" s="1061" t="str">
        <f>IF(DN5="A","",+DK253-DN67-DN68-DN201)</f>
        <v/>
      </c>
      <c r="DO255" s="32" t="str">
        <f>IF(DO5="A","",+DN253-DO67-DO68-DO201)</f>
        <v/>
      </c>
      <c r="DP255" s="32" t="str">
        <f t="shared" si="643"/>
        <v/>
      </c>
      <c r="DQ255" s="1061" t="str">
        <f>IF(DQ5="A","",+DN253-DQ67-DQ68-DQ201)</f>
        <v/>
      </c>
      <c r="DR255" s="32" t="str">
        <f>IF(DR5="A","",+DQ253-DR67-DR68-DR201)</f>
        <v/>
      </c>
      <c r="DS255" s="32" t="str">
        <f t="shared" si="644"/>
        <v/>
      </c>
      <c r="DT255" s="1061" t="str">
        <f>IF(DT5="A","",+DQ253-DT67-DT68-DT201)</f>
        <v/>
      </c>
      <c r="DU255" s="32" t="str">
        <f>IF(DU5="A","",+DT253-DU67-DU68-DU201)</f>
        <v/>
      </c>
      <c r="DV255" s="32">
        <f t="shared" si="645"/>
        <v>0</v>
      </c>
      <c r="DW255" s="1061">
        <f>IF(DW5="A","",+DT253-DW67-DW68-DW201)</f>
        <v>0</v>
      </c>
      <c r="DX255" s="32" t="str">
        <f>IF(DX5="A","",+DW253-DX67-DX68-DX201)</f>
        <v/>
      </c>
      <c r="DY255" s="32">
        <f t="shared" si="655"/>
        <v>0</v>
      </c>
      <c r="DZ255" s="1061">
        <f>IF(DZ5="A","",+DW253-DZ67-DZ68-DZ201)</f>
        <v>0</v>
      </c>
      <c r="EA255" s="32">
        <f>IF(EA5="A","",+DZ253-EA67-EA68-EA201)</f>
        <v>0</v>
      </c>
      <c r="EB255" s="32">
        <f t="shared" si="646"/>
        <v>0</v>
      </c>
      <c r="EC255" s="1061">
        <f>IF(EC5="A","",+DZ253-EC67-EC68-EC201)</f>
        <v>0</v>
      </c>
      <c r="ED255" s="32">
        <f>IF(ED5="A","",+EC253-ED67-ED68-ED201)</f>
        <v>0</v>
      </c>
      <c r="EE255" s="32">
        <f t="shared" si="647"/>
        <v>0</v>
      </c>
      <c r="EF255" s="1061">
        <f>IF(EF5="A","",+EC253-EF67-EF68-EF201)</f>
        <v>0</v>
      </c>
      <c r="EG255" s="32">
        <f>IF(EG5="A","",+EF253-EG67-EG68-EG201)</f>
        <v>0</v>
      </c>
      <c r="EH255" s="32">
        <f t="shared" si="648"/>
        <v>0</v>
      </c>
      <c r="EI255" s="1061">
        <f>IF(EI5="A","",+EF253-EI67-EI68-EI201)</f>
        <v>0</v>
      </c>
      <c r="EJ255" s="32">
        <f>IF(EJ5="A","",+EI253-EJ67-EJ68-EJ201)</f>
        <v>0</v>
      </c>
      <c r="EK255" s="32">
        <f t="shared" si="649"/>
        <v>0</v>
      </c>
      <c r="EL255" s="1061">
        <f>IF(EL5="A","",+EI253-EL67-EL68-EL201)</f>
        <v>0</v>
      </c>
      <c r="EM255" s="32">
        <f>IF(EM5="A","",+EL253-EM67-EM68-EM201)</f>
        <v>0</v>
      </c>
      <c r="EN255" s="32">
        <f t="shared" si="650"/>
        <v>0</v>
      </c>
      <c r="EO255" s="1061">
        <f>IF(EO5="A","",+EL253-EO67-EO68-EO201)</f>
        <v>0</v>
      </c>
      <c r="EP255" s="32">
        <f>IF(EP5="A","",+EO253-EP67-EP68-EP201)</f>
        <v>0</v>
      </c>
      <c r="EQ255" s="32">
        <f t="shared" si="651"/>
        <v>0</v>
      </c>
      <c r="ER255" s="1061">
        <f>IF(ER5="A","",+EO253-ER67-ER68-ER201)</f>
        <v>0</v>
      </c>
      <c r="ES255" s="32">
        <f>IF(ES5="A","",+ER253-ES67-ES68-ES201)</f>
        <v>0</v>
      </c>
      <c r="ET255" s="32">
        <f t="shared" si="652"/>
        <v>0</v>
      </c>
      <c r="EU255" s="1061">
        <f>IF(EU5="A","",+ER253-EU67-EU68-EU201)</f>
        <v>0</v>
      </c>
      <c r="EV255" s="32">
        <f>IF(EV5="A","",+EU253-EV67-EV68-EV201)</f>
        <v>0</v>
      </c>
      <c r="EW255" s="32">
        <f t="shared" si="653"/>
        <v>0</v>
      </c>
      <c r="EX255" s="1061">
        <f>IF(EX5="A","",+EU253-EX67-EX68-EX201)</f>
        <v>0</v>
      </c>
      <c r="EY255" s="32">
        <f>IF(EY5="A","",+EX253-EY67-EY68-EY201)</f>
        <v>0</v>
      </c>
      <c r="EZ255" s="32">
        <f t="shared" si="654"/>
        <v>0</v>
      </c>
      <c r="FA255" s="1061">
        <f>IF(FA5="A","",+EX253-FA67-FA68-FA201)</f>
        <v>0</v>
      </c>
      <c r="FD255"/>
      <c r="FE255"/>
      <c r="FF255"/>
      <c r="FG255"/>
      <c r="FH255"/>
      <c r="FI255"/>
    </row>
    <row r="256" spans="2:169" s="33" customFormat="1" ht="13.5" thickBot="1">
      <c r="B256" s="54" t="s">
        <v>26</v>
      </c>
      <c r="C256" s="2"/>
      <c r="D256" s="2" t="s">
        <v>506</v>
      </c>
      <c r="E256" s="32">
        <f>+SUM(E257:E259)</f>
        <v>0</v>
      </c>
      <c r="F256" s="32">
        <f t="shared" si="605"/>
        <v>0</v>
      </c>
      <c r="G256" s="32">
        <f>+SUM(G257:G259)</f>
        <v>0</v>
      </c>
      <c r="H256" s="32">
        <f>+SUM(H257:H259)</f>
        <v>0</v>
      </c>
      <c r="I256" s="32">
        <f t="shared" si="606"/>
        <v>0</v>
      </c>
      <c r="J256" s="32">
        <f>+SUM(J257:J259)</f>
        <v>0</v>
      </c>
      <c r="K256" s="32">
        <f>+SUM(K257:K259)</f>
        <v>0</v>
      </c>
      <c r="L256" s="32">
        <f t="shared" si="607"/>
        <v>0</v>
      </c>
      <c r="M256" s="32">
        <f>+SUM(M257:M259)</f>
        <v>0</v>
      </c>
      <c r="N256" s="32">
        <f>+SUM(N257:N259)</f>
        <v>0</v>
      </c>
      <c r="O256" s="32">
        <f t="shared" si="608"/>
        <v>0</v>
      </c>
      <c r="P256" s="32">
        <f>+SUM(P257:P259)</f>
        <v>0</v>
      </c>
      <c r="Q256" s="32">
        <f>+SUM(Q257:Q259)</f>
        <v>0</v>
      </c>
      <c r="R256" s="32">
        <f t="shared" si="609"/>
        <v>0</v>
      </c>
      <c r="S256" s="32">
        <f>+SUM(S257:S259)</f>
        <v>0</v>
      </c>
      <c r="T256" s="32">
        <f>+SUM(T257:T259)</f>
        <v>0</v>
      </c>
      <c r="U256" s="32">
        <f t="shared" si="610"/>
        <v>0</v>
      </c>
      <c r="V256" s="32">
        <f>+SUM(V257:V259)</f>
        <v>0</v>
      </c>
      <c r="W256" s="32">
        <f>+SUM(W257:W259)</f>
        <v>0</v>
      </c>
      <c r="X256" s="32">
        <f t="shared" si="611"/>
        <v>0</v>
      </c>
      <c r="Y256" s="32">
        <f>+SUM(Y257:Y259)</f>
        <v>0</v>
      </c>
      <c r="Z256" s="32">
        <f>+SUM(Z257:Z259)</f>
        <v>0</v>
      </c>
      <c r="AA256" s="32">
        <f t="shared" si="612"/>
        <v>0</v>
      </c>
      <c r="AB256" s="32">
        <f>+SUM(AB257:AB259)</f>
        <v>0</v>
      </c>
      <c r="AC256" s="32">
        <f>+SUM(AC257:AC259)</f>
        <v>0</v>
      </c>
      <c r="AD256" s="32">
        <f t="shared" si="613"/>
        <v>0</v>
      </c>
      <c r="AE256" s="32">
        <f>+SUM(AE257:AE259)</f>
        <v>0</v>
      </c>
      <c r="AF256" s="32">
        <f>+SUM(AF257:AF259)</f>
        <v>0</v>
      </c>
      <c r="AG256" s="32">
        <f t="shared" si="614"/>
        <v>0</v>
      </c>
      <c r="AH256" s="32">
        <f>+SUM(AH257:AH259)</f>
        <v>0</v>
      </c>
      <c r="AI256" s="32">
        <f>+SUM(AI257:AI259)</f>
        <v>0</v>
      </c>
      <c r="AJ256" s="32">
        <f t="shared" si="615"/>
        <v>0</v>
      </c>
      <c r="AK256" s="32">
        <f>+SUM(AK257:AK259)</f>
        <v>0</v>
      </c>
      <c r="AL256" s="32">
        <f>+SUM(AL257:AL259)</f>
        <v>0</v>
      </c>
      <c r="AM256" s="32">
        <f t="shared" si="616"/>
        <v>0</v>
      </c>
      <c r="AN256" s="32">
        <f>+SUM(AN257:AN259)</f>
        <v>0</v>
      </c>
      <c r="AO256" s="32">
        <f>+SUM(AO257:AO259)</f>
        <v>0</v>
      </c>
      <c r="AP256" s="32">
        <f t="shared" si="617"/>
        <v>0</v>
      </c>
      <c r="AQ256" s="32">
        <f>+SUM(AQ257:AQ259)</f>
        <v>0</v>
      </c>
      <c r="AR256" s="32">
        <f>+SUM(AR257:AR259)</f>
        <v>0</v>
      </c>
      <c r="AS256" s="32">
        <f t="shared" si="618"/>
        <v>0</v>
      </c>
      <c r="AT256" s="32">
        <f>+SUM(AT257:AT259)</f>
        <v>0</v>
      </c>
      <c r="AU256" s="32">
        <f>+SUM(AU257:AU259)</f>
        <v>0</v>
      </c>
      <c r="AV256" s="32">
        <f t="shared" si="619"/>
        <v>0</v>
      </c>
      <c r="AW256" s="32">
        <f>+SUM(AW257:AW259)</f>
        <v>0</v>
      </c>
      <c r="AX256" s="32">
        <f>+SUM(AX257:AX259)</f>
        <v>0</v>
      </c>
      <c r="AY256" s="32">
        <f t="shared" si="620"/>
        <v>0</v>
      </c>
      <c r="AZ256" s="32">
        <f>+SUM(AZ257:AZ259)</f>
        <v>0</v>
      </c>
      <c r="BA256" s="32">
        <f>+SUM(BA257:BA259)</f>
        <v>0</v>
      </c>
      <c r="BB256" s="32">
        <f t="shared" si="621"/>
        <v>0</v>
      </c>
      <c r="BC256" s="32">
        <f>+SUM(BC257:BC259)</f>
        <v>0</v>
      </c>
      <c r="BD256" s="32">
        <f>+SUM(BD257:BD259)</f>
        <v>0</v>
      </c>
      <c r="BE256" s="32">
        <f t="shared" si="622"/>
        <v>0</v>
      </c>
      <c r="BF256" s="32">
        <f>+SUM(BF257:BF259)</f>
        <v>0</v>
      </c>
      <c r="BG256" s="32">
        <f>+SUM(BG257:BG259)</f>
        <v>0</v>
      </c>
      <c r="BH256" s="32">
        <f t="shared" si="623"/>
        <v>0</v>
      </c>
      <c r="BI256" s="32">
        <f>+SUM(BI257:BI259)</f>
        <v>0</v>
      </c>
      <c r="BJ256" s="32">
        <f>+SUM(BJ257:BJ259)</f>
        <v>0</v>
      </c>
      <c r="BK256" s="32">
        <f t="shared" si="624"/>
        <v>0</v>
      </c>
      <c r="BL256" s="32">
        <f>+SUM(BL257:BL259)</f>
        <v>0</v>
      </c>
      <c r="BM256" s="32">
        <f>+SUM(BM257:BM259)</f>
        <v>0</v>
      </c>
      <c r="BN256" s="32">
        <f t="shared" si="625"/>
        <v>0</v>
      </c>
      <c r="BO256" s="32">
        <f>+SUM(BO257:BO259)</f>
        <v>0</v>
      </c>
      <c r="BP256" s="32">
        <f>+SUM(BP257:BP259)</f>
        <v>0</v>
      </c>
      <c r="BQ256" s="32">
        <f t="shared" si="626"/>
        <v>0</v>
      </c>
      <c r="BR256" s="32">
        <f>+SUM(BR257:BR259)</f>
        <v>0</v>
      </c>
      <c r="BS256" s="32">
        <f>+SUM(BS257:BS259)</f>
        <v>0</v>
      </c>
      <c r="BT256" s="32">
        <f t="shared" si="627"/>
        <v>0</v>
      </c>
      <c r="BU256" s="32">
        <f>+SUM(BU257:BU259)</f>
        <v>0</v>
      </c>
      <c r="BV256" s="32">
        <f>+SUM(BV257:BV259)</f>
        <v>0</v>
      </c>
      <c r="BW256" s="32">
        <f t="shared" si="628"/>
        <v>183</v>
      </c>
      <c r="BX256" s="32">
        <f>+SUM(BX257:BX259)</f>
        <v>183</v>
      </c>
      <c r="BY256" s="32">
        <f>+SUM(BY257:BY259)</f>
        <v>0</v>
      </c>
      <c r="BZ256" s="32">
        <f t="shared" si="629"/>
        <v>191</v>
      </c>
      <c r="CA256" s="32">
        <f>+SUM(CA257:CA259)</f>
        <v>191</v>
      </c>
      <c r="CB256" s="32">
        <f>+SUM(CB257:CB259)</f>
        <v>0</v>
      </c>
      <c r="CC256" s="32">
        <f t="shared" si="630"/>
        <v>171</v>
      </c>
      <c r="CD256" s="32">
        <f>+SUM(CD257:CD259)</f>
        <v>171</v>
      </c>
      <c r="CE256" s="32">
        <f>+SUM(CE257:CE259)</f>
        <v>0</v>
      </c>
      <c r="CF256" s="32">
        <f t="shared" si="631"/>
        <v>192</v>
      </c>
      <c r="CG256" s="32">
        <f>+SUM(CG257:CG259)</f>
        <v>192</v>
      </c>
      <c r="CH256" s="32">
        <f>+SUM(CH257:CH259)</f>
        <v>177.458</v>
      </c>
      <c r="CI256" s="32">
        <f t="shared" si="632"/>
        <v>195.7</v>
      </c>
      <c r="CJ256" s="32">
        <f>+SUM(CJ257:CJ259)</f>
        <v>195.7</v>
      </c>
      <c r="CK256" s="32">
        <f>+SUM(CK257:CK259)</f>
        <v>263.7</v>
      </c>
      <c r="CL256" s="32">
        <f t="shared" si="633"/>
        <v>263.7</v>
      </c>
      <c r="CM256" s="32">
        <f>+SUM(CM257:CM259)</f>
        <v>263.7</v>
      </c>
      <c r="CN256" s="32">
        <f>+SUM(CN257:CN259)</f>
        <v>276.2</v>
      </c>
      <c r="CO256" s="32">
        <f t="shared" si="634"/>
        <v>299.10000000000002</v>
      </c>
      <c r="CP256" s="32">
        <f>+SUM(CP257:CP259)</f>
        <v>299.10000000000002</v>
      </c>
      <c r="CQ256" s="32">
        <f>+SUM(CQ257:CQ259)</f>
        <v>279</v>
      </c>
      <c r="CR256" s="32">
        <f t="shared" si="635"/>
        <v>274.89999999999998</v>
      </c>
      <c r="CS256" s="32">
        <f>+SUM(CS257:CS259)</f>
        <v>274.89999999999998</v>
      </c>
      <c r="CT256" s="32">
        <f>+SUM(CT257:CT259)</f>
        <v>364.9</v>
      </c>
      <c r="CU256" s="32">
        <f t="shared" si="636"/>
        <v>391.9</v>
      </c>
      <c r="CV256" s="32">
        <f>+SUM(CV257:CV259)</f>
        <v>391.9</v>
      </c>
      <c r="CW256" s="32">
        <f>+SUM(CW257:CW259)</f>
        <v>410.40000000000003</v>
      </c>
      <c r="CX256" s="32">
        <f t="shared" si="637"/>
        <v>500.4</v>
      </c>
      <c r="CY256" s="32">
        <f>+SUM(CY257:CY259)</f>
        <v>500.4</v>
      </c>
      <c r="CZ256" s="32">
        <f>+SUM(CZ257:CZ259)</f>
        <v>473.9</v>
      </c>
      <c r="DA256" s="32">
        <f t="shared" si="638"/>
        <v>407.5</v>
      </c>
      <c r="DB256" s="32">
        <f>+SUM(DB257:DB259)</f>
        <v>407.5</v>
      </c>
      <c r="DC256" s="32">
        <f>+SUM(DC257:DC259)</f>
        <v>322.39999999999998</v>
      </c>
      <c r="DD256" s="32">
        <f t="shared" si="639"/>
        <v>388.59999999999997</v>
      </c>
      <c r="DE256" s="1061">
        <f>+SUM(DE257:DE259)</f>
        <v>388.59999999999997</v>
      </c>
      <c r="DF256" s="32">
        <f>+SUM(DF257:DF259)</f>
        <v>396.9</v>
      </c>
      <c r="DG256" s="32">
        <f t="shared" si="640"/>
        <v>558.6</v>
      </c>
      <c r="DH256" s="1061">
        <f>+SUM(DH257:DH259)</f>
        <v>558.6</v>
      </c>
      <c r="DI256" s="32">
        <f>+SUM(DI257:DI259)</f>
        <v>541.4</v>
      </c>
      <c r="DJ256" s="32">
        <f t="shared" si="641"/>
        <v>554.9</v>
      </c>
      <c r="DK256" s="1061">
        <f>+SUM(DK257:DK259)</f>
        <v>554.9</v>
      </c>
      <c r="DL256" s="32">
        <f>+SUM(DL257:DL259)</f>
        <v>569.20000000000005</v>
      </c>
      <c r="DM256" s="32">
        <f t="shared" si="642"/>
        <v>925.8</v>
      </c>
      <c r="DN256" s="1061">
        <f>+SUM(DN257:DN259)</f>
        <v>925.8</v>
      </c>
      <c r="DO256" s="32">
        <f>+SUM(DO257:DO259)</f>
        <v>765.3</v>
      </c>
      <c r="DP256" s="32">
        <f t="shared" si="643"/>
        <v>1081</v>
      </c>
      <c r="DQ256" s="1061">
        <f>+SUM(DQ257:DQ259)</f>
        <v>1081</v>
      </c>
      <c r="DR256" s="32">
        <f>+SUM(DR257:DR259)</f>
        <v>1005</v>
      </c>
      <c r="DS256" s="32">
        <f t="shared" si="644"/>
        <v>1092</v>
      </c>
      <c r="DT256" s="1061">
        <f>+SUM(DT257:DT259)</f>
        <v>1092</v>
      </c>
      <c r="DU256" s="32">
        <f>+SUM(DU257:DU259)</f>
        <v>1091</v>
      </c>
      <c r="DV256" s="32">
        <f t="shared" si="645"/>
        <v>1383</v>
      </c>
      <c r="DW256" s="1061">
        <f>+SUM(DW257:DW259)</f>
        <v>1383</v>
      </c>
      <c r="DX256" s="32">
        <f>+SUM(DX257:DX259)</f>
        <v>1452</v>
      </c>
      <c r="DY256" s="32">
        <f t="shared" si="655"/>
        <v>1452</v>
      </c>
      <c r="DZ256" s="1061">
        <f>+SUM(DZ257:DZ259)</f>
        <v>1452</v>
      </c>
      <c r="EA256" s="32">
        <f>+SUM(EA257:EA259)</f>
        <v>1452</v>
      </c>
      <c r="EB256" s="32">
        <f t="shared" si="646"/>
        <v>1452</v>
      </c>
      <c r="EC256" s="1061">
        <f>+SUM(EC257:EC259)</f>
        <v>1452</v>
      </c>
      <c r="ED256" s="32">
        <f>+SUM(ED257:ED259)</f>
        <v>1452</v>
      </c>
      <c r="EE256" s="32">
        <f t="shared" si="647"/>
        <v>1452</v>
      </c>
      <c r="EF256" s="1061">
        <f>+SUM(EF257:EF259)</f>
        <v>1452</v>
      </c>
      <c r="EG256" s="32">
        <f>+SUM(EG257:EG259)</f>
        <v>1452</v>
      </c>
      <c r="EH256" s="32">
        <f t="shared" si="648"/>
        <v>1452</v>
      </c>
      <c r="EI256" s="1061">
        <f>+SUM(EI257:EI259)</f>
        <v>1452</v>
      </c>
      <c r="EJ256" s="32">
        <f>+SUM(EJ257:EJ259)</f>
        <v>1452</v>
      </c>
      <c r="EK256" s="32">
        <f t="shared" si="649"/>
        <v>1452</v>
      </c>
      <c r="EL256" s="1061">
        <f>+SUM(EL257:EL259)</f>
        <v>1452</v>
      </c>
      <c r="EM256" s="32">
        <f>+SUM(EM257:EM259)</f>
        <v>1452</v>
      </c>
      <c r="EN256" s="32">
        <f t="shared" si="650"/>
        <v>1452</v>
      </c>
      <c r="EO256" s="1061">
        <f>+SUM(EO257:EO259)</f>
        <v>1452</v>
      </c>
      <c r="EP256" s="32">
        <f>+SUM(EP257:EP259)</f>
        <v>1452</v>
      </c>
      <c r="EQ256" s="32">
        <f t="shared" si="651"/>
        <v>1452</v>
      </c>
      <c r="ER256" s="1061">
        <f>+SUM(ER257:ER259)</f>
        <v>1452</v>
      </c>
      <c r="ES256" s="32">
        <f>+SUM(ES257:ES259)</f>
        <v>1452</v>
      </c>
      <c r="ET256" s="32">
        <f t="shared" si="652"/>
        <v>1452</v>
      </c>
      <c r="EU256" s="1061">
        <f>+SUM(EU257:EU259)</f>
        <v>1452</v>
      </c>
      <c r="EV256" s="32">
        <f>+SUM(EV257:EV259)</f>
        <v>1452</v>
      </c>
      <c r="EW256" s="32">
        <f t="shared" si="653"/>
        <v>1452</v>
      </c>
      <c r="EX256" s="1061">
        <f>+SUM(EX257:EX259)</f>
        <v>1452</v>
      </c>
      <c r="EY256" s="32">
        <f>+SUM(EY257:EY259)</f>
        <v>1452</v>
      </c>
      <c r="EZ256" s="32">
        <f t="shared" si="654"/>
        <v>1452</v>
      </c>
      <c r="FA256" s="1061">
        <f>+SUM(FA257:FA259)</f>
        <v>1452</v>
      </c>
      <c r="FD256"/>
      <c r="FE256"/>
      <c r="FF256"/>
      <c r="FG256"/>
      <c r="FH256"/>
      <c r="FI256"/>
    </row>
    <row r="257" spans="2:169" s="33" customFormat="1" outlineLevel="1">
      <c r="B257" s="54" t="s">
        <v>27</v>
      </c>
      <c r="C257" s="2"/>
      <c r="D257" s="2" t="s">
        <v>506</v>
      </c>
      <c r="E257" s="1183"/>
      <c r="F257" s="1192">
        <f t="shared" si="605"/>
        <v>0</v>
      </c>
      <c r="G257" s="1215"/>
      <c r="H257" s="1185"/>
      <c r="I257" s="1192">
        <f t="shared" si="606"/>
        <v>0</v>
      </c>
      <c r="J257" s="1215"/>
      <c r="K257" s="1185"/>
      <c r="L257" s="1192">
        <f t="shared" si="607"/>
        <v>0</v>
      </c>
      <c r="M257" s="1215"/>
      <c r="N257" s="1185"/>
      <c r="O257" s="1192">
        <f t="shared" si="608"/>
        <v>0</v>
      </c>
      <c r="P257" s="1215"/>
      <c r="Q257" s="1185"/>
      <c r="R257" s="1192">
        <f t="shared" si="609"/>
        <v>0</v>
      </c>
      <c r="S257" s="1215"/>
      <c r="T257" s="1185"/>
      <c r="U257" s="1192">
        <f t="shared" si="610"/>
        <v>0</v>
      </c>
      <c r="V257" s="1215"/>
      <c r="W257" s="1185"/>
      <c r="X257" s="1192">
        <f t="shared" si="611"/>
        <v>0</v>
      </c>
      <c r="Y257" s="1215"/>
      <c r="Z257" s="1185"/>
      <c r="AA257" s="1192">
        <f t="shared" si="612"/>
        <v>0</v>
      </c>
      <c r="AB257" s="1215"/>
      <c r="AC257" s="1185"/>
      <c r="AD257" s="1192">
        <f t="shared" si="613"/>
        <v>0</v>
      </c>
      <c r="AE257" s="1215"/>
      <c r="AF257" s="1185"/>
      <c r="AG257" s="1192">
        <f t="shared" si="614"/>
        <v>0</v>
      </c>
      <c r="AH257" s="1215"/>
      <c r="AI257" s="1185"/>
      <c r="AJ257" s="1192">
        <f t="shared" si="615"/>
        <v>0</v>
      </c>
      <c r="AK257" s="1215"/>
      <c r="AL257" s="1185"/>
      <c r="AM257" s="1192">
        <f t="shared" si="616"/>
        <v>0</v>
      </c>
      <c r="AN257" s="1215"/>
      <c r="AO257" s="1185"/>
      <c r="AP257" s="1192">
        <f t="shared" si="617"/>
        <v>0</v>
      </c>
      <c r="AQ257" s="1215"/>
      <c r="AR257" s="1185"/>
      <c r="AS257" s="1192">
        <f t="shared" si="618"/>
        <v>0</v>
      </c>
      <c r="AT257" s="1215"/>
      <c r="AU257" s="1185"/>
      <c r="AV257" s="1192">
        <f t="shared" si="619"/>
        <v>0</v>
      </c>
      <c r="AW257" s="1215"/>
      <c r="AX257" s="1185"/>
      <c r="AY257" s="1192">
        <f t="shared" si="620"/>
        <v>0</v>
      </c>
      <c r="AZ257" s="1215"/>
      <c r="BA257" s="1185"/>
      <c r="BB257" s="1192">
        <f t="shared" si="621"/>
        <v>0</v>
      </c>
      <c r="BC257" s="1215"/>
      <c r="BD257" s="1185"/>
      <c r="BE257" s="1192">
        <f t="shared" si="622"/>
        <v>0</v>
      </c>
      <c r="BF257" s="1215"/>
      <c r="BG257" s="1185"/>
      <c r="BH257" s="1192">
        <f t="shared" si="623"/>
        <v>0</v>
      </c>
      <c r="BI257" s="1215"/>
      <c r="BJ257" s="1185"/>
      <c r="BK257" s="1192">
        <f t="shared" si="624"/>
        <v>0</v>
      </c>
      <c r="BL257" s="1215"/>
      <c r="BM257" s="1185"/>
      <c r="BN257" s="1192">
        <f t="shared" si="625"/>
        <v>0</v>
      </c>
      <c r="BO257" s="1215"/>
      <c r="BP257" s="1185"/>
      <c r="BQ257" s="1192">
        <f t="shared" si="626"/>
        <v>0</v>
      </c>
      <c r="BR257" s="1215"/>
      <c r="BS257" s="1185"/>
      <c r="BT257" s="1192">
        <f t="shared" si="627"/>
        <v>0</v>
      </c>
      <c r="BU257" s="1215"/>
      <c r="BV257" s="1185"/>
      <c r="BW257" s="1192">
        <f t="shared" si="628"/>
        <v>0</v>
      </c>
      <c r="BX257" s="1183">
        <f>IF(Assumptions!BX187&lt;&gt;"",Assumptions!BX187,0)</f>
        <v>0</v>
      </c>
      <c r="BY257" s="1185"/>
      <c r="BZ257" s="1192">
        <f t="shared" si="629"/>
        <v>0</v>
      </c>
      <c r="CA257" s="1183">
        <f>IF(Assumptions!CA187&lt;&gt;"",Assumptions!CA187,0)</f>
        <v>0</v>
      </c>
      <c r="CB257" s="1185"/>
      <c r="CC257" s="1192">
        <f t="shared" si="630"/>
        <v>0</v>
      </c>
      <c r="CD257" s="1183">
        <f>IF(Assumptions!CD187&lt;&gt;"",Assumptions!CD187,0)</f>
        <v>0</v>
      </c>
      <c r="CE257" s="1185"/>
      <c r="CF257" s="1192">
        <f t="shared" si="631"/>
        <v>0</v>
      </c>
      <c r="CG257" s="1183">
        <f>IF(Assumptions!CG187&lt;&gt;"",Assumptions!CG187,0)</f>
        <v>0</v>
      </c>
      <c r="CH257" s="1185">
        <f>IF(Assumptions!CH187&lt;&gt;"",Assumptions!CH187,0)</f>
        <v>0</v>
      </c>
      <c r="CI257" s="1192">
        <f t="shared" si="632"/>
        <v>0</v>
      </c>
      <c r="CJ257" s="1183">
        <f>IF(Assumptions!CJ187&lt;&gt;"",Assumptions!CJ187,0)</f>
        <v>0</v>
      </c>
      <c r="CK257" s="1185">
        <f>IF(Assumptions!CK187&lt;&gt;"",Assumptions!CK187,0)</f>
        <v>0</v>
      </c>
      <c r="CL257" s="1192">
        <f t="shared" si="633"/>
        <v>0</v>
      </c>
      <c r="CM257" s="1183">
        <f>IF(Assumptions!CM187&lt;&gt;"",Assumptions!CM187,0)</f>
        <v>0</v>
      </c>
      <c r="CN257" s="1185">
        <f>IF(Assumptions!CN187&lt;&gt;"",Assumptions!CN187,0)</f>
        <v>0</v>
      </c>
      <c r="CO257" s="1192">
        <f t="shared" si="634"/>
        <v>0</v>
      </c>
      <c r="CP257" s="1183">
        <f>IF(Assumptions!CP187&lt;&gt;"",Assumptions!CP187,0)</f>
        <v>0</v>
      </c>
      <c r="CQ257" s="1185">
        <f>IF(Assumptions!CQ187&lt;&gt;"",Assumptions!CQ187,0)</f>
        <v>0</v>
      </c>
      <c r="CR257" s="1192">
        <f t="shared" si="635"/>
        <v>0</v>
      </c>
      <c r="CS257" s="1183">
        <f>IF(Assumptions!CS187&lt;&gt;"",Assumptions!CS187,0)</f>
        <v>0</v>
      </c>
      <c r="CT257" s="1185">
        <f>IF(Assumptions!CT187&lt;&gt;"",Assumptions!CT187,0)</f>
        <v>0</v>
      </c>
      <c r="CU257" s="1192">
        <f t="shared" si="636"/>
        <v>0</v>
      </c>
      <c r="CV257" s="1183">
        <f>IF(Assumptions!CV187&lt;&gt;"",Assumptions!CV187,0)</f>
        <v>0</v>
      </c>
      <c r="CW257" s="1185">
        <f>IF(Assumptions!CW187&lt;&gt;"",Assumptions!CW187,0)</f>
        <v>0</v>
      </c>
      <c r="CX257" s="1192">
        <f t="shared" si="637"/>
        <v>0</v>
      </c>
      <c r="CY257" s="1183">
        <f>IF(Assumptions!CY187&lt;&gt;"",Assumptions!CY187,0)</f>
        <v>0</v>
      </c>
      <c r="CZ257" s="1185">
        <f>IF(Assumptions!CZ187&lt;&gt;"",Assumptions!CZ187,0)</f>
        <v>0</v>
      </c>
      <c r="DA257" s="1192">
        <f t="shared" si="638"/>
        <v>0</v>
      </c>
      <c r="DB257" s="1183">
        <v>0</v>
      </c>
      <c r="DC257" s="1185">
        <f>IF(Assumptions!DC187&lt;&gt;"",Assumptions!DC187,0)</f>
        <v>0</v>
      </c>
      <c r="DD257" s="1192">
        <f t="shared" si="639"/>
        <v>0</v>
      </c>
      <c r="DE257" s="1246">
        <f>IF(Assumptions!DE187&lt;&gt;"",Assumptions!DE187,0)</f>
        <v>0</v>
      </c>
      <c r="DF257" s="1185">
        <f>IF(Assumptions!DF187&lt;&gt;"",Assumptions!DF187,0)</f>
        <v>0</v>
      </c>
      <c r="DG257" s="1192">
        <f t="shared" si="640"/>
        <v>0</v>
      </c>
      <c r="DH257" s="1246">
        <f>IF(Assumptions!DH187&lt;&gt;"",Assumptions!DH187,0)</f>
        <v>0</v>
      </c>
      <c r="DI257" s="1185">
        <f>IF(Assumptions!DI187&lt;&gt;"",Assumptions!DI187,0)</f>
        <v>0</v>
      </c>
      <c r="DJ257" s="1192">
        <f t="shared" si="641"/>
        <v>0</v>
      </c>
      <c r="DK257" s="1246">
        <v>0</v>
      </c>
      <c r="DL257" s="32">
        <f>IF(Assumptions!DL187&lt;&gt;"",Assumptions!DL187,0)</f>
        <v>0</v>
      </c>
      <c r="DM257" s="32">
        <f t="shared" si="642"/>
        <v>0</v>
      </c>
      <c r="DN257" s="1061">
        <f>IF(Assumptions!DN187&lt;&gt;"",Assumptions!DN187,0)</f>
        <v>0</v>
      </c>
      <c r="DO257" s="32">
        <f>IF(Assumptions!DO187&lt;&gt;"",Assumptions!DO187,0)</f>
        <v>0</v>
      </c>
      <c r="DP257" s="32">
        <f t="shared" si="643"/>
        <v>0</v>
      </c>
      <c r="DQ257" s="1061">
        <f>IF(Assumptions!DQ187&lt;&gt;"",Assumptions!DQ187,0)</f>
        <v>0</v>
      </c>
      <c r="DR257" s="32">
        <f>IF(Assumptions!DR187&lt;&gt;"",Assumptions!DR187,0)</f>
        <v>0</v>
      </c>
      <c r="DS257" s="32">
        <f t="shared" si="644"/>
        <v>0</v>
      </c>
      <c r="DT257" s="1061">
        <f>IF(Assumptions!DT187&lt;&gt;"",Assumptions!DT187,0)</f>
        <v>0</v>
      </c>
      <c r="DU257" s="32">
        <f>IF(Assumptions!DU187&lt;&gt;"",Assumptions!DU187,0)</f>
        <v>0</v>
      </c>
      <c r="DV257" s="32">
        <f t="shared" si="645"/>
        <v>0</v>
      </c>
      <c r="DW257" s="1061">
        <f>IF(Assumptions!DW187&lt;&gt;"",Assumptions!DW187,0)</f>
        <v>0</v>
      </c>
      <c r="DX257" s="32">
        <f>IF(Assumptions!DX187&lt;&gt;"",Assumptions!DX187,0)</f>
        <v>0</v>
      </c>
      <c r="DY257" s="32">
        <f t="shared" si="655"/>
        <v>0</v>
      </c>
      <c r="DZ257" s="1061">
        <f>IF(Assumptions!DZ187&lt;&gt;"",Assumptions!DZ187,0)</f>
        <v>0</v>
      </c>
      <c r="EA257" s="32">
        <f>IF(Assumptions!EA187&lt;&gt;"",Assumptions!EA187,0)</f>
        <v>0</v>
      </c>
      <c r="EB257" s="32">
        <f t="shared" si="646"/>
        <v>0</v>
      </c>
      <c r="EC257" s="1061">
        <f>IF(Assumptions!EC187&lt;&gt;"",Assumptions!EC187,0)</f>
        <v>0</v>
      </c>
      <c r="ED257" s="32">
        <f>IF(Assumptions!ED187&lt;&gt;"",Assumptions!ED187,0)</f>
        <v>0</v>
      </c>
      <c r="EE257" s="32">
        <f t="shared" si="647"/>
        <v>0</v>
      </c>
      <c r="EF257" s="1061">
        <f>IF(Assumptions!EF187&lt;&gt;"",Assumptions!EF187,0)</f>
        <v>0</v>
      </c>
      <c r="EG257" s="32">
        <f>IF(Assumptions!EG187&lt;&gt;"",Assumptions!EG187,0)</f>
        <v>0</v>
      </c>
      <c r="EH257" s="32">
        <f t="shared" si="648"/>
        <v>0</v>
      </c>
      <c r="EI257" s="1061">
        <f>IF(Assumptions!EI187&lt;&gt;"",Assumptions!EI187,0)</f>
        <v>0</v>
      </c>
      <c r="EJ257" s="32">
        <f>IF(Assumptions!EJ187&lt;&gt;"",Assumptions!EJ187,0)</f>
        <v>0</v>
      </c>
      <c r="EK257" s="32">
        <f t="shared" si="649"/>
        <v>0</v>
      </c>
      <c r="EL257" s="1061">
        <f>IF(Assumptions!EL187&lt;&gt;"",Assumptions!EL187,0)</f>
        <v>0</v>
      </c>
      <c r="EM257" s="32">
        <f>IF(Assumptions!EM187&lt;&gt;"",Assumptions!EM187,0)</f>
        <v>0</v>
      </c>
      <c r="EN257" s="32">
        <f t="shared" si="650"/>
        <v>0</v>
      </c>
      <c r="EO257" s="1061">
        <f>IF(Assumptions!EO187&lt;&gt;"",Assumptions!EO187,0)</f>
        <v>0</v>
      </c>
      <c r="EP257" s="32">
        <f>IF(Assumptions!EP187&lt;&gt;"",Assumptions!EP187,0)</f>
        <v>0</v>
      </c>
      <c r="EQ257" s="32">
        <f t="shared" si="651"/>
        <v>0</v>
      </c>
      <c r="ER257" s="1061">
        <f>IF(Assumptions!ER187&lt;&gt;"",Assumptions!ER187,0)</f>
        <v>0</v>
      </c>
      <c r="ES257" s="32">
        <f>IF(Assumptions!ES187&lt;&gt;"",Assumptions!ES187,0)</f>
        <v>0</v>
      </c>
      <c r="ET257" s="32">
        <f t="shared" si="652"/>
        <v>0</v>
      </c>
      <c r="EU257" s="1061">
        <f>IF(Assumptions!EU187&lt;&gt;"",Assumptions!EU187,0)</f>
        <v>0</v>
      </c>
      <c r="EV257" s="32">
        <f>IF(Assumptions!EV187&lt;&gt;"",Assumptions!EV187,0)</f>
        <v>0</v>
      </c>
      <c r="EW257" s="32">
        <f t="shared" si="653"/>
        <v>0</v>
      </c>
      <c r="EX257" s="1061">
        <f>IF(Assumptions!EX187&lt;&gt;"",Assumptions!EX187,0)</f>
        <v>0</v>
      </c>
      <c r="EY257" s="32">
        <f>IF(Assumptions!EY187&lt;&gt;"",Assumptions!EY187,0)</f>
        <v>0</v>
      </c>
      <c r="EZ257" s="32">
        <f t="shared" si="654"/>
        <v>0</v>
      </c>
      <c r="FA257" s="1061">
        <f>IF(Assumptions!FA187&lt;&gt;"",Assumptions!FA187,0)</f>
        <v>0</v>
      </c>
      <c r="FB257" s="1243"/>
      <c r="FD257"/>
      <c r="FE257"/>
      <c r="FF257"/>
      <c r="FG257"/>
      <c r="FH257"/>
      <c r="FI257"/>
    </row>
    <row r="258" spans="2:169" s="33" customFormat="1" outlineLevel="1">
      <c r="B258" s="54" t="s">
        <v>225</v>
      </c>
      <c r="C258" s="2"/>
      <c r="D258" s="2" t="s">
        <v>506</v>
      </c>
      <c r="E258" s="1205"/>
      <c r="F258" s="32">
        <f t="shared" si="605"/>
        <v>0</v>
      </c>
      <c r="G258" s="1214"/>
      <c r="H258" s="1207"/>
      <c r="I258" s="32">
        <f t="shared" si="606"/>
        <v>0</v>
      </c>
      <c r="J258" s="1214"/>
      <c r="K258" s="1207"/>
      <c r="L258" s="32">
        <f t="shared" si="607"/>
        <v>0</v>
      </c>
      <c r="M258" s="1214"/>
      <c r="N258" s="1207"/>
      <c r="O258" s="32">
        <f t="shared" si="608"/>
        <v>0</v>
      </c>
      <c r="P258" s="1214"/>
      <c r="Q258" s="1207"/>
      <c r="R258" s="32">
        <f t="shared" si="609"/>
        <v>0</v>
      </c>
      <c r="S258" s="1214"/>
      <c r="T258" s="1207"/>
      <c r="U258" s="32">
        <f t="shared" si="610"/>
        <v>0</v>
      </c>
      <c r="V258" s="1214"/>
      <c r="W258" s="1207"/>
      <c r="X258" s="32">
        <f t="shared" si="611"/>
        <v>0</v>
      </c>
      <c r="Y258" s="1214"/>
      <c r="Z258" s="1207"/>
      <c r="AA258" s="32">
        <f t="shared" si="612"/>
        <v>0</v>
      </c>
      <c r="AB258" s="1214"/>
      <c r="AC258" s="1207"/>
      <c r="AD258" s="32">
        <f t="shared" si="613"/>
        <v>0</v>
      </c>
      <c r="AE258" s="1214"/>
      <c r="AF258" s="1207"/>
      <c r="AG258" s="32">
        <f t="shared" si="614"/>
        <v>0</v>
      </c>
      <c r="AH258" s="1214"/>
      <c r="AI258" s="1207"/>
      <c r="AJ258" s="32">
        <f t="shared" si="615"/>
        <v>0</v>
      </c>
      <c r="AK258" s="1214"/>
      <c r="AL258" s="1207"/>
      <c r="AM258" s="32">
        <f t="shared" si="616"/>
        <v>0</v>
      </c>
      <c r="AN258" s="1214"/>
      <c r="AO258" s="1207"/>
      <c r="AP258" s="32">
        <f t="shared" si="617"/>
        <v>0</v>
      </c>
      <c r="AQ258" s="1214"/>
      <c r="AR258" s="1207"/>
      <c r="AS258" s="32">
        <f t="shared" si="618"/>
        <v>0</v>
      </c>
      <c r="AT258" s="1214"/>
      <c r="AU258" s="1207"/>
      <c r="AV258" s="32">
        <f t="shared" si="619"/>
        <v>0</v>
      </c>
      <c r="AW258" s="1214"/>
      <c r="AX258" s="1207"/>
      <c r="AY258" s="32">
        <f t="shared" si="620"/>
        <v>0</v>
      </c>
      <c r="AZ258" s="1214"/>
      <c r="BA258" s="1207"/>
      <c r="BB258" s="32">
        <f t="shared" si="621"/>
        <v>0</v>
      </c>
      <c r="BC258" s="1214"/>
      <c r="BD258" s="1207"/>
      <c r="BE258" s="32">
        <f t="shared" si="622"/>
        <v>0</v>
      </c>
      <c r="BF258" s="1214"/>
      <c r="BG258" s="1207"/>
      <c r="BH258" s="32">
        <f t="shared" si="623"/>
        <v>0</v>
      </c>
      <c r="BI258" s="1214"/>
      <c r="BJ258" s="1207"/>
      <c r="BK258" s="32">
        <f t="shared" si="624"/>
        <v>0</v>
      </c>
      <c r="BL258" s="1214"/>
      <c r="BM258" s="1207"/>
      <c r="BN258" s="32">
        <f t="shared" si="625"/>
        <v>0</v>
      </c>
      <c r="BO258" s="1214"/>
      <c r="BP258" s="1207"/>
      <c r="BQ258" s="32">
        <f t="shared" si="626"/>
        <v>0</v>
      </c>
      <c r="BR258" s="1214"/>
      <c r="BS258" s="1207"/>
      <c r="BT258" s="32">
        <f t="shared" si="627"/>
        <v>0</v>
      </c>
      <c r="BU258" s="1214"/>
      <c r="BV258" s="1207"/>
      <c r="BW258" s="32">
        <f t="shared" si="628"/>
        <v>183</v>
      </c>
      <c r="BX258" s="1218">
        <v>183</v>
      </c>
      <c r="BY258" s="1207"/>
      <c r="BZ258" s="32">
        <f t="shared" si="629"/>
        <v>191</v>
      </c>
      <c r="CA258" s="1218">
        <v>191</v>
      </c>
      <c r="CB258" s="1207"/>
      <c r="CC258" s="32">
        <f t="shared" si="630"/>
        <v>171</v>
      </c>
      <c r="CD258" s="1218">
        <v>171</v>
      </c>
      <c r="CE258" s="1207"/>
      <c r="CF258" s="32">
        <f t="shared" si="631"/>
        <v>192</v>
      </c>
      <c r="CG258" s="1218">
        <v>192</v>
      </c>
      <c r="CH258" s="1212">
        <v>177.458</v>
      </c>
      <c r="CI258" s="32">
        <f t="shared" si="632"/>
        <v>195.7</v>
      </c>
      <c r="CJ258" s="1218">
        <v>195.7</v>
      </c>
      <c r="CK258" s="1212">
        <v>263.7</v>
      </c>
      <c r="CL258" s="32">
        <f t="shared" si="633"/>
        <v>263.7</v>
      </c>
      <c r="CM258" s="1218">
        <v>263.7</v>
      </c>
      <c r="CN258" s="1212">
        <v>276.2</v>
      </c>
      <c r="CO258" s="32">
        <f t="shared" si="634"/>
        <v>299.10000000000002</v>
      </c>
      <c r="CP258" s="1218">
        <v>299.10000000000002</v>
      </c>
      <c r="CQ258" s="1212">
        <v>279</v>
      </c>
      <c r="CR258" s="32">
        <f t="shared" si="635"/>
        <v>274.39999999999998</v>
      </c>
      <c r="CS258" s="1218">
        <v>274.39999999999998</v>
      </c>
      <c r="CT258" s="1212">
        <v>364.9</v>
      </c>
      <c r="CU258" s="32">
        <f t="shared" si="636"/>
        <v>389</v>
      </c>
      <c r="CV258" s="1218">
        <v>389</v>
      </c>
      <c r="CW258" s="1212">
        <v>408.3</v>
      </c>
      <c r="CX258" s="32">
        <f t="shared" si="637"/>
        <v>496.5</v>
      </c>
      <c r="CY258" s="1218">
        <v>496.5</v>
      </c>
      <c r="CZ258" s="1207">
        <v>467.9</v>
      </c>
      <c r="DA258" s="32">
        <f t="shared" si="638"/>
        <v>401.3</v>
      </c>
      <c r="DB258" s="1205">
        <v>401.3</v>
      </c>
      <c r="DC258" s="1207">
        <v>315.7</v>
      </c>
      <c r="DD258" s="32">
        <f t="shared" si="639"/>
        <v>378.7</v>
      </c>
      <c r="DE258" s="1545">
        <v>378.7</v>
      </c>
      <c r="DF258" s="1567">
        <v>380.9</v>
      </c>
      <c r="DG258" s="1530">
        <f t="shared" si="640"/>
        <v>543</v>
      </c>
      <c r="DH258" s="1568">
        <v>543</v>
      </c>
      <c r="DI258" s="1549">
        <v>522.6</v>
      </c>
      <c r="DJ258" s="1530">
        <f t="shared" si="641"/>
        <v>529.5</v>
      </c>
      <c r="DK258" s="1568">
        <v>529.5</v>
      </c>
      <c r="DL258" s="1530">
        <v>497.2</v>
      </c>
      <c r="DM258" s="1530">
        <f t="shared" si="642"/>
        <v>517.5</v>
      </c>
      <c r="DN258" s="1531">
        <v>517.5</v>
      </c>
      <c r="DO258" s="1558">
        <v>527.5</v>
      </c>
      <c r="DP258" s="1530">
        <f t="shared" si="643"/>
        <v>902</v>
      </c>
      <c r="DQ258" s="1532">
        <v>902</v>
      </c>
      <c r="DR258" s="1558">
        <v>839</v>
      </c>
      <c r="DS258" s="1530">
        <f t="shared" si="644"/>
        <v>911</v>
      </c>
      <c r="DT258" s="1532">
        <v>911</v>
      </c>
      <c r="DU258" s="1558">
        <v>868</v>
      </c>
      <c r="DV258" s="1530">
        <f t="shared" si="645"/>
        <v>1091</v>
      </c>
      <c r="DW258" s="1532">
        <v>1091</v>
      </c>
      <c r="DX258" s="1558">
        <v>1202</v>
      </c>
      <c r="DY258" s="32">
        <f t="shared" si="655"/>
        <v>1202</v>
      </c>
      <c r="DZ258" s="1061">
        <f>DX258</f>
        <v>1202</v>
      </c>
      <c r="EA258" s="32">
        <f>DZ258</f>
        <v>1202</v>
      </c>
      <c r="EB258" s="32">
        <f t="shared" si="646"/>
        <v>1202</v>
      </c>
      <c r="EC258" s="1061">
        <f>EA258</f>
        <v>1202</v>
      </c>
      <c r="ED258" s="32">
        <f>EC258</f>
        <v>1202</v>
      </c>
      <c r="EE258" s="32">
        <f t="shared" si="647"/>
        <v>1202</v>
      </c>
      <c r="EF258" s="1061">
        <f>ED258</f>
        <v>1202</v>
      </c>
      <c r="EG258" s="32">
        <f>EF258</f>
        <v>1202</v>
      </c>
      <c r="EH258" s="32">
        <f t="shared" si="648"/>
        <v>1202</v>
      </c>
      <c r="EI258" s="1061">
        <f>EG258</f>
        <v>1202</v>
      </c>
      <c r="EJ258" s="32">
        <f>EI258</f>
        <v>1202</v>
      </c>
      <c r="EK258" s="32">
        <f t="shared" si="649"/>
        <v>1202</v>
      </c>
      <c r="EL258" s="1061">
        <f>EJ258</f>
        <v>1202</v>
      </c>
      <c r="EM258" s="32">
        <f>EL258</f>
        <v>1202</v>
      </c>
      <c r="EN258" s="32">
        <f t="shared" si="650"/>
        <v>1202</v>
      </c>
      <c r="EO258" s="1061">
        <f>EM258</f>
        <v>1202</v>
      </c>
      <c r="EP258" s="32">
        <f>EO258</f>
        <v>1202</v>
      </c>
      <c r="EQ258" s="32">
        <f t="shared" si="651"/>
        <v>1202</v>
      </c>
      <c r="ER258" s="1061">
        <f>EP258</f>
        <v>1202</v>
      </c>
      <c r="ES258" s="32">
        <f>ER258</f>
        <v>1202</v>
      </c>
      <c r="ET258" s="32">
        <f t="shared" si="652"/>
        <v>1202</v>
      </c>
      <c r="EU258" s="1061">
        <f>ES258</f>
        <v>1202</v>
      </c>
      <c r="EV258" s="32">
        <f>EU258</f>
        <v>1202</v>
      </c>
      <c r="EW258" s="32">
        <f t="shared" si="653"/>
        <v>1202</v>
      </c>
      <c r="EX258" s="1061">
        <f>EV258</f>
        <v>1202</v>
      </c>
      <c r="EY258" s="32">
        <f>EX258</f>
        <v>1202</v>
      </c>
      <c r="EZ258" s="32">
        <f t="shared" si="654"/>
        <v>1202</v>
      </c>
      <c r="FA258" s="1061">
        <f>EY258</f>
        <v>1202</v>
      </c>
      <c r="FB258" s="1243"/>
      <c r="FD258"/>
      <c r="FE258"/>
      <c r="FF258"/>
      <c r="FG258"/>
      <c r="FH258"/>
      <c r="FI258"/>
    </row>
    <row r="259" spans="2:169" s="33" customFormat="1" outlineLevel="1">
      <c r="B259" s="1730" t="s">
        <v>233</v>
      </c>
      <c r="C259" s="1732"/>
      <c r="D259" s="1732" t="s">
        <v>506</v>
      </c>
      <c r="E259" s="1753"/>
      <c r="F259" s="1421">
        <f t="shared" si="605"/>
        <v>0</v>
      </c>
      <c r="G259" s="1768"/>
      <c r="H259" s="1755"/>
      <c r="I259" s="1421">
        <f t="shared" si="606"/>
        <v>0</v>
      </c>
      <c r="J259" s="1768"/>
      <c r="K259" s="1755"/>
      <c r="L259" s="1421">
        <f t="shared" si="607"/>
        <v>0</v>
      </c>
      <c r="M259" s="1768"/>
      <c r="N259" s="1755"/>
      <c r="O259" s="1421">
        <f t="shared" si="608"/>
        <v>0</v>
      </c>
      <c r="P259" s="1768"/>
      <c r="Q259" s="1755"/>
      <c r="R259" s="1421">
        <f t="shared" si="609"/>
        <v>0</v>
      </c>
      <c r="S259" s="1768"/>
      <c r="T259" s="1755"/>
      <c r="U259" s="1421">
        <f t="shared" si="610"/>
        <v>0</v>
      </c>
      <c r="V259" s="1768"/>
      <c r="W259" s="1755"/>
      <c r="X259" s="1421">
        <f t="shared" si="611"/>
        <v>0</v>
      </c>
      <c r="Y259" s="1768"/>
      <c r="Z259" s="1755"/>
      <c r="AA259" s="1421">
        <f t="shared" si="612"/>
        <v>0</v>
      </c>
      <c r="AB259" s="1768"/>
      <c r="AC259" s="1755"/>
      <c r="AD259" s="1421">
        <f t="shared" si="613"/>
        <v>0</v>
      </c>
      <c r="AE259" s="1768"/>
      <c r="AF259" s="1755"/>
      <c r="AG259" s="1421">
        <f t="shared" si="614"/>
        <v>0</v>
      </c>
      <c r="AH259" s="1768"/>
      <c r="AI259" s="1755"/>
      <c r="AJ259" s="1421">
        <f t="shared" si="615"/>
        <v>0</v>
      </c>
      <c r="AK259" s="1768"/>
      <c r="AL259" s="1755"/>
      <c r="AM259" s="1421">
        <f t="shared" si="616"/>
        <v>0</v>
      </c>
      <c r="AN259" s="1768"/>
      <c r="AO259" s="1755"/>
      <c r="AP259" s="1421">
        <f t="shared" si="617"/>
        <v>0</v>
      </c>
      <c r="AQ259" s="1768"/>
      <c r="AR259" s="1755"/>
      <c r="AS259" s="1421">
        <f t="shared" si="618"/>
        <v>0</v>
      </c>
      <c r="AT259" s="1768"/>
      <c r="AU259" s="1755"/>
      <c r="AV259" s="1421">
        <f t="shared" si="619"/>
        <v>0</v>
      </c>
      <c r="AW259" s="1768"/>
      <c r="AX259" s="1755"/>
      <c r="AY259" s="1421">
        <f t="shared" si="620"/>
        <v>0</v>
      </c>
      <c r="AZ259" s="1768"/>
      <c r="BA259" s="1755"/>
      <c r="BB259" s="1421">
        <f t="shared" si="621"/>
        <v>0</v>
      </c>
      <c r="BC259" s="1768"/>
      <c r="BD259" s="1755"/>
      <c r="BE259" s="1421">
        <f t="shared" si="622"/>
        <v>0</v>
      </c>
      <c r="BF259" s="1768"/>
      <c r="BG259" s="1755"/>
      <c r="BH259" s="1421">
        <f t="shared" si="623"/>
        <v>0</v>
      </c>
      <c r="BI259" s="1768"/>
      <c r="BJ259" s="1755"/>
      <c r="BK259" s="1421">
        <f t="shared" si="624"/>
        <v>0</v>
      </c>
      <c r="BL259" s="1768"/>
      <c r="BM259" s="1755"/>
      <c r="BN259" s="1421">
        <f t="shared" si="625"/>
        <v>0</v>
      </c>
      <c r="BO259" s="1768"/>
      <c r="BP259" s="1755"/>
      <c r="BQ259" s="1421">
        <f t="shared" si="626"/>
        <v>0</v>
      </c>
      <c r="BR259" s="1768"/>
      <c r="BS259" s="1755"/>
      <c r="BT259" s="1421">
        <f t="shared" si="627"/>
        <v>0</v>
      </c>
      <c r="BU259" s="1768"/>
      <c r="BV259" s="1755"/>
      <c r="BW259" s="1421">
        <f t="shared" si="628"/>
        <v>0</v>
      </c>
      <c r="BX259" s="1769">
        <v>0</v>
      </c>
      <c r="BY259" s="1755"/>
      <c r="BZ259" s="1421">
        <f t="shared" si="629"/>
        <v>0</v>
      </c>
      <c r="CA259" s="1769">
        <v>0</v>
      </c>
      <c r="CB259" s="1755"/>
      <c r="CC259" s="1421">
        <f t="shared" si="630"/>
        <v>0</v>
      </c>
      <c r="CD259" s="1769">
        <v>0</v>
      </c>
      <c r="CE259" s="1755"/>
      <c r="CF259" s="1421">
        <f t="shared" si="631"/>
        <v>0</v>
      </c>
      <c r="CG259" s="1769">
        <v>0</v>
      </c>
      <c r="CH259" s="1755"/>
      <c r="CI259" s="1421">
        <f t="shared" si="632"/>
        <v>0</v>
      </c>
      <c r="CJ259" s="1769">
        <v>0</v>
      </c>
      <c r="CK259" s="1755">
        <f>CJ259</f>
        <v>0</v>
      </c>
      <c r="CL259" s="1421">
        <f t="shared" si="633"/>
        <v>0</v>
      </c>
      <c r="CM259" s="1753">
        <f>CK259</f>
        <v>0</v>
      </c>
      <c r="CN259" s="1755">
        <f>CM259</f>
        <v>0</v>
      </c>
      <c r="CO259" s="1421">
        <f t="shared" si="634"/>
        <v>0</v>
      </c>
      <c r="CP259" s="1753">
        <f>CN259</f>
        <v>0</v>
      </c>
      <c r="CQ259" s="1755">
        <f>CP259</f>
        <v>0</v>
      </c>
      <c r="CR259" s="1421">
        <f t="shared" si="635"/>
        <v>0.5</v>
      </c>
      <c r="CS259" s="1769">
        <v>0.5</v>
      </c>
      <c r="CT259" s="1755"/>
      <c r="CU259" s="1421">
        <f t="shared" si="636"/>
        <v>2.9</v>
      </c>
      <c r="CV259" s="1769">
        <v>2.9</v>
      </c>
      <c r="CW259" s="1757">
        <v>2.1</v>
      </c>
      <c r="CX259" s="1421">
        <f t="shared" si="637"/>
        <v>3.9</v>
      </c>
      <c r="CY259" s="1769">
        <v>3.9</v>
      </c>
      <c r="CZ259" s="1755">
        <v>6</v>
      </c>
      <c r="DA259" s="1421">
        <f t="shared" si="638"/>
        <v>6.2</v>
      </c>
      <c r="DB259" s="1753">
        <v>6.2</v>
      </c>
      <c r="DC259" s="1755">
        <f>6.7</f>
        <v>6.7</v>
      </c>
      <c r="DD259" s="1421">
        <f t="shared" si="639"/>
        <v>9.9</v>
      </c>
      <c r="DE259" s="1771">
        <v>9.9</v>
      </c>
      <c r="DF259" s="1772">
        <f>12.6+3.4</f>
        <v>16</v>
      </c>
      <c r="DG259" s="1737">
        <f t="shared" si="640"/>
        <v>15.6</v>
      </c>
      <c r="DH259" s="1773">
        <f>14.2+1.4</f>
        <v>15.6</v>
      </c>
      <c r="DI259" s="1774">
        <f>17.6+1.2</f>
        <v>18.8</v>
      </c>
      <c r="DJ259" s="1737">
        <f t="shared" si="641"/>
        <v>25.4</v>
      </c>
      <c r="DK259" s="1773">
        <f>21.5+3.9</f>
        <v>25.4</v>
      </c>
      <c r="DL259" s="1737">
        <f>30.1+41.9</f>
        <v>72</v>
      </c>
      <c r="DM259" s="1737">
        <f t="shared" si="642"/>
        <v>408.29999999999995</v>
      </c>
      <c r="DN259" s="1775">
        <f>402.9+5.4</f>
        <v>408.29999999999995</v>
      </c>
      <c r="DO259" s="1737">
        <f>234.7+3.1</f>
        <v>237.79999999999998</v>
      </c>
      <c r="DP259" s="1737">
        <f t="shared" si="643"/>
        <v>179</v>
      </c>
      <c r="DQ259" s="1777">
        <f>173+6</f>
        <v>179</v>
      </c>
      <c r="DR259" s="1776">
        <f>161+5</f>
        <v>166</v>
      </c>
      <c r="DS259" s="1737">
        <f t="shared" si="644"/>
        <v>181</v>
      </c>
      <c r="DT259" s="1777">
        <f>18+163</f>
        <v>181</v>
      </c>
      <c r="DU259" s="1776">
        <f>45+178</f>
        <v>223</v>
      </c>
      <c r="DV259" s="1737">
        <f t="shared" si="645"/>
        <v>292</v>
      </c>
      <c r="DW259" s="1777">
        <f>89+203</f>
        <v>292</v>
      </c>
      <c r="DX259" s="1776">
        <f>92+158</f>
        <v>250</v>
      </c>
      <c r="DY259" s="1421">
        <f t="shared" si="655"/>
        <v>250</v>
      </c>
      <c r="DZ259" s="1104">
        <f>DX259</f>
        <v>250</v>
      </c>
      <c r="EA259" s="1421">
        <f>DZ259</f>
        <v>250</v>
      </c>
      <c r="EB259" s="1421">
        <f t="shared" si="646"/>
        <v>250</v>
      </c>
      <c r="EC259" s="1104">
        <f>EA259</f>
        <v>250</v>
      </c>
      <c r="ED259" s="1421">
        <f>EC259</f>
        <v>250</v>
      </c>
      <c r="EE259" s="1421">
        <f t="shared" si="647"/>
        <v>250</v>
      </c>
      <c r="EF259" s="1104">
        <f>ED259</f>
        <v>250</v>
      </c>
      <c r="EG259" s="1421">
        <f>EF259</f>
        <v>250</v>
      </c>
      <c r="EH259" s="1421">
        <f t="shared" si="648"/>
        <v>250</v>
      </c>
      <c r="EI259" s="1104">
        <f>EG259</f>
        <v>250</v>
      </c>
      <c r="EJ259" s="1421">
        <f>EI259</f>
        <v>250</v>
      </c>
      <c r="EK259" s="1421">
        <f t="shared" si="649"/>
        <v>250</v>
      </c>
      <c r="EL259" s="1104">
        <f>EJ259</f>
        <v>250</v>
      </c>
      <c r="EM259" s="1421">
        <f>EL259</f>
        <v>250</v>
      </c>
      <c r="EN259" s="1421">
        <f t="shared" si="650"/>
        <v>250</v>
      </c>
      <c r="EO259" s="1104">
        <f>EM259</f>
        <v>250</v>
      </c>
      <c r="EP259" s="1421">
        <f>EO259</f>
        <v>250</v>
      </c>
      <c r="EQ259" s="1421">
        <f t="shared" si="651"/>
        <v>250</v>
      </c>
      <c r="ER259" s="1104">
        <f>EP259</f>
        <v>250</v>
      </c>
      <c r="ES259" s="1421">
        <f>ER259</f>
        <v>250</v>
      </c>
      <c r="ET259" s="1421">
        <f t="shared" si="652"/>
        <v>250</v>
      </c>
      <c r="EU259" s="1104">
        <f>ES259</f>
        <v>250</v>
      </c>
      <c r="EV259" s="1421">
        <f>EU259</f>
        <v>250</v>
      </c>
      <c r="EW259" s="1421">
        <f t="shared" si="653"/>
        <v>250</v>
      </c>
      <c r="EX259" s="1104">
        <f>EV259</f>
        <v>250</v>
      </c>
      <c r="EY259" s="1421">
        <f>EX259</f>
        <v>250</v>
      </c>
      <c r="EZ259" s="1421">
        <f t="shared" si="654"/>
        <v>250</v>
      </c>
      <c r="FA259" s="1104">
        <f>EY259</f>
        <v>250</v>
      </c>
      <c r="FB259" s="1243"/>
      <c r="FD259"/>
      <c r="FE259"/>
      <c r="FF259"/>
      <c r="FG259"/>
      <c r="FH259"/>
      <c r="FI259"/>
    </row>
    <row r="260" spans="2:169" s="61" customFormat="1">
      <c r="B260" s="60" t="s">
        <v>489</v>
      </c>
      <c r="C260" s="60"/>
      <c r="D260" s="1658" t="s">
        <v>506</v>
      </c>
      <c r="E260" s="1272">
        <f>+E244+E245+E248+E249+E250+E256</f>
        <v>0</v>
      </c>
      <c r="F260" s="1272">
        <f t="shared" si="605"/>
        <v>0</v>
      </c>
      <c r="G260" s="1272">
        <f>+G244+G245+G248+G249+G250+G256</f>
        <v>0</v>
      </c>
      <c r="H260" s="1272">
        <f>+H244+H245+H248+H249+H250+H256</f>
        <v>0</v>
      </c>
      <c r="I260" s="1272">
        <f t="shared" si="606"/>
        <v>0</v>
      </c>
      <c r="J260" s="1272">
        <f>+J244+J245+J248+J249+J250+J256</f>
        <v>0</v>
      </c>
      <c r="K260" s="1272">
        <f>+K244+K245+K248+K249+K250+K256</f>
        <v>0</v>
      </c>
      <c r="L260" s="1272">
        <f t="shared" si="607"/>
        <v>0</v>
      </c>
      <c r="M260" s="1272">
        <f>+M244+M245+M248+M249+M250+M256</f>
        <v>0</v>
      </c>
      <c r="N260" s="1272">
        <f>+N244+N245+N248+N249+N250+N256</f>
        <v>0</v>
      </c>
      <c r="O260" s="1272">
        <f t="shared" si="608"/>
        <v>0</v>
      </c>
      <c r="P260" s="1272">
        <f>+P244+P245+P248+P249+P250+P256</f>
        <v>0</v>
      </c>
      <c r="Q260" s="1272">
        <f>+Q244+Q245+Q248+Q249+Q250+Q256</f>
        <v>0</v>
      </c>
      <c r="R260" s="1272">
        <f t="shared" si="609"/>
        <v>0</v>
      </c>
      <c r="S260" s="1272">
        <f>+S244+S245+S248+S249+S250+S256</f>
        <v>0</v>
      </c>
      <c r="T260" s="1272">
        <f>+T244+T245+T248+T249+T250+T256</f>
        <v>0</v>
      </c>
      <c r="U260" s="1272">
        <f t="shared" si="610"/>
        <v>0</v>
      </c>
      <c r="V260" s="1272">
        <f>+V244+V245+V248+V249+V250+V256</f>
        <v>0</v>
      </c>
      <c r="W260" s="1272">
        <f>+W244+W245+W248+W249+W250+W256</f>
        <v>0</v>
      </c>
      <c r="X260" s="1272">
        <f t="shared" si="611"/>
        <v>0</v>
      </c>
      <c r="Y260" s="1272">
        <f>+Y244+Y245+Y248+Y249+Y250+Y256</f>
        <v>0</v>
      </c>
      <c r="Z260" s="1272">
        <f>+Z244+Z245+Z248+Z249+Z250+Z256</f>
        <v>0</v>
      </c>
      <c r="AA260" s="1272">
        <f t="shared" si="612"/>
        <v>0</v>
      </c>
      <c r="AB260" s="1272">
        <f>+AB244+AB245+AB248+AB249+AB250+AB256</f>
        <v>0</v>
      </c>
      <c r="AC260" s="1272">
        <f>+AC244+AC245+AC248+AC249+AC250+AC256</f>
        <v>0</v>
      </c>
      <c r="AD260" s="1272">
        <f t="shared" si="613"/>
        <v>0</v>
      </c>
      <c r="AE260" s="1272">
        <f>+AE244+AE245+AE248+AE249+AE250+AE256</f>
        <v>0</v>
      </c>
      <c r="AF260" s="1272">
        <f>+AF244+AF245+AF248+AF249+AF250+AF256</f>
        <v>0</v>
      </c>
      <c r="AG260" s="1272">
        <f t="shared" si="614"/>
        <v>0</v>
      </c>
      <c r="AH260" s="1272">
        <f>+AH244+AH245+AH248+AH249+AH250+AH256</f>
        <v>0</v>
      </c>
      <c r="AI260" s="1272">
        <f>+AI244+AI245+AI248+AI249+AI250+AI256</f>
        <v>0</v>
      </c>
      <c r="AJ260" s="1272">
        <f t="shared" si="615"/>
        <v>0</v>
      </c>
      <c r="AK260" s="1272">
        <f>+AK244+AK245+AK248+AK249+AK250+AK256</f>
        <v>0</v>
      </c>
      <c r="AL260" s="1272">
        <f>+AL244+AL245+AL248+AL249+AL250+AL256</f>
        <v>0</v>
      </c>
      <c r="AM260" s="1272">
        <f t="shared" si="616"/>
        <v>0</v>
      </c>
      <c r="AN260" s="1272">
        <f>+AN244+AN245+AN248+AN249+AN250+AN256</f>
        <v>0</v>
      </c>
      <c r="AO260" s="1272">
        <f>+AO244+AO245+AO248+AO249+AO250+AO256</f>
        <v>0</v>
      </c>
      <c r="AP260" s="1272">
        <f t="shared" si="617"/>
        <v>0</v>
      </c>
      <c r="AQ260" s="1272">
        <f>+AQ244+AQ245+AQ248+AQ249+AQ250+AQ256</f>
        <v>0</v>
      </c>
      <c r="AR260" s="1272">
        <f>+AR244+AR245+AR248+AR249+AR250+AR256</f>
        <v>0</v>
      </c>
      <c r="AS260" s="1272">
        <f t="shared" si="618"/>
        <v>0</v>
      </c>
      <c r="AT260" s="1272">
        <f>+AT244+AT245+AT248+AT249+AT250+AT256</f>
        <v>0</v>
      </c>
      <c r="AU260" s="1272">
        <f>+AU244+AU245+AU248+AU249+AU250+AU256</f>
        <v>0</v>
      </c>
      <c r="AV260" s="1272">
        <f t="shared" si="619"/>
        <v>0</v>
      </c>
      <c r="AW260" s="1272">
        <f>+AW244+AW245+AW248+AW249+AW250+AW256</f>
        <v>0</v>
      </c>
      <c r="AX260" s="1272">
        <f>+AX244+AX245+AX248+AX249+AX250+AX256</f>
        <v>0</v>
      </c>
      <c r="AY260" s="1272">
        <f t="shared" si="620"/>
        <v>0</v>
      </c>
      <c r="AZ260" s="1272">
        <f>+AZ244+AZ245+AZ248+AZ249+AZ250+AZ256</f>
        <v>0</v>
      </c>
      <c r="BA260" s="1272">
        <f>+BA244+BA245+BA248+BA249+BA250+BA256</f>
        <v>0</v>
      </c>
      <c r="BB260" s="1272">
        <f t="shared" si="621"/>
        <v>0</v>
      </c>
      <c r="BC260" s="1272">
        <f>+BC244+BC245+BC248+BC249+BC250+BC256</f>
        <v>0</v>
      </c>
      <c r="BD260" s="1272">
        <f>+BD244+BD245+BD248+BD249+BD250+BD256</f>
        <v>0</v>
      </c>
      <c r="BE260" s="1272">
        <f t="shared" si="622"/>
        <v>0</v>
      </c>
      <c r="BF260" s="1272">
        <f>+BF244+BF245+BF248+BF249+BF250+BF256</f>
        <v>0</v>
      </c>
      <c r="BG260" s="1272">
        <f>+BG244+BG245+BG248+BG249+BG250+BG256</f>
        <v>0</v>
      </c>
      <c r="BH260" s="1272">
        <f t="shared" si="623"/>
        <v>0</v>
      </c>
      <c r="BI260" s="1272">
        <f>+BI244+BI245+BI248+BI249+BI250+BI256</f>
        <v>0</v>
      </c>
      <c r="BJ260" s="1272">
        <f>+BJ244+BJ245+BJ248+BJ249+BJ250+BJ256</f>
        <v>0</v>
      </c>
      <c r="BK260" s="1272">
        <f t="shared" si="624"/>
        <v>0</v>
      </c>
      <c r="BL260" s="1272">
        <f>+BL244+BL245+BL248+BL249+BL250+BL256</f>
        <v>0</v>
      </c>
      <c r="BM260" s="1272">
        <f>+BM244+BM245+BM248+BM249+BM250+BM256</f>
        <v>0</v>
      </c>
      <c r="BN260" s="1272">
        <f t="shared" si="625"/>
        <v>0</v>
      </c>
      <c r="BO260" s="1272">
        <f>+BO244+BO245+BO248+BO249+BO250+BO256</f>
        <v>0</v>
      </c>
      <c r="BP260" s="1272">
        <f>+BP244+BP245+BP248+BP249+BP250+BP256</f>
        <v>0</v>
      </c>
      <c r="BQ260" s="1272">
        <f t="shared" si="626"/>
        <v>0</v>
      </c>
      <c r="BR260" s="1272">
        <f>+BR244+BR245+BR248+BR249+BR250+BR256</f>
        <v>0</v>
      </c>
      <c r="BS260" s="1272">
        <f>+BS244+BS245+BS248+BS249+BS250+BS256</f>
        <v>0</v>
      </c>
      <c r="BT260" s="1272">
        <f t="shared" si="627"/>
        <v>0</v>
      </c>
      <c r="BU260" s="1272">
        <f>+BU244+BU245+BU248+BU249+BU250+BU256</f>
        <v>0</v>
      </c>
      <c r="BV260" s="1272">
        <f>+BV244+BV245+BV248+BV249+BV250+BV256</f>
        <v>0</v>
      </c>
      <c r="BW260" s="1272">
        <f t="shared" si="628"/>
        <v>2006</v>
      </c>
      <c r="BX260" s="1272">
        <f>+BX244+BX245+BX248+BX249+BX250+BX256</f>
        <v>2006</v>
      </c>
      <c r="BY260" s="1272">
        <f>+BY244+BY245+BY248+BY249+BY250+BY256</f>
        <v>0</v>
      </c>
      <c r="BZ260" s="1272">
        <f t="shared" si="629"/>
        <v>1962</v>
      </c>
      <c r="CA260" s="1272">
        <f>+CA244+CA245+CA248+CA249+CA250+CA256</f>
        <v>1962</v>
      </c>
      <c r="CB260" s="1272">
        <f>+CB244+CB245+CB248+CB249+CB250+CB256</f>
        <v>0</v>
      </c>
      <c r="CC260" s="1272">
        <f t="shared" si="630"/>
        <v>2020</v>
      </c>
      <c r="CD260" s="1272">
        <f>+CD244+CD245+CD248+CD249+CD250+CD256</f>
        <v>2020</v>
      </c>
      <c r="CE260" s="1272">
        <f>+CE244+CE245+CE248+CE249+CE250+CE256</f>
        <v>0</v>
      </c>
      <c r="CF260" s="1272">
        <f t="shared" si="631"/>
        <v>2477</v>
      </c>
      <c r="CG260" s="1272">
        <f>+CG244+CG245+CG248+CG249+CG250+CG256</f>
        <v>2477</v>
      </c>
      <c r="CH260" s="1272">
        <f>+CH244+CH245+CH248+CH249+CH250+CH256</f>
        <v>2314.4270000000001</v>
      </c>
      <c r="CI260" s="1272">
        <f t="shared" si="632"/>
        <v>2422.1</v>
      </c>
      <c r="CJ260" s="1272">
        <f>+CJ244+CJ245+CJ248+CJ249+CJ250+CJ256</f>
        <v>2422.1</v>
      </c>
      <c r="CK260" s="1272">
        <f>+CK244+CK245+CK248+CK249+CK250+CK256</f>
        <v>2716.2</v>
      </c>
      <c r="CL260" s="1272">
        <f t="shared" si="633"/>
        <v>2716.2</v>
      </c>
      <c r="CM260" s="1272">
        <f>+CM244+CM245+CM248+CM249+CM250+CM256</f>
        <v>2716.2</v>
      </c>
      <c r="CN260" s="1272">
        <f>+CN244+CN245+CN248+CN249+CN250+CN256</f>
        <v>2870.3999999999996</v>
      </c>
      <c r="CO260" s="1272">
        <f t="shared" si="634"/>
        <v>3070.1</v>
      </c>
      <c r="CP260" s="1272">
        <f>+CP244+CP245+CP248+CP249+CP250+CP256</f>
        <v>3070.1</v>
      </c>
      <c r="CQ260" s="1272">
        <f>+CQ244+CQ245+CQ248+CQ249+CQ250+CQ256</f>
        <v>2895.1</v>
      </c>
      <c r="CR260" s="1272">
        <f t="shared" si="635"/>
        <v>3061.9</v>
      </c>
      <c r="CS260" s="1272">
        <f>+CS244+CS245+CS248+CS249+CS250+CS256</f>
        <v>3061.9</v>
      </c>
      <c r="CT260" s="1272">
        <f>+CT244+CT245+CT248+CT249+CT250+CT256</f>
        <v>3454.9</v>
      </c>
      <c r="CU260" s="1272">
        <f t="shared" si="636"/>
        <v>3744.7</v>
      </c>
      <c r="CV260" s="1272">
        <f>+CV244+CV245+CV248+CV249+CV250+CV256</f>
        <v>3744.7</v>
      </c>
      <c r="CW260" s="1272">
        <f>+CW244+CW245+CW248+CW249+CW250+CW256</f>
        <v>3905.2000000000003</v>
      </c>
      <c r="CX260" s="1272">
        <f t="shared" si="637"/>
        <v>4520.5999999999995</v>
      </c>
      <c r="CY260" s="1272">
        <f>+CY244+CY245+CY248+CY249+CY250+CY256</f>
        <v>4520.5999999999995</v>
      </c>
      <c r="CZ260" s="1272">
        <f>+CZ244+CZ245+CZ248+CZ249+CZ250+CZ256</f>
        <v>5382.2999999999993</v>
      </c>
      <c r="DA260" s="1272">
        <f t="shared" si="638"/>
        <v>5780.8</v>
      </c>
      <c r="DB260" s="1272">
        <f>+DB244+DB245+DB248+DB249+DB250+DB256</f>
        <v>5780.8</v>
      </c>
      <c r="DC260" s="1272">
        <f>+DC244+DC245+DC248+DC249+DC250+DC256</f>
        <v>5963.7</v>
      </c>
      <c r="DD260" s="1272">
        <f t="shared" si="639"/>
        <v>6774.3000000000011</v>
      </c>
      <c r="DE260" s="1276">
        <f>+DE244+DE245+DE248+DE249+DE250+DE256</f>
        <v>6774.3000000000011</v>
      </c>
      <c r="DF260" s="1272">
        <f>+DF244+DF245+DF248+DF249+DF250+DF256</f>
        <v>8167.0999999999995</v>
      </c>
      <c r="DG260" s="1272">
        <f t="shared" si="640"/>
        <v>9018.5</v>
      </c>
      <c r="DH260" s="1276">
        <f>+DH244+DH245+DH248+DH249+DH250+DH256</f>
        <v>9018.5</v>
      </c>
      <c r="DI260" s="1272">
        <f>+DI244+DI245+DI248+DI249+DI250+DI256</f>
        <v>9548.1999999999989</v>
      </c>
      <c r="DJ260" s="1272">
        <f t="shared" si="641"/>
        <v>10767.199999999999</v>
      </c>
      <c r="DK260" s="1276">
        <f>+DK244+DK245+DK248+DK249+DK250+DK256</f>
        <v>10767.199999999999</v>
      </c>
      <c r="DL260" s="1272">
        <f>+DL244+DL245+DL248+DL249+DL250+DL256</f>
        <v>10982.3</v>
      </c>
      <c r="DM260" s="1272">
        <f t="shared" si="642"/>
        <v>11885.3</v>
      </c>
      <c r="DN260" s="1276">
        <f>+DN244+DN245+DN248+DN249+DN250+DN256</f>
        <v>11885.3</v>
      </c>
      <c r="DO260" s="1272">
        <f>+DO244+DO245+DO248+DO249+DO250+DO256</f>
        <v>25845.999999999996</v>
      </c>
      <c r="DP260" s="1272">
        <f t="shared" si="643"/>
        <v>26975</v>
      </c>
      <c r="DQ260" s="1276">
        <f>+DQ244+DQ245+DQ248+DQ249+DQ250+DQ256</f>
        <v>26975</v>
      </c>
      <c r="DR260" s="1272">
        <f>+DR244+DR245+DR248+DR249+DR250+DR256</f>
        <v>27158</v>
      </c>
      <c r="DS260" s="1272">
        <f t="shared" si="644"/>
        <v>27254</v>
      </c>
      <c r="DT260" s="1276">
        <f>+DT244+DT245+DT248+DT249+DT250+DT256</f>
        <v>27254</v>
      </c>
      <c r="DU260" s="1272">
        <f>+DU244+DU245+DU248+DU249+DU250+DU256</f>
        <v>27139</v>
      </c>
      <c r="DV260" s="1272">
        <f t="shared" si="645"/>
        <v>27554</v>
      </c>
      <c r="DW260" s="1276">
        <f>+DW244+DW245+DW248+DW249+DW250+DW256</f>
        <v>27554</v>
      </c>
      <c r="DX260" s="1272">
        <f>+DX244+DX245+DX248+DX249+DX250+DX256</f>
        <v>26053</v>
      </c>
      <c r="DY260" s="1272">
        <f t="shared" si="655"/>
        <v>26355.617225985257</v>
      </c>
      <c r="DZ260" s="1276">
        <f>+DZ244+DZ245+DZ248+DZ249+DZ250+DZ256</f>
        <v>26355.617225985257</v>
      </c>
      <c r="EA260" s="1272">
        <f>+EA244+EA245+EA248+EA249+EA250+EA256</f>
        <v>26605.394185372497</v>
      </c>
      <c r="EB260" s="1272">
        <f t="shared" si="646"/>
        <v>26872.856259678592</v>
      </c>
      <c r="EC260" s="1276">
        <f>+EC244+EC245+EC248+EC249+EC250+EC256</f>
        <v>26872.856259678592</v>
      </c>
      <c r="ED260" s="1272">
        <f>+ED244+ED245+ED248+ED249+ED250+ED256</f>
        <v>27203.837450803869</v>
      </c>
      <c r="EE260" s="1272">
        <f t="shared" si="647"/>
        <v>27549.690022037779</v>
      </c>
      <c r="EF260" s="1276">
        <f>+EF244+EF245+EF248+EF249+EF250+EF256</f>
        <v>27549.690022037779</v>
      </c>
      <c r="EG260" s="1272">
        <f>+EG244+EG245+EG248+EG249+EG250+EG256</f>
        <v>27876.566330284593</v>
      </c>
      <c r="EH260" s="1272">
        <f t="shared" si="648"/>
        <v>28222.848326449315</v>
      </c>
      <c r="EI260" s="1276">
        <f>+EI244+EI245+EI248+EI249+EI250+EI256</f>
        <v>28222.848326449315</v>
      </c>
      <c r="EJ260" s="1272">
        <f>+EJ244+EJ245+EJ248+EJ249+EJ250+EJ256</f>
        <v>28467.932667564302</v>
      </c>
      <c r="EK260" s="1272">
        <f t="shared" si="649"/>
        <v>28743.176784392766</v>
      </c>
      <c r="EL260" s="1276">
        <f>+EL244+EL245+EL248+EL249+EL250+EL256</f>
        <v>28743.176784392766</v>
      </c>
      <c r="EM260" s="1272">
        <f>+EM244+EM245+EM248+EM249+EM250+EM256</f>
        <v>28895.353214639566</v>
      </c>
      <c r="EN260" s="1272">
        <f t="shared" si="650"/>
        <v>29087.750694202179</v>
      </c>
      <c r="EO260" s="1276">
        <f>+EO244+EO245+EO248+EO249+EO250+EO256</f>
        <v>29087.750694202179</v>
      </c>
      <c r="EP260" s="1272">
        <f>+EP244+EP245+EP248+EP249+EP250+EP256</f>
        <v>29248.690943743051</v>
      </c>
      <c r="EQ260" s="1272">
        <f t="shared" si="651"/>
        <v>29451.86245124237</v>
      </c>
      <c r="ER260" s="1276">
        <f>+ER244+ER245+ER248+ER249+ER250+ER256</f>
        <v>29451.86245124237</v>
      </c>
      <c r="ES260" s="1272">
        <f>+ES244+ES245+ES248+ES249+ES250+ES256</f>
        <v>29621.92846831205</v>
      </c>
      <c r="ET260" s="1272">
        <f t="shared" si="652"/>
        <v>29835.213624544846</v>
      </c>
      <c r="EU260" s="1276">
        <f>+EU244+EU245+EU248+EU249+EU250+EU256</f>
        <v>29835.213624544846</v>
      </c>
      <c r="EV260" s="1272">
        <f>+EV244+EV245+EV248+EV249+EV250+EV256</f>
        <v>30015.755458051914</v>
      </c>
      <c r="EW260" s="1272">
        <f t="shared" si="653"/>
        <v>30239.507252044161</v>
      </c>
      <c r="EX260" s="1276">
        <f>+EX244+EX245+EX248+EX249+EX250+EX256</f>
        <v>30239.507252044161</v>
      </c>
      <c r="EY260" s="1272">
        <f>+EY244+EY245+EY248+EY249+EY250+EY256</f>
        <v>30430.88862617423</v>
      </c>
      <c r="EZ260" s="1272">
        <f t="shared" si="654"/>
        <v>30665.474037720051</v>
      </c>
      <c r="FA260" s="1276">
        <f>+FA244+FA245+FA248+FA249+FA250+FA256</f>
        <v>30665.474037720051</v>
      </c>
      <c r="FD260"/>
      <c r="FE260"/>
      <c r="FF260"/>
      <c r="FG260"/>
      <c r="FH260"/>
      <c r="FI260"/>
      <c r="FJ260" s="33"/>
      <c r="FK260" s="33"/>
      <c r="FL260" s="33"/>
      <c r="FM260" s="33"/>
    </row>
    <row r="261" spans="2:169" s="61" customFormat="1">
      <c r="B261" s="60" t="s">
        <v>306</v>
      </c>
      <c r="C261" s="60"/>
      <c r="D261" s="1658" t="s">
        <v>506</v>
      </c>
      <c r="E261" s="1659">
        <f>+E242+E260</f>
        <v>0</v>
      </c>
      <c r="F261" s="1659">
        <f t="shared" si="605"/>
        <v>0</v>
      </c>
      <c r="G261" s="1659">
        <f>+G242+G260</f>
        <v>0</v>
      </c>
      <c r="H261" s="1659">
        <f>+H242+H260</f>
        <v>0</v>
      </c>
      <c r="I261" s="1659">
        <f t="shared" si="606"/>
        <v>0</v>
      </c>
      <c r="J261" s="1659">
        <f>+J242+J260</f>
        <v>0</v>
      </c>
      <c r="K261" s="1659">
        <f>+K242+K260</f>
        <v>0</v>
      </c>
      <c r="L261" s="1659">
        <f t="shared" si="607"/>
        <v>0</v>
      </c>
      <c r="M261" s="1659">
        <f>+M242+M260</f>
        <v>0</v>
      </c>
      <c r="N261" s="1659">
        <f>+N242+N260</f>
        <v>0</v>
      </c>
      <c r="O261" s="1659">
        <f t="shared" si="608"/>
        <v>0</v>
      </c>
      <c r="P261" s="1659">
        <f>+P242+P260</f>
        <v>0</v>
      </c>
      <c r="Q261" s="1659">
        <f>+Q242+Q260</f>
        <v>0</v>
      </c>
      <c r="R261" s="1659">
        <f t="shared" si="609"/>
        <v>0</v>
      </c>
      <c r="S261" s="1659">
        <f>+S242+S260</f>
        <v>0</v>
      </c>
      <c r="T261" s="1659">
        <f>+T242+T260</f>
        <v>0</v>
      </c>
      <c r="U261" s="1659">
        <f t="shared" si="610"/>
        <v>0</v>
      </c>
      <c r="V261" s="1659">
        <f>+V242+V260</f>
        <v>0</v>
      </c>
      <c r="W261" s="1659">
        <f>+W242+W260</f>
        <v>0</v>
      </c>
      <c r="X261" s="1659">
        <f t="shared" si="611"/>
        <v>0</v>
      </c>
      <c r="Y261" s="1659">
        <f>+Y242+Y260</f>
        <v>0</v>
      </c>
      <c r="Z261" s="1659">
        <f>+Z242+Z260</f>
        <v>0</v>
      </c>
      <c r="AA261" s="1659">
        <f t="shared" si="612"/>
        <v>0</v>
      </c>
      <c r="AB261" s="1659">
        <f>+AB242+AB260</f>
        <v>0</v>
      </c>
      <c r="AC261" s="1659">
        <f>+AC242+AC260</f>
        <v>0</v>
      </c>
      <c r="AD261" s="1659">
        <f t="shared" si="613"/>
        <v>0</v>
      </c>
      <c r="AE261" s="1659">
        <f>+AE242+AE260</f>
        <v>0</v>
      </c>
      <c r="AF261" s="1659">
        <f>+AF242+AF260</f>
        <v>0</v>
      </c>
      <c r="AG261" s="1659">
        <f t="shared" si="614"/>
        <v>0</v>
      </c>
      <c r="AH261" s="1659">
        <f>+AH242+AH260</f>
        <v>0</v>
      </c>
      <c r="AI261" s="1659">
        <f>+AI242+AI260</f>
        <v>0</v>
      </c>
      <c r="AJ261" s="1659">
        <f t="shared" si="615"/>
        <v>0</v>
      </c>
      <c r="AK261" s="1659">
        <f>+AK242+AK260</f>
        <v>0</v>
      </c>
      <c r="AL261" s="1659">
        <f>+AL242+AL260</f>
        <v>0</v>
      </c>
      <c r="AM261" s="1659">
        <f t="shared" si="616"/>
        <v>0</v>
      </c>
      <c r="AN261" s="1659">
        <f>+AN242+AN260</f>
        <v>0</v>
      </c>
      <c r="AO261" s="1659">
        <f>+AO242+AO260</f>
        <v>0</v>
      </c>
      <c r="AP261" s="1659">
        <f t="shared" si="617"/>
        <v>0</v>
      </c>
      <c r="AQ261" s="1659">
        <f>+AQ242+AQ260</f>
        <v>0</v>
      </c>
      <c r="AR261" s="1659">
        <f>+AR242+AR260</f>
        <v>0</v>
      </c>
      <c r="AS261" s="1659">
        <f t="shared" si="618"/>
        <v>0</v>
      </c>
      <c r="AT261" s="1659">
        <f>+AT242+AT260</f>
        <v>0</v>
      </c>
      <c r="AU261" s="1659">
        <f>+AU242+AU260</f>
        <v>0</v>
      </c>
      <c r="AV261" s="1659">
        <f t="shared" si="619"/>
        <v>0</v>
      </c>
      <c r="AW261" s="1659">
        <f>+AW242+AW260</f>
        <v>0</v>
      </c>
      <c r="AX261" s="1659">
        <f>+AX242+AX260</f>
        <v>0</v>
      </c>
      <c r="AY261" s="1659">
        <f t="shared" si="620"/>
        <v>0</v>
      </c>
      <c r="AZ261" s="1659">
        <f>+AZ242+AZ260</f>
        <v>0</v>
      </c>
      <c r="BA261" s="1659">
        <f>+BA242+BA260</f>
        <v>0</v>
      </c>
      <c r="BB261" s="1659">
        <f t="shared" si="621"/>
        <v>0</v>
      </c>
      <c r="BC261" s="1659">
        <f>+BC242+BC260</f>
        <v>0</v>
      </c>
      <c r="BD261" s="1659">
        <f>+BD242+BD260</f>
        <v>0</v>
      </c>
      <c r="BE261" s="1659">
        <f t="shared" si="622"/>
        <v>0</v>
      </c>
      <c r="BF261" s="1659">
        <f>+BF242+BF260</f>
        <v>0</v>
      </c>
      <c r="BG261" s="1659">
        <f>+BG242+BG260</f>
        <v>0</v>
      </c>
      <c r="BH261" s="1659">
        <f t="shared" si="623"/>
        <v>0</v>
      </c>
      <c r="BI261" s="1659">
        <f>+BI242+BI260</f>
        <v>0</v>
      </c>
      <c r="BJ261" s="1659">
        <f>+BJ242+BJ260</f>
        <v>0</v>
      </c>
      <c r="BK261" s="1659">
        <f t="shared" si="624"/>
        <v>0</v>
      </c>
      <c r="BL261" s="1659">
        <f>+BL242+BL260</f>
        <v>0</v>
      </c>
      <c r="BM261" s="1659">
        <f>+BM242+BM260</f>
        <v>0</v>
      </c>
      <c r="BN261" s="1659">
        <f t="shared" si="625"/>
        <v>0</v>
      </c>
      <c r="BO261" s="1659">
        <f>+BO242+BO260</f>
        <v>0</v>
      </c>
      <c r="BP261" s="1659">
        <f>+BP242+BP260</f>
        <v>0</v>
      </c>
      <c r="BQ261" s="1659">
        <f t="shared" si="626"/>
        <v>0</v>
      </c>
      <c r="BR261" s="1659">
        <f>+BR242+BR260</f>
        <v>0</v>
      </c>
      <c r="BS261" s="1659">
        <f>+BS242+BS260</f>
        <v>0</v>
      </c>
      <c r="BT261" s="1659">
        <f t="shared" si="627"/>
        <v>0</v>
      </c>
      <c r="BU261" s="1659">
        <f>+BU242+BU260</f>
        <v>0</v>
      </c>
      <c r="BV261" s="1659">
        <f>+BV242+BV260</f>
        <v>0</v>
      </c>
      <c r="BW261" s="1659">
        <f t="shared" si="628"/>
        <v>4517</v>
      </c>
      <c r="BX261" s="1659">
        <f>+BX242+BX260</f>
        <v>4517</v>
      </c>
      <c r="BY261" s="1659">
        <f>+BY242+BY260</f>
        <v>0</v>
      </c>
      <c r="BZ261" s="1659">
        <f t="shared" si="629"/>
        <v>5978</v>
      </c>
      <c r="CA261" s="1659">
        <f>+CA242+CA260</f>
        <v>5978</v>
      </c>
      <c r="CB261" s="1659">
        <f>+CB242+CB260</f>
        <v>0</v>
      </c>
      <c r="CC261" s="1659">
        <f t="shared" si="630"/>
        <v>4864</v>
      </c>
      <c r="CD261" s="1659">
        <f>+CD242+CD260</f>
        <v>4864</v>
      </c>
      <c r="CE261" s="1659">
        <f>+CE242+CE260</f>
        <v>0</v>
      </c>
      <c r="CF261" s="1659">
        <f t="shared" si="631"/>
        <v>5445</v>
      </c>
      <c r="CG261" s="1659">
        <f>+CG242+CG260</f>
        <v>5445</v>
      </c>
      <c r="CH261" s="1659">
        <f>+CH242+CH260</f>
        <v>5844.3819999999996</v>
      </c>
      <c r="CI261" s="1659">
        <f t="shared" si="632"/>
        <v>5819.2999999999993</v>
      </c>
      <c r="CJ261" s="1659">
        <f>+CJ242+CJ260</f>
        <v>5819.2999999999993</v>
      </c>
      <c r="CK261" s="1659">
        <f>+CK242+CK260</f>
        <v>5975.5</v>
      </c>
      <c r="CL261" s="1659">
        <f t="shared" si="633"/>
        <v>5975.5</v>
      </c>
      <c r="CM261" s="1659">
        <f>+CM242+CM260</f>
        <v>5975.5</v>
      </c>
      <c r="CN261" s="1659">
        <f>+CN242+CN260</f>
        <v>6237.4</v>
      </c>
      <c r="CO261" s="1659">
        <f t="shared" si="634"/>
        <v>6277.7</v>
      </c>
      <c r="CP261" s="1659">
        <f>+CP242+CP260</f>
        <v>6277.7</v>
      </c>
      <c r="CQ261" s="1659">
        <f>+CQ242+CQ260</f>
        <v>6523.3</v>
      </c>
      <c r="CR261" s="1659">
        <f t="shared" si="635"/>
        <v>6401</v>
      </c>
      <c r="CS261" s="1659">
        <f>+CS242+CS260</f>
        <v>6401</v>
      </c>
      <c r="CT261" s="1659">
        <f>+CT242+CT260</f>
        <v>7502.2000000000007</v>
      </c>
      <c r="CU261" s="1659">
        <f t="shared" si="636"/>
        <v>7562.7</v>
      </c>
      <c r="CV261" s="1659">
        <f>+CV242+CV260</f>
        <v>7562.7</v>
      </c>
      <c r="CW261" s="1659">
        <f>+CW242+CW260</f>
        <v>8129.6</v>
      </c>
      <c r="CX261" s="1659">
        <f t="shared" si="637"/>
        <v>9122.7000000000007</v>
      </c>
      <c r="CY261" s="1659">
        <f>+CY242+CY260</f>
        <v>9122.7000000000007</v>
      </c>
      <c r="CZ261" s="1659">
        <f>+CZ242+CZ260</f>
        <v>10399.599999999999</v>
      </c>
      <c r="DA261" s="1659">
        <f t="shared" si="638"/>
        <v>10774.5</v>
      </c>
      <c r="DB261" s="1659">
        <f>+DB242+DB260</f>
        <v>10774.5</v>
      </c>
      <c r="DC261" s="1659">
        <f>+DC242+DC260</f>
        <v>11531.6</v>
      </c>
      <c r="DD261" s="1659">
        <f t="shared" si="639"/>
        <v>12314.400000000001</v>
      </c>
      <c r="DE261" s="1660">
        <f>+DE242+DE260</f>
        <v>12314.400000000001</v>
      </c>
      <c r="DF261" s="1659">
        <f>+DF242+DF260</f>
        <v>14074.599999999999</v>
      </c>
      <c r="DG261" s="1659">
        <f t="shared" si="640"/>
        <v>15464.689999999999</v>
      </c>
      <c r="DH261" s="1660">
        <f>+DH242+DH260</f>
        <v>15464.689999999999</v>
      </c>
      <c r="DI261" s="1659">
        <f>+DI242+DI260</f>
        <v>17691.399999999998</v>
      </c>
      <c r="DJ261" s="1659">
        <f t="shared" si="641"/>
        <v>18156.900000000001</v>
      </c>
      <c r="DK261" s="1660">
        <f>+DK242+DK260</f>
        <v>18156.900000000001</v>
      </c>
      <c r="DL261" s="1272">
        <f>+DL242+DL260</f>
        <v>23439.599999999999</v>
      </c>
      <c r="DM261" s="1272">
        <f t="shared" si="642"/>
        <v>28345.999999999996</v>
      </c>
      <c r="DN261" s="1276">
        <f>+DN242+DN260</f>
        <v>28345.999999999996</v>
      </c>
      <c r="DO261" s="1272">
        <f>+DO242+DO260</f>
        <v>35447.599999999999</v>
      </c>
      <c r="DP261" s="1272">
        <f t="shared" si="643"/>
        <v>36234</v>
      </c>
      <c r="DQ261" s="1276">
        <f>+DQ242+DQ260</f>
        <v>36234</v>
      </c>
      <c r="DR261" s="1272">
        <f>+DR242+DR260</f>
        <v>37304</v>
      </c>
      <c r="DS261" s="1272">
        <f t="shared" si="644"/>
        <v>38022</v>
      </c>
      <c r="DT261" s="1276">
        <f>+DT242+DT260</f>
        <v>38022</v>
      </c>
      <c r="DU261" s="1272">
        <f>+DU242+DU260</f>
        <v>38447</v>
      </c>
      <c r="DV261" s="1272">
        <f t="shared" si="645"/>
        <v>39404</v>
      </c>
      <c r="DW261" s="1276">
        <f>+DW242+DW260</f>
        <v>39404</v>
      </c>
      <c r="DX261" s="1272">
        <f>+DX242+DX260</f>
        <v>37902</v>
      </c>
      <c r="DY261" s="1272">
        <f t="shared" si="655"/>
        <v>39014.544867998004</v>
      </c>
      <c r="DZ261" s="1276">
        <f>+DZ242+DZ260</f>
        <v>39014.544867998004</v>
      </c>
      <c r="EA261" s="1272">
        <f>+EA242+EA260</f>
        <v>39338.3709176919</v>
      </c>
      <c r="EB261" s="1272">
        <f t="shared" si="646"/>
        <v>40477.649529126735</v>
      </c>
      <c r="EC261" s="1276">
        <f>+EC242+EC260</f>
        <v>40477.649529126735</v>
      </c>
      <c r="ED261" s="1272">
        <f>+ED242+ED260</f>
        <v>41018.449248686586</v>
      </c>
      <c r="EE261" s="1272">
        <f t="shared" si="647"/>
        <v>42254.988526524874</v>
      </c>
      <c r="EF261" s="1276">
        <f>+EF242+EF260</f>
        <v>42254.988526524874</v>
      </c>
      <c r="EG261" s="1272">
        <f>+EG242+EG260</f>
        <v>43328.954976317407</v>
      </c>
      <c r="EH261" s="1272">
        <f t="shared" si="648"/>
        <v>45082.375455772562</v>
      </c>
      <c r="EI261" s="1276">
        <f>+EI242+EI260</f>
        <v>45082.375455772562</v>
      </c>
      <c r="EJ261" s="1272">
        <f>+EJ242+EJ260</f>
        <v>46283.727249683696</v>
      </c>
      <c r="EK261" s="1272">
        <f t="shared" si="649"/>
        <v>48196.810659296607</v>
      </c>
      <c r="EL261" s="1276">
        <f>+EL242+EL260</f>
        <v>48196.810659296607</v>
      </c>
      <c r="EM261" s="1272">
        <f>+EM242+EM260</f>
        <v>49535.902988394053</v>
      </c>
      <c r="EN261" s="1272">
        <f t="shared" si="650"/>
        <v>51567.478970598691</v>
      </c>
      <c r="EO261" s="1276">
        <f>+EO242+EO260</f>
        <v>51567.478970598691</v>
      </c>
      <c r="EP261" s="1272">
        <f>+EP242+EP260</f>
        <v>53070.34622996096</v>
      </c>
      <c r="EQ261" s="1272">
        <f t="shared" si="651"/>
        <v>55257.276046589046</v>
      </c>
      <c r="ER261" s="1276">
        <f>+ER242+ER260</f>
        <v>55257.276046589046</v>
      </c>
      <c r="ES261" s="1272">
        <f>+ES242+ES260</f>
        <v>56903.01156887495</v>
      </c>
      <c r="ET261" s="1272">
        <f t="shared" si="652"/>
        <v>59227.536395664334</v>
      </c>
      <c r="EU261" s="1276">
        <f>+EU242+EU260</f>
        <v>59227.536395664334</v>
      </c>
      <c r="EV261" s="1272">
        <f>+EV242+EV260</f>
        <v>61005.929157403989</v>
      </c>
      <c r="EW261" s="1272">
        <f t="shared" si="653"/>
        <v>63448.529388392097</v>
      </c>
      <c r="EX261" s="1276">
        <f>+EX242+EX260</f>
        <v>63448.529388392097</v>
      </c>
      <c r="EY261" s="1272">
        <f>+EY242+EY260</f>
        <v>65389.379485308891</v>
      </c>
      <c r="EZ261" s="1272">
        <f t="shared" si="654"/>
        <v>67955.248566490161</v>
      </c>
      <c r="FA261" s="1276">
        <f>+FA242+FA260</f>
        <v>67955.248566490161</v>
      </c>
      <c r="FD261"/>
      <c r="FE261"/>
      <c r="FF261"/>
      <c r="FG261"/>
      <c r="FH261"/>
      <c r="FI261"/>
      <c r="FJ261" s="33"/>
      <c r="FK261" s="33"/>
      <c r="FL261" s="33"/>
      <c r="FM261" s="33"/>
    </row>
    <row r="262" spans="2:169" s="33" customFormat="1">
      <c r="B262" s="54"/>
      <c r="C262" s="54"/>
      <c r="D262" s="2"/>
      <c r="E262" s="32"/>
      <c r="F262" s="32"/>
      <c r="G262" s="32"/>
      <c r="H262" s="32"/>
      <c r="I262" s="32"/>
      <c r="J262" s="32"/>
      <c r="K262" s="32"/>
      <c r="L262" s="32"/>
      <c r="M262" s="32"/>
      <c r="N262" s="32"/>
      <c r="O262" s="32"/>
      <c r="P262" s="32"/>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32"/>
      <c r="BD262" s="32"/>
      <c r="BE262" s="32"/>
      <c r="BF262" s="32"/>
      <c r="BG262" s="32"/>
      <c r="BH262" s="32"/>
      <c r="BI262" s="32"/>
      <c r="BJ262" s="32"/>
      <c r="BK262" s="32"/>
      <c r="BL262" s="32"/>
      <c r="BM262" s="32"/>
      <c r="BN262" s="32"/>
      <c r="BO262" s="32"/>
      <c r="BP262" s="32"/>
      <c r="BQ262" s="32"/>
      <c r="BR262" s="32"/>
      <c r="BS262" s="32"/>
      <c r="BT262" s="32"/>
      <c r="BU262" s="32"/>
      <c r="BV262" s="32"/>
      <c r="BW262" s="32"/>
      <c r="BX262" s="32"/>
      <c r="BY262" s="32"/>
      <c r="BZ262" s="32"/>
      <c r="CA262" s="32"/>
      <c r="CB262" s="32"/>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c r="DA262" s="32"/>
      <c r="DB262" s="32"/>
      <c r="DC262" s="32"/>
      <c r="DD262" s="32"/>
      <c r="DE262" s="1061"/>
      <c r="DF262" s="32"/>
      <c r="DG262" s="32"/>
      <c r="DH262" s="1061"/>
      <c r="DI262" s="32"/>
      <c r="DJ262" s="32"/>
      <c r="DK262" s="1061"/>
      <c r="DL262" s="32"/>
      <c r="DM262" s="32"/>
      <c r="DN262" s="1061"/>
      <c r="DO262" s="32"/>
      <c r="DP262" s="32"/>
      <c r="DQ262" s="1061"/>
      <c r="DR262" s="32"/>
      <c r="DS262" s="32"/>
      <c r="DT262" s="1061"/>
      <c r="DU262" s="32"/>
      <c r="DV262" s="32"/>
      <c r="DW262" s="1061"/>
      <c r="DX262" s="32"/>
      <c r="DY262" s="32"/>
      <c r="DZ262" s="1061"/>
      <c r="EA262" s="32"/>
      <c r="EB262" s="32"/>
      <c r="EC262" s="1061"/>
      <c r="ED262" s="32"/>
      <c r="EE262" s="32"/>
      <c r="EF262" s="1061"/>
      <c r="EG262" s="32"/>
      <c r="EH262" s="32"/>
      <c r="EI262" s="1061"/>
      <c r="EJ262" s="32"/>
      <c r="EK262" s="32"/>
      <c r="EL262" s="1061"/>
      <c r="EM262" s="32"/>
      <c r="EN262" s="32"/>
      <c r="EO262" s="1061"/>
      <c r="EP262" s="32"/>
      <c r="EQ262" s="32"/>
      <c r="ER262" s="1061"/>
      <c r="ES262" s="32"/>
      <c r="ET262" s="32"/>
      <c r="EU262" s="1061"/>
      <c r="EV262" s="32"/>
      <c r="EW262" s="32"/>
      <c r="EX262" s="1061"/>
      <c r="EY262" s="32"/>
      <c r="EZ262" s="32"/>
      <c r="FA262" s="1061"/>
      <c r="FD262"/>
      <c r="FE262"/>
      <c r="FF262"/>
      <c r="FG262"/>
      <c r="FH262"/>
      <c r="FI262"/>
    </row>
    <row r="263" spans="2:169" s="33" customFormat="1" ht="13.5" thickBot="1">
      <c r="B263" s="54" t="s">
        <v>490</v>
      </c>
      <c r="C263" s="54"/>
      <c r="D263" s="2" t="s">
        <v>506</v>
      </c>
      <c r="E263" s="32">
        <f>+SUM(E264:E265)</f>
        <v>0</v>
      </c>
      <c r="F263" s="32">
        <f t="shared" ref="F263:F283" si="656">+G263</f>
        <v>0</v>
      </c>
      <c r="G263" s="32">
        <f>+SUM(G264:G265)</f>
        <v>0</v>
      </c>
      <c r="H263" s="32">
        <f>+SUM(H264:H265)</f>
        <v>0</v>
      </c>
      <c r="I263" s="32">
        <f t="shared" ref="I263:I283" si="657">+J263</f>
        <v>0</v>
      </c>
      <c r="J263" s="32">
        <f>+SUM(J264:J265)</f>
        <v>0</v>
      </c>
      <c r="K263" s="32">
        <f>+SUM(K264:K265)</f>
        <v>0</v>
      </c>
      <c r="L263" s="32">
        <f t="shared" ref="L263:L283" si="658">+M263</f>
        <v>0</v>
      </c>
      <c r="M263" s="32">
        <f>+SUM(M264:M265)</f>
        <v>0</v>
      </c>
      <c r="N263" s="32">
        <f>+SUM(N264:N265)</f>
        <v>0</v>
      </c>
      <c r="O263" s="32">
        <f t="shared" ref="O263:O283" si="659">+P263</f>
        <v>0</v>
      </c>
      <c r="P263" s="32">
        <f>+SUM(P264:P265)</f>
        <v>0</v>
      </c>
      <c r="Q263" s="32">
        <f>+SUM(Q264:Q265)</f>
        <v>0</v>
      </c>
      <c r="R263" s="32">
        <f t="shared" ref="R263:R283" si="660">+S263</f>
        <v>0</v>
      </c>
      <c r="S263" s="1254">
        <f>+SUM(S264:S265)</f>
        <v>0</v>
      </c>
      <c r="T263" s="32">
        <f>+SUM(T264:T265)</f>
        <v>0</v>
      </c>
      <c r="U263" s="32">
        <f t="shared" ref="U263:U283" si="661">+V263</f>
        <v>0</v>
      </c>
      <c r="V263" s="32">
        <f>+SUM(V264:V265)</f>
        <v>0</v>
      </c>
      <c r="W263" s="32">
        <f>+SUM(W264:W265)</f>
        <v>0</v>
      </c>
      <c r="X263" s="32">
        <f t="shared" ref="X263:X283" si="662">+Y263</f>
        <v>0</v>
      </c>
      <c r="Y263" s="32">
        <f>+SUM(Y264:Y265)</f>
        <v>0</v>
      </c>
      <c r="Z263" s="32">
        <f>+SUM(Z264:Z265)</f>
        <v>0</v>
      </c>
      <c r="AA263" s="32">
        <f t="shared" ref="AA263:AA283" si="663">+AB263</f>
        <v>0</v>
      </c>
      <c r="AB263" s="32">
        <f>+SUM(AB264:AB265)</f>
        <v>0</v>
      </c>
      <c r="AC263" s="32">
        <f>+SUM(AC264:AC265)</f>
        <v>0</v>
      </c>
      <c r="AD263" s="32">
        <f t="shared" ref="AD263:AD283" si="664">+AE263</f>
        <v>0</v>
      </c>
      <c r="AE263" s="32">
        <f>+SUM(AE264:AE265)</f>
        <v>0</v>
      </c>
      <c r="AF263" s="32">
        <f>+SUM(AF264:AF265)</f>
        <v>0</v>
      </c>
      <c r="AG263" s="32">
        <f t="shared" ref="AG263:AG283" si="665">+AH263</f>
        <v>0</v>
      </c>
      <c r="AH263" s="32">
        <f>+SUM(AH264:AH265)</f>
        <v>0</v>
      </c>
      <c r="AI263" s="32">
        <f>+SUM(AI264:AI265)</f>
        <v>0</v>
      </c>
      <c r="AJ263" s="32">
        <f t="shared" ref="AJ263:AJ283" si="666">+AK263</f>
        <v>0</v>
      </c>
      <c r="AK263" s="32">
        <f>+SUM(AK264:AK265)</f>
        <v>0</v>
      </c>
      <c r="AL263" s="32">
        <f>+SUM(AL264:AL265)</f>
        <v>0</v>
      </c>
      <c r="AM263" s="32">
        <f t="shared" ref="AM263:AM283" si="667">+AN263</f>
        <v>0</v>
      </c>
      <c r="AN263" s="32">
        <f>+SUM(AN264:AN265)</f>
        <v>0</v>
      </c>
      <c r="AO263" s="32">
        <f>+SUM(AO264:AO265)</f>
        <v>0</v>
      </c>
      <c r="AP263" s="32">
        <f t="shared" ref="AP263:AP283" si="668">+AQ263</f>
        <v>0</v>
      </c>
      <c r="AQ263" s="32">
        <f>+SUM(AQ264:AQ265)</f>
        <v>0</v>
      </c>
      <c r="AR263" s="32">
        <f>+SUM(AR264:AR265)</f>
        <v>0</v>
      </c>
      <c r="AS263" s="32">
        <f t="shared" ref="AS263:AS283" si="669">+AT263</f>
        <v>0</v>
      </c>
      <c r="AT263" s="32">
        <f>+SUM(AT264:AT265)</f>
        <v>0</v>
      </c>
      <c r="AU263" s="32">
        <f>+SUM(AU264:AU265)</f>
        <v>0</v>
      </c>
      <c r="AV263" s="32">
        <f t="shared" ref="AV263:AV283" si="670">+AW263</f>
        <v>0</v>
      </c>
      <c r="AW263" s="32">
        <f>+SUM(AW264:AW265)</f>
        <v>0</v>
      </c>
      <c r="AX263" s="32">
        <f>+SUM(AX264:AX265)</f>
        <v>0</v>
      </c>
      <c r="AY263" s="32">
        <f t="shared" ref="AY263:AY283" si="671">+AZ263</f>
        <v>0</v>
      </c>
      <c r="AZ263" s="32">
        <f>+SUM(AZ264:AZ265)</f>
        <v>0</v>
      </c>
      <c r="BA263" s="32">
        <f>+SUM(BA264:BA265)</f>
        <v>0</v>
      </c>
      <c r="BB263" s="32">
        <f t="shared" ref="BB263:BB283" si="672">+BC263</f>
        <v>0</v>
      </c>
      <c r="BC263" s="32">
        <f>+SUM(BC264:BC265)</f>
        <v>0</v>
      </c>
      <c r="BD263" s="32">
        <f>+SUM(BD264:BD265)</f>
        <v>0</v>
      </c>
      <c r="BE263" s="32">
        <f t="shared" ref="BE263:BE283" si="673">+BF263</f>
        <v>0</v>
      </c>
      <c r="BF263" s="32">
        <f>+SUM(BF264:BF265)</f>
        <v>0</v>
      </c>
      <c r="BG263" s="32">
        <f>+SUM(BG264:BG265)</f>
        <v>0</v>
      </c>
      <c r="BH263" s="32">
        <f t="shared" ref="BH263:BH283" si="674">+BI263</f>
        <v>0</v>
      </c>
      <c r="BI263" s="32">
        <f>+SUM(BI264:BI265)</f>
        <v>0</v>
      </c>
      <c r="BJ263" s="32">
        <f>+SUM(BJ264:BJ265)</f>
        <v>0</v>
      </c>
      <c r="BK263" s="32">
        <f t="shared" ref="BK263:BK283" si="675">+BL263</f>
        <v>0</v>
      </c>
      <c r="BL263" s="32">
        <f>+SUM(BL264:BL265)</f>
        <v>0</v>
      </c>
      <c r="BM263" s="32">
        <f>+SUM(BM264:BM265)</f>
        <v>0</v>
      </c>
      <c r="BN263" s="32">
        <f t="shared" ref="BN263:BN283" si="676">+BO263</f>
        <v>0</v>
      </c>
      <c r="BO263" s="32">
        <f>+SUM(BO264:BO265)</f>
        <v>0</v>
      </c>
      <c r="BP263" s="32">
        <f>+SUM(BP264:BP265)</f>
        <v>0</v>
      </c>
      <c r="BQ263" s="32">
        <f t="shared" ref="BQ263:BQ283" si="677">+BR263</f>
        <v>0</v>
      </c>
      <c r="BR263" s="32">
        <f>+SUM(BR264:BR265)</f>
        <v>0</v>
      </c>
      <c r="BS263" s="32">
        <f>+SUM(BS264:BS265)</f>
        <v>0</v>
      </c>
      <c r="BT263" s="32">
        <f t="shared" ref="BT263:BT283" si="678">+BU263</f>
        <v>0</v>
      </c>
      <c r="BU263" s="32">
        <f>+SUM(BU264:BU265)</f>
        <v>0</v>
      </c>
      <c r="BV263" s="32">
        <f>+SUM(BV264:BV265)</f>
        <v>0</v>
      </c>
      <c r="BW263" s="32">
        <f t="shared" ref="BW263:BW283" si="679">+BX263</f>
        <v>423</v>
      </c>
      <c r="BX263" s="32">
        <f>+SUM(BX264:BX265)</f>
        <v>423</v>
      </c>
      <c r="BY263" s="32">
        <f>+SUM(BY264:BY265)</f>
        <v>0</v>
      </c>
      <c r="BZ263" s="32">
        <f t="shared" ref="BZ263:BZ283" si="680">+CA263</f>
        <v>539</v>
      </c>
      <c r="CA263" s="32">
        <f>+SUM(CA264:CA265)</f>
        <v>539</v>
      </c>
      <c r="CB263" s="32">
        <f>+SUM(CB264:CB265)</f>
        <v>0</v>
      </c>
      <c r="CC263" s="32">
        <f t="shared" ref="CC263:CC283" si="681">+CD263</f>
        <v>413</v>
      </c>
      <c r="CD263" s="32">
        <f>+SUM(CD264:CD265)</f>
        <v>413</v>
      </c>
      <c r="CE263" s="32">
        <f>+SUM(CE264:CE265)</f>
        <v>0</v>
      </c>
      <c r="CF263" s="32">
        <f t="shared" ref="CF263:CF283" si="682">+CG263</f>
        <v>530</v>
      </c>
      <c r="CG263" s="32">
        <f>+SUM(CG264:CG265)</f>
        <v>530</v>
      </c>
      <c r="CH263" s="32">
        <f>+SUM(CH264:CH265)</f>
        <v>423.911</v>
      </c>
      <c r="CI263" s="32">
        <f t="shared" ref="CI263:CI283" si="683">+CJ263</f>
        <v>528.9</v>
      </c>
      <c r="CJ263" s="32">
        <f>+SUM(CJ264:CJ265)</f>
        <v>528.9</v>
      </c>
      <c r="CK263" s="32">
        <f>+SUM(CK264:CK265)</f>
        <v>647.9</v>
      </c>
      <c r="CL263" s="32">
        <f t="shared" ref="CL263:CL283" si="684">+CM263</f>
        <v>647.9</v>
      </c>
      <c r="CM263" s="32">
        <f>+SUM(CM264:CM265)</f>
        <v>647.9</v>
      </c>
      <c r="CN263" s="32">
        <f>+SUM(CN264:CN265)</f>
        <v>546.5</v>
      </c>
      <c r="CO263" s="32">
        <f t="shared" ref="CO263:CO283" si="685">+CP263</f>
        <v>631.4</v>
      </c>
      <c r="CP263" s="32">
        <f>+SUM(CP264:CP265)</f>
        <v>631.4</v>
      </c>
      <c r="CQ263" s="32">
        <f>+SUM(CQ264:CQ265)</f>
        <v>626.4</v>
      </c>
      <c r="CR263" s="32">
        <f t="shared" ref="CR263:CR283" si="686">+CS263</f>
        <v>700.8</v>
      </c>
      <c r="CS263" s="32">
        <f>+SUM(CS264:CS265)</f>
        <v>700.8</v>
      </c>
      <c r="CT263" s="32">
        <f>+SUM(CT264:CT265)</f>
        <v>904.9</v>
      </c>
      <c r="CU263" s="32">
        <f t="shared" ref="CU263:CU283" si="687">+CV263</f>
        <v>996.1</v>
      </c>
      <c r="CV263" s="32">
        <f>+SUM(CV264:CV265)</f>
        <v>996.1</v>
      </c>
      <c r="CW263" s="32">
        <f>+SUM(CW264:CW265)</f>
        <v>976.4</v>
      </c>
      <c r="CX263" s="32">
        <f t="shared" ref="CX263:CX283" si="688">+CY263</f>
        <v>1155.8</v>
      </c>
      <c r="CY263" s="32">
        <f>+SUM(CY264:CY265)</f>
        <v>1155.8</v>
      </c>
      <c r="CZ263" s="32">
        <f>+SUM(CZ264:CZ265)</f>
        <v>1016.7</v>
      </c>
      <c r="DA263" s="32">
        <f t="shared" ref="DA263:DA283" si="689">+DB263</f>
        <v>1256.8</v>
      </c>
      <c r="DB263" s="32">
        <f>+SUM(DB264:DB265)</f>
        <v>1256.8</v>
      </c>
      <c r="DC263" s="32">
        <f>+SUM(DC264:DC265)</f>
        <v>1105.2</v>
      </c>
      <c r="DD263" s="32">
        <f t="shared" ref="DD263:DD283" si="690">+DE263</f>
        <v>1407.7</v>
      </c>
      <c r="DE263" s="1061">
        <f>+SUM(DE264:DE265)</f>
        <v>1407.7</v>
      </c>
      <c r="DF263" s="32">
        <f>+SUM(DF264:DF265)</f>
        <v>1359.8</v>
      </c>
      <c r="DG263" s="32">
        <f t="shared" ref="DG263:DG283" si="691">+DH263</f>
        <v>1525.4</v>
      </c>
      <c r="DH263" s="1061">
        <f>+SUM(DH264:DH265)</f>
        <v>1525.4</v>
      </c>
      <c r="DI263" s="32">
        <f>+SUM(DI264:DI265)</f>
        <v>1620.5</v>
      </c>
      <c r="DJ263" s="32">
        <f t="shared" ref="DJ263:DJ283" si="692">+DK263</f>
        <v>2039.7</v>
      </c>
      <c r="DK263" s="1061">
        <f>+SUM(DK264:DK265)</f>
        <v>2039.7</v>
      </c>
      <c r="DL263" s="32">
        <f>+SUM(DL264:DL265)</f>
        <v>1726.5</v>
      </c>
      <c r="DM263" s="32">
        <f t="shared" ref="DM263:DM283" si="693">+DN263</f>
        <v>2301.1999999999998</v>
      </c>
      <c r="DN263" s="1061">
        <f>+SUM(DN264:DN265)</f>
        <v>2301.1999999999998</v>
      </c>
      <c r="DO263" s="32">
        <f>+SUM(DO264:DO265)</f>
        <v>2559</v>
      </c>
      <c r="DP263" s="32">
        <f t="shared" ref="DP263:DP283" si="694">+DQ263</f>
        <v>2947</v>
      </c>
      <c r="DQ263" s="1061">
        <f>+SUM(DQ264:DQ265)</f>
        <v>2947</v>
      </c>
      <c r="DR263" s="32">
        <f>+SUM(DR264:DR265)</f>
        <v>2897</v>
      </c>
      <c r="DS263" s="32">
        <f t="shared" ref="DS263:DS283" si="695">+DT263</f>
        <v>3345</v>
      </c>
      <c r="DT263" s="1061">
        <f>+SUM(DT264:DT265)</f>
        <v>3345</v>
      </c>
      <c r="DU263" s="32">
        <f>+SUM(DU264:DU265)</f>
        <v>2977</v>
      </c>
      <c r="DV263" s="32">
        <f t="shared" ref="DV263:DV271" si="696">+DW263</f>
        <v>3461</v>
      </c>
      <c r="DW263" s="1061">
        <f>+SUM(DW264:DW265)</f>
        <v>3461</v>
      </c>
      <c r="DX263" s="32">
        <f>+SUM(DX264:DX265)</f>
        <v>3171</v>
      </c>
      <c r="DY263" s="32">
        <f t="shared" ref="DY263:DY283" si="697">+DZ263</f>
        <v>3869.2968137170674</v>
      </c>
      <c r="DZ263" s="1061">
        <f>+SUM(DZ264:DZ265)</f>
        <v>3869.2968137170674</v>
      </c>
      <c r="EA263" s="32">
        <f>+SUM(EA264:EA265)</f>
        <v>3284.7010304711407</v>
      </c>
      <c r="EB263" s="32">
        <f t="shared" ref="EB263:EB283" si="698">+EC263</f>
        <v>4042.9417235029327</v>
      </c>
      <c r="EC263" s="1061">
        <f>+SUM(EC264:EC265)</f>
        <v>4042.9417235029327</v>
      </c>
      <c r="ED263" s="32">
        <f>+SUM(ED264:ED265)</f>
        <v>3436.1260706534304</v>
      </c>
      <c r="EE263" s="32">
        <f t="shared" ref="EE263:EE271" si="699">+EF263</f>
        <v>4220.3983738569013</v>
      </c>
      <c r="EF263" s="1061">
        <f>+SUM(EF264:EF265)</f>
        <v>4220.3983738569013</v>
      </c>
      <c r="EG263" s="32">
        <f>+SUM(EG264:EG265)</f>
        <v>3636.9326356158786</v>
      </c>
      <c r="EH263" s="32">
        <f t="shared" ref="EH263:EH271" si="700">+EI263</f>
        <v>4437.8353974432439</v>
      </c>
      <c r="EI263" s="1061">
        <f>+SUM(EI264:EI265)</f>
        <v>4437.8353974432439</v>
      </c>
      <c r="EJ263" s="32">
        <f>+SUM(EJ264:EJ265)</f>
        <v>3852.2072112988558</v>
      </c>
      <c r="EK263" s="32">
        <f t="shared" ref="EK263:EK271" si="701">+EL263</f>
        <v>4670.6417583154534</v>
      </c>
      <c r="EL263" s="1061">
        <f>+SUM(EL264:EL265)</f>
        <v>4670.6417583154534</v>
      </c>
      <c r="EM263" s="32">
        <f>+SUM(EM264:EM265)</f>
        <v>4063.4658533349916</v>
      </c>
      <c r="EN263" s="32">
        <f t="shared" ref="EN263:EN271" si="702">+EO263</f>
        <v>4878.1541797106338</v>
      </c>
      <c r="EO263" s="1061">
        <f>+SUM(EO264:EO265)</f>
        <v>4878.1541797106338</v>
      </c>
      <c r="EP263" s="32">
        <f>+SUM(EP264:EP265)</f>
        <v>4283.3311526513944</v>
      </c>
      <c r="EQ263" s="32">
        <f t="shared" ref="EQ263:EQ271" si="703">+ER263</f>
        <v>5099.7739182416381</v>
      </c>
      <c r="ER263" s="1061">
        <f>+SUM(ER264:ER265)</f>
        <v>5099.7739182416381</v>
      </c>
      <c r="ES263" s="32">
        <f>+SUM(ES264:ES265)</f>
        <v>4521.1739234456563</v>
      </c>
      <c r="ET263" s="32">
        <f t="shared" ref="ET263:ET271" si="704">+EU263</f>
        <v>5335.3337760896329</v>
      </c>
      <c r="EU263" s="1061">
        <f>+SUM(EU264:EU265)</f>
        <v>5335.3337760896329</v>
      </c>
      <c r="EV263" s="32">
        <f>+SUM(EV264:EV265)</f>
        <v>4773.77333440645</v>
      </c>
      <c r="EW263" s="32">
        <f t="shared" ref="EW263:EW271" si="705">+EX263</f>
        <v>5582.8249527148027</v>
      </c>
      <c r="EX263" s="1061">
        <f>+SUM(EX264:EX265)</f>
        <v>5582.8249527148027</v>
      </c>
      <c r="EY263" s="32">
        <f>+SUM(EY264:EY265)</f>
        <v>5042.0962792692435</v>
      </c>
      <c r="EZ263" s="32">
        <f t="shared" ref="EZ263:EZ271" si="706">+FA263</f>
        <v>5842.8444741063058</v>
      </c>
      <c r="FA263" s="1061">
        <f>+SUM(FA264:FA265)</f>
        <v>5842.8444741063058</v>
      </c>
      <c r="FD263"/>
      <c r="FE263"/>
      <c r="FF263"/>
      <c r="FG263"/>
      <c r="FH263"/>
      <c r="FI263"/>
    </row>
    <row r="264" spans="2:169" s="33" customFormat="1" outlineLevel="1">
      <c r="B264" s="54" t="s">
        <v>491</v>
      </c>
      <c r="C264" s="54"/>
      <c r="D264" s="2" t="s">
        <v>506</v>
      </c>
      <c r="E264" s="1183"/>
      <c r="F264" s="1192">
        <f t="shared" si="656"/>
        <v>0</v>
      </c>
      <c r="G264" s="1215"/>
      <c r="H264" s="1185"/>
      <c r="I264" s="1192">
        <f t="shared" si="657"/>
        <v>0</v>
      </c>
      <c r="J264" s="1215"/>
      <c r="K264" s="1185"/>
      <c r="L264" s="1192">
        <f t="shared" si="658"/>
        <v>0</v>
      </c>
      <c r="M264" s="1215"/>
      <c r="N264" s="1185"/>
      <c r="O264" s="1192">
        <f t="shared" si="659"/>
        <v>0</v>
      </c>
      <c r="P264" s="1215"/>
      <c r="Q264" s="1185"/>
      <c r="R264" s="1192">
        <f t="shared" si="660"/>
        <v>0</v>
      </c>
      <c r="S264" s="1255"/>
      <c r="T264" s="1185"/>
      <c r="U264" s="1192">
        <f t="shared" si="661"/>
        <v>0</v>
      </c>
      <c r="V264" s="1215"/>
      <c r="W264" s="1185"/>
      <c r="X264" s="1192">
        <f t="shared" si="662"/>
        <v>0</v>
      </c>
      <c r="Y264" s="1215"/>
      <c r="Z264" s="1185"/>
      <c r="AA264" s="1192">
        <f t="shared" si="663"/>
        <v>0</v>
      </c>
      <c r="AB264" s="1215"/>
      <c r="AC264" s="1185"/>
      <c r="AD264" s="1192">
        <f t="shared" si="664"/>
        <v>0</v>
      </c>
      <c r="AE264" s="1215"/>
      <c r="AF264" s="1185"/>
      <c r="AG264" s="1192">
        <f t="shared" si="665"/>
        <v>0</v>
      </c>
      <c r="AH264" s="1215"/>
      <c r="AI264" s="1185"/>
      <c r="AJ264" s="1192">
        <f t="shared" si="666"/>
        <v>0</v>
      </c>
      <c r="AK264" s="1215"/>
      <c r="AL264" s="1185"/>
      <c r="AM264" s="1192">
        <f t="shared" si="667"/>
        <v>0</v>
      </c>
      <c r="AN264" s="1215"/>
      <c r="AO264" s="1185"/>
      <c r="AP264" s="1192">
        <f t="shared" si="668"/>
        <v>0</v>
      </c>
      <c r="AQ264" s="1215"/>
      <c r="AR264" s="1185"/>
      <c r="AS264" s="1192">
        <f t="shared" si="669"/>
        <v>0</v>
      </c>
      <c r="AT264" s="1215"/>
      <c r="AU264" s="1185"/>
      <c r="AV264" s="1192">
        <f t="shared" si="670"/>
        <v>0</v>
      </c>
      <c r="AW264" s="1215"/>
      <c r="AX264" s="1185"/>
      <c r="AY264" s="1192">
        <f t="shared" si="671"/>
        <v>0</v>
      </c>
      <c r="AZ264" s="1215"/>
      <c r="BA264" s="1185"/>
      <c r="BB264" s="1192">
        <f t="shared" si="672"/>
        <v>0</v>
      </c>
      <c r="BC264" s="1215"/>
      <c r="BD264" s="1185"/>
      <c r="BE264" s="1192">
        <f t="shared" si="673"/>
        <v>0</v>
      </c>
      <c r="BF264" s="1215"/>
      <c r="BG264" s="1185"/>
      <c r="BH264" s="1192">
        <f t="shared" si="674"/>
        <v>0</v>
      </c>
      <c r="BI264" s="1215"/>
      <c r="BJ264" s="1185"/>
      <c r="BK264" s="1192">
        <f t="shared" si="675"/>
        <v>0</v>
      </c>
      <c r="BL264" s="1215"/>
      <c r="BM264" s="1185"/>
      <c r="BN264" s="1192">
        <f t="shared" si="676"/>
        <v>0</v>
      </c>
      <c r="BO264" s="1215"/>
      <c r="BP264" s="1185"/>
      <c r="BQ264" s="1192">
        <f t="shared" si="677"/>
        <v>0</v>
      </c>
      <c r="BR264" s="1215"/>
      <c r="BS264" s="1185"/>
      <c r="BT264" s="1192">
        <f t="shared" si="678"/>
        <v>0</v>
      </c>
      <c r="BU264" s="1215"/>
      <c r="BV264" s="1185"/>
      <c r="BW264" s="1192">
        <f t="shared" si="679"/>
        <v>423</v>
      </c>
      <c r="BX264" s="1244">
        <v>423</v>
      </c>
      <c r="BY264" s="1185"/>
      <c r="BZ264" s="1192">
        <f t="shared" si="680"/>
        <v>539</v>
      </c>
      <c r="CA264" s="1244">
        <v>539</v>
      </c>
      <c r="CB264" s="1185"/>
      <c r="CC264" s="1192">
        <f t="shared" si="681"/>
        <v>413</v>
      </c>
      <c r="CD264" s="1244">
        <v>413</v>
      </c>
      <c r="CE264" s="1185"/>
      <c r="CF264" s="1192">
        <f t="shared" si="682"/>
        <v>530</v>
      </c>
      <c r="CG264" s="1244">
        <v>530</v>
      </c>
      <c r="CH264" s="1198">
        <v>423.911</v>
      </c>
      <c r="CI264" s="1192">
        <f t="shared" si="683"/>
        <v>528.9</v>
      </c>
      <c r="CJ264" s="1244">
        <v>528.9</v>
      </c>
      <c r="CK264" s="1198">
        <v>647.9</v>
      </c>
      <c r="CL264" s="1192">
        <f t="shared" si="684"/>
        <v>647.9</v>
      </c>
      <c r="CM264" s="1244">
        <v>647.9</v>
      </c>
      <c r="CN264" s="1198">
        <v>546.5</v>
      </c>
      <c r="CO264" s="1192">
        <f t="shared" si="685"/>
        <v>631.4</v>
      </c>
      <c r="CP264" s="1244">
        <v>631.4</v>
      </c>
      <c r="CQ264" s="1198">
        <v>626.4</v>
      </c>
      <c r="CR264" s="1192">
        <f t="shared" si="686"/>
        <v>700.8</v>
      </c>
      <c r="CS264" s="1244">
        <v>700.8</v>
      </c>
      <c r="CT264" s="1198">
        <v>904.9</v>
      </c>
      <c r="CU264" s="1192">
        <f t="shared" si="687"/>
        <v>996.1</v>
      </c>
      <c r="CV264" s="1244">
        <v>996.1</v>
      </c>
      <c r="CW264" s="1198">
        <v>976.4</v>
      </c>
      <c r="CX264" s="1192">
        <f t="shared" si="688"/>
        <v>1155.8</v>
      </c>
      <c r="CY264" s="1244">
        <v>1155.8</v>
      </c>
      <c r="CZ264" s="1185">
        <v>1016.7</v>
      </c>
      <c r="DA264" s="1192">
        <f t="shared" si="689"/>
        <v>1256.8</v>
      </c>
      <c r="DB264" s="1183">
        <v>1256.8</v>
      </c>
      <c r="DC264" s="1185">
        <v>1105.2</v>
      </c>
      <c r="DD264" s="1192">
        <f t="shared" si="690"/>
        <v>1407.7</v>
      </c>
      <c r="DE264" s="1256">
        <v>1407.7</v>
      </c>
      <c r="DF264" s="1198">
        <v>1359.8</v>
      </c>
      <c r="DG264" s="1192">
        <f t="shared" si="691"/>
        <v>1525.4</v>
      </c>
      <c r="DH264" s="1246">
        <v>1525.4</v>
      </c>
      <c r="DI264" s="1185">
        <v>1620.5</v>
      </c>
      <c r="DJ264" s="1192">
        <f t="shared" si="692"/>
        <v>2039.7</v>
      </c>
      <c r="DK264" s="1246">
        <v>2039.7</v>
      </c>
      <c r="DL264" s="32">
        <v>1726.5</v>
      </c>
      <c r="DM264" s="32">
        <f t="shared" si="693"/>
        <v>2301.1999999999998</v>
      </c>
      <c r="DN264" s="1061">
        <v>2301.1999999999998</v>
      </c>
      <c r="DO264" s="1693">
        <v>2559</v>
      </c>
      <c r="DP264" s="32">
        <f t="shared" si="694"/>
        <v>2947</v>
      </c>
      <c r="DQ264" s="1702">
        <v>2947</v>
      </c>
      <c r="DR264" s="1693">
        <v>2897</v>
      </c>
      <c r="DS264" s="32">
        <f t="shared" si="695"/>
        <v>3345</v>
      </c>
      <c r="DT264" s="1702">
        <v>3345</v>
      </c>
      <c r="DU264" s="1693">
        <v>2977</v>
      </c>
      <c r="DV264" s="32">
        <f t="shared" si="696"/>
        <v>3461</v>
      </c>
      <c r="DW264" s="1702">
        <v>3461</v>
      </c>
      <c r="DX264" s="1693">
        <v>3171</v>
      </c>
      <c r="DY264" s="32">
        <f t="shared" si="697"/>
        <v>3869.2968137170674</v>
      </c>
      <c r="DZ264" s="1061">
        <f>Assumptions!DZ147*DZ30</f>
        <v>3869.2968137170674</v>
      </c>
      <c r="EA264" s="32">
        <f>Assumptions!EA147*(EA30*2)</f>
        <v>3284.7010304711407</v>
      </c>
      <c r="EB264" s="32">
        <f t="shared" si="698"/>
        <v>4042.9417235029327</v>
      </c>
      <c r="EC264" s="1061">
        <f>Assumptions!EC147*EC30</f>
        <v>4042.9417235029327</v>
      </c>
      <c r="ED264" s="32">
        <f>Assumptions!ED147*(ED30*2)</f>
        <v>3436.1260706534304</v>
      </c>
      <c r="EE264" s="32">
        <f t="shared" si="699"/>
        <v>4220.3983738569013</v>
      </c>
      <c r="EF264" s="1061">
        <f>Assumptions!EF147*EF30</f>
        <v>4220.3983738569013</v>
      </c>
      <c r="EG264" s="32">
        <f>Assumptions!EG147*(EG30*2)</f>
        <v>3636.9326356158786</v>
      </c>
      <c r="EH264" s="32">
        <f t="shared" si="700"/>
        <v>4437.8353974432439</v>
      </c>
      <c r="EI264" s="1061">
        <f>Assumptions!EI147*EI30</f>
        <v>4437.8353974432439</v>
      </c>
      <c r="EJ264" s="32">
        <f>Assumptions!EJ147*(EJ30*2)</f>
        <v>3852.2072112988558</v>
      </c>
      <c r="EK264" s="32">
        <f t="shared" si="701"/>
        <v>4670.6417583154534</v>
      </c>
      <c r="EL264" s="1061">
        <f>Assumptions!EL147*EL30</f>
        <v>4670.6417583154534</v>
      </c>
      <c r="EM264" s="32">
        <f>Assumptions!EM147*(EM30*2)</f>
        <v>4063.4658533349916</v>
      </c>
      <c r="EN264" s="32">
        <f t="shared" si="702"/>
        <v>4878.1541797106338</v>
      </c>
      <c r="EO264" s="1061">
        <f>Assumptions!EO147*EO30</f>
        <v>4878.1541797106338</v>
      </c>
      <c r="EP264" s="32">
        <f>Assumptions!EP147*(EP30*2)</f>
        <v>4283.3311526513944</v>
      </c>
      <c r="EQ264" s="32">
        <f t="shared" si="703"/>
        <v>5099.7739182416381</v>
      </c>
      <c r="ER264" s="1061">
        <f>Assumptions!ER147*ER30</f>
        <v>5099.7739182416381</v>
      </c>
      <c r="ES264" s="32">
        <f>Assumptions!ES147*(ES30*2)</f>
        <v>4521.1739234456563</v>
      </c>
      <c r="ET264" s="32">
        <f t="shared" si="704"/>
        <v>5335.3337760896329</v>
      </c>
      <c r="EU264" s="1061">
        <f>Assumptions!EU147*EU30</f>
        <v>5335.3337760896329</v>
      </c>
      <c r="EV264" s="32">
        <f>Assumptions!EV147*(EV30*2)</f>
        <v>4773.77333440645</v>
      </c>
      <c r="EW264" s="32">
        <f t="shared" si="705"/>
        <v>5582.8249527148027</v>
      </c>
      <c r="EX264" s="1061">
        <f>Assumptions!EX147*EX30</f>
        <v>5582.8249527148027</v>
      </c>
      <c r="EY264" s="32">
        <f>Assumptions!EY147*(EY30*2)</f>
        <v>5042.0962792692435</v>
      </c>
      <c r="EZ264" s="32">
        <f t="shared" si="706"/>
        <v>5842.8444741063058</v>
      </c>
      <c r="FA264" s="1061">
        <f>Assumptions!FA147*FA30</f>
        <v>5842.8444741063058</v>
      </c>
      <c r="FB264" s="1243"/>
      <c r="FD264"/>
      <c r="FE264"/>
      <c r="FF264"/>
      <c r="FG264"/>
      <c r="FH264"/>
      <c r="FI264"/>
    </row>
    <row r="265" spans="2:169" s="33" customFormat="1" ht="13.5" outlineLevel="1" thickBot="1">
      <c r="B265" s="54" t="s">
        <v>492</v>
      </c>
      <c r="C265" s="54"/>
      <c r="D265" s="2" t="s">
        <v>506</v>
      </c>
      <c r="E265" s="1188"/>
      <c r="F265" s="32">
        <f t="shared" si="656"/>
        <v>0</v>
      </c>
      <c r="G265" s="1247"/>
      <c r="H265" s="1190"/>
      <c r="I265" s="32">
        <f t="shared" si="657"/>
        <v>0</v>
      </c>
      <c r="J265" s="1247"/>
      <c r="K265" s="1190"/>
      <c r="L265" s="32">
        <f t="shared" si="658"/>
        <v>0</v>
      </c>
      <c r="M265" s="1247"/>
      <c r="N265" s="1190"/>
      <c r="O265" s="32">
        <f t="shared" si="659"/>
        <v>0</v>
      </c>
      <c r="P265" s="1247"/>
      <c r="Q265" s="1190"/>
      <c r="R265" s="32">
        <f t="shared" si="660"/>
        <v>0</v>
      </c>
      <c r="S265" s="1257"/>
      <c r="T265" s="1190"/>
      <c r="U265" s="32">
        <f t="shared" si="661"/>
        <v>0</v>
      </c>
      <c r="V265" s="1247"/>
      <c r="W265" s="1190"/>
      <c r="X265" s="32">
        <f t="shared" si="662"/>
        <v>0</v>
      </c>
      <c r="Y265" s="1247"/>
      <c r="Z265" s="1190"/>
      <c r="AA265" s="32">
        <f t="shared" si="663"/>
        <v>0</v>
      </c>
      <c r="AB265" s="1247"/>
      <c r="AC265" s="1190"/>
      <c r="AD265" s="32">
        <f t="shared" si="664"/>
        <v>0</v>
      </c>
      <c r="AE265" s="1247"/>
      <c r="AF265" s="1190"/>
      <c r="AG265" s="32">
        <f t="shared" si="665"/>
        <v>0</v>
      </c>
      <c r="AH265" s="1247"/>
      <c r="AI265" s="1190"/>
      <c r="AJ265" s="32">
        <f t="shared" si="666"/>
        <v>0</v>
      </c>
      <c r="AK265" s="1247"/>
      <c r="AL265" s="1190"/>
      <c r="AM265" s="32">
        <f t="shared" si="667"/>
        <v>0</v>
      </c>
      <c r="AN265" s="1247"/>
      <c r="AO265" s="1190"/>
      <c r="AP265" s="32">
        <f t="shared" si="668"/>
        <v>0</v>
      </c>
      <c r="AQ265" s="1247"/>
      <c r="AR265" s="1190"/>
      <c r="AS265" s="32">
        <f t="shared" si="669"/>
        <v>0</v>
      </c>
      <c r="AT265" s="1247"/>
      <c r="AU265" s="1190"/>
      <c r="AV265" s="32">
        <f t="shared" si="670"/>
        <v>0</v>
      </c>
      <c r="AW265" s="1247"/>
      <c r="AX265" s="1190"/>
      <c r="AY265" s="32">
        <f t="shared" si="671"/>
        <v>0</v>
      </c>
      <c r="AZ265" s="1247"/>
      <c r="BA265" s="1190"/>
      <c r="BB265" s="32">
        <f t="shared" si="672"/>
        <v>0</v>
      </c>
      <c r="BC265" s="1247"/>
      <c r="BD265" s="1190"/>
      <c r="BE265" s="32">
        <f t="shared" si="673"/>
        <v>0</v>
      </c>
      <c r="BF265" s="1247"/>
      <c r="BG265" s="1190"/>
      <c r="BH265" s="32">
        <f t="shared" si="674"/>
        <v>0</v>
      </c>
      <c r="BI265" s="1247"/>
      <c r="BJ265" s="1190"/>
      <c r="BK265" s="32">
        <f t="shared" si="675"/>
        <v>0</v>
      </c>
      <c r="BL265" s="1247"/>
      <c r="BM265" s="1190"/>
      <c r="BN265" s="32">
        <f t="shared" si="676"/>
        <v>0</v>
      </c>
      <c r="BO265" s="1247"/>
      <c r="BP265" s="1190"/>
      <c r="BQ265" s="32">
        <f t="shared" si="677"/>
        <v>0</v>
      </c>
      <c r="BR265" s="1247"/>
      <c r="BS265" s="1190"/>
      <c r="BT265" s="32">
        <f t="shared" si="678"/>
        <v>0</v>
      </c>
      <c r="BU265" s="1247"/>
      <c r="BV265" s="1190"/>
      <c r="BW265" s="32">
        <f t="shared" si="679"/>
        <v>0</v>
      </c>
      <c r="BX265" s="1188">
        <f>BV265</f>
        <v>0</v>
      </c>
      <c r="BY265" s="1190"/>
      <c r="BZ265" s="32">
        <f t="shared" si="680"/>
        <v>0</v>
      </c>
      <c r="CA265" s="1188">
        <f>BY265</f>
        <v>0</v>
      </c>
      <c r="CB265" s="1190"/>
      <c r="CC265" s="32">
        <f t="shared" si="681"/>
        <v>0</v>
      </c>
      <c r="CD265" s="1188">
        <f>CB265</f>
        <v>0</v>
      </c>
      <c r="CE265" s="1190"/>
      <c r="CF265" s="32">
        <f t="shared" si="682"/>
        <v>0</v>
      </c>
      <c r="CG265" s="1252">
        <v>0</v>
      </c>
      <c r="CH265" s="1190">
        <f>CG265</f>
        <v>0</v>
      </c>
      <c r="CI265" s="32">
        <f t="shared" si="683"/>
        <v>0</v>
      </c>
      <c r="CJ265" s="1188">
        <f>CH265</f>
        <v>0</v>
      </c>
      <c r="CK265" s="1190">
        <f>CJ265</f>
        <v>0</v>
      </c>
      <c r="CL265" s="32">
        <f t="shared" si="684"/>
        <v>0</v>
      </c>
      <c r="CM265" s="1188">
        <f>CK265</f>
        <v>0</v>
      </c>
      <c r="CN265" s="1190">
        <f>CM265</f>
        <v>0</v>
      </c>
      <c r="CO265" s="32">
        <f t="shared" si="685"/>
        <v>0</v>
      </c>
      <c r="CP265" s="1188">
        <f>CN265</f>
        <v>0</v>
      </c>
      <c r="CQ265" s="1190">
        <f>CP265</f>
        <v>0</v>
      </c>
      <c r="CR265" s="32">
        <f t="shared" si="686"/>
        <v>0</v>
      </c>
      <c r="CS265" s="1188">
        <f>CQ265</f>
        <v>0</v>
      </c>
      <c r="CT265" s="1190">
        <f>CS265</f>
        <v>0</v>
      </c>
      <c r="CU265" s="32">
        <f t="shared" si="687"/>
        <v>0</v>
      </c>
      <c r="CV265" s="1188">
        <f>CT265</f>
        <v>0</v>
      </c>
      <c r="CW265" s="1190">
        <f>CV265</f>
        <v>0</v>
      </c>
      <c r="CX265" s="32">
        <f t="shared" si="688"/>
        <v>0</v>
      </c>
      <c r="CY265" s="1188">
        <f>CW265</f>
        <v>0</v>
      </c>
      <c r="CZ265" s="1190">
        <f>CY265</f>
        <v>0</v>
      </c>
      <c r="DA265" s="32">
        <f t="shared" si="689"/>
        <v>0</v>
      </c>
      <c r="DB265" s="1188">
        <f>CZ265</f>
        <v>0</v>
      </c>
      <c r="DC265" s="1190">
        <f>DB265</f>
        <v>0</v>
      </c>
      <c r="DD265" s="32">
        <f t="shared" si="690"/>
        <v>0</v>
      </c>
      <c r="DE265" s="1248">
        <f>DC265</f>
        <v>0</v>
      </c>
      <c r="DF265" s="1190">
        <f>DE265</f>
        <v>0</v>
      </c>
      <c r="DG265" s="32">
        <f t="shared" si="691"/>
        <v>0</v>
      </c>
      <c r="DH265" s="1248">
        <f>DF265</f>
        <v>0</v>
      </c>
      <c r="DI265" s="1190">
        <f>DH265</f>
        <v>0</v>
      </c>
      <c r="DJ265" s="32">
        <f t="shared" si="692"/>
        <v>0</v>
      </c>
      <c r="DK265" s="1248">
        <v>0</v>
      </c>
      <c r="DL265" s="32">
        <f>DK265</f>
        <v>0</v>
      </c>
      <c r="DM265" s="32">
        <f t="shared" si="693"/>
        <v>0</v>
      </c>
      <c r="DN265" s="1061">
        <f>DL265</f>
        <v>0</v>
      </c>
      <c r="DO265" s="32">
        <f>DN265</f>
        <v>0</v>
      </c>
      <c r="DP265" s="32">
        <f t="shared" si="694"/>
        <v>0</v>
      </c>
      <c r="DQ265" s="1061">
        <f>DO265</f>
        <v>0</v>
      </c>
      <c r="DR265" s="32">
        <f>DQ265</f>
        <v>0</v>
      </c>
      <c r="DS265" s="32">
        <f t="shared" si="695"/>
        <v>0</v>
      </c>
      <c r="DT265" s="1702">
        <v>0</v>
      </c>
      <c r="DU265" s="32">
        <v>0</v>
      </c>
      <c r="DV265" s="32">
        <f t="shared" si="696"/>
        <v>0</v>
      </c>
      <c r="DW265" s="1702">
        <v>0</v>
      </c>
      <c r="DX265" s="32">
        <v>0</v>
      </c>
      <c r="DY265" s="32">
        <f t="shared" si="697"/>
        <v>0</v>
      </c>
      <c r="DZ265" s="1061">
        <f>DX265</f>
        <v>0</v>
      </c>
      <c r="EA265" s="32">
        <f>DZ265</f>
        <v>0</v>
      </c>
      <c r="EB265" s="32">
        <f t="shared" si="698"/>
        <v>0</v>
      </c>
      <c r="EC265" s="1061">
        <f>EA265</f>
        <v>0</v>
      </c>
      <c r="ED265" s="32">
        <f>EC265</f>
        <v>0</v>
      </c>
      <c r="EE265" s="32">
        <f t="shared" si="699"/>
        <v>0</v>
      </c>
      <c r="EF265" s="1061">
        <f>ED265</f>
        <v>0</v>
      </c>
      <c r="EG265" s="32">
        <f>EF265</f>
        <v>0</v>
      </c>
      <c r="EH265" s="32">
        <f t="shared" si="700"/>
        <v>0</v>
      </c>
      <c r="EI265" s="1061">
        <f>EG265</f>
        <v>0</v>
      </c>
      <c r="EJ265" s="32">
        <f>EI265</f>
        <v>0</v>
      </c>
      <c r="EK265" s="32">
        <f t="shared" si="701"/>
        <v>0</v>
      </c>
      <c r="EL265" s="1061">
        <f>EJ265</f>
        <v>0</v>
      </c>
      <c r="EM265" s="32">
        <f>EL265</f>
        <v>0</v>
      </c>
      <c r="EN265" s="32">
        <f t="shared" si="702"/>
        <v>0</v>
      </c>
      <c r="EO265" s="1061">
        <f>EM265</f>
        <v>0</v>
      </c>
      <c r="EP265" s="32">
        <f>EO265</f>
        <v>0</v>
      </c>
      <c r="EQ265" s="32">
        <f t="shared" si="703"/>
        <v>0</v>
      </c>
      <c r="ER265" s="1061">
        <f>EP265</f>
        <v>0</v>
      </c>
      <c r="ES265" s="32">
        <f>ER265</f>
        <v>0</v>
      </c>
      <c r="ET265" s="32">
        <f t="shared" si="704"/>
        <v>0</v>
      </c>
      <c r="EU265" s="1061">
        <f>ES265</f>
        <v>0</v>
      </c>
      <c r="EV265" s="32">
        <f>EU265</f>
        <v>0</v>
      </c>
      <c r="EW265" s="32">
        <f t="shared" si="705"/>
        <v>0</v>
      </c>
      <c r="EX265" s="1061">
        <f>EV265</f>
        <v>0</v>
      </c>
      <c r="EY265" s="32">
        <f>EX265</f>
        <v>0</v>
      </c>
      <c r="EZ265" s="32">
        <f t="shared" si="706"/>
        <v>0</v>
      </c>
      <c r="FA265" s="1061">
        <f>EY265</f>
        <v>0</v>
      </c>
      <c r="FB265" s="1243"/>
      <c r="FD265"/>
      <c r="FE265"/>
      <c r="FF265"/>
      <c r="FG265"/>
      <c r="FH265"/>
      <c r="FI265"/>
    </row>
    <row r="266" spans="2:169" s="33" customFormat="1" ht="13.5" thickBot="1">
      <c r="B266" s="1140" t="s">
        <v>493</v>
      </c>
      <c r="C266" s="2"/>
      <c r="D266" s="2" t="s">
        <v>506</v>
      </c>
      <c r="E266" s="32">
        <f>+SUM(E267:E272)</f>
        <v>0</v>
      </c>
      <c r="F266" s="32">
        <f t="shared" si="656"/>
        <v>0</v>
      </c>
      <c r="G266" s="32">
        <f>+SUM(G267:G272)</f>
        <v>0</v>
      </c>
      <c r="H266" s="32">
        <f>+SUM(H267:H272)</f>
        <v>0</v>
      </c>
      <c r="I266" s="32">
        <f t="shared" si="657"/>
        <v>0</v>
      </c>
      <c r="J266" s="32">
        <f>+SUM(J267:J272)</f>
        <v>0</v>
      </c>
      <c r="K266" s="32">
        <f>+SUM(K267:K272)</f>
        <v>0</v>
      </c>
      <c r="L266" s="32">
        <f t="shared" si="658"/>
        <v>0</v>
      </c>
      <c r="M266" s="32">
        <f>+SUM(M267:M272)</f>
        <v>0</v>
      </c>
      <c r="N266" s="32">
        <f>+SUM(N267:N272)</f>
        <v>0</v>
      </c>
      <c r="O266" s="32">
        <f t="shared" si="659"/>
        <v>0</v>
      </c>
      <c r="P266" s="32">
        <f>+SUM(P267:P272)</f>
        <v>0</v>
      </c>
      <c r="Q266" s="32">
        <f>+SUM(Q267:Q272)</f>
        <v>0</v>
      </c>
      <c r="R266" s="32">
        <f t="shared" si="660"/>
        <v>0</v>
      </c>
      <c r="S266" s="1254">
        <f>+SUM(S267:S272)</f>
        <v>0</v>
      </c>
      <c r="T266" s="32">
        <f>+SUM(T267:T272)</f>
        <v>0</v>
      </c>
      <c r="U266" s="32">
        <f t="shared" si="661"/>
        <v>0</v>
      </c>
      <c r="V266" s="32">
        <f>+SUM(V267:V272)</f>
        <v>0</v>
      </c>
      <c r="W266" s="32">
        <f>+SUM(W267:W272)</f>
        <v>0</v>
      </c>
      <c r="X266" s="32">
        <f t="shared" si="662"/>
        <v>0</v>
      </c>
      <c r="Y266" s="32">
        <f>+SUM(Y267:Y272)</f>
        <v>0</v>
      </c>
      <c r="Z266" s="32">
        <f>+SUM(Z267:Z272)</f>
        <v>0</v>
      </c>
      <c r="AA266" s="32">
        <f t="shared" si="663"/>
        <v>0</v>
      </c>
      <c r="AB266" s="32">
        <f>+SUM(AB267:AB272)</f>
        <v>0</v>
      </c>
      <c r="AC266" s="32">
        <f>+SUM(AC267:AC272)</f>
        <v>0</v>
      </c>
      <c r="AD266" s="32">
        <f t="shared" si="664"/>
        <v>0</v>
      </c>
      <c r="AE266" s="32">
        <f>+SUM(AE267:AE272)</f>
        <v>0</v>
      </c>
      <c r="AF266" s="32">
        <f>+SUM(AF267:AF272)</f>
        <v>0</v>
      </c>
      <c r="AG266" s="32">
        <f t="shared" si="665"/>
        <v>0</v>
      </c>
      <c r="AH266" s="32">
        <f>+SUM(AH267:AH272)</f>
        <v>0</v>
      </c>
      <c r="AI266" s="32">
        <f>+SUM(AI267:AI272)</f>
        <v>0</v>
      </c>
      <c r="AJ266" s="32">
        <f t="shared" si="666"/>
        <v>0</v>
      </c>
      <c r="AK266" s="32">
        <f>+SUM(AK267:AK272)</f>
        <v>0</v>
      </c>
      <c r="AL266" s="32">
        <f>+SUM(AL267:AL272)</f>
        <v>0</v>
      </c>
      <c r="AM266" s="32">
        <f t="shared" si="667"/>
        <v>0</v>
      </c>
      <c r="AN266" s="32">
        <f>+SUM(AN267:AN272)</f>
        <v>0</v>
      </c>
      <c r="AO266" s="32">
        <f>+SUM(AO267:AO272)</f>
        <v>0</v>
      </c>
      <c r="AP266" s="32">
        <f t="shared" si="668"/>
        <v>0</v>
      </c>
      <c r="AQ266" s="32">
        <f>+SUM(AQ267:AQ272)</f>
        <v>0</v>
      </c>
      <c r="AR266" s="32">
        <f>+SUM(AR267:AR272)</f>
        <v>0</v>
      </c>
      <c r="AS266" s="32">
        <f t="shared" si="669"/>
        <v>0</v>
      </c>
      <c r="AT266" s="32">
        <f>+SUM(AT267:AT272)</f>
        <v>0</v>
      </c>
      <c r="AU266" s="32">
        <f>+SUM(AU267:AU272)</f>
        <v>0</v>
      </c>
      <c r="AV266" s="32">
        <f t="shared" si="670"/>
        <v>0</v>
      </c>
      <c r="AW266" s="32">
        <f>+SUM(AW267:AW272)</f>
        <v>0</v>
      </c>
      <c r="AX266" s="32">
        <f>+SUM(AX267:AX272)</f>
        <v>0</v>
      </c>
      <c r="AY266" s="32">
        <f t="shared" si="671"/>
        <v>0</v>
      </c>
      <c r="AZ266" s="32">
        <f>+SUM(AZ267:AZ272)</f>
        <v>0</v>
      </c>
      <c r="BA266" s="32">
        <f>+SUM(BA267:BA272)</f>
        <v>0</v>
      </c>
      <c r="BB266" s="32">
        <f t="shared" si="672"/>
        <v>0</v>
      </c>
      <c r="BC266" s="32">
        <f>+SUM(BC267:BC272)</f>
        <v>0</v>
      </c>
      <c r="BD266" s="32">
        <f>+SUM(BD267:BD272)</f>
        <v>0</v>
      </c>
      <c r="BE266" s="32">
        <f t="shared" si="673"/>
        <v>0</v>
      </c>
      <c r="BF266" s="32">
        <f>+SUM(BF267:BF272)</f>
        <v>0</v>
      </c>
      <c r="BG266" s="32">
        <f>+SUM(BG267:BG272)</f>
        <v>0</v>
      </c>
      <c r="BH266" s="32">
        <f t="shared" si="674"/>
        <v>0</v>
      </c>
      <c r="BI266" s="32">
        <f>+SUM(BI267:BI272)</f>
        <v>0</v>
      </c>
      <c r="BJ266" s="32">
        <f>+SUM(BJ267:BJ272)</f>
        <v>0</v>
      </c>
      <c r="BK266" s="32">
        <f t="shared" si="675"/>
        <v>0</v>
      </c>
      <c r="BL266" s="32">
        <f>+SUM(BL267:BL272)</f>
        <v>0</v>
      </c>
      <c r="BM266" s="32">
        <f>+SUM(BM267:BM272)</f>
        <v>0</v>
      </c>
      <c r="BN266" s="32">
        <f t="shared" si="676"/>
        <v>0</v>
      </c>
      <c r="BO266" s="32">
        <f>+SUM(BO267:BO272)</f>
        <v>0</v>
      </c>
      <c r="BP266" s="32">
        <f>+SUM(BP267:BP272)</f>
        <v>0</v>
      </c>
      <c r="BQ266" s="32">
        <f t="shared" si="677"/>
        <v>0</v>
      </c>
      <c r="BR266" s="32">
        <f>+SUM(BR267:BR272)</f>
        <v>0</v>
      </c>
      <c r="BS266" s="32">
        <f>+SUM(BS267:BS272)</f>
        <v>0</v>
      </c>
      <c r="BT266" s="32">
        <f t="shared" si="678"/>
        <v>0</v>
      </c>
      <c r="BU266" s="32">
        <f>+SUM(BU267:BU272)</f>
        <v>0</v>
      </c>
      <c r="BV266" s="32">
        <f>+SUM(BV267:BV272)</f>
        <v>0</v>
      </c>
      <c r="BW266" s="32">
        <f t="shared" si="679"/>
        <v>123</v>
      </c>
      <c r="BX266" s="32">
        <f>+SUM(BX267:BX272)</f>
        <v>123</v>
      </c>
      <c r="BY266" s="32">
        <f>+SUM(BY267:BY272)</f>
        <v>0</v>
      </c>
      <c r="BZ266" s="32">
        <f t="shared" si="680"/>
        <v>270</v>
      </c>
      <c r="CA266" s="32">
        <f>+SUM(CA267:CA272)</f>
        <v>270</v>
      </c>
      <c r="CB266" s="32">
        <f>+SUM(CB267:CB272)</f>
        <v>0</v>
      </c>
      <c r="CC266" s="32">
        <f t="shared" si="681"/>
        <v>22</v>
      </c>
      <c r="CD266" s="32">
        <f>+SUM(CD267:CD272)</f>
        <v>22</v>
      </c>
      <c r="CE266" s="32">
        <f>+SUM(CE267:CE272)</f>
        <v>0</v>
      </c>
      <c r="CF266" s="32">
        <f t="shared" si="682"/>
        <v>243</v>
      </c>
      <c r="CG266" s="32">
        <f>+SUM(CG267:CG272)</f>
        <v>243</v>
      </c>
      <c r="CH266" s="32">
        <f>+SUM(CH267:CH272)</f>
        <v>409.24199999999996</v>
      </c>
      <c r="CI266" s="32">
        <f t="shared" si="683"/>
        <v>167.2</v>
      </c>
      <c r="CJ266" s="32">
        <f>+SUM(CJ267:CJ272)</f>
        <v>167.2</v>
      </c>
      <c r="CK266" s="32">
        <f>+SUM(CK267:CK272)</f>
        <v>5.7</v>
      </c>
      <c r="CL266" s="32">
        <f t="shared" si="684"/>
        <v>5.7</v>
      </c>
      <c r="CM266" s="32">
        <f>+SUM(CM267:CM272)</f>
        <v>5.7</v>
      </c>
      <c r="CN266" s="32">
        <f>+SUM(CN267:CN272)</f>
        <v>6.5</v>
      </c>
      <c r="CO266" s="32">
        <f t="shared" si="685"/>
        <v>5.6</v>
      </c>
      <c r="CP266" s="32">
        <f>+SUM(CP267:CP272)</f>
        <v>5.6</v>
      </c>
      <c r="CQ266" s="32">
        <f>+SUM(CQ267:CQ272)</f>
        <v>1</v>
      </c>
      <c r="CR266" s="32">
        <f t="shared" si="686"/>
        <v>3.2</v>
      </c>
      <c r="CS266" s="32">
        <f>+SUM(CS267:CS272)</f>
        <v>3.2</v>
      </c>
      <c r="CT266" s="32">
        <f>+SUM(CT267:CT272)</f>
        <v>56.7</v>
      </c>
      <c r="CU266" s="32">
        <f t="shared" si="687"/>
        <v>62.3</v>
      </c>
      <c r="CV266" s="32">
        <f>+SUM(CV267:CV272)</f>
        <v>62.3</v>
      </c>
      <c r="CW266" s="32">
        <f>+SUM(CW267:CW272)</f>
        <v>21.2</v>
      </c>
      <c r="CX266" s="32">
        <f t="shared" si="688"/>
        <v>122.5</v>
      </c>
      <c r="CY266" s="32">
        <f>+SUM(CY267:CY272)</f>
        <v>122.5</v>
      </c>
      <c r="CZ266" s="32">
        <f>+SUM(CZ267:CZ272)</f>
        <v>328</v>
      </c>
      <c r="DA266" s="32">
        <f t="shared" si="689"/>
        <v>225.7</v>
      </c>
      <c r="DB266" s="32">
        <f>+SUM(DB267:DB272)</f>
        <v>225.7</v>
      </c>
      <c r="DC266" s="32">
        <f>+SUM(DC267:DC272)</f>
        <v>540.79999999999995</v>
      </c>
      <c r="DD266" s="32">
        <f t="shared" si="690"/>
        <v>420.6</v>
      </c>
      <c r="DE266" s="1061">
        <f>+SUM(DE267:DE272)</f>
        <v>420.6</v>
      </c>
      <c r="DF266" s="32">
        <f>+SUM(DF267:DF272)</f>
        <v>929</v>
      </c>
      <c r="DG266" s="32">
        <f t="shared" si="691"/>
        <v>202.3</v>
      </c>
      <c r="DH266" s="1061">
        <f>+SUM(DH267:DH272)</f>
        <v>202.3</v>
      </c>
      <c r="DI266" s="32">
        <f>+SUM(DI267:DI272)</f>
        <v>445.9</v>
      </c>
      <c r="DJ266" s="32">
        <f t="shared" si="692"/>
        <v>473.8</v>
      </c>
      <c r="DK266" s="1061">
        <f>+SUM(DK267:DK272)</f>
        <v>473.8</v>
      </c>
      <c r="DL266" s="32">
        <f>+SUM(DL267:DL272)</f>
        <v>371.8</v>
      </c>
      <c r="DM266" s="32">
        <f t="shared" si="693"/>
        <v>4494</v>
      </c>
      <c r="DN266" s="1061">
        <f>+SUM(DN267:DN272)</f>
        <v>4494</v>
      </c>
      <c r="DO266" s="32">
        <f>+SUM(DO267:DO272)</f>
        <v>1216.4000000000001</v>
      </c>
      <c r="DP266" s="32">
        <f t="shared" si="694"/>
        <v>1055</v>
      </c>
      <c r="DQ266" s="1061">
        <f>+SUM(DQ267:DQ272)</f>
        <v>1055</v>
      </c>
      <c r="DR266" s="32">
        <f>+SUM(DR267:DR272)</f>
        <v>1420</v>
      </c>
      <c r="DS266" s="32">
        <f t="shared" si="695"/>
        <v>944</v>
      </c>
      <c r="DT266" s="1061">
        <f>+SUM(DT267:DT272)</f>
        <v>944</v>
      </c>
      <c r="DU266" s="32">
        <f>+SUM(DU267:DU272)</f>
        <v>2638</v>
      </c>
      <c r="DV266" s="32">
        <f t="shared" si="696"/>
        <v>804</v>
      </c>
      <c r="DW266" s="1061">
        <f>+SUM(DW267:DW272)</f>
        <v>804</v>
      </c>
      <c r="DX266" s="32">
        <f>+SUM(DX267:DX272)</f>
        <v>717</v>
      </c>
      <c r="DY266" s="32">
        <f t="shared" si="697"/>
        <v>717</v>
      </c>
      <c r="DZ266" s="1061">
        <f>+SUM(DZ267:DZ272)</f>
        <v>717</v>
      </c>
      <c r="EA266" s="32">
        <f>+SUM(EA267:EA272)</f>
        <v>717</v>
      </c>
      <c r="EB266" s="32">
        <f t="shared" si="698"/>
        <v>717</v>
      </c>
      <c r="EC266" s="1061">
        <f>+SUM(EC267:EC272)</f>
        <v>717</v>
      </c>
      <c r="ED266" s="32">
        <f>+SUM(ED267:ED272)</f>
        <v>717</v>
      </c>
      <c r="EE266" s="32">
        <f t="shared" si="699"/>
        <v>717</v>
      </c>
      <c r="EF266" s="1061">
        <f>+SUM(EF267:EF272)</f>
        <v>717</v>
      </c>
      <c r="EG266" s="32">
        <f>+SUM(EG267:EG272)</f>
        <v>717</v>
      </c>
      <c r="EH266" s="32">
        <f t="shared" si="700"/>
        <v>717</v>
      </c>
      <c r="EI266" s="1061">
        <f>+SUM(EI267:EI272)</f>
        <v>717</v>
      </c>
      <c r="EJ266" s="32">
        <f>+SUM(EJ267:EJ272)</f>
        <v>717</v>
      </c>
      <c r="EK266" s="32">
        <f t="shared" si="701"/>
        <v>717</v>
      </c>
      <c r="EL266" s="1061">
        <f>+SUM(EL267:EL272)</f>
        <v>717</v>
      </c>
      <c r="EM266" s="32">
        <f>+SUM(EM267:EM272)</f>
        <v>717</v>
      </c>
      <c r="EN266" s="32">
        <f t="shared" si="702"/>
        <v>717</v>
      </c>
      <c r="EO266" s="1061">
        <f>+SUM(EO267:EO272)</f>
        <v>717</v>
      </c>
      <c r="EP266" s="32">
        <f>+SUM(EP267:EP272)</f>
        <v>717</v>
      </c>
      <c r="EQ266" s="32">
        <f t="shared" si="703"/>
        <v>717</v>
      </c>
      <c r="ER266" s="1061">
        <f>+SUM(ER267:ER272)</f>
        <v>717</v>
      </c>
      <c r="ES266" s="32">
        <f>+SUM(ES267:ES272)</f>
        <v>717</v>
      </c>
      <c r="ET266" s="32">
        <f t="shared" si="704"/>
        <v>717</v>
      </c>
      <c r="EU266" s="1061">
        <f>+SUM(EU267:EU272)</f>
        <v>717</v>
      </c>
      <c r="EV266" s="32">
        <f>+SUM(EV267:EV272)</f>
        <v>717</v>
      </c>
      <c r="EW266" s="32">
        <f t="shared" si="705"/>
        <v>717</v>
      </c>
      <c r="EX266" s="1061">
        <f>+SUM(EX267:EX272)</f>
        <v>717</v>
      </c>
      <c r="EY266" s="32">
        <f>+SUM(EY267:EY272)</f>
        <v>717</v>
      </c>
      <c r="EZ266" s="32">
        <f t="shared" si="706"/>
        <v>717</v>
      </c>
      <c r="FA266" s="1061">
        <f>+SUM(FA267:FA272)</f>
        <v>717</v>
      </c>
      <c r="FD266"/>
      <c r="FE266"/>
      <c r="FF266"/>
      <c r="FG266"/>
      <c r="FH266"/>
      <c r="FI266"/>
    </row>
    <row r="267" spans="2:169" s="33" customFormat="1" outlineLevel="1">
      <c r="B267" s="54" t="s">
        <v>494</v>
      </c>
      <c r="C267" s="2"/>
      <c r="D267" s="2" t="s">
        <v>506</v>
      </c>
      <c r="E267" s="1183"/>
      <c r="F267" s="1192">
        <f t="shared" si="656"/>
        <v>0</v>
      </c>
      <c r="G267" s="1215"/>
      <c r="H267" s="1185"/>
      <c r="I267" s="1192">
        <f t="shared" si="657"/>
        <v>0</v>
      </c>
      <c r="J267" s="1215"/>
      <c r="K267" s="1185"/>
      <c r="L267" s="1192">
        <f t="shared" si="658"/>
        <v>0</v>
      </c>
      <c r="M267" s="1215"/>
      <c r="N267" s="1185"/>
      <c r="O267" s="1192">
        <f t="shared" si="659"/>
        <v>0</v>
      </c>
      <c r="P267" s="1215"/>
      <c r="Q267" s="1185"/>
      <c r="R267" s="1192">
        <f t="shared" si="660"/>
        <v>0</v>
      </c>
      <c r="S267" s="1255"/>
      <c r="T267" s="1185"/>
      <c r="U267" s="1192">
        <f t="shared" si="661"/>
        <v>0</v>
      </c>
      <c r="V267" s="1215"/>
      <c r="W267" s="1185"/>
      <c r="X267" s="1192">
        <f t="shared" si="662"/>
        <v>0</v>
      </c>
      <c r="Y267" s="1215"/>
      <c r="Z267" s="1185"/>
      <c r="AA267" s="1192">
        <f t="shared" si="663"/>
        <v>0</v>
      </c>
      <c r="AB267" s="1215"/>
      <c r="AC267" s="1185"/>
      <c r="AD267" s="1192">
        <f t="shared" si="664"/>
        <v>0</v>
      </c>
      <c r="AE267" s="1215"/>
      <c r="AF267" s="1185"/>
      <c r="AG267" s="1192">
        <f t="shared" si="665"/>
        <v>0</v>
      </c>
      <c r="AH267" s="1215"/>
      <c r="AI267" s="1185"/>
      <c r="AJ267" s="1192">
        <f t="shared" si="666"/>
        <v>0</v>
      </c>
      <c r="AK267" s="1215"/>
      <c r="AL267" s="1185"/>
      <c r="AM267" s="1192">
        <f t="shared" si="667"/>
        <v>0</v>
      </c>
      <c r="AN267" s="1215"/>
      <c r="AO267" s="1185"/>
      <c r="AP267" s="1192">
        <f t="shared" si="668"/>
        <v>0</v>
      </c>
      <c r="AQ267" s="1215"/>
      <c r="AR267" s="1185"/>
      <c r="AS267" s="1192">
        <f t="shared" si="669"/>
        <v>0</v>
      </c>
      <c r="AT267" s="1215"/>
      <c r="AU267" s="1185"/>
      <c r="AV267" s="1192">
        <f t="shared" si="670"/>
        <v>0</v>
      </c>
      <c r="AW267" s="1215"/>
      <c r="AX267" s="1185"/>
      <c r="AY267" s="1192">
        <f t="shared" si="671"/>
        <v>0</v>
      </c>
      <c r="AZ267" s="1215"/>
      <c r="BA267" s="1185"/>
      <c r="BB267" s="1192">
        <f t="shared" si="672"/>
        <v>0</v>
      </c>
      <c r="BC267" s="1215"/>
      <c r="BD267" s="1185"/>
      <c r="BE267" s="1192">
        <f t="shared" si="673"/>
        <v>0</v>
      </c>
      <c r="BF267" s="1215"/>
      <c r="BG267" s="1185"/>
      <c r="BH267" s="1192">
        <f t="shared" si="674"/>
        <v>0</v>
      </c>
      <c r="BI267" s="1215"/>
      <c r="BJ267" s="1185"/>
      <c r="BK267" s="1192">
        <f t="shared" si="675"/>
        <v>0</v>
      </c>
      <c r="BL267" s="1215"/>
      <c r="BM267" s="1185"/>
      <c r="BN267" s="1192">
        <f t="shared" si="676"/>
        <v>0</v>
      </c>
      <c r="BO267" s="1215"/>
      <c r="BP267" s="1185"/>
      <c r="BQ267" s="1192">
        <f t="shared" si="677"/>
        <v>0</v>
      </c>
      <c r="BR267" s="1215"/>
      <c r="BS267" s="1185"/>
      <c r="BT267" s="1192">
        <f t="shared" si="678"/>
        <v>0</v>
      </c>
      <c r="BU267" s="1215"/>
      <c r="BV267" s="1185"/>
      <c r="BW267" s="1192">
        <f t="shared" si="679"/>
        <v>123</v>
      </c>
      <c r="BX267" s="1244">
        <v>123</v>
      </c>
      <c r="BY267" s="1185"/>
      <c r="BZ267" s="1192">
        <f t="shared" si="680"/>
        <v>270</v>
      </c>
      <c r="CA267" s="1244">
        <v>270</v>
      </c>
      <c r="CB267" s="1185"/>
      <c r="CC267" s="1192">
        <f t="shared" si="681"/>
        <v>22</v>
      </c>
      <c r="CD267" s="1244">
        <v>22</v>
      </c>
      <c r="CE267" s="1185"/>
      <c r="CF267" s="1192">
        <f t="shared" si="682"/>
        <v>243</v>
      </c>
      <c r="CG267" s="1244">
        <v>243</v>
      </c>
      <c r="CH267" s="1185">
        <f>CG267</f>
        <v>243</v>
      </c>
      <c r="CI267" s="1192">
        <f t="shared" si="683"/>
        <v>167.2</v>
      </c>
      <c r="CJ267" s="1244">
        <v>167.2</v>
      </c>
      <c r="CK267" s="1198">
        <v>5.7</v>
      </c>
      <c r="CL267" s="1192">
        <f t="shared" si="684"/>
        <v>5.7</v>
      </c>
      <c r="CM267" s="1244">
        <v>5.7</v>
      </c>
      <c r="CN267" s="1198">
        <v>6.5</v>
      </c>
      <c r="CO267" s="1192">
        <f t="shared" si="685"/>
        <v>5.6</v>
      </c>
      <c r="CP267" s="1244">
        <v>5.6</v>
      </c>
      <c r="CQ267" s="1198">
        <v>1</v>
      </c>
      <c r="CR267" s="1192">
        <f t="shared" si="686"/>
        <v>3.2</v>
      </c>
      <c r="CS267" s="1244">
        <v>3.2</v>
      </c>
      <c r="CT267" s="1198">
        <v>56.7</v>
      </c>
      <c r="CU267" s="1192">
        <f t="shared" si="687"/>
        <v>62.3</v>
      </c>
      <c r="CV267" s="1244">
        <v>62.3</v>
      </c>
      <c r="CW267" s="1198">
        <v>21.2</v>
      </c>
      <c r="CX267" s="1192">
        <f t="shared" si="688"/>
        <v>122.5</v>
      </c>
      <c r="CY267" s="1244">
        <v>122.5</v>
      </c>
      <c r="CZ267" s="1185">
        <v>328</v>
      </c>
      <c r="DA267" s="1192">
        <f t="shared" si="689"/>
        <v>225.7</v>
      </c>
      <c r="DB267" s="1183">
        <v>225.7</v>
      </c>
      <c r="DC267" s="1258">
        <v>540.79999999999995</v>
      </c>
      <c r="DD267" s="1259">
        <f t="shared" si="690"/>
        <v>420.6</v>
      </c>
      <c r="DE267" s="1560">
        <v>420.6</v>
      </c>
      <c r="DF267" s="1561">
        <v>929</v>
      </c>
      <c r="DG267" s="1542">
        <f t="shared" si="691"/>
        <v>202.3</v>
      </c>
      <c r="DH267" s="1562">
        <v>202.3</v>
      </c>
      <c r="DI267" s="1543">
        <v>445.9</v>
      </c>
      <c r="DJ267" s="1542">
        <f t="shared" si="692"/>
        <v>473.8</v>
      </c>
      <c r="DK267" s="1562">
        <v>473.8</v>
      </c>
      <c r="DL267" s="1530">
        <v>371.8</v>
      </c>
      <c r="DM267" s="1530">
        <f t="shared" si="693"/>
        <v>4494</v>
      </c>
      <c r="DN267" s="1531">
        <v>4494</v>
      </c>
      <c r="DO267" s="1558">
        <v>1216.4000000000001</v>
      </c>
      <c r="DP267" s="1530">
        <f t="shared" si="694"/>
        <v>1055</v>
      </c>
      <c r="DQ267" s="1532">
        <v>1055</v>
      </c>
      <c r="DR267" s="1558">
        <v>1420</v>
      </c>
      <c r="DS267" s="1530">
        <f t="shared" si="695"/>
        <v>944</v>
      </c>
      <c r="DT267" s="1532">
        <v>944</v>
      </c>
      <c r="DU267" s="1558">
        <v>2638</v>
      </c>
      <c r="DV267" s="1530">
        <f t="shared" si="696"/>
        <v>804</v>
      </c>
      <c r="DW267" s="1532">
        <v>804</v>
      </c>
      <c r="DX267" s="1558">
        <v>717</v>
      </c>
      <c r="DY267" s="32">
        <f t="shared" si="697"/>
        <v>717</v>
      </c>
      <c r="DZ267" s="1061">
        <f>DX267</f>
        <v>717</v>
      </c>
      <c r="EA267" s="32">
        <f>DZ267</f>
        <v>717</v>
      </c>
      <c r="EB267" s="32">
        <f t="shared" si="698"/>
        <v>717</v>
      </c>
      <c r="EC267" s="1061">
        <f>EA267</f>
        <v>717</v>
      </c>
      <c r="ED267" s="32">
        <f>EC267</f>
        <v>717</v>
      </c>
      <c r="EE267" s="32">
        <f t="shared" si="699"/>
        <v>717</v>
      </c>
      <c r="EF267" s="1061">
        <f>ED267</f>
        <v>717</v>
      </c>
      <c r="EG267" s="32">
        <f>EF267</f>
        <v>717</v>
      </c>
      <c r="EH267" s="32">
        <f t="shared" si="700"/>
        <v>717</v>
      </c>
      <c r="EI267" s="1061">
        <f>EG267</f>
        <v>717</v>
      </c>
      <c r="EJ267" s="32">
        <f>EI267</f>
        <v>717</v>
      </c>
      <c r="EK267" s="32">
        <f t="shared" si="701"/>
        <v>717</v>
      </c>
      <c r="EL267" s="1061">
        <f>EJ267</f>
        <v>717</v>
      </c>
      <c r="EM267" s="32">
        <f>EL267</f>
        <v>717</v>
      </c>
      <c r="EN267" s="32">
        <f t="shared" si="702"/>
        <v>717</v>
      </c>
      <c r="EO267" s="1061">
        <f>EM267</f>
        <v>717</v>
      </c>
      <c r="EP267" s="32">
        <f>EO267</f>
        <v>717</v>
      </c>
      <c r="EQ267" s="32">
        <f t="shared" si="703"/>
        <v>717</v>
      </c>
      <c r="ER267" s="1061">
        <f>EP267</f>
        <v>717</v>
      </c>
      <c r="ES267" s="32">
        <f>ER267</f>
        <v>717</v>
      </c>
      <c r="ET267" s="32">
        <f t="shared" si="704"/>
        <v>717</v>
      </c>
      <c r="EU267" s="1061">
        <f>ES267</f>
        <v>717</v>
      </c>
      <c r="EV267" s="32">
        <f>EU267</f>
        <v>717</v>
      </c>
      <c r="EW267" s="32">
        <f t="shared" si="705"/>
        <v>717</v>
      </c>
      <c r="EX267" s="1061">
        <f>EV267</f>
        <v>717</v>
      </c>
      <c r="EY267" s="32">
        <f>EX267</f>
        <v>717</v>
      </c>
      <c r="EZ267" s="32">
        <f t="shared" si="706"/>
        <v>717</v>
      </c>
      <c r="FA267" s="1061">
        <f>EY267</f>
        <v>717</v>
      </c>
      <c r="FB267" s="1243"/>
      <c r="FD267"/>
      <c r="FE267"/>
      <c r="FF267"/>
      <c r="FG267"/>
      <c r="FH267"/>
      <c r="FI267"/>
    </row>
    <row r="268" spans="2:169" s="33" customFormat="1" outlineLevel="1">
      <c r="B268" s="54" t="s">
        <v>53</v>
      </c>
      <c r="C268" s="2"/>
      <c r="D268" s="2" t="s">
        <v>506</v>
      </c>
      <c r="E268" s="1205"/>
      <c r="F268" s="1192">
        <f t="shared" si="656"/>
        <v>0</v>
      </c>
      <c r="G268" s="1214"/>
      <c r="H268" s="1207"/>
      <c r="I268" s="1192">
        <f t="shared" si="657"/>
        <v>0</v>
      </c>
      <c r="J268" s="1214"/>
      <c r="K268" s="1207"/>
      <c r="L268" s="1192">
        <f t="shared" si="658"/>
        <v>0</v>
      </c>
      <c r="M268" s="1214"/>
      <c r="N268" s="1207"/>
      <c r="O268" s="1192">
        <f t="shared" si="659"/>
        <v>0</v>
      </c>
      <c r="P268" s="1214"/>
      <c r="Q268" s="1207"/>
      <c r="R268" s="1192">
        <f t="shared" si="660"/>
        <v>0</v>
      </c>
      <c r="S268" s="1260"/>
      <c r="T268" s="1207"/>
      <c r="U268" s="1192">
        <f t="shared" si="661"/>
        <v>0</v>
      </c>
      <c r="V268" s="1214"/>
      <c r="W268" s="1207"/>
      <c r="X268" s="1192">
        <f t="shared" si="662"/>
        <v>0</v>
      </c>
      <c r="Y268" s="1214"/>
      <c r="Z268" s="1207"/>
      <c r="AA268" s="1192">
        <f t="shared" si="663"/>
        <v>0</v>
      </c>
      <c r="AB268" s="1214"/>
      <c r="AC268" s="1207"/>
      <c r="AD268" s="1192">
        <f t="shared" si="664"/>
        <v>0</v>
      </c>
      <c r="AE268" s="1214"/>
      <c r="AF268" s="1207"/>
      <c r="AG268" s="1192">
        <f t="shared" si="665"/>
        <v>0</v>
      </c>
      <c r="AH268" s="1214"/>
      <c r="AI268" s="1207"/>
      <c r="AJ268" s="1192">
        <f t="shared" si="666"/>
        <v>0</v>
      </c>
      <c r="AK268" s="1214"/>
      <c r="AL268" s="1207"/>
      <c r="AM268" s="1192">
        <f t="shared" si="667"/>
        <v>0</v>
      </c>
      <c r="AN268" s="1214"/>
      <c r="AO268" s="1207"/>
      <c r="AP268" s="1192">
        <f t="shared" si="668"/>
        <v>0</v>
      </c>
      <c r="AQ268" s="1214"/>
      <c r="AR268" s="1207"/>
      <c r="AS268" s="1192">
        <f t="shared" si="669"/>
        <v>0</v>
      </c>
      <c r="AT268" s="1214"/>
      <c r="AU268" s="1207"/>
      <c r="AV268" s="1192">
        <f t="shared" si="670"/>
        <v>0</v>
      </c>
      <c r="AW268" s="1214"/>
      <c r="AX268" s="1207"/>
      <c r="AY268" s="1192">
        <f t="shared" si="671"/>
        <v>0</v>
      </c>
      <c r="AZ268" s="1214"/>
      <c r="BA268" s="1207"/>
      <c r="BB268" s="1192">
        <f t="shared" si="672"/>
        <v>0</v>
      </c>
      <c r="BC268" s="1214"/>
      <c r="BD268" s="1207"/>
      <c r="BE268" s="1192">
        <f t="shared" si="673"/>
        <v>0</v>
      </c>
      <c r="BF268" s="1214"/>
      <c r="BG268" s="1207"/>
      <c r="BH268" s="1192">
        <f t="shared" si="674"/>
        <v>0</v>
      </c>
      <c r="BI268" s="1214"/>
      <c r="BJ268" s="1207"/>
      <c r="BK268" s="1192">
        <f t="shared" si="675"/>
        <v>0</v>
      </c>
      <c r="BL268" s="1214"/>
      <c r="BM268" s="1207"/>
      <c r="BN268" s="1192">
        <f t="shared" si="676"/>
        <v>0</v>
      </c>
      <c r="BO268" s="1214"/>
      <c r="BP268" s="1207"/>
      <c r="BQ268" s="1192">
        <f t="shared" si="677"/>
        <v>0</v>
      </c>
      <c r="BR268" s="1214"/>
      <c r="BS268" s="1207"/>
      <c r="BT268" s="1192">
        <f t="shared" si="678"/>
        <v>0</v>
      </c>
      <c r="BU268" s="1214"/>
      <c r="BV268" s="1207"/>
      <c r="BW268" s="1192">
        <f t="shared" si="679"/>
        <v>0</v>
      </c>
      <c r="BX268" s="1205">
        <f>BV268</f>
        <v>0</v>
      </c>
      <c r="BY268" s="1207"/>
      <c r="BZ268" s="1192">
        <f t="shared" si="680"/>
        <v>0</v>
      </c>
      <c r="CA268" s="1205">
        <f>BY268</f>
        <v>0</v>
      </c>
      <c r="CB268" s="1207"/>
      <c r="CC268" s="1192">
        <f t="shared" si="681"/>
        <v>0</v>
      </c>
      <c r="CD268" s="1205">
        <f>CB268</f>
        <v>0</v>
      </c>
      <c r="CE268" s="1207"/>
      <c r="CF268" s="1192">
        <f t="shared" si="682"/>
        <v>0</v>
      </c>
      <c r="CG268" s="1205">
        <f>CE268</f>
        <v>0</v>
      </c>
      <c r="CH268" s="1207">
        <f>CG268</f>
        <v>0</v>
      </c>
      <c r="CI268" s="1192">
        <f t="shared" si="683"/>
        <v>0</v>
      </c>
      <c r="CJ268" s="1205">
        <f>CH268</f>
        <v>0</v>
      </c>
      <c r="CK268" s="1207">
        <f>CJ268</f>
        <v>0</v>
      </c>
      <c r="CL268" s="1192">
        <f t="shared" si="684"/>
        <v>0</v>
      </c>
      <c r="CM268" s="1205">
        <f>CK268</f>
        <v>0</v>
      </c>
      <c r="CN268" s="1207">
        <f>CM268</f>
        <v>0</v>
      </c>
      <c r="CO268" s="1192">
        <f t="shared" si="685"/>
        <v>0</v>
      </c>
      <c r="CP268" s="1205">
        <f>CN268</f>
        <v>0</v>
      </c>
      <c r="CQ268" s="1207">
        <f>CP268</f>
        <v>0</v>
      </c>
      <c r="CR268" s="1192">
        <f t="shared" si="686"/>
        <v>0</v>
      </c>
      <c r="CS268" s="1205">
        <f>CQ268</f>
        <v>0</v>
      </c>
      <c r="CT268" s="1207">
        <f>CS268</f>
        <v>0</v>
      </c>
      <c r="CU268" s="1192">
        <f t="shared" si="687"/>
        <v>0</v>
      </c>
      <c r="CV268" s="1205">
        <f>CT268</f>
        <v>0</v>
      </c>
      <c r="CW268" s="1207">
        <f>CV268</f>
        <v>0</v>
      </c>
      <c r="CX268" s="1192">
        <f t="shared" si="688"/>
        <v>0</v>
      </c>
      <c r="CY268" s="1205">
        <f>CW268</f>
        <v>0</v>
      </c>
      <c r="CZ268" s="1207">
        <f>CY268</f>
        <v>0</v>
      </c>
      <c r="DA268" s="1192">
        <f t="shared" si="689"/>
        <v>0</v>
      </c>
      <c r="DB268" s="1205">
        <f>CZ268</f>
        <v>0</v>
      </c>
      <c r="DC268" s="1207">
        <f>DB268</f>
        <v>0</v>
      </c>
      <c r="DD268" s="1192">
        <f t="shared" si="690"/>
        <v>0</v>
      </c>
      <c r="DE268" s="1219">
        <f>DC268</f>
        <v>0</v>
      </c>
      <c r="DF268" s="1207">
        <f>DE268</f>
        <v>0</v>
      </c>
      <c r="DG268" s="1192">
        <f t="shared" si="691"/>
        <v>0</v>
      </c>
      <c r="DH268" s="1219">
        <f>DF268</f>
        <v>0</v>
      </c>
      <c r="DI268" s="1207">
        <f>DH268</f>
        <v>0</v>
      </c>
      <c r="DJ268" s="1192">
        <f t="shared" si="692"/>
        <v>0</v>
      </c>
      <c r="DK268" s="1219">
        <f>DI268</f>
        <v>0</v>
      </c>
      <c r="DL268" s="32">
        <f>DK268</f>
        <v>0</v>
      </c>
      <c r="DM268" s="32">
        <f t="shared" si="693"/>
        <v>0</v>
      </c>
      <c r="DN268" s="1061">
        <f>DL268</f>
        <v>0</v>
      </c>
      <c r="DO268" s="32">
        <f>DN268</f>
        <v>0</v>
      </c>
      <c r="DP268" s="32">
        <f t="shared" si="694"/>
        <v>0</v>
      </c>
      <c r="DQ268" s="1061">
        <f>DO268</f>
        <v>0</v>
      </c>
      <c r="DR268" s="32">
        <f>DQ268</f>
        <v>0</v>
      </c>
      <c r="DS268" s="32">
        <f t="shared" si="695"/>
        <v>0</v>
      </c>
      <c r="DT268" s="1061">
        <f>DR268</f>
        <v>0</v>
      </c>
      <c r="DU268" s="32">
        <f>DT268</f>
        <v>0</v>
      </c>
      <c r="DV268" s="32">
        <f t="shared" si="696"/>
        <v>0</v>
      </c>
      <c r="DW268" s="1061">
        <f>DU268</f>
        <v>0</v>
      </c>
      <c r="DX268" s="32">
        <f>DW268</f>
        <v>0</v>
      </c>
      <c r="DY268" s="32">
        <f t="shared" si="697"/>
        <v>0</v>
      </c>
      <c r="DZ268" s="1061">
        <f>DX268</f>
        <v>0</v>
      </c>
      <c r="EA268" s="32">
        <f>DZ268</f>
        <v>0</v>
      </c>
      <c r="EB268" s="32">
        <f t="shared" si="698"/>
        <v>0</v>
      </c>
      <c r="EC268" s="1061">
        <f>EA268</f>
        <v>0</v>
      </c>
      <c r="ED268" s="32">
        <f>EC268</f>
        <v>0</v>
      </c>
      <c r="EE268" s="32">
        <f t="shared" si="699"/>
        <v>0</v>
      </c>
      <c r="EF268" s="1061">
        <f>ED268</f>
        <v>0</v>
      </c>
      <c r="EG268" s="32">
        <f>EF268</f>
        <v>0</v>
      </c>
      <c r="EH268" s="32">
        <f t="shared" si="700"/>
        <v>0</v>
      </c>
      <c r="EI268" s="1061">
        <f>EG268</f>
        <v>0</v>
      </c>
      <c r="EJ268" s="32">
        <f>EI268</f>
        <v>0</v>
      </c>
      <c r="EK268" s="32">
        <f t="shared" si="701"/>
        <v>0</v>
      </c>
      <c r="EL268" s="1061">
        <f>EJ268</f>
        <v>0</v>
      </c>
      <c r="EM268" s="32">
        <f>EL268</f>
        <v>0</v>
      </c>
      <c r="EN268" s="32">
        <f t="shared" si="702"/>
        <v>0</v>
      </c>
      <c r="EO268" s="1061">
        <f>EM268</f>
        <v>0</v>
      </c>
      <c r="EP268" s="32">
        <f>EO268</f>
        <v>0</v>
      </c>
      <c r="EQ268" s="32">
        <f t="shared" si="703"/>
        <v>0</v>
      </c>
      <c r="ER268" s="1061">
        <f>EP268</f>
        <v>0</v>
      </c>
      <c r="ES268" s="32">
        <f>ER268</f>
        <v>0</v>
      </c>
      <c r="ET268" s="32">
        <f t="shared" si="704"/>
        <v>0</v>
      </c>
      <c r="EU268" s="1061">
        <f>ES268</f>
        <v>0</v>
      </c>
      <c r="EV268" s="32">
        <f>EU268</f>
        <v>0</v>
      </c>
      <c r="EW268" s="32">
        <f t="shared" si="705"/>
        <v>0</v>
      </c>
      <c r="EX268" s="1061">
        <f>EV268</f>
        <v>0</v>
      </c>
      <c r="EY268" s="32">
        <f>EX268</f>
        <v>0</v>
      </c>
      <c r="EZ268" s="32">
        <f t="shared" si="706"/>
        <v>0</v>
      </c>
      <c r="FA268" s="1061">
        <f>EY268</f>
        <v>0</v>
      </c>
      <c r="FB268" s="1243"/>
      <c r="FD268"/>
      <c r="FE268"/>
      <c r="FF268"/>
      <c r="FG268"/>
      <c r="FH268"/>
      <c r="FI268"/>
    </row>
    <row r="269" spans="2:169" s="33" customFormat="1" outlineLevel="1">
      <c r="B269" s="54" t="s">
        <v>54</v>
      </c>
      <c r="C269" s="2"/>
      <c r="D269" s="2" t="s">
        <v>506</v>
      </c>
      <c r="E269" s="1205"/>
      <c r="F269" s="32">
        <f t="shared" si="656"/>
        <v>0</v>
      </c>
      <c r="G269" s="1214"/>
      <c r="H269" s="1207"/>
      <c r="I269" s="32">
        <f t="shared" si="657"/>
        <v>0</v>
      </c>
      <c r="J269" s="1214"/>
      <c r="K269" s="1207"/>
      <c r="L269" s="32">
        <f t="shared" si="658"/>
        <v>0</v>
      </c>
      <c r="M269" s="1214"/>
      <c r="N269" s="1207"/>
      <c r="O269" s="32">
        <f t="shared" si="659"/>
        <v>0</v>
      </c>
      <c r="P269" s="1214"/>
      <c r="Q269" s="1207"/>
      <c r="R269" s="32">
        <f t="shared" si="660"/>
        <v>0</v>
      </c>
      <c r="S269" s="1260"/>
      <c r="T269" s="1207"/>
      <c r="U269" s="32">
        <f t="shared" si="661"/>
        <v>0</v>
      </c>
      <c r="V269" s="1214"/>
      <c r="W269" s="1207"/>
      <c r="X269" s="32">
        <f t="shared" si="662"/>
        <v>0</v>
      </c>
      <c r="Y269" s="1214"/>
      <c r="Z269" s="1207"/>
      <c r="AA269" s="32">
        <f t="shared" si="663"/>
        <v>0</v>
      </c>
      <c r="AB269" s="1214"/>
      <c r="AC269" s="1207"/>
      <c r="AD269" s="32">
        <f t="shared" si="664"/>
        <v>0</v>
      </c>
      <c r="AE269" s="1214"/>
      <c r="AF269" s="1207"/>
      <c r="AG269" s="32">
        <f t="shared" si="665"/>
        <v>0</v>
      </c>
      <c r="AH269" s="1214"/>
      <c r="AI269" s="1207"/>
      <c r="AJ269" s="32">
        <f t="shared" si="666"/>
        <v>0</v>
      </c>
      <c r="AK269" s="1214"/>
      <c r="AL269" s="1207"/>
      <c r="AM269" s="32">
        <f t="shared" si="667"/>
        <v>0</v>
      </c>
      <c r="AN269" s="1214"/>
      <c r="AO269" s="1207"/>
      <c r="AP269" s="32">
        <f t="shared" si="668"/>
        <v>0</v>
      </c>
      <c r="AQ269" s="1214"/>
      <c r="AR269" s="1207"/>
      <c r="AS269" s="32">
        <f t="shared" si="669"/>
        <v>0</v>
      </c>
      <c r="AT269" s="1214"/>
      <c r="AU269" s="1207"/>
      <c r="AV269" s="32">
        <f t="shared" si="670"/>
        <v>0</v>
      </c>
      <c r="AW269" s="1214"/>
      <c r="AX269" s="1207"/>
      <c r="AY269" s="32">
        <f t="shared" si="671"/>
        <v>0</v>
      </c>
      <c r="AZ269" s="1214"/>
      <c r="BA269" s="1207"/>
      <c r="BB269" s="32">
        <f t="shared" si="672"/>
        <v>0</v>
      </c>
      <c r="BC269" s="1214"/>
      <c r="BD269" s="1207"/>
      <c r="BE269" s="32">
        <f t="shared" si="673"/>
        <v>0</v>
      </c>
      <c r="BF269" s="1214"/>
      <c r="BG269" s="1207"/>
      <c r="BH269" s="32">
        <f t="shared" si="674"/>
        <v>0</v>
      </c>
      <c r="BI269" s="1214"/>
      <c r="BJ269" s="1207"/>
      <c r="BK269" s="32">
        <f t="shared" si="675"/>
        <v>0</v>
      </c>
      <c r="BL269" s="1214"/>
      <c r="BM269" s="1207"/>
      <c r="BN269" s="32">
        <f t="shared" si="676"/>
        <v>0</v>
      </c>
      <c r="BO269" s="1214"/>
      <c r="BP269" s="1207"/>
      <c r="BQ269" s="32">
        <f t="shared" si="677"/>
        <v>0</v>
      </c>
      <c r="BR269" s="1214"/>
      <c r="BS269" s="1207"/>
      <c r="BT269" s="32">
        <f t="shared" si="678"/>
        <v>0</v>
      </c>
      <c r="BU269" s="1214"/>
      <c r="BV269" s="1207"/>
      <c r="BW269" s="32">
        <f t="shared" si="679"/>
        <v>0</v>
      </c>
      <c r="BX269" s="1205">
        <f>BV269</f>
        <v>0</v>
      </c>
      <c r="BY269" s="1207"/>
      <c r="BZ269" s="32">
        <f t="shared" si="680"/>
        <v>0</v>
      </c>
      <c r="CA269" s="1205">
        <f>BY269</f>
        <v>0</v>
      </c>
      <c r="CB269" s="1207"/>
      <c r="CC269" s="32">
        <f t="shared" si="681"/>
        <v>0</v>
      </c>
      <c r="CD269" s="1205">
        <f>CB269</f>
        <v>0</v>
      </c>
      <c r="CE269" s="1207"/>
      <c r="CF269" s="32">
        <f t="shared" si="682"/>
        <v>0</v>
      </c>
      <c r="CG269" s="1205">
        <f>CE269</f>
        <v>0</v>
      </c>
      <c r="CH269" s="1207">
        <f>CG269</f>
        <v>0</v>
      </c>
      <c r="CI269" s="1192">
        <f t="shared" si="683"/>
        <v>0</v>
      </c>
      <c r="CJ269" s="1205">
        <f>CH269</f>
        <v>0</v>
      </c>
      <c r="CK269" s="1207">
        <f>CJ269</f>
        <v>0</v>
      </c>
      <c r="CL269" s="1192">
        <f t="shared" si="684"/>
        <v>0</v>
      </c>
      <c r="CM269" s="1205">
        <f>CK269</f>
        <v>0</v>
      </c>
      <c r="CN269" s="1207">
        <f>CM269</f>
        <v>0</v>
      </c>
      <c r="CO269" s="1192">
        <f t="shared" si="685"/>
        <v>0</v>
      </c>
      <c r="CP269" s="1205">
        <f>CN269</f>
        <v>0</v>
      </c>
      <c r="CQ269" s="1207">
        <f>CP269</f>
        <v>0</v>
      </c>
      <c r="CR269" s="1192">
        <f t="shared" si="686"/>
        <v>0</v>
      </c>
      <c r="CS269" s="1205">
        <f>CQ269</f>
        <v>0</v>
      </c>
      <c r="CT269" s="1207">
        <f>CS269</f>
        <v>0</v>
      </c>
      <c r="CU269" s="1192">
        <f t="shared" si="687"/>
        <v>0</v>
      </c>
      <c r="CV269" s="1205">
        <f>CT269</f>
        <v>0</v>
      </c>
      <c r="CW269" s="1207">
        <f>CV269</f>
        <v>0</v>
      </c>
      <c r="CX269" s="1192">
        <f t="shared" si="688"/>
        <v>0</v>
      </c>
      <c r="CY269" s="1205">
        <f>CW269</f>
        <v>0</v>
      </c>
      <c r="CZ269" s="1207">
        <f>CY269</f>
        <v>0</v>
      </c>
      <c r="DA269" s="1192">
        <f t="shared" si="689"/>
        <v>0</v>
      </c>
      <c r="DB269" s="1205">
        <f>CZ269</f>
        <v>0</v>
      </c>
      <c r="DC269" s="1207">
        <f>DB269</f>
        <v>0</v>
      </c>
      <c r="DD269" s="1192">
        <f t="shared" si="690"/>
        <v>0</v>
      </c>
      <c r="DE269" s="1219">
        <f>DC269</f>
        <v>0</v>
      </c>
      <c r="DF269" s="1207">
        <f>DE269</f>
        <v>0</v>
      </c>
      <c r="DG269" s="1192">
        <f t="shared" si="691"/>
        <v>0</v>
      </c>
      <c r="DH269" s="1219">
        <f>DF269</f>
        <v>0</v>
      </c>
      <c r="DI269" s="1207">
        <f>DH269</f>
        <v>0</v>
      </c>
      <c r="DJ269" s="1192">
        <f t="shared" si="692"/>
        <v>0</v>
      </c>
      <c r="DK269" s="1219">
        <f>DI269</f>
        <v>0</v>
      </c>
      <c r="DL269" s="32">
        <f>DK269</f>
        <v>0</v>
      </c>
      <c r="DM269" s="32">
        <f t="shared" si="693"/>
        <v>0</v>
      </c>
      <c r="DN269" s="1061">
        <f>DL269</f>
        <v>0</v>
      </c>
      <c r="DO269" s="32">
        <f>DN269</f>
        <v>0</v>
      </c>
      <c r="DP269" s="32">
        <f t="shared" si="694"/>
        <v>0</v>
      </c>
      <c r="DQ269" s="1061">
        <f>DO269</f>
        <v>0</v>
      </c>
      <c r="DR269" s="32">
        <f>DQ269</f>
        <v>0</v>
      </c>
      <c r="DS269" s="32">
        <f t="shared" si="695"/>
        <v>0</v>
      </c>
      <c r="DT269" s="1061">
        <f>DR269</f>
        <v>0</v>
      </c>
      <c r="DU269" s="32">
        <f>DT269</f>
        <v>0</v>
      </c>
      <c r="DV269" s="32">
        <f t="shared" si="696"/>
        <v>0</v>
      </c>
      <c r="DW269" s="1061">
        <f>DU269</f>
        <v>0</v>
      </c>
      <c r="DX269" s="32">
        <f>DW269</f>
        <v>0</v>
      </c>
      <c r="DY269" s="32">
        <f t="shared" si="697"/>
        <v>0</v>
      </c>
      <c r="DZ269" s="1061">
        <f>DX269</f>
        <v>0</v>
      </c>
      <c r="EA269" s="32">
        <f>DZ269</f>
        <v>0</v>
      </c>
      <c r="EB269" s="32">
        <f t="shared" si="698"/>
        <v>0</v>
      </c>
      <c r="EC269" s="1061">
        <f>EA269</f>
        <v>0</v>
      </c>
      <c r="ED269" s="32">
        <f>EC269</f>
        <v>0</v>
      </c>
      <c r="EE269" s="32">
        <f t="shared" si="699"/>
        <v>0</v>
      </c>
      <c r="EF269" s="1061">
        <f>ED269</f>
        <v>0</v>
      </c>
      <c r="EG269" s="32">
        <f>EF269</f>
        <v>0</v>
      </c>
      <c r="EH269" s="32">
        <f t="shared" si="700"/>
        <v>0</v>
      </c>
      <c r="EI269" s="1061">
        <f>EG269</f>
        <v>0</v>
      </c>
      <c r="EJ269" s="32">
        <f>EI269</f>
        <v>0</v>
      </c>
      <c r="EK269" s="32">
        <f t="shared" si="701"/>
        <v>0</v>
      </c>
      <c r="EL269" s="1061">
        <f>EJ269</f>
        <v>0</v>
      </c>
      <c r="EM269" s="32">
        <f>EL269</f>
        <v>0</v>
      </c>
      <c r="EN269" s="32">
        <f t="shared" si="702"/>
        <v>0</v>
      </c>
      <c r="EO269" s="1061">
        <f>EM269</f>
        <v>0</v>
      </c>
      <c r="EP269" s="32">
        <f>EO269</f>
        <v>0</v>
      </c>
      <c r="EQ269" s="32">
        <f t="shared" si="703"/>
        <v>0</v>
      </c>
      <c r="ER269" s="1061">
        <f>EP269</f>
        <v>0</v>
      </c>
      <c r="ES269" s="32">
        <f>ER269</f>
        <v>0</v>
      </c>
      <c r="ET269" s="32">
        <f t="shared" si="704"/>
        <v>0</v>
      </c>
      <c r="EU269" s="1061">
        <f>ES269</f>
        <v>0</v>
      </c>
      <c r="EV269" s="32">
        <f>EU269</f>
        <v>0</v>
      </c>
      <c r="EW269" s="32">
        <f t="shared" si="705"/>
        <v>0</v>
      </c>
      <c r="EX269" s="1061">
        <f>EV269</f>
        <v>0</v>
      </c>
      <c r="EY269" s="32">
        <f>EX269</f>
        <v>0</v>
      </c>
      <c r="EZ269" s="32">
        <f t="shared" si="706"/>
        <v>0</v>
      </c>
      <c r="FA269" s="1061">
        <f>EY269</f>
        <v>0</v>
      </c>
      <c r="FB269" s="1243"/>
      <c r="FD269"/>
      <c r="FE269"/>
      <c r="FF269"/>
      <c r="FG269"/>
      <c r="FH269"/>
      <c r="FI269"/>
    </row>
    <row r="270" spans="2:169" s="33" customFormat="1" outlineLevel="1">
      <c r="B270" s="54" t="s">
        <v>55</v>
      </c>
      <c r="C270" s="2"/>
      <c r="D270" s="2" t="s">
        <v>506</v>
      </c>
      <c r="E270" s="1205"/>
      <c r="F270" s="32">
        <f t="shared" si="656"/>
        <v>0</v>
      </c>
      <c r="G270" s="1214"/>
      <c r="H270" s="1207"/>
      <c r="I270" s="32">
        <f t="shared" si="657"/>
        <v>0</v>
      </c>
      <c r="J270" s="1214"/>
      <c r="K270" s="1207"/>
      <c r="L270" s="32">
        <f t="shared" si="658"/>
        <v>0</v>
      </c>
      <c r="M270" s="1214"/>
      <c r="N270" s="1207"/>
      <c r="O270" s="32">
        <f t="shared" si="659"/>
        <v>0</v>
      </c>
      <c r="P270" s="1214"/>
      <c r="Q270" s="1207"/>
      <c r="R270" s="32">
        <f t="shared" si="660"/>
        <v>0</v>
      </c>
      <c r="S270" s="1260"/>
      <c r="T270" s="1207"/>
      <c r="U270" s="32">
        <f t="shared" si="661"/>
        <v>0</v>
      </c>
      <c r="V270" s="1214"/>
      <c r="W270" s="1207"/>
      <c r="X270" s="32">
        <f t="shared" si="662"/>
        <v>0</v>
      </c>
      <c r="Y270" s="1214"/>
      <c r="Z270" s="1207"/>
      <c r="AA270" s="32">
        <f t="shared" si="663"/>
        <v>0</v>
      </c>
      <c r="AB270" s="1214"/>
      <c r="AC270" s="1207"/>
      <c r="AD270" s="32">
        <f t="shared" si="664"/>
        <v>0</v>
      </c>
      <c r="AE270" s="1214"/>
      <c r="AF270" s="1207"/>
      <c r="AG270" s="32">
        <f t="shared" si="665"/>
        <v>0</v>
      </c>
      <c r="AH270" s="1214"/>
      <c r="AI270" s="1207"/>
      <c r="AJ270" s="32">
        <f t="shared" si="666"/>
        <v>0</v>
      </c>
      <c r="AK270" s="1214"/>
      <c r="AL270" s="1207"/>
      <c r="AM270" s="32">
        <f t="shared" si="667"/>
        <v>0</v>
      </c>
      <c r="AN270" s="1214"/>
      <c r="AO270" s="1207"/>
      <c r="AP270" s="32">
        <f t="shared" si="668"/>
        <v>0</v>
      </c>
      <c r="AQ270" s="1214"/>
      <c r="AR270" s="1207"/>
      <c r="AS270" s="32">
        <f t="shared" si="669"/>
        <v>0</v>
      </c>
      <c r="AT270" s="1214"/>
      <c r="AU270" s="1207"/>
      <c r="AV270" s="32">
        <f t="shared" si="670"/>
        <v>0</v>
      </c>
      <c r="AW270" s="1214"/>
      <c r="AX270" s="1207"/>
      <c r="AY270" s="32">
        <f t="shared" si="671"/>
        <v>0</v>
      </c>
      <c r="AZ270" s="1214"/>
      <c r="BA270" s="1207"/>
      <c r="BB270" s="32">
        <f t="shared" si="672"/>
        <v>0</v>
      </c>
      <c r="BC270" s="1214"/>
      <c r="BD270" s="1207"/>
      <c r="BE270" s="32">
        <f t="shared" si="673"/>
        <v>0</v>
      </c>
      <c r="BF270" s="1214"/>
      <c r="BG270" s="1207"/>
      <c r="BH270" s="32">
        <f t="shared" si="674"/>
        <v>0</v>
      </c>
      <c r="BI270" s="1214"/>
      <c r="BJ270" s="1207"/>
      <c r="BK270" s="32">
        <f t="shared" si="675"/>
        <v>0</v>
      </c>
      <c r="BL270" s="1214"/>
      <c r="BM270" s="1207"/>
      <c r="BN270" s="32">
        <f t="shared" si="676"/>
        <v>0</v>
      </c>
      <c r="BO270" s="1214"/>
      <c r="BP270" s="1207"/>
      <c r="BQ270" s="32">
        <f t="shared" si="677"/>
        <v>0</v>
      </c>
      <c r="BR270" s="1214"/>
      <c r="BS270" s="1207"/>
      <c r="BT270" s="32">
        <f t="shared" si="678"/>
        <v>0</v>
      </c>
      <c r="BU270" s="1214"/>
      <c r="BV270" s="1207"/>
      <c r="BW270" s="32">
        <f t="shared" si="679"/>
        <v>0</v>
      </c>
      <c r="BX270" s="1205">
        <f>BV270</f>
        <v>0</v>
      </c>
      <c r="BY270" s="1207"/>
      <c r="BZ270" s="32">
        <f t="shared" si="680"/>
        <v>0</v>
      </c>
      <c r="CA270" s="1205">
        <f>BY270</f>
        <v>0</v>
      </c>
      <c r="CB270" s="1207"/>
      <c r="CC270" s="32">
        <f t="shared" si="681"/>
        <v>0</v>
      </c>
      <c r="CD270" s="1205">
        <f>CB270</f>
        <v>0</v>
      </c>
      <c r="CE270" s="1207"/>
      <c r="CF270" s="32">
        <f t="shared" si="682"/>
        <v>0</v>
      </c>
      <c r="CG270" s="1205">
        <f>CE270</f>
        <v>0</v>
      </c>
      <c r="CH270" s="1207">
        <f>CG270</f>
        <v>0</v>
      </c>
      <c r="CI270" s="1192">
        <f t="shared" si="683"/>
        <v>0</v>
      </c>
      <c r="CJ270" s="1205">
        <f>CH270</f>
        <v>0</v>
      </c>
      <c r="CK270" s="1207">
        <f>CJ270</f>
        <v>0</v>
      </c>
      <c r="CL270" s="1192">
        <f t="shared" si="684"/>
        <v>0</v>
      </c>
      <c r="CM270" s="1205">
        <f>CK270</f>
        <v>0</v>
      </c>
      <c r="CN270" s="1207">
        <f>CM270</f>
        <v>0</v>
      </c>
      <c r="CO270" s="1192">
        <f t="shared" si="685"/>
        <v>0</v>
      </c>
      <c r="CP270" s="1205">
        <f>CN270</f>
        <v>0</v>
      </c>
      <c r="CQ270" s="1207">
        <f>CP270</f>
        <v>0</v>
      </c>
      <c r="CR270" s="1192">
        <f t="shared" si="686"/>
        <v>0</v>
      </c>
      <c r="CS270" s="1205">
        <f>CQ270</f>
        <v>0</v>
      </c>
      <c r="CT270" s="1207">
        <f>CS270</f>
        <v>0</v>
      </c>
      <c r="CU270" s="1192">
        <f t="shared" si="687"/>
        <v>0</v>
      </c>
      <c r="CV270" s="1205">
        <f>CT270</f>
        <v>0</v>
      </c>
      <c r="CW270" s="1207">
        <f>CV270</f>
        <v>0</v>
      </c>
      <c r="CX270" s="1192">
        <f t="shared" si="688"/>
        <v>0</v>
      </c>
      <c r="CY270" s="1205">
        <f>CW270</f>
        <v>0</v>
      </c>
      <c r="CZ270" s="1207">
        <f>CY270</f>
        <v>0</v>
      </c>
      <c r="DA270" s="1192">
        <f t="shared" si="689"/>
        <v>0</v>
      </c>
      <c r="DB270" s="1205">
        <f>CZ270</f>
        <v>0</v>
      </c>
      <c r="DC270" s="1207">
        <f>DB270</f>
        <v>0</v>
      </c>
      <c r="DD270" s="1192">
        <f t="shared" si="690"/>
        <v>0</v>
      </c>
      <c r="DE270" s="1219">
        <f>DC270</f>
        <v>0</v>
      </c>
      <c r="DF270" s="1207">
        <f>DE270</f>
        <v>0</v>
      </c>
      <c r="DG270" s="1192">
        <f t="shared" si="691"/>
        <v>0</v>
      </c>
      <c r="DH270" s="1219">
        <f>DF270</f>
        <v>0</v>
      </c>
      <c r="DI270" s="1207">
        <f>DH270</f>
        <v>0</v>
      </c>
      <c r="DJ270" s="1192">
        <f t="shared" si="692"/>
        <v>0</v>
      </c>
      <c r="DK270" s="1219">
        <f>DI270</f>
        <v>0</v>
      </c>
      <c r="DL270" s="32">
        <f>DK270</f>
        <v>0</v>
      </c>
      <c r="DM270" s="32">
        <f t="shared" si="693"/>
        <v>0</v>
      </c>
      <c r="DN270" s="1061">
        <f>DL270</f>
        <v>0</v>
      </c>
      <c r="DO270" s="32">
        <f>DN270</f>
        <v>0</v>
      </c>
      <c r="DP270" s="32">
        <f t="shared" si="694"/>
        <v>0</v>
      </c>
      <c r="DQ270" s="1061">
        <f>DO270</f>
        <v>0</v>
      </c>
      <c r="DR270" s="32">
        <f>DQ270</f>
        <v>0</v>
      </c>
      <c r="DS270" s="32">
        <f t="shared" si="695"/>
        <v>0</v>
      </c>
      <c r="DT270" s="1061">
        <f>DR270</f>
        <v>0</v>
      </c>
      <c r="DU270" s="32">
        <f>DT270</f>
        <v>0</v>
      </c>
      <c r="DV270" s="32">
        <f t="shared" si="696"/>
        <v>0</v>
      </c>
      <c r="DW270" s="1061">
        <f>DU270</f>
        <v>0</v>
      </c>
      <c r="DX270" s="32">
        <f>DW270</f>
        <v>0</v>
      </c>
      <c r="DY270" s="32">
        <f t="shared" si="697"/>
        <v>0</v>
      </c>
      <c r="DZ270" s="1061">
        <f>DX270</f>
        <v>0</v>
      </c>
      <c r="EA270" s="32">
        <f>DZ270</f>
        <v>0</v>
      </c>
      <c r="EB270" s="32">
        <f t="shared" si="698"/>
        <v>0</v>
      </c>
      <c r="EC270" s="1061">
        <f>EA270</f>
        <v>0</v>
      </c>
      <c r="ED270" s="32">
        <f>EC270</f>
        <v>0</v>
      </c>
      <c r="EE270" s="32">
        <f t="shared" si="699"/>
        <v>0</v>
      </c>
      <c r="EF270" s="1061">
        <f>ED270</f>
        <v>0</v>
      </c>
      <c r="EG270" s="32">
        <f>EF270</f>
        <v>0</v>
      </c>
      <c r="EH270" s="32">
        <f t="shared" si="700"/>
        <v>0</v>
      </c>
      <c r="EI270" s="1061">
        <f>EG270</f>
        <v>0</v>
      </c>
      <c r="EJ270" s="32">
        <f>EI270</f>
        <v>0</v>
      </c>
      <c r="EK270" s="32">
        <f t="shared" si="701"/>
        <v>0</v>
      </c>
      <c r="EL270" s="1061">
        <f>EJ270</f>
        <v>0</v>
      </c>
      <c r="EM270" s="32">
        <f>EL270</f>
        <v>0</v>
      </c>
      <c r="EN270" s="32">
        <f t="shared" si="702"/>
        <v>0</v>
      </c>
      <c r="EO270" s="1061">
        <f>EM270</f>
        <v>0</v>
      </c>
      <c r="EP270" s="32">
        <f>EO270</f>
        <v>0</v>
      </c>
      <c r="EQ270" s="32">
        <f t="shared" si="703"/>
        <v>0</v>
      </c>
      <c r="ER270" s="1061">
        <f>EP270</f>
        <v>0</v>
      </c>
      <c r="ES270" s="32">
        <f>ER270</f>
        <v>0</v>
      </c>
      <c r="ET270" s="32">
        <f t="shared" si="704"/>
        <v>0</v>
      </c>
      <c r="EU270" s="1061">
        <f>ES270</f>
        <v>0</v>
      </c>
      <c r="EV270" s="32">
        <f>EU270</f>
        <v>0</v>
      </c>
      <c r="EW270" s="32">
        <f t="shared" si="705"/>
        <v>0</v>
      </c>
      <c r="EX270" s="1061">
        <f>EV270</f>
        <v>0</v>
      </c>
      <c r="EY270" s="32">
        <f>EX270</f>
        <v>0</v>
      </c>
      <c r="EZ270" s="32">
        <f t="shared" si="706"/>
        <v>0</v>
      </c>
      <c r="FA270" s="1061">
        <f>EY270</f>
        <v>0</v>
      </c>
      <c r="FB270" s="1243"/>
      <c r="FD270"/>
      <c r="FE270"/>
      <c r="FF270"/>
      <c r="FG270"/>
      <c r="FH270"/>
      <c r="FI270"/>
    </row>
    <row r="271" spans="2:169" s="33" customFormat="1" outlineLevel="1">
      <c r="B271" s="54" t="s">
        <v>56</v>
      </c>
      <c r="C271" s="2"/>
      <c r="D271" s="2" t="s">
        <v>506</v>
      </c>
      <c r="E271" s="1205"/>
      <c r="F271" s="32">
        <f t="shared" si="656"/>
        <v>0</v>
      </c>
      <c r="G271" s="1214"/>
      <c r="H271" s="1207"/>
      <c r="I271" s="32">
        <f t="shared" si="657"/>
        <v>0</v>
      </c>
      <c r="J271" s="1214"/>
      <c r="K271" s="1207"/>
      <c r="L271" s="32">
        <f t="shared" si="658"/>
        <v>0</v>
      </c>
      <c r="M271" s="1214"/>
      <c r="N271" s="1207"/>
      <c r="O271" s="32">
        <f t="shared" si="659"/>
        <v>0</v>
      </c>
      <c r="P271" s="1214"/>
      <c r="Q271" s="1207"/>
      <c r="R271" s="32">
        <f t="shared" si="660"/>
        <v>0</v>
      </c>
      <c r="S271" s="1260"/>
      <c r="T271" s="1207"/>
      <c r="U271" s="32">
        <f t="shared" si="661"/>
        <v>0</v>
      </c>
      <c r="V271" s="1214"/>
      <c r="W271" s="1207"/>
      <c r="X271" s="32">
        <f t="shared" si="662"/>
        <v>0</v>
      </c>
      <c r="Y271" s="1214"/>
      <c r="Z271" s="1207"/>
      <c r="AA271" s="32">
        <f t="shared" si="663"/>
        <v>0</v>
      </c>
      <c r="AB271" s="1214"/>
      <c r="AC271" s="1207"/>
      <c r="AD271" s="32">
        <f t="shared" si="664"/>
        <v>0</v>
      </c>
      <c r="AE271" s="1214"/>
      <c r="AF271" s="1207"/>
      <c r="AG271" s="32">
        <f t="shared" si="665"/>
        <v>0</v>
      </c>
      <c r="AH271" s="1214"/>
      <c r="AI271" s="1207"/>
      <c r="AJ271" s="32">
        <f t="shared" si="666"/>
        <v>0</v>
      </c>
      <c r="AK271" s="1214"/>
      <c r="AL271" s="1207"/>
      <c r="AM271" s="32">
        <f t="shared" si="667"/>
        <v>0</v>
      </c>
      <c r="AN271" s="1214"/>
      <c r="AO271" s="1207"/>
      <c r="AP271" s="32">
        <f t="shared" si="668"/>
        <v>0</v>
      </c>
      <c r="AQ271" s="1214"/>
      <c r="AR271" s="1207"/>
      <c r="AS271" s="32">
        <f t="shared" si="669"/>
        <v>0</v>
      </c>
      <c r="AT271" s="1214"/>
      <c r="AU271" s="1207"/>
      <c r="AV271" s="32">
        <f t="shared" si="670"/>
        <v>0</v>
      </c>
      <c r="AW271" s="1214"/>
      <c r="AX271" s="1207"/>
      <c r="AY271" s="32">
        <f t="shared" si="671"/>
        <v>0</v>
      </c>
      <c r="AZ271" s="1214"/>
      <c r="BA271" s="1207"/>
      <c r="BB271" s="32">
        <f t="shared" si="672"/>
        <v>0</v>
      </c>
      <c r="BC271" s="1214"/>
      <c r="BD271" s="1207"/>
      <c r="BE271" s="32">
        <f t="shared" si="673"/>
        <v>0</v>
      </c>
      <c r="BF271" s="1214"/>
      <c r="BG271" s="1207"/>
      <c r="BH271" s="32">
        <f t="shared" si="674"/>
        <v>0</v>
      </c>
      <c r="BI271" s="1214"/>
      <c r="BJ271" s="1207"/>
      <c r="BK271" s="32">
        <f t="shared" si="675"/>
        <v>0</v>
      </c>
      <c r="BL271" s="1214"/>
      <c r="BM271" s="1207"/>
      <c r="BN271" s="32">
        <f t="shared" si="676"/>
        <v>0</v>
      </c>
      <c r="BO271" s="1214"/>
      <c r="BP271" s="1207"/>
      <c r="BQ271" s="32">
        <f t="shared" si="677"/>
        <v>0</v>
      </c>
      <c r="BR271" s="1214"/>
      <c r="BS271" s="1207"/>
      <c r="BT271" s="32">
        <f t="shared" si="678"/>
        <v>0</v>
      </c>
      <c r="BU271" s="1214"/>
      <c r="BV271" s="1207"/>
      <c r="BW271" s="32">
        <f t="shared" si="679"/>
        <v>0</v>
      </c>
      <c r="BX271" s="1205">
        <f>BV271</f>
        <v>0</v>
      </c>
      <c r="BY271" s="1207"/>
      <c r="BZ271" s="32">
        <f t="shared" si="680"/>
        <v>0</v>
      </c>
      <c r="CA271" s="1205">
        <f>BY271</f>
        <v>0</v>
      </c>
      <c r="CB271" s="1207"/>
      <c r="CC271" s="32">
        <f t="shared" si="681"/>
        <v>0</v>
      </c>
      <c r="CD271" s="1205">
        <f>CB271</f>
        <v>0</v>
      </c>
      <c r="CE271" s="1207"/>
      <c r="CF271" s="32">
        <f t="shared" si="682"/>
        <v>0</v>
      </c>
      <c r="CG271" s="1205">
        <f>CE271</f>
        <v>0</v>
      </c>
      <c r="CH271" s="1207">
        <f>CG271</f>
        <v>0</v>
      </c>
      <c r="CI271" s="1192">
        <f t="shared" si="683"/>
        <v>0</v>
      </c>
      <c r="CJ271" s="1205">
        <f>CH271</f>
        <v>0</v>
      </c>
      <c r="CK271" s="1207">
        <f>CJ271</f>
        <v>0</v>
      </c>
      <c r="CL271" s="1192">
        <f t="shared" si="684"/>
        <v>0</v>
      </c>
      <c r="CM271" s="1205">
        <f>CK271</f>
        <v>0</v>
      </c>
      <c r="CN271" s="1207">
        <f>CM271</f>
        <v>0</v>
      </c>
      <c r="CO271" s="1192">
        <f t="shared" si="685"/>
        <v>0</v>
      </c>
      <c r="CP271" s="1205">
        <f>CN271</f>
        <v>0</v>
      </c>
      <c r="CQ271" s="1207">
        <f>CP271</f>
        <v>0</v>
      </c>
      <c r="CR271" s="1192">
        <f t="shared" si="686"/>
        <v>0</v>
      </c>
      <c r="CS271" s="1205">
        <f>CQ271</f>
        <v>0</v>
      </c>
      <c r="CT271" s="1207">
        <f>CS271</f>
        <v>0</v>
      </c>
      <c r="CU271" s="1192">
        <f t="shared" si="687"/>
        <v>0</v>
      </c>
      <c r="CV271" s="1205">
        <f>CT271</f>
        <v>0</v>
      </c>
      <c r="CW271" s="1207">
        <f>CV271</f>
        <v>0</v>
      </c>
      <c r="CX271" s="1192">
        <f t="shared" si="688"/>
        <v>0</v>
      </c>
      <c r="CY271" s="1205">
        <f>CW271</f>
        <v>0</v>
      </c>
      <c r="CZ271" s="1207">
        <f>CY271</f>
        <v>0</v>
      </c>
      <c r="DA271" s="1192">
        <f t="shared" si="689"/>
        <v>0</v>
      </c>
      <c r="DB271" s="1205">
        <f>CZ271</f>
        <v>0</v>
      </c>
      <c r="DC271" s="1207">
        <f>DB271</f>
        <v>0</v>
      </c>
      <c r="DD271" s="1192">
        <f t="shared" si="690"/>
        <v>0</v>
      </c>
      <c r="DE271" s="1219">
        <f>DC271</f>
        <v>0</v>
      </c>
      <c r="DF271" s="1207">
        <f>DE271</f>
        <v>0</v>
      </c>
      <c r="DG271" s="1192">
        <f t="shared" si="691"/>
        <v>0</v>
      </c>
      <c r="DH271" s="1219">
        <f>DF271</f>
        <v>0</v>
      </c>
      <c r="DI271" s="1207">
        <f>DH271</f>
        <v>0</v>
      </c>
      <c r="DJ271" s="1192">
        <f t="shared" si="692"/>
        <v>0</v>
      </c>
      <c r="DK271" s="1219">
        <f>DI271</f>
        <v>0</v>
      </c>
      <c r="DL271" s="32">
        <f>DK271</f>
        <v>0</v>
      </c>
      <c r="DM271" s="32">
        <f t="shared" si="693"/>
        <v>0</v>
      </c>
      <c r="DN271" s="1061">
        <f>DL271</f>
        <v>0</v>
      </c>
      <c r="DO271" s="32">
        <f>DN271</f>
        <v>0</v>
      </c>
      <c r="DP271" s="32">
        <f t="shared" si="694"/>
        <v>0</v>
      </c>
      <c r="DQ271" s="1061">
        <f>DO271</f>
        <v>0</v>
      </c>
      <c r="DR271" s="32">
        <f>DQ271</f>
        <v>0</v>
      </c>
      <c r="DS271" s="32">
        <f t="shared" si="695"/>
        <v>0</v>
      </c>
      <c r="DT271" s="1061">
        <f>DR271</f>
        <v>0</v>
      </c>
      <c r="DU271" s="32">
        <f>DT271</f>
        <v>0</v>
      </c>
      <c r="DV271" s="32">
        <f t="shared" si="696"/>
        <v>0</v>
      </c>
      <c r="DW271" s="1061">
        <f>DU271</f>
        <v>0</v>
      </c>
      <c r="DX271" s="32">
        <f>DW271</f>
        <v>0</v>
      </c>
      <c r="DY271" s="32">
        <f t="shared" si="697"/>
        <v>0</v>
      </c>
      <c r="DZ271" s="1061">
        <f>DX271</f>
        <v>0</v>
      </c>
      <c r="EA271" s="32">
        <f>DZ271</f>
        <v>0</v>
      </c>
      <c r="EB271" s="32">
        <f t="shared" si="698"/>
        <v>0</v>
      </c>
      <c r="EC271" s="1061">
        <f>EA271</f>
        <v>0</v>
      </c>
      <c r="ED271" s="32">
        <f>EC271</f>
        <v>0</v>
      </c>
      <c r="EE271" s="32">
        <f t="shared" si="699"/>
        <v>0</v>
      </c>
      <c r="EF271" s="1061">
        <f>ED271</f>
        <v>0</v>
      </c>
      <c r="EG271" s="32">
        <f>EF271</f>
        <v>0</v>
      </c>
      <c r="EH271" s="32">
        <f t="shared" si="700"/>
        <v>0</v>
      </c>
      <c r="EI271" s="1061">
        <f>EG271</f>
        <v>0</v>
      </c>
      <c r="EJ271" s="32">
        <f>EI271</f>
        <v>0</v>
      </c>
      <c r="EK271" s="32">
        <f t="shared" si="701"/>
        <v>0</v>
      </c>
      <c r="EL271" s="1061">
        <f>EJ271</f>
        <v>0</v>
      </c>
      <c r="EM271" s="32">
        <f>EL271</f>
        <v>0</v>
      </c>
      <c r="EN271" s="32">
        <f t="shared" si="702"/>
        <v>0</v>
      </c>
      <c r="EO271" s="1061">
        <f>EM271</f>
        <v>0</v>
      </c>
      <c r="EP271" s="32">
        <f>EO271</f>
        <v>0</v>
      </c>
      <c r="EQ271" s="32">
        <f t="shared" si="703"/>
        <v>0</v>
      </c>
      <c r="ER271" s="1061">
        <f>EP271</f>
        <v>0</v>
      </c>
      <c r="ES271" s="32">
        <f>ER271</f>
        <v>0</v>
      </c>
      <c r="ET271" s="32">
        <f t="shared" si="704"/>
        <v>0</v>
      </c>
      <c r="EU271" s="1061">
        <f>ES271</f>
        <v>0</v>
      </c>
      <c r="EV271" s="32">
        <f>EU271</f>
        <v>0</v>
      </c>
      <c r="EW271" s="32">
        <f t="shared" si="705"/>
        <v>0</v>
      </c>
      <c r="EX271" s="1061">
        <f>EV271</f>
        <v>0</v>
      </c>
      <c r="EY271" s="32">
        <f>EX271</f>
        <v>0</v>
      </c>
      <c r="EZ271" s="32">
        <f t="shared" si="706"/>
        <v>0</v>
      </c>
      <c r="FA271" s="1061">
        <f>EY271</f>
        <v>0</v>
      </c>
      <c r="FB271" s="1243"/>
      <c r="FD271"/>
      <c r="FE271"/>
      <c r="FF271"/>
      <c r="FG271"/>
      <c r="FH271"/>
      <c r="FI271"/>
    </row>
    <row r="272" spans="2:169" s="33" customFormat="1" ht="13.5" outlineLevel="1" thickBot="1">
      <c r="B272" s="54" t="s">
        <v>57</v>
      </c>
      <c r="C272" s="2"/>
      <c r="D272" s="2" t="s">
        <v>506</v>
      </c>
      <c r="E272" s="1188"/>
      <c r="F272" s="32">
        <f t="shared" si="656"/>
        <v>0</v>
      </c>
      <c r="G272" s="1247"/>
      <c r="H272" s="1190"/>
      <c r="I272" s="32">
        <f t="shared" si="657"/>
        <v>0</v>
      </c>
      <c r="J272" s="1247"/>
      <c r="K272" s="1190"/>
      <c r="L272" s="32">
        <f t="shared" si="658"/>
        <v>0</v>
      </c>
      <c r="M272" s="1247"/>
      <c r="N272" s="1190"/>
      <c r="O272" s="32">
        <f t="shared" si="659"/>
        <v>0</v>
      </c>
      <c r="P272" s="1247"/>
      <c r="Q272" s="1190"/>
      <c r="R272" s="32">
        <f t="shared" si="660"/>
        <v>0</v>
      </c>
      <c r="S272" s="1257"/>
      <c r="T272" s="1190"/>
      <c r="U272" s="32">
        <f t="shared" si="661"/>
        <v>0</v>
      </c>
      <c r="V272" s="1247"/>
      <c r="W272" s="1190"/>
      <c r="X272" s="32">
        <f t="shared" si="662"/>
        <v>0</v>
      </c>
      <c r="Y272" s="1247"/>
      <c r="Z272" s="1190"/>
      <c r="AA272" s="32">
        <f t="shared" si="663"/>
        <v>0</v>
      </c>
      <c r="AB272" s="1247"/>
      <c r="AC272" s="1190"/>
      <c r="AD272" s="32">
        <f t="shared" si="664"/>
        <v>0</v>
      </c>
      <c r="AE272" s="1247"/>
      <c r="AF272" s="1190"/>
      <c r="AG272" s="32">
        <f t="shared" si="665"/>
        <v>0</v>
      </c>
      <c r="AH272" s="1247"/>
      <c r="AI272" s="1190"/>
      <c r="AJ272" s="32">
        <f t="shared" si="666"/>
        <v>0</v>
      </c>
      <c r="AK272" s="1247"/>
      <c r="AL272" s="1190"/>
      <c r="AM272" s="32">
        <f t="shared" si="667"/>
        <v>0</v>
      </c>
      <c r="AN272" s="1247"/>
      <c r="AO272" s="1190"/>
      <c r="AP272" s="32">
        <f t="shared" si="668"/>
        <v>0</v>
      </c>
      <c r="AQ272" s="1247"/>
      <c r="AR272" s="1190"/>
      <c r="AS272" s="32">
        <f t="shared" si="669"/>
        <v>0</v>
      </c>
      <c r="AT272" s="1247"/>
      <c r="AU272" s="1190"/>
      <c r="AV272" s="32">
        <f t="shared" si="670"/>
        <v>0</v>
      </c>
      <c r="AW272" s="1247"/>
      <c r="AX272" s="1190"/>
      <c r="AY272" s="32">
        <f t="shared" si="671"/>
        <v>0</v>
      </c>
      <c r="AZ272" s="1247"/>
      <c r="BA272" s="1190"/>
      <c r="BB272" s="32">
        <f t="shared" si="672"/>
        <v>0</v>
      </c>
      <c r="BC272" s="1247"/>
      <c r="BD272" s="1190"/>
      <c r="BE272" s="32">
        <f t="shared" si="673"/>
        <v>0</v>
      </c>
      <c r="BF272" s="1247"/>
      <c r="BG272" s="1190"/>
      <c r="BH272" s="32">
        <f t="shared" si="674"/>
        <v>0</v>
      </c>
      <c r="BI272" s="1247"/>
      <c r="BJ272" s="1190"/>
      <c r="BK272" s="32">
        <f t="shared" si="675"/>
        <v>0</v>
      </c>
      <c r="BL272" s="1247"/>
      <c r="BM272" s="1190"/>
      <c r="BN272" s="32">
        <f t="shared" si="676"/>
        <v>0</v>
      </c>
      <c r="BO272" s="1247"/>
      <c r="BP272" s="1190"/>
      <c r="BQ272" s="32">
        <f t="shared" si="677"/>
        <v>0</v>
      </c>
      <c r="BR272" s="1247"/>
      <c r="BS272" s="1190"/>
      <c r="BT272" s="32">
        <f t="shared" si="678"/>
        <v>0</v>
      </c>
      <c r="BU272" s="1247"/>
      <c r="BV272" s="1190"/>
      <c r="BW272" s="32" t="str">
        <f t="shared" si="679"/>
        <v/>
      </c>
      <c r="BX272" s="1188" t="str">
        <f>IF(BX5="A","",+BU266+BX209-BX480)</f>
        <v/>
      </c>
      <c r="BY272" s="1190"/>
      <c r="BZ272" s="32" t="str">
        <f t="shared" si="680"/>
        <v/>
      </c>
      <c r="CA272" s="1188" t="str">
        <f>IF(CA5="A","",+BX266+CA209-CA480)</f>
        <v/>
      </c>
      <c r="CB272" s="1190"/>
      <c r="CC272" s="32" t="str">
        <f t="shared" si="681"/>
        <v/>
      </c>
      <c r="CD272" s="1188" t="str">
        <f>IF(CD5="A","",+CA266+CD209-CD480)</f>
        <v/>
      </c>
      <c r="CE272" s="1190"/>
      <c r="CF272" s="32">
        <f t="shared" si="682"/>
        <v>0</v>
      </c>
      <c r="CG272" s="1252">
        <v>0</v>
      </c>
      <c r="CH272" s="1196">
        <v>166.24199999999999</v>
      </c>
      <c r="CI272" s="32">
        <f t="shared" si="683"/>
        <v>0</v>
      </c>
      <c r="CJ272" s="1252">
        <v>0</v>
      </c>
      <c r="CK272" s="1190" t="str">
        <f>IF(CK5="A","",+CJ266+CK209-CK480)</f>
        <v/>
      </c>
      <c r="CL272" s="32" t="str">
        <f t="shared" si="684"/>
        <v/>
      </c>
      <c r="CM272" s="1188" t="str">
        <f>IF(CM5="A","",+CJ266+CM209-CM480)</f>
        <v/>
      </c>
      <c r="CN272" s="1190" t="str">
        <f>IF(CN5="A","",+CM266+CN209-CN480)</f>
        <v/>
      </c>
      <c r="CO272" s="32" t="str">
        <f t="shared" si="685"/>
        <v/>
      </c>
      <c r="CP272" s="1188" t="str">
        <f>IF(CP5="A","",+CM266+CP209-CP480)</f>
        <v/>
      </c>
      <c r="CQ272" s="1190" t="str">
        <f>IF(CQ5="A","",+CP266+CQ209-CQ480)</f>
        <v/>
      </c>
      <c r="CR272" s="32" t="str">
        <f t="shared" si="686"/>
        <v/>
      </c>
      <c r="CS272" s="1188" t="str">
        <f>IF(CS5="A","",+CP266+CS209-CS480)</f>
        <v/>
      </c>
      <c r="CT272" s="1196">
        <v>0</v>
      </c>
      <c r="CU272" s="32" t="str">
        <f t="shared" si="687"/>
        <v/>
      </c>
      <c r="CV272" s="1188" t="str">
        <f>IF(CV5="A","",+CS266+CV209-CV480)</f>
        <v/>
      </c>
      <c r="CW272" s="1190" t="str">
        <f>IF(CW5="A","",+CV266+CW209-CW480)</f>
        <v/>
      </c>
      <c r="CX272" s="32" t="str">
        <f t="shared" si="688"/>
        <v/>
      </c>
      <c r="CY272" s="1188" t="str">
        <f>IF(CY5="A","",+CV266+CY209-CY480)</f>
        <v/>
      </c>
      <c r="CZ272" s="1196">
        <v>0</v>
      </c>
      <c r="DA272" s="32">
        <f t="shared" si="689"/>
        <v>0</v>
      </c>
      <c r="DB272" s="1188"/>
      <c r="DC272" s="1190"/>
      <c r="DD272" s="32"/>
      <c r="DE272" s="1248"/>
      <c r="DF272" s="1190"/>
      <c r="DG272" s="32"/>
      <c r="DH272" s="1248"/>
      <c r="DI272" s="1190"/>
      <c r="DJ272" s="32"/>
      <c r="DK272" s="1248"/>
      <c r="DL272" s="32"/>
      <c r="DM272" s="32"/>
      <c r="DN272" s="1061"/>
      <c r="DO272" s="32"/>
      <c r="DP272" s="32"/>
      <c r="DQ272" s="1061"/>
      <c r="DR272" s="32"/>
      <c r="DS272" s="32"/>
      <c r="DT272" s="1061"/>
      <c r="DU272" s="32"/>
      <c r="DV272" s="32"/>
      <c r="DW272" s="1061"/>
      <c r="DX272" s="32"/>
      <c r="DY272" s="32"/>
      <c r="DZ272" s="1061"/>
      <c r="EA272" s="32"/>
      <c r="EB272" s="32"/>
      <c r="EC272" s="1061"/>
      <c r="ED272" s="32"/>
      <c r="EE272" s="32"/>
      <c r="EF272" s="1061"/>
      <c r="EG272" s="32"/>
      <c r="EH272" s="32"/>
      <c r="EI272" s="1061"/>
      <c r="EJ272" s="32"/>
      <c r="EK272" s="32"/>
      <c r="EL272" s="1061"/>
      <c r="EM272" s="32"/>
      <c r="EN272" s="32"/>
      <c r="EO272" s="1061"/>
      <c r="EP272" s="32"/>
      <c r="EQ272" s="32"/>
      <c r="ER272" s="1061"/>
      <c r="ES272" s="32"/>
      <c r="ET272" s="32"/>
      <c r="EU272" s="1061"/>
      <c r="EV272" s="32"/>
      <c r="EW272" s="32"/>
      <c r="EX272" s="1061"/>
      <c r="EY272" s="32"/>
      <c r="EZ272" s="32"/>
      <c r="FA272" s="1061"/>
      <c r="FB272" s="1243"/>
      <c r="FD272"/>
      <c r="FE272"/>
      <c r="FF272"/>
      <c r="FG272"/>
      <c r="FH272"/>
      <c r="FI272"/>
    </row>
    <row r="273" spans="2:169" s="33" customFormat="1" ht="13.5" thickBot="1">
      <c r="B273" s="1140" t="s">
        <v>58</v>
      </c>
      <c r="C273" s="2"/>
      <c r="D273" s="2" t="s">
        <v>506</v>
      </c>
      <c r="E273" s="32">
        <f>+SUM(E274:E279)</f>
        <v>0</v>
      </c>
      <c r="F273" s="32">
        <f t="shared" si="656"/>
        <v>0</v>
      </c>
      <c r="G273" s="32">
        <f>+SUM(G274:G279)</f>
        <v>0</v>
      </c>
      <c r="H273" s="32">
        <f>+SUM(H274:H279)</f>
        <v>0</v>
      </c>
      <c r="I273" s="32">
        <f t="shared" si="657"/>
        <v>0</v>
      </c>
      <c r="J273" s="32">
        <f>+SUM(J274:J279)</f>
        <v>0</v>
      </c>
      <c r="K273" s="32">
        <f>+SUM(K274:K279)</f>
        <v>0</v>
      </c>
      <c r="L273" s="32">
        <f t="shared" si="658"/>
        <v>0</v>
      </c>
      <c r="M273" s="32">
        <f>+SUM(M274:M279)</f>
        <v>0</v>
      </c>
      <c r="N273" s="32">
        <f>+SUM(N274:N279)</f>
        <v>0</v>
      </c>
      <c r="O273" s="32">
        <f t="shared" si="659"/>
        <v>0</v>
      </c>
      <c r="P273" s="32">
        <f>+SUM(P274:P279)</f>
        <v>0</v>
      </c>
      <c r="Q273" s="32">
        <f>+SUM(Q274:Q279)</f>
        <v>0</v>
      </c>
      <c r="R273" s="32">
        <f t="shared" si="660"/>
        <v>0</v>
      </c>
      <c r="S273" s="1254">
        <f>+SUM(S274:S279)</f>
        <v>0</v>
      </c>
      <c r="T273" s="32">
        <f>+SUM(T274:T279)</f>
        <v>0</v>
      </c>
      <c r="U273" s="32">
        <f t="shared" si="661"/>
        <v>0</v>
      </c>
      <c r="V273" s="32">
        <f>+SUM(V274:V279)</f>
        <v>0</v>
      </c>
      <c r="W273" s="32">
        <f>+SUM(W274:W279)</f>
        <v>0</v>
      </c>
      <c r="X273" s="32">
        <f t="shared" si="662"/>
        <v>0</v>
      </c>
      <c r="Y273" s="32">
        <f>+SUM(Y274:Y279)</f>
        <v>0</v>
      </c>
      <c r="Z273" s="32">
        <f>+SUM(Z274:Z279)</f>
        <v>0</v>
      </c>
      <c r="AA273" s="32">
        <f t="shared" si="663"/>
        <v>0</v>
      </c>
      <c r="AB273" s="32">
        <f>+SUM(AB274:AB279)</f>
        <v>0</v>
      </c>
      <c r="AC273" s="32">
        <f>+SUM(AC274:AC279)</f>
        <v>0</v>
      </c>
      <c r="AD273" s="32">
        <f t="shared" si="664"/>
        <v>0</v>
      </c>
      <c r="AE273" s="32">
        <f>+SUM(AE274:AE279)</f>
        <v>0</v>
      </c>
      <c r="AF273" s="32">
        <f>+SUM(AF274:AF279)</f>
        <v>0</v>
      </c>
      <c r="AG273" s="32">
        <f t="shared" si="665"/>
        <v>0</v>
      </c>
      <c r="AH273" s="32">
        <f>+SUM(AH274:AH279)</f>
        <v>0</v>
      </c>
      <c r="AI273" s="32">
        <f>+SUM(AI274:AI279)</f>
        <v>0</v>
      </c>
      <c r="AJ273" s="32">
        <f t="shared" si="666"/>
        <v>0</v>
      </c>
      <c r="AK273" s="32">
        <f>+SUM(AK274:AK279)</f>
        <v>0</v>
      </c>
      <c r="AL273" s="32">
        <f>+SUM(AL274:AL279)</f>
        <v>0</v>
      </c>
      <c r="AM273" s="32">
        <f t="shared" si="667"/>
        <v>0</v>
      </c>
      <c r="AN273" s="32">
        <f>+SUM(AN274:AN279)</f>
        <v>0</v>
      </c>
      <c r="AO273" s="32">
        <f>+SUM(AO274:AO279)</f>
        <v>0</v>
      </c>
      <c r="AP273" s="32">
        <f t="shared" si="668"/>
        <v>0</v>
      </c>
      <c r="AQ273" s="32">
        <f>+SUM(AQ274:AQ279)</f>
        <v>0</v>
      </c>
      <c r="AR273" s="32">
        <f>+SUM(AR274:AR279)</f>
        <v>0</v>
      </c>
      <c r="AS273" s="32">
        <f t="shared" si="669"/>
        <v>0</v>
      </c>
      <c r="AT273" s="32">
        <f>+SUM(AT274:AT279)</f>
        <v>0</v>
      </c>
      <c r="AU273" s="32">
        <f>+SUM(AU274:AU279)</f>
        <v>0</v>
      </c>
      <c r="AV273" s="32">
        <f t="shared" si="670"/>
        <v>0</v>
      </c>
      <c r="AW273" s="32">
        <f>+SUM(AW274:AW279)</f>
        <v>0</v>
      </c>
      <c r="AX273" s="32">
        <f>+SUM(AX274:AX279)</f>
        <v>0</v>
      </c>
      <c r="AY273" s="32">
        <f t="shared" si="671"/>
        <v>0</v>
      </c>
      <c r="AZ273" s="32">
        <f>+SUM(AZ274:AZ279)</f>
        <v>0</v>
      </c>
      <c r="BA273" s="32">
        <f>+SUM(BA274:BA279)</f>
        <v>0</v>
      </c>
      <c r="BB273" s="32">
        <f t="shared" si="672"/>
        <v>0</v>
      </c>
      <c r="BC273" s="32">
        <f>+SUM(BC274:BC279)</f>
        <v>0</v>
      </c>
      <c r="BD273" s="32">
        <f>+SUM(BD274:BD279)</f>
        <v>0</v>
      </c>
      <c r="BE273" s="32">
        <f t="shared" si="673"/>
        <v>0</v>
      </c>
      <c r="BF273" s="32">
        <f>+SUM(BF274:BF279)</f>
        <v>0</v>
      </c>
      <c r="BG273" s="32">
        <f>+SUM(BG274:BG279)</f>
        <v>0</v>
      </c>
      <c r="BH273" s="32">
        <f t="shared" si="674"/>
        <v>0</v>
      </c>
      <c r="BI273" s="32">
        <f>+SUM(BI274:BI279)</f>
        <v>0</v>
      </c>
      <c r="BJ273" s="32">
        <f>+SUM(BJ274:BJ279)</f>
        <v>0</v>
      </c>
      <c r="BK273" s="32">
        <f t="shared" si="675"/>
        <v>0</v>
      </c>
      <c r="BL273" s="32">
        <f>+SUM(BL274:BL279)</f>
        <v>0</v>
      </c>
      <c r="BM273" s="32">
        <f>+SUM(BM274:BM279)</f>
        <v>0</v>
      </c>
      <c r="BN273" s="32">
        <f t="shared" si="676"/>
        <v>0</v>
      </c>
      <c r="BO273" s="32">
        <f>+SUM(BO274:BO279)</f>
        <v>0</v>
      </c>
      <c r="BP273" s="32">
        <f>+SUM(BP274:BP279)</f>
        <v>0</v>
      </c>
      <c r="BQ273" s="32">
        <f t="shared" si="677"/>
        <v>0</v>
      </c>
      <c r="BR273" s="32">
        <f>+SUM(BR274:BR279)</f>
        <v>0</v>
      </c>
      <c r="BS273" s="32">
        <f>+SUM(BS274:BS279)</f>
        <v>0</v>
      </c>
      <c r="BT273" s="32">
        <f t="shared" si="678"/>
        <v>0</v>
      </c>
      <c r="BU273" s="32">
        <f>+SUM(BU274:BU279)</f>
        <v>0</v>
      </c>
      <c r="BV273" s="32">
        <f>+SUM(BV274:BV279)</f>
        <v>0</v>
      </c>
      <c r="BW273" s="32">
        <f t="shared" si="679"/>
        <v>0</v>
      </c>
      <c r="BX273" s="32">
        <f>+SUM(BX274:BX279)</f>
        <v>0</v>
      </c>
      <c r="BY273" s="32">
        <f>+SUM(BY274:BY279)</f>
        <v>0</v>
      </c>
      <c r="BZ273" s="32">
        <f t="shared" si="680"/>
        <v>0</v>
      </c>
      <c r="CA273" s="32">
        <f>+SUM(CA274:CA279)</f>
        <v>0</v>
      </c>
      <c r="CB273" s="32">
        <f>+SUM(CB274:CB279)</f>
        <v>0</v>
      </c>
      <c r="CC273" s="32">
        <f t="shared" si="681"/>
        <v>0</v>
      </c>
      <c r="CD273" s="32">
        <f>+SUM(CD274:CD279)</f>
        <v>0</v>
      </c>
      <c r="CE273" s="32">
        <f>+SUM(CE274:CE279)</f>
        <v>0</v>
      </c>
      <c r="CF273" s="32">
        <f t="shared" si="682"/>
        <v>0</v>
      </c>
      <c r="CG273" s="32">
        <f>+SUM(CG274:CG279)</f>
        <v>0</v>
      </c>
      <c r="CH273" s="32">
        <f>+SUM(CH274:CH279)</f>
        <v>208.613</v>
      </c>
      <c r="CI273" s="32">
        <f t="shared" si="683"/>
        <v>241.20000000000002</v>
      </c>
      <c r="CJ273" s="32">
        <f>+SUM(CJ274:CJ279)</f>
        <v>241.20000000000002</v>
      </c>
      <c r="CK273" s="32">
        <f>+SUM(CK274:CK279)</f>
        <v>159.9</v>
      </c>
      <c r="CL273" s="32">
        <f t="shared" si="684"/>
        <v>159.9</v>
      </c>
      <c r="CM273" s="32">
        <f>+SUM(CM274:CM279)</f>
        <v>159.9</v>
      </c>
      <c r="CN273" s="32">
        <f>+SUM(CN274:CN279)</f>
        <v>156.19999999999999</v>
      </c>
      <c r="CO273" s="32">
        <f t="shared" si="685"/>
        <v>114.6</v>
      </c>
      <c r="CP273" s="32">
        <f>+SUM(CP274:CP279)</f>
        <v>114.6</v>
      </c>
      <c r="CQ273" s="32">
        <f>+SUM(CQ274:CQ279)</f>
        <v>77.5</v>
      </c>
      <c r="CR273" s="32">
        <f t="shared" si="686"/>
        <v>143.9</v>
      </c>
      <c r="CS273" s="32">
        <f>+SUM(CS274:CS279)</f>
        <v>143.9</v>
      </c>
      <c r="CT273" s="32">
        <f>+SUM(CT274:CT279)</f>
        <v>151.1</v>
      </c>
      <c r="CU273" s="32">
        <f t="shared" si="687"/>
        <v>207.3</v>
      </c>
      <c r="CV273" s="32">
        <f>+SUM(CV274:CV279)</f>
        <v>207.3</v>
      </c>
      <c r="CW273" s="32">
        <f>+SUM(CW274:CW279)</f>
        <v>166.1</v>
      </c>
      <c r="CX273" s="32">
        <f t="shared" si="688"/>
        <v>202.5</v>
      </c>
      <c r="CY273" s="32">
        <f>+SUM(CY274:CY279)</f>
        <v>202.5</v>
      </c>
      <c r="CZ273" s="32">
        <f>+SUM(CZ274:CZ279)</f>
        <v>283</v>
      </c>
      <c r="DA273" s="32">
        <f t="shared" si="689"/>
        <v>248.4</v>
      </c>
      <c r="DB273" s="32">
        <f>+SUM(DB274:DB279)</f>
        <v>248.4</v>
      </c>
      <c r="DC273" s="32">
        <f>+SUM(DC274:DC279)</f>
        <v>78.2</v>
      </c>
      <c r="DD273" s="32">
        <f t="shared" si="690"/>
        <v>162.19999999999999</v>
      </c>
      <c r="DE273" s="1061">
        <f>+SUM(DE274:DE279)</f>
        <v>162.19999999999999</v>
      </c>
      <c r="DF273" s="32">
        <f>+SUM(DF274:DF279)</f>
        <v>246.5</v>
      </c>
      <c r="DG273" s="32">
        <f t="shared" si="691"/>
        <v>253.7</v>
      </c>
      <c r="DH273" s="1061">
        <f>+SUM(DH274:DH279)</f>
        <v>253.7</v>
      </c>
      <c r="DI273" s="32">
        <f>+SUM(DI274:DI279)</f>
        <v>351.3</v>
      </c>
      <c r="DJ273" s="32">
        <f t="shared" si="692"/>
        <v>313</v>
      </c>
      <c r="DK273" s="1061">
        <f>+SUM(DK274:DK279)</f>
        <v>313</v>
      </c>
      <c r="DL273" s="32">
        <f>+SUM(DL274:DL279)</f>
        <v>207.4</v>
      </c>
      <c r="DM273" s="32">
        <f t="shared" si="693"/>
        <v>131.5</v>
      </c>
      <c r="DN273" s="1061">
        <f>+SUM(DN274:DN279)</f>
        <v>131.5</v>
      </c>
      <c r="DO273" s="32">
        <f>+SUM(DO274:DO279)</f>
        <v>359.3</v>
      </c>
      <c r="DP273" s="32">
        <f t="shared" si="694"/>
        <v>296</v>
      </c>
      <c r="DQ273" s="1061">
        <f>+SUM(DQ274:DQ279)</f>
        <v>296</v>
      </c>
      <c r="DR273" s="32">
        <f>+SUM(DR274:DR279)</f>
        <v>132</v>
      </c>
      <c r="DS273" s="32">
        <f t="shared" si="695"/>
        <v>176</v>
      </c>
      <c r="DT273" s="1061">
        <f>+SUM(DT274:DT279)</f>
        <v>176</v>
      </c>
      <c r="DU273" s="32">
        <f>+SUM(DU274:DU279)</f>
        <v>205</v>
      </c>
      <c r="DV273" s="32">
        <f t="shared" ref="DV273:DV283" si="707">+DW273</f>
        <v>280</v>
      </c>
      <c r="DW273" s="1061">
        <f>+SUM(DW274:DW279)</f>
        <v>280</v>
      </c>
      <c r="DX273" s="32">
        <f>+SUM(DX274:DX279)</f>
        <v>302</v>
      </c>
      <c r="DY273" s="32">
        <f t="shared" si="697"/>
        <v>302</v>
      </c>
      <c r="DZ273" s="1061">
        <f>+SUM(DZ274:DZ279)</f>
        <v>302</v>
      </c>
      <c r="EA273" s="32">
        <f>+SUM(EA274:EA279)</f>
        <v>302</v>
      </c>
      <c r="EB273" s="32">
        <f t="shared" si="698"/>
        <v>302</v>
      </c>
      <c r="EC273" s="1061">
        <f>+SUM(EC274:EC279)</f>
        <v>302</v>
      </c>
      <c r="ED273" s="32">
        <f>+SUM(ED274:ED279)</f>
        <v>302</v>
      </c>
      <c r="EE273" s="32">
        <f t="shared" ref="EE273:EE283" si="708">+EF273</f>
        <v>302</v>
      </c>
      <c r="EF273" s="1061">
        <f>+SUM(EF274:EF279)</f>
        <v>302</v>
      </c>
      <c r="EG273" s="32">
        <f>+SUM(EG274:EG279)</f>
        <v>302</v>
      </c>
      <c r="EH273" s="32">
        <f t="shared" ref="EH273:EH283" si="709">+EI273</f>
        <v>302</v>
      </c>
      <c r="EI273" s="1061">
        <f>+SUM(EI274:EI279)</f>
        <v>302</v>
      </c>
      <c r="EJ273" s="32">
        <f>+SUM(EJ274:EJ279)</f>
        <v>302</v>
      </c>
      <c r="EK273" s="32">
        <f t="shared" ref="EK273:EK283" si="710">+EL273</f>
        <v>302</v>
      </c>
      <c r="EL273" s="1061">
        <f>+SUM(EL274:EL279)</f>
        <v>302</v>
      </c>
      <c r="EM273" s="32">
        <f>+SUM(EM274:EM279)</f>
        <v>302</v>
      </c>
      <c r="EN273" s="32">
        <f t="shared" ref="EN273:EN283" si="711">+EO273</f>
        <v>302</v>
      </c>
      <c r="EO273" s="1061">
        <f>+SUM(EO274:EO279)</f>
        <v>302</v>
      </c>
      <c r="EP273" s="32">
        <f>+SUM(EP274:EP279)</f>
        <v>302</v>
      </c>
      <c r="EQ273" s="32">
        <f t="shared" ref="EQ273:EQ283" si="712">+ER273</f>
        <v>302</v>
      </c>
      <c r="ER273" s="1061">
        <f>+SUM(ER274:ER279)</f>
        <v>302</v>
      </c>
      <c r="ES273" s="32">
        <f>+SUM(ES274:ES279)</f>
        <v>302</v>
      </c>
      <c r="ET273" s="32">
        <f t="shared" ref="ET273:ET283" si="713">+EU273</f>
        <v>302</v>
      </c>
      <c r="EU273" s="1061">
        <f>+SUM(EU274:EU279)</f>
        <v>302</v>
      </c>
      <c r="EV273" s="32">
        <f>+SUM(EV274:EV279)</f>
        <v>302</v>
      </c>
      <c r="EW273" s="32">
        <f t="shared" ref="EW273:EW283" si="714">+EX273</f>
        <v>302</v>
      </c>
      <c r="EX273" s="1061">
        <f>+SUM(EX274:EX279)</f>
        <v>302</v>
      </c>
      <c r="EY273" s="32">
        <f>+SUM(EY274:EY279)</f>
        <v>302</v>
      </c>
      <c r="EZ273" s="32">
        <f t="shared" ref="EZ273:EZ283" si="715">+FA273</f>
        <v>302</v>
      </c>
      <c r="FA273" s="1061">
        <f>+SUM(FA274:FA279)</f>
        <v>302</v>
      </c>
      <c r="FD273"/>
      <c r="FE273"/>
      <c r="FF273"/>
      <c r="FG273"/>
      <c r="FH273"/>
      <c r="FI273"/>
    </row>
    <row r="274" spans="2:169" s="33" customFormat="1" outlineLevel="1">
      <c r="B274" s="54" t="s">
        <v>59</v>
      </c>
      <c r="C274" s="2"/>
      <c r="D274" s="2" t="s">
        <v>506</v>
      </c>
      <c r="E274" s="1183"/>
      <c r="F274" s="1192">
        <f t="shared" si="656"/>
        <v>0</v>
      </c>
      <c r="G274" s="1215"/>
      <c r="H274" s="1185"/>
      <c r="I274" s="1192">
        <f t="shared" si="657"/>
        <v>0</v>
      </c>
      <c r="J274" s="1215"/>
      <c r="K274" s="1185"/>
      <c r="L274" s="1192">
        <f t="shared" si="658"/>
        <v>0</v>
      </c>
      <c r="M274" s="1215"/>
      <c r="N274" s="1185"/>
      <c r="O274" s="1192">
        <f t="shared" si="659"/>
        <v>0</v>
      </c>
      <c r="P274" s="1215"/>
      <c r="Q274" s="1185"/>
      <c r="R274" s="1192">
        <f t="shared" si="660"/>
        <v>0</v>
      </c>
      <c r="S274" s="1255"/>
      <c r="T274" s="1185"/>
      <c r="U274" s="1192">
        <f t="shared" si="661"/>
        <v>0</v>
      </c>
      <c r="V274" s="1215"/>
      <c r="W274" s="1185"/>
      <c r="X274" s="1192">
        <f t="shared" si="662"/>
        <v>0</v>
      </c>
      <c r="Y274" s="1215"/>
      <c r="Z274" s="1185"/>
      <c r="AA274" s="1192">
        <f t="shared" si="663"/>
        <v>0</v>
      </c>
      <c r="AB274" s="1215"/>
      <c r="AC274" s="1185"/>
      <c r="AD274" s="1192">
        <f t="shared" si="664"/>
        <v>0</v>
      </c>
      <c r="AE274" s="1215"/>
      <c r="AF274" s="1185"/>
      <c r="AG274" s="1192">
        <f t="shared" si="665"/>
        <v>0</v>
      </c>
      <c r="AH274" s="1215"/>
      <c r="AI274" s="1185"/>
      <c r="AJ274" s="1192">
        <f t="shared" si="666"/>
        <v>0</v>
      </c>
      <c r="AK274" s="1215"/>
      <c r="AL274" s="1185"/>
      <c r="AM274" s="1192">
        <f t="shared" si="667"/>
        <v>0</v>
      </c>
      <c r="AN274" s="1215"/>
      <c r="AO274" s="1185"/>
      <c r="AP274" s="1192">
        <f t="shared" si="668"/>
        <v>0</v>
      </c>
      <c r="AQ274" s="1215"/>
      <c r="AR274" s="1185"/>
      <c r="AS274" s="1192">
        <f t="shared" si="669"/>
        <v>0</v>
      </c>
      <c r="AT274" s="1215"/>
      <c r="AU274" s="1185"/>
      <c r="AV274" s="1192">
        <f t="shared" si="670"/>
        <v>0</v>
      </c>
      <c r="AW274" s="1215"/>
      <c r="AX274" s="1185"/>
      <c r="AY274" s="1192">
        <f t="shared" si="671"/>
        <v>0</v>
      </c>
      <c r="AZ274" s="1215"/>
      <c r="BA274" s="1185"/>
      <c r="BB274" s="1192">
        <f t="shared" si="672"/>
        <v>0</v>
      </c>
      <c r="BC274" s="1215"/>
      <c r="BD274" s="1185"/>
      <c r="BE274" s="1192">
        <f t="shared" si="673"/>
        <v>0</v>
      </c>
      <c r="BF274" s="1215"/>
      <c r="BG274" s="1185"/>
      <c r="BH274" s="1192">
        <f t="shared" si="674"/>
        <v>0</v>
      </c>
      <c r="BI274" s="1215"/>
      <c r="BJ274" s="1185"/>
      <c r="BK274" s="1192">
        <f t="shared" si="675"/>
        <v>0</v>
      </c>
      <c r="BL274" s="1215"/>
      <c r="BM274" s="1185"/>
      <c r="BN274" s="1192">
        <f t="shared" si="676"/>
        <v>0</v>
      </c>
      <c r="BO274" s="1215"/>
      <c r="BP274" s="1185"/>
      <c r="BQ274" s="1192">
        <f t="shared" si="677"/>
        <v>0</v>
      </c>
      <c r="BR274" s="1215"/>
      <c r="BS274" s="1185"/>
      <c r="BT274" s="1192">
        <f t="shared" si="678"/>
        <v>0</v>
      </c>
      <c r="BU274" s="1215"/>
      <c r="BV274" s="1185"/>
      <c r="BW274" s="1192">
        <f t="shared" si="679"/>
        <v>0</v>
      </c>
      <c r="BX274" s="1244">
        <v>0</v>
      </c>
      <c r="BY274" s="1185"/>
      <c r="BZ274" s="1192">
        <f t="shared" si="680"/>
        <v>0</v>
      </c>
      <c r="CA274" s="1244">
        <v>0</v>
      </c>
      <c r="CB274" s="1185"/>
      <c r="CC274" s="1192">
        <f t="shared" si="681"/>
        <v>0</v>
      </c>
      <c r="CD274" s="1244">
        <v>0</v>
      </c>
      <c r="CE274" s="1185"/>
      <c r="CF274" s="1192">
        <f t="shared" si="682"/>
        <v>0</v>
      </c>
      <c r="CG274" s="1244">
        <v>0</v>
      </c>
      <c r="CH274" s="1185">
        <f>CE274</f>
        <v>0</v>
      </c>
      <c r="CI274" s="1192">
        <f t="shared" si="683"/>
        <v>0</v>
      </c>
      <c r="CJ274" s="1183">
        <f>CG274</f>
        <v>0</v>
      </c>
      <c r="CK274" s="1185">
        <f>CH274</f>
        <v>0</v>
      </c>
      <c r="CL274" s="1192">
        <f t="shared" si="684"/>
        <v>0</v>
      </c>
      <c r="CM274" s="1183">
        <f>CJ274</f>
        <v>0</v>
      </c>
      <c r="CN274" s="1185">
        <f>CK274</f>
        <v>0</v>
      </c>
      <c r="CO274" s="1192">
        <f t="shared" si="685"/>
        <v>0</v>
      </c>
      <c r="CP274" s="1183">
        <f>CM274</f>
        <v>0</v>
      </c>
      <c r="CQ274" s="1185">
        <f>CN274</f>
        <v>0</v>
      </c>
      <c r="CR274" s="1192">
        <f t="shared" si="686"/>
        <v>0</v>
      </c>
      <c r="CS274" s="1183">
        <f>CP274</f>
        <v>0</v>
      </c>
      <c r="CT274" s="1185">
        <f>CQ274</f>
        <v>0</v>
      </c>
      <c r="CU274" s="1192">
        <f t="shared" si="687"/>
        <v>0</v>
      </c>
      <c r="CV274" s="1183">
        <f>CS274</f>
        <v>0</v>
      </c>
      <c r="CW274" s="1185">
        <f>CT274</f>
        <v>0</v>
      </c>
      <c r="CX274" s="1192">
        <f t="shared" si="688"/>
        <v>0</v>
      </c>
      <c r="CY274" s="1183">
        <f>CV274</f>
        <v>0</v>
      </c>
      <c r="CZ274" s="1185">
        <f>CW274</f>
        <v>0</v>
      </c>
      <c r="DA274" s="1192">
        <f t="shared" si="689"/>
        <v>0</v>
      </c>
      <c r="DB274" s="1183">
        <f>CY274</f>
        <v>0</v>
      </c>
      <c r="DC274" s="1185">
        <f>CZ274</f>
        <v>0</v>
      </c>
      <c r="DD274" s="1192">
        <f t="shared" si="690"/>
        <v>0</v>
      </c>
      <c r="DE274" s="1246">
        <f>DB274</f>
        <v>0</v>
      </c>
      <c r="DF274" s="1185">
        <f>DC274</f>
        <v>0</v>
      </c>
      <c r="DG274" s="1192">
        <f t="shared" si="691"/>
        <v>0</v>
      </c>
      <c r="DH274" s="1246">
        <f>DE274</f>
        <v>0</v>
      </c>
      <c r="DI274" s="1185">
        <f>DF274</f>
        <v>0</v>
      </c>
      <c r="DJ274" s="1192">
        <f t="shared" si="692"/>
        <v>0</v>
      </c>
      <c r="DK274" s="1246">
        <f>DH274</f>
        <v>0</v>
      </c>
      <c r="DL274" s="32">
        <f>DI274</f>
        <v>0</v>
      </c>
      <c r="DM274" s="32">
        <f t="shared" si="693"/>
        <v>0</v>
      </c>
      <c r="DN274" s="1061">
        <f>DK274</f>
        <v>0</v>
      </c>
      <c r="DO274" s="32">
        <f>DL274</f>
        <v>0</v>
      </c>
      <c r="DP274" s="32">
        <f t="shared" si="694"/>
        <v>0</v>
      </c>
      <c r="DQ274" s="1061">
        <f>DN274</f>
        <v>0</v>
      </c>
      <c r="DR274" s="32">
        <f>DO274</f>
        <v>0</v>
      </c>
      <c r="DS274" s="32">
        <f t="shared" si="695"/>
        <v>0</v>
      </c>
      <c r="DT274" s="1061">
        <f>DQ274</f>
        <v>0</v>
      </c>
      <c r="DU274" s="32">
        <f>DR274</f>
        <v>0</v>
      </c>
      <c r="DV274" s="32">
        <f t="shared" si="707"/>
        <v>0</v>
      </c>
      <c r="DW274" s="1061">
        <f>DT274</f>
        <v>0</v>
      </c>
      <c r="DX274" s="32">
        <f>DU274</f>
        <v>0</v>
      </c>
      <c r="DY274" s="32">
        <f t="shared" si="697"/>
        <v>0</v>
      </c>
      <c r="DZ274" s="1061">
        <f>DW274</f>
        <v>0</v>
      </c>
      <c r="EA274" s="32">
        <f>DX274</f>
        <v>0</v>
      </c>
      <c r="EB274" s="32">
        <f t="shared" si="698"/>
        <v>0</v>
      </c>
      <c r="EC274" s="1061">
        <f>DZ274</f>
        <v>0</v>
      </c>
      <c r="ED274" s="32">
        <f>EA274</f>
        <v>0</v>
      </c>
      <c r="EE274" s="32">
        <f t="shared" si="708"/>
        <v>0</v>
      </c>
      <c r="EF274" s="1061">
        <f>EC274</f>
        <v>0</v>
      </c>
      <c r="EG274" s="32">
        <f>ED274</f>
        <v>0</v>
      </c>
      <c r="EH274" s="32">
        <f t="shared" si="709"/>
        <v>0</v>
      </c>
      <c r="EI274" s="1061">
        <f>EF274</f>
        <v>0</v>
      </c>
      <c r="EJ274" s="32">
        <f>EG274</f>
        <v>0</v>
      </c>
      <c r="EK274" s="32">
        <f t="shared" si="710"/>
        <v>0</v>
      </c>
      <c r="EL274" s="1061">
        <f>EI274</f>
        <v>0</v>
      </c>
      <c r="EM274" s="32">
        <f>EJ274</f>
        <v>0</v>
      </c>
      <c r="EN274" s="32">
        <f t="shared" si="711"/>
        <v>0</v>
      </c>
      <c r="EO274" s="1061">
        <f>EL274</f>
        <v>0</v>
      </c>
      <c r="EP274" s="32">
        <f>EM274</f>
        <v>0</v>
      </c>
      <c r="EQ274" s="32">
        <f t="shared" si="712"/>
        <v>0</v>
      </c>
      <c r="ER274" s="1061">
        <f>EO274</f>
        <v>0</v>
      </c>
      <c r="ES274" s="32">
        <f>EP274</f>
        <v>0</v>
      </c>
      <c r="ET274" s="32">
        <f t="shared" si="713"/>
        <v>0</v>
      </c>
      <c r="EU274" s="1061">
        <f>ER274</f>
        <v>0</v>
      </c>
      <c r="EV274" s="32">
        <f>ES274</f>
        <v>0</v>
      </c>
      <c r="EW274" s="32">
        <f t="shared" si="714"/>
        <v>0</v>
      </c>
      <c r="EX274" s="1061">
        <f>EU274</f>
        <v>0</v>
      </c>
      <c r="EY274" s="32">
        <f>EV274</f>
        <v>0</v>
      </c>
      <c r="EZ274" s="32">
        <f t="shared" si="715"/>
        <v>0</v>
      </c>
      <c r="FA274" s="1061">
        <f>EX274</f>
        <v>0</v>
      </c>
      <c r="FD274"/>
      <c r="FE274"/>
      <c r="FF274"/>
      <c r="FG274"/>
      <c r="FH274"/>
      <c r="FI274"/>
    </row>
    <row r="275" spans="2:169" s="33" customFormat="1" outlineLevel="1">
      <c r="B275" s="54" t="s">
        <v>60</v>
      </c>
      <c r="C275" s="2"/>
      <c r="D275" s="2" t="s">
        <v>506</v>
      </c>
      <c r="E275" s="1205"/>
      <c r="F275" s="32">
        <f t="shared" si="656"/>
        <v>0</v>
      </c>
      <c r="G275" s="1214"/>
      <c r="H275" s="1207"/>
      <c r="I275" s="32">
        <f t="shared" si="657"/>
        <v>0</v>
      </c>
      <c r="J275" s="1214"/>
      <c r="K275" s="1207"/>
      <c r="L275" s="32">
        <f t="shared" si="658"/>
        <v>0</v>
      </c>
      <c r="M275" s="1214"/>
      <c r="N275" s="1207"/>
      <c r="O275" s="32">
        <f t="shared" si="659"/>
        <v>0</v>
      </c>
      <c r="P275" s="1214"/>
      <c r="Q275" s="1207"/>
      <c r="R275" s="32">
        <f t="shared" si="660"/>
        <v>0</v>
      </c>
      <c r="S275" s="1260"/>
      <c r="T275" s="1207"/>
      <c r="U275" s="32">
        <f t="shared" si="661"/>
        <v>0</v>
      </c>
      <c r="V275" s="1214"/>
      <c r="W275" s="1207"/>
      <c r="X275" s="32">
        <f t="shared" si="662"/>
        <v>0</v>
      </c>
      <c r="Y275" s="1214"/>
      <c r="Z275" s="1207"/>
      <c r="AA275" s="32">
        <f t="shared" si="663"/>
        <v>0</v>
      </c>
      <c r="AB275" s="1214"/>
      <c r="AC275" s="1207"/>
      <c r="AD275" s="32">
        <f t="shared" si="664"/>
        <v>0</v>
      </c>
      <c r="AE275" s="1214"/>
      <c r="AF275" s="1207"/>
      <c r="AG275" s="32">
        <f t="shared" si="665"/>
        <v>0</v>
      </c>
      <c r="AH275" s="1214"/>
      <c r="AI275" s="1207"/>
      <c r="AJ275" s="32">
        <f t="shared" si="666"/>
        <v>0</v>
      </c>
      <c r="AK275" s="1214"/>
      <c r="AL275" s="1207"/>
      <c r="AM275" s="32">
        <f t="shared" si="667"/>
        <v>0</v>
      </c>
      <c r="AN275" s="1214"/>
      <c r="AO275" s="1207"/>
      <c r="AP275" s="32">
        <f t="shared" si="668"/>
        <v>0</v>
      </c>
      <c r="AQ275" s="1214"/>
      <c r="AR275" s="1207"/>
      <c r="AS275" s="32">
        <f t="shared" si="669"/>
        <v>0</v>
      </c>
      <c r="AT275" s="1214"/>
      <c r="AU275" s="1207"/>
      <c r="AV275" s="32">
        <f t="shared" si="670"/>
        <v>0</v>
      </c>
      <c r="AW275" s="1214"/>
      <c r="AX275" s="1207"/>
      <c r="AY275" s="32">
        <f t="shared" si="671"/>
        <v>0</v>
      </c>
      <c r="AZ275" s="1214"/>
      <c r="BA275" s="1207"/>
      <c r="BB275" s="32">
        <f t="shared" si="672"/>
        <v>0</v>
      </c>
      <c r="BC275" s="1214"/>
      <c r="BD275" s="1207"/>
      <c r="BE275" s="32">
        <f t="shared" si="673"/>
        <v>0</v>
      </c>
      <c r="BF275" s="1214"/>
      <c r="BG275" s="1207"/>
      <c r="BH275" s="32">
        <f t="shared" si="674"/>
        <v>0</v>
      </c>
      <c r="BI275" s="1214"/>
      <c r="BJ275" s="1207"/>
      <c r="BK275" s="32">
        <f t="shared" si="675"/>
        <v>0</v>
      </c>
      <c r="BL275" s="1214"/>
      <c r="BM275" s="1207"/>
      <c r="BN275" s="32">
        <f t="shared" si="676"/>
        <v>0</v>
      </c>
      <c r="BO275" s="1214"/>
      <c r="BP275" s="1207"/>
      <c r="BQ275" s="32">
        <f t="shared" si="677"/>
        <v>0</v>
      </c>
      <c r="BR275" s="1214"/>
      <c r="BS275" s="1207"/>
      <c r="BT275" s="32">
        <f t="shared" si="678"/>
        <v>0</v>
      </c>
      <c r="BU275" s="1214"/>
      <c r="BV275" s="1207"/>
      <c r="BW275" s="32">
        <f t="shared" si="679"/>
        <v>0</v>
      </c>
      <c r="BX275" s="1218">
        <v>0</v>
      </c>
      <c r="BY275" s="1207"/>
      <c r="BZ275" s="32">
        <f t="shared" si="680"/>
        <v>0</v>
      </c>
      <c r="CA275" s="1218">
        <v>0</v>
      </c>
      <c r="CB275" s="1207"/>
      <c r="CC275" s="32">
        <f t="shared" si="681"/>
        <v>0</v>
      </c>
      <c r="CD275" s="1218">
        <v>0</v>
      </c>
      <c r="CE275" s="1207"/>
      <c r="CF275" s="32">
        <f t="shared" si="682"/>
        <v>0</v>
      </c>
      <c r="CG275" s="1218">
        <v>0</v>
      </c>
      <c r="CH275" s="1212">
        <v>120</v>
      </c>
      <c r="CI275" s="32">
        <f t="shared" si="683"/>
        <v>139.80000000000001</v>
      </c>
      <c r="CJ275" s="1218">
        <v>139.80000000000001</v>
      </c>
      <c r="CK275" s="1212">
        <v>159.9</v>
      </c>
      <c r="CL275" s="32">
        <f t="shared" si="684"/>
        <v>159.9</v>
      </c>
      <c r="CM275" s="1218">
        <v>159.9</v>
      </c>
      <c r="CN275" s="1212">
        <v>156.19999999999999</v>
      </c>
      <c r="CO275" s="32">
        <f t="shared" si="685"/>
        <v>114.6</v>
      </c>
      <c r="CP275" s="1218">
        <v>114.6</v>
      </c>
      <c r="CQ275" s="1212">
        <v>77.5</v>
      </c>
      <c r="CR275" s="32">
        <f t="shared" si="686"/>
        <v>143.9</v>
      </c>
      <c r="CS275" s="1218">
        <v>143.9</v>
      </c>
      <c r="CT275" s="1212">
        <v>151.1</v>
      </c>
      <c r="CU275" s="32">
        <f t="shared" si="687"/>
        <v>207.3</v>
      </c>
      <c r="CV275" s="1218">
        <v>207.3</v>
      </c>
      <c r="CW275" s="1212">
        <v>166.1</v>
      </c>
      <c r="CX275" s="32">
        <f t="shared" si="688"/>
        <v>202.5</v>
      </c>
      <c r="CY275" s="1218">
        <v>202.5</v>
      </c>
      <c r="CZ275" s="1207">
        <v>283</v>
      </c>
      <c r="DA275" s="32">
        <f t="shared" si="689"/>
        <v>248.4</v>
      </c>
      <c r="DB275" s="1205">
        <v>248.4</v>
      </c>
      <c r="DC275" s="1207">
        <v>78.2</v>
      </c>
      <c r="DD275" s="32">
        <f t="shared" si="690"/>
        <v>162.19999999999999</v>
      </c>
      <c r="DE275" s="1545">
        <v>162.19999999999999</v>
      </c>
      <c r="DF275" s="1567">
        <v>246.5</v>
      </c>
      <c r="DG275" s="1530">
        <f t="shared" si="691"/>
        <v>253.7</v>
      </c>
      <c r="DH275" s="1568">
        <v>253.7</v>
      </c>
      <c r="DI275" s="1549">
        <v>351.3</v>
      </c>
      <c r="DJ275" s="1530">
        <f t="shared" si="692"/>
        <v>313</v>
      </c>
      <c r="DK275" s="1568">
        <v>313</v>
      </c>
      <c r="DL275" s="1530">
        <v>207.4</v>
      </c>
      <c r="DM275" s="1530">
        <f t="shared" si="693"/>
        <v>131.5</v>
      </c>
      <c r="DN275" s="1531">
        <v>131.5</v>
      </c>
      <c r="DO275" s="1558">
        <v>359.3</v>
      </c>
      <c r="DP275" s="1530">
        <f t="shared" si="694"/>
        <v>296</v>
      </c>
      <c r="DQ275" s="1532">
        <v>296</v>
      </c>
      <c r="DR275" s="1558">
        <v>132</v>
      </c>
      <c r="DS275" s="1530">
        <f t="shared" si="695"/>
        <v>176</v>
      </c>
      <c r="DT275" s="1532">
        <v>176</v>
      </c>
      <c r="DU275" s="1558">
        <v>205</v>
      </c>
      <c r="DV275" s="1530">
        <f t="shared" si="707"/>
        <v>280</v>
      </c>
      <c r="DW275" s="1532">
        <v>280</v>
      </c>
      <c r="DX275" s="1558">
        <v>302</v>
      </c>
      <c r="DY275" s="32">
        <f t="shared" si="697"/>
        <v>302</v>
      </c>
      <c r="DZ275" s="1061">
        <f>DX275</f>
        <v>302</v>
      </c>
      <c r="EA275" s="32">
        <f>DZ275</f>
        <v>302</v>
      </c>
      <c r="EB275" s="32">
        <f t="shared" si="698"/>
        <v>302</v>
      </c>
      <c r="EC275" s="1061">
        <f>DZ275</f>
        <v>302</v>
      </c>
      <c r="ED275" s="32">
        <f>EC275</f>
        <v>302</v>
      </c>
      <c r="EE275" s="32">
        <f t="shared" si="708"/>
        <v>302</v>
      </c>
      <c r="EF275" s="1061">
        <f>EC275</f>
        <v>302</v>
      </c>
      <c r="EG275" s="32">
        <f>EF275</f>
        <v>302</v>
      </c>
      <c r="EH275" s="32">
        <f t="shared" si="709"/>
        <v>302</v>
      </c>
      <c r="EI275" s="1061">
        <f>EF275</f>
        <v>302</v>
      </c>
      <c r="EJ275" s="32">
        <f>EI275</f>
        <v>302</v>
      </c>
      <c r="EK275" s="32">
        <f t="shared" si="710"/>
        <v>302</v>
      </c>
      <c r="EL275" s="1061">
        <f>EI275</f>
        <v>302</v>
      </c>
      <c r="EM275" s="32">
        <f>EL275</f>
        <v>302</v>
      </c>
      <c r="EN275" s="32">
        <f t="shared" si="711"/>
        <v>302</v>
      </c>
      <c r="EO275" s="1061">
        <f>EL275</f>
        <v>302</v>
      </c>
      <c r="EP275" s="32">
        <f>EO275</f>
        <v>302</v>
      </c>
      <c r="EQ275" s="32">
        <f t="shared" si="712"/>
        <v>302</v>
      </c>
      <c r="ER275" s="1061">
        <f>EO275</f>
        <v>302</v>
      </c>
      <c r="ES275" s="32">
        <f>ER275</f>
        <v>302</v>
      </c>
      <c r="ET275" s="32">
        <f t="shared" si="713"/>
        <v>302</v>
      </c>
      <c r="EU275" s="1061">
        <f>ER275</f>
        <v>302</v>
      </c>
      <c r="EV275" s="32">
        <f>EU275</f>
        <v>302</v>
      </c>
      <c r="EW275" s="32">
        <f t="shared" si="714"/>
        <v>302</v>
      </c>
      <c r="EX275" s="1061">
        <f>EU275</f>
        <v>302</v>
      </c>
      <c r="EY275" s="32">
        <f>EX275</f>
        <v>302</v>
      </c>
      <c r="EZ275" s="32">
        <f t="shared" si="715"/>
        <v>302</v>
      </c>
      <c r="FA275" s="1061">
        <f>EX275</f>
        <v>302</v>
      </c>
      <c r="FD275"/>
      <c r="FE275"/>
      <c r="FF275"/>
      <c r="FG275"/>
      <c r="FH275"/>
      <c r="FI275"/>
    </row>
    <row r="276" spans="2:169" s="33" customFormat="1" outlineLevel="1">
      <c r="B276" s="54" t="s">
        <v>61</v>
      </c>
      <c r="C276" s="2"/>
      <c r="D276" s="2" t="s">
        <v>506</v>
      </c>
      <c r="E276" s="1205"/>
      <c r="F276" s="32">
        <f t="shared" si="656"/>
        <v>0</v>
      </c>
      <c r="G276" s="1214"/>
      <c r="H276" s="1207"/>
      <c r="I276" s="32">
        <f t="shared" si="657"/>
        <v>0</v>
      </c>
      <c r="J276" s="1214"/>
      <c r="K276" s="1207"/>
      <c r="L276" s="32">
        <f t="shared" si="658"/>
        <v>0</v>
      </c>
      <c r="M276" s="1214"/>
      <c r="N276" s="1207"/>
      <c r="O276" s="32">
        <f t="shared" si="659"/>
        <v>0</v>
      </c>
      <c r="P276" s="1214"/>
      <c r="Q276" s="1207"/>
      <c r="R276" s="32">
        <f t="shared" si="660"/>
        <v>0</v>
      </c>
      <c r="S276" s="1260"/>
      <c r="T276" s="1207"/>
      <c r="U276" s="32">
        <f t="shared" si="661"/>
        <v>0</v>
      </c>
      <c r="V276" s="1214"/>
      <c r="W276" s="1207"/>
      <c r="X276" s="32">
        <f t="shared" si="662"/>
        <v>0</v>
      </c>
      <c r="Y276" s="1214"/>
      <c r="Z276" s="1207"/>
      <c r="AA276" s="32">
        <f t="shared" si="663"/>
        <v>0</v>
      </c>
      <c r="AB276" s="1214"/>
      <c r="AC276" s="1207"/>
      <c r="AD276" s="32">
        <f t="shared" si="664"/>
        <v>0</v>
      </c>
      <c r="AE276" s="1214"/>
      <c r="AF276" s="1207"/>
      <c r="AG276" s="32">
        <f t="shared" si="665"/>
        <v>0</v>
      </c>
      <c r="AH276" s="1214"/>
      <c r="AI276" s="1207"/>
      <c r="AJ276" s="32">
        <f t="shared" si="666"/>
        <v>0</v>
      </c>
      <c r="AK276" s="1214"/>
      <c r="AL276" s="1207"/>
      <c r="AM276" s="32">
        <f t="shared" si="667"/>
        <v>0</v>
      </c>
      <c r="AN276" s="1214"/>
      <c r="AO276" s="1207"/>
      <c r="AP276" s="32">
        <f t="shared" si="668"/>
        <v>0</v>
      </c>
      <c r="AQ276" s="1214"/>
      <c r="AR276" s="1207"/>
      <c r="AS276" s="32">
        <f t="shared" si="669"/>
        <v>0</v>
      </c>
      <c r="AT276" s="1214"/>
      <c r="AU276" s="1207"/>
      <c r="AV276" s="32">
        <f t="shared" si="670"/>
        <v>0</v>
      </c>
      <c r="AW276" s="1214"/>
      <c r="AX276" s="1207"/>
      <c r="AY276" s="32">
        <f t="shared" si="671"/>
        <v>0</v>
      </c>
      <c r="AZ276" s="1214"/>
      <c r="BA276" s="1207"/>
      <c r="BB276" s="32">
        <f t="shared" si="672"/>
        <v>0</v>
      </c>
      <c r="BC276" s="1214"/>
      <c r="BD276" s="1207"/>
      <c r="BE276" s="32">
        <f t="shared" si="673"/>
        <v>0</v>
      </c>
      <c r="BF276" s="1214"/>
      <c r="BG276" s="1207"/>
      <c r="BH276" s="32">
        <f t="shared" si="674"/>
        <v>0</v>
      </c>
      <c r="BI276" s="1214"/>
      <c r="BJ276" s="1207"/>
      <c r="BK276" s="32">
        <f t="shared" si="675"/>
        <v>0</v>
      </c>
      <c r="BL276" s="1214"/>
      <c r="BM276" s="1207"/>
      <c r="BN276" s="32">
        <f t="shared" si="676"/>
        <v>0</v>
      </c>
      <c r="BO276" s="1214"/>
      <c r="BP276" s="1207"/>
      <c r="BQ276" s="32">
        <f t="shared" si="677"/>
        <v>0</v>
      </c>
      <c r="BR276" s="1214"/>
      <c r="BS276" s="1207"/>
      <c r="BT276" s="32">
        <f t="shared" si="678"/>
        <v>0</v>
      </c>
      <c r="BU276" s="1214"/>
      <c r="BV276" s="1207"/>
      <c r="BW276" s="32">
        <f t="shared" si="679"/>
        <v>0</v>
      </c>
      <c r="BX276" s="1205">
        <f>BV276</f>
        <v>0</v>
      </c>
      <c r="BY276" s="1207"/>
      <c r="BZ276" s="32">
        <f t="shared" si="680"/>
        <v>0</v>
      </c>
      <c r="CA276" s="1205">
        <f>BY276</f>
        <v>0</v>
      </c>
      <c r="CB276" s="1207"/>
      <c r="CC276" s="32">
        <f t="shared" si="681"/>
        <v>0</v>
      </c>
      <c r="CD276" s="1218">
        <v>0</v>
      </c>
      <c r="CE276" s="1207"/>
      <c r="CF276" s="32">
        <f t="shared" si="682"/>
        <v>0</v>
      </c>
      <c r="CG276" s="1218">
        <v>0</v>
      </c>
      <c r="CH276" s="1212">
        <v>88.613</v>
      </c>
      <c r="CI276" s="32">
        <f t="shared" si="683"/>
        <v>0</v>
      </c>
      <c r="CJ276" s="1218">
        <v>0</v>
      </c>
      <c r="CK276" s="1207">
        <f>CJ276</f>
        <v>0</v>
      </c>
      <c r="CL276" s="32">
        <f t="shared" si="684"/>
        <v>0</v>
      </c>
      <c r="CM276" s="1205">
        <f>CK276</f>
        <v>0</v>
      </c>
      <c r="CN276" s="1207">
        <f>CM276</f>
        <v>0</v>
      </c>
      <c r="CO276" s="32">
        <f t="shared" si="685"/>
        <v>0</v>
      </c>
      <c r="CP276" s="1205">
        <f>CN276</f>
        <v>0</v>
      </c>
      <c r="CQ276" s="1207">
        <f>CP276</f>
        <v>0</v>
      </c>
      <c r="CR276" s="32">
        <f t="shared" si="686"/>
        <v>0</v>
      </c>
      <c r="CS276" s="1205">
        <f>CQ276</f>
        <v>0</v>
      </c>
      <c r="CT276" s="1207">
        <f>CS276</f>
        <v>0</v>
      </c>
      <c r="CU276" s="32">
        <f t="shared" si="687"/>
        <v>0</v>
      </c>
      <c r="CV276" s="1205">
        <f>CT276</f>
        <v>0</v>
      </c>
      <c r="CW276" s="1207">
        <f>CV276</f>
        <v>0</v>
      </c>
      <c r="CX276" s="32">
        <f t="shared" si="688"/>
        <v>0</v>
      </c>
      <c r="CY276" s="1205">
        <f>CW276</f>
        <v>0</v>
      </c>
      <c r="CZ276" s="1207">
        <f>CY276</f>
        <v>0</v>
      </c>
      <c r="DA276" s="32">
        <f t="shared" si="689"/>
        <v>0</v>
      </c>
      <c r="DB276" s="1205">
        <f>CZ276</f>
        <v>0</v>
      </c>
      <c r="DC276" s="1207">
        <f>DB276</f>
        <v>0</v>
      </c>
      <c r="DD276" s="32">
        <f t="shared" si="690"/>
        <v>0</v>
      </c>
      <c r="DE276" s="1219">
        <f>DC276</f>
        <v>0</v>
      </c>
      <c r="DF276" s="1207">
        <f>DE276</f>
        <v>0</v>
      </c>
      <c r="DG276" s="32">
        <f t="shared" si="691"/>
        <v>0</v>
      </c>
      <c r="DH276" s="1219">
        <f>DF276</f>
        <v>0</v>
      </c>
      <c r="DI276" s="1207">
        <f>DH276</f>
        <v>0</v>
      </c>
      <c r="DJ276" s="32">
        <f t="shared" si="692"/>
        <v>0</v>
      </c>
      <c r="DK276" s="1219">
        <f>DI276</f>
        <v>0</v>
      </c>
      <c r="DL276" s="32">
        <f>DK276</f>
        <v>0</v>
      </c>
      <c r="DM276" s="32">
        <f t="shared" si="693"/>
        <v>0</v>
      </c>
      <c r="DN276" s="1061">
        <f>DL276</f>
        <v>0</v>
      </c>
      <c r="DO276" s="32">
        <f>DN276</f>
        <v>0</v>
      </c>
      <c r="DP276" s="32">
        <f t="shared" si="694"/>
        <v>0</v>
      </c>
      <c r="DQ276" s="1061">
        <f>DO276</f>
        <v>0</v>
      </c>
      <c r="DR276" s="32">
        <f>DQ276</f>
        <v>0</v>
      </c>
      <c r="DS276" s="32">
        <f t="shared" si="695"/>
        <v>0</v>
      </c>
      <c r="DT276" s="1061">
        <f>DR276</f>
        <v>0</v>
      </c>
      <c r="DU276" s="32">
        <f>DT276</f>
        <v>0</v>
      </c>
      <c r="DV276" s="32">
        <f t="shared" si="707"/>
        <v>0</v>
      </c>
      <c r="DW276" s="1061">
        <f>DU276</f>
        <v>0</v>
      </c>
      <c r="DX276" s="32">
        <f>DW276</f>
        <v>0</v>
      </c>
      <c r="DY276" s="32">
        <f t="shared" si="697"/>
        <v>0</v>
      </c>
      <c r="DZ276" s="1061">
        <f>DX276</f>
        <v>0</v>
      </c>
      <c r="EA276" s="32">
        <f>DZ276</f>
        <v>0</v>
      </c>
      <c r="EB276" s="32">
        <f t="shared" si="698"/>
        <v>0</v>
      </c>
      <c r="EC276" s="1061">
        <f>EA276</f>
        <v>0</v>
      </c>
      <c r="ED276" s="32">
        <f>EC276</f>
        <v>0</v>
      </c>
      <c r="EE276" s="32">
        <f t="shared" si="708"/>
        <v>0</v>
      </c>
      <c r="EF276" s="1061">
        <f>ED276</f>
        <v>0</v>
      </c>
      <c r="EG276" s="32">
        <f>EF276</f>
        <v>0</v>
      </c>
      <c r="EH276" s="32">
        <f t="shared" si="709"/>
        <v>0</v>
      </c>
      <c r="EI276" s="1061">
        <f>EG276</f>
        <v>0</v>
      </c>
      <c r="EJ276" s="32">
        <f>EI276</f>
        <v>0</v>
      </c>
      <c r="EK276" s="32">
        <f t="shared" si="710"/>
        <v>0</v>
      </c>
      <c r="EL276" s="1061">
        <f>EJ276</f>
        <v>0</v>
      </c>
      <c r="EM276" s="32">
        <f>EL276</f>
        <v>0</v>
      </c>
      <c r="EN276" s="32">
        <f t="shared" si="711"/>
        <v>0</v>
      </c>
      <c r="EO276" s="1061">
        <f>EM276</f>
        <v>0</v>
      </c>
      <c r="EP276" s="32">
        <f>EO276</f>
        <v>0</v>
      </c>
      <c r="EQ276" s="32">
        <f t="shared" si="712"/>
        <v>0</v>
      </c>
      <c r="ER276" s="1061">
        <f>EP276</f>
        <v>0</v>
      </c>
      <c r="ES276" s="32">
        <f>ER276</f>
        <v>0</v>
      </c>
      <c r="ET276" s="32">
        <f t="shared" si="713"/>
        <v>0</v>
      </c>
      <c r="EU276" s="1061">
        <f>ES276</f>
        <v>0</v>
      </c>
      <c r="EV276" s="32">
        <f>EU276</f>
        <v>0</v>
      </c>
      <c r="EW276" s="32">
        <f t="shared" si="714"/>
        <v>0</v>
      </c>
      <c r="EX276" s="1061">
        <f>EV276</f>
        <v>0</v>
      </c>
      <c r="EY276" s="32">
        <f>EX276</f>
        <v>0</v>
      </c>
      <c r="EZ276" s="32">
        <f t="shared" si="715"/>
        <v>0</v>
      </c>
      <c r="FA276" s="1061">
        <f>EY276</f>
        <v>0</v>
      </c>
      <c r="FD276"/>
      <c r="FE276"/>
      <c r="FF276"/>
      <c r="FG276"/>
      <c r="FH276"/>
      <c r="FI276"/>
    </row>
    <row r="277" spans="2:169" s="33" customFormat="1" outlineLevel="1">
      <c r="B277" s="54" t="s">
        <v>62</v>
      </c>
      <c r="C277" s="2"/>
      <c r="D277" s="2" t="s">
        <v>506</v>
      </c>
      <c r="E277" s="1205"/>
      <c r="F277" s="32">
        <f t="shared" si="656"/>
        <v>0</v>
      </c>
      <c r="G277" s="1214"/>
      <c r="H277" s="1207"/>
      <c r="I277" s="32">
        <f t="shared" si="657"/>
        <v>0</v>
      </c>
      <c r="J277" s="1214"/>
      <c r="K277" s="1207"/>
      <c r="L277" s="32">
        <f t="shared" si="658"/>
        <v>0</v>
      </c>
      <c r="M277" s="1214"/>
      <c r="N277" s="1207"/>
      <c r="O277" s="32">
        <f t="shared" si="659"/>
        <v>0</v>
      </c>
      <c r="P277" s="1214"/>
      <c r="Q277" s="1207"/>
      <c r="R277" s="32">
        <f t="shared" si="660"/>
        <v>0</v>
      </c>
      <c r="S277" s="1260"/>
      <c r="T277" s="1207"/>
      <c r="U277" s="32">
        <f t="shared" si="661"/>
        <v>0</v>
      </c>
      <c r="V277" s="1214"/>
      <c r="W277" s="1207"/>
      <c r="X277" s="32">
        <f t="shared" si="662"/>
        <v>0</v>
      </c>
      <c r="Y277" s="1214"/>
      <c r="Z277" s="1207"/>
      <c r="AA277" s="32">
        <f t="shared" si="663"/>
        <v>0</v>
      </c>
      <c r="AB277" s="1214"/>
      <c r="AC277" s="1207"/>
      <c r="AD277" s="32">
        <f t="shared" si="664"/>
        <v>0</v>
      </c>
      <c r="AE277" s="1214"/>
      <c r="AF277" s="1207"/>
      <c r="AG277" s="32">
        <f t="shared" si="665"/>
        <v>0</v>
      </c>
      <c r="AH277" s="1214"/>
      <c r="AI277" s="1207"/>
      <c r="AJ277" s="32">
        <f t="shared" si="666"/>
        <v>0</v>
      </c>
      <c r="AK277" s="1214"/>
      <c r="AL277" s="1207"/>
      <c r="AM277" s="32">
        <f t="shared" si="667"/>
        <v>0</v>
      </c>
      <c r="AN277" s="1214"/>
      <c r="AO277" s="1207"/>
      <c r="AP277" s="32">
        <f t="shared" si="668"/>
        <v>0</v>
      </c>
      <c r="AQ277" s="1214"/>
      <c r="AR277" s="1207"/>
      <c r="AS277" s="32">
        <f t="shared" si="669"/>
        <v>0</v>
      </c>
      <c r="AT277" s="1214"/>
      <c r="AU277" s="1207"/>
      <c r="AV277" s="32">
        <f t="shared" si="670"/>
        <v>0</v>
      </c>
      <c r="AW277" s="1214"/>
      <c r="AX277" s="1207"/>
      <c r="AY277" s="32">
        <f t="shared" si="671"/>
        <v>0</v>
      </c>
      <c r="AZ277" s="1214"/>
      <c r="BA277" s="1207"/>
      <c r="BB277" s="32">
        <f t="shared" si="672"/>
        <v>0</v>
      </c>
      <c r="BC277" s="1214"/>
      <c r="BD277" s="1207"/>
      <c r="BE277" s="32">
        <f t="shared" si="673"/>
        <v>0</v>
      </c>
      <c r="BF277" s="1214"/>
      <c r="BG277" s="1207"/>
      <c r="BH277" s="32">
        <f t="shared" si="674"/>
        <v>0</v>
      </c>
      <c r="BI277" s="1214"/>
      <c r="BJ277" s="1207"/>
      <c r="BK277" s="32">
        <f t="shared" si="675"/>
        <v>0</v>
      </c>
      <c r="BL277" s="1214"/>
      <c r="BM277" s="1207"/>
      <c r="BN277" s="32">
        <f t="shared" si="676"/>
        <v>0</v>
      </c>
      <c r="BO277" s="1214"/>
      <c r="BP277" s="1207"/>
      <c r="BQ277" s="32">
        <f t="shared" si="677"/>
        <v>0</v>
      </c>
      <c r="BR277" s="1214"/>
      <c r="BS277" s="1207"/>
      <c r="BT277" s="32">
        <f t="shared" si="678"/>
        <v>0</v>
      </c>
      <c r="BU277" s="1214"/>
      <c r="BV277" s="1207"/>
      <c r="BW277" s="32">
        <f t="shared" si="679"/>
        <v>0</v>
      </c>
      <c r="BX277" s="1205">
        <f>BV277</f>
        <v>0</v>
      </c>
      <c r="BY277" s="1207"/>
      <c r="BZ277" s="32">
        <f t="shared" si="680"/>
        <v>0</v>
      </c>
      <c r="CA277" s="1205">
        <f>BY277</f>
        <v>0</v>
      </c>
      <c r="CB277" s="1207"/>
      <c r="CC277" s="32">
        <f t="shared" si="681"/>
        <v>0</v>
      </c>
      <c r="CD277" s="1205">
        <f>CB277</f>
        <v>0</v>
      </c>
      <c r="CE277" s="1207"/>
      <c r="CF277" s="32">
        <f t="shared" si="682"/>
        <v>0</v>
      </c>
      <c r="CG277" s="1205">
        <f>CE277</f>
        <v>0</v>
      </c>
      <c r="CH277" s="1207">
        <f>CG277</f>
        <v>0</v>
      </c>
      <c r="CI277" s="32">
        <f t="shared" si="683"/>
        <v>0</v>
      </c>
      <c r="CJ277" s="1205">
        <f>CH277</f>
        <v>0</v>
      </c>
      <c r="CK277" s="1207">
        <f>CJ277</f>
        <v>0</v>
      </c>
      <c r="CL277" s="32">
        <f t="shared" si="684"/>
        <v>0</v>
      </c>
      <c r="CM277" s="1205">
        <f>CK277</f>
        <v>0</v>
      </c>
      <c r="CN277" s="1207">
        <f>CM277</f>
        <v>0</v>
      </c>
      <c r="CO277" s="32">
        <f t="shared" si="685"/>
        <v>0</v>
      </c>
      <c r="CP277" s="1205">
        <f>CN277</f>
        <v>0</v>
      </c>
      <c r="CQ277" s="1207">
        <f>CP277</f>
        <v>0</v>
      </c>
      <c r="CR277" s="32">
        <f t="shared" si="686"/>
        <v>0</v>
      </c>
      <c r="CS277" s="1205">
        <f>CQ277</f>
        <v>0</v>
      </c>
      <c r="CT277" s="1207">
        <f>CS277</f>
        <v>0</v>
      </c>
      <c r="CU277" s="32">
        <f t="shared" si="687"/>
        <v>0</v>
      </c>
      <c r="CV277" s="1205">
        <f>CT277</f>
        <v>0</v>
      </c>
      <c r="CW277" s="1207">
        <f>CV277</f>
        <v>0</v>
      </c>
      <c r="CX277" s="32">
        <f t="shared" si="688"/>
        <v>0</v>
      </c>
      <c r="CY277" s="1205">
        <f>CW277</f>
        <v>0</v>
      </c>
      <c r="CZ277" s="1207">
        <f>CY277</f>
        <v>0</v>
      </c>
      <c r="DA277" s="32">
        <f t="shared" si="689"/>
        <v>0</v>
      </c>
      <c r="DB277" s="1205">
        <f>CZ277</f>
        <v>0</v>
      </c>
      <c r="DC277" s="1207">
        <f>DB277</f>
        <v>0</v>
      </c>
      <c r="DD277" s="32">
        <f t="shared" si="690"/>
        <v>0</v>
      </c>
      <c r="DE277" s="1219">
        <f>DC277</f>
        <v>0</v>
      </c>
      <c r="DF277" s="1207">
        <f>DE277</f>
        <v>0</v>
      </c>
      <c r="DG277" s="32">
        <f t="shared" si="691"/>
        <v>0</v>
      </c>
      <c r="DH277" s="1219">
        <f>DF277</f>
        <v>0</v>
      </c>
      <c r="DI277" s="1207">
        <f>DH277</f>
        <v>0</v>
      </c>
      <c r="DJ277" s="32">
        <f t="shared" si="692"/>
        <v>0</v>
      </c>
      <c r="DK277" s="1219">
        <f>DI277</f>
        <v>0</v>
      </c>
      <c r="DL277" s="32">
        <f>DK277</f>
        <v>0</v>
      </c>
      <c r="DM277" s="32">
        <f t="shared" si="693"/>
        <v>0</v>
      </c>
      <c r="DN277" s="1061">
        <f>DL277</f>
        <v>0</v>
      </c>
      <c r="DO277" s="32">
        <f>DN277</f>
        <v>0</v>
      </c>
      <c r="DP277" s="32">
        <f t="shared" si="694"/>
        <v>0</v>
      </c>
      <c r="DQ277" s="1061">
        <f>DO277</f>
        <v>0</v>
      </c>
      <c r="DR277" s="32">
        <f>DQ277</f>
        <v>0</v>
      </c>
      <c r="DS277" s="32">
        <f t="shared" si="695"/>
        <v>0</v>
      </c>
      <c r="DT277" s="1061">
        <f>DR277</f>
        <v>0</v>
      </c>
      <c r="DU277" s="32">
        <f>DT277</f>
        <v>0</v>
      </c>
      <c r="DV277" s="32">
        <f t="shared" si="707"/>
        <v>0</v>
      </c>
      <c r="DW277" s="1061">
        <f>DU277</f>
        <v>0</v>
      </c>
      <c r="DX277" s="32">
        <f>DW277</f>
        <v>0</v>
      </c>
      <c r="DY277" s="32">
        <f t="shared" si="697"/>
        <v>0</v>
      </c>
      <c r="DZ277" s="1061">
        <f>DX277</f>
        <v>0</v>
      </c>
      <c r="EA277" s="32">
        <f>DZ277</f>
        <v>0</v>
      </c>
      <c r="EB277" s="32">
        <f t="shared" si="698"/>
        <v>0</v>
      </c>
      <c r="EC277" s="1061">
        <f>EA277</f>
        <v>0</v>
      </c>
      <c r="ED277" s="32">
        <f>EC277</f>
        <v>0</v>
      </c>
      <c r="EE277" s="32">
        <f t="shared" si="708"/>
        <v>0</v>
      </c>
      <c r="EF277" s="1061">
        <f>ED277</f>
        <v>0</v>
      </c>
      <c r="EG277" s="32">
        <f>EF277</f>
        <v>0</v>
      </c>
      <c r="EH277" s="32">
        <f t="shared" si="709"/>
        <v>0</v>
      </c>
      <c r="EI277" s="1061">
        <f>EG277</f>
        <v>0</v>
      </c>
      <c r="EJ277" s="32">
        <f>EI277</f>
        <v>0</v>
      </c>
      <c r="EK277" s="32">
        <f t="shared" si="710"/>
        <v>0</v>
      </c>
      <c r="EL277" s="1061">
        <f>EJ277</f>
        <v>0</v>
      </c>
      <c r="EM277" s="32">
        <f>EL277</f>
        <v>0</v>
      </c>
      <c r="EN277" s="32">
        <f t="shared" si="711"/>
        <v>0</v>
      </c>
      <c r="EO277" s="1061">
        <f>EM277</f>
        <v>0</v>
      </c>
      <c r="EP277" s="32">
        <f>EO277</f>
        <v>0</v>
      </c>
      <c r="EQ277" s="32">
        <f t="shared" si="712"/>
        <v>0</v>
      </c>
      <c r="ER277" s="1061">
        <f>EP277</f>
        <v>0</v>
      </c>
      <c r="ES277" s="32">
        <f>ER277</f>
        <v>0</v>
      </c>
      <c r="ET277" s="32">
        <f t="shared" si="713"/>
        <v>0</v>
      </c>
      <c r="EU277" s="1061">
        <f>ES277</f>
        <v>0</v>
      </c>
      <c r="EV277" s="32">
        <f>EU277</f>
        <v>0</v>
      </c>
      <c r="EW277" s="32">
        <f t="shared" si="714"/>
        <v>0</v>
      </c>
      <c r="EX277" s="1061">
        <f>EV277</f>
        <v>0</v>
      </c>
      <c r="EY277" s="32">
        <f>EX277</f>
        <v>0</v>
      </c>
      <c r="EZ277" s="32">
        <f t="shared" si="715"/>
        <v>0</v>
      </c>
      <c r="FA277" s="1061">
        <f>EY277</f>
        <v>0</v>
      </c>
      <c r="FD277"/>
      <c r="FE277"/>
      <c r="FF277"/>
      <c r="FG277"/>
      <c r="FH277"/>
      <c r="FI277"/>
    </row>
    <row r="278" spans="2:169" s="33" customFormat="1" outlineLevel="1">
      <c r="B278" s="54" t="s">
        <v>63</v>
      </c>
      <c r="C278" s="2"/>
      <c r="D278" s="2" t="s">
        <v>506</v>
      </c>
      <c r="E278" s="1205"/>
      <c r="F278" s="32">
        <f t="shared" si="656"/>
        <v>0</v>
      </c>
      <c r="G278" s="1214"/>
      <c r="H278" s="1207"/>
      <c r="I278" s="32">
        <f t="shared" si="657"/>
        <v>0</v>
      </c>
      <c r="J278" s="1214"/>
      <c r="K278" s="1207"/>
      <c r="L278" s="32">
        <f t="shared" si="658"/>
        <v>0</v>
      </c>
      <c r="M278" s="1214"/>
      <c r="N278" s="1207"/>
      <c r="O278" s="32">
        <f t="shared" si="659"/>
        <v>0</v>
      </c>
      <c r="P278" s="1214"/>
      <c r="Q278" s="1207"/>
      <c r="R278" s="32">
        <f t="shared" si="660"/>
        <v>0</v>
      </c>
      <c r="S278" s="1260"/>
      <c r="T278" s="1207"/>
      <c r="U278" s="32">
        <f t="shared" si="661"/>
        <v>0</v>
      </c>
      <c r="V278" s="1214"/>
      <c r="W278" s="1207"/>
      <c r="X278" s="32">
        <f t="shared" si="662"/>
        <v>0</v>
      </c>
      <c r="Y278" s="1214"/>
      <c r="Z278" s="1207"/>
      <c r="AA278" s="32">
        <f t="shared" si="663"/>
        <v>0</v>
      </c>
      <c r="AB278" s="1214"/>
      <c r="AC278" s="1207"/>
      <c r="AD278" s="32">
        <f t="shared" si="664"/>
        <v>0</v>
      </c>
      <c r="AE278" s="1214"/>
      <c r="AF278" s="1207"/>
      <c r="AG278" s="32">
        <f t="shared" si="665"/>
        <v>0</v>
      </c>
      <c r="AH278" s="1214"/>
      <c r="AI278" s="1207"/>
      <c r="AJ278" s="32">
        <f t="shared" si="666"/>
        <v>0</v>
      </c>
      <c r="AK278" s="1214"/>
      <c r="AL278" s="1207"/>
      <c r="AM278" s="32">
        <f t="shared" si="667"/>
        <v>0</v>
      </c>
      <c r="AN278" s="1214"/>
      <c r="AO278" s="1207"/>
      <c r="AP278" s="32">
        <f t="shared" si="668"/>
        <v>0</v>
      </c>
      <c r="AQ278" s="1214"/>
      <c r="AR278" s="1207"/>
      <c r="AS278" s="32">
        <f t="shared" si="669"/>
        <v>0</v>
      </c>
      <c r="AT278" s="1214"/>
      <c r="AU278" s="1207"/>
      <c r="AV278" s="32">
        <f t="shared" si="670"/>
        <v>0</v>
      </c>
      <c r="AW278" s="1214"/>
      <c r="AX278" s="1207"/>
      <c r="AY278" s="32">
        <f t="shared" si="671"/>
        <v>0</v>
      </c>
      <c r="AZ278" s="1214"/>
      <c r="BA278" s="1207"/>
      <c r="BB278" s="32">
        <f t="shared" si="672"/>
        <v>0</v>
      </c>
      <c r="BC278" s="1214"/>
      <c r="BD278" s="1207"/>
      <c r="BE278" s="32">
        <f t="shared" si="673"/>
        <v>0</v>
      </c>
      <c r="BF278" s="1214"/>
      <c r="BG278" s="1207"/>
      <c r="BH278" s="32">
        <f t="shared" si="674"/>
        <v>0</v>
      </c>
      <c r="BI278" s="1214"/>
      <c r="BJ278" s="1207"/>
      <c r="BK278" s="32">
        <f t="shared" si="675"/>
        <v>0</v>
      </c>
      <c r="BL278" s="1214"/>
      <c r="BM278" s="1207"/>
      <c r="BN278" s="32">
        <f t="shared" si="676"/>
        <v>0</v>
      </c>
      <c r="BO278" s="1214"/>
      <c r="BP278" s="1207"/>
      <c r="BQ278" s="32">
        <f t="shared" si="677"/>
        <v>0</v>
      </c>
      <c r="BR278" s="1214"/>
      <c r="BS278" s="1207"/>
      <c r="BT278" s="32">
        <f t="shared" si="678"/>
        <v>0</v>
      </c>
      <c r="BU278" s="1214"/>
      <c r="BV278" s="1207"/>
      <c r="BW278" s="32">
        <f t="shared" si="679"/>
        <v>0</v>
      </c>
      <c r="BX278" s="1205">
        <f>BV278</f>
        <v>0</v>
      </c>
      <c r="BY278" s="1207"/>
      <c r="BZ278" s="32">
        <f t="shared" si="680"/>
        <v>0</v>
      </c>
      <c r="CA278" s="1205">
        <f>BY278</f>
        <v>0</v>
      </c>
      <c r="CB278" s="1207"/>
      <c r="CC278" s="32">
        <f t="shared" si="681"/>
        <v>0</v>
      </c>
      <c r="CD278" s="1205">
        <f>CB278</f>
        <v>0</v>
      </c>
      <c r="CE278" s="1207"/>
      <c r="CF278" s="32">
        <f t="shared" si="682"/>
        <v>0</v>
      </c>
      <c r="CG278" s="1205">
        <f>CE278</f>
        <v>0</v>
      </c>
      <c r="CH278" s="1207">
        <f>CG278</f>
        <v>0</v>
      </c>
      <c r="CI278" s="32">
        <f t="shared" si="683"/>
        <v>0</v>
      </c>
      <c r="CJ278" s="1205">
        <f>CH278</f>
        <v>0</v>
      </c>
      <c r="CK278" s="1207">
        <f>CJ278</f>
        <v>0</v>
      </c>
      <c r="CL278" s="32">
        <f t="shared" si="684"/>
        <v>0</v>
      </c>
      <c r="CM278" s="1205">
        <f>CK278</f>
        <v>0</v>
      </c>
      <c r="CN278" s="1207">
        <f>CM278</f>
        <v>0</v>
      </c>
      <c r="CO278" s="32">
        <f t="shared" si="685"/>
        <v>0</v>
      </c>
      <c r="CP278" s="1205">
        <f>CN278</f>
        <v>0</v>
      </c>
      <c r="CQ278" s="1207">
        <f>CP278</f>
        <v>0</v>
      </c>
      <c r="CR278" s="32">
        <f t="shared" si="686"/>
        <v>0</v>
      </c>
      <c r="CS278" s="1205">
        <f>CQ278</f>
        <v>0</v>
      </c>
      <c r="CT278" s="1207">
        <f>CS278</f>
        <v>0</v>
      </c>
      <c r="CU278" s="32">
        <f t="shared" si="687"/>
        <v>0</v>
      </c>
      <c r="CV278" s="1205">
        <f>CT278</f>
        <v>0</v>
      </c>
      <c r="CW278" s="1207">
        <f>CV278</f>
        <v>0</v>
      </c>
      <c r="CX278" s="32">
        <f t="shared" si="688"/>
        <v>0</v>
      </c>
      <c r="CY278" s="1205">
        <f>CW278</f>
        <v>0</v>
      </c>
      <c r="CZ278" s="1207">
        <f>CY278</f>
        <v>0</v>
      </c>
      <c r="DA278" s="32">
        <f t="shared" si="689"/>
        <v>0</v>
      </c>
      <c r="DB278" s="1205">
        <f>CZ278</f>
        <v>0</v>
      </c>
      <c r="DC278" s="1207">
        <f>DB278</f>
        <v>0</v>
      </c>
      <c r="DD278" s="32">
        <f t="shared" si="690"/>
        <v>0</v>
      </c>
      <c r="DE278" s="1219">
        <f>DC278</f>
        <v>0</v>
      </c>
      <c r="DF278" s="1207">
        <f>DE278</f>
        <v>0</v>
      </c>
      <c r="DG278" s="32">
        <f t="shared" si="691"/>
        <v>0</v>
      </c>
      <c r="DH278" s="1219">
        <f>DF278</f>
        <v>0</v>
      </c>
      <c r="DI278" s="1207">
        <f>DH278</f>
        <v>0</v>
      </c>
      <c r="DJ278" s="32">
        <f t="shared" si="692"/>
        <v>0</v>
      </c>
      <c r="DK278" s="1219">
        <f>DI278</f>
        <v>0</v>
      </c>
      <c r="DL278" s="32">
        <f>DK278</f>
        <v>0</v>
      </c>
      <c r="DM278" s="32">
        <f t="shared" si="693"/>
        <v>0</v>
      </c>
      <c r="DN278" s="1061">
        <f>DL278</f>
        <v>0</v>
      </c>
      <c r="DO278" s="32">
        <f>DN278</f>
        <v>0</v>
      </c>
      <c r="DP278" s="32">
        <f t="shared" si="694"/>
        <v>0</v>
      </c>
      <c r="DQ278" s="1061">
        <f>DO278</f>
        <v>0</v>
      </c>
      <c r="DR278" s="32">
        <f>DQ278</f>
        <v>0</v>
      </c>
      <c r="DS278" s="32">
        <f t="shared" si="695"/>
        <v>0</v>
      </c>
      <c r="DT278" s="1061">
        <f>DR278</f>
        <v>0</v>
      </c>
      <c r="DU278" s="32">
        <f>DT278</f>
        <v>0</v>
      </c>
      <c r="DV278" s="32">
        <f t="shared" si="707"/>
        <v>0</v>
      </c>
      <c r="DW278" s="1061">
        <f>DU278</f>
        <v>0</v>
      </c>
      <c r="DX278" s="32">
        <f>DW278</f>
        <v>0</v>
      </c>
      <c r="DY278" s="32">
        <f t="shared" si="697"/>
        <v>0</v>
      </c>
      <c r="DZ278" s="1061">
        <f>DX278</f>
        <v>0</v>
      </c>
      <c r="EA278" s="32">
        <f>DZ278</f>
        <v>0</v>
      </c>
      <c r="EB278" s="32">
        <f t="shared" si="698"/>
        <v>0</v>
      </c>
      <c r="EC278" s="1061">
        <f>EA278</f>
        <v>0</v>
      </c>
      <c r="ED278" s="32">
        <f>EC278</f>
        <v>0</v>
      </c>
      <c r="EE278" s="32">
        <f t="shared" si="708"/>
        <v>0</v>
      </c>
      <c r="EF278" s="1061">
        <f>ED278</f>
        <v>0</v>
      </c>
      <c r="EG278" s="32">
        <f>EF278</f>
        <v>0</v>
      </c>
      <c r="EH278" s="32">
        <f t="shared" si="709"/>
        <v>0</v>
      </c>
      <c r="EI278" s="1061">
        <f>EG278</f>
        <v>0</v>
      </c>
      <c r="EJ278" s="32">
        <f>EI278</f>
        <v>0</v>
      </c>
      <c r="EK278" s="32">
        <f t="shared" si="710"/>
        <v>0</v>
      </c>
      <c r="EL278" s="1061">
        <f>EJ278</f>
        <v>0</v>
      </c>
      <c r="EM278" s="32">
        <f>EL278</f>
        <v>0</v>
      </c>
      <c r="EN278" s="32">
        <f t="shared" si="711"/>
        <v>0</v>
      </c>
      <c r="EO278" s="1061">
        <f>EM278</f>
        <v>0</v>
      </c>
      <c r="EP278" s="32">
        <f>EO278</f>
        <v>0</v>
      </c>
      <c r="EQ278" s="32">
        <f t="shared" si="712"/>
        <v>0</v>
      </c>
      <c r="ER278" s="1061">
        <f>EP278</f>
        <v>0</v>
      </c>
      <c r="ES278" s="32">
        <f>ER278</f>
        <v>0</v>
      </c>
      <c r="ET278" s="32">
        <f t="shared" si="713"/>
        <v>0</v>
      </c>
      <c r="EU278" s="1061">
        <f>ES278</f>
        <v>0</v>
      </c>
      <c r="EV278" s="32">
        <f>EU278</f>
        <v>0</v>
      </c>
      <c r="EW278" s="32">
        <f t="shared" si="714"/>
        <v>0</v>
      </c>
      <c r="EX278" s="1061">
        <f>EV278</f>
        <v>0</v>
      </c>
      <c r="EY278" s="32">
        <f>EX278</f>
        <v>0</v>
      </c>
      <c r="EZ278" s="32">
        <f t="shared" si="715"/>
        <v>0</v>
      </c>
      <c r="FA278" s="1061">
        <f>EY278</f>
        <v>0</v>
      </c>
      <c r="FD278"/>
      <c r="FE278"/>
      <c r="FF278"/>
      <c r="FG278"/>
      <c r="FH278"/>
      <c r="FI278"/>
    </row>
    <row r="279" spans="2:169" s="33" customFormat="1" ht="13.5" outlineLevel="1" thickBot="1">
      <c r="B279" s="54" t="s">
        <v>64</v>
      </c>
      <c r="C279" s="2"/>
      <c r="D279" s="2" t="s">
        <v>506</v>
      </c>
      <c r="E279" s="1188"/>
      <c r="F279" s="32">
        <f t="shared" si="656"/>
        <v>0</v>
      </c>
      <c r="G279" s="1247"/>
      <c r="H279" s="1190"/>
      <c r="I279" s="32">
        <f t="shared" si="657"/>
        <v>0</v>
      </c>
      <c r="J279" s="1247"/>
      <c r="K279" s="1190"/>
      <c r="L279" s="32">
        <f t="shared" si="658"/>
        <v>0</v>
      </c>
      <c r="M279" s="1247"/>
      <c r="N279" s="1190"/>
      <c r="O279" s="32">
        <f t="shared" si="659"/>
        <v>0</v>
      </c>
      <c r="P279" s="1247"/>
      <c r="Q279" s="1190"/>
      <c r="R279" s="32">
        <f t="shared" si="660"/>
        <v>0</v>
      </c>
      <c r="S279" s="1257"/>
      <c r="T279" s="1190"/>
      <c r="U279" s="32">
        <f t="shared" si="661"/>
        <v>0</v>
      </c>
      <c r="V279" s="1247"/>
      <c r="W279" s="1190"/>
      <c r="X279" s="32">
        <f t="shared" si="662"/>
        <v>0</v>
      </c>
      <c r="Y279" s="1247"/>
      <c r="Z279" s="1190"/>
      <c r="AA279" s="32">
        <f t="shared" si="663"/>
        <v>0</v>
      </c>
      <c r="AB279" s="1247"/>
      <c r="AC279" s="1190"/>
      <c r="AD279" s="32">
        <f t="shared" si="664"/>
        <v>0</v>
      </c>
      <c r="AE279" s="1247"/>
      <c r="AF279" s="1190"/>
      <c r="AG279" s="32">
        <f t="shared" si="665"/>
        <v>0</v>
      </c>
      <c r="AH279" s="1247"/>
      <c r="AI279" s="1190"/>
      <c r="AJ279" s="32">
        <f t="shared" si="666"/>
        <v>0</v>
      </c>
      <c r="AK279" s="1247"/>
      <c r="AL279" s="1190"/>
      <c r="AM279" s="32">
        <f t="shared" si="667"/>
        <v>0</v>
      </c>
      <c r="AN279" s="1247"/>
      <c r="AO279" s="1190"/>
      <c r="AP279" s="32">
        <f t="shared" si="668"/>
        <v>0</v>
      </c>
      <c r="AQ279" s="1247"/>
      <c r="AR279" s="1190"/>
      <c r="AS279" s="32">
        <f t="shared" si="669"/>
        <v>0</v>
      </c>
      <c r="AT279" s="1247"/>
      <c r="AU279" s="1190"/>
      <c r="AV279" s="32">
        <f t="shared" si="670"/>
        <v>0</v>
      </c>
      <c r="AW279" s="1247"/>
      <c r="AX279" s="1190"/>
      <c r="AY279" s="32">
        <f t="shared" si="671"/>
        <v>0</v>
      </c>
      <c r="AZ279" s="1247"/>
      <c r="BA279" s="1190"/>
      <c r="BB279" s="32">
        <f t="shared" si="672"/>
        <v>0</v>
      </c>
      <c r="BC279" s="1247"/>
      <c r="BD279" s="1190"/>
      <c r="BE279" s="32">
        <f t="shared" si="673"/>
        <v>0</v>
      </c>
      <c r="BF279" s="1247"/>
      <c r="BG279" s="1190"/>
      <c r="BH279" s="32">
        <f t="shared" si="674"/>
        <v>0</v>
      </c>
      <c r="BI279" s="1247"/>
      <c r="BJ279" s="1190"/>
      <c r="BK279" s="32">
        <f t="shared" si="675"/>
        <v>0</v>
      </c>
      <c r="BL279" s="1247"/>
      <c r="BM279" s="1190"/>
      <c r="BN279" s="32">
        <f t="shared" si="676"/>
        <v>0</v>
      </c>
      <c r="BO279" s="1247"/>
      <c r="BP279" s="1190"/>
      <c r="BQ279" s="32">
        <f t="shared" si="677"/>
        <v>0</v>
      </c>
      <c r="BR279" s="1247"/>
      <c r="BS279" s="1190"/>
      <c r="BT279" s="32">
        <f t="shared" si="678"/>
        <v>0</v>
      </c>
      <c r="BU279" s="1247"/>
      <c r="BV279" s="1190"/>
      <c r="BW279" s="32">
        <f t="shared" si="679"/>
        <v>0</v>
      </c>
      <c r="BX279" s="1188">
        <f>Assumptions!BX150*BX30</f>
        <v>0</v>
      </c>
      <c r="BY279" s="1190"/>
      <c r="BZ279" s="32">
        <f t="shared" si="680"/>
        <v>0</v>
      </c>
      <c r="CA279" s="1188">
        <f>Assumptions!CA150*CA30</f>
        <v>0</v>
      </c>
      <c r="CB279" s="1190"/>
      <c r="CC279" s="32">
        <f t="shared" si="681"/>
        <v>0</v>
      </c>
      <c r="CD279" s="1188">
        <f>Assumptions!CD150*CD30</f>
        <v>0</v>
      </c>
      <c r="CE279" s="1190"/>
      <c r="CF279" s="32">
        <f t="shared" si="682"/>
        <v>0</v>
      </c>
      <c r="CG279" s="1188">
        <f>Assumptions!CG150*CG30</f>
        <v>0</v>
      </c>
      <c r="CH279" s="1190">
        <f>Assumptions!CH150*(CH30*2)</f>
        <v>0</v>
      </c>
      <c r="CI279" s="32">
        <f t="shared" si="683"/>
        <v>101.4</v>
      </c>
      <c r="CJ279" s="1188">
        <f>99+1+1.4</f>
        <v>101.4</v>
      </c>
      <c r="CK279" s="1190">
        <f>Assumptions!CK150*(CK30*2)</f>
        <v>0</v>
      </c>
      <c r="CL279" s="32">
        <f t="shared" si="684"/>
        <v>0</v>
      </c>
      <c r="CM279" s="1188">
        <f>Assumptions!CM150*CM30</f>
        <v>0</v>
      </c>
      <c r="CN279" s="1190">
        <f>Assumptions!CN150*(CN30*2)</f>
        <v>0</v>
      </c>
      <c r="CO279" s="32">
        <f t="shared" si="685"/>
        <v>0</v>
      </c>
      <c r="CP279" s="1188">
        <f>Assumptions!CP150*CP30</f>
        <v>0</v>
      </c>
      <c r="CQ279" s="1190">
        <f>Assumptions!CQ150*(CQ30*2)</f>
        <v>0</v>
      </c>
      <c r="CR279" s="32">
        <f t="shared" si="686"/>
        <v>0</v>
      </c>
      <c r="CS279" s="1188">
        <f>Assumptions!CS150*CS30</f>
        <v>0</v>
      </c>
      <c r="CT279" s="1190">
        <f>Assumptions!CT150*(CT30*2)</f>
        <v>0</v>
      </c>
      <c r="CU279" s="32">
        <f t="shared" si="687"/>
        <v>0</v>
      </c>
      <c r="CV279" s="1188">
        <f>Assumptions!CV150*CV30</f>
        <v>0</v>
      </c>
      <c r="CW279" s="1190">
        <f>Assumptions!CW150*(CW30*2)</f>
        <v>0</v>
      </c>
      <c r="CX279" s="32">
        <f t="shared" si="688"/>
        <v>0</v>
      </c>
      <c r="CY279" s="1188">
        <f>Assumptions!CY150*CY30</f>
        <v>0</v>
      </c>
      <c r="CZ279" s="1190">
        <f>Assumptions!CZ150*(CZ30*2)</f>
        <v>0</v>
      </c>
      <c r="DA279" s="32">
        <f t="shared" si="689"/>
        <v>0</v>
      </c>
      <c r="DB279" s="1188">
        <f>Assumptions!DB150*DB30</f>
        <v>0</v>
      </c>
      <c r="DC279" s="1190">
        <f>Assumptions!DC150*(DC30*2)</f>
        <v>0</v>
      </c>
      <c r="DD279" s="32">
        <f t="shared" si="690"/>
        <v>0</v>
      </c>
      <c r="DE279" s="1248">
        <f>Assumptions!DE150*DE30</f>
        <v>0</v>
      </c>
      <c r="DF279" s="1190">
        <f>Assumptions!DF150*(DF30*2)</f>
        <v>0</v>
      </c>
      <c r="DG279" s="32">
        <f t="shared" si="691"/>
        <v>0</v>
      </c>
      <c r="DH279" s="1248">
        <f>Assumptions!DH150*DH30</f>
        <v>0</v>
      </c>
      <c r="DI279" s="1190">
        <f>Assumptions!DI150*(DI30*2)</f>
        <v>0</v>
      </c>
      <c r="DJ279" s="32">
        <f t="shared" si="692"/>
        <v>0</v>
      </c>
      <c r="DK279" s="1248">
        <f>Assumptions!DK150*DK30</f>
        <v>0</v>
      </c>
      <c r="DL279" s="32">
        <f>Assumptions!DL150*(DL30*2)</f>
        <v>0</v>
      </c>
      <c r="DM279" s="32">
        <f t="shared" si="693"/>
        <v>0</v>
      </c>
      <c r="DN279" s="1061">
        <f>Assumptions!DN150*DN30</f>
        <v>0</v>
      </c>
      <c r="DO279" s="32">
        <f>Assumptions!DR150*(DO30*2)</f>
        <v>0</v>
      </c>
      <c r="DP279" s="32">
        <f t="shared" si="694"/>
        <v>0</v>
      </c>
      <c r="DQ279" s="1061">
        <f>Assumptions!DT150*DQ30</f>
        <v>0</v>
      </c>
      <c r="DR279" s="32">
        <f>Assumptions!DU150*(DR30*2)</f>
        <v>0</v>
      </c>
      <c r="DS279" s="32">
        <f t="shared" si="695"/>
        <v>0</v>
      </c>
      <c r="DT279" s="1061">
        <f>Assumptions!DW150*DT30</f>
        <v>0</v>
      </c>
      <c r="DU279" s="32">
        <f>Assumptions!DX150*(DU30*2)</f>
        <v>0</v>
      </c>
      <c r="DV279" s="32">
        <f t="shared" si="707"/>
        <v>0</v>
      </c>
      <c r="DW279" s="1061">
        <f>Assumptions!DZ150*DW30</f>
        <v>0</v>
      </c>
      <c r="DX279" s="32">
        <f>Assumptions!EA150*(DX30*2)</f>
        <v>0</v>
      </c>
      <c r="DY279" s="32">
        <f t="shared" si="697"/>
        <v>0</v>
      </c>
      <c r="DZ279" s="1061">
        <f>Assumptions!EC150*DZ30</f>
        <v>0</v>
      </c>
      <c r="EA279" s="32">
        <f>Assumptions!ED150*(EA30*2)</f>
        <v>0</v>
      </c>
      <c r="EB279" s="32">
        <f t="shared" si="698"/>
        <v>0</v>
      </c>
      <c r="EC279" s="1061">
        <f>Assumptions!EF150*EC30</f>
        <v>0</v>
      </c>
      <c r="ED279" s="32">
        <f>Assumptions!EG150*(ED30*2)</f>
        <v>0</v>
      </c>
      <c r="EE279" s="32">
        <f t="shared" si="708"/>
        <v>0</v>
      </c>
      <c r="EF279" s="1061">
        <f>Assumptions!EI150*EF30</f>
        <v>0</v>
      </c>
      <c r="EG279" s="32">
        <f>Assumptions!ES150*(EG30*2)</f>
        <v>0</v>
      </c>
      <c r="EH279" s="32">
        <f t="shared" si="709"/>
        <v>0</v>
      </c>
      <c r="EI279" s="1061">
        <f>Assumptions!EU150*EI30</f>
        <v>0</v>
      </c>
      <c r="EJ279" s="32">
        <f>Assumptions!EV150*(EJ30*2)</f>
        <v>0</v>
      </c>
      <c r="EK279" s="32">
        <f t="shared" si="710"/>
        <v>0</v>
      </c>
      <c r="EL279" s="1061">
        <f>Assumptions!EX150*EL30</f>
        <v>0</v>
      </c>
      <c r="EM279" s="32">
        <f>Assumptions!EY150*(EM30*2)</f>
        <v>0</v>
      </c>
      <c r="EN279" s="32">
        <f t="shared" si="711"/>
        <v>0</v>
      </c>
      <c r="EO279" s="1061">
        <f>Assumptions!FA150*EO30</f>
        <v>0</v>
      </c>
      <c r="EP279" s="32">
        <f>Assumptions!FB150*(EP30*2)</f>
        <v>0</v>
      </c>
      <c r="EQ279" s="32">
        <f t="shared" si="712"/>
        <v>0</v>
      </c>
      <c r="ER279" s="1061">
        <f>Assumptions!FD150*ER30</f>
        <v>0</v>
      </c>
      <c r="ES279" s="32">
        <f>Assumptions!FE150*(ES30*2)</f>
        <v>0</v>
      </c>
      <c r="ET279" s="32">
        <f t="shared" si="713"/>
        <v>0</v>
      </c>
      <c r="EU279" s="1061">
        <f>Assumptions!FG150*EU30</f>
        <v>0</v>
      </c>
      <c r="EV279" s="32">
        <f>Assumptions!FH150*(EV30*2)</f>
        <v>0</v>
      </c>
      <c r="EW279" s="32">
        <f t="shared" si="714"/>
        <v>0</v>
      </c>
      <c r="EX279" s="1061">
        <f>Assumptions!FJ150*EX30</f>
        <v>0</v>
      </c>
      <c r="EY279" s="32">
        <f>Assumptions!FK150*(EY30*2)</f>
        <v>0</v>
      </c>
      <c r="EZ279" s="32">
        <f t="shared" si="715"/>
        <v>0</v>
      </c>
      <c r="FA279" s="1061">
        <f>Assumptions!FM150*FA30</f>
        <v>0</v>
      </c>
      <c r="FD279"/>
      <c r="FE279"/>
      <c r="FF279"/>
      <c r="FG279"/>
      <c r="FH279"/>
      <c r="FI279"/>
    </row>
    <row r="280" spans="2:169" s="33" customFormat="1" ht="13.5" thickBot="1">
      <c r="B280" s="1140" t="s">
        <v>65</v>
      </c>
      <c r="C280" s="2"/>
      <c r="D280" s="2" t="s">
        <v>506</v>
      </c>
      <c r="E280" s="32">
        <f>+SUM(E281:E282)</f>
        <v>0</v>
      </c>
      <c r="F280" s="32">
        <f t="shared" si="656"/>
        <v>0</v>
      </c>
      <c r="G280" s="32">
        <f>+SUM(G281:G282)</f>
        <v>0</v>
      </c>
      <c r="H280" s="32">
        <f>+SUM(H281:H282)</f>
        <v>0</v>
      </c>
      <c r="I280" s="32">
        <f t="shared" si="657"/>
        <v>0</v>
      </c>
      <c r="J280" s="32">
        <f>+SUM(J281:J282)</f>
        <v>0</v>
      </c>
      <c r="K280" s="32">
        <f>+SUM(K281:K282)</f>
        <v>0</v>
      </c>
      <c r="L280" s="32">
        <f t="shared" si="658"/>
        <v>0</v>
      </c>
      <c r="M280" s="32">
        <f>+SUM(M281:M282)</f>
        <v>0</v>
      </c>
      <c r="N280" s="32">
        <f>+SUM(N281:N282)</f>
        <v>0</v>
      </c>
      <c r="O280" s="32">
        <f t="shared" si="659"/>
        <v>0</v>
      </c>
      <c r="P280" s="32">
        <f>+SUM(P281:P282)</f>
        <v>0</v>
      </c>
      <c r="Q280" s="32">
        <f>+SUM(Q281:Q282)</f>
        <v>0</v>
      </c>
      <c r="R280" s="32">
        <f t="shared" si="660"/>
        <v>0</v>
      </c>
      <c r="S280" s="1254">
        <f>+SUM(S281:S282)</f>
        <v>0</v>
      </c>
      <c r="T280" s="32">
        <f>+SUM(T281:T282)</f>
        <v>0</v>
      </c>
      <c r="U280" s="32">
        <f t="shared" si="661"/>
        <v>0</v>
      </c>
      <c r="V280" s="32">
        <f>+SUM(V281:V282)</f>
        <v>0</v>
      </c>
      <c r="W280" s="32">
        <f>+SUM(W281:W282)</f>
        <v>0</v>
      </c>
      <c r="X280" s="32">
        <f t="shared" si="662"/>
        <v>0</v>
      </c>
      <c r="Y280" s="32">
        <f>+SUM(Y281:Y282)</f>
        <v>0</v>
      </c>
      <c r="Z280" s="32">
        <f>+SUM(Z281:Z282)</f>
        <v>0</v>
      </c>
      <c r="AA280" s="32">
        <f t="shared" si="663"/>
        <v>0</v>
      </c>
      <c r="AB280" s="32">
        <f>+SUM(AB281:AB282)</f>
        <v>0</v>
      </c>
      <c r="AC280" s="32">
        <f>+SUM(AC281:AC282)</f>
        <v>0</v>
      </c>
      <c r="AD280" s="32">
        <f t="shared" si="664"/>
        <v>0</v>
      </c>
      <c r="AE280" s="32">
        <f>+SUM(AE281:AE282)</f>
        <v>0</v>
      </c>
      <c r="AF280" s="32">
        <f>+SUM(AF281:AF282)</f>
        <v>0</v>
      </c>
      <c r="AG280" s="32">
        <f t="shared" si="665"/>
        <v>0</v>
      </c>
      <c r="AH280" s="32">
        <f>+SUM(AH281:AH282)</f>
        <v>0</v>
      </c>
      <c r="AI280" s="32">
        <f>+SUM(AI281:AI282)</f>
        <v>0</v>
      </c>
      <c r="AJ280" s="32">
        <f t="shared" si="666"/>
        <v>0</v>
      </c>
      <c r="AK280" s="32">
        <f>+SUM(AK281:AK282)</f>
        <v>0</v>
      </c>
      <c r="AL280" s="32">
        <f>+SUM(AL281:AL282)</f>
        <v>0</v>
      </c>
      <c r="AM280" s="32">
        <f t="shared" si="667"/>
        <v>0</v>
      </c>
      <c r="AN280" s="32">
        <f>+SUM(AN281:AN282)</f>
        <v>0</v>
      </c>
      <c r="AO280" s="32">
        <f>+SUM(AO281:AO282)</f>
        <v>0</v>
      </c>
      <c r="AP280" s="32">
        <f t="shared" si="668"/>
        <v>0</v>
      </c>
      <c r="AQ280" s="32">
        <f>+SUM(AQ281:AQ282)</f>
        <v>0</v>
      </c>
      <c r="AR280" s="32">
        <f>+SUM(AR281:AR282)</f>
        <v>0</v>
      </c>
      <c r="AS280" s="32">
        <f t="shared" si="669"/>
        <v>0</v>
      </c>
      <c r="AT280" s="32">
        <f>+SUM(AT281:AT282)</f>
        <v>0</v>
      </c>
      <c r="AU280" s="32">
        <f>+SUM(AU281:AU282)</f>
        <v>0</v>
      </c>
      <c r="AV280" s="32">
        <f t="shared" si="670"/>
        <v>0</v>
      </c>
      <c r="AW280" s="32">
        <f>+SUM(AW281:AW282)</f>
        <v>0</v>
      </c>
      <c r="AX280" s="32">
        <f>+SUM(AX281:AX282)</f>
        <v>0</v>
      </c>
      <c r="AY280" s="32">
        <f t="shared" si="671"/>
        <v>0</v>
      </c>
      <c r="AZ280" s="32">
        <f>+SUM(AZ281:AZ282)</f>
        <v>0</v>
      </c>
      <c r="BA280" s="32">
        <f>+SUM(BA281:BA282)</f>
        <v>0</v>
      </c>
      <c r="BB280" s="32">
        <f t="shared" si="672"/>
        <v>0</v>
      </c>
      <c r="BC280" s="32">
        <f>+SUM(BC281:BC282)</f>
        <v>0</v>
      </c>
      <c r="BD280" s="32">
        <f>+SUM(BD281:BD282)</f>
        <v>0</v>
      </c>
      <c r="BE280" s="32">
        <f t="shared" si="673"/>
        <v>0</v>
      </c>
      <c r="BF280" s="32">
        <f>+SUM(BF281:BF282)</f>
        <v>0</v>
      </c>
      <c r="BG280" s="32">
        <f>+SUM(BG281:BG282)</f>
        <v>0</v>
      </c>
      <c r="BH280" s="32">
        <f t="shared" si="674"/>
        <v>0</v>
      </c>
      <c r="BI280" s="32">
        <f>+SUM(BI281:BI282)</f>
        <v>0</v>
      </c>
      <c r="BJ280" s="32">
        <f>+SUM(BJ281:BJ282)</f>
        <v>0</v>
      </c>
      <c r="BK280" s="32">
        <f t="shared" si="675"/>
        <v>0</v>
      </c>
      <c r="BL280" s="32">
        <f>+SUM(BL281:BL282)</f>
        <v>0</v>
      </c>
      <c r="BM280" s="32">
        <f>+SUM(BM281:BM282)</f>
        <v>0</v>
      </c>
      <c r="BN280" s="32">
        <f t="shared" si="676"/>
        <v>0</v>
      </c>
      <c r="BO280" s="32">
        <f>+SUM(BO281:BO282)</f>
        <v>0</v>
      </c>
      <c r="BP280" s="32">
        <f>+SUM(BP281:BP282)</f>
        <v>0</v>
      </c>
      <c r="BQ280" s="32">
        <f t="shared" si="677"/>
        <v>0</v>
      </c>
      <c r="BR280" s="32">
        <f>+SUM(BR281:BR282)</f>
        <v>0</v>
      </c>
      <c r="BS280" s="32">
        <f>+SUM(BS281:BS282)</f>
        <v>0</v>
      </c>
      <c r="BT280" s="32">
        <f t="shared" si="678"/>
        <v>0</v>
      </c>
      <c r="BU280" s="32">
        <f>+SUM(BU281:BU282)</f>
        <v>0</v>
      </c>
      <c r="BV280" s="32">
        <f>+SUM(BV281:BV282)</f>
        <v>0</v>
      </c>
      <c r="BW280" s="32">
        <f t="shared" si="679"/>
        <v>258</v>
      </c>
      <c r="BX280" s="32">
        <f>+SUM(BX281:BX282)</f>
        <v>258</v>
      </c>
      <c r="BY280" s="32">
        <f>+SUM(BY281:BY282)</f>
        <v>0</v>
      </c>
      <c r="BZ280" s="32">
        <f t="shared" si="680"/>
        <v>186</v>
      </c>
      <c r="CA280" s="32">
        <f>+SUM(CA281:CA282)</f>
        <v>186</v>
      </c>
      <c r="CB280" s="32">
        <f>+SUM(CB281:CB282)</f>
        <v>0</v>
      </c>
      <c r="CC280" s="32">
        <f t="shared" si="681"/>
        <v>235</v>
      </c>
      <c r="CD280" s="32">
        <f>+SUM(CD281:CD282)</f>
        <v>235</v>
      </c>
      <c r="CE280" s="32">
        <f>+SUM(CE281:CE282)</f>
        <v>0</v>
      </c>
      <c r="CF280" s="32">
        <f t="shared" si="682"/>
        <v>243</v>
      </c>
      <c r="CG280" s="32">
        <f>+SUM(CG281:CG282)</f>
        <v>243</v>
      </c>
      <c r="CH280" s="32">
        <f>+SUM(CH281:CH282)</f>
        <v>4.4980000000000002</v>
      </c>
      <c r="CI280" s="32">
        <f t="shared" si="683"/>
        <v>0</v>
      </c>
      <c r="CJ280" s="32">
        <f>+SUM(CJ281:CJ282)</f>
        <v>0</v>
      </c>
      <c r="CK280" s="32">
        <f>+SUM(CK281:CK282)</f>
        <v>93.100000000000009</v>
      </c>
      <c r="CL280" s="32">
        <f t="shared" si="684"/>
        <v>93.100000000000009</v>
      </c>
      <c r="CM280" s="32">
        <f>+SUM(CM281:CM282)</f>
        <v>93.100000000000009</v>
      </c>
      <c r="CN280" s="32">
        <f>+SUM(CN281:CN282)</f>
        <v>79.900000000000006</v>
      </c>
      <c r="CO280" s="32">
        <f t="shared" si="685"/>
        <v>93.699999999999989</v>
      </c>
      <c r="CP280" s="32">
        <f>+SUM(CP281:CP282)</f>
        <v>93.699999999999989</v>
      </c>
      <c r="CQ280" s="32">
        <f>+SUM(CQ281:CQ282)</f>
        <v>80.2</v>
      </c>
      <c r="CR280" s="32">
        <f t="shared" si="686"/>
        <v>88.199999999999989</v>
      </c>
      <c r="CS280" s="32">
        <f>+SUM(CS281:CS282)</f>
        <v>88.199999999999989</v>
      </c>
      <c r="CT280" s="32">
        <f>+SUM(CT281:CT282)</f>
        <v>83.3</v>
      </c>
      <c r="CU280" s="32">
        <f t="shared" si="687"/>
        <v>108.69999999999999</v>
      </c>
      <c r="CV280" s="32">
        <f>+SUM(CV281:CV282)</f>
        <v>108.69999999999999</v>
      </c>
      <c r="CW280" s="32">
        <f>+SUM(CW281:CW282)</f>
        <v>92.899999999999991</v>
      </c>
      <c r="CX280" s="32">
        <f t="shared" si="688"/>
        <v>137.29999999999998</v>
      </c>
      <c r="CY280" s="32">
        <f>+SUM(CY281:CY282)</f>
        <v>137.29999999999998</v>
      </c>
      <c r="CZ280" s="32">
        <f>+SUM(CZ281:CZ282)</f>
        <v>128.29999999999998</v>
      </c>
      <c r="DA280" s="32">
        <f t="shared" si="689"/>
        <v>183.79999999999998</v>
      </c>
      <c r="DB280" s="32">
        <f>+SUM(DB281:DB282)</f>
        <v>183.79999999999998</v>
      </c>
      <c r="DC280" s="32">
        <f>+SUM(DC281:DC282)</f>
        <v>177.5</v>
      </c>
      <c r="DD280" s="32">
        <f t="shared" si="690"/>
        <v>197.70000000000002</v>
      </c>
      <c r="DE280" s="1061">
        <f>+SUM(DE281:DE282)</f>
        <v>197.70000000000002</v>
      </c>
      <c r="DF280" s="32">
        <f>+SUM(DF281:DF282)</f>
        <v>157.85</v>
      </c>
      <c r="DG280" s="32">
        <f t="shared" si="691"/>
        <v>160.1</v>
      </c>
      <c r="DH280" s="1061">
        <f>+SUM(DH281:DH282)</f>
        <v>160.1</v>
      </c>
      <c r="DI280" s="32">
        <f>+SUM(DI281:DI282)</f>
        <v>251.8</v>
      </c>
      <c r="DJ280" s="32">
        <f t="shared" si="692"/>
        <v>276.8</v>
      </c>
      <c r="DK280" s="1061">
        <f>+SUM(DK281:DK282)</f>
        <v>276.8</v>
      </c>
      <c r="DL280" s="32">
        <f>+SUM(DL281:DL282)</f>
        <v>218.4</v>
      </c>
      <c r="DM280" s="32">
        <f t="shared" si="693"/>
        <v>181.5</v>
      </c>
      <c r="DN280" s="1061">
        <f>+SUM(DN281:DN282)</f>
        <v>181.5</v>
      </c>
      <c r="DO280" s="32">
        <f>+SUM(DO281:DO282)</f>
        <v>195.1</v>
      </c>
      <c r="DP280" s="32">
        <f t="shared" si="694"/>
        <v>310</v>
      </c>
      <c r="DQ280" s="1061">
        <f>+SUM(DQ281:DQ282)</f>
        <v>310</v>
      </c>
      <c r="DR280" s="32">
        <f>+SUM(DR281:DR282)</f>
        <v>269</v>
      </c>
      <c r="DS280" s="32">
        <f t="shared" si="695"/>
        <v>485</v>
      </c>
      <c r="DT280" s="1061">
        <f>+SUM(DT281:DT282)</f>
        <v>485</v>
      </c>
      <c r="DU280" s="32">
        <f>+SUM(DU281:DU282)</f>
        <v>254</v>
      </c>
      <c r="DV280" s="32">
        <f t="shared" si="707"/>
        <v>270</v>
      </c>
      <c r="DW280" s="1061">
        <f>+SUM(DW281:DW282)</f>
        <v>270</v>
      </c>
      <c r="DX280" s="32">
        <f>+SUM(DX281:DX282)</f>
        <v>418</v>
      </c>
      <c r="DY280" s="32">
        <f t="shared" si="697"/>
        <v>418</v>
      </c>
      <c r="DZ280" s="1061">
        <f>+SUM(DZ281:DZ282)</f>
        <v>418</v>
      </c>
      <c r="EA280" s="32">
        <f>+SUM(EA281:EA282)</f>
        <v>418</v>
      </c>
      <c r="EB280" s="32">
        <f t="shared" si="698"/>
        <v>418</v>
      </c>
      <c r="EC280" s="1061">
        <f>+SUM(EC281:EC282)</f>
        <v>418</v>
      </c>
      <c r="ED280" s="32">
        <f>+SUM(ED281:ED282)</f>
        <v>418</v>
      </c>
      <c r="EE280" s="32">
        <f t="shared" si="708"/>
        <v>418</v>
      </c>
      <c r="EF280" s="1061">
        <f>+SUM(EF281:EF282)</f>
        <v>418</v>
      </c>
      <c r="EG280" s="32">
        <f>+SUM(EG281:EG282)</f>
        <v>418</v>
      </c>
      <c r="EH280" s="32">
        <f t="shared" si="709"/>
        <v>418</v>
      </c>
      <c r="EI280" s="1061">
        <f>+SUM(EI281:EI282)</f>
        <v>418</v>
      </c>
      <c r="EJ280" s="32">
        <f>+SUM(EJ281:EJ282)</f>
        <v>418</v>
      </c>
      <c r="EK280" s="32">
        <f t="shared" si="710"/>
        <v>418</v>
      </c>
      <c r="EL280" s="1061">
        <f>+SUM(EL281:EL282)</f>
        <v>418</v>
      </c>
      <c r="EM280" s="32">
        <f>+SUM(EM281:EM282)</f>
        <v>418</v>
      </c>
      <c r="EN280" s="32">
        <f t="shared" si="711"/>
        <v>418</v>
      </c>
      <c r="EO280" s="1061">
        <f>+SUM(EO281:EO282)</f>
        <v>418</v>
      </c>
      <c r="EP280" s="32">
        <f>+SUM(EP281:EP282)</f>
        <v>418</v>
      </c>
      <c r="EQ280" s="32">
        <f t="shared" si="712"/>
        <v>418</v>
      </c>
      <c r="ER280" s="1061">
        <f>+SUM(ER281:ER282)</f>
        <v>418</v>
      </c>
      <c r="ES280" s="32">
        <f>+SUM(ES281:ES282)</f>
        <v>418</v>
      </c>
      <c r="ET280" s="32">
        <f t="shared" si="713"/>
        <v>418</v>
      </c>
      <c r="EU280" s="1061">
        <f>+SUM(EU281:EU282)</f>
        <v>418</v>
      </c>
      <c r="EV280" s="32">
        <f>+SUM(EV281:EV282)</f>
        <v>418</v>
      </c>
      <c r="EW280" s="32">
        <f t="shared" si="714"/>
        <v>418</v>
      </c>
      <c r="EX280" s="1061">
        <f>+SUM(EX281:EX282)</f>
        <v>418</v>
      </c>
      <c r="EY280" s="32">
        <f>+SUM(EY281:EY282)</f>
        <v>418</v>
      </c>
      <c r="EZ280" s="32">
        <f t="shared" si="715"/>
        <v>418</v>
      </c>
      <c r="FA280" s="1061">
        <f>+SUM(FA281:FA282)</f>
        <v>418</v>
      </c>
      <c r="FD280"/>
      <c r="FE280"/>
      <c r="FF280"/>
      <c r="FG280"/>
      <c r="FH280"/>
      <c r="FI280"/>
    </row>
    <row r="281" spans="2:169" s="33" customFormat="1" outlineLevel="1">
      <c r="B281" s="54" t="s">
        <v>66</v>
      </c>
      <c r="C281" s="2"/>
      <c r="D281" s="2" t="s">
        <v>506</v>
      </c>
      <c r="E281" s="1183"/>
      <c r="F281" s="1192">
        <f t="shared" si="656"/>
        <v>0</v>
      </c>
      <c r="G281" s="1215"/>
      <c r="H281" s="1185"/>
      <c r="I281" s="1192">
        <f t="shared" si="657"/>
        <v>0</v>
      </c>
      <c r="J281" s="1215"/>
      <c r="K281" s="1185"/>
      <c r="L281" s="1192">
        <f t="shared" si="658"/>
        <v>0</v>
      </c>
      <c r="M281" s="1215"/>
      <c r="N281" s="1185"/>
      <c r="O281" s="1192">
        <f t="shared" si="659"/>
        <v>0</v>
      </c>
      <c r="P281" s="1215"/>
      <c r="Q281" s="1185"/>
      <c r="R281" s="1192">
        <f t="shared" si="660"/>
        <v>0</v>
      </c>
      <c r="S281" s="1255"/>
      <c r="T281" s="1185"/>
      <c r="U281" s="1192">
        <f t="shared" si="661"/>
        <v>0</v>
      </c>
      <c r="V281" s="1215"/>
      <c r="W281" s="1185"/>
      <c r="X281" s="1192">
        <f t="shared" si="662"/>
        <v>0</v>
      </c>
      <c r="Y281" s="1215"/>
      <c r="Z281" s="1185"/>
      <c r="AA281" s="1192">
        <f t="shared" si="663"/>
        <v>0</v>
      </c>
      <c r="AB281" s="1215"/>
      <c r="AC281" s="1185"/>
      <c r="AD281" s="1192">
        <f t="shared" si="664"/>
        <v>0</v>
      </c>
      <c r="AE281" s="1215"/>
      <c r="AF281" s="1185"/>
      <c r="AG281" s="1192">
        <f t="shared" si="665"/>
        <v>0</v>
      </c>
      <c r="AH281" s="1215"/>
      <c r="AI281" s="1185"/>
      <c r="AJ281" s="1192">
        <f t="shared" si="666"/>
        <v>0</v>
      </c>
      <c r="AK281" s="1215"/>
      <c r="AL281" s="1185"/>
      <c r="AM281" s="1192">
        <f t="shared" si="667"/>
        <v>0</v>
      </c>
      <c r="AN281" s="1215"/>
      <c r="AO281" s="1185"/>
      <c r="AP281" s="1192">
        <f t="shared" si="668"/>
        <v>0</v>
      </c>
      <c r="AQ281" s="1215"/>
      <c r="AR281" s="1185"/>
      <c r="AS281" s="1192">
        <f t="shared" si="669"/>
        <v>0</v>
      </c>
      <c r="AT281" s="1215"/>
      <c r="AU281" s="1185"/>
      <c r="AV281" s="1192">
        <f t="shared" si="670"/>
        <v>0</v>
      </c>
      <c r="AW281" s="1215"/>
      <c r="AX281" s="1185"/>
      <c r="AY281" s="1192">
        <f t="shared" si="671"/>
        <v>0</v>
      </c>
      <c r="AZ281" s="1215"/>
      <c r="BA281" s="1185"/>
      <c r="BB281" s="1192">
        <f t="shared" si="672"/>
        <v>0</v>
      </c>
      <c r="BC281" s="1215"/>
      <c r="BD281" s="1185"/>
      <c r="BE281" s="1192">
        <f t="shared" si="673"/>
        <v>0</v>
      </c>
      <c r="BF281" s="1215"/>
      <c r="BG281" s="1185"/>
      <c r="BH281" s="1192">
        <f t="shared" si="674"/>
        <v>0</v>
      </c>
      <c r="BI281" s="1215"/>
      <c r="BJ281" s="1185"/>
      <c r="BK281" s="1192">
        <f t="shared" si="675"/>
        <v>0</v>
      </c>
      <c r="BL281" s="1215"/>
      <c r="BM281" s="1185"/>
      <c r="BN281" s="1192">
        <f t="shared" si="676"/>
        <v>0</v>
      </c>
      <c r="BO281" s="1215"/>
      <c r="BP281" s="1185"/>
      <c r="BQ281" s="1192">
        <f t="shared" si="677"/>
        <v>0</v>
      </c>
      <c r="BR281" s="1215"/>
      <c r="BS281" s="1185"/>
      <c r="BT281" s="1192">
        <f t="shared" si="678"/>
        <v>0</v>
      </c>
      <c r="BU281" s="1215"/>
      <c r="BV281" s="1185"/>
      <c r="BW281" s="1192">
        <f t="shared" si="679"/>
        <v>0</v>
      </c>
      <c r="BX281" s="1183">
        <f>IF(Assumptions!BX191&lt;&gt;"",Assumptions!BX191,0)</f>
        <v>0</v>
      </c>
      <c r="BY281" s="1185"/>
      <c r="BZ281" s="1192">
        <f t="shared" si="680"/>
        <v>0</v>
      </c>
      <c r="CA281" s="1183">
        <f>IF(Assumptions!CA191&lt;&gt;"",Assumptions!CA191,0)</f>
        <v>0</v>
      </c>
      <c r="CB281" s="1185"/>
      <c r="CC281" s="1192">
        <f t="shared" si="681"/>
        <v>0</v>
      </c>
      <c r="CD281" s="1183">
        <f>IF(Assumptions!CD191&lt;&gt;"",Assumptions!CD191,0)</f>
        <v>0</v>
      </c>
      <c r="CE281" s="1185"/>
      <c r="CF281" s="1192">
        <f t="shared" si="682"/>
        <v>0</v>
      </c>
      <c r="CG281" s="1183">
        <f>IF(Assumptions!CG191&lt;&gt;"",Assumptions!CG191,0)</f>
        <v>0</v>
      </c>
      <c r="CH281" s="1185">
        <f>IF(Assumptions!CH191&lt;&gt;"",Assumptions!CH191,0)</f>
        <v>0</v>
      </c>
      <c r="CI281" s="1192">
        <f t="shared" si="683"/>
        <v>0</v>
      </c>
      <c r="CJ281" s="1183">
        <f>IF(Assumptions!CJ191&lt;&gt;"",Assumptions!CJ191,0)</f>
        <v>0</v>
      </c>
      <c r="CK281" s="1185">
        <f>IF(Assumptions!CK191&lt;&gt;"",Assumptions!CK191,0)</f>
        <v>0</v>
      </c>
      <c r="CL281" s="1192">
        <f t="shared" si="684"/>
        <v>0</v>
      </c>
      <c r="CM281" s="1183">
        <f>IF(Assumptions!CM191&lt;&gt;"",Assumptions!CM191,0)</f>
        <v>0</v>
      </c>
      <c r="CN281" s="1185">
        <f>IF(Assumptions!CN191&lt;&gt;"",Assumptions!CN191,0)</f>
        <v>0</v>
      </c>
      <c r="CO281" s="1192">
        <f t="shared" si="685"/>
        <v>0</v>
      </c>
      <c r="CP281" s="1183">
        <f>IF(Assumptions!CP191&lt;&gt;"",Assumptions!CP191,0)</f>
        <v>0</v>
      </c>
      <c r="CQ281" s="1185">
        <f>IF(Assumptions!CQ191&lt;&gt;"",Assumptions!CQ191,0)</f>
        <v>0</v>
      </c>
      <c r="CR281" s="1192">
        <f t="shared" si="686"/>
        <v>0</v>
      </c>
      <c r="CS281" s="1183">
        <f>IF(Assumptions!CS191&lt;&gt;"",Assumptions!CS191,0)</f>
        <v>0</v>
      </c>
      <c r="CT281" s="1185">
        <f>IF(Assumptions!CT191&lt;&gt;"",Assumptions!CT191,0)</f>
        <v>0</v>
      </c>
      <c r="CU281" s="1192">
        <f t="shared" si="687"/>
        <v>0</v>
      </c>
      <c r="CV281" s="1183">
        <f>IF(Assumptions!CV191&lt;&gt;"",Assumptions!CV191,0)</f>
        <v>0</v>
      </c>
      <c r="CW281" s="1185">
        <f>IF(Assumptions!CW191&lt;&gt;"",Assumptions!CW191,0)</f>
        <v>0</v>
      </c>
      <c r="CX281" s="1192">
        <f t="shared" si="688"/>
        <v>0</v>
      </c>
      <c r="CY281" s="1183">
        <f>IF(Assumptions!CY191&lt;&gt;"",Assumptions!CY191,0)</f>
        <v>0</v>
      </c>
      <c r="CZ281" s="1185">
        <f>IF(Assumptions!CZ191&lt;&gt;"",Assumptions!CZ191,0)</f>
        <v>0</v>
      </c>
      <c r="DA281" s="1192">
        <f t="shared" si="689"/>
        <v>0</v>
      </c>
      <c r="DB281" s="1183">
        <f>IF(Assumptions!DB191&lt;&gt;"",Assumptions!DB191,0)</f>
        <v>0</v>
      </c>
      <c r="DC281" s="1185">
        <f>IF(Assumptions!DC191&lt;&gt;"",Assumptions!DC191,0)</f>
        <v>0</v>
      </c>
      <c r="DD281" s="1192">
        <f t="shared" si="690"/>
        <v>0</v>
      </c>
      <c r="DE281" s="1246">
        <f>IF(Assumptions!DE191&lt;&gt;"",Assumptions!DE191,0)</f>
        <v>0</v>
      </c>
      <c r="DF281" s="1185">
        <f>IF(Assumptions!DF191&lt;&gt;"",Assumptions!DF191,0)</f>
        <v>0</v>
      </c>
      <c r="DG281" s="1192">
        <f t="shared" si="691"/>
        <v>0</v>
      </c>
      <c r="DH281" s="1246">
        <f>IF(Assumptions!DH191&lt;&gt;"",Assumptions!DH191,0)</f>
        <v>0</v>
      </c>
      <c r="DI281" s="1185">
        <f>IF(Assumptions!DI191&lt;&gt;"",Assumptions!DI191,0)</f>
        <v>0</v>
      </c>
      <c r="DJ281" s="1192">
        <f t="shared" si="692"/>
        <v>0</v>
      </c>
      <c r="DK281" s="1246">
        <f>IF(Assumptions!DK191&lt;&gt;"",Assumptions!DK191,0)</f>
        <v>0</v>
      </c>
      <c r="DL281" s="32">
        <f>IF(Assumptions!DL191&lt;&gt;"",Assumptions!DL191,0)</f>
        <v>0</v>
      </c>
      <c r="DM281" s="32">
        <f t="shared" si="693"/>
        <v>0</v>
      </c>
      <c r="DN281" s="1061">
        <f>IF(Assumptions!DN191&lt;&gt;"",Assumptions!DN191,0)</f>
        <v>0</v>
      </c>
      <c r="DO281" s="32">
        <f>IF(Assumptions!DO191&lt;&gt;"",Assumptions!DO191,0)</f>
        <v>0</v>
      </c>
      <c r="DP281" s="32">
        <f t="shared" si="694"/>
        <v>0</v>
      </c>
      <c r="DQ281" s="1061">
        <f>IF(Assumptions!DQ191&lt;&gt;"",Assumptions!DQ191,0)</f>
        <v>0</v>
      </c>
      <c r="DR281" s="32">
        <f>IF(Assumptions!DR191&lt;&gt;"",Assumptions!DR191,0)</f>
        <v>0</v>
      </c>
      <c r="DS281" s="32">
        <f t="shared" si="695"/>
        <v>0</v>
      </c>
      <c r="DT281" s="1061">
        <f>IF(Assumptions!DT191&lt;&gt;"",Assumptions!DT191,0)</f>
        <v>0</v>
      </c>
      <c r="DU281" s="32">
        <f>IF(Assumptions!DU191&lt;&gt;"",Assumptions!DU191,0)</f>
        <v>0</v>
      </c>
      <c r="DV281" s="32">
        <f t="shared" si="707"/>
        <v>0</v>
      </c>
      <c r="DW281" s="1061">
        <f>IF(Assumptions!DW191&lt;&gt;"",Assumptions!DW191,0)</f>
        <v>0</v>
      </c>
      <c r="DX281" s="32">
        <f>IF(Assumptions!DX191&lt;&gt;"",Assumptions!DX191,0)</f>
        <v>0</v>
      </c>
      <c r="DY281" s="32">
        <f t="shared" si="697"/>
        <v>0</v>
      </c>
      <c r="DZ281" s="1061">
        <f>IF(Assumptions!DZ191&lt;&gt;"",Assumptions!DZ191,0)</f>
        <v>0</v>
      </c>
      <c r="EA281" s="32">
        <f>IF(Assumptions!EA191&lt;&gt;"",Assumptions!EA191,0)</f>
        <v>0</v>
      </c>
      <c r="EB281" s="32">
        <f t="shared" si="698"/>
        <v>0</v>
      </c>
      <c r="EC281" s="1061">
        <f>IF(Assumptions!EC191&lt;&gt;"",Assumptions!EC191,0)</f>
        <v>0</v>
      </c>
      <c r="ED281" s="32">
        <f>IF(Assumptions!ED191&lt;&gt;"",Assumptions!ED191,0)</f>
        <v>0</v>
      </c>
      <c r="EE281" s="32">
        <f t="shared" si="708"/>
        <v>0</v>
      </c>
      <c r="EF281" s="1061">
        <f>IF(Assumptions!EF191&lt;&gt;"",Assumptions!EF191,0)</f>
        <v>0</v>
      </c>
      <c r="EG281" s="32">
        <f>IF(Assumptions!EG191&lt;&gt;"",Assumptions!EG191,0)</f>
        <v>0</v>
      </c>
      <c r="EH281" s="32">
        <f t="shared" si="709"/>
        <v>0</v>
      </c>
      <c r="EI281" s="1061">
        <f>IF(Assumptions!EI191&lt;&gt;"",Assumptions!EI191,0)</f>
        <v>0</v>
      </c>
      <c r="EJ281" s="32">
        <f>IF(Assumptions!EJ191&lt;&gt;"",Assumptions!EJ191,0)</f>
        <v>0</v>
      </c>
      <c r="EK281" s="32">
        <f t="shared" si="710"/>
        <v>0</v>
      </c>
      <c r="EL281" s="1061">
        <f>IF(Assumptions!EL191&lt;&gt;"",Assumptions!EL191,0)</f>
        <v>0</v>
      </c>
      <c r="EM281" s="32">
        <f>IF(Assumptions!EM191&lt;&gt;"",Assumptions!EM191,0)</f>
        <v>0</v>
      </c>
      <c r="EN281" s="32">
        <f t="shared" si="711"/>
        <v>0</v>
      </c>
      <c r="EO281" s="1061">
        <f>IF(Assumptions!EO191&lt;&gt;"",Assumptions!EO191,0)</f>
        <v>0</v>
      </c>
      <c r="EP281" s="32">
        <f>IF(Assumptions!EP191&lt;&gt;"",Assumptions!EP191,0)</f>
        <v>0</v>
      </c>
      <c r="EQ281" s="32">
        <f t="shared" si="712"/>
        <v>0</v>
      </c>
      <c r="ER281" s="1061">
        <f>IF(Assumptions!ER191&lt;&gt;"",Assumptions!ER191,0)</f>
        <v>0</v>
      </c>
      <c r="ES281" s="32">
        <f>IF(Assumptions!ES191&lt;&gt;"",Assumptions!ES191,0)</f>
        <v>0</v>
      </c>
      <c r="ET281" s="32">
        <f t="shared" si="713"/>
        <v>0</v>
      </c>
      <c r="EU281" s="1061">
        <f>IF(Assumptions!EU191&lt;&gt;"",Assumptions!EU191,0)</f>
        <v>0</v>
      </c>
      <c r="EV281" s="32">
        <f>IF(Assumptions!EV191&lt;&gt;"",Assumptions!EV191,0)</f>
        <v>0</v>
      </c>
      <c r="EW281" s="32">
        <f t="shared" si="714"/>
        <v>0</v>
      </c>
      <c r="EX281" s="1061">
        <f>IF(Assumptions!EX191&lt;&gt;"",Assumptions!EX191,0)</f>
        <v>0</v>
      </c>
      <c r="EY281" s="32">
        <f>IF(Assumptions!EY191&lt;&gt;"",Assumptions!EY191,0)</f>
        <v>0</v>
      </c>
      <c r="EZ281" s="32">
        <f t="shared" si="715"/>
        <v>0</v>
      </c>
      <c r="FA281" s="1061">
        <f>IF(Assumptions!FA191&lt;&gt;"",Assumptions!FA191,0)</f>
        <v>0</v>
      </c>
      <c r="FD281"/>
      <c r="FE281"/>
      <c r="FF281"/>
      <c r="FG281"/>
      <c r="FH281"/>
      <c r="FI281"/>
    </row>
    <row r="282" spans="2:169" s="33" customFormat="1" outlineLevel="1">
      <c r="B282" s="1730" t="s">
        <v>233</v>
      </c>
      <c r="C282" s="1732"/>
      <c r="D282" s="1732" t="s">
        <v>506</v>
      </c>
      <c r="E282" s="1753"/>
      <c r="F282" s="1421">
        <f t="shared" si="656"/>
        <v>0</v>
      </c>
      <c r="G282" s="1768"/>
      <c r="H282" s="1755"/>
      <c r="I282" s="1421">
        <f t="shared" si="657"/>
        <v>0</v>
      </c>
      <c r="J282" s="1768"/>
      <c r="K282" s="1755"/>
      <c r="L282" s="1421">
        <f t="shared" si="658"/>
        <v>0</v>
      </c>
      <c r="M282" s="1768"/>
      <c r="N282" s="1755"/>
      <c r="O282" s="1421">
        <f t="shared" si="659"/>
        <v>0</v>
      </c>
      <c r="P282" s="1768"/>
      <c r="Q282" s="1755"/>
      <c r="R282" s="1421">
        <f t="shared" si="660"/>
        <v>0</v>
      </c>
      <c r="S282" s="1779"/>
      <c r="T282" s="1755"/>
      <c r="U282" s="1421">
        <f t="shared" si="661"/>
        <v>0</v>
      </c>
      <c r="V282" s="1768"/>
      <c r="W282" s="1755"/>
      <c r="X282" s="1421">
        <f t="shared" si="662"/>
        <v>0</v>
      </c>
      <c r="Y282" s="1768"/>
      <c r="Z282" s="1755"/>
      <c r="AA282" s="1421">
        <f t="shared" si="663"/>
        <v>0</v>
      </c>
      <c r="AB282" s="1768"/>
      <c r="AC282" s="1755"/>
      <c r="AD282" s="1421">
        <f t="shared" si="664"/>
        <v>0</v>
      </c>
      <c r="AE282" s="1768"/>
      <c r="AF282" s="1755"/>
      <c r="AG282" s="1421">
        <f t="shared" si="665"/>
        <v>0</v>
      </c>
      <c r="AH282" s="1768"/>
      <c r="AI282" s="1755"/>
      <c r="AJ282" s="1421">
        <f t="shared" si="666"/>
        <v>0</v>
      </c>
      <c r="AK282" s="1768"/>
      <c r="AL282" s="1755"/>
      <c r="AM282" s="1421">
        <f t="shared" si="667"/>
        <v>0</v>
      </c>
      <c r="AN282" s="1768"/>
      <c r="AO282" s="1755"/>
      <c r="AP282" s="1421">
        <f t="shared" si="668"/>
        <v>0</v>
      </c>
      <c r="AQ282" s="1768"/>
      <c r="AR282" s="1755"/>
      <c r="AS282" s="1421">
        <f t="shared" si="669"/>
        <v>0</v>
      </c>
      <c r="AT282" s="1768"/>
      <c r="AU282" s="1755"/>
      <c r="AV282" s="1421">
        <f t="shared" si="670"/>
        <v>0</v>
      </c>
      <c r="AW282" s="1768"/>
      <c r="AX282" s="1755"/>
      <c r="AY282" s="1421">
        <f t="shared" si="671"/>
        <v>0</v>
      </c>
      <c r="AZ282" s="1768"/>
      <c r="BA282" s="1755"/>
      <c r="BB282" s="1421">
        <f t="shared" si="672"/>
        <v>0</v>
      </c>
      <c r="BC282" s="1768"/>
      <c r="BD282" s="1755"/>
      <c r="BE282" s="1421">
        <f t="shared" si="673"/>
        <v>0</v>
      </c>
      <c r="BF282" s="1768"/>
      <c r="BG282" s="1755"/>
      <c r="BH282" s="1421">
        <f t="shared" si="674"/>
        <v>0</v>
      </c>
      <c r="BI282" s="1768"/>
      <c r="BJ282" s="1755"/>
      <c r="BK282" s="1421">
        <f t="shared" si="675"/>
        <v>0</v>
      </c>
      <c r="BL282" s="1768"/>
      <c r="BM282" s="1755"/>
      <c r="BN282" s="1421">
        <f t="shared" si="676"/>
        <v>0</v>
      </c>
      <c r="BO282" s="1768"/>
      <c r="BP282" s="1755"/>
      <c r="BQ282" s="1421">
        <f t="shared" si="677"/>
        <v>0</v>
      </c>
      <c r="BR282" s="1768"/>
      <c r="BS282" s="1755"/>
      <c r="BT282" s="1421">
        <f t="shared" si="678"/>
        <v>0</v>
      </c>
      <c r="BU282" s="1768"/>
      <c r="BV282" s="1755"/>
      <c r="BW282" s="1421">
        <f t="shared" si="679"/>
        <v>258</v>
      </c>
      <c r="BX282" s="1769">
        <v>258</v>
      </c>
      <c r="BY282" s="1755"/>
      <c r="BZ282" s="1421">
        <f t="shared" si="680"/>
        <v>186</v>
      </c>
      <c r="CA282" s="1769">
        <v>186</v>
      </c>
      <c r="CB282" s="1755"/>
      <c r="CC282" s="1421">
        <f t="shared" si="681"/>
        <v>235</v>
      </c>
      <c r="CD282" s="1769">
        <v>235</v>
      </c>
      <c r="CE282" s="1755"/>
      <c r="CF282" s="1421">
        <f t="shared" si="682"/>
        <v>243</v>
      </c>
      <c r="CG282" s="1769">
        <v>243</v>
      </c>
      <c r="CH282" s="1755">
        <f>0.995+3.503</f>
        <v>4.4980000000000002</v>
      </c>
      <c r="CI282" s="1421">
        <f t="shared" si="683"/>
        <v>0</v>
      </c>
      <c r="CJ282" s="1770"/>
      <c r="CK282" s="1755">
        <f>88.4+0.9+3.8</f>
        <v>93.100000000000009</v>
      </c>
      <c r="CL282" s="1421">
        <f t="shared" si="684"/>
        <v>93.100000000000009</v>
      </c>
      <c r="CM282" s="1753">
        <f>88.4+0.9+3.8</f>
        <v>93.100000000000009</v>
      </c>
      <c r="CN282" s="1755">
        <f>76.4+0.9+2.6</f>
        <v>79.900000000000006</v>
      </c>
      <c r="CO282" s="1421">
        <f t="shared" si="685"/>
        <v>93.699999999999989</v>
      </c>
      <c r="CP282" s="1753">
        <f>90.1+2.3+1.3</f>
        <v>93.699999999999989</v>
      </c>
      <c r="CQ282" s="1755">
        <f>74.4+2.5+3.3</f>
        <v>80.2</v>
      </c>
      <c r="CR282" s="1421">
        <f t="shared" si="686"/>
        <v>88.199999999999989</v>
      </c>
      <c r="CS282" s="1753">
        <f>84.3+2.1+1.8</f>
        <v>88.199999999999989</v>
      </c>
      <c r="CT282" s="1755">
        <f>75.8+2.7+4.8</f>
        <v>83.3</v>
      </c>
      <c r="CU282" s="1421">
        <f t="shared" si="687"/>
        <v>108.69999999999999</v>
      </c>
      <c r="CV282" s="1753">
        <f>99.6+3.1+6</f>
        <v>108.69999999999999</v>
      </c>
      <c r="CW282" s="1755">
        <f>89.8+3.1</f>
        <v>92.899999999999991</v>
      </c>
      <c r="CX282" s="1421">
        <f t="shared" si="688"/>
        <v>137.29999999999998</v>
      </c>
      <c r="CY282" s="1753">
        <f>134.1+3.2</f>
        <v>137.29999999999998</v>
      </c>
      <c r="CZ282" s="1755">
        <f>125.1+3.2</f>
        <v>128.29999999999998</v>
      </c>
      <c r="DA282" s="1421">
        <f t="shared" si="689"/>
        <v>183.79999999999998</v>
      </c>
      <c r="DB282" s="1753">
        <f>180.7+3.1</f>
        <v>183.79999999999998</v>
      </c>
      <c r="DC282" s="1755">
        <f>174.6+2.9</f>
        <v>177.5</v>
      </c>
      <c r="DD282" s="1421">
        <f t="shared" si="690"/>
        <v>197.70000000000002</v>
      </c>
      <c r="DE282" s="1771">
        <f>194.9+2.8</f>
        <v>197.70000000000002</v>
      </c>
      <c r="DF282" s="1772">
        <f>155.1+2.75</f>
        <v>157.85</v>
      </c>
      <c r="DG282" s="1737">
        <f t="shared" si="691"/>
        <v>160.1</v>
      </c>
      <c r="DH282" s="1773">
        <f>156.9+3.2</f>
        <v>160.1</v>
      </c>
      <c r="DI282" s="1774">
        <f>181.3+70.5</f>
        <v>251.8</v>
      </c>
      <c r="DJ282" s="1737">
        <f t="shared" si="692"/>
        <v>276.8</v>
      </c>
      <c r="DK282" s="1773">
        <f>49.4+227.4</f>
        <v>276.8</v>
      </c>
      <c r="DL282" s="1737">
        <f>194.9+23.5</f>
        <v>218.4</v>
      </c>
      <c r="DM282" s="1737">
        <f t="shared" si="693"/>
        <v>181.5</v>
      </c>
      <c r="DN282" s="1775">
        <v>181.5</v>
      </c>
      <c r="DO282" s="1776">
        <v>195.1</v>
      </c>
      <c r="DP282" s="1737">
        <f t="shared" si="694"/>
        <v>310</v>
      </c>
      <c r="DQ282" s="1777">
        <v>310</v>
      </c>
      <c r="DR282" s="1776">
        <v>269</v>
      </c>
      <c r="DS282" s="1737">
        <f t="shared" si="695"/>
        <v>485</v>
      </c>
      <c r="DT282" s="1777">
        <f>475+10</f>
        <v>485</v>
      </c>
      <c r="DU282" s="1776">
        <v>254</v>
      </c>
      <c r="DV282" s="1737">
        <f t="shared" si="707"/>
        <v>270</v>
      </c>
      <c r="DW282" s="1777">
        <v>270</v>
      </c>
      <c r="DX282" s="1776">
        <v>418</v>
      </c>
      <c r="DY282" s="1421">
        <f t="shared" si="697"/>
        <v>418</v>
      </c>
      <c r="DZ282" s="1104">
        <f>DX282</f>
        <v>418</v>
      </c>
      <c r="EA282" s="1421">
        <f>DZ282</f>
        <v>418</v>
      </c>
      <c r="EB282" s="1421">
        <f t="shared" si="698"/>
        <v>418</v>
      </c>
      <c r="EC282" s="1104">
        <f>EA282</f>
        <v>418</v>
      </c>
      <c r="ED282" s="1421">
        <f>EC282</f>
        <v>418</v>
      </c>
      <c r="EE282" s="1421">
        <f t="shared" si="708"/>
        <v>418</v>
      </c>
      <c r="EF282" s="1104">
        <f>ED282</f>
        <v>418</v>
      </c>
      <c r="EG282" s="1421">
        <f>EF282</f>
        <v>418</v>
      </c>
      <c r="EH282" s="1421">
        <f t="shared" si="709"/>
        <v>418</v>
      </c>
      <c r="EI282" s="1104">
        <f>EG282</f>
        <v>418</v>
      </c>
      <c r="EJ282" s="1421">
        <f>EI282</f>
        <v>418</v>
      </c>
      <c r="EK282" s="1421">
        <f t="shared" si="710"/>
        <v>418</v>
      </c>
      <c r="EL282" s="1104">
        <f>EJ282</f>
        <v>418</v>
      </c>
      <c r="EM282" s="1421">
        <f>EL282</f>
        <v>418</v>
      </c>
      <c r="EN282" s="1421">
        <f t="shared" si="711"/>
        <v>418</v>
      </c>
      <c r="EO282" s="1104">
        <f>EM282</f>
        <v>418</v>
      </c>
      <c r="EP282" s="1421">
        <f>EO282</f>
        <v>418</v>
      </c>
      <c r="EQ282" s="1421">
        <f t="shared" si="712"/>
        <v>418</v>
      </c>
      <c r="ER282" s="1104">
        <f>EP282</f>
        <v>418</v>
      </c>
      <c r="ES282" s="1421">
        <f>ER282</f>
        <v>418</v>
      </c>
      <c r="ET282" s="1421">
        <f t="shared" si="713"/>
        <v>418</v>
      </c>
      <c r="EU282" s="1104">
        <f>ES282</f>
        <v>418</v>
      </c>
      <c r="EV282" s="1421">
        <f>EU282</f>
        <v>418</v>
      </c>
      <c r="EW282" s="1421">
        <f t="shared" si="714"/>
        <v>418</v>
      </c>
      <c r="EX282" s="1104">
        <f>EV282</f>
        <v>418</v>
      </c>
      <c r="EY282" s="1421">
        <f>EX282</f>
        <v>418</v>
      </c>
      <c r="EZ282" s="1421">
        <f t="shared" si="715"/>
        <v>418</v>
      </c>
      <c r="FA282" s="1104">
        <f>EY282</f>
        <v>418</v>
      </c>
      <c r="FD282"/>
      <c r="FE282"/>
      <c r="FF282"/>
      <c r="FG282"/>
      <c r="FH282"/>
      <c r="FI282"/>
    </row>
    <row r="283" spans="2:169" s="61" customFormat="1">
      <c r="B283" s="60" t="s">
        <v>67</v>
      </c>
      <c r="C283" s="60"/>
      <c r="D283" s="1658" t="s">
        <v>506</v>
      </c>
      <c r="E283" s="1272">
        <f>+E263+E266+E273+E280</f>
        <v>0</v>
      </c>
      <c r="F283" s="1272">
        <f t="shared" si="656"/>
        <v>0</v>
      </c>
      <c r="G283" s="1272">
        <f>+G263+G266+G273+G280</f>
        <v>0</v>
      </c>
      <c r="H283" s="1272">
        <f>+H263+H266+H273+H280</f>
        <v>0</v>
      </c>
      <c r="I283" s="1272">
        <f t="shared" si="657"/>
        <v>0</v>
      </c>
      <c r="J283" s="1272">
        <f>+J263+J266+J273+J280</f>
        <v>0</v>
      </c>
      <c r="K283" s="1272">
        <f>+K263+K266+K273+K280</f>
        <v>0</v>
      </c>
      <c r="L283" s="1272">
        <f t="shared" si="658"/>
        <v>0</v>
      </c>
      <c r="M283" s="1272">
        <f>+M263+M266+M273+M280</f>
        <v>0</v>
      </c>
      <c r="N283" s="1272">
        <f>+N263+N266+N273+N280</f>
        <v>0</v>
      </c>
      <c r="O283" s="1272">
        <f t="shared" si="659"/>
        <v>0</v>
      </c>
      <c r="P283" s="1272">
        <f>+P263+P266+P273+P280</f>
        <v>0</v>
      </c>
      <c r="Q283" s="1272">
        <f>+Q263+Q266+Q273+Q280</f>
        <v>0</v>
      </c>
      <c r="R283" s="1272">
        <f t="shared" si="660"/>
        <v>0</v>
      </c>
      <c r="S283" s="1778">
        <f>+S263+S266+S273+S280</f>
        <v>0</v>
      </c>
      <c r="T283" s="1272">
        <f>+T263+T266+T273+T280</f>
        <v>0</v>
      </c>
      <c r="U283" s="1272">
        <f t="shared" si="661"/>
        <v>0</v>
      </c>
      <c r="V283" s="1272">
        <f>+V263+V266+V273+V280</f>
        <v>0</v>
      </c>
      <c r="W283" s="1272">
        <f>+W263+W266+W273+W280</f>
        <v>0</v>
      </c>
      <c r="X283" s="1272">
        <f t="shared" si="662"/>
        <v>0</v>
      </c>
      <c r="Y283" s="1272">
        <f>+Y263+Y266+Y273+Y280</f>
        <v>0</v>
      </c>
      <c r="Z283" s="1272">
        <f>+Z263+Z266+Z273+Z280</f>
        <v>0</v>
      </c>
      <c r="AA283" s="1272">
        <f t="shared" si="663"/>
        <v>0</v>
      </c>
      <c r="AB283" s="1272">
        <f>+AB263+AB266+AB273+AB280</f>
        <v>0</v>
      </c>
      <c r="AC283" s="1272">
        <f>+AC263+AC266+AC273+AC280</f>
        <v>0</v>
      </c>
      <c r="AD283" s="1272">
        <f t="shared" si="664"/>
        <v>0</v>
      </c>
      <c r="AE283" s="1272">
        <f>+AE263+AE266+AE273+AE280</f>
        <v>0</v>
      </c>
      <c r="AF283" s="1272">
        <f>+AF263+AF266+AF273+AF280</f>
        <v>0</v>
      </c>
      <c r="AG283" s="1272">
        <f t="shared" si="665"/>
        <v>0</v>
      </c>
      <c r="AH283" s="1272">
        <f>+AH263+AH266+AH273+AH280</f>
        <v>0</v>
      </c>
      <c r="AI283" s="1272">
        <f>+AI263+AI266+AI273+AI280</f>
        <v>0</v>
      </c>
      <c r="AJ283" s="1272">
        <f t="shared" si="666"/>
        <v>0</v>
      </c>
      <c r="AK283" s="1272">
        <f>+AK263+AK266+AK273+AK280</f>
        <v>0</v>
      </c>
      <c r="AL283" s="1272">
        <f>+AL263+AL266+AL273+AL280</f>
        <v>0</v>
      </c>
      <c r="AM283" s="1272">
        <f t="shared" si="667"/>
        <v>0</v>
      </c>
      <c r="AN283" s="1272">
        <f>+AN263+AN266+AN273+AN280</f>
        <v>0</v>
      </c>
      <c r="AO283" s="1272">
        <f>+AO263+AO266+AO273+AO280</f>
        <v>0</v>
      </c>
      <c r="AP283" s="1272">
        <f t="shared" si="668"/>
        <v>0</v>
      </c>
      <c r="AQ283" s="1272">
        <f>+AQ263+AQ266+AQ273+AQ280</f>
        <v>0</v>
      </c>
      <c r="AR283" s="1272">
        <f>+AR263+AR266+AR273+AR280</f>
        <v>0</v>
      </c>
      <c r="AS283" s="1272">
        <f t="shared" si="669"/>
        <v>0</v>
      </c>
      <c r="AT283" s="1272">
        <f>+AT263+AT266+AT273+AT280</f>
        <v>0</v>
      </c>
      <c r="AU283" s="1272">
        <f>+AU263+AU266+AU273+AU280</f>
        <v>0</v>
      </c>
      <c r="AV283" s="1272">
        <f t="shared" si="670"/>
        <v>0</v>
      </c>
      <c r="AW283" s="1272">
        <f>+AW263+AW266+AW273+AW280</f>
        <v>0</v>
      </c>
      <c r="AX283" s="1272">
        <f>+AX263+AX266+AX273+AX280</f>
        <v>0</v>
      </c>
      <c r="AY283" s="1272">
        <f t="shared" si="671"/>
        <v>0</v>
      </c>
      <c r="AZ283" s="1272">
        <f>+AZ263+AZ266+AZ273+AZ280</f>
        <v>0</v>
      </c>
      <c r="BA283" s="1272">
        <f>+BA263+BA266+BA273+BA280</f>
        <v>0</v>
      </c>
      <c r="BB283" s="1272">
        <f t="shared" si="672"/>
        <v>0</v>
      </c>
      <c r="BC283" s="1272">
        <f>+BC263+BC266+BC273+BC280</f>
        <v>0</v>
      </c>
      <c r="BD283" s="1272">
        <f>+BD263+BD266+BD273+BD280</f>
        <v>0</v>
      </c>
      <c r="BE283" s="1272">
        <f t="shared" si="673"/>
        <v>0</v>
      </c>
      <c r="BF283" s="1272">
        <f>+BF263+BF266+BF273+BF280</f>
        <v>0</v>
      </c>
      <c r="BG283" s="1272">
        <f>+BG263+BG266+BG273+BG280</f>
        <v>0</v>
      </c>
      <c r="BH283" s="1272">
        <f t="shared" si="674"/>
        <v>0</v>
      </c>
      <c r="BI283" s="1272">
        <f>+BI263+BI266+BI273+BI280</f>
        <v>0</v>
      </c>
      <c r="BJ283" s="1272">
        <f>+BJ263+BJ266+BJ273+BJ280</f>
        <v>0</v>
      </c>
      <c r="BK283" s="1272">
        <f t="shared" si="675"/>
        <v>0</v>
      </c>
      <c r="BL283" s="1272">
        <f>+BL263+BL266+BL273+BL280</f>
        <v>0</v>
      </c>
      <c r="BM283" s="1272">
        <f>+BM263+BM266+BM273+BM280</f>
        <v>0</v>
      </c>
      <c r="BN283" s="1272">
        <f t="shared" si="676"/>
        <v>0</v>
      </c>
      <c r="BO283" s="1272">
        <f>+BO263+BO266+BO273+BO280</f>
        <v>0</v>
      </c>
      <c r="BP283" s="1272">
        <f>+BP263+BP266+BP273+BP280</f>
        <v>0</v>
      </c>
      <c r="BQ283" s="1272">
        <f t="shared" si="677"/>
        <v>0</v>
      </c>
      <c r="BR283" s="1272">
        <f>+BR263+BR266+BR273+BR280</f>
        <v>0</v>
      </c>
      <c r="BS283" s="1272">
        <f>+BS263+BS266+BS273+BS280</f>
        <v>0</v>
      </c>
      <c r="BT283" s="1272">
        <f t="shared" si="678"/>
        <v>0</v>
      </c>
      <c r="BU283" s="1272">
        <f>+BU263+BU266+BU273+BU280</f>
        <v>0</v>
      </c>
      <c r="BV283" s="1272">
        <f>+BV263+BV266+BV273+BV280</f>
        <v>0</v>
      </c>
      <c r="BW283" s="1272">
        <f t="shared" si="679"/>
        <v>804</v>
      </c>
      <c r="BX283" s="1272">
        <f>+BX263+BX266+BX273+BX280</f>
        <v>804</v>
      </c>
      <c r="BY283" s="1272">
        <f>+BY263+BY266+BY273+BY280</f>
        <v>0</v>
      </c>
      <c r="BZ283" s="1272">
        <f t="shared" si="680"/>
        <v>995</v>
      </c>
      <c r="CA283" s="1272">
        <f>+CA263+CA266+CA273+CA280</f>
        <v>995</v>
      </c>
      <c r="CB283" s="1272">
        <f>+CB263+CB266+CB273+CB280</f>
        <v>0</v>
      </c>
      <c r="CC283" s="1272">
        <f t="shared" si="681"/>
        <v>670</v>
      </c>
      <c r="CD283" s="1272">
        <f>+CD263+CD266+CD273+CD280</f>
        <v>670</v>
      </c>
      <c r="CE283" s="1272">
        <f>+CE263+CE266+CE273+CE280</f>
        <v>0</v>
      </c>
      <c r="CF283" s="1272">
        <f t="shared" si="682"/>
        <v>1016</v>
      </c>
      <c r="CG283" s="1272">
        <f>+CG263+CG266+CG273+CG280</f>
        <v>1016</v>
      </c>
      <c r="CH283" s="1272">
        <f>+CH263+CH266+CH273+CH280</f>
        <v>1046.2640000000001</v>
      </c>
      <c r="CI283" s="1272">
        <f t="shared" si="683"/>
        <v>937.3</v>
      </c>
      <c r="CJ283" s="1272">
        <f>+CJ263+CJ266+CJ273+CJ280</f>
        <v>937.3</v>
      </c>
      <c r="CK283" s="1272">
        <f>+CK263+CK266+CK273+CK280</f>
        <v>906.6</v>
      </c>
      <c r="CL283" s="1272">
        <f t="shared" si="684"/>
        <v>906.6</v>
      </c>
      <c r="CM283" s="1272">
        <f>+CM263+CM266+CM273+CM280</f>
        <v>906.6</v>
      </c>
      <c r="CN283" s="1272">
        <f>+CN263+CN266+CN273+CN280</f>
        <v>789.1</v>
      </c>
      <c r="CO283" s="1272">
        <f t="shared" si="685"/>
        <v>845.3</v>
      </c>
      <c r="CP283" s="1272">
        <f>+CP263+CP266+CP273+CP280</f>
        <v>845.3</v>
      </c>
      <c r="CQ283" s="1272">
        <f>+CQ263+CQ266+CQ273+CQ280</f>
        <v>785.1</v>
      </c>
      <c r="CR283" s="1272">
        <f t="shared" si="686"/>
        <v>936.09999999999991</v>
      </c>
      <c r="CS283" s="1272">
        <f>+CS263+CS266+CS273+CS280</f>
        <v>936.09999999999991</v>
      </c>
      <c r="CT283" s="1272">
        <f>+CT263+CT266+CT273+CT280</f>
        <v>1196</v>
      </c>
      <c r="CU283" s="1272">
        <f t="shared" si="687"/>
        <v>1374.4</v>
      </c>
      <c r="CV283" s="1272">
        <f>+CV263+CV266+CV273+CV280</f>
        <v>1374.4</v>
      </c>
      <c r="CW283" s="1272">
        <f>+CW263+CW266+CW273+CW280</f>
        <v>1256.6000000000001</v>
      </c>
      <c r="CX283" s="1272">
        <f t="shared" si="688"/>
        <v>1618.1</v>
      </c>
      <c r="CY283" s="1272">
        <f>+CY263+CY266+CY273+CY280</f>
        <v>1618.1</v>
      </c>
      <c r="CZ283" s="1272">
        <f>+CZ263+CZ266+CZ273+CZ280</f>
        <v>1756</v>
      </c>
      <c r="DA283" s="1272">
        <f t="shared" si="689"/>
        <v>1914.7</v>
      </c>
      <c r="DB283" s="1272">
        <f>+DB263+DB266+DB273+DB280</f>
        <v>1914.7</v>
      </c>
      <c r="DC283" s="1272">
        <f>+DC263+DC266+DC273+DC280</f>
        <v>1901.7</v>
      </c>
      <c r="DD283" s="1272">
        <f t="shared" si="690"/>
        <v>2188.2000000000003</v>
      </c>
      <c r="DE283" s="1276">
        <f>+DE263+DE266+DE273+DE280</f>
        <v>2188.2000000000003</v>
      </c>
      <c r="DF283" s="1272">
        <f>+DF263+DF266+DF273+DF280</f>
        <v>2693.15</v>
      </c>
      <c r="DG283" s="1272">
        <f t="shared" si="691"/>
        <v>2141.5</v>
      </c>
      <c r="DH283" s="1276">
        <f>+DH263+DH266+DH273+DH280</f>
        <v>2141.5</v>
      </c>
      <c r="DI283" s="1272">
        <f>+DI263+DI266+DI273+DI280</f>
        <v>2669.5000000000005</v>
      </c>
      <c r="DJ283" s="1272">
        <f t="shared" si="692"/>
        <v>3103.3</v>
      </c>
      <c r="DK283" s="1276">
        <f>+DK263+DK266+DK273+DK280</f>
        <v>3103.3</v>
      </c>
      <c r="DL283" s="1272">
        <f>+DL263+DL266+DL273+DL280</f>
        <v>2524.1000000000004</v>
      </c>
      <c r="DM283" s="1272">
        <f t="shared" si="693"/>
        <v>7108.2</v>
      </c>
      <c r="DN283" s="1276">
        <f>+DN263+DN266+DN273+DN280</f>
        <v>7108.2</v>
      </c>
      <c r="DO283" s="1272">
        <f>+DO263+DO266+DO273+DO280</f>
        <v>4329.8</v>
      </c>
      <c r="DP283" s="1272">
        <f t="shared" si="694"/>
        <v>4608</v>
      </c>
      <c r="DQ283" s="1276">
        <f>+DQ263+DQ266+DQ273+DQ280</f>
        <v>4608</v>
      </c>
      <c r="DR283" s="1272">
        <f>+DR263+DR266+DR273+DR280</f>
        <v>4718</v>
      </c>
      <c r="DS283" s="1272">
        <f t="shared" si="695"/>
        <v>4950</v>
      </c>
      <c r="DT283" s="1276">
        <f>+DT263+DT266+DT273+DT280</f>
        <v>4950</v>
      </c>
      <c r="DU283" s="1272">
        <f>+DU263+DU266+DU273+DU280</f>
        <v>6074</v>
      </c>
      <c r="DV283" s="1272">
        <f t="shared" si="707"/>
        <v>4815</v>
      </c>
      <c r="DW283" s="1276">
        <f>+DW263+DW266+DW273+DW280</f>
        <v>4815</v>
      </c>
      <c r="DX283" s="1272">
        <f>+DX263+DX266+DX273+DX280</f>
        <v>4608</v>
      </c>
      <c r="DY283" s="1272">
        <f t="shared" si="697"/>
        <v>5306.2968137170674</v>
      </c>
      <c r="DZ283" s="1276">
        <f>+DZ263+DZ266+DZ273+DZ280</f>
        <v>5306.2968137170674</v>
      </c>
      <c r="EA283" s="1272">
        <f>+EA263+EA266+EA273+EA280</f>
        <v>4721.7010304711403</v>
      </c>
      <c r="EB283" s="1272">
        <f t="shared" si="698"/>
        <v>5479.9417235029323</v>
      </c>
      <c r="EC283" s="1276">
        <f>+EC263+EC266+EC273+EC280</f>
        <v>5479.9417235029323</v>
      </c>
      <c r="ED283" s="1272">
        <f>+ED263+ED266+ED273+ED280</f>
        <v>4873.1260706534304</v>
      </c>
      <c r="EE283" s="1272">
        <f t="shared" si="708"/>
        <v>5657.3983738569013</v>
      </c>
      <c r="EF283" s="1276">
        <f>+EF263+EF266+EF273+EF280</f>
        <v>5657.3983738569013</v>
      </c>
      <c r="EG283" s="1272">
        <f>+EG263+EG266+EG273+EG280</f>
        <v>5073.9326356158781</v>
      </c>
      <c r="EH283" s="1272">
        <f t="shared" si="709"/>
        <v>5874.8353974432439</v>
      </c>
      <c r="EI283" s="1276">
        <f>+EI263+EI266+EI273+EI280</f>
        <v>5874.8353974432439</v>
      </c>
      <c r="EJ283" s="1272">
        <f>+EJ263+EJ266+EJ273+EJ280</f>
        <v>5289.2072112988553</v>
      </c>
      <c r="EK283" s="1272">
        <f t="shared" si="710"/>
        <v>6107.6417583154534</v>
      </c>
      <c r="EL283" s="1276">
        <f>+EL263+EL266+EL273+EL280</f>
        <v>6107.6417583154534</v>
      </c>
      <c r="EM283" s="1272">
        <f>+EM263+EM266+EM273+EM280</f>
        <v>5500.4658533349921</v>
      </c>
      <c r="EN283" s="1272">
        <f t="shared" si="711"/>
        <v>6315.1541797106338</v>
      </c>
      <c r="EO283" s="1276">
        <f>+EO263+EO266+EO273+EO280</f>
        <v>6315.1541797106338</v>
      </c>
      <c r="EP283" s="1272">
        <f>+EP263+EP266+EP273+EP280</f>
        <v>5720.3311526513944</v>
      </c>
      <c r="EQ283" s="1272">
        <f t="shared" si="712"/>
        <v>6536.7739182416381</v>
      </c>
      <c r="ER283" s="1276">
        <f>+ER263+ER266+ER273+ER280</f>
        <v>6536.7739182416381</v>
      </c>
      <c r="ES283" s="1272">
        <f>+ES263+ES266+ES273+ES280</f>
        <v>5958.1739234456563</v>
      </c>
      <c r="ET283" s="1272">
        <f t="shared" si="713"/>
        <v>6772.3337760896329</v>
      </c>
      <c r="EU283" s="1276">
        <f>+EU263+EU266+EU273+EU280</f>
        <v>6772.3337760896329</v>
      </c>
      <c r="EV283" s="1272">
        <f>+EV263+EV266+EV273+EV280</f>
        <v>6210.77333440645</v>
      </c>
      <c r="EW283" s="1272">
        <f t="shared" si="714"/>
        <v>7019.8249527148027</v>
      </c>
      <c r="EX283" s="1276">
        <f>+EX263+EX266+EX273+EX280</f>
        <v>7019.8249527148027</v>
      </c>
      <c r="EY283" s="1272">
        <f>+EY263+EY266+EY273+EY280</f>
        <v>6479.0962792692435</v>
      </c>
      <c r="EZ283" s="1272">
        <f t="shared" si="715"/>
        <v>7279.8444741063058</v>
      </c>
      <c r="FA283" s="1276">
        <f>+FA263+FA266+FA273+FA280</f>
        <v>7279.8444741063058</v>
      </c>
      <c r="FD283"/>
      <c r="FE283"/>
      <c r="FF283"/>
      <c r="FG283"/>
      <c r="FH283"/>
      <c r="FI283"/>
      <c r="FJ283" s="33"/>
      <c r="FK283" s="33"/>
      <c r="FL283" s="33"/>
      <c r="FM283" s="33"/>
    </row>
    <row r="284" spans="2:169" s="33" customFormat="1" ht="13.5" thickBot="1">
      <c r="B284" s="54"/>
      <c r="C284" s="54"/>
      <c r="D284" s="2"/>
      <c r="E284" s="32"/>
      <c r="F284" s="32"/>
      <c r="G284" s="32"/>
      <c r="H284" s="32"/>
      <c r="I284" s="32"/>
      <c r="J284" s="32"/>
      <c r="K284" s="32"/>
      <c r="L284" s="32"/>
      <c r="M284" s="32"/>
      <c r="N284" s="32"/>
      <c r="O284" s="32"/>
      <c r="P284" s="32"/>
      <c r="Q284" s="32"/>
      <c r="R284" s="32"/>
      <c r="S284" s="1254"/>
      <c r="T284" s="32"/>
      <c r="U284" s="32"/>
      <c r="V284" s="32"/>
      <c r="W284" s="32"/>
      <c r="X284" s="32"/>
      <c r="Y284" s="32"/>
      <c r="Z284" s="32"/>
      <c r="AA284" s="32"/>
      <c r="AB284" s="32"/>
      <c r="AC284" s="32"/>
      <c r="AD284" s="32"/>
      <c r="AE284" s="32"/>
      <c r="AF284" s="32"/>
      <c r="AG284" s="32"/>
      <c r="AH284" s="32"/>
      <c r="AI284" s="32"/>
      <c r="AJ284" s="32"/>
      <c r="AK284" s="32"/>
      <c r="AL284" s="32"/>
      <c r="AM284" s="32"/>
      <c r="AN284" s="32"/>
      <c r="AO284" s="32"/>
      <c r="AP284" s="32"/>
      <c r="AQ284" s="32"/>
      <c r="AR284" s="32"/>
      <c r="AS284" s="32"/>
      <c r="AT284" s="32"/>
      <c r="AU284" s="32"/>
      <c r="AV284" s="32"/>
      <c r="AW284" s="32"/>
      <c r="AX284" s="32"/>
      <c r="AY284" s="32"/>
      <c r="AZ284" s="32"/>
      <c r="BA284" s="32"/>
      <c r="BB284" s="32"/>
      <c r="BC284" s="32"/>
      <c r="BD284" s="32"/>
      <c r="BE284" s="32"/>
      <c r="BF284" s="32"/>
      <c r="BG284" s="32"/>
      <c r="BH284" s="32"/>
      <c r="BI284" s="32"/>
      <c r="BJ284" s="32"/>
      <c r="BK284" s="32"/>
      <c r="BL284" s="32"/>
      <c r="BM284" s="32"/>
      <c r="BN284" s="32"/>
      <c r="BO284" s="32"/>
      <c r="BP284" s="32"/>
      <c r="BQ284" s="32"/>
      <c r="BR284" s="32"/>
      <c r="BS284" s="32"/>
      <c r="BT284" s="32"/>
      <c r="BU284" s="32"/>
      <c r="BV284" s="32"/>
      <c r="BW284" s="32"/>
      <c r="BX284" s="32"/>
      <c r="BY284" s="32"/>
      <c r="BZ284" s="32"/>
      <c r="CA284" s="32"/>
      <c r="CB284" s="32"/>
      <c r="CC284" s="32"/>
      <c r="CD284" s="32"/>
      <c r="CE284" s="32"/>
      <c r="CF284" s="32"/>
      <c r="CG284" s="32"/>
      <c r="CH284" s="32"/>
      <c r="CI284" s="32"/>
      <c r="CJ284" s="32"/>
      <c r="CK284" s="32"/>
      <c r="CL284" s="32"/>
      <c r="CM284" s="32"/>
      <c r="CN284" s="32"/>
      <c r="CO284" s="32"/>
      <c r="CP284" s="32"/>
      <c r="CQ284" s="32"/>
      <c r="CR284" s="32"/>
      <c r="CS284" s="32"/>
      <c r="CT284" s="32"/>
      <c r="CU284" s="32"/>
      <c r="CV284" s="32"/>
      <c r="CW284" s="32"/>
      <c r="CX284" s="32"/>
      <c r="CY284" s="32"/>
      <c r="CZ284" s="32"/>
      <c r="DA284" s="32"/>
      <c r="DB284" s="32"/>
      <c r="DC284" s="32"/>
      <c r="DD284" s="32"/>
      <c r="DE284" s="1061"/>
      <c r="DF284" s="32"/>
      <c r="DG284" s="32"/>
      <c r="DH284" s="1061"/>
      <c r="DI284" s="32"/>
      <c r="DJ284" s="32"/>
      <c r="DK284" s="1061"/>
      <c r="DL284" s="32"/>
      <c r="DM284" s="32"/>
      <c r="DN284" s="1061"/>
      <c r="DO284" s="32"/>
      <c r="DP284" s="32"/>
      <c r="DQ284" s="1061"/>
      <c r="DR284" s="32"/>
      <c r="DS284" s="32"/>
      <c r="DT284" s="1061"/>
      <c r="DU284" s="32"/>
      <c r="DV284" s="32"/>
      <c r="DW284" s="1061"/>
      <c r="DX284" s="32"/>
      <c r="DY284" s="32"/>
      <c r="DZ284" s="1061"/>
      <c r="EA284" s="32"/>
      <c r="EB284" s="32"/>
      <c r="EC284" s="1061"/>
      <c r="ED284" s="32"/>
      <c r="EE284" s="32"/>
      <c r="EF284" s="1061"/>
      <c r="EG284" s="32"/>
      <c r="EH284" s="32"/>
      <c r="EI284" s="1061"/>
      <c r="EJ284" s="32"/>
      <c r="EK284" s="32"/>
      <c r="EL284" s="1061"/>
      <c r="EM284" s="32"/>
      <c r="EN284" s="32"/>
      <c r="EO284" s="1061"/>
      <c r="EP284" s="32"/>
      <c r="EQ284" s="32"/>
      <c r="ER284" s="1061"/>
      <c r="ES284" s="32"/>
      <c r="ET284" s="32"/>
      <c r="EU284" s="1061"/>
      <c r="EV284" s="32"/>
      <c r="EW284" s="32"/>
      <c r="EX284" s="1061"/>
      <c r="EY284" s="32"/>
      <c r="EZ284" s="32"/>
      <c r="FA284" s="1061"/>
      <c r="FD284"/>
      <c r="FE284"/>
      <c r="FF284"/>
      <c r="FG284"/>
      <c r="FH284"/>
      <c r="FI284"/>
    </row>
    <row r="285" spans="2:169" s="33" customFormat="1" ht="13.5" thickBot="1">
      <c r="B285" s="54" t="s">
        <v>385</v>
      </c>
      <c r="C285" s="2"/>
      <c r="D285" s="2" t="s">
        <v>506</v>
      </c>
      <c r="E285" s="1172"/>
      <c r="F285" s="32">
        <f t="shared" ref="F285:F300" si="716">+G285</f>
        <v>0</v>
      </c>
      <c r="G285" s="1231"/>
      <c r="H285" s="1174"/>
      <c r="I285" s="32">
        <f t="shared" ref="I285:I300" si="717">+J285</f>
        <v>0</v>
      </c>
      <c r="J285" s="1231"/>
      <c r="K285" s="1174"/>
      <c r="L285" s="32">
        <f t="shared" ref="L285:L300" si="718">+M285</f>
        <v>0</v>
      </c>
      <c r="M285" s="1231"/>
      <c r="N285" s="1174"/>
      <c r="O285" s="32">
        <f t="shared" ref="O285:O300" si="719">+P285</f>
        <v>0</v>
      </c>
      <c r="P285" s="1231"/>
      <c r="Q285" s="1174"/>
      <c r="R285" s="32">
        <f t="shared" ref="R285:R300" si="720">+S285</f>
        <v>0</v>
      </c>
      <c r="S285" s="1262"/>
      <c r="T285" s="1174"/>
      <c r="U285" s="32">
        <f t="shared" ref="U285:U300" si="721">+V285</f>
        <v>0</v>
      </c>
      <c r="V285" s="1231"/>
      <c r="W285" s="1174"/>
      <c r="X285" s="32">
        <f t="shared" ref="X285:X300" si="722">+Y285</f>
        <v>0</v>
      </c>
      <c r="Y285" s="1231"/>
      <c r="Z285" s="1174"/>
      <c r="AA285" s="32">
        <f t="shared" ref="AA285:AA300" si="723">+AB285</f>
        <v>0</v>
      </c>
      <c r="AB285" s="1231"/>
      <c r="AC285" s="1174"/>
      <c r="AD285" s="32">
        <f t="shared" ref="AD285:AD300" si="724">+AE285</f>
        <v>0</v>
      </c>
      <c r="AE285" s="1231"/>
      <c r="AF285" s="1174"/>
      <c r="AG285" s="32">
        <f t="shared" ref="AG285:AG300" si="725">+AH285</f>
        <v>0</v>
      </c>
      <c r="AH285" s="1231"/>
      <c r="AI285" s="1174"/>
      <c r="AJ285" s="32">
        <f t="shared" ref="AJ285:AJ300" si="726">+AK285</f>
        <v>0</v>
      </c>
      <c r="AK285" s="1231"/>
      <c r="AL285" s="1174"/>
      <c r="AM285" s="32">
        <f t="shared" ref="AM285:AM300" si="727">+AN285</f>
        <v>0</v>
      </c>
      <c r="AN285" s="1231"/>
      <c r="AO285" s="1174"/>
      <c r="AP285" s="32">
        <f t="shared" ref="AP285:AP300" si="728">+AQ285</f>
        <v>0</v>
      </c>
      <c r="AQ285" s="1231"/>
      <c r="AR285" s="1174"/>
      <c r="AS285" s="32">
        <f t="shared" ref="AS285:AS300" si="729">+AT285</f>
        <v>0</v>
      </c>
      <c r="AT285" s="1231"/>
      <c r="AU285" s="1174"/>
      <c r="AV285" s="32">
        <f t="shared" ref="AV285:AV300" si="730">+AW285</f>
        <v>0</v>
      </c>
      <c r="AW285" s="1231"/>
      <c r="AX285" s="1174"/>
      <c r="AY285" s="32">
        <f t="shared" ref="AY285:AY300" si="731">+AZ285</f>
        <v>0</v>
      </c>
      <c r="AZ285" s="1231"/>
      <c r="BA285" s="1174"/>
      <c r="BB285" s="32">
        <f t="shared" ref="BB285:BB300" si="732">+BC285</f>
        <v>0</v>
      </c>
      <c r="BC285" s="1231"/>
      <c r="BD285" s="1174"/>
      <c r="BE285" s="32">
        <f t="shared" ref="BE285:BE300" si="733">+BF285</f>
        <v>0</v>
      </c>
      <c r="BF285" s="1231"/>
      <c r="BG285" s="1174"/>
      <c r="BH285" s="32">
        <f t="shared" ref="BH285:BH300" si="734">+BI285</f>
        <v>0</v>
      </c>
      <c r="BI285" s="1231"/>
      <c r="BJ285" s="1174"/>
      <c r="BK285" s="32">
        <f t="shared" ref="BK285:BK300" si="735">+BL285</f>
        <v>0</v>
      </c>
      <c r="BL285" s="1231"/>
      <c r="BM285" s="1174"/>
      <c r="BN285" s="32">
        <f t="shared" ref="BN285:BN300" si="736">+BO285</f>
        <v>0</v>
      </c>
      <c r="BO285" s="1231"/>
      <c r="BP285" s="1174"/>
      <c r="BQ285" s="32">
        <f t="shared" ref="BQ285:BQ300" si="737">+BR285</f>
        <v>0</v>
      </c>
      <c r="BR285" s="1231"/>
      <c r="BS285" s="1174"/>
      <c r="BT285" s="32">
        <f t="shared" ref="BT285:BT300" si="738">+BU285</f>
        <v>0</v>
      </c>
      <c r="BU285" s="1231"/>
      <c r="BV285" s="1174"/>
      <c r="BW285" s="32">
        <f t="shared" ref="BW285:BW300" si="739">+BX285</f>
        <v>0</v>
      </c>
      <c r="BX285" s="1231">
        <f>IF(Assumptions!BX193&lt;&gt;"",Assumptions!BX193,0)</f>
        <v>0</v>
      </c>
      <c r="BY285" s="1174"/>
      <c r="BZ285" s="32">
        <f t="shared" ref="BZ285:BZ300" si="740">+CA285</f>
        <v>0</v>
      </c>
      <c r="CA285" s="1231">
        <f>IF(Assumptions!CA193&lt;&gt;"",Assumptions!CA193,0)</f>
        <v>0</v>
      </c>
      <c r="CB285" s="1174"/>
      <c r="CC285" s="32">
        <f t="shared" ref="CC285:CC300" si="741">+CD285</f>
        <v>0</v>
      </c>
      <c r="CD285" s="1231">
        <f>IF(Assumptions!CD193&lt;&gt;"",Assumptions!CD193,0)</f>
        <v>0</v>
      </c>
      <c r="CE285" s="1174"/>
      <c r="CF285" s="32">
        <f t="shared" ref="CF285:CF300" si="742">+CG285</f>
        <v>4</v>
      </c>
      <c r="CG285" s="1232">
        <v>4</v>
      </c>
      <c r="CH285" s="1180">
        <v>8.6980000000000004</v>
      </c>
      <c r="CI285" s="32">
        <f t="shared" ref="CI285:CI300" si="743">+CJ285</f>
        <v>15.2</v>
      </c>
      <c r="CJ285" s="1232">
        <v>15.2</v>
      </c>
      <c r="CK285" s="1180">
        <v>23.2</v>
      </c>
      <c r="CL285" s="32">
        <f t="shared" ref="CL285:CL300" si="744">+CM285</f>
        <v>23.2</v>
      </c>
      <c r="CM285" s="1232">
        <v>23.2</v>
      </c>
      <c r="CN285" s="1174">
        <f>IF(Assumptions!CN193&lt;&gt;"",Assumptions!CN193,0)</f>
        <v>0</v>
      </c>
      <c r="CO285" s="32">
        <f t="shared" ref="CO285:CO300" si="745">+CP285</f>
        <v>19.399999999999999</v>
      </c>
      <c r="CP285" s="1232">
        <v>19.399999999999999</v>
      </c>
      <c r="CQ285" s="1180">
        <v>11.4</v>
      </c>
      <c r="CR285" s="32">
        <f t="shared" ref="CR285:CR300" si="746">+CS285</f>
        <v>17.2</v>
      </c>
      <c r="CS285" s="1232">
        <v>17.2</v>
      </c>
      <c r="CT285" s="1180">
        <v>19.3</v>
      </c>
      <c r="CU285" s="32">
        <f t="shared" ref="CU285:CU300" si="747">+CV285</f>
        <v>18.8</v>
      </c>
      <c r="CV285" s="1232">
        <v>18.8</v>
      </c>
      <c r="CW285" s="1180">
        <v>11</v>
      </c>
      <c r="CX285" s="32">
        <f t="shared" ref="CX285:CX300" si="748">+CY285</f>
        <v>25.8</v>
      </c>
      <c r="CY285" s="1232">
        <v>25.8</v>
      </c>
      <c r="CZ285" s="1174">
        <v>212.2</v>
      </c>
      <c r="DA285" s="32">
        <f t="shared" ref="DA285:DA300" si="749">+DB285</f>
        <v>126.6</v>
      </c>
      <c r="DB285" s="1231">
        <v>126.6</v>
      </c>
      <c r="DC285" s="1174">
        <v>106.3</v>
      </c>
      <c r="DD285" s="32">
        <f t="shared" ref="DD285:DD300" si="750">+DE285</f>
        <v>86.5</v>
      </c>
      <c r="DE285" s="1236">
        <v>86.5</v>
      </c>
      <c r="DF285" s="1180">
        <v>39.299999999999997</v>
      </c>
      <c r="DG285" s="32">
        <f t="shared" ref="DG285:DG300" si="751">+DH285</f>
        <v>0</v>
      </c>
      <c r="DH285" s="1242">
        <v>0</v>
      </c>
      <c r="DI285" s="1174">
        <f>DH285</f>
        <v>0</v>
      </c>
      <c r="DJ285" s="32">
        <f t="shared" ref="DJ285:DJ300" si="752">+DK285</f>
        <v>0</v>
      </c>
      <c r="DK285" s="1242">
        <v>0</v>
      </c>
      <c r="DL285" s="32">
        <f>DK285</f>
        <v>0</v>
      </c>
      <c r="DM285" s="32">
        <f>+DN285</f>
        <v>0</v>
      </c>
      <c r="DN285" s="1061">
        <f>DL285</f>
        <v>0</v>
      </c>
      <c r="DO285" s="32">
        <f>DN285</f>
        <v>0</v>
      </c>
      <c r="DP285" s="32">
        <f>+DQ285</f>
        <v>0</v>
      </c>
      <c r="DQ285" s="1061">
        <f>DO285</f>
        <v>0</v>
      </c>
      <c r="DR285" s="32">
        <f>DQ285</f>
        <v>0</v>
      </c>
      <c r="DS285" s="32">
        <f>+DT285</f>
        <v>0</v>
      </c>
      <c r="DT285" s="1061">
        <f>DR285</f>
        <v>0</v>
      </c>
      <c r="DU285" s="32">
        <f>DT285</f>
        <v>0</v>
      </c>
      <c r="DV285" s="32">
        <f>+DW285</f>
        <v>0</v>
      </c>
      <c r="DW285" s="1061">
        <f>DU285</f>
        <v>0</v>
      </c>
      <c r="DX285" s="32">
        <f>DW285</f>
        <v>0</v>
      </c>
      <c r="DY285" s="32">
        <f>+DZ285</f>
        <v>0</v>
      </c>
      <c r="DZ285" s="1061">
        <f>DX285</f>
        <v>0</v>
      </c>
      <c r="EA285" s="32">
        <f>DZ285</f>
        <v>0</v>
      </c>
      <c r="EB285" s="32">
        <f>+EC285</f>
        <v>0</v>
      </c>
      <c r="EC285" s="1061">
        <f>EA285</f>
        <v>0</v>
      </c>
      <c r="ED285" s="32">
        <f>EC285</f>
        <v>0</v>
      </c>
      <c r="EE285" s="32">
        <f>+EF285</f>
        <v>0</v>
      </c>
      <c r="EF285" s="1061">
        <f>ED285</f>
        <v>0</v>
      </c>
      <c r="EG285" s="32">
        <f>EF285</f>
        <v>0</v>
      </c>
      <c r="EH285" s="32">
        <f>+EI285</f>
        <v>0</v>
      </c>
      <c r="EI285" s="1061">
        <f>EG285</f>
        <v>0</v>
      </c>
      <c r="EJ285" s="32">
        <f>EI285</f>
        <v>0</v>
      </c>
      <c r="EK285" s="32">
        <f>+EL285</f>
        <v>0</v>
      </c>
      <c r="EL285" s="1061">
        <f>EJ285</f>
        <v>0</v>
      </c>
      <c r="EM285" s="32">
        <f>EL285</f>
        <v>0</v>
      </c>
      <c r="EN285" s="32">
        <f>+EO285</f>
        <v>0</v>
      </c>
      <c r="EO285" s="1061">
        <f>EM285</f>
        <v>0</v>
      </c>
      <c r="EP285" s="32">
        <f>EO285</f>
        <v>0</v>
      </c>
      <c r="EQ285" s="32">
        <f>+ER285</f>
        <v>0</v>
      </c>
      <c r="ER285" s="1061">
        <f>EP285</f>
        <v>0</v>
      </c>
      <c r="ES285" s="32">
        <f>ER285</f>
        <v>0</v>
      </c>
      <c r="ET285" s="32">
        <f>+EU285</f>
        <v>0</v>
      </c>
      <c r="EU285" s="1061">
        <f>ES285</f>
        <v>0</v>
      </c>
      <c r="EV285" s="32">
        <f>EU285</f>
        <v>0</v>
      </c>
      <c r="EW285" s="32">
        <f>+EX285</f>
        <v>0</v>
      </c>
      <c r="EX285" s="1061">
        <f>EV285</f>
        <v>0</v>
      </c>
      <c r="EY285" s="32">
        <f>EX285</f>
        <v>0</v>
      </c>
      <c r="EZ285" s="32">
        <f>+FA285</f>
        <v>0</v>
      </c>
      <c r="FA285" s="1061">
        <f>EY285</f>
        <v>0</v>
      </c>
      <c r="FD285"/>
      <c r="FE285"/>
      <c r="FF285"/>
      <c r="FG285"/>
      <c r="FH285"/>
      <c r="FI285"/>
    </row>
    <row r="286" spans="2:169" s="33" customFormat="1" ht="13.5" thickBot="1">
      <c r="B286" s="1140" t="s">
        <v>163</v>
      </c>
      <c r="C286" s="2"/>
      <c r="D286" s="2" t="s">
        <v>506</v>
      </c>
      <c r="E286" s="32">
        <f>+SUM(E287:E292)</f>
        <v>0</v>
      </c>
      <c r="F286" s="32">
        <f t="shared" si="716"/>
        <v>0</v>
      </c>
      <c r="G286" s="32">
        <f>+SUM(G287:G292)</f>
        <v>0</v>
      </c>
      <c r="H286" s="32">
        <f>+SUM(H287:H292)</f>
        <v>0</v>
      </c>
      <c r="I286" s="32">
        <f t="shared" si="717"/>
        <v>0</v>
      </c>
      <c r="J286" s="32">
        <f>+SUM(J287:J292)</f>
        <v>0</v>
      </c>
      <c r="K286" s="32">
        <f>+SUM(K287:K292)</f>
        <v>0</v>
      </c>
      <c r="L286" s="32">
        <f t="shared" si="718"/>
        <v>0</v>
      </c>
      <c r="M286" s="32">
        <f>+SUM(M287:M292)</f>
        <v>0</v>
      </c>
      <c r="N286" s="32">
        <f>+SUM(N287:N292)</f>
        <v>0</v>
      </c>
      <c r="O286" s="32">
        <f t="shared" si="719"/>
        <v>0</v>
      </c>
      <c r="P286" s="32">
        <f>+SUM(P287:P292)</f>
        <v>0</v>
      </c>
      <c r="Q286" s="32">
        <f>+SUM(Q287:Q292)</f>
        <v>0</v>
      </c>
      <c r="R286" s="32">
        <f t="shared" si="720"/>
        <v>0</v>
      </c>
      <c r="S286" s="1254">
        <f>+SUM(S287:S292)</f>
        <v>0</v>
      </c>
      <c r="T286" s="32">
        <f>+SUM(T287:T292)</f>
        <v>0</v>
      </c>
      <c r="U286" s="32">
        <f t="shared" si="721"/>
        <v>0</v>
      </c>
      <c r="V286" s="32">
        <f>+SUM(V287:V292)</f>
        <v>0</v>
      </c>
      <c r="W286" s="32">
        <f>+SUM(W287:W292)</f>
        <v>0</v>
      </c>
      <c r="X286" s="32">
        <f t="shared" si="722"/>
        <v>0</v>
      </c>
      <c r="Y286" s="32">
        <f>+SUM(Y287:Y292)</f>
        <v>0</v>
      </c>
      <c r="Z286" s="32">
        <f>+SUM(Z287:Z292)</f>
        <v>0</v>
      </c>
      <c r="AA286" s="32">
        <f t="shared" si="723"/>
        <v>0</v>
      </c>
      <c r="AB286" s="32">
        <f>+SUM(AB287:AB292)</f>
        <v>0</v>
      </c>
      <c r="AC286" s="32">
        <f>+SUM(AC287:AC292)</f>
        <v>0</v>
      </c>
      <c r="AD286" s="32">
        <f t="shared" si="724"/>
        <v>0</v>
      </c>
      <c r="AE286" s="32">
        <f>+SUM(AE287:AE292)</f>
        <v>0</v>
      </c>
      <c r="AF286" s="32">
        <f>+SUM(AF287:AF292)</f>
        <v>0</v>
      </c>
      <c r="AG286" s="32">
        <f t="shared" si="725"/>
        <v>0</v>
      </c>
      <c r="AH286" s="32">
        <f>+SUM(AH287:AH292)</f>
        <v>0</v>
      </c>
      <c r="AI286" s="32">
        <f>+SUM(AI287:AI292)</f>
        <v>0</v>
      </c>
      <c r="AJ286" s="32">
        <f t="shared" si="726"/>
        <v>0</v>
      </c>
      <c r="AK286" s="32">
        <f>+SUM(AK287:AK292)</f>
        <v>0</v>
      </c>
      <c r="AL286" s="32">
        <f>+SUM(AL287:AL292)</f>
        <v>0</v>
      </c>
      <c r="AM286" s="32">
        <f t="shared" si="727"/>
        <v>0</v>
      </c>
      <c r="AN286" s="32">
        <f>+SUM(AN287:AN292)</f>
        <v>0</v>
      </c>
      <c r="AO286" s="32">
        <f>+SUM(AO287:AO292)</f>
        <v>0</v>
      </c>
      <c r="AP286" s="32">
        <f t="shared" si="728"/>
        <v>0</v>
      </c>
      <c r="AQ286" s="32">
        <f>+SUM(AQ287:AQ292)</f>
        <v>0</v>
      </c>
      <c r="AR286" s="32">
        <f>+SUM(AR287:AR292)</f>
        <v>0</v>
      </c>
      <c r="AS286" s="32">
        <f t="shared" si="729"/>
        <v>0</v>
      </c>
      <c r="AT286" s="32">
        <f>+SUM(AT287:AT292)</f>
        <v>0</v>
      </c>
      <c r="AU286" s="32">
        <f>+SUM(AU287:AU292)</f>
        <v>0</v>
      </c>
      <c r="AV286" s="32">
        <f t="shared" si="730"/>
        <v>0</v>
      </c>
      <c r="AW286" s="32">
        <f>+SUM(AW287:AW292)</f>
        <v>0</v>
      </c>
      <c r="AX286" s="32">
        <f>+SUM(AX287:AX292)</f>
        <v>0</v>
      </c>
      <c r="AY286" s="32">
        <f t="shared" si="731"/>
        <v>0</v>
      </c>
      <c r="AZ286" s="32">
        <f>+SUM(AZ287:AZ292)</f>
        <v>0</v>
      </c>
      <c r="BA286" s="32">
        <f>+SUM(BA287:BA292)</f>
        <v>0</v>
      </c>
      <c r="BB286" s="32">
        <f t="shared" si="732"/>
        <v>0</v>
      </c>
      <c r="BC286" s="32">
        <f>+SUM(BC287:BC292)</f>
        <v>0</v>
      </c>
      <c r="BD286" s="32">
        <f>+SUM(BD287:BD292)</f>
        <v>0</v>
      </c>
      <c r="BE286" s="32">
        <f t="shared" si="733"/>
        <v>0</v>
      </c>
      <c r="BF286" s="32">
        <f>+SUM(BF287:BF292)</f>
        <v>0</v>
      </c>
      <c r="BG286" s="32">
        <f>+SUM(BG287:BG292)</f>
        <v>0</v>
      </c>
      <c r="BH286" s="32">
        <f t="shared" si="734"/>
        <v>0</v>
      </c>
      <c r="BI286" s="32">
        <f>+SUM(BI287:BI292)</f>
        <v>0</v>
      </c>
      <c r="BJ286" s="32">
        <f>+SUM(BJ287:BJ292)</f>
        <v>0</v>
      </c>
      <c r="BK286" s="32">
        <f t="shared" si="735"/>
        <v>0</v>
      </c>
      <c r="BL286" s="32">
        <f>+SUM(BL287:BL292)</f>
        <v>0</v>
      </c>
      <c r="BM286" s="32">
        <f>+SUM(BM287:BM292)</f>
        <v>0</v>
      </c>
      <c r="BN286" s="32">
        <f t="shared" si="736"/>
        <v>0</v>
      </c>
      <c r="BO286" s="32">
        <f>+SUM(BO287:BO292)</f>
        <v>0</v>
      </c>
      <c r="BP286" s="32">
        <f>+SUM(BP287:BP292)</f>
        <v>0</v>
      </c>
      <c r="BQ286" s="32">
        <f t="shared" si="737"/>
        <v>0</v>
      </c>
      <c r="BR286" s="32">
        <f>+SUM(BR287:BR292)</f>
        <v>0</v>
      </c>
      <c r="BS286" s="32">
        <f>+SUM(BS287:BS292)</f>
        <v>0</v>
      </c>
      <c r="BT286" s="32">
        <f t="shared" si="738"/>
        <v>0</v>
      </c>
      <c r="BU286" s="32">
        <f>+SUM(BU287:BU292)</f>
        <v>0</v>
      </c>
      <c r="BV286" s="32">
        <f>+SUM(BV287:BV292)</f>
        <v>0</v>
      </c>
      <c r="BW286" s="32">
        <f t="shared" si="739"/>
        <v>794</v>
      </c>
      <c r="BX286" s="32">
        <f>+SUM(BX287:BX292)</f>
        <v>794</v>
      </c>
      <c r="BY286" s="32">
        <f>+SUM(BY287:BY292)</f>
        <v>0</v>
      </c>
      <c r="BZ286" s="32">
        <f t="shared" si="740"/>
        <v>313</v>
      </c>
      <c r="CA286" s="32">
        <f>+SUM(CA287:CA292)</f>
        <v>313</v>
      </c>
      <c r="CB286" s="32">
        <f>+SUM(CB287:CB292)</f>
        <v>0</v>
      </c>
      <c r="CC286" s="32">
        <f t="shared" si="741"/>
        <v>372</v>
      </c>
      <c r="CD286" s="32">
        <f>+SUM(CD287:CD292)</f>
        <v>372</v>
      </c>
      <c r="CE286" s="32">
        <f>+SUM(CE287:CE292)</f>
        <v>0</v>
      </c>
      <c r="CF286" s="32">
        <f t="shared" si="742"/>
        <v>204</v>
      </c>
      <c r="CG286" s="32">
        <f>+SUM(CG287:CG292)</f>
        <v>204</v>
      </c>
      <c r="CH286" s="32">
        <f>+SUM(CH287:CH292)</f>
        <v>1112.133</v>
      </c>
      <c r="CI286" s="32">
        <f t="shared" si="743"/>
        <v>1104.4000000000001</v>
      </c>
      <c r="CJ286" s="32">
        <f>+SUM(CJ287:CJ292)</f>
        <v>1104.4000000000001</v>
      </c>
      <c r="CK286" s="32">
        <f>+SUM(CK287:CK292)</f>
        <v>1673.2</v>
      </c>
      <c r="CL286" s="32">
        <f t="shared" si="744"/>
        <v>1673.2</v>
      </c>
      <c r="CM286" s="32">
        <f>+SUM(CM287:CM292)</f>
        <v>1673.2</v>
      </c>
      <c r="CN286" s="32">
        <f>+SUM(CN287:CN292)</f>
        <v>1785.4</v>
      </c>
      <c r="CO286" s="32">
        <f t="shared" si="745"/>
        <v>1884.7</v>
      </c>
      <c r="CP286" s="32">
        <f>+SUM(CP287:CP292)</f>
        <v>1884.7</v>
      </c>
      <c r="CQ286" s="32">
        <f>+SUM(CQ287:CQ292)</f>
        <v>2329.1</v>
      </c>
      <c r="CR286" s="32">
        <f t="shared" si="746"/>
        <v>2277.6999999999998</v>
      </c>
      <c r="CS286" s="32">
        <f>+SUM(CS287:CS292)</f>
        <v>2277.6999999999998</v>
      </c>
      <c r="CT286" s="32">
        <f>+SUM(CT287:CT292)</f>
        <v>3017.7</v>
      </c>
      <c r="CU286" s="32">
        <f t="shared" si="747"/>
        <v>3081</v>
      </c>
      <c r="CV286" s="32">
        <f>+SUM(CV287:CV292)</f>
        <v>3081</v>
      </c>
      <c r="CW286" s="32">
        <f>+SUM(CW287:CW292)</f>
        <v>3507.8</v>
      </c>
      <c r="CX286" s="32">
        <f t="shared" si="748"/>
        <v>3852.7</v>
      </c>
      <c r="CY286" s="32">
        <f>+SUM(CY287:CY292)</f>
        <v>3852.7</v>
      </c>
      <c r="CZ286" s="32">
        <f>+SUM(CZ287:CZ292)</f>
        <v>4124.8999999999996</v>
      </c>
      <c r="DA286" s="32">
        <f t="shared" si="749"/>
        <v>4160.6000000000004</v>
      </c>
      <c r="DB286" s="32">
        <f>+SUM(DB287:DB292)</f>
        <v>4160.6000000000004</v>
      </c>
      <c r="DC286" s="32">
        <f>+SUM(DC287:DC292)</f>
        <v>4107.7</v>
      </c>
      <c r="DD286" s="32">
        <f t="shared" si="750"/>
        <v>4242.2</v>
      </c>
      <c r="DE286" s="1061">
        <f>+SUM(DE287:DE292)</f>
        <v>4242.2</v>
      </c>
      <c r="DF286" s="32">
        <f>+SUM(DF287:DF292)</f>
        <v>4680.3999999999996</v>
      </c>
      <c r="DG286" s="32">
        <f t="shared" si="751"/>
        <v>5790.5</v>
      </c>
      <c r="DH286" s="1061">
        <f>+SUM(DH287:DH292)</f>
        <v>5790.5</v>
      </c>
      <c r="DI286" s="32">
        <f>+SUM(DI287:DI292)</f>
        <v>5680.2</v>
      </c>
      <c r="DJ286" s="32">
        <f t="shared" si="752"/>
        <v>5333.1</v>
      </c>
      <c r="DK286" s="1061">
        <f>+SUM(DK287:DK292)</f>
        <v>5333.1</v>
      </c>
      <c r="DL286" s="32">
        <f>+SUM(DL287:DL292)</f>
        <v>5196.8999999999996</v>
      </c>
      <c r="DM286" s="32">
        <f t="shared" ref="DM286:DM300" si="753">+DN286</f>
        <v>5163.8</v>
      </c>
      <c r="DN286" s="1061">
        <f>+SUM(DN287:DN292)</f>
        <v>5163.8</v>
      </c>
      <c r="DO286" s="32">
        <f>+SUM(DO287:DO292)</f>
        <v>10902.2</v>
      </c>
      <c r="DP286" s="32">
        <f t="shared" ref="DP286:DP300" si="754">+DQ286</f>
        <v>11172</v>
      </c>
      <c r="DQ286" s="1061">
        <f>+SUM(DQ287:DQ292)</f>
        <v>11172</v>
      </c>
      <c r="DR286" s="32">
        <f>+SUM(DR287:DR292)</f>
        <v>10687</v>
      </c>
      <c r="DS286" s="32">
        <f t="shared" ref="DS286:DS300" si="755">+DT286</f>
        <v>11239</v>
      </c>
      <c r="DT286" s="1061">
        <f>+SUM(DT287:DT292)</f>
        <v>11239</v>
      </c>
      <c r="DU286" s="32">
        <f>+SUM(DU287:DU292)</f>
        <v>9326</v>
      </c>
      <c r="DV286" s="32">
        <f t="shared" ref="DV286:DV300" si="756">+DW286</f>
        <v>10694</v>
      </c>
      <c r="DW286" s="1061">
        <f>+SUM(DW287:DW292)</f>
        <v>10694</v>
      </c>
      <c r="DX286" s="32">
        <f>+SUM(DX287:DX292)</f>
        <v>10421</v>
      </c>
      <c r="DY286" s="32">
        <f t="shared" ref="DY286:DY300" si="757">+DZ286</f>
        <v>10421</v>
      </c>
      <c r="DZ286" s="1061">
        <f>+SUM(DZ287:DZ292)</f>
        <v>10421</v>
      </c>
      <c r="EA286" s="32">
        <f>+SUM(EA287:EA292)</f>
        <v>10421</v>
      </c>
      <c r="EB286" s="32">
        <f t="shared" ref="EB286:EB300" si="758">+EC286</f>
        <v>10421</v>
      </c>
      <c r="EC286" s="1061">
        <f>+SUM(EC287:EC292)</f>
        <v>10421</v>
      </c>
      <c r="ED286" s="32">
        <f>+SUM(ED287:ED292)</f>
        <v>10421</v>
      </c>
      <c r="EE286" s="32">
        <f t="shared" ref="EE286:EE300" si="759">+EF286</f>
        <v>10421</v>
      </c>
      <c r="EF286" s="1061">
        <f>+SUM(EF287:EF292)</f>
        <v>10421</v>
      </c>
      <c r="EG286" s="32">
        <f>+SUM(EG287:EG292)</f>
        <v>10421</v>
      </c>
      <c r="EH286" s="32">
        <f t="shared" ref="EH286:EH300" si="760">+EI286</f>
        <v>10421</v>
      </c>
      <c r="EI286" s="1061">
        <f>+SUM(EI287:EI292)</f>
        <v>10421</v>
      </c>
      <c r="EJ286" s="32">
        <f>+SUM(EJ287:EJ292)</f>
        <v>10421</v>
      </c>
      <c r="EK286" s="32">
        <f t="shared" ref="EK286:EK300" si="761">+EL286</f>
        <v>10421</v>
      </c>
      <c r="EL286" s="1061">
        <f>+SUM(EL287:EL292)</f>
        <v>10421</v>
      </c>
      <c r="EM286" s="32">
        <f>+SUM(EM287:EM292)</f>
        <v>10421</v>
      </c>
      <c r="EN286" s="32">
        <f t="shared" ref="EN286:EN300" si="762">+EO286</f>
        <v>10421</v>
      </c>
      <c r="EO286" s="1061">
        <f>+SUM(EO287:EO292)</f>
        <v>10421</v>
      </c>
      <c r="EP286" s="32">
        <f>+SUM(EP287:EP292)</f>
        <v>10421</v>
      </c>
      <c r="EQ286" s="32">
        <f t="shared" ref="EQ286:EQ300" si="763">+ER286</f>
        <v>10421</v>
      </c>
      <c r="ER286" s="1061">
        <f>+SUM(ER287:ER292)</f>
        <v>10421</v>
      </c>
      <c r="ES286" s="32">
        <f>+SUM(ES287:ES292)</f>
        <v>10421</v>
      </c>
      <c r="ET286" s="32">
        <f t="shared" ref="ET286:ET300" si="764">+EU286</f>
        <v>10421</v>
      </c>
      <c r="EU286" s="1061">
        <f>+SUM(EU287:EU292)</f>
        <v>10421</v>
      </c>
      <c r="EV286" s="32">
        <f>+SUM(EV287:EV292)</f>
        <v>10421</v>
      </c>
      <c r="EW286" s="32">
        <f t="shared" ref="EW286:EW300" si="765">+EX286</f>
        <v>10421</v>
      </c>
      <c r="EX286" s="1061">
        <f>+SUM(EX287:EX292)</f>
        <v>10421</v>
      </c>
      <c r="EY286" s="32">
        <f>+SUM(EY287:EY292)</f>
        <v>10421</v>
      </c>
      <c r="EZ286" s="32">
        <f t="shared" ref="EZ286:EZ300" si="766">+FA286</f>
        <v>10421</v>
      </c>
      <c r="FA286" s="1061">
        <f>+SUM(FA287:FA292)</f>
        <v>10421</v>
      </c>
      <c r="FD286"/>
      <c r="FE286"/>
      <c r="FF286"/>
      <c r="FG286"/>
      <c r="FH286"/>
      <c r="FI286"/>
    </row>
    <row r="287" spans="2:169" s="33" customFormat="1" outlineLevel="1">
      <c r="B287" s="54" t="s">
        <v>54</v>
      </c>
      <c r="C287" s="2"/>
      <c r="D287" s="2" t="s">
        <v>506</v>
      </c>
      <c r="E287" s="1183"/>
      <c r="F287" s="1192">
        <f t="shared" si="716"/>
        <v>0</v>
      </c>
      <c r="G287" s="1215"/>
      <c r="H287" s="1185"/>
      <c r="I287" s="1192">
        <f t="shared" si="717"/>
        <v>0</v>
      </c>
      <c r="J287" s="1215"/>
      <c r="K287" s="1185"/>
      <c r="L287" s="1192">
        <f t="shared" si="718"/>
        <v>0</v>
      </c>
      <c r="M287" s="1215"/>
      <c r="N287" s="1185"/>
      <c r="O287" s="1192">
        <f t="shared" si="719"/>
        <v>0</v>
      </c>
      <c r="P287" s="1215"/>
      <c r="Q287" s="1185"/>
      <c r="R287" s="1192">
        <f t="shared" si="720"/>
        <v>0</v>
      </c>
      <c r="S287" s="1255"/>
      <c r="T287" s="1185"/>
      <c r="U287" s="1192">
        <f t="shared" si="721"/>
        <v>0</v>
      </c>
      <c r="V287" s="1215"/>
      <c r="W287" s="1185"/>
      <c r="X287" s="1192">
        <f t="shared" si="722"/>
        <v>0</v>
      </c>
      <c r="Y287" s="1215"/>
      <c r="Z287" s="1185"/>
      <c r="AA287" s="1192">
        <f t="shared" si="723"/>
        <v>0</v>
      </c>
      <c r="AB287" s="1215"/>
      <c r="AC287" s="1185"/>
      <c r="AD287" s="1192">
        <f t="shared" si="724"/>
        <v>0</v>
      </c>
      <c r="AE287" s="1215"/>
      <c r="AF287" s="1185"/>
      <c r="AG287" s="1192">
        <f t="shared" si="725"/>
        <v>0</v>
      </c>
      <c r="AH287" s="1215"/>
      <c r="AI287" s="1185"/>
      <c r="AJ287" s="1192">
        <f t="shared" si="726"/>
        <v>0</v>
      </c>
      <c r="AK287" s="1215"/>
      <c r="AL287" s="1185"/>
      <c r="AM287" s="1192">
        <f t="shared" si="727"/>
        <v>0</v>
      </c>
      <c r="AN287" s="1215"/>
      <c r="AO287" s="1185"/>
      <c r="AP287" s="1192">
        <f t="shared" si="728"/>
        <v>0</v>
      </c>
      <c r="AQ287" s="1215"/>
      <c r="AR287" s="1185"/>
      <c r="AS287" s="1192">
        <f t="shared" si="729"/>
        <v>0</v>
      </c>
      <c r="AT287" s="1215"/>
      <c r="AU287" s="1185"/>
      <c r="AV287" s="1192">
        <f t="shared" si="730"/>
        <v>0</v>
      </c>
      <c r="AW287" s="1215"/>
      <c r="AX287" s="1185"/>
      <c r="AY287" s="1192">
        <f t="shared" si="731"/>
        <v>0</v>
      </c>
      <c r="AZ287" s="1215"/>
      <c r="BA287" s="1185"/>
      <c r="BB287" s="1192">
        <f t="shared" si="732"/>
        <v>0</v>
      </c>
      <c r="BC287" s="1215"/>
      <c r="BD287" s="1185"/>
      <c r="BE287" s="1192">
        <f t="shared" si="733"/>
        <v>0</v>
      </c>
      <c r="BF287" s="1215"/>
      <c r="BG287" s="1185"/>
      <c r="BH287" s="1192">
        <f t="shared" si="734"/>
        <v>0</v>
      </c>
      <c r="BI287" s="1215"/>
      <c r="BJ287" s="1185"/>
      <c r="BK287" s="1192">
        <f t="shared" si="735"/>
        <v>0</v>
      </c>
      <c r="BL287" s="1215"/>
      <c r="BM287" s="1185"/>
      <c r="BN287" s="1192">
        <f t="shared" si="736"/>
        <v>0</v>
      </c>
      <c r="BO287" s="1215"/>
      <c r="BP287" s="1185"/>
      <c r="BQ287" s="1192">
        <f t="shared" si="737"/>
        <v>0</v>
      </c>
      <c r="BR287" s="1215"/>
      <c r="BS287" s="1185"/>
      <c r="BT287" s="1192">
        <f t="shared" si="738"/>
        <v>0</v>
      </c>
      <c r="BU287" s="1215"/>
      <c r="BV287" s="1185"/>
      <c r="BW287" s="1192">
        <f t="shared" si="739"/>
        <v>794</v>
      </c>
      <c r="BX287" s="1245">
        <v>794</v>
      </c>
      <c r="BY287" s="1185"/>
      <c r="BZ287" s="1192">
        <f t="shared" si="740"/>
        <v>313</v>
      </c>
      <c r="CA287" s="1245">
        <v>313</v>
      </c>
      <c r="CB287" s="1185"/>
      <c r="CC287" s="1192">
        <f t="shared" si="741"/>
        <v>372</v>
      </c>
      <c r="CD287" s="1245">
        <v>372</v>
      </c>
      <c r="CE287" s="1185"/>
      <c r="CF287" s="1192">
        <f t="shared" si="742"/>
        <v>204</v>
      </c>
      <c r="CG287" s="1245">
        <v>204</v>
      </c>
      <c r="CH287" s="1198">
        <v>1112.133</v>
      </c>
      <c r="CI287" s="1192">
        <f t="shared" si="743"/>
        <v>1104.4000000000001</v>
      </c>
      <c r="CJ287" s="1245">
        <v>1104.4000000000001</v>
      </c>
      <c r="CK287" s="1198">
        <v>1673.2</v>
      </c>
      <c r="CL287" s="1192">
        <f t="shared" si="744"/>
        <v>1673.2</v>
      </c>
      <c r="CM287" s="1245">
        <v>1673.2</v>
      </c>
      <c r="CN287" s="1198">
        <v>1785.4</v>
      </c>
      <c r="CO287" s="1192">
        <f t="shared" si="745"/>
        <v>1884.7</v>
      </c>
      <c r="CP287" s="1245">
        <v>1884.7</v>
      </c>
      <c r="CQ287" s="1198">
        <v>2329.1</v>
      </c>
      <c r="CR287" s="1192">
        <f t="shared" si="746"/>
        <v>2277.6999999999998</v>
      </c>
      <c r="CS287" s="1245">
        <v>2277.6999999999998</v>
      </c>
      <c r="CT287" s="1198">
        <v>3017.7</v>
      </c>
      <c r="CU287" s="1192">
        <f t="shared" si="747"/>
        <v>3081</v>
      </c>
      <c r="CV287" s="1245">
        <v>3081</v>
      </c>
      <c r="CW287" s="1198">
        <v>3507.8</v>
      </c>
      <c r="CX287" s="1192">
        <f t="shared" si="748"/>
        <v>3852.7</v>
      </c>
      <c r="CY287" s="1245">
        <v>3852.7</v>
      </c>
      <c r="CZ287" s="1185">
        <v>4124.8999999999996</v>
      </c>
      <c r="DA287" s="1192">
        <f t="shared" si="749"/>
        <v>4160.6000000000004</v>
      </c>
      <c r="DB287" s="1215">
        <v>4160.6000000000004</v>
      </c>
      <c r="DC287" s="1185">
        <v>4107.7</v>
      </c>
      <c r="DD287" s="1192">
        <f t="shared" si="750"/>
        <v>4242.2</v>
      </c>
      <c r="DE287" s="1560">
        <v>4242.2</v>
      </c>
      <c r="DF287" s="1561">
        <v>4680.3999999999996</v>
      </c>
      <c r="DG287" s="1542">
        <f t="shared" si="751"/>
        <v>5790.5</v>
      </c>
      <c r="DH287" s="1562">
        <v>5790.5</v>
      </c>
      <c r="DI287" s="1543">
        <v>5680.2</v>
      </c>
      <c r="DJ287" s="1542">
        <f t="shared" si="752"/>
        <v>5333.1</v>
      </c>
      <c r="DK287" s="1562">
        <v>5333.1</v>
      </c>
      <c r="DL287" s="1530">
        <v>5196.8999999999996</v>
      </c>
      <c r="DM287" s="1530">
        <f t="shared" si="753"/>
        <v>5163.8</v>
      </c>
      <c r="DN287" s="1531">
        <v>5163.8</v>
      </c>
      <c r="DO287" s="1558">
        <v>10902.2</v>
      </c>
      <c r="DP287" s="1530">
        <f t="shared" si="754"/>
        <v>11172</v>
      </c>
      <c r="DQ287" s="1532">
        <v>11172</v>
      </c>
      <c r="DR287" s="1558">
        <v>10687</v>
      </c>
      <c r="DS287" s="1530">
        <f t="shared" si="755"/>
        <v>11239</v>
      </c>
      <c r="DT287" s="1532">
        <v>11239</v>
      </c>
      <c r="DU287" s="1558">
        <v>9326</v>
      </c>
      <c r="DV287" s="1530">
        <f t="shared" si="756"/>
        <v>10694</v>
      </c>
      <c r="DW287" s="1532">
        <v>10694</v>
      </c>
      <c r="DX287" s="1558">
        <v>10421</v>
      </c>
      <c r="DY287" s="32">
        <f>DX287+DY210</f>
        <v>10421</v>
      </c>
      <c r="DZ287" s="1061">
        <f>+DY287</f>
        <v>10421</v>
      </c>
      <c r="EA287" s="32">
        <f>DZ287+EA210</f>
        <v>10421</v>
      </c>
      <c r="EB287" s="32">
        <f>EA287+EB210</f>
        <v>10421</v>
      </c>
      <c r="EC287" s="1061">
        <f>+EB287</f>
        <v>10421</v>
      </c>
      <c r="ED287" s="32">
        <f>EC287</f>
        <v>10421</v>
      </c>
      <c r="EE287" s="32">
        <f t="shared" si="759"/>
        <v>10421</v>
      </c>
      <c r="EF287" s="1061">
        <f>ED287</f>
        <v>10421</v>
      </c>
      <c r="EG287" s="32">
        <f>EF287</f>
        <v>10421</v>
      </c>
      <c r="EH287" s="32">
        <f t="shared" si="760"/>
        <v>10421</v>
      </c>
      <c r="EI287" s="1061">
        <f>EG287</f>
        <v>10421</v>
      </c>
      <c r="EJ287" s="32">
        <f>EI287</f>
        <v>10421</v>
      </c>
      <c r="EK287" s="32">
        <f t="shared" si="761"/>
        <v>10421</v>
      </c>
      <c r="EL287" s="1061">
        <f>EJ287</f>
        <v>10421</v>
      </c>
      <c r="EM287" s="32">
        <f>EL287</f>
        <v>10421</v>
      </c>
      <c r="EN287" s="32">
        <f t="shared" si="762"/>
        <v>10421</v>
      </c>
      <c r="EO287" s="1061">
        <f>EM287</f>
        <v>10421</v>
      </c>
      <c r="EP287" s="32">
        <f>EO287</f>
        <v>10421</v>
      </c>
      <c r="EQ287" s="32">
        <f t="shared" si="763"/>
        <v>10421</v>
      </c>
      <c r="ER287" s="1061">
        <f>EP287</f>
        <v>10421</v>
      </c>
      <c r="ES287" s="32">
        <f>ER287</f>
        <v>10421</v>
      </c>
      <c r="ET287" s="32">
        <f t="shared" si="764"/>
        <v>10421</v>
      </c>
      <c r="EU287" s="1061">
        <f>ES287</f>
        <v>10421</v>
      </c>
      <c r="EV287" s="32">
        <f>EU287</f>
        <v>10421</v>
      </c>
      <c r="EW287" s="32">
        <f t="shared" si="765"/>
        <v>10421</v>
      </c>
      <c r="EX287" s="1061">
        <f>EV287</f>
        <v>10421</v>
      </c>
      <c r="EY287" s="32">
        <f>EX287</f>
        <v>10421</v>
      </c>
      <c r="EZ287" s="32">
        <f t="shared" si="766"/>
        <v>10421</v>
      </c>
      <c r="FA287" s="1061">
        <f>EY287</f>
        <v>10421</v>
      </c>
      <c r="FD287"/>
      <c r="FE287"/>
      <c r="FF287"/>
      <c r="FG287"/>
      <c r="FH287"/>
      <c r="FI287"/>
    </row>
    <row r="288" spans="2:169" s="33" customFormat="1" outlineLevel="1">
      <c r="B288" s="54" t="s">
        <v>55</v>
      </c>
      <c r="C288" s="2"/>
      <c r="D288" s="2" t="s">
        <v>506</v>
      </c>
      <c r="E288" s="1205"/>
      <c r="F288" s="32">
        <f t="shared" si="716"/>
        <v>0</v>
      </c>
      <c r="G288" s="1214"/>
      <c r="H288" s="1207"/>
      <c r="I288" s="32">
        <f t="shared" si="717"/>
        <v>0</v>
      </c>
      <c r="J288" s="1214"/>
      <c r="K288" s="1207"/>
      <c r="L288" s="32">
        <f t="shared" si="718"/>
        <v>0</v>
      </c>
      <c r="M288" s="1214"/>
      <c r="N288" s="1207"/>
      <c r="O288" s="32">
        <f t="shared" si="719"/>
        <v>0</v>
      </c>
      <c r="P288" s="1214"/>
      <c r="Q288" s="1207"/>
      <c r="R288" s="32">
        <f t="shared" si="720"/>
        <v>0</v>
      </c>
      <c r="S288" s="1260"/>
      <c r="T288" s="1207"/>
      <c r="U288" s="32">
        <f t="shared" si="721"/>
        <v>0</v>
      </c>
      <c r="V288" s="1214"/>
      <c r="W288" s="1207"/>
      <c r="X288" s="32">
        <f t="shared" si="722"/>
        <v>0</v>
      </c>
      <c r="Y288" s="1214"/>
      <c r="Z288" s="1207"/>
      <c r="AA288" s="32">
        <f t="shared" si="723"/>
        <v>0</v>
      </c>
      <c r="AB288" s="1214"/>
      <c r="AC288" s="1207"/>
      <c r="AD288" s="32">
        <f t="shared" si="724"/>
        <v>0</v>
      </c>
      <c r="AE288" s="1214"/>
      <c r="AF288" s="1207"/>
      <c r="AG288" s="32">
        <f t="shared" si="725"/>
        <v>0</v>
      </c>
      <c r="AH288" s="1214"/>
      <c r="AI288" s="1207"/>
      <c r="AJ288" s="32">
        <f t="shared" si="726"/>
        <v>0</v>
      </c>
      <c r="AK288" s="1214"/>
      <c r="AL288" s="1207"/>
      <c r="AM288" s="32">
        <f t="shared" si="727"/>
        <v>0</v>
      </c>
      <c r="AN288" s="1214"/>
      <c r="AO288" s="1207"/>
      <c r="AP288" s="32">
        <f t="shared" si="728"/>
        <v>0</v>
      </c>
      <c r="AQ288" s="1214"/>
      <c r="AR288" s="1207"/>
      <c r="AS288" s="32">
        <f t="shared" si="729"/>
        <v>0</v>
      </c>
      <c r="AT288" s="1214"/>
      <c r="AU288" s="1207"/>
      <c r="AV288" s="32">
        <f t="shared" si="730"/>
        <v>0</v>
      </c>
      <c r="AW288" s="1214"/>
      <c r="AX288" s="1207"/>
      <c r="AY288" s="32">
        <f t="shared" si="731"/>
        <v>0</v>
      </c>
      <c r="AZ288" s="1214"/>
      <c r="BA288" s="1207"/>
      <c r="BB288" s="32">
        <f t="shared" si="732"/>
        <v>0</v>
      </c>
      <c r="BC288" s="1214"/>
      <c r="BD288" s="1207"/>
      <c r="BE288" s="32">
        <f t="shared" si="733"/>
        <v>0</v>
      </c>
      <c r="BF288" s="1214"/>
      <c r="BG288" s="1207"/>
      <c r="BH288" s="32">
        <f t="shared" si="734"/>
        <v>0</v>
      </c>
      <c r="BI288" s="1214"/>
      <c r="BJ288" s="1207"/>
      <c r="BK288" s="32">
        <f t="shared" si="735"/>
        <v>0</v>
      </c>
      <c r="BL288" s="1214"/>
      <c r="BM288" s="1207"/>
      <c r="BN288" s="32">
        <f t="shared" si="736"/>
        <v>0</v>
      </c>
      <c r="BO288" s="1214"/>
      <c r="BP288" s="1207"/>
      <c r="BQ288" s="32">
        <f t="shared" si="737"/>
        <v>0</v>
      </c>
      <c r="BR288" s="1214"/>
      <c r="BS288" s="1207"/>
      <c r="BT288" s="32">
        <f t="shared" si="738"/>
        <v>0</v>
      </c>
      <c r="BU288" s="1214"/>
      <c r="BV288" s="1207"/>
      <c r="BW288" s="32">
        <f t="shared" si="739"/>
        <v>0</v>
      </c>
      <c r="BX288" s="1214">
        <f>BV288</f>
        <v>0</v>
      </c>
      <c r="BY288" s="1207"/>
      <c r="BZ288" s="32">
        <f t="shared" si="740"/>
        <v>0</v>
      </c>
      <c r="CA288" s="1214">
        <f>BY288</f>
        <v>0</v>
      </c>
      <c r="CB288" s="1207"/>
      <c r="CC288" s="32">
        <f t="shared" si="741"/>
        <v>0</v>
      </c>
      <c r="CD288" s="1214">
        <f>CB288</f>
        <v>0</v>
      </c>
      <c r="CE288" s="1207"/>
      <c r="CF288" s="32">
        <f t="shared" si="742"/>
        <v>0</v>
      </c>
      <c r="CG288" s="1214">
        <f>CE288</f>
        <v>0</v>
      </c>
      <c r="CH288" s="1207">
        <f>CG288</f>
        <v>0</v>
      </c>
      <c r="CI288" s="32">
        <f t="shared" si="743"/>
        <v>0</v>
      </c>
      <c r="CJ288" s="1214">
        <f>CH288</f>
        <v>0</v>
      </c>
      <c r="CK288" s="1207">
        <f>CJ288</f>
        <v>0</v>
      </c>
      <c r="CL288" s="32">
        <f t="shared" si="744"/>
        <v>0</v>
      </c>
      <c r="CM288" s="1214">
        <f>CK288</f>
        <v>0</v>
      </c>
      <c r="CN288" s="1207">
        <f>CM288</f>
        <v>0</v>
      </c>
      <c r="CO288" s="32">
        <f t="shared" si="745"/>
        <v>0</v>
      </c>
      <c r="CP288" s="1214">
        <f>CN288</f>
        <v>0</v>
      </c>
      <c r="CQ288" s="1207">
        <f>CP288</f>
        <v>0</v>
      </c>
      <c r="CR288" s="32">
        <f t="shared" si="746"/>
        <v>0</v>
      </c>
      <c r="CS288" s="1214">
        <f>CQ288</f>
        <v>0</v>
      </c>
      <c r="CT288" s="1207">
        <f>CS288</f>
        <v>0</v>
      </c>
      <c r="CU288" s="32">
        <f t="shared" si="747"/>
        <v>0</v>
      </c>
      <c r="CV288" s="1214">
        <f>CT288</f>
        <v>0</v>
      </c>
      <c r="CW288" s="1207">
        <f>CV288</f>
        <v>0</v>
      </c>
      <c r="CX288" s="32">
        <f t="shared" si="748"/>
        <v>0</v>
      </c>
      <c r="CY288" s="1214">
        <f>CW288</f>
        <v>0</v>
      </c>
      <c r="CZ288" s="1207">
        <f>CY288</f>
        <v>0</v>
      </c>
      <c r="DA288" s="32">
        <f t="shared" si="749"/>
        <v>0</v>
      </c>
      <c r="DB288" s="1214">
        <f>CZ288</f>
        <v>0</v>
      </c>
      <c r="DC288" s="1207">
        <f>DB288</f>
        <v>0</v>
      </c>
      <c r="DD288" s="32">
        <f t="shared" si="750"/>
        <v>0</v>
      </c>
      <c r="DE288" s="1219">
        <f>DC288</f>
        <v>0</v>
      </c>
      <c r="DF288" s="1207">
        <f>DE288</f>
        <v>0</v>
      </c>
      <c r="DG288" s="32">
        <f t="shared" si="751"/>
        <v>0</v>
      </c>
      <c r="DH288" s="1219">
        <f>DF288</f>
        <v>0</v>
      </c>
      <c r="DI288" s="1207">
        <f>DH288</f>
        <v>0</v>
      </c>
      <c r="DJ288" s="32">
        <f t="shared" si="752"/>
        <v>0</v>
      </c>
      <c r="DK288" s="1219">
        <f>DI288</f>
        <v>0</v>
      </c>
      <c r="DL288" s="32">
        <f>DK288</f>
        <v>0</v>
      </c>
      <c r="DM288" s="32">
        <f t="shared" si="753"/>
        <v>0</v>
      </c>
      <c r="DN288" s="1061">
        <f>DL288</f>
        <v>0</v>
      </c>
      <c r="DO288" s="32">
        <f>DN288</f>
        <v>0</v>
      </c>
      <c r="DP288" s="32">
        <f t="shared" si="754"/>
        <v>0</v>
      </c>
      <c r="DQ288" s="1061">
        <f>DO288</f>
        <v>0</v>
      </c>
      <c r="DR288" s="32">
        <f>DQ288</f>
        <v>0</v>
      </c>
      <c r="DS288" s="32">
        <f t="shared" si="755"/>
        <v>0</v>
      </c>
      <c r="DT288" s="1061">
        <f>DR288</f>
        <v>0</v>
      </c>
      <c r="DU288" s="32">
        <f>DT288</f>
        <v>0</v>
      </c>
      <c r="DV288" s="32">
        <f t="shared" si="756"/>
        <v>0</v>
      </c>
      <c r="DW288" s="1061">
        <f>DU288</f>
        <v>0</v>
      </c>
      <c r="DX288" s="32">
        <f>DW288</f>
        <v>0</v>
      </c>
      <c r="DY288" s="32">
        <f t="shared" si="757"/>
        <v>0</v>
      </c>
      <c r="DZ288" s="1061">
        <f>DX288</f>
        <v>0</v>
      </c>
      <c r="EA288" s="32">
        <f>DZ288</f>
        <v>0</v>
      </c>
      <c r="EB288" s="32">
        <f t="shared" si="758"/>
        <v>0</v>
      </c>
      <c r="EC288" s="1061">
        <f>EA288</f>
        <v>0</v>
      </c>
      <c r="ED288" s="32">
        <f>EC288</f>
        <v>0</v>
      </c>
      <c r="EE288" s="32">
        <f t="shared" si="759"/>
        <v>0</v>
      </c>
      <c r="EF288" s="1061">
        <f>ED288</f>
        <v>0</v>
      </c>
      <c r="EG288" s="32">
        <f>EF288</f>
        <v>0</v>
      </c>
      <c r="EH288" s="32">
        <f t="shared" si="760"/>
        <v>0</v>
      </c>
      <c r="EI288" s="1061">
        <f>EG288</f>
        <v>0</v>
      </c>
      <c r="EJ288" s="32">
        <f>EI288</f>
        <v>0</v>
      </c>
      <c r="EK288" s="32">
        <f t="shared" si="761"/>
        <v>0</v>
      </c>
      <c r="EL288" s="1061">
        <f>EJ288</f>
        <v>0</v>
      </c>
      <c r="EM288" s="32">
        <f>EL288</f>
        <v>0</v>
      </c>
      <c r="EN288" s="32">
        <f t="shared" si="762"/>
        <v>0</v>
      </c>
      <c r="EO288" s="1061">
        <f>EM288</f>
        <v>0</v>
      </c>
      <c r="EP288" s="32">
        <f>EO288</f>
        <v>0</v>
      </c>
      <c r="EQ288" s="32">
        <f t="shared" si="763"/>
        <v>0</v>
      </c>
      <c r="ER288" s="1061">
        <f>EP288</f>
        <v>0</v>
      </c>
      <c r="ES288" s="32">
        <f>ER288</f>
        <v>0</v>
      </c>
      <c r="ET288" s="32">
        <f t="shared" si="764"/>
        <v>0</v>
      </c>
      <c r="EU288" s="1061">
        <f>ES288</f>
        <v>0</v>
      </c>
      <c r="EV288" s="32">
        <f>EU288</f>
        <v>0</v>
      </c>
      <c r="EW288" s="32">
        <f t="shared" si="765"/>
        <v>0</v>
      </c>
      <c r="EX288" s="1061">
        <f>EV288</f>
        <v>0</v>
      </c>
      <c r="EY288" s="32">
        <f>EX288</f>
        <v>0</v>
      </c>
      <c r="EZ288" s="32">
        <f t="shared" si="766"/>
        <v>0</v>
      </c>
      <c r="FA288" s="1061">
        <f>EY288</f>
        <v>0</v>
      </c>
      <c r="FD288"/>
      <c r="FE288"/>
      <c r="FF288"/>
      <c r="FG288"/>
      <c r="FH288"/>
      <c r="FI288"/>
    </row>
    <row r="289" spans="1:169" s="33" customFormat="1" outlineLevel="1">
      <c r="B289" s="54" t="s">
        <v>164</v>
      </c>
      <c r="C289" s="2"/>
      <c r="D289" s="2" t="s">
        <v>506</v>
      </c>
      <c r="E289" s="1205"/>
      <c r="F289" s="32">
        <f t="shared" si="716"/>
        <v>0</v>
      </c>
      <c r="G289" s="1214"/>
      <c r="H289" s="1207"/>
      <c r="I289" s="32">
        <f t="shared" si="717"/>
        <v>0</v>
      </c>
      <c r="J289" s="1214"/>
      <c r="K289" s="1207"/>
      <c r="L289" s="32">
        <f t="shared" si="718"/>
        <v>0</v>
      </c>
      <c r="M289" s="1214"/>
      <c r="N289" s="1207"/>
      <c r="O289" s="32">
        <f t="shared" si="719"/>
        <v>0</v>
      </c>
      <c r="P289" s="1214"/>
      <c r="Q289" s="1207"/>
      <c r="R289" s="32">
        <f t="shared" si="720"/>
        <v>0</v>
      </c>
      <c r="S289" s="1260"/>
      <c r="T289" s="1207"/>
      <c r="U289" s="32">
        <f t="shared" si="721"/>
        <v>0</v>
      </c>
      <c r="V289" s="1214"/>
      <c r="W289" s="1207"/>
      <c r="X289" s="32">
        <f t="shared" si="722"/>
        <v>0</v>
      </c>
      <c r="Y289" s="1214"/>
      <c r="Z289" s="1207"/>
      <c r="AA289" s="32">
        <f t="shared" si="723"/>
        <v>0</v>
      </c>
      <c r="AB289" s="1214"/>
      <c r="AC289" s="1207"/>
      <c r="AD289" s="32">
        <f t="shared" si="724"/>
        <v>0</v>
      </c>
      <c r="AE289" s="1214"/>
      <c r="AF289" s="1207"/>
      <c r="AG289" s="32">
        <f t="shared" si="725"/>
        <v>0</v>
      </c>
      <c r="AH289" s="1214"/>
      <c r="AI289" s="1207"/>
      <c r="AJ289" s="32">
        <f t="shared" si="726"/>
        <v>0</v>
      </c>
      <c r="AK289" s="1214"/>
      <c r="AL289" s="1207"/>
      <c r="AM289" s="32">
        <f t="shared" si="727"/>
        <v>0</v>
      </c>
      <c r="AN289" s="1214"/>
      <c r="AO289" s="1207"/>
      <c r="AP289" s="32">
        <f t="shared" si="728"/>
        <v>0</v>
      </c>
      <c r="AQ289" s="1214"/>
      <c r="AR289" s="1207"/>
      <c r="AS289" s="32">
        <f t="shared" si="729"/>
        <v>0</v>
      </c>
      <c r="AT289" s="1214"/>
      <c r="AU289" s="1207"/>
      <c r="AV289" s="32">
        <f t="shared" si="730"/>
        <v>0</v>
      </c>
      <c r="AW289" s="1214"/>
      <c r="AX289" s="1207"/>
      <c r="AY289" s="32">
        <f t="shared" si="731"/>
        <v>0</v>
      </c>
      <c r="AZ289" s="1214"/>
      <c r="BA289" s="1207"/>
      <c r="BB289" s="32">
        <f t="shared" si="732"/>
        <v>0</v>
      </c>
      <c r="BC289" s="1214"/>
      <c r="BD289" s="1207"/>
      <c r="BE289" s="32">
        <f t="shared" si="733"/>
        <v>0</v>
      </c>
      <c r="BF289" s="1214"/>
      <c r="BG289" s="1207"/>
      <c r="BH289" s="32">
        <f t="shared" si="734"/>
        <v>0</v>
      </c>
      <c r="BI289" s="1214"/>
      <c r="BJ289" s="1207"/>
      <c r="BK289" s="32">
        <f t="shared" si="735"/>
        <v>0</v>
      </c>
      <c r="BL289" s="1214"/>
      <c r="BM289" s="1207"/>
      <c r="BN289" s="32">
        <f t="shared" si="736"/>
        <v>0</v>
      </c>
      <c r="BO289" s="1214"/>
      <c r="BP289" s="1207"/>
      <c r="BQ289" s="32">
        <f t="shared" si="737"/>
        <v>0</v>
      </c>
      <c r="BR289" s="1214"/>
      <c r="BS289" s="1207"/>
      <c r="BT289" s="32">
        <f t="shared" si="738"/>
        <v>0</v>
      </c>
      <c r="BU289" s="1214"/>
      <c r="BV289" s="1207"/>
      <c r="BW289" s="32">
        <f t="shared" si="739"/>
        <v>0</v>
      </c>
      <c r="BX289" s="1214">
        <f>BV289</f>
        <v>0</v>
      </c>
      <c r="BY289" s="1207"/>
      <c r="BZ289" s="32">
        <f t="shared" si="740"/>
        <v>0</v>
      </c>
      <c r="CA289" s="1214">
        <f>BY289</f>
        <v>0</v>
      </c>
      <c r="CB289" s="1207"/>
      <c r="CC289" s="32">
        <f t="shared" si="741"/>
        <v>0</v>
      </c>
      <c r="CD289" s="1214">
        <f>CB289</f>
        <v>0</v>
      </c>
      <c r="CE289" s="1207"/>
      <c r="CF289" s="32">
        <f t="shared" si="742"/>
        <v>0</v>
      </c>
      <c r="CG289" s="1214">
        <f>CE289</f>
        <v>0</v>
      </c>
      <c r="CH289" s="1207">
        <f>CG289</f>
        <v>0</v>
      </c>
      <c r="CI289" s="32">
        <f t="shared" si="743"/>
        <v>0</v>
      </c>
      <c r="CJ289" s="1214">
        <f>CH289</f>
        <v>0</v>
      </c>
      <c r="CK289" s="1207">
        <f>CJ289</f>
        <v>0</v>
      </c>
      <c r="CL289" s="32">
        <f t="shared" si="744"/>
        <v>0</v>
      </c>
      <c r="CM289" s="1214">
        <f>CK289</f>
        <v>0</v>
      </c>
      <c r="CN289" s="1207">
        <f>CM289</f>
        <v>0</v>
      </c>
      <c r="CO289" s="32">
        <f t="shared" si="745"/>
        <v>0</v>
      </c>
      <c r="CP289" s="1214">
        <f>CN289</f>
        <v>0</v>
      </c>
      <c r="CQ289" s="1207">
        <f>CP289</f>
        <v>0</v>
      </c>
      <c r="CR289" s="32">
        <f t="shared" si="746"/>
        <v>0</v>
      </c>
      <c r="CS289" s="1214">
        <f>CQ289</f>
        <v>0</v>
      </c>
      <c r="CT289" s="1207">
        <f>CS289</f>
        <v>0</v>
      </c>
      <c r="CU289" s="32">
        <f t="shared" si="747"/>
        <v>0</v>
      </c>
      <c r="CV289" s="1214">
        <f>CT289</f>
        <v>0</v>
      </c>
      <c r="CW289" s="1207">
        <f>CV289</f>
        <v>0</v>
      </c>
      <c r="CX289" s="32">
        <f t="shared" si="748"/>
        <v>0</v>
      </c>
      <c r="CY289" s="1214">
        <f>CW289</f>
        <v>0</v>
      </c>
      <c r="CZ289" s="1207">
        <f>CY289</f>
        <v>0</v>
      </c>
      <c r="DA289" s="32">
        <f t="shared" si="749"/>
        <v>0</v>
      </c>
      <c r="DB289" s="1214">
        <f>CZ289</f>
        <v>0</v>
      </c>
      <c r="DC289" s="1207">
        <f>DB289</f>
        <v>0</v>
      </c>
      <c r="DD289" s="32">
        <f t="shared" si="750"/>
        <v>0</v>
      </c>
      <c r="DE289" s="1219">
        <f>DC289</f>
        <v>0</v>
      </c>
      <c r="DF289" s="1207">
        <f>DE289</f>
        <v>0</v>
      </c>
      <c r="DG289" s="32">
        <f t="shared" si="751"/>
        <v>0</v>
      </c>
      <c r="DH289" s="1219">
        <f>DF289</f>
        <v>0</v>
      </c>
      <c r="DI289" s="1207">
        <f>DH289</f>
        <v>0</v>
      </c>
      <c r="DJ289" s="32">
        <f t="shared" si="752"/>
        <v>0</v>
      </c>
      <c r="DK289" s="1219">
        <f>DI289</f>
        <v>0</v>
      </c>
      <c r="DL289" s="32">
        <f>DK289</f>
        <v>0</v>
      </c>
      <c r="DM289" s="32">
        <f t="shared" si="753"/>
        <v>0</v>
      </c>
      <c r="DN289" s="1061">
        <f>DL289</f>
        <v>0</v>
      </c>
      <c r="DO289" s="32">
        <f>DN289</f>
        <v>0</v>
      </c>
      <c r="DP289" s="32">
        <f t="shared" si="754"/>
        <v>0</v>
      </c>
      <c r="DQ289" s="1061">
        <f>DO289</f>
        <v>0</v>
      </c>
      <c r="DR289" s="32">
        <f>DQ289</f>
        <v>0</v>
      </c>
      <c r="DS289" s="32">
        <f t="shared" si="755"/>
        <v>0</v>
      </c>
      <c r="DT289" s="1061">
        <f>DR289</f>
        <v>0</v>
      </c>
      <c r="DU289" s="32">
        <f>DT289</f>
        <v>0</v>
      </c>
      <c r="DV289" s="32">
        <f t="shared" si="756"/>
        <v>0</v>
      </c>
      <c r="DW289" s="1061">
        <f>DU289</f>
        <v>0</v>
      </c>
      <c r="DX289" s="32">
        <f>DW289</f>
        <v>0</v>
      </c>
      <c r="DY289" s="32">
        <f t="shared" si="757"/>
        <v>0</v>
      </c>
      <c r="DZ289" s="1061">
        <f>DX289</f>
        <v>0</v>
      </c>
      <c r="EA289" s="32">
        <f>DZ289</f>
        <v>0</v>
      </c>
      <c r="EB289" s="32">
        <f t="shared" si="758"/>
        <v>0</v>
      </c>
      <c r="EC289" s="1061">
        <f>EA289</f>
        <v>0</v>
      </c>
      <c r="ED289" s="32">
        <f>EC289</f>
        <v>0</v>
      </c>
      <c r="EE289" s="32">
        <f t="shared" si="759"/>
        <v>0</v>
      </c>
      <c r="EF289" s="1061">
        <f>ED289</f>
        <v>0</v>
      </c>
      <c r="EG289" s="32">
        <f>EF289</f>
        <v>0</v>
      </c>
      <c r="EH289" s="32">
        <f t="shared" si="760"/>
        <v>0</v>
      </c>
      <c r="EI289" s="1061">
        <f>EG289</f>
        <v>0</v>
      </c>
      <c r="EJ289" s="32">
        <f>EI289</f>
        <v>0</v>
      </c>
      <c r="EK289" s="32">
        <f t="shared" si="761"/>
        <v>0</v>
      </c>
      <c r="EL289" s="1061">
        <f>EJ289</f>
        <v>0</v>
      </c>
      <c r="EM289" s="32">
        <f>EL289</f>
        <v>0</v>
      </c>
      <c r="EN289" s="32">
        <f t="shared" si="762"/>
        <v>0</v>
      </c>
      <c r="EO289" s="1061">
        <f>EM289</f>
        <v>0</v>
      </c>
      <c r="EP289" s="32">
        <f>EO289</f>
        <v>0</v>
      </c>
      <c r="EQ289" s="32">
        <f t="shared" si="763"/>
        <v>0</v>
      </c>
      <c r="ER289" s="1061">
        <f>EP289</f>
        <v>0</v>
      </c>
      <c r="ES289" s="32">
        <f>ER289</f>
        <v>0</v>
      </c>
      <c r="ET289" s="32">
        <f t="shared" si="764"/>
        <v>0</v>
      </c>
      <c r="EU289" s="1061">
        <f>ES289</f>
        <v>0</v>
      </c>
      <c r="EV289" s="32">
        <f>EU289</f>
        <v>0</v>
      </c>
      <c r="EW289" s="32">
        <f t="shared" si="765"/>
        <v>0</v>
      </c>
      <c r="EX289" s="1061">
        <f>EV289</f>
        <v>0</v>
      </c>
      <c r="EY289" s="32">
        <f>EX289</f>
        <v>0</v>
      </c>
      <c r="EZ289" s="32">
        <f t="shared" si="766"/>
        <v>0</v>
      </c>
      <c r="FA289" s="1061">
        <f>EY289</f>
        <v>0</v>
      </c>
      <c r="FD289"/>
      <c r="FE289"/>
      <c r="FF289"/>
      <c r="FG289"/>
      <c r="FH289"/>
      <c r="FI289"/>
    </row>
    <row r="290" spans="1:169" s="33" customFormat="1" outlineLevel="1">
      <c r="B290" s="54" t="s">
        <v>56</v>
      </c>
      <c r="C290" s="2"/>
      <c r="D290" s="2" t="s">
        <v>506</v>
      </c>
      <c r="E290" s="1205"/>
      <c r="F290" s="32">
        <f t="shared" si="716"/>
        <v>0</v>
      </c>
      <c r="G290" s="1214"/>
      <c r="H290" s="1207"/>
      <c r="I290" s="32">
        <f t="shared" si="717"/>
        <v>0</v>
      </c>
      <c r="J290" s="1214"/>
      <c r="K290" s="1207"/>
      <c r="L290" s="32">
        <f t="shared" si="718"/>
        <v>0</v>
      </c>
      <c r="M290" s="1214"/>
      <c r="N290" s="1207"/>
      <c r="O290" s="32">
        <f t="shared" si="719"/>
        <v>0</v>
      </c>
      <c r="P290" s="1214"/>
      <c r="Q290" s="1207"/>
      <c r="R290" s="32">
        <f t="shared" si="720"/>
        <v>0</v>
      </c>
      <c r="S290" s="1260"/>
      <c r="T290" s="1207"/>
      <c r="U290" s="32">
        <f t="shared" si="721"/>
        <v>0</v>
      </c>
      <c r="V290" s="1214"/>
      <c r="W290" s="1207"/>
      <c r="X290" s="32">
        <f t="shared" si="722"/>
        <v>0</v>
      </c>
      <c r="Y290" s="1214"/>
      <c r="Z290" s="1207"/>
      <c r="AA290" s="32">
        <f t="shared" si="723"/>
        <v>0</v>
      </c>
      <c r="AB290" s="1214"/>
      <c r="AC290" s="1207"/>
      <c r="AD290" s="32">
        <f t="shared" si="724"/>
        <v>0</v>
      </c>
      <c r="AE290" s="1214"/>
      <c r="AF290" s="1207"/>
      <c r="AG290" s="32">
        <f t="shared" si="725"/>
        <v>0</v>
      </c>
      <c r="AH290" s="1214"/>
      <c r="AI290" s="1207"/>
      <c r="AJ290" s="32">
        <f t="shared" si="726"/>
        <v>0</v>
      </c>
      <c r="AK290" s="1214"/>
      <c r="AL290" s="1207"/>
      <c r="AM290" s="32">
        <f t="shared" si="727"/>
        <v>0</v>
      </c>
      <c r="AN290" s="1214"/>
      <c r="AO290" s="1207"/>
      <c r="AP290" s="32">
        <f t="shared" si="728"/>
        <v>0</v>
      </c>
      <c r="AQ290" s="1214"/>
      <c r="AR290" s="1207"/>
      <c r="AS290" s="32">
        <f t="shared" si="729"/>
        <v>0</v>
      </c>
      <c r="AT290" s="1214"/>
      <c r="AU290" s="1207"/>
      <c r="AV290" s="32">
        <f t="shared" si="730"/>
        <v>0</v>
      </c>
      <c r="AW290" s="1214"/>
      <c r="AX290" s="1207"/>
      <c r="AY290" s="32">
        <f t="shared" si="731"/>
        <v>0</v>
      </c>
      <c r="AZ290" s="1214"/>
      <c r="BA290" s="1207"/>
      <c r="BB290" s="32">
        <f t="shared" si="732"/>
        <v>0</v>
      </c>
      <c r="BC290" s="1214"/>
      <c r="BD290" s="1207"/>
      <c r="BE290" s="32">
        <f t="shared" si="733"/>
        <v>0</v>
      </c>
      <c r="BF290" s="1214"/>
      <c r="BG290" s="1207"/>
      <c r="BH290" s="32">
        <f t="shared" si="734"/>
        <v>0</v>
      </c>
      <c r="BI290" s="1214"/>
      <c r="BJ290" s="1207"/>
      <c r="BK290" s="32">
        <f t="shared" si="735"/>
        <v>0</v>
      </c>
      <c r="BL290" s="1214"/>
      <c r="BM290" s="1207"/>
      <c r="BN290" s="32">
        <f t="shared" si="736"/>
        <v>0</v>
      </c>
      <c r="BO290" s="1214"/>
      <c r="BP290" s="1207"/>
      <c r="BQ290" s="32">
        <f t="shared" si="737"/>
        <v>0</v>
      </c>
      <c r="BR290" s="1214"/>
      <c r="BS290" s="1207"/>
      <c r="BT290" s="32">
        <f t="shared" si="738"/>
        <v>0</v>
      </c>
      <c r="BU290" s="1214"/>
      <c r="BV290" s="1207"/>
      <c r="BW290" s="32">
        <f t="shared" si="739"/>
        <v>0</v>
      </c>
      <c r="BX290" s="1214">
        <f>BV290</f>
        <v>0</v>
      </c>
      <c r="BY290" s="1207"/>
      <c r="BZ290" s="32">
        <f t="shared" si="740"/>
        <v>0</v>
      </c>
      <c r="CA290" s="1214">
        <f>BY290</f>
        <v>0</v>
      </c>
      <c r="CB290" s="1207"/>
      <c r="CC290" s="32">
        <f t="shared" si="741"/>
        <v>0</v>
      </c>
      <c r="CD290" s="1214">
        <f>CB290</f>
        <v>0</v>
      </c>
      <c r="CE290" s="1207"/>
      <c r="CF290" s="32">
        <f t="shared" si="742"/>
        <v>0</v>
      </c>
      <c r="CG290" s="1214">
        <f>CE290</f>
        <v>0</v>
      </c>
      <c r="CH290" s="1207">
        <f>CG290</f>
        <v>0</v>
      </c>
      <c r="CI290" s="32">
        <f t="shared" si="743"/>
        <v>0</v>
      </c>
      <c r="CJ290" s="1214">
        <f>CH290</f>
        <v>0</v>
      </c>
      <c r="CK290" s="1207">
        <f>CJ290</f>
        <v>0</v>
      </c>
      <c r="CL290" s="32">
        <f t="shared" si="744"/>
        <v>0</v>
      </c>
      <c r="CM290" s="1214">
        <f>CK290</f>
        <v>0</v>
      </c>
      <c r="CN290" s="1207">
        <f>CM290</f>
        <v>0</v>
      </c>
      <c r="CO290" s="32">
        <f t="shared" si="745"/>
        <v>0</v>
      </c>
      <c r="CP290" s="1214">
        <f>CN290</f>
        <v>0</v>
      </c>
      <c r="CQ290" s="1207">
        <f>CP290</f>
        <v>0</v>
      </c>
      <c r="CR290" s="32">
        <f t="shared" si="746"/>
        <v>0</v>
      </c>
      <c r="CS290" s="1214">
        <f>CQ290</f>
        <v>0</v>
      </c>
      <c r="CT290" s="1207">
        <f>CS290</f>
        <v>0</v>
      </c>
      <c r="CU290" s="32">
        <f t="shared" si="747"/>
        <v>0</v>
      </c>
      <c r="CV290" s="1214">
        <f>CT290</f>
        <v>0</v>
      </c>
      <c r="CW290" s="1207">
        <f>CV290</f>
        <v>0</v>
      </c>
      <c r="CX290" s="32">
        <f t="shared" si="748"/>
        <v>0</v>
      </c>
      <c r="CY290" s="1214">
        <f>CW290</f>
        <v>0</v>
      </c>
      <c r="CZ290" s="1207">
        <f>CY290</f>
        <v>0</v>
      </c>
      <c r="DA290" s="32">
        <f t="shared" si="749"/>
        <v>0</v>
      </c>
      <c r="DB290" s="1214">
        <f>CZ290</f>
        <v>0</v>
      </c>
      <c r="DC290" s="1207">
        <f>DB290</f>
        <v>0</v>
      </c>
      <c r="DD290" s="32">
        <f t="shared" si="750"/>
        <v>0</v>
      </c>
      <c r="DE290" s="1219">
        <f>DC290</f>
        <v>0</v>
      </c>
      <c r="DF290" s="1207">
        <f>DE290</f>
        <v>0</v>
      </c>
      <c r="DG290" s="32">
        <f t="shared" si="751"/>
        <v>0</v>
      </c>
      <c r="DH290" s="1219">
        <f>DF290</f>
        <v>0</v>
      </c>
      <c r="DI290" s="1207">
        <f>DH290</f>
        <v>0</v>
      </c>
      <c r="DJ290" s="32">
        <f t="shared" si="752"/>
        <v>0</v>
      </c>
      <c r="DK290" s="1219">
        <f>DI290</f>
        <v>0</v>
      </c>
      <c r="DL290" s="32">
        <f>DK290</f>
        <v>0</v>
      </c>
      <c r="DM290" s="32">
        <f t="shared" si="753"/>
        <v>0</v>
      </c>
      <c r="DN290" s="1061">
        <f>DL290</f>
        <v>0</v>
      </c>
      <c r="DO290" s="32">
        <f>DN290</f>
        <v>0</v>
      </c>
      <c r="DP290" s="32">
        <f t="shared" si="754"/>
        <v>0</v>
      </c>
      <c r="DQ290" s="1061">
        <f>DO290</f>
        <v>0</v>
      </c>
      <c r="DR290" s="32">
        <f>DQ290</f>
        <v>0</v>
      </c>
      <c r="DS290" s="32">
        <f t="shared" si="755"/>
        <v>0</v>
      </c>
      <c r="DT290" s="1061">
        <f>DR290</f>
        <v>0</v>
      </c>
      <c r="DU290" s="32">
        <f>DT290</f>
        <v>0</v>
      </c>
      <c r="DV290" s="32">
        <f t="shared" si="756"/>
        <v>0</v>
      </c>
      <c r="DW290" s="1061">
        <f>DU290</f>
        <v>0</v>
      </c>
      <c r="DX290" s="32">
        <f>DW290</f>
        <v>0</v>
      </c>
      <c r="DY290" s="32">
        <f t="shared" si="757"/>
        <v>0</v>
      </c>
      <c r="DZ290" s="1061">
        <f>DX290</f>
        <v>0</v>
      </c>
      <c r="EA290" s="32">
        <f>DZ290</f>
        <v>0</v>
      </c>
      <c r="EB290" s="32">
        <f t="shared" si="758"/>
        <v>0</v>
      </c>
      <c r="EC290" s="1061">
        <f>EA290</f>
        <v>0</v>
      </c>
      <c r="ED290" s="32">
        <f>EC290</f>
        <v>0</v>
      </c>
      <c r="EE290" s="32">
        <f t="shared" si="759"/>
        <v>0</v>
      </c>
      <c r="EF290" s="1061">
        <f>ED290</f>
        <v>0</v>
      </c>
      <c r="EG290" s="32">
        <f>EF290</f>
        <v>0</v>
      </c>
      <c r="EH290" s="32">
        <f t="shared" si="760"/>
        <v>0</v>
      </c>
      <c r="EI290" s="1061">
        <f>EG290</f>
        <v>0</v>
      </c>
      <c r="EJ290" s="32">
        <f>EI290</f>
        <v>0</v>
      </c>
      <c r="EK290" s="32">
        <f t="shared" si="761"/>
        <v>0</v>
      </c>
      <c r="EL290" s="1061">
        <f>EJ290</f>
        <v>0</v>
      </c>
      <c r="EM290" s="32">
        <f>EL290</f>
        <v>0</v>
      </c>
      <c r="EN290" s="32">
        <f t="shared" si="762"/>
        <v>0</v>
      </c>
      <c r="EO290" s="1061">
        <f>EM290</f>
        <v>0</v>
      </c>
      <c r="EP290" s="32">
        <f>EO290</f>
        <v>0</v>
      </c>
      <c r="EQ290" s="32">
        <f t="shared" si="763"/>
        <v>0</v>
      </c>
      <c r="ER290" s="1061">
        <f>EP290</f>
        <v>0</v>
      </c>
      <c r="ES290" s="32">
        <f>ER290</f>
        <v>0</v>
      </c>
      <c r="ET290" s="32">
        <f t="shared" si="764"/>
        <v>0</v>
      </c>
      <c r="EU290" s="1061">
        <f>ES290</f>
        <v>0</v>
      </c>
      <c r="EV290" s="32">
        <f>EU290</f>
        <v>0</v>
      </c>
      <c r="EW290" s="32">
        <f t="shared" si="765"/>
        <v>0</v>
      </c>
      <c r="EX290" s="1061">
        <f>EV290</f>
        <v>0</v>
      </c>
      <c r="EY290" s="32">
        <f>EX290</f>
        <v>0</v>
      </c>
      <c r="EZ290" s="32">
        <f t="shared" si="766"/>
        <v>0</v>
      </c>
      <c r="FA290" s="1061">
        <f>EY290</f>
        <v>0</v>
      </c>
      <c r="FD290"/>
      <c r="FE290"/>
      <c r="FF290"/>
      <c r="FG290"/>
      <c r="FH290"/>
      <c r="FI290"/>
    </row>
    <row r="291" spans="1:169" s="33" customFormat="1" outlineLevel="1">
      <c r="B291" s="54" t="s">
        <v>165</v>
      </c>
      <c r="C291" s="2"/>
      <c r="D291" s="2" t="s">
        <v>506</v>
      </c>
      <c r="E291" s="1205"/>
      <c r="F291" s="32">
        <f t="shared" si="716"/>
        <v>0</v>
      </c>
      <c r="G291" s="1214"/>
      <c r="H291" s="1207"/>
      <c r="I291" s="32">
        <f t="shared" si="717"/>
        <v>0</v>
      </c>
      <c r="J291" s="1214"/>
      <c r="K291" s="1207"/>
      <c r="L291" s="32">
        <f t="shared" si="718"/>
        <v>0</v>
      </c>
      <c r="M291" s="1214"/>
      <c r="N291" s="1207"/>
      <c r="O291" s="32">
        <f t="shared" si="719"/>
        <v>0</v>
      </c>
      <c r="P291" s="1214"/>
      <c r="Q291" s="1207"/>
      <c r="R291" s="32">
        <f t="shared" si="720"/>
        <v>0</v>
      </c>
      <c r="S291" s="1260"/>
      <c r="T291" s="1207"/>
      <c r="U291" s="32">
        <f t="shared" si="721"/>
        <v>0</v>
      </c>
      <c r="V291" s="1214"/>
      <c r="W291" s="1207"/>
      <c r="X291" s="32">
        <f t="shared" si="722"/>
        <v>0</v>
      </c>
      <c r="Y291" s="1214"/>
      <c r="Z291" s="1207"/>
      <c r="AA291" s="32">
        <f t="shared" si="723"/>
        <v>0</v>
      </c>
      <c r="AB291" s="1214"/>
      <c r="AC291" s="1207"/>
      <c r="AD291" s="32">
        <f t="shared" si="724"/>
        <v>0</v>
      </c>
      <c r="AE291" s="1214"/>
      <c r="AF291" s="1207"/>
      <c r="AG291" s="32">
        <f t="shared" si="725"/>
        <v>0</v>
      </c>
      <c r="AH291" s="1214"/>
      <c r="AI291" s="1207"/>
      <c r="AJ291" s="32">
        <f t="shared" si="726"/>
        <v>0</v>
      </c>
      <c r="AK291" s="1214"/>
      <c r="AL291" s="1207"/>
      <c r="AM291" s="32">
        <f t="shared" si="727"/>
        <v>0</v>
      </c>
      <c r="AN291" s="1214"/>
      <c r="AO291" s="1207"/>
      <c r="AP291" s="32">
        <f t="shared" si="728"/>
        <v>0</v>
      </c>
      <c r="AQ291" s="1214"/>
      <c r="AR291" s="1207"/>
      <c r="AS291" s="32">
        <f t="shared" si="729"/>
        <v>0</v>
      </c>
      <c r="AT291" s="1214"/>
      <c r="AU291" s="1207"/>
      <c r="AV291" s="32">
        <f t="shared" si="730"/>
        <v>0</v>
      </c>
      <c r="AW291" s="1214"/>
      <c r="AX291" s="1207"/>
      <c r="AY291" s="32">
        <f t="shared" si="731"/>
        <v>0</v>
      </c>
      <c r="AZ291" s="1214"/>
      <c r="BA291" s="1207"/>
      <c r="BB291" s="32">
        <f t="shared" si="732"/>
        <v>0</v>
      </c>
      <c r="BC291" s="1214"/>
      <c r="BD291" s="1207"/>
      <c r="BE291" s="32">
        <f t="shared" si="733"/>
        <v>0</v>
      </c>
      <c r="BF291" s="1214"/>
      <c r="BG291" s="1207"/>
      <c r="BH291" s="32">
        <f t="shared" si="734"/>
        <v>0</v>
      </c>
      <c r="BI291" s="1214"/>
      <c r="BJ291" s="1207"/>
      <c r="BK291" s="32">
        <f t="shared" si="735"/>
        <v>0</v>
      </c>
      <c r="BL291" s="1214"/>
      <c r="BM291" s="1207"/>
      <c r="BN291" s="32">
        <f t="shared" si="736"/>
        <v>0</v>
      </c>
      <c r="BO291" s="1214"/>
      <c r="BP291" s="1207"/>
      <c r="BQ291" s="32">
        <f t="shared" si="737"/>
        <v>0</v>
      </c>
      <c r="BR291" s="1214"/>
      <c r="BS291" s="1207"/>
      <c r="BT291" s="32">
        <f t="shared" si="738"/>
        <v>0</v>
      </c>
      <c r="BU291" s="1214"/>
      <c r="BV291" s="1207"/>
      <c r="BW291" s="32" t="str">
        <f t="shared" si="739"/>
        <v/>
      </c>
      <c r="BX291" s="1214" t="str">
        <f>IF(BX5="A","",+BU286+BX210-BX477-BX287-BX288-BX289-BX290-BX292)</f>
        <v/>
      </c>
      <c r="BY291" s="1207"/>
      <c r="BZ291" s="32">
        <f t="shared" si="740"/>
        <v>0</v>
      </c>
      <c r="CA291" s="1217">
        <v>0</v>
      </c>
      <c r="CB291" s="1207"/>
      <c r="CC291" s="32" t="str">
        <f t="shared" si="741"/>
        <v/>
      </c>
      <c r="CD291" s="1214" t="str">
        <f>IF(CD5="A","",+CA286+CD210-CD477-CD287-CD288-CD289-CD290-CD292)</f>
        <v/>
      </c>
      <c r="CE291" s="1207"/>
      <c r="CF291" s="32">
        <f t="shared" si="742"/>
        <v>0</v>
      </c>
      <c r="CG291" s="1214"/>
      <c r="CH291" s="1207" t="str">
        <f>IF(CH5="A","",+CG286+CH210-CH477-CH287-CH288-CH289-CH290-CH292)</f>
        <v/>
      </c>
      <c r="CI291" s="32" t="str">
        <f t="shared" si="743"/>
        <v/>
      </c>
      <c r="CJ291" s="1214" t="str">
        <f>IF(CJ5="A","",+CG286+CJ210-CJ477-CJ287-CJ288-CJ289-CJ290-CJ292)</f>
        <v/>
      </c>
      <c r="CK291" s="1207" t="str">
        <f>IF(CK5="A","",+CJ286+CK210-CK477-CK287-CK288-CK289-CK290-CK292)</f>
        <v/>
      </c>
      <c r="CL291" s="32" t="str">
        <f t="shared" si="744"/>
        <v/>
      </c>
      <c r="CM291" s="1214" t="str">
        <f>IF(CM5="A","",+CJ286+CM210-CM477-CM287-CM288-CM289-CM290-CM292)</f>
        <v/>
      </c>
      <c r="CN291" s="1207" t="str">
        <f>IF(CN5="A","",+CM286+CN210-CN477-CN287-CN288-CN289-CN290-CN292)</f>
        <v/>
      </c>
      <c r="CO291" s="32" t="str">
        <f t="shared" si="745"/>
        <v/>
      </c>
      <c r="CP291" s="1214" t="str">
        <f>IF(CP5="A","",+CM286+CP210-CP477-CP287-CP288-CP289-CP290-CP292)</f>
        <v/>
      </c>
      <c r="CQ291" s="1207" t="str">
        <f>IF(CQ5="A","",+CP286+CQ210-CQ477-CQ287-CQ288-CQ289-CQ290-CQ292)</f>
        <v/>
      </c>
      <c r="CR291" s="32" t="str">
        <f t="shared" si="746"/>
        <v/>
      </c>
      <c r="CS291" s="1214" t="str">
        <f>IF(CS5="A","",+CP286+CS210-CS477-CS287-CS288-CS289-CS290-CS292)</f>
        <v/>
      </c>
      <c r="CT291" s="1207"/>
      <c r="CU291" s="32" t="str">
        <f t="shared" si="747"/>
        <v/>
      </c>
      <c r="CV291" s="1214" t="str">
        <f>IF(CV5="A","",+CS286+CV210-CV477-CV287-CV288-CV289-CV290-CV292)</f>
        <v/>
      </c>
      <c r="CW291" s="1207" t="str">
        <f>IF(CW5="A","",+CV286+CW210-CW477-CW287-CW288-CW289-CW290-CW292)</f>
        <v/>
      </c>
      <c r="CX291" s="32" t="str">
        <f t="shared" si="748"/>
        <v/>
      </c>
      <c r="CY291" s="1214" t="str">
        <f>IF(CY5="A","",+CV286+CY210-CY477-CY287-CY288-CY289-CY290-CY292)</f>
        <v/>
      </c>
      <c r="CZ291" s="1207">
        <v>0</v>
      </c>
      <c r="DA291" s="32">
        <f t="shared" si="749"/>
        <v>0</v>
      </c>
      <c r="DB291" s="1214">
        <v>0</v>
      </c>
      <c r="DC291" s="1207">
        <v>0</v>
      </c>
      <c r="DD291" s="32" t="str">
        <f t="shared" si="750"/>
        <v/>
      </c>
      <c r="DE291" s="1219" t="str">
        <f>IF(DE5="A","",+DB286+DE210-DE477-DE287-DE288-DE289-DE290-DE292)</f>
        <v/>
      </c>
      <c r="DF291" s="1207">
        <v>0</v>
      </c>
      <c r="DG291" s="32">
        <f t="shared" si="751"/>
        <v>0</v>
      </c>
      <c r="DH291" s="1219"/>
      <c r="DI291" s="1207" t="str">
        <f>IF(DI5="A","",+DH286+DI210-DI477-DI287-DI288-DI289-DI290-DI292)</f>
        <v/>
      </c>
      <c r="DJ291" s="32" t="str">
        <f t="shared" si="752"/>
        <v/>
      </c>
      <c r="DK291" s="1219" t="str">
        <f>IF(DK5="A","",+DH286+DK210-DK477-DK287-DK288-DK289-DK290-DK292)</f>
        <v/>
      </c>
      <c r="DL291" s="32" t="str">
        <f>IF(DL5="A","",+DK286+DL210-DL477-DL287-DL288-DL289-DL290-DL292)</f>
        <v/>
      </c>
      <c r="DM291" s="32" t="str">
        <f t="shared" si="753"/>
        <v/>
      </c>
      <c r="DN291" s="1061" t="str">
        <f>IF(DN5="A","",+DK286+DN210-DN477-DN287-DN288-DN289-DN290-DN292)</f>
        <v/>
      </c>
      <c r="DO291" s="32" t="str">
        <f>IF(DO5="A","",+DN286+DO210-DO477-DO287-DO288-DO289-DO290-DO292)</f>
        <v/>
      </c>
      <c r="DP291" s="32">
        <f t="shared" si="754"/>
        <v>0</v>
      </c>
      <c r="DQ291" s="1061">
        <v>0</v>
      </c>
      <c r="DR291" s="32" t="str">
        <f>IF(DR5="A","",+DQ286+DR210-DR477-DR287-DR288-DR289-DR290-DR292)</f>
        <v/>
      </c>
      <c r="DS291" s="32" t="str">
        <f t="shared" si="755"/>
        <v/>
      </c>
      <c r="DT291" s="1061" t="str">
        <f>IF(DT5="A","",+DQ286+DT210-DT477-DT287-DT288-DT289-DT290-DT292)</f>
        <v/>
      </c>
      <c r="DU291" s="32">
        <v>0</v>
      </c>
      <c r="DV291" s="32">
        <v>0</v>
      </c>
      <c r="DW291" s="32">
        <v>0</v>
      </c>
      <c r="DX291" s="32">
        <v>0</v>
      </c>
      <c r="DY291" s="32">
        <f t="shared" ref="DY291:FA291" si="767">DX291</f>
        <v>0</v>
      </c>
      <c r="DZ291" s="1061">
        <f t="shared" si="767"/>
        <v>0</v>
      </c>
      <c r="EA291" s="32">
        <f t="shared" si="767"/>
        <v>0</v>
      </c>
      <c r="EB291" s="32">
        <f t="shared" si="767"/>
        <v>0</v>
      </c>
      <c r="EC291" s="1061">
        <f t="shared" si="767"/>
        <v>0</v>
      </c>
      <c r="ED291" s="32">
        <f t="shared" si="767"/>
        <v>0</v>
      </c>
      <c r="EE291" s="32">
        <f t="shared" si="767"/>
        <v>0</v>
      </c>
      <c r="EF291" s="1061">
        <f t="shared" si="767"/>
        <v>0</v>
      </c>
      <c r="EG291" s="32">
        <f t="shared" si="767"/>
        <v>0</v>
      </c>
      <c r="EH291" s="32">
        <f t="shared" si="767"/>
        <v>0</v>
      </c>
      <c r="EI291" s="1061">
        <f t="shared" si="767"/>
        <v>0</v>
      </c>
      <c r="EJ291" s="32">
        <f t="shared" si="767"/>
        <v>0</v>
      </c>
      <c r="EK291" s="32">
        <f t="shared" si="767"/>
        <v>0</v>
      </c>
      <c r="EL291" s="1061">
        <f t="shared" si="767"/>
        <v>0</v>
      </c>
      <c r="EM291" s="32">
        <f t="shared" si="767"/>
        <v>0</v>
      </c>
      <c r="EN291" s="32">
        <f t="shared" si="767"/>
        <v>0</v>
      </c>
      <c r="EO291" s="1061">
        <f t="shared" si="767"/>
        <v>0</v>
      </c>
      <c r="EP291" s="32">
        <f t="shared" si="767"/>
        <v>0</v>
      </c>
      <c r="EQ291" s="32">
        <f t="shared" si="767"/>
        <v>0</v>
      </c>
      <c r="ER291" s="1061">
        <f t="shared" si="767"/>
        <v>0</v>
      </c>
      <c r="ES291" s="32">
        <f t="shared" si="767"/>
        <v>0</v>
      </c>
      <c r="ET291" s="32">
        <f t="shared" si="767"/>
        <v>0</v>
      </c>
      <c r="EU291" s="1061">
        <f t="shared" si="767"/>
        <v>0</v>
      </c>
      <c r="EV291" s="32">
        <f t="shared" si="767"/>
        <v>0</v>
      </c>
      <c r="EW291" s="32">
        <f t="shared" si="767"/>
        <v>0</v>
      </c>
      <c r="EX291" s="1061">
        <f t="shared" si="767"/>
        <v>0</v>
      </c>
      <c r="EY291" s="32">
        <f t="shared" si="767"/>
        <v>0</v>
      </c>
      <c r="EZ291" s="32">
        <f t="shared" si="767"/>
        <v>0</v>
      </c>
      <c r="FA291" s="1061">
        <f t="shared" si="767"/>
        <v>0</v>
      </c>
      <c r="FD291"/>
      <c r="FE291"/>
      <c r="FF291"/>
      <c r="FG291"/>
      <c r="FH291"/>
      <c r="FI291"/>
    </row>
    <row r="292" spans="1:169" s="33" customFormat="1" ht="13.5" outlineLevel="1" thickBot="1">
      <c r="B292" s="54" t="s">
        <v>166</v>
      </c>
      <c r="C292" s="2"/>
      <c r="D292" s="2" t="s">
        <v>506</v>
      </c>
      <c r="E292" s="1188"/>
      <c r="F292" s="32">
        <f t="shared" si="716"/>
        <v>0</v>
      </c>
      <c r="G292" s="1247"/>
      <c r="H292" s="1190"/>
      <c r="I292" s="32">
        <f t="shared" si="717"/>
        <v>0</v>
      </c>
      <c r="J292" s="1247"/>
      <c r="K292" s="1190"/>
      <c r="L292" s="32">
        <f t="shared" si="718"/>
        <v>0</v>
      </c>
      <c r="M292" s="1247"/>
      <c r="N292" s="1190"/>
      <c r="O292" s="32">
        <f t="shared" si="719"/>
        <v>0</v>
      </c>
      <c r="P292" s="1247"/>
      <c r="Q292" s="1190"/>
      <c r="R292" s="32">
        <f t="shared" si="720"/>
        <v>0</v>
      </c>
      <c r="S292" s="1257"/>
      <c r="T292" s="1190"/>
      <c r="U292" s="32">
        <f t="shared" si="721"/>
        <v>0</v>
      </c>
      <c r="V292" s="1247"/>
      <c r="W292" s="1190"/>
      <c r="X292" s="32">
        <f t="shared" si="722"/>
        <v>0</v>
      </c>
      <c r="Y292" s="1247"/>
      <c r="Z292" s="1190"/>
      <c r="AA292" s="32">
        <f t="shared" si="723"/>
        <v>0</v>
      </c>
      <c r="AB292" s="1247"/>
      <c r="AC292" s="1190"/>
      <c r="AD292" s="32">
        <f t="shared" si="724"/>
        <v>0</v>
      </c>
      <c r="AE292" s="1247"/>
      <c r="AF292" s="1190"/>
      <c r="AG292" s="32">
        <f t="shared" si="725"/>
        <v>0</v>
      </c>
      <c r="AH292" s="1247"/>
      <c r="AI292" s="1190"/>
      <c r="AJ292" s="32">
        <f t="shared" si="726"/>
        <v>0</v>
      </c>
      <c r="AK292" s="1247"/>
      <c r="AL292" s="1190"/>
      <c r="AM292" s="32">
        <f t="shared" si="727"/>
        <v>0</v>
      </c>
      <c r="AN292" s="1247"/>
      <c r="AO292" s="1190"/>
      <c r="AP292" s="32">
        <f t="shared" si="728"/>
        <v>0</v>
      </c>
      <c r="AQ292" s="1247"/>
      <c r="AR292" s="1190"/>
      <c r="AS292" s="32">
        <f t="shared" si="729"/>
        <v>0</v>
      </c>
      <c r="AT292" s="1247"/>
      <c r="AU292" s="1190"/>
      <c r="AV292" s="32">
        <f t="shared" si="730"/>
        <v>0</v>
      </c>
      <c r="AW292" s="1247"/>
      <c r="AX292" s="1190"/>
      <c r="AY292" s="32">
        <f t="shared" si="731"/>
        <v>0</v>
      </c>
      <c r="AZ292" s="1247"/>
      <c r="BA292" s="1190"/>
      <c r="BB292" s="32">
        <f t="shared" si="732"/>
        <v>0</v>
      </c>
      <c r="BC292" s="1247"/>
      <c r="BD292" s="1190"/>
      <c r="BE292" s="32">
        <f t="shared" si="733"/>
        <v>0</v>
      </c>
      <c r="BF292" s="1247"/>
      <c r="BG292" s="1190"/>
      <c r="BH292" s="32">
        <f t="shared" si="734"/>
        <v>0</v>
      </c>
      <c r="BI292" s="1247"/>
      <c r="BJ292" s="1190"/>
      <c r="BK292" s="32">
        <f t="shared" si="735"/>
        <v>0</v>
      </c>
      <c r="BL292" s="1247"/>
      <c r="BM292" s="1190"/>
      <c r="BN292" s="32">
        <f t="shared" si="736"/>
        <v>0</v>
      </c>
      <c r="BO292" s="1247"/>
      <c r="BP292" s="1190"/>
      <c r="BQ292" s="32">
        <f t="shared" si="737"/>
        <v>0</v>
      </c>
      <c r="BR292" s="1247"/>
      <c r="BS292" s="1190"/>
      <c r="BT292" s="32">
        <f t="shared" si="738"/>
        <v>0</v>
      </c>
      <c r="BU292" s="1247"/>
      <c r="BV292" s="1190"/>
      <c r="BW292" s="32">
        <f t="shared" si="739"/>
        <v>0</v>
      </c>
      <c r="BX292" s="1247">
        <f>BV292</f>
        <v>0</v>
      </c>
      <c r="BY292" s="1190"/>
      <c r="BZ292" s="32">
        <f t="shared" si="740"/>
        <v>0</v>
      </c>
      <c r="CA292" s="1247">
        <f>BY292</f>
        <v>0</v>
      </c>
      <c r="CB292" s="1190"/>
      <c r="CC292" s="32">
        <f t="shared" si="741"/>
        <v>0</v>
      </c>
      <c r="CD292" s="1247">
        <f>CB292</f>
        <v>0</v>
      </c>
      <c r="CE292" s="1190"/>
      <c r="CF292" s="32">
        <f t="shared" si="742"/>
        <v>0</v>
      </c>
      <c r="CG292" s="1247">
        <f>CE292</f>
        <v>0</v>
      </c>
      <c r="CH292" s="1190">
        <f>CG292</f>
        <v>0</v>
      </c>
      <c r="CI292" s="32">
        <f t="shared" si="743"/>
        <v>0</v>
      </c>
      <c r="CJ292" s="1247">
        <f>CH292</f>
        <v>0</v>
      </c>
      <c r="CK292" s="1190">
        <f>CJ292</f>
        <v>0</v>
      </c>
      <c r="CL292" s="32">
        <f t="shared" si="744"/>
        <v>0</v>
      </c>
      <c r="CM292" s="1247">
        <f>CK292</f>
        <v>0</v>
      </c>
      <c r="CN292" s="1190">
        <f>CM292</f>
        <v>0</v>
      </c>
      <c r="CO292" s="32">
        <f t="shared" si="745"/>
        <v>0</v>
      </c>
      <c r="CP292" s="1247">
        <f>CN292</f>
        <v>0</v>
      </c>
      <c r="CQ292" s="1190">
        <f>CP292</f>
        <v>0</v>
      </c>
      <c r="CR292" s="32">
        <f t="shared" si="746"/>
        <v>0</v>
      </c>
      <c r="CS292" s="1247">
        <f>CQ292</f>
        <v>0</v>
      </c>
      <c r="CT292" s="1190">
        <f>CS292</f>
        <v>0</v>
      </c>
      <c r="CU292" s="32">
        <f t="shared" si="747"/>
        <v>0</v>
      </c>
      <c r="CV292" s="1247">
        <f>CT292</f>
        <v>0</v>
      </c>
      <c r="CW292" s="1190">
        <f>CV292</f>
        <v>0</v>
      </c>
      <c r="CX292" s="32">
        <f t="shared" si="748"/>
        <v>0</v>
      </c>
      <c r="CY292" s="1247">
        <f>CW292</f>
        <v>0</v>
      </c>
      <c r="CZ292" s="1190">
        <f>CY292</f>
        <v>0</v>
      </c>
      <c r="DA292" s="32">
        <f t="shared" si="749"/>
        <v>0</v>
      </c>
      <c r="DB292" s="1247">
        <f>CZ292</f>
        <v>0</v>
      </c>
      <c r="DC292" s="1190">
        <f>DB292</f>
        <v>0</v>
      </c>
      <c r="DD292" s="32">
        <f t="shared" si="750"/>
        <v>0</v>
      </c>
      <c r="DE292" s="1248">
        <f>DC292</f>
        <v>0</v>
      </c>
      <c r="DF292" s="1190">
        <v>0</v>
      </c>
      <c r="DG292" s="32">
        <f t="shared" si="751"/>
        <v>0</v>
      </c>
      <c r="DH292" s="1248">
        <f>DF292</f>
        <v>0</v>
      </c>
      <c r="DI292" s="1190">
        <f>DH292</f>
        <v>0</v>
      </c>
      <c r="DJ292" s="32">
        <f t="shared" si="752"/>
        <v>0</v>
      </c>
      <c r="DK292" s="1248">
        <f>DI292</f>
        <v>0</v>
      </c>
      <c r="DL292" s="32">
        <f>DK292</f>
        <v>0</v>
      </c>
      <c r="DM292" s="32">
        <f t="shared" si="753"/>
        <v>0</v>
      </c>
      <c r="DN292" s="1061">
        <f>DL292</f>
        <v>0</v>
      </c>
      <c r="DO292" s="32">
        <f>DN292</f>
        <v>0</v>
      </c>
      <c r="DP292" s="32">
        <f t="shared" si="754"/>
        <v>0</v>
      </c>
      <c r="DQ292" s="1061">
        <f>DO292</f>
        <v>0</v>
      </c>
      <c r="DR292" s="32">
        <f>DQ292</f>
        <v>0</v>
      </c>
      <c r="DS292" s="32">
        <f t="shared" si="755"/>
        <v>0</v>
      </c>
      <c r="DT292" s="1061">
        <f>DR292</f>
        <v>0</v>
      </c>
      <c r="DU292" s="32">
        <f>DT292</f>
        <v>0</v>
      </c>
      <c r="DV292" s="32">
        <f t="shared" si="756"/>
        <v>0</v>
      </c>
      <c r="DW292" s="1061">
        <f>DU292</f>
        <v>0</v>
      </c>
      <c r="DX292" s="32">
        <f>DW292</f>
        <v>0</v>
      </c>
      <c r="DY292" s="32">
        <f t="shared" si="757"/>
        <v>0</v>
      </c>
      <c r="DZ292" s="1061">
        <f>DX292</f>
        <v>0</v>
      </c>
      <c r="EA292" s="32">
        <f>DZ292</f>
        <v>0</v>
      </c>
      <c r="EB292" s="32">
        <f t="shared" si="758"/>
        <v>0</v>
      </c>
      <c r="EC292" s="1061">
        <f>EA292</f>
        <v>0</v>
      </c>
      <c r="ED292" s="32">
        <f>EC292</f>
        <v>0</v>
      </c>
      <c r="EE292" s="32">
        <f t="shared" si="759"/>
        <v>0</v>
      </c>
      <c r="EF292" s="1061">
        <f>ED292</f>
        <v>0</v>
      </c>
      <c r="EG292" s="32">
        <f>EF292</f>
        <v>0</v>
      </c>
      <c r="EH292" s="32">
        <f t="shared" si="760"/>
        <v>0</v>
      </c>
      <c r="EI292" s="1061">
        <f>EG292</f>
        <v>0</v>
      </c>
      <c r="EJ292" s="32">
        <f>EI292</f>
        <v>0</v>
      </c>
      <c r="EK292" s="32">
        <f t="shared" si="761"/>
        <v>0</v>
      </c>
      <c r="EL292" s="1061">
        <f>EJ292</f>
        <v>0</v>
      </c>
      <c r="EM292" s="32">
        <f>EL292</f>
        <v>0</v>
      </c>
      <c r="EN292" s="32">
        <f t="shared" si="762"/>
        <v>0</v>
      </c>
      <c r="EO292" s="1061">
        <f>EM292</f>
        <v>0</v>
      </c>
      <c r="EP292" s="32">
        <f>EO292</f>
        <v>0</v>
      </c>
      <c r="EQ292" s="32">
        <f t="shared" si="763"/>
        <v>0</v>
      </c>
      <c r="ER292" s="1061">
        <f>EP292</f>
        <v>0</v>
      </c>
      <c r="ES292" s="32">
        <f>ER292</f>
        <v>0</v>
      </c>
      <c r="ET292" s="32">
        <f t="shared" si="764"/>
        <v>0</v>
      </c>
      <c r="EU292" s="1061">
        <f>ES292</f>
        <v>0</v>
      </c>
      <c r="EV292" s="32">
        <f>EU292</f>
        <v>0</v>
      </c>
      <c r="EW292" s="32">
        <f t="shared" si="765"/>
        <v>0</v>
      </c>
      <c r="EX292" s="1061">
        <f>EV292</f>
        <v>0</v>
      </c>
      <c r="EY292" s="32">
        <f>EX292</f>
        <v>0</v>
      </c>
      <c r="EZ292" s="32">
        <f t="shared" si="766"/>
        <v>0</v>
      </c>
      <c r="FA292" s="1061">
        <f>EY292</f>
        <v>0</v>
      </c>
      <c r="FD292"/>
      <c r="FE292"/>
      <c r="FF292"/>
      <c r="FG292"/>
      <c r="FH292"/>
      <c r="FI292"/>
    </row>
    <row r="293" spans="1:169" s="33" customFormat="1" ht="13.5" thickBot="1">
      <c r="B293" s="1140" t="s">
        <v>167</v>
      </c>
      <c r="C293" s="2"/>
      <c r="D293" s="2" t="s">
        <v>506</v>
      </c>
      <c r="E293" s="32">
        <f>+SUM(E294:E297)</f>
        <v>0</v>
      </c>
      <c r="F293" s="32">
        <f t="shared" si="716"/>
        <v>0</v>
      </c>
      <c r="G293" s="32">
        <f>+SUM(G294:G297)</f>
        <v>0</v>
      </c>
      <c r="H293" s="32">
        <f>+SUM(H294:H297)</f>
        <v>0</v>
      </c>
      <c r="I293" s="32">
        <f t="shared" si="717"/>
        <v>0</v>
      </c>
      <c r="J293" s="32">
        <f>+SUM(J294:J297)</f>
        <v>0</v>
      </c>
      <c r="K293" s="32">
        <f>+SUM(K294:K297)</f>
        <v>0</v>
      </c>
      <c r="L293" s="32">
        <f t="shared" si="718"/>
        <v>0</v>
      </c>
      <c r="M293" s="32">
        <f>+SUM(M294:M297)</f>
        <v>0</v>
      </c>
      <c r="N293" s="32">
        <f>+SUM(N294:N297)</f>
        <v>0</v>
      </c>
      <c r="O293" s="32">
        <f t="shared" si="719"/>
        <v>0</v>
      </c>
      <c r="P293" s="32">
        <f>+SUM(P294:P297)</f>
        <v>0</v>
      </c>
      <c r="Q293" s="32">
        <f>+SUM(Q294:Q297)</f>
        <v>0</v>
      </c>
      <c r="R293" s="32">
        <f t="shared" si="720"/>
        <v>0</v>
      </c>
      <c r="S293" s="1254">
        <f>+SUM(S294:S297)</f>
        <v>0</v>
      </c>
      <c r="T293" s="32">
        <f>+SUM(T294:T297)</f>
        <v>0</v>
      </c>
      <c r="U293" s="32">
        <f t="shared" si="721"/>
        <v>0</v>
      </c>
      <c r="V293" s="32">
        <f>+SUM(V294:V297)</f>
        <v>0</v>
      </c>
      <c r="W293" s="32">
        <f>+SUM(W294:W297)</f>
        <v>0</v>
      </c>
      <c r="X293" s="32">
        <f t="shared" si="722"/>
        <v>0</v>
      </c>
      <c r="Y293" s="32">
        <f>+SUM(Y294:Y297)</f>
        <v>0</v>
      </c>
      <c r="Z293" s="32">
        <f>+SUM(Z294:Z297)</f>
        <v>0</v>
      </c>
      <c r="AA293" s="32">
        <f t="shared" si="723"/>
        <v>0</v>
      </c>
      <c r="AB293" s="32">
        <f>+SUM(AB294:AB297)</f>
        <v>0</v>
      </c>
      <c r="AC293" s="32">
        <f>+SUM(AC294:AC297)</f>
        <v>0</v>
      </c>
      <c r="AD293" s="32">
        <f t="shared" si="724"/>
        <v>0</v>
      </c>
      <c r="AE293" s="32">
        <f>+SUM(AE294:AE297)</f>
        <v>0</v>
      </c>
      <c r="AF293" s="32">
        <f>+SUM(AF294:AF297)</f>
        <v>0</v>
      </c>
      <c r="AG293" s="32">
        <f t="shared" si="725"/>
        <v>0</v>
      </c>
      <c r="AH293" s="32">
        <f>+SUM(AH294:AH297)</f>
        <v>0</v>
      </c>
      <c r="AI293" s="32">
        <f>+SUM(AI294:AI297)</f>
        <v>0</v>
      </c>
      <c r="AJ293" s="32">
        <f t="shared" si="726"/>
        <v>0</v>
      </c>
      <c r="AK293" s="32">
        <f>+SUM(AK294:AK297)</f>
        <v>0</v>
      </c>
      <c r="AL293" s="32">
        <f>+SUM(AL294:AL297)</f>
        <v>0</v>
      </c>
      <c r="AM293" s="32">
        <f t="shared" si="727"/>
        <v>0</v>
      </c>
      <c r="AN293" s="32">
        <f>+SUM(AN294:AN297)</f>
        <v>0</v>
      </c>
      <c r="AO293" s="32">
        <f>+SUM(AO294:AO297)</f>
        <v>0</v>
      </c>
      <c r="AP293" s="32">
        <f t="shared" si="728"/>
        <v>0</v>
      </c>
      <c r="AQ293" s="32">
        <f>+SUM(AQ294:AQ297)</f>
        <v>0</v>
      </c>
      <c r="AR293" s="32">
        <f>+SUM(AR294:AR297)</f>
        <v>0</v>
      </c>
      <c r="AS293" s="32">
        <f t="shared" si="729"/>
        <v>0</v>
      </c>
      <c r="AT293" s="32">
        <f>+SUM(AT294:AT297)</f>
        <v>0</v>
      </c>
      <c r="AU293" s="32">
        <f>+SUM(AU294:AU297)</f>
        <v>0</v>
      </c>
      <c r="AV293" s="32">
        <f t="shared" si="730"/>
        <v>0</v>
      </c>
      <c r="AW293" s="32">
        <f>+SUM(AW294:AW297)</f>
        <v>0</v>
      </c>
      <c r="AX293" s="32">
        <f>+SUM(AX294:AX297)</f>
        <v>0</v>
      </c>
      <c r="AY293" s="32">
        <f t="shared" si="731"/>
        <v>0</v>
      </c>
      <c r="AZ293" s="32">
        <f>+SUM(AZ294:AZ297)</f>
        <v>0</v>
      </c>
      <c r="BA293" s="32">
        <f>+SUM(BA294:BA297)</f>
        <v>0</v>
      </c>
      <c r="BB293" s="32">
        <f t="shared" si="732"/>
        <v>0</v>
      </c>
      <c r="BC293" s="32">
        <f>+SUM(BC294:BC297)</f>
        <v>0</v>
      </c>
      <c r="BD293" s="32">
        <f>+SUM(BD294:BD297)</f>
        <v>0</v>
      </c>
      <c r="BE293" s="32">
        <f t="shared" si="733"/>
        <v>0</v>
      </c>
      <c r="BF293" s="32">
        <f>+SUM(BF294:BF297)</f>
        <v>0</v>
      </c>
      <c r="BG293" s="32">
        <f>+SUM(BG294:BG297)</f>
        <v>0</v>
      </c>
      <c r="BH293" s="32">
        <f t="shared" si="734"/>
        <v>0</v>
      </c>
      <c r="BI293" s="32">
        <f>+SUM(BI294:BI297)</f>
        <v>0</v>
      </c>
      <c r="BJ293" s="32">
        <f>+SUM(BJ294:BJ297)</f>
        <v>0</v>
      </c>
      <c r="BK293" s="32">
        <f t="shared" si="735"/>
        <v>0</v>
      </c>
      <c r="BL293" s="32">
        <f>+SUM(BL294:BL297)</f>
        <v>0</v>
      </c>
      <c r="BM293" s="32">
        <f>+SUM(BM294:BM297)</f>
        <v>0</v>
      </c>
      <c r="BN293" s="32">
        <f t="shared" si="736"/>
        <v>0</v>
      </c>
      <c r="BO293" s="32">
        <f>+SUM(BO294:BO297)</f>
        <v>0</v>
      </c>
      <c r="BP293" s="32">
        <f>+SUM(BP294:BP297)</f>
        <v>0</v>
      </c>
      <c r="BQ293" s="32">
        <f t="shared" si="737"/>
        <v>0</v>
      </c>
      <c r="BR293" s="32">
        <f>+SUM(BR294:BR297)</f>
        <v>0</v>
      </c>
      <c r="BS293" s="32">
        <f>+SUM(BS294:BS297)</f>
        <v>0</v>
      </c>
      <c r="BT293" s="32">
        <f t="shared" si="738"/>
        <v>0</v>
      </c>
      <c r="BU293" s="32">
        <f>+SUM(BU294:BU297)</f>
        <v>0</v>
      </c>
      <c r="BV293" s="32">
        <f>+SUM(BV294:BV297)</f>
        <v>0</v>
      </c>
      <c r="BW293" s="32">
        <f t="shared" si="739"/>
        <v>219</v>
      </c>
      <c r="BX293" s="32">
        <f>+SUM(BX294:BX297)</f>
        <v>219</v>
      </c>
      <c r="BY293" s="32">
        <f>+SUM(BY294:BY297)</f>
        <v>0</v>
      </c>
      <c r="BZ293" s="32">
        <f t="shared" si="740"/>
        <v>238</v>
      </c>
      <c r="CA293" s="32">
        <f>+SUM(CA294:CA297)</f>
        <v>238</v>
      </c>
      <c r="CB293" s="32">
        <f>+SUM(CB294:CB297)</f>
        <v>0</v>
      </c>
      <c r="CC293" s="32">
        <f t="shared" si="741"/>
        <v>232</v>
      </c>
      <c r="CD293" s="32">
        <f>+SUM(CD294:CD297)</f>
        <v>232</v>
      </c>
      <c r="CE293" s="32">
        <f>+SUM(CE294:CE297)</f>
        <v>0</v>
      </c>
      <c r="CF293" s="32">
        <f t="shared" si="742"/>
        <v>305</v>
      </c>
      <c r="CG293" s="32">
        <f>+SUM(CG294:CG297)</f>
        <v>305</v>
      </c>
      <c r="CH293" s="32">
        <f>+SUM(CH294:CH297)</f>
        <v>139.32499999999999</v>
      </c>
      <c r="CI293" s="32">
        <f t="shared" si="743"/>
        <v>334.1</v>
      </c>
      <c r="CJ293" s="32">
        <f>+SUM(CJ294:CJ297)</f>
        <v>334.1</v>
      </c>
      <c r="CK293" s="32">
        <f>+SUM(CK294:CK297)</f>
        <v>365.7</v>
      </c>
      <c r="CL293" s="32">
        <f t="shared" si="744"/>
        <v>365.7</v>
      </c>
      <c r="CM293" s="32">
        <f>+SUM(CM294:CM297)</f>
        <v>365.7</v>
      </c>
      <c r="CN293" s="32">
        <f>+SUM(CN294:CN297)</f>
        <v>370.3</v>
      </c>
      <c r="CO293" s="32">
        <f t="shared" si="745"/>
        <v>366.3</v>
      </c>
      <c r="CP293" s="32">
        <f>+SUM(CP294:CP297)</f>
        <v>366.3</v>
      </c>
      <c r="CQ293" s="32">
        <f>+SUM(CQ294:CQ297)</f>
        <v>399.6</v>
      </c>
      <c r="CR293" s="32">
        <f t="shared" si="746"/>
        <v>423.09999999999997</v>
      </c>
      <c r="CS293" s="32">
        <f>+SUM(CS294:CS297)</f>
        <v>423.09999999999997</v>
      </c>
      <c r="CT293" s="32">
        <f>+SUM(CT294:CT297)</f>
        <v>422.5</v>
      </c>
      <c r="CU293" s="32">
        <f t="shared" si="747"/>
        <v>521.30000000000007</v>
      </c>
      <c r="CV293" s="32">
        <f>+SUM(CV294:CV297)</f>
        <v>521.30000000000007</v>
      </c>
      <c r="CW293" s="32">
        <f>+SUM(CW294:CW297)</f>
        <v>447.4</v>
      </c>
      <c r="CX293" s="32">
        <f t="shared" si="748"/>
        <v>462.3</v>
      </c>
      <c r="CY293" s="32">
        <f>+SUM(CY294:CY297)</f>
        <v>462.3</v>
      </c>
      <c r="CZ293" s="32">
        <f>+SUM(CZ294:CZ297)</f>
        <v>463.5</v>
      </c>
      <c r="DA293" s="32">
        <f t="shared" si="749"/>
        <v>492.7</v>
      </c>
      <c r="DB293" s="32">
        <f>+SUM(DB294:DB297)</f>
        <v>492.7</v>
      </c>
      <c r="DC293" s="32">
        <f>+SUM(DC294:DC297)</f>
        <v>563.79999999999995</v>
      </c>
      <c r="DD293" s="32">
        <f t="shared" si="750"/>
        <v>546.20000000000005</v>
      </c>
      <c r="DE293" s="1061">
        <f>+SUM(DE294:DE297)</f>
        <v>546.20000000000005</v>
      </c>
      <c r="DF293" s="32">
        <f>+SUM(DF294:DF297)</f>
        <v>582.35</v>
      </c>
      <c r="DG293" s="32">
        <f t="shared" si="751"/>
        <v>1005.1</v>
      </c>
      <c r="DH293" s="1061">
        <f>+SUM(DH294:DH297)</f>
        <v>1005.1</v>
      </c>
      <c r="DI293" s="32">
        <f>+SUM(DI294:DI297)</f>
        <v>1187.3999999999999</v>
      </c>
      <c r="DJ293" s="32">
        <f t="shared" si="752"/>
        <v>1338.9</v>
      </c>
      <c r="DK293" s="1061">
        <f>+SUM(DK294:DK297)</f>
        <v>1338.9</v>
      </c>
      <c r="DL293" s="32">
        <f>+SUM(DL294:DL297)</f>
        <v>1685.4</v>
      </c>
      <c r="DM293" s="32">
        <f t="shared" si="753"/>
        <v>1496.5</v>
      </c>
      <c r="DN293" s="1061">
        <f>+SUM(DN294:DN297)</f>
        <v>1496.5</v>
      </c>
      <c r="DO293" s="32">
        <f>+SUM(DO294:DO297)</f>
        <v>2334.5</v>
      </c>
      <c r="DP293" s="32">
        <f t="shared" si="754"/>
        <v>2628</v>
      </c>
      <c r="DQ293" s="1061">
        <f>+SUM(DQ294:DQ297)</f>
        <v>2628</v>
      </c>
      <c r="DR293" s="32">
        <f>+SUM(DR294:DR297)</f>
        <v>2737</v>
      </c>
      <c r="DS293" s="32">
        <f t="shared" si="755"/>
        <v>2432</v>
      </c>
      <c r="DT293" s="1061">
        <f>+SUM(DT294:DT297)</f>
        <v>2432</v>
      </c>
      <c r="DU293" s="32">
        <f>+SUM(DU294:DU297)</f>
        <v>2501</v>
      </c>
      <c r="DV293" s="32">
        <f t="shared" si="756"/>
        <v>2488</v>
      </c>
      <c r="DW293" s="1061">
        <f>+SUM(DW294:DW297)</f>
        <v>2488</v>
      </c>
      <c r="DX293" s="32">
        <f>+SUM(DX294:DX297)</f>
        <v>2413</v>
      </c>
      <c r="DY293" s="32">
        <f t="shared" si="757"/>
        <v>2413</v>
      </c>
      <c r="DZ293" s="1061">
        <f>+SUM(DZ294:DZ297)</f>
        <v>2413</v>
      </c>
      <c r="EA293" s="32">
        <f>+SUM(EA294:EA297)</f>
        <v>2413</v>
      </c>
      <c r="EB293" s="32">
        <f t="shared" si="758"/>
        <v>2413</v>
      </c>
      <c r="EC293" s="1061">
        <f>+SUM(EC294:EC297)</f>
        <v>2413</v>
      </c>
      <c r="ED293" s="32">
        <f>+SUM(ED294:ED297)</f>
        <v>2413</v>
      </c>
      <c r="EE293" s="32">
        <f t="shared" si="759"/>
        <v>2413</v>
      </c>
      <c r="EF293" s="1061">
        <f>+SUM(EF294:EF297)</f>
        <v>2413</v>
      </c>
      <c r="EG293" s="32">
        <f>+SUM(EG294:EG297)</f>
        <v>2413</v>
      </c>
      <c r="EH293" s="32">
        <f t="shared" si="760"/>
        <v>2413</v>
      </c>
      <c r="EI293" s="1061">
        <f>+SUM(EI294:EI297)</f>
        <v>2413</v>
      </c>
      <c r="EJ293" s="32">
        <f>+SUM(EJ294:EJ297)</f>
        <v>2413</v>
      </c>
      <c r="EK293" s="32">
        <f t="shared" si="761"/>
        <v>2413</v>
      </c>
      <c r="EL293" s="1061">
        <f>+SUM(EL294:EL297)</f>
        <v>2413</v>
      </c>
      <c r="EM293" s="32">
        <f>+SUM(EM294:EM297)</f>
        <v>2413</v>
      </c>
      <c r="EN293" s="32">
        <f t="shared" si="762"/>
        <v>2413</v>
      </c>
      <c r="EO293" s="1061">
        <f>+SUM(EO294:EO297)</f>
        <v>2413</v>
      </c>
      <c r="EP293" s="32">
        <f>+SUM(EP294:EP297)</f>
        <v>2413</v>
      </c>
      <c r="EQ293" s="32">
        <f t="shared" si="763"/>
        <v>2413</v>
      </c>
      <c r="ER293" s="1061">
        <f>+SUM(ER294:ER297)</f>
        <v>2413</v>
      </c>
      <c r="ES293" s="32">
        <f>+SUM(ES294:ES297)</f>
        <v>2413</v>
      </c>
      <c r="ET293" s="32">
        <f t="shared" si="764"/>
        <v>2413</v>
      </c>
      <c r="EU293" s="1061">
        <f>+SUM(EU294:EU297)</f>
        <v>2413</v>
      </c>
      <c r="EV293" s="32">
        <f>+SUM(EV294:EV297)</f>
        <v>2413</v>
      </c>
      <c r="EW293" s="32">
        <f t="shared" si="765"/>
        <v>2413</v>
      </c>
      <c r="EX293" s="1061">
        <f>+SUM(EX294:EX297)</f>
        <v>2413</v>
      </c>
      <c r="EY293" s="32">
        <f>+SUM(EY294:EY297)</f>
        <v>2413</v>
      </c>
      <c r="EZ293" s="32">
        <f t="shared" si="766"/>
        <v>2413</v>
      </c>
      <c r="FA293" s="1061">
        <f>+SUM(FA294:FA297)</f>
        <v>2413</v>
      </c>
      <c r="FD293"/>
      <c r="FE293"/>
      <c r="FF293"/>
      <c r="FG293"/>
      <c r="FH293"/>
      <c r="FI293"/>
    </row>
    <row r="294" spans="1:169" s="33" customFormat="1" outlineLevel="1">
      <c r="B294" s="54" t="s">
        <v>190</v>
      </c>
      <c r="C294" s="2"/>
      <c r="D294" s="2" t="s">
        <v>506</v>
      </c>
      <c r="E294" s="1183"/>
      <c r="F294" s="1192">
        <f t="shared" si="716"/>
        <v>0</v>
      </c>
      <c r="G294" s="1215"/>
      <c r="H294" s="1185"/>
      <c r="I294" s="1192">
        <f t="shared" si="717"/>
        <v>0</v>
      </c>
      <c r="J294" s="1215"/>
      <c r="K294" s="1185"/>
      <c r="L294" s="1192">
        <f t="shared" si="718"/>
        <v>0</v>
      </c>
      <c r="M294" s="1215"/>
      <c r="N294" s="1185"/>
      <c r="O294" s="1192">
        <f t="shared" si="719"/>
        <v>0</v>
      </c>
      <c r="P294" s="1215"/>
      <c r="Q294" s="1185"/>
      <c r="R294" s="1192">
        <f t="shared" si="720"/>
        <v>0</v>
      </c>
      <c r="S294" s="1255"/>
      <c r="T294" s="1185"/>
      <c r="U294" s="1192">
        <f t="shared" si="721"/>
        <v>0</v>
      </c>
      <c r="V294" s="1215"/>
      <c r="W294" s="1185"/>
      <c r="X294" s="1192">
        <f t="shared" si="722"/>
        <v>0</v>
      </c>
      <c r="Y294" s="1215"/>
      <c r="Z294" s="1185"/>
      <c r="AA294" s="1192">
        <f t="shared" si="723"/>
        <v>0</v>
      </c>
      <c r="AB294" s="1215"/>
      <c r="AC294" s="1185"/>
      <c r="AD294" s="1192">
        <f t="shared" si="724"/>
        <v>0</v>
      </c>
      <c r="AE294" s="1215"/>
      <c r="AF294" s="1185"/>
      <c r="AG294" s="1192">
        <f t="shared" si="725"/>
        <v>0</v>
      </c>
      <c r="AH294" s="1215"/>
      <c r="AI294" s="1185"/>
      <c r="AJ294" s="1192">
        <f t="shared" si="726"/>
        <v>0</v>
      </c>
      <c r="AK294" s="1215"/>
      <c r="AL294" s="1185"/>
      <c r="AM294" s="1192">
        <f t="shared" si="727"/>
        <v>0</v>
      </c>
      <c r="AN294" s="1215"/>
      <c r="AO294" s="1185"/>
      <c r="AP294" s="1192">
        <f t="shared" si="728"/>
        <v>0</v>
      </c>
      <c r="AQ294" s="1215"/>
      <c r="AR294" s="1185"/>
      <c r="AS294" s="1192">
        <f t="shared" si="729"/>
        <v>0</v>
      </c>
      <c r="AT294" s="1215"/>
      <c r="AU294" s="1185"/>
      <c r="AV294" s="1192">
        <f t="shared" si="730"/>
        <v>0</v>
      </c>
      <c r="AW294" s="1215"/>
      <c r="AX294" s="1185"/>
      <c r="AY294" s="1192">
        <f t="shared" si="731"/>
        <v>0</v>
      </c>
      <c r="AZ294" s="1215"/>
      <c r="BA294" s="1185"/>
      <c r="BB294" s="1192">
        <f t="shared" si="732"/>
        <v>0</v>
      </c>
      <c r="BC294" s="1215"/>
      <c r="BD294" s="1185"/>
      <c r="BE294" s="1192">
        <f t="shared" si="733"/>
        <v>0</v>
      </c>
      <c r="BF294" s="1215"/>
      <c r="BG294" s="1185"/>
      <c r="BH294" s="1192">
        <f t="shared" si="734"/>
        <v>0</v>
      </c>
      <c r="BI294" s="1215"/>
      <c r="BJ294" s="1185"/>
      <c r="BK294" s="1192">
        <f t="shared" si="735"/>
        <v>0</v>
      </c>
      <c r="BL294" s="1215"/>
      <c r="BM294" s="1185"/>
      <c r="BN294" s="1192">
        <f t="shared" si="736"/>
        <v>0</v>
      </c>
      <c r="BO294" s="1215"/>
      <c r="BP294" s="1185"/>
      <c r="BQ294" s="1192">
        <f t="shared" si="737"/>
        <v>0</v>
      </c>
      <c r="BR294" s="1215"/>
      <c r="BS294" s="1185"/>
      <c r="BT294" s="1192">
        <f t="shared" si="738"/>
        <v>0</v>
      </c>
      <c r="BU294" s="1215"/>
      <c r="BV294" s="1185"/>
      <c r="BW294" s="1192">
        <f t="shared" si="739"/>
        <v>219</v>
      </c>
      <c r="BX294" s="1245">
        <v>219</v>
      </c>
      <c r="BY294" s="1185"/>
      <c r="BZ294" s="1192">
        <f t="shared" si="740"/>
        <v>238</v>
      </c>
      <c r="CA294" s="1245">
        <v>238</v>
      </c>
      <c r="CB294" s="1185"/>
      <c r="CC294" s="1192">
        <f t="shared" si="741"/>
        <v>232</v>
      </c>
      <c r="CD294" s="1245">
        <v>232</v>
      </c>
      <c r="CE294" s="1185"/>
      <c r="CF294" s="1192">
        <f t="shared" si="742"/>
        <v>305</v>
      </c>
      <c r="CG294" s="1245">
        <v>305</v>
      </c>
      <c r="CH294" s="1198">
        <v>112.178</v>
      </c>
      <c r="CI294" s="1192">
        <f t="shared" si="743"/>
        <v>109.5</v>
      </c>
      <c r="CJ294" s="1245">
        <v>109.5</v>
      </c>
      <c r="CK294" s="1198">
        <v>115</v>
      </c>
      <c r="CL294" s="1192">
        <f t="shared" si="744"/>
        <v>115</v>
      </c>
      <c r="CM294" s="1245">
        <v>115</v>
      </c>
      <c r="CN294" s="1198">
        <v>127.2</v>
      </c>
      <c r="CO294" s="1192">
        <f t="shared" si="745"/>
        <v>127.7</v>
      </c>
      <c r="CP294" s="1245">
        <v>127.7</v>
      </c>
      <c r="CQ294" s="1198">
        <v>122.1</v>
      </c>
      <c r="CR294" s="1192">
        <f t="shared" si="746"/>
        <v>138.19999999999999</v>
      </c>
      <c r="CS294" s="1245">
        <v>138.19999999999999</v>
      </c>
      <c r="CT294" s="1198">
        <v>133.9</v>
      </c>
      <c r="CU294" s="1192">
        <f t="shared" si="747"/>
        <v>119.2</v>
      </c>
      <c r="CV294" s="1245">
        <v>119.2</v>
      </c>
      <c r="CW294" s="1198">
        <v>123.7</v>
      </c>
      <c r="CX294" s="1192">
        <f t="shared" si="748"/>
        <v>138.19999999999999</v>
      </c>
      <c r="CY294" s="1245">
        <v>138.19999999999999</v>
      </c>
      <c r="CZ294" s="1185">
        <v>142</v>
      </c>
      <c r="DA294" s="1192">
        <f t="shared" si="749"/>
        <v>193.7</v>
      </c>
      <c r="DB294" s="1215">
        <v>193.7</v>
      </c>
      <c r="DC294" s="1185">
        <v>199.7</v>
      </c>
      <c r="DD294" s="1192">
        <f t="shared" si="750"/>
        <v>168.7</v>
      </c>
      <c r="DE294" s="1560">
        <v>168.7</v>
      </c>
      <c r="DF294" s="1561">
        <v>177.35</v>
      </c>
      <c r="DG294" s="1542">
        <f t="shared" si="751"/>
        <v>352</v>
      </c>
      <c r="DH294" s="1562">
        <v>352</v>
      </c>
      <c r="DI294" s="1543">
        <v>394</v>
      </c>
      <c r="DJ294" s="1542">
        <f t="shared" si="752"/>
        <v>459.4</v>
      </c>
      <c r="DK294" s="1562">
        <v>459.4</v>
      </c>
      <c r="DL294" s="1530">
        <v>669.1</v>
      </c>
      <c r="DM294" s="1530">
        <f t="shared" si="753"/>
        <v>670.1</v>
      </c>
      <c r="DN294" s="1531">
        <v>670.1</v>
      </c>
      <c r="DO294" s="1558">
        <v>1266.0999999999999</v>
      </c>
      <c r="DP294" s="1530">
        <f t="shared" si="754"/>
        <v>1464</v>
      </c>
      <c r="DQ294" s="1532">
        <v>1464</v>
      </c>
      <c r="DR294" s="1558">
        <v>1547</v>
      </c>
      <c r="DS294" s="1530">
        <f t="shared" si="755"/>
        <v>1514</v>
      </c>
      <c r="DT294" s="1532">
        <v>1514</v>
      </c>
      <c r="DU294" s="1558">
        <v>1520</v>
      </c>
      <c r="DV294" s="1530">
        <f t="shared" si="756"/>
        <v>1510</v>
      </c>
      <c r="DW294" s="1532">
        <v>1510</v>
      </c>
      <c r="DX294" s="1558">
        <v>1440</v>
      </c>
      <c r="DY294" s="32">
        <f t="shared" si="757"/>
        <v>1440</v>
      </c>
      <c r="DZ294" s="1061">
        <f>DX294</f>
        <v>1440</v>
      </c>
      <c r="EA294" s="32">
        <f>DZ294</f>
        <v>1440</v>
      </c>
      <c r="EB294" s="32">
        <f t="shared" si="758"/>
        <v>1440</v>
      </c>
      <c r="EC294" s="1061">
        <f>EA294</f>
        <v>1440</v>
      </c>
      <c r="ED294" s="32">
        <f>EC294</f>
        <v>1440</v>
      </c>
      <c r="EE294" s="32">
        <f t="shared" si="759"/>
        <v>1440</v>
      </c>
      <c r="EF294" s="1061">
        <f>ED294</f>
        <v>1440</v>
      </c>
      <c r="EG294" s="32">
        <f>EF294</f>
        <v>1440</v>
      </c>
      <c r="EH294" s="32">
        <f t="shared" si="760"/>
        <v>1440</v>
      </c>
      <c r="EI294" s="1061">
        <f>EG294</f>
        <v>1440</v>
      </c>
      <c r="EJ294" s="32">
        <f>EI294</f>
        <v>1440</v>
      </c>
      <c r="EK294" s="32">
        <f t="shared" si="761"/>
        <v>1440</v>
      </c>
      <c r="EL294" s="1061">
        <f>EJ294</f>
        <v>1440</v>
      </c>
      <c r="EM294" s="32">
        <f>EL294</f>
        <v>1440</v>
      </c>
      <c r="EN294" s="32">
        <f t="shared" si="762"/>
        <v>1440</v>
      </c>
      <c r="EO294" s="1061">
        <f>EM294</f>
        <v>1440</v>
      </c>
      <c r="EP294" s="32">
        <f>EO294</f>
        <v>1440</v>
      </c>
      <c r="EQ294" s="32">
        <f t="shared" si="763"/>
        <v>1440</v>
      </c>
      <c r="ER294" s="1061">
        <f>EP294</f>
        <v>1440</v>
      </c>
      <c r="ES294" s="32">
        <f>ER294</f>
        <v>1440</v>
      </c>
      <c r="ET294" s="32">
        <f t="shared" si="764"/>
        <v>1440</v>
      </c>
      <c r="EU294" s="1061">
        <f>ES294</f>
        <v>1440</v>
      </c>
      <c r="EV294" s="32">
        <f>EU294</f>
        <v>1440</v>
      </c>
      <c r="EW294" s="32">
        <f t="shared" si="765"/>
        <v>1440</v>
      </c>
      <c r="EX294" s="1061">
        <f>EV294</f>
        <v>1440</v>
      </c>
      <c r="EY294" s="32">
        <f>EX294</f>
        <v>1440</v>
      </c>
      <c r="EZ294" s="32">
        <f t="shared" si="766"/>
        <v>1440</v>
      </c>
      <c r="FA294" s="1061">
        <f>EY294</f>
        <v>1440</v>
      </c>
      <c r="FD294"/>
      <c r="FE294"/>
      <c r="FF294"/>
      <c r="FG294"/>
      <c r="FH294"/>
      <c r="FI294"/>
    </row>
    <row r="295" spans="1:169" s="33" customFormat="1" outlineLevel="1">
      <c r="B295" s="54" t="s">
        <v>61</v>
      </c>
      <c r="C295" s="2"/>
      <c r="D295" s="2" t="s">
        <v>506</v>
      </c>
      <c r="E295" s="1205"/>
      <c r="F295" s="32">
        <f t="shared" si="716"/>
        <v>0</v>
      </c>
      <c r="G295" s="1214"/>
      <c r="H295" s="1207"/>
      <c r="I295" s="32">
        <f t="shared" si="717"/>
        <v>0</v>
      </c>
      <c r="J295" s="1214"/>
      <c r="K295" s="1207"/>
      <c r="L295" s="32">
        <f t="shared" si="718"/>
        <v>0</v>
      </c>
      <c r="M295" s="1214"/>
      <c r="N295" s="1207"/>
      <c r="O295" s="32">
        <f t="shared" si="719"/>
        <v>0</v>
      </c>
      <c r="P295" s="1214"/>
      <c r="Q295" s="1207"/>
      <c r="R295" s="32">
        <f t="shared" si="720"/>
        <v>0</v>
      </c>
      <c r="S295" s="1214"/>
      <c r="T295" s="1207"/>
      <c r="U295" s="32">
        <f t="shared" si="721"/>
        <v>0</v>
      </c>
      <c r="V295" s="1214"/>
      <c r="W295" s="1207"/>
      <c r="X295" s="32">
        <f t="shared" si="722"/>
        <v>0</v>
      </c>
      <c r="Y295" s="1214"/>
      <c r="Z295" s="1207"/>
      <c r="AA295" s="32">
        <f t="shared" si="723"/>
        <v>0</v>
      </c>
      <c r="AB295" s="1214"/>
      <c r="AC295" s="1207"/>
      <c r="AD295" s="32">
        <f t="shared" si="724"/>
        <v>0</v>
      </c>
      <c r="AE295" s="1214"/>
      <c r="AF295" s="1207"/>
      <c r="AG295" s="32">
        <f t="shared" si="725"/>
        <v>0</v>
      </c>
      <c r="AH295" s="1214"/>
      <c r="AI295" s="1207"/>
      <c r="AJ295" s="32">
        <f t="shared" si="726"/>
        <v>0</v>
      </c>
      <c r="AK295" s="1214"/>
      <c r="AL295" s="1207"/>
      <c r="AM295" s="32">
        <f t="shared" si="727"/>
        <v>0</v>
      </c>
      <c r="AN295" s="1214"/>
      <c r="AO295" s="1207"/>
      <c r="AP295" s="32">
        <f t="shared" si="728"/>
        <v>0</v>
      </c>
      <c r="AQ295" s="1214"/>
      <c r="AR295" s="1207"/>
      <c r="AS295" s="32">
        <f t="shared" si="729"/>
        <v>0</v>
      </c>
      <c r="AT295" s="1214"/>
      <c r="AU295" s="1207"/>
      <c r="AV295" s="32">
        <f t="shared" si="730"/>
        <v>0</v>
      </c>
      <c r="AW295" s="1214"/>
      <c r="AX295" s="1207"/>
      <c r="AY295" s="32">
        <f t="shared" si="731"/>
        <v>0</v>
      </c>
      <c r="AZ295" s="1214"/>
      <c r="BA295" s="1207"/>
      <c r="BB295" s="32">
        <f t="shared" si="732"/>
        <v>0</v>
      </c>
      <c r="BC295" s="1214"/>
      <c r="BD295" s="1207"/>
      <c r="BE295" s="32">
        <f t="shared" si="733"/>
        <v>0</v>
      </c>
      <c r="BF295" s="1214"/>
      <c r="BG295" s="1207"/>
      <c r="BH295" s="32">
        <f t="shared" si="734"/>
        <v>0</v>
      </c>
      <c r="BI295" s="1214"/>
      <c r="BJ295" s="1207"/>
      <c r="BK295" s="32">
        <f t="shared" si="735"/>
        <v>0</v>
      </c>
      <c r="BL295" s="1214"/>
      <c r="BM295" s="1207"/>
      <c r="BN295" s="32">
        <f t="shared" si="736"/>
        <v>0</v>
      </c>
      <c r="BO295" s="1214"/>
      <c r="BP295" s="1207"/>
      <c r="BQ295" s="32">
        <f t="shared" si="737"/>
        <v>0</v>
      </c>
      <c r="BR295" s="1214"/>
      <c r="BS295" s="1207"/>
      <c r="BT295" s="32">
        <f t="shared" si="738"/>
        <v>0</v>
      </c>
      <c r="BU295" s="1214"/>
      <c r="BV295" s="1207"/>
      <c r="BW295" s="32">
        <f t="shared" si="739"/>
        <v>0</v>
      </c>
      <c r="BX295" s="1214">
        <f>BV295</f>
        <v>0</v>
      </c>
      <c r="BY295" s="1207"/>
      <c r="BZ295" s="32">
        <f t="shared" si="740"/>
        <v>0</v>
      </c>
      <c r="CA295" s="1214">
        <f>BY295</f>
        <v>0</v>
      </c>
      <c r="CB295" s="1207"/>
      <c r="CC295" s="32">
        <f t="shared" si="741"/>
        <v>0</v>
      </c>
      <c r="CD295" s="1214">
        <f>CB295</f>
        <v>0</v>
      </c>
      <c r="CE295" s="1207"/>
      <c r="CF295" s="32">
        <f t="shared" si="742"/>
        <v>0</v>
      </c>
      <c r="CG295" s="1214">
        <f>CE295</f>
        <v>0</v>
      </c>
      <c r="CH295" s="1207">
        <f>CG295</f>
        <v>0</v>
      </c>
      <c r="CI295" s="32">
        <f t="shared" si="743"/>
        <v>0</v>
      </c>
      <c r="CJ295" s="1214">
        <f>CH295</f>
        <v>0</v>
      </c>
      <c r="CK295" s="1207">
        <f>CJ295</f>
        <v>0</v>
      </c>
      <c r="CL295" s="32">
        <f t="shared" si="744"/>
        <v>0</v>
      </c>
      <c r="CM295" s="1214">
        <f>CK295</f>
        <v>0</v>
      </c>
      <c r="CN295" s="1207">
        <f>CM295</f>
        <v>0</v>
      </c>
      <c r="CO295" s="32">
        <f t="shared" si="745"/>
        <v>0</v>
      </c>
      <c r="CP295" s="1214">
        <f>CN295</f>
        <v>0</v>
      </c>
      <c r="CQ295" s="1207">
        <f>CP295</f>
        <v>0</v>
      </c>
      <c r="CR295" s="32">
        <f t="shared" si="746"/>
        <v>0</v>
      </c>
      <c r="CS295" s="1214">
        <f>CQ295</f>
        <v>0</v>
      </c>
      <c r="CT295" s="1207">
        <f>CS295</f>
        <v>0</v>
      </c>
      <c r="CU295" s="32">
        <f t="shared" si="747"/>
        <v>0</v>
      </c>
      <c r="CV295" s="1214">
        <f>CT295</f>
        <v>0</v>
      </c>
      <c r="CW295" s="1207">
        <f>CV295</f>
        <v>0</v>
      </c>
      <c r="CX295" s="32">
        <f t="shared" si="748"/>
        <v>0</v>
      </c>
      <c r="CY295" s="1214">
        <f>CW295</f>
        <v>0</v>
      </c>
      <c r="CZ295" s="1207">
        <f>CY295</f>
        <v>0</v>
      </c>
      <c r="DA295" s="32">
        <f t="shared" si="749"/>
        <v>0</v>
      </c>
      <c r="DB295" s="1214">
        <f>CZ295</f>
        <v>0</v>
      </c>
      <c r="DC295" s="1207">
        <f>DB295</f>
        <v>0</v>
      </c>
      <c r="DD295" s="32">
        <f t="shared" si="750"/>
        <v>0</v>
      </c>
      <c r="DE295" s="1219">
        <f>DC295</f>
        <v>0</v>
      </c>
      <c r="DF295" s="1207">
        <f>DE295</f>
        <v>0</v>
      </c>
      <c r="DG295" s="32">
        <f t="shared" si="751"/>
        <v>0</v>
      </c>
      <c r="DH295" s="1219">
        <f>DF295</f>
        <v>0</v>
      </c>
      <c r="DI295" s="1207">
        <f>DH295</f>
        <v>0</v>
      </c>
      <c r="DJ295" s="32">
        <f t="shared" si="752"/>
        <v>0</v>
      </c>
      <c r="DK295" s="1219">
        <f>DI295</f>
        <v>0</v>
      </c>
      <c r="DL295" s="32">
        <f>DK295</f>
        <v>0</v>
      </c>
      <c r="DM295" s="32">
        <f t="shared" si="753"/>
        <v>0</v>
      </c>
      <c r="DN295" s="1061">
        <f>DL295</f>
        <v>0</v>
      </c>
      <c r="DO295" s="32">
        <f>DN295</f>
        <v>0</v>
      </c>
      <c r="DP295" s="32">
        <f t="shared" si="754"/>
        <v>0</v>
      </c>
      <c r="DQ295" s="1061">
        <f>DO295</f>
        <v>0</v>
      </c>
      <c r="DR295" s="32">
        <f>DQ295</f>
        <v>0</v>
      </c>
      <c r="DS295" s="32">
        <f t="shared" si="755"/>
        <v>0</v>
      </c>
      <c r="DT295" s="1061">
        <f>DR295</f>
        <v>0</v>
      </c>
      <c r="DU295" s="32">
        <f>DT295</f>
        <v>0</v>
      </c>
      <c r="DV295" s="32">
        <f t="shared" si="756"/>
        <v>0</v>
      </c>
      <c r="DW295" s="1061">
        <f>DU295</f>
        <v>0</v>
      </c>
      <c r="DX295" s="32">
        <f>DW295</f>
        <v>0</v>
      </c>
      <c r="DY295" s="32">
        <f t="shared" si="757"/>
        <v>0</v>
      </c>
      <c r="DZ295" s="1061">
        <f>DX295</f>
        <v>0</v>
      </c>
      <c r="EA295" s="32">
        <f>DZ295</f>
        <v>0</v>
      </c>
      <c r="EB295" s="32">
        <f t="shared" si="758"/>
        <v>0</v>
      </c>
      <c r="EC295" s="1061">
        <f>EA295</f>
        <v>0</v>
      </c>
      <c r="ED295" s="32">
        <f>EC295</f>
        <v>0</v>
      </c>
      <c r="EE295" s="32">
        <f t="shared" si="759"/>
        <v>0</v>
      </c>
      <c r="EF295" s="1061">
        <f>ED295</f>
        <v>0</v>
      </c>
      <c r="EG295" s="32">
        <f>EF295</f>
        <v>0</v>
      </c>
      <c r="EH295" s="32">
        <f t="shared" si="760"/>
        <v>0</v>
      </c>
      <c r="EI295" s="1061">
        <f>EG295</f>
        <v>0</v>
      </c>
      <c r="EJ295" s="32">
        <f>EI295</f>
        <v>0</v>
      </c>
      <c r="EK295" s="32">
        <f t="shared" si="761"/>
        <v>0</v>
      </c>
      <c r="EL295" s="1061">
        <f>EJ295</f>
        <v>0</v>
      </c>
      <c r="EM295" s="32">
        <f>EL295</f>
        <v>0</v>
      </c>
      <c r="EN295" s="32">
        <f t="shared" si="762"/>
        <v>0</v>
      </c>
      <c r="EO295" s="1061">
        <f>EM295</f>
        <v>0</v>
      </c>
      <c r="EP295" s="32">
        <f>EO295</f>
        <v>0</v>
      </c>
      <c r="EQ295" s="32">
        <f t="shared" si="763"/>
        <v>0</v>
      </c>
      <c r="ER295" s="1061">
        <f>EP295</f>
        <v>0</v>
      </c>
      <c r="ES295" s="32">
        <f>ER295</f>
        <v>0</v>
      </c>
      <c r="ET295" s="32">
        <f t="shared" si="764"/>
        <v>0</v>
      </c>
      <c r="EU295" s="1061">
        <f>ES295</f>
        <v>0</v>
      </c>
      <c r="EV295" s="32">
        <f>EU295</f>
        <v>0</v>
      </c>
      <c r="EW295" s="32">
        <f t="shared" si="765"/>
        <v>0</v>
      </c>
      <c r="EX295" s="1061">
        <f>EV295</f>
        <v>0</v>
      </c>
      <c r="EY295" s="32">
        <f>EX295</f>
        <v>0</v>
      </c>
      <c r="EZ295" s="32">
        <f t="shared" si="766"/>
        <v>0</v>
      </c>
      <c r="FA295" s="1061">
        <f>EY295</f>
        <v>0</v>
      </c>
      <c r="FD295"/>
      <c r="FE295"/>
      <c r="FF295"/>
      <c r="FG295"/>
      <c r="FH295"/>
      <c r="FI295"/>
    </row>
    <row r="296" spans="1:169" s="33" customFormat="1" outlineLevel="1">
      <c r="B296" s="54" t="s">
        <v>62</v>
      </c>
      <c r="C296" s="2"/>
      <c r="D296" s="2" t="s">
        <v>506</v>
      </c>
      <c r="E296" s="1205"/>
      <c r="F296" s="32">
        <f t="shared" si="716"/>
        <v>0</v>
      </c>
      <c r="G296" s="1214"/>
      <c r="H296" s="1207"/>
      <c r="I296" s="32">
        <f t="shared" si="717"/>
        <v>0</v>
      </c>
      <c r="J296" s="1214"/>
      <c r="K296" s="1207"/>
      <c r="L296" s="32">
        <f t="shared" si="718"/>
        <v>0</v>
      </c>
      <c r="M296" s="1214"/>
      <c r="N296" s="1207"/>
      <c r="O296" s="32">
        <f t="shared" si="719"/>
        <v>0</v>
      </c>
      <c r="P296" s="1214"/>
      <c r="Q296" s="1207"/>
      <c r="R296" s="32">
        <f t="shared" si="720"/>
        <v>0</v>
      </c>
      <c r="S296" s="1214"/>
      <c r="T296" s="1207"/>
      <c r="U296" s="32">
        <f t="shared" si="721"/>
        <v>0</v>
      </c>
      <c r="V296" s="1214"/>
      <c r="W296" s="1207"/>
      <c r="X296" s="32">
        <f t="shared" si="722"/>
        <v>0</v>
      </c>
      <c r="Y296" s="1214"/>
      <c r="Z296" s="1207"/>
      <c r="AA296" s="32">
        <f t="shared" si="723"/>
        <v>0</v>
      </c>
      <c r="AB296" s="1214"/>
      <c r="AC296" s="1207"/>
      <c r="AD296" s="32">
        <f t="shared" si="724"/>
        <v>0</v>
      </c>
      <c r="AE296" s="1214"/>
      <c r="AF296" s="1207"/>
      <c r="AG296" s="32">
        <f t="shared" si="725"/>
        <v>0</v>
      </c>
      <c r="AH296" s="1214"/>
      <c r="AI296" s="1207"/>
      <c r="AJ296" s="32">
        <f t="shared" si="726"/>
        <v>0</v>
      </c>
      <c r="AK296" s="1214"/>
      <c r="AL296" s="1207"/>
      <c r="AM296" s="32">
        <f t="shared" si="727"/>
        <v>0</v>
      </c>
      <c r="AN296" s="1214"/>
      <c r="AO296" s="1207"/>
      <c r="AP296" s="32">
        <f t="shared" si="728"/>
        <v>0</v>
      </c>
      <c r="AQ296" s="1214"/>
      <c r="AR296" s="1207"/>
      <c r="AS296" s="32">
        <f t="shared" si="729"/>
        <v>0</v>
      </c>
      <c r="AT296" s="1214"/>
      <c r="AU296" s="1207"/>
      <c r="AV296" s="32">
        <f t="shared" si="730"/>
        <v>0</v>
      </c>
      <c r="AW296" s="1214"/>
      <c r="AX296" s="1207"/>
      <c r="AY296" s="32">
        <f t="shared" si="731"/>
        <v>0</v>
      </c>
      <c r="AZ296" s="1214"/>
      <c r="BA296" s="1207"/>
      <c r="BB296" s="32">
        <f t="shared" si="732"/>
        <v>0</v>
      </c>
      <c r="BC296" s="1214"/>
      <c r="BD296" s="1207"/>
      <c r="BE296" s="32">
        <f t="shared" si="733"/>
        <v>0</v>
      </c>
      <c r="BF296" s="1214"/>
      <c r="BG296" s="1207"/>
      <c r="BH296" s="32">
        <f t="shared" si="734"/>
        <v>0</v>
      </c>
      <c r="BI296" s="1214"/>
      <c r="BJ296" s="1207"/>
      <c r="BK296" s="32">
        <f t="shared" si="735"/>
        <v>0</v>
      </c>
      <c r="BL296" s="1214"/>
      <c r="BM296" s="1207"/>
      <c r="BN296" s="32">
        <f t="shared" si="736"/>
        <v>0</v>
      </c>
      <c r="BO296" s="1214"/>
      <c r="BP296" s="1207"/>
      <c r="BQ296" s="32">
        <f t="shared" si="737"/>
        <v>0</v>
      </c>
      <c r="BR296" s="1214"/>
      <c r="BS296" s="1207"/>
      <c r="BT296" s="32">
        <f t="shared" si="738"/>
        <v>0</v>
      </c>
      <c r="BU296" s="1214"/>
      <c r="BV296" s="1207"/>
      <c r="BW296" s="32">
        <f t="shared" si="739"/>
        <v>0</v>
      </c>
      <c r="BX296" s="1214">
        <f>BV296</f>
        <v>0</v>
      </c>
      <c r="BY296" s="1207"/>
      <c r="BZ296" s="32">
        <f t="shared" si="740"/>
        <v>0</v>
      </c>
      <c r="CA296" s="1214">
        <f>BY296</f>
        <v>0</v>
      </c>
      <c r="CB296" s="1207"/>
      <c r="CC296" s="32">
        <f t="shared" si="741"/>
        <v>0</v>
      </c>
      <c r="CD296" s="1214">
        <f>CB296</f>
        <v>0</v>
      </c>
      <c r="CE296" s="1207"/>
      <c r="CF296" s="32">
        <f t="shared" si="742"/>
        <v>0</v>
      </c>
      <c r="CG296" s="1214">
        <f>CE296</f>
        <v>0</v>
      </c>
      <c r="CH296" s="1207">
        <f>CG296</f>
        <v>0</v>
      </c>
      <c r="CI296" s="32">
        <f t="shared" si="743"/>
        <v>0</v>
      </c>
      <c r="CJ296" s="1214">
        <f>CH296</f>
        <v>0</v>
      </c>
      <c r="CK296" s="1207">
        <f>CJ296</f>
        <v>0</v>
      </c>
      <c r="CL296" s="32">
        <f t="shared" si="744"/>
        <v>0</v>
      </c>
      <c r="CM296" s="1214">
        <f>CK296</f>
        <v>0</v>
      </c>
      <c r="CN296" s="1207">
        <f>CM296</f>
        <v>0</v>
      </c>
      <c r="CO296" s="32">
        <f t="shared" si="745"/>
        <v>0</v>
      </c>
      <c r="CP296" s="1214">
        <f>CN296</f>
        <v>0</v>
      </c>
      <c r="CQ296" s="1207">
        <f>CP296</f>
        <v>0</v>
      </c>
      <c r="CR296" s="32">
        <f t="shared" si="746"/>
        <v>0</v>
      </c>
      <c r="CS296" s="1214">
        <f>CQ296</f>
        <v>0</v>
      </c>
      <c r="CT296" s="1207">
        <f>CS296</f>
        <v>0</v>
      </c>
      <c r="CU296" s="32">
        <f t="shared" si="747"/>
        <v>0</v>
      </c>
      <c r="CV296" s="1214">
        <f>CT296</f>
        <v>0</v>
      </c>
      <c r="CW296" s="1207">
        <f>CV296</f>
        <v>0</v>
      </c>
      <c r="CX296" s="32">
        <f t="shared" si="748"/>
        <v>0</v>
      </c>
      <c r="CY296" s="1214">
        <f>CW296</f>
        <v>0</v>
      </c>
      <c r="CZ296" s="1207">
        <f>CY296</f>
        <v>0</v>
      </c>
      <c r="DA296" s="32">
        <f t="shared" si="749"/>
        <v>0</v>
      </c>
      <c r="DB296" s="1214">
        <f>CZ296</f>
        <v>0</v>
      </c>
      <c r="DC296" s="1207">
        <f>DB296</f>
        <v>0</v>
      </c>
      <c r="DD296" s="32">
        <f t="shared" si="750"/>
        <v>0</v>
      </c>
      <c r="DE296" s="1219">
        <f>DC296</f>
        <v>0</v>
      </c>
      <c r="DF296" s="1207">
        <f>DE296</f>
        <v>0</v>
      </c>
      <c r="DG296" s="32">
        <f t="shared" si="751"/>
        <v>0</v>
      </c>
      <c r="DH296" s="1219">
        <f>DF296</f>
        <v>0</v>
      </c>
      <c r="DI296" s="1207">
        <f>DH296</f>
        <v>0</v>
      </c>
      <c r="DJ296" s="32">
        <f t="shared" si="752"/>
        <v>0</v>
      </c>
      <c r="DK296" s="1219">
        <f>DI296</f>
        <v>0</v>
      </c>
      <c r="DL296" s="32">
        <f>DK296</f>
        <v>0</v>
      </c>
      <c r="DM296" s="32">
        <f t="shared" si="753"/>
        <v>0</v>
      </c>
      <c r="DN296" s="1061">
        <f>DL296</f>
        <v>0</v>
      </c>
      <c r="DO296" s="32">
        <f>DN296</f>
        <v>0</v>
      </c>
      <c r="DP296" s="32">
        <f t="shared" si="754"/>
        <v>0</v>
      </c>
      <c r="DQ296" s="1061">
        <f>DO296</f>
        <v>0</v>
      </c>
      <c r="DR296" s="32">
        <f>DQ296</f>
        <v>0</v>
      </c>
      <c r="DS296" s="32">
        <f t="shared" si="755"/>
        <v>0</v>
      </c>
      <c r="DT296" s="1061">
        <f>DR296</f>
        <v>0</v>
      </c>
      <c r="DU296" s="32">
        <f>DT296</f>
        <v>0</v>
      </c>
      <c r="DV296" s="32">
        <f t="shared" si="756"/>
        <v>0</v>
      </c>
      <c r="DW296" s="1061">
        <f>DU296</f>
        <v>0</v>
      </c>
      <c r="DX296" s="32">
        <f>DW296</f>
        <v>0</v>
      </c>
      <c r="DY296" s="32">
        <f t="shared" si="757"/>
        <v>0</v>
      </c>
      <c r="DZ296" s="1061">
        <f>DX296</f>
        <v>0</v>
      </c>
      <c r="EA296" s="32">
        <f>DZ296</f>
        <v>0</v>
      </c>
      <c r="EB296" s="32">
        <f t="shared" si="758"/>
        <v>0</v>
      </c>
      <c r="EC296" s="1061">
        <f>EA296</f>
        <v>0</v>
      </c>
      <c r="ED296" s="32">
        <f>EC296</f>
        <v>0</v>
      </c>
      <c r="EE296" s="32">
        <f t="shared" si="759"/>
        <v>0</v>
      </c>
      <c r="EF296" s="1061">
        <f>ED296</f>
        <v>0</v>
      </c>
      <c r="EG296" s="32">
        <f>EF296</f>
        <v>0</v>
      </c>
      <c r="EH296" s="32">
        <f t="shared" si="760"/>
        <v>0</v>
      </c>
      <c r="EI296" s="1061">
        <f>EG296</f>
        <v>0</v>
      </c>
      <c r="EJ296" s="32">
        <f>EI296</f>
        <v>0</v>
      </c>
      <c r="EK296" s="32">
        <f t="shared" si="761"/>
        <v>0</v>
      </c>
      <c r="EL296" s="1061">
        <f>EJ296</f>
        <v>0</v>
      </c>
      <c r="EM296" s="32">
        <f>EL296</f>
        <v>0</v>
      </c>
      <c r="EN296" s="32">
        <f t="shared" si="762"/>
        <v>0</v>
      </c>
      <c r="EO296" s="1061">
        <f>EM296</f>
        <v>0</v>
      </c>
      <c r="EP296" s="32">
        <f>EO296</f>
        <v>0</v>
      </c>
      <c r="EQ296" s="32">
        <f t="shared" si="763"/>
        <v>0</v>
      </c>
      <c r="ER296" s="1061">
        <f>EP296</f>
        <v>0</v>
      </c>
      <c r="ES296" s="32">
        <f>ER296</f>
        <v>0</v>
      </c>
      <c r="ET296" s="32">
        <f t="shared" si="764"/>
        <v>0</v>
      </c>
      <c r="EU296" s="1061">
        <f>ES296</f>
        <v>0</v>
      </c>
      <c r="EV296" s="32">
        <f>EU296</f>
        <v>0</v>
      </c>
      <c r="EW296" s="32">
        <f t="shared" si="765"/>
        <v>0</v>
      </c>
      <c r="EX296" s="1061">
        <f>EV296</f>
        <v>0</v>
      </c>
      <c r="EY296" s="32">
        <f>EX296</f>
        <v>0</v>
      </c>
      <c r="EZ296" s="32">
        <f t="shared" si="766"/>
        <v>0</v>
      </c>
      <c r="FA296" s="1061">
        <f>EY296</f>
        <v>0</v>
      </c>
      <c r="FD296"/>
      <c r="FE296"/>
      <c r="FF296"/>
      <c r="FG296"/>
      <c r="FH296"/>
      <c r="FI296"/>
    </row>
    <row r="297" spans="1:169" s="33" customFormat="1" outlineLevel="1">
      <c r="B297" s="54" t="s">
        <v>191</v>
      </c>
      <c r="C297" s="2"/>
      <c r="D297" s="2" t="s">
        <v>506</v>
      </c>
      <c r="E297" s="1205"/>
      <c r="F297" s="32">
        <f t="shared" si="716"/>
        <v>0</v>
      </c>
      <c r="G297" s="1214"/>
      <c r="H297" s="1207"/>
      <c r="I297" s="32">
        <f t="shared" si="717"/>
        <v>0</v>
      </c>
      <c r="J297" s="1214"/>
      <c r="K297" s="1207"/>
      <c r="L297" s="32">
        <f t="shared" si="718"/>
        <v>0</v>
      </c>
      <c r="M297" s="1214"/>
      <c r="N297" s="1207"/>
      <c r="O297" s="32">
        <f t="shared" si="719"/>
        <v>0</v>
      </c>
      <c r="P297" s="1214"/>
      <c r="Q297" s="1207"/>
      <c r="R297" s="32">
        <f t="shared" si="720"/>
        <v>0</v>
      </c>
      <c r="S297" s="1214"/>
      <c r="T297" s="1207"/>
      <c r="U297" s="32">
        <f t="shared" si="721"/>
        <v>0</v>
      </c>
      <c r="V297" s="1214"/>
      <c r="W297" s="1207"/>
      <c r="X297" s="32">
        <f t="shared" si="722"/>
        <v>0</v>
      </c>
      <c r="Y297" s="1214"/>
      <c r="Z297" s="1207"/>
      <c r="AA297" s="32">
        <f t="shared" si="723"/>
        <v>0</v>
      </c>
      <c r="AB297" s="1214"/>
      <c r="AC297" s="1207"/>
      <c r="AD297" s="32">
        <f t="shared" si="724"/>
        <v>0</v>
      </c>
      <c r="AE297" s="1214"/>
      <c r="AF297" s="1207"/>
      <c r="AG297" s="32">
        <f t="shared" si="725"/>
        <v>0</v>
      </c>
      <c r="AH297" s="1214"/>
      <c r="AI297" s="1207"/>
      <c r="AJ297" s="32">
        <f t="shared" si="726"/>
        <v>0</v>
      </c>
      <c r="AK297" s="1214"/>
      <c r="AL297" s="1207"/>
      <c r="AM297" s="32">
        <f t="shared" si="727"/>
        <v>0</v>
      </c>
      <c r="AN297" s="1214"/>
      <c r="AO297" s="1207"/>
      <c r="AP297" s="32">
        <f t="shared" si="728"/>
        <v>0</v>
      </c>
      <c r="AQ297" s="1214"/>
      <c r="AR297" s="1207"/>
      <c r="AS297" s="32">
        <f t="shared" si="729"/>
        <v>0</v>
      </c>
      <c r="AT297" s="1214"/>
      <c r="AU297" s="1207"/>
      <c r="AV297" s="32">
        <f t="shared" si="730"/>
        <v>0</v>
      </c>
      <c r="AW297" s="1214"/>
      <c r="AX297" s="1207"/>
      <c r="AY297" s="32">
        <f t="shared" si="731"/>
        <v>0</v>
      </c>
      <c r="AZ297" s="1214"/>
      <c r="BA297" s="1207"/>
      <c r="BB297" s="32">
        <f t="shared" si="732"/>
        <v>0</v>
      </c>
      <c r="BC297" s="1214"/>
      <c r="BD297" s="1207"/>
      <c r="BE297" s="32">
        <f t="shared" si="733"/>
        <v>0</v>
      </c>
      <c r="BF297" s="1214"/>
      <c r="BG297" s="1207"/>
      <c r="BH297" s="32">
        <f t="shared" si="734"/>
        <v>0</v>
      </c>
      <c r="BI297" s="1214"/>
      <c r="BJ297" s="1207"/>
      <c r="BK297" s="32">
        <f t="shared" si="735"/>
        <v>0</v>
      </c>
      <c r="BL297" s="1214"/>
      <c r="BM297" s="1207"/>
      <c r="BN297" s="32">
        <f t="shared" si="736"/>
        <v>0</v>
      </c>
      <c r="BO297" s="1214"/>
      <c r="BP297" s="1207"/>
      <c r="BQ297" s="32">
        <f t="shared" si="737"/>
        <v>0</v>
      </c>
      <c r="BR297" s="1214"/>
      <c r="BS297" s="1207"/>
      <c r="BT297" s="32">
        <f t="shared" si="738"/>
        <v>0</v>
      </c>
      <c r="BU297" s="1214"/>
      <c r="BV297" s="1207"/>
      <c r="BW297" s="32">
        <f t="shared" si="739"/>
        <v>0</v>
      </c>
      <c r="BX297" s="1217">
        <v>0</v>
      </c>
      <c r="BY297" s="1207"/>
      <c r="BZ297" s="32">
        <f t="shared" si="740"/>
        <v>0</v>
      </c>
      <c r="CA297" s="1217">
        <v>0</v>
      </c>
      <c r="CB297" s="1207"/>
      <c r="CC297" s="32">
        <f t="shared" si="741"/>
        <v>0</v>
      </c>
      <c r="CD297" s="1217">
        <v>0</v>
      </c>
      <c r="CE297" s="1207"/>
      <c r="CF297" s="32">
        <f t="shared" si="742"/>
        <v>0</v>
      </c>
      <c r="CG297" s="1217">
        <v>0</v>
      </c>
      <c r="CH297" s="1207">
        <f>27.147</f>
        <v>27.146999999999998</v>
      </c>
      <c r="CI297" s="32">
        <f t="shared" si="743"/>
        <v>224.6</v>
      </c>
      <c r="CJ297" s="1263">
        <f>27.6+29.8+167.2</f>
        <v>224.6</v>
      </c>
      <c r="CK297" s="1212">
        <v>250.7</v>
      </c>
      <c r="CL297" s="32">
        <f t="shared" si="744"/>
        <v>250.7</v>
      </c>
      <c r="CM297" s="1214">
        <f>34.2+37+179.5</f>
        <v>250.7</v>
      </c>
      <c r="CN297" s="1207">
        <f>34+38.4+159+11.7</f>
        <v>243.1</v>
      </c>
      <c r="CO297" s="32">
        <f t="shared" si="745"/>
        <v>238.6</v>
      </c>
      <c r="CP297" s="1214">
        <f>36+40.9+161.7</f>
        <v>238.6</v>
      </c>
      <c r="CQ297" s="1207">
        <f>32.5+37.2+207.8</f>
        <v>277.5</v>
      </c>
      <c r="CR297" s="32">
        <f t="shared" si="746"/>
        <v>284.89999999999998</v>
      </c>
      <c r="CS297" s="1214">
        <f>31.9+31.9+221.1</f>
        <v>284.89999999999998</v>
      </c>
      <c r="CT297" s="1207">
        <f>31.3+32.6+224.7</f>
        <v>288.60000000000002</v>
      </c>
      <c r="CU297" s="32">
        <f t="shared" si="747"/>
        <v>402.1</v>
      </c>
      <c r="CV297" s="1214">
        <f>40.5+35+326.6</f>
        <v>402.1</v>
      </c>
      <c r="CW297" s="1207">
        <f>30.6+32.9+260.2</f>
        <v>323.7</v>
      </c>
      <c r="CX297" s="32">
        <f t="shared" si="748"/>
        <v>324.10000000000002</v>
      </c>
      <c r="CY297" s="1214">
        <f>32.9+35.9+255.3</f>
        <v>324.10000000000002</v>
      </c>
      <c r="CZ297" s="1207">
        <f>33.7+48.6+239.2</f>
        <v>321.5</v>
      </c>
      <c r="DA297" s="32">
        <f t="shared" si="749"/>
        <v>299</v>
      </c>
      <c r="DB297" s="1214">
        <f>34.7+37.7+226.6</f>
        <v>299</v>
      </c>
      <c r="DC297" s="1207">
        <f>295+36.3+32.8</f>
        <v>364.1</v>
      </c>
      <c r="DD297" s="32">
        <f t="shared" si="750"/>
        <v>377.5</v>
      </c>
      <c r="DE297" s="1545">
        <f>307+35.9+34.6</f>
        <v>377.5</v>
      </c>
      <c r="DF297" s="1567">
        <f>315.6+33.5+55.9</f>
        <v>405</v>
      </c>
      <c r="DG297" s="1530">
        <f t="shared" si="751"/>
        <v>653.1</v>
      </c>
      <c r="DH297" s="1568">
        <f>347.5+41.7+40.1+223.8</f>
        <v>653.1</v>
      </c>
      <c r="DI297" s="1549">
        <f>403.4+47.2+40.4+302.4</f>
        <v>793.39999999999986</v>
      </c>
      <c r="DJ297" s="1530">
        <f t="shared" si="752"/>
        <v>879.5</v>
      </c>
      <c r="DK297" s="1568">
        <f>286.4+107.8+37.2+448.1</f>
        <v>879.5</v>
      </c>
      <c r="DL297" s="1530">
        <f>291.8+103.8+36.9+583.8</f>
        <v>1016.3</v>
      </c>
      <c r="DM297" s="1530">
        <f t="shared" si="753"/>
        <v>826.40000000000009</v>
      </c>
      <c r="DN297" s="1531">
        <f>189+101.7+535.7</f>
        <v>826.40000000000009</v>
      </c>
      <c r="DO297" s="1530">
        <f>201.8+353.7+512.9</f>
        <v>1068.4000000000001</v>
      </c>
      <c r="DP297" s="1530">
        <f t="shared" si="754"/>
        <v>1164</v>
      </c>
      <c r="DQ297" s="1532">
        <f>204+467+493</f>
        <v>1164</v>
      </c>
      <c r="DR297" s="1558">
        <f>208+495+487</f>
        <v>1190</v>
      </c>
      <c r="DS297" s="1530">
        <f t="shared" si="755"/>
        <v>918</v>
      </c>
      <c r="DT297" s="1532">
        <f>282+186+450</f>
        <v>918</v>
      </c>
      <c r="DU297" s="1558">
        <f>298+155+528</f>
        <v>981</v>
      </c>
      <c r="DV297" s="1530">
        <f t="shared" si="756"/>
        <v>978</v>
      </c>
      <c r="DW297" s="1532">
        <f>308+155+515</f>
        <v>978</v>
      </c>
      <c r="DX297" s="1558">
        <f>306+157+510</f>
        <v>973</v>
      </c>
      <c r="DY297" s="32">
        <f t="shared" si="757"/>
        <v>973</v>
      </c>
      <c r="DZ297" s="1061">
        <f>DX297</f>
        <v>973</v>
      </c>
      <c r="EA297" s="32">
        <f>DZ297</f>
        <v>973</v>
      </c>
      <c r="EB297" s="32">
        <f t="shared" si="758"/>
        <v>973</v>
      </c>
      <c r="EC297" s="1061">
        <f>EA297</f>
        <v>973</v>
      </c>
      <c r="ED297" s="32">
        <f>EC297</f>
        <v>973</v>
      </c>
      <c r="EE297" s="32">
        <f t="shared" si="759"/>
        <v>973</v>
      </c>
      <c r="EF297" s="1061">
        <f>ED297</f>
        <v>973</v>
      </c>
      <c r="EG297" s="32">
        <f>EF297</f>
        <v>973</v>
      </c>
      <c r="EH297" s="32">
        <f t="shared" si="760"/>
        <v>973</v>
      </c>
      <c r="EI297" s="1061">
        <f>EG297</f>
        <v>973</v>
      </c>
      <c r="EJ297" s="32">
        <f>EI297</f>
        <v>973</v>
      </c>
      <c r="EK297" s="32">
        <f t="shared" si="761"/>
        <v>973</v>
      </c>
      <c r="EL297" s="1061">
        <f>EJ297</f>
        <v>973</v>
      </c>
      <c r="EM297" s="32">
        <f>EL297</f>
        <v>973</v>
      </c>
      <c r="EN297" s="32">
        <f t="shared" si="762"/>
        <v>973</v>
      </c>
      <c r="EO297" s="1061">
        <f>EM297</f>
        <v>973</v>
      </c>
      <c r="EP297" s="32">
        <f>EO297</f>
        <v>973</v>
      </c>
      <c r="EQ297" s="32">
        <f t="shared" si="763"/>
        <v>973</v>
      </c>
      <c r="ER297" s="1061">
        <f>EP297</f>
        <v>973</v>
      </c>
      <c r="ES297" s="32">
        <f>ER297</f>
        <v>973</v>
      </c>
      <c r="ET297" s="32">
        <f t="shared" si="764"/>
        <v>973</v>
      </c>
      <c r="EU297" s="1061">
        <f>ES297</f>
        <v>973</v>
      </c>
      <c r="EV297" s="32">
        <f>EU297</f>
        <v>973</v>
      </c>
      <c r="EW297" s="32">
        <f t="shared" si="765"/>
        <v>973</v>
      </c>
      <c r="EX297" s="1061">
        <f>EV297</f>
        <v>973</v>
      </c>
      <c r="EY297" s="32">
        <f>EX297</f>
        <v>973</v>
      </c>
      <c r="EZ297" s="32">
        <f t="shared" si="766"/>
        <v>973</v>
      </c>
      <c r="FA297" s="1061">
        <f>EY297</f>
        <v>973</v>
      </c>
      <c r="FD297"/>
      <c r="FE297"/>
      <c r="FF297"/>
      <c r="FG297"/>
      <c r="FH297"/>
      <c r="FI297"/>
    </row>
    <row r="298" spans="1:169" s="33" customFormat="1">
      <c r="B298" s="1780" t="s">
        <v>1</v>
      </c>
      <c r="C298" s="1732"/>
      <c r="D298" s="1732" t="s">
        <v>506</v>
      </c>
      <c r="E298" s="1753"/>
      <c r="F298" s="1421">
        <f t="shared" si="716"/>
        <v>0</v>
      </c>
      <c r="G298" s="1768"/>
      <c r="H298" s="1755"/>
      <c r="I298" s="1421">
        <f t="shared" si="717"/>
        <v>0</v>
      </c>
      <c r="J298" s="1768"/>
      <c r="K298" s="1755"/>
      <c r="L298" s="1421">
        <f t="shared" si="718"/>
        <v>0</v>
      </c>
      <c r="M298" s="1768"/>
      <c r="N298" s="1755"/>
      <c r="O298" s="1421">
        <f t="shared" si="719"/>
        <v>0</v>
      </c>
      <c r="P298" s="1768"/>
      <c r="Q298" s="1755"/>
      <c r="R298" s="1421">
        <f t="shared" si="720"/>
        <v>0</v>
      </c>
      <c r="S298" s="1768"/>
      <c r="T298" s="1755"/>
      <c r="U298" s="1421">
        <f t="shared" si="721"/>
        <v>0</v>
      </c>
      <c r="V298" s="1768"/>
      <c r="W298" s="1755"/>
      <c r="X298" s="1421">
        <f t="shared" si="722"/>
        <v>0</v>
      </c>
      <c r="Y298" s="1768"/>
      <c r="Z298" s="1755"/>
      <c r="AA298" s="1421">
        <f t="shared" si="723"/>
        <v>0</v>
      </c>
      <c r="AB298" s="1768"/>
      <c r="AC298" s="1755"/>
      <c r="AD298" s="1421">
        <f t="shared" si="724"/>
        <v>0</v>
      </c>
      <c r="AE298" s="1768"/>
      <c r="AF298" s="1755"/>
      <c r="AG298" s="1421">
        <f t="shared" si="725"/>
        <v>0</v>
      </c>
      <c r="AH298" s="1768"/>
      <c r="AI298" s="1755"/>
      <c r="AJ298" s="1421">
        <f t="shared" si="726"/>
        <v>0</v>
      </c>
      <c r="AK298" s="1768"/>
      <c r="AL298" s="1755"/>
      <c r="AM298" s="1421">
        <f t="shared" si="727"/>
        <v>0</v>
      </c>
      <c r="AN298" s="1768"/>
      <c r="AO298" s="1755"/>
      <c r="AP298" s="1421">
        <f t="shared" si="728"/>
        <v>0</v>
      </c>
      <c r="AQ298" s="1768"/>
      <c r="AR298" s="1755"/>
      <c r="AS298" s="1421">
        <f t="shared" si="729"/>
        <v>0</v>
      </c>
      <c r="AT298" s="1768"/>
      <c r="AU298" s="1755"/>
      <c r="AV298" s="1421">
        <f t="shared" si="730"/>
        <v>0</v>
      </c>
      <c r="AW298" s="1768"/>
      <c r="AX298" s="1755"/>
      <c r="AY298" s="1421">
        <f t="shared" si="731"/>
        <v>0</v>
      </c>
      <c r="AZ298" s="1768"/>
      <c r="BA298" s="1755"/>
      <c r="BB298" s="1421">
        <f t="shared" si="732"/>
        <v>0</v>
      </c>
      <c r="BC298" s="1768"/>
      <c r="BD298" s="1755"/>
      <c r="BE298" s="1421">
        <f t="shared" si="733"/>
        <v>0</v>
      </c>
      <c r="BF298" s="1768"/>
      <c r="BG298" s="1755"/>
      <c r="BH298" s="1421">
        <f t="shared" si="734"/>
        <v>0</v>
      </c>
      <c r="BI298" s="1768"/>
      <c r="BJ298" s="1755"/>
      <c r="BK298" s="1421">
        <f t="shared" si="735"/>
        <v>0</v>
      </c>
      <c r="BL298" s="1768"/>
      <c r="BM298" s="1755"/>
      <c r="BN298" s="1421">
        <f t="shared" si="736"/>
        <v>0</v>
      </c>
      <c r="BO298" s="1768"/>
      <c r="BP298" s="1755"/>
      <c r="BQ298" s="1421">
        <f t="shared" si="737"/>
        <v>0</v>
      </c>
      <c r="BR298" s="1768"/>
      <c r="BS298" s="1755"/>
      <c r="BT298" s="1421">
        <f t="shared" si="738"/>
        <v>0</v>
      </c>
      <c r="BU298" s="1768"/>
      <c r="BV298" s="1755"/>
      <c r="BW298" s="1421">
        <f t="shared" si="739"/>
        <v>0</v>
      </c>
      <c r="BX298" s="1781">
        <v>0</v>
      </c>
      <c r="BY298" s="1755"/>
      <c r="BZ298" s="1421">
        <f t="shared" si="740"/>
        <v>0</v>
      </c>
      <c r="CA298" s="1781">
        <v>0</v>
      </c>
      <c r="CB298" s="1755"/>
      <c r="CC298" s="1421">
        <f t="shared" si="741"/>
        <v>0</v>
      </c>
      <c r="CD298" s="1781">
        <v>0</v>
      </c>
      <c r="CE298" s="1755"/>
      <c r="CF298" s="1421">
        <f t="shared" si="742"/>
        <v>0</v>
      </c>
      <c r="CG298" s="1781">
        <v>0</v>
      </c>
      <c r="CH298" s="1755">
        <f>19.685+145.818</f>
        <v>165.50300000000001</v>
      </c>
      <c r="CI298" s="1421">
        <f t="shared" si="743"/>
        <v>0</v>
      </c>
      <c r="CJ298" s="1781">
        <v>0</v>
      </c>
      <c r="CK298" s="1755">
        <f>CJ298</f>
        <v>0</v>
      </c>
      <c r="CL298" s="1421">
        <f t="shared" si="744"/>
        <v>0</v>
      </c>
      <c r="CM298" s="1768">
        <f>CK298</f>
        <v>0</v>
      </c>
      <c r="CN298" s="1755">
        <f>CM298</f>
        <v>0</v>
      </c>
      <c r="CO298" s="1421">
        <f t="shared" si="745"/>
        <v>0</v>
      </c>
      <c r="CP298" s="1768">
        <f>CN298</f>
        <v>0</v>
      </c>
      <c r="CQ298" s="1755">
        <f>CP298</f>
        <v>0</v>
      </c>
      <c r="CR298" s="1421">
        <f t="shared" si="746"/>
        <v>0</v>
      </c>
      <c r="CS298" s="1768">
        <f>CQ298</f>
        <v>0</v>
      </c>
      <c r="CT298" s="1755">
        <f>CS298</f>
        <v>0</v>
      </c>
      <c r="CU298" s="1421">
        <f t="shared" si="747"/>
        <v>0</v>
      </c>
      <c r="CV298" s="1768">
        <f>CT298</f>
        <v>0</v>
      </c>
      <c r="CW298" s="1755">
        <f>CV298</f>
        <v>0</v>
      </c>
      <c r="CX298" s="1421">
        <f t="shared" si="748"/>
        <v>0</v>
      </c>
      <c r="CY298" s="1768">
        <f>CW298</f>
        <v>0</v>
      </c>
      <c r="CZ298" s="1755">
        <f>CY298</f>
        <v>0</v>
      </c>
      <c r="DA298" s="1421">
        <f t="shared" si="749"/>
        <v>0</v>
      </c>
      <c r="DB298" s="1768">
        <f>CZ298</f>
        <v>0</v>
      </c>
      <c r="DC298" s="1755">
        <f>DB298</f>
        <v>0</v>
      </c>
      <c r="DD298" s="1421">
        <f t="shared" si="750"/>
        <v>0</v>
      </c>
      <c r="DE298" s="1782">
        <f>DC298</f>
        <v>0</v>
      </c>
      <c r="DF298" s="1755">
        <f>DE298</f>
        <v>0</v>
      </c>
      <c r="DG298" s="1421">
        <f t="shared" si="751"/>
        <v>0</v>
      </c>
      <c r="DH298" s="1782">
        <f>DF298</f>
        <v>0</v>
      </c>
      <c r="DI298" s="1755">
        <f>DH298</f>
        <v>0</v>
      </c>
      <c r="DJ298" s="1421">
        <f t="shared" si="752"/>
        <v>0</v>
      </c>
      <c r="DK298" s="1782">
        <f>DI298</f>
        <v>0</v>
      </c>
      <c r="DL298" s="1421">
        <f>DK298</f>
        <v>0</v>
      </c>
      <c r="DM298" s="1421">
        <f t="shared" si="753"/>
        <v>0</v>
      </c>
      <c r="DN298" s="1104">
        <f>DL298</f>
        <v>0</v>
      </c>
      <c r="DO298" s="1421">
        <f>DN298</f>
        <v>0</v>
      </c>
      <c r="DP298" s="1421">
        <f t="shared" si="754"/>
        <v>0</v>
      </c>
      <c r="DQ298" s="1104">
        <f>DO298</f>
        <v>0</v>
      </c>
      <c r="DR298" s="1421">
        <f>DQ298</f>
        <v>0</v>
      </c>
      <c r="DS298" s="1421">
        <f t="shared" si="755"/>
        <v>0</v>
      </c>
      <c r="DT298" s="1104">
        <f>DR298</f>
        <v>0</v>
      </c>
      <c r="DU298" s="1421">
        <f>DT298</f>
        <v>0</v>
      </c>
      <c r="DV298" s="1421">
        <f t="shared" si="756"/>
        <v>0</v>
      </c>
      <c r="DW298" s="1104">
        <f>DU298</f>
        <v>0</v>
      </c>
      <c r="DX298" s="1421">
        <f>DW298</f>
        <v>0</v>
      </c>
      <c r="DY298" s="1421">
        <f t="shared" si="757"/>
        <v>0</v>
      </c>
      <c r="DZ298" s="1104">
        <f>DX298</f>
        <v>0</v>
      </c>
      <c r="EA298" s="1421">
        <f>DZ298</f>
        <v>0</v>
      </c>
      <c r="EB298" s="1421">
        <f t="shared" si="758"/>
        <v>0</v>
      </c>
      <c r="EC298" s="1104">
        <f>EA298</f>
        <v>0</v>
      </c>
      <c r="ED298" s="1421">
        <f>EC298</f>
        <v>0</v>
      </c>
      <c r="EE298" s="1421">
        <f t="shared" si="759"/>
        <v>0</v>
      </c>
      <c r="EF298" s="1104">
        <f>ED298</f>
        <v>0</v>
      </c>
      <c r="EG298" s="1421">
        <f>EF298</f>
        <v>0</v>
      </c>
      <c r="EH298" s="1421">
        <f t="shared" si="760"/>
        <v>0</v>
      </c>
      <c r="EI298" s="1104">
        <f>EG298</f>
        <v>0</v>
      </c>
      <c r="EJ298" s="1421">
        <f>EI298</f>
        <v>0</v>
      </c>
      <c r="EK298" s="1421">
        <f t="shared" si="761"/>
        <v>0</v>
      </c>
      <c r="EL298" s="1104">
        <f>EJ298</f>
        <v>0</v>
      </c>
      <c r="EM298" s="1421">
        <f>EL298</f>
        <v>0</v>
      </c>
      <c r="EN298" s="1421">
        <f t="shared" si="762"/>
        <v>0</v>
      </c>
      <c r="EO298" s="1104">
        <f>EM298</f>
        <v>0</v>
      </c>
      <c r="EP298" s="1421">
        <f>EO298</f>
        <v>0</v>
      </c>
      <c r="EQ298" s="1421">
        <f t="shared" si="763"/>
        <v>0</v>
      </c>
      <c r="ER298" s="1104">
        <f>EP298</f>
        <v>0</v>
      </c>
      <c r="ES298" s="1421">
        <f>ER298</f>
        <v>0</v>
      </c>
      <c r="ET298" s="1421">
        <f t="shared" si="764"/>
        <v>0</v>
      </c>
      <c r="EU298" s="1104">
        <f>ES298</f>
        <v>0</v>
      </c>
      <c r="EV298" s="1421">
        <f>EU298</f>
        <v>0</v>
      </c>
      <c r="EW298" s="1421">
        <f t="shared" si="765"/>
        <v>0</v>
      </c>
      <c r="EX298" s="1104">
        <f>EV298</f>
        <v>0</v>
      </c>
      <c r="EY298" s="1421">
        <f>EX298</f>
        <v>0</v>
      </c>
      <c r="EZ298" s="1421">
        <f t="shared" si="766"/>
        <v>0</v>
      </c>
      <c r="FA298" s="1104">
        <f>EY298</f>
        <v>0</v>
      </c>
      <c r="FD298"/>
      <c r="FE298"/>
      <c r="FF298"/>
      <c r="FG298"/>
      <c r="FH298"/>
      <c r="FI298"/>
    </row>
    <row r="299" spans="1:169" s="61" customFormat="1">
      <c r="B299" s="60" t="s">
        <v>2</v>
      </c>
      <c r="C299" s="60"/>
      <c r="D299" s="1658" t="s">
        <v>506</v>
      </c>
      <c r="E299" s="1272">
        <f>+E285+E286+E293+E298</f>
        <v>0</v>
      </c>
      <c r="F299" s="1272">
        <f t="shared" si="716"/>
        <v>0</v>
      </c>
      <c r="G299" s="1272">
        <f>+G285+G286+G293+G298</f>
        <v>0</v>
      </c>
      <c r="H299" s="1272">
        <f>+H285+H286+H293+H298</f>
        <v>0</v>
      </c>
      <c r="I299" s="1272">
        <f t="shared" si="717"/>
        <v>0</v>
      </c>
      <c r="J299" s="1272">
        <f>+J285+J286+J293+J298</f>
        <v>0</v>
      </c>
      <c r="K299" s="1272">
        <f>+K285+K286+K293+K298</f>
        <v>0</v>
      </c>
      <c r="L299" s="1272">
        <f t="shared" si="718"/>
        <v>0</v>
      </c>
      <c r="M299" s="1272">
        <f>+M285+M286+M293+M298</f>
        <v>0</v>
      </c>
      <c r="N299" s="1272">
        <f>+N285+N286+N293+N298</f>
        <v>0</v>
      </c>
      <c r="O299" s="1272">
        <f t="shared" si="719"/>
        <v>0</v>
      </c>
      <c r="P299" s="1272">
        <f>+P285+P286+P293+P298</f>
        <v>0</v>
      </c>
      <c r="Q299" s="1272">
        <f>+Q285+Q286+Q293+Q298</f>
        <v>0</v>
      </c>
      <c r="R299" s="1272">
        <f t="shared" si="720"/>
        <v>0</v>
      </c>
      <c r="S299" s="1272">
        <f>+S285+S286+S293+S298</f>
        <v>0</v>
      </c>
      <c r="T299" s="1272">
        <f>+T285+T286+T293+T298</f>
        <v>0</v>
      </c>
      <c r="U299" s="1272">
        <f t="shared" si="721"/>
        <v>0</v>
      </c>
      <c r="V299" s="1272">
        <f>+V285+V286+V293+V298</f>
        <v>0</v>
      </c>
      <c r="W299" s="1272">
        <f>+W285+W286+W293+W298</f>
        <v>0</v>
      </c>
      <c r="X299" s="1272">
        <f t="shared" si="722"/>
        <v>0</v>
      </c>
      <c r="Y299" s="1272">
        <f>+Y285+Y286+Y293+Y298</f>
        <v>0</v>
      </c>
      <c r="Z299" s="1272">
        <f>+Z285+Z286+Z293+Z298</f>
        <v>0</v>
      </c>
      <c r="AA299" s="1272">
        <f t="shared" si="723"/>
        <v>0</v>
      </c>
      <c r="AB299" s="1272">
        <f>+AB285+AB286+AB293+AB298</f>
        <v>0</v>
      </c>
      <c r="AC299" s="1272">
        <f>+AC285+AC286+AC293+AC298</f>
        <v>0</v>
      </c>
      <c r="AD299" s="1272">
        <f t="shared" si="724"/>
        <v>0</v>
      </c>
      <c r="AE299" s="1272">
        <f>+AE285+AE286+AE293+AE298</f>
        <v>0</v>
      </c>
      <c r="AF299" s="1272">
        <f>+AF285+AF286+AF293+AF298</f>
        <v>0</v>
      </c>
      <c r="AG299" s="1272">
        <f t="shared" si="725"/>
        <v>0</v>
      </c>
      <c r="AH299" s="1272">
        <f>+AH285+AH286+AH293+AH298</f>
        <v>0</v>
      </c>
      <c r="AI299" s="1272">
        <f>+AI285+AI286+AI293+AI298</f>
        <v>0</v>
      </c>
      <c r="AJ299" s="1272">
        <f t="shared" si="726"/>
        <v>0</v>
      </c>
      <c r="AK299" s="1272">
        <f>+AK285+AK286+AK293+AK298</f>
        <v>0</v>
      </c>
      <c r="AL299" s="1272">
        <f>+AL285+AL286+AL293+AL298</f>
        <v>0</v>
      </c>
      <c r="AM299" s="1272">
        <f t="shared" si="727"/>
        <v>0</v>
      </c>
      <c r="AN299" s="1272">
        <f>+AN285+AN286+AN293+AN298</f>
        <v>0</v>
      </c>
      <c r="AO299" s="1272">
        <f>+AO285+AO286+AO293+AO298</f>
        <v>0</v>
      </c>
      <c r="AP299" s="1272">
        <f t="shared" si="728"/>
        <v>0</v>
      </c>
      <c r="AQ299" s="1272">
        <f>+AQ285+AQ286+AQ293+AQ298</f>
        <v>0</v>
      </c>
      <c r="AR299" s="1272">
        <f>+AR285+AR286+AR293+AR298</f>
        <v>0</v>
      </c>
      <c r="AS299" s="1272">
        <f t="shared" si="729"/>
        <v>0</v>
      </c>
      <c r="AT299" s="1272">
        <f>+AT285+AT286+AT293+AT298</f>
        <v>0</v>
      </c>
      <c r="AU299" s="1272">
        <f>+AU285+AU286+AU293+AU298</f>
        <v>0</v>
      </c>
      <c r="AV299" s="1272">
        <f t="shared" si="730"/>
        <v>0</v>
      </c>
      <c r="AW299" s="1272">
        <f>+AW285+AW286+AW293+AW298</f>
        <v>0</v>
      </c>
      <c r="AX299" s="1272">
        <f>+AX285+AX286+AX293+AX298</f>
        <v>0</v>
      </c>
      <c r="AY299" s="1272">
        <f t="shared" si="731"/>
        <v>0</v>
      </c>
      <c r="AZ299" s="1272">
        <f>+AZ285+AZ286+AZ293+AZ298</f>
        <v>0</v>
      </c>
      <c r="BA299" s="1272">
        <f>+BA285+BA286+BA293+BA298</f>
        <v>0</v>
      </c>
      <c r="BB299" s="1272">
        <f t="shared" si="732"/>
        <v>0</v>
      </c>
      <c r="BC299" s="1272">
        <f>+BC285+BC286+BC293+BC298</f>
        <v>0</v>
      </c>
      <c r="BD299" s="1272">
        <f>+BD285+BD286+BD293+BD298</f>
        <v>0</v>
      </c>
      <c r="BE299" s="1272">
        <f t="shared" si="733"/>
        <v>0</v>
      </c>
      <c r="BF299" s="1272">
        <f>+BF285+BF286+BF293+BF298</f>
        <v>0</v>
      </c>
      <c r="BG299" s="1272">
        <f>+BG285+BG286+BG293+BG298</f>
        <v>0</v>
      </c>
      <c r="BH299" s="1272">
        <f t="shared" si="734"/>
        <v>0</v>
      </c>
      <c r="BI299" s="1272">
        <f>+BI285+BI286+BI293+BI298</f>
        <v>0</v>
      </c>
      <c r="BJ299" s="1272">
        <f>+BJ285+BJ286+BJ293+BJ298</f>
        <v>0</v>
      </c>
      <c r="BK299" s="1272">
        <f t="shared" si="735"/>
        <v>0</v>
      </c>
      <c r="BL299" s="1272">
        <f>+BL285+BL286+BL293+BL298</f>
        <v>0</v>
      </c>
      <c r="BM299" s="1272">
        <f>+BM285+BM286+BM293+BM298</f>
        <v>0</v>
      </c>
      <c r="BN299" s="1272">
        <f t="shared" si="736"/>
        <v>0</v>
      </c>
      <c r="BO299" s="1272">
        <f>+BO285+BO286+BO293+BO298</f>
        <v>0</v>
      </c>
      <c r="BP299" s="1272">
        <f>+BP285+BP286+BP293+BP298</f>
        <v>0</v>
      </c>
      <c r="BQ299" s="1272">
        <f t="shared" si="737"/>
        <v>0</v>
      </c>
      <c r="BR299" s="1272">
        <f>+BR285+BR286+BR293+BR298</f>
        <v>0</v>
      </c>
      <c r="BS299" s="1272">
        <f>+BS285+BS286+BS293+BS298</f>
        <v>0</v>
      </c>
      <c r="BT299" s="1272">
        <f t="shared" si="738"/>
        <v>0</v>
      </c>
      <c r="BU299" s="1272">
        <f>+BU285+BU286+BU293+BU298</f>
        <v>0</v>
      </c>
      <c r="BV299" s="1272">
        <f>+BV285+BV286+BV293+BV298</f>
        <v>0</v>
      </c>
      <c r="BW299" s="1272">
        <f t="shared" si="739"/>
        <v>1013</v>
      </c>
      <c r="BX299" s="1272">
        <f>+BX285+BX286+BX293+BX298</f>
        <v>1013</v>
      </c>
      <c r="BY299" s="1272">
        <f>+BY285+BY286+BY293+BY298</f>
        <v>0</v>
      </c>
      <c r="BZ299" s="1272">
        <f t="shared" si="740"/>
        <v>551</v>
      </c>
      <c r="CA299" s="1272">
        <f>+CA285+CA286+CA293+CA298</f>
        <v>551</v>
      </c>
      <c r="CB299" s="1272">
        <f>+CB285+CB286+CB293+CB298</f>
        <v>0</v>
      </c>
      <c r="CC299" s="1272">
        <f t="shared" si="741"/>
        <v>604</v>
      </c>
      <c r="CD299" s="1272">
        <f>+CD285+CD286+CD293+CD298</f>
        <v>604</v>
      </c>
      <c r="CE299" s="1272">
        <f>+CE285+CE286+CE293+CE298</f>
        <v>0</v>
      </c>
      <c r="CF299" s="1272">
        <f t="shared" si="742"/>
        <v>513</v>
      </c>
      <c r="CG299" s="1272">
        <f>+CG285+CG286+CG293+CG298</f>
        <v>513</v>
      </c>
      <c r="CH299" s="1272">
        <f>+CH285+CH286+CH293+CH298</f>
        <v>1425.6590000000001</v>
      </c>
      <c r="CI299" s="1272">
        <f t="shared" si="743"/>
        <v>1453.7000000000003</v>
      </c>
      <c r="CJ299" s="1272">
        <f>+CJ285+CJ286+CJ293+CJ298</f>
        <v>1453.7000000000003</v>
      </c>
      <c r="CK299" s="1272">
        <f>+CK285+CK286+CK293+CK298</f>
        <v>2062.1</v>
      </c>
      <c r="CL299" s="1272">
        <f t="shared" si="744"/>
        <v>2062.1</v>
      </c>
      <c r="CM299" s="1272">
        <f>+CM285+CM286+CM293+CM298</f>
        <v>2062.1</v>
      </c>
      <c r="CN299" s="1272">
        <f>+CN285+CN286+CN293+CN298</f>
        <v>2155.7000000000003</v>
      </c>
      <c r="CO299" s="1272">
        <f t="shared" si="745"/>
        <v>2270.4</v>
      </c>
      <c r="CP299" s="1272">
        <f>+CP285+CP286+CP293+CP298</f>
        <v>2270.4</v>
      </c>
      <c r="CQ299" s="1272">
        <f>+CQ285+CQ286+CQ293+CQ298</f>
        <v>2740.1</v>
      </c>
      <c r="CR299" s="1272">
        <f t="shared" si="746"/>
        <v>2717.9999999999995</v>
      </c>
      <c r="CS299" s="1272">
        <f>+CS285+CS286+CS293+CS298</f>
        <v>2717.9999999999995</v>
      </c>
      <c r="CT299" s="1272">
        <f>+CT285+CT286+CT293+CT298</f>
        <v>3459.5</v>
      </c>
      <c r="CU299" s="1272">
        <f t="shared" si="747"/>
        <v>3621.1000000000004</v>
      </c>
      <c r="CV299" s="1272">
        <f>+CV285+CV286+CV293+CV298</f>
        <v>3621.1000000000004</v>
      </c>
      <c r="CW299" s="1272">
        <f>+CW285+CW286+CW293+CW298</f>
        <v>3966.2000000000003</v>
      </c>
      <c r="CX299" s="1272">
        <f t="shared" si="748"/>
        <v>4340.8</v>
      </c>
      <c r="CY299" s="1272">
        <f>+CY285+CY286+CY293+CY298</f>
        <v>4340.8</v>
      </c>
      <c r="CZ299" s="1272">
        <f>+CZ285+CZ286+CZ293+CZ298</f>
        <v>4800.5999999999995</v>
      </c>
      <c r="DA299" s="1272">
        <f t="shared" si="749"/>
        <v>4779.9000000000005</v>
      </c>
      <c r="DB299" s="1272">
        <f>+DB285+DB286+DB293+DB298</f>
        <v>4779.9000000000005</v>
      </c>
      <c r="DC299" s="1272">
        <f>+DC285+DC286+DC293+DC298</f>
        <v>4777.8</v>
      </c>
      <c r="DD299" s="1272">
        <f t="shared" si="750"/>
        <v>4874.8999999999996</v>
      </c>
      <c r="DE299" s="1276">
        <f>+DE285+DE286+DE293+DE298</f>
        <v>4874.8999999999996</v>
      </c>
      <c r="DF299" s="1272">
        <f>+DF285+DF286+DF293+DF298</f>
        <v>5302.05</v>
      </c>
      <c r="DG299" s="1272">
        <f t="shared" si="751"/>
        <v>6795.6</v>
      </c>
      <c r="DH299" s="1276">
        <f>+DH285+DH286+DH293+DH298</f>
        <v>6795.6</v>
      </c>
      <c r="DI299" s="1272">
        <f>+DI285+DI286+DI293+DI298</f>
        <v>6867.5999999999995</v>
      </c>
      <c r="DJ299" s="1272">
        <f t="shared" si="752"/>
        <v>6672</v>
      </c>
      <c r="DK299" s="1276">
        <f>+DK285+DK286+DK293+DK298</f>
        <v>6672</v>
      </c>
      <c r="DL299" s="1272">
        <f>+DL285+DL286+DL293+DL298</f>
        <v>6882.2999999999993</v>
      </c>
      <c r="DM299" s="1272">
        <f t="shared" si="753"/>
        <v>6660.3</v>
      </c>
      <c r="DN299" s="1276">
        <f>+DN285+DN286+DN293+DN298</f>
        <v>6660.3</v>
      </c>
      <c r="DO299" s="1272">
        <f>+DO285+DO286+DO293+DO298</f>
        <v>13236.7</v>
      </c>
      <c r="DP299" s="1272">
        <f t="shared" si="754"/>
        <v>13800</v>
      </c>
      <c r="DQ299" s="1276">
        <f>+DQ285+DQ286+DQ293+DQ298</f>
        <v>13800</v>
      </c>
      <c r="DR299" s="1272">
        <f>+DR285+DR286+DR293+DR298</f>
        <v>13424</v>
      </c>
      <c r="DS299" s="1272">
        <f t="shared" si="755"/>
        <v>13671</v>
      </c>
      <c r="DT299" s="1276">
        <f>+DT285+DT286+DT293+DT298</f>
        <v>13671</v>
      </c>
      <c r="DU299" s="1272">
        <f>+DU285+DU286+DU293+DU298</f>
        <v>11827</v>
      </c>
      <c r="DV299" s="1272">
        <f t="shared" si="756"/>
        <v>13182</v>
      </c>
      <c r="DW299" s="1276">
        <f>+DW285+DW286+DW293+DW298</f>
        <v>13182</v>
      </c>
      <c r="DX299" s="1272">
        <f>+DX285+DX286+DX293+DX298</f>
        <v>12834</v>
      </c>
      <c r="DY299" s="1272">
        <f t="shared" si="757"/>
        <v>12834</v>
      </c>
      <c r="DZ299" s="1276">
        <f>+DZ285+DZ286+DZ293+DZ298</f>
        <v>12834</v>
      </c>
      <c r="EA299" s="1272">
        <f>+EA285+EA286+EA293+EA298</f>
        <v>12834</v>
      </c>
      <c r="EB299" s="1272">
        <f t="shared" si="758"/>
        <v>12834</v>
      </c>
      <c r="EC299" s="1276">
        <f>+EC285+EC286+EC293+EC298</f>
        <v>12834</v>
      </c>
      <c r="ED299" s="1272">
        <f>+ED285+ED286+ED293+ED298</f>
        <v>12834</v>
      </c>
      <c r="EE299" s="1272">
        <f t="shared" si="759"/>
        <v>12834</v>
      </c>
      <c r="EF299" s="1276">
        <f>+EF285+EF286+EF293+EF298</f>
        <v>12834</v>
      </c>
      <c r="EG299" s="1272">
        <f>+EG285+EG286+EG293+EG298</f>
        <v>12834</v>
      </c>
      <c r="EH299" s="1272">
        <f t="shared" si="760"/>
        <v>12834</v>
      </c>
      <c r="EI299" s="1276">
        <f>+EI285+EI286+EI293+EI298</f>
        <v>12834</v>
      </c>
      <c r="EJ299" s="1272">
        <f>+EJ285+EJ286+EJ293+EJ298</f>
        <v>12834</v>
      </c>
      <c r="EK299" s="1272">
        <f t="shared" si="761"/>
        <v>12834</v>
      </c>
      <c r="EL299" s="1276">
        <f>+EL285+EL286+EL293+EL298</f>
        <v>12834</v>
      </c>
      <c r="EM299" s="1272">
        <f>+EM285+EM286+EM293+EM298</f>
        <v>12834</v>
      </c>
      <c r="EN299" s="1272">
        <f t="shared" si="762"/>
        <v>12834</v>
      </c>
      <c r="EO299" s="1276">
        <f>+EO285+EO286+EO293+EO298</f>
        <v>12834</v>
      </c>
      <c r="EP299" s="1272">
        <f>+EP285+EP286+EP293+EP298</f>
        <v>12834</v>
      </c>
      <c r="EQ299" s="1272">
        <f t="shared" si="763"/>
        <v>12834</v>
      </c>
      <c r="ER299" s="1276">
        <f>+ER285+ER286+ER293+ER298</f>
        <v>12834</v>
      </c>
      <c r="ES299" s="1272">
        <f>+ES285+ES286+ES293+ES298</f>
        <v>12834</v>
      </c>
      <c r="ET299" s="1272">
        <f t="shared" si="764"/>
        <v>12834</v>
      </c>
      <c r="EU299" s="1276">
        <f>+EU285+EU286+EU293+EU298</f>
        <v>12834</v>
      </c>
      <c r="EV299" s="1272">
        <f>+EV285+EV286+EV293+EV298</f>
        <v>12834</v>
      </c>
      <c r="EW299" s="1272">
        <f t="shared" si="765"/>
        <v>12834</v>
      </c>
      <c r="EX299" s="1276">
        <f>+EX285+EX286+EX293+EX298</f>
        <v>12834</v>
      </c>
      <c r="EY299" s="1272">
        <f>+EY285+EY286+EY293+EY298</f>
        <v>12834</v>
      </c>
      <c r="EZ299" s="1272">
        <f t="shared" si="766"/>
        <v>12834</v>
      </c>
      <c r="FA299" s="1276">
        <f>+FA285+FA286+FA293+FA298</f>
        <v>12834</v>
      </c>
      <c r="FD299"/>
      <c r="FE299"/>
      <c r="FF299"/>
      <c r="FG299"/>
      <c r="FH299"/>
      <c r="FI299"/>
      <c r="FJ299" s="33"/>
      <c r="FK299" s="33"/>
      <c r="FL299" s="33"/>
      <c r="FM299" s="33"/>
    </row>
    <row r="300" spans="1:169" s="61" customFormat="1">
      <c r="B300" s="60" t="s">
        <v>3</v>
      </c>
      <c r="C300" s="60"/>
      <c r="D300" s="1658" t="s">
        <v>506</v>
      </c>
      <c r="E300" s="1659">
        <f>+E283+E299</f>
        <v>0</v>
      </c>
      <c r="F300" s="1659">
        <f t="shared" si="716"/>
        <v>0</v>
      </c>
      <c r="G300" s="1659">
        <f>+G283+G299</f>
        <v>0</v>
      </c>
      <c r="H300" s="1659">
        <f>+H283+H299</f>
        <v>0</v>
      </c>
      <c r="I300" s="1659">
        <f t="shared" si="717"/>
        <v>0</v>
      </c>
      <c r="J300" s="1659">
        <f>+J283+J299</f>
        <v>0</v>
      </c>
      <c r="K300" s="1659">
        <f>+K283+K299</f>
        <v>0</v>
      </c>
      <c r="L300" s="1659">
        <f t="shared" si="718"/>
        <v>0</v>
      </c>
      <c r="M300" s="1659">
        <f>+M283+M299</f>
        <v>0</v>
      </c>
      <c r="N300" s="1659">
        <f>+N283+N299</f>
        <v>0</v>
      </c>
      <c r="O300" s="1659">
        <f t="shared" si="719"/>
        <v>0</v>
      </c>
      <c r="P300" s="1659">
        <f>+P283+P299</f>
        <v>0</v>
      </c>
      <c r="Q300" s="1659">
        <f>+Q283+Q299</f>
        <v>0</v>
      </c>
      <c r="R300" s="1659">
        <f t="shared" si="720"/>
        <v>0</v>
      </c>
      <c r="S300" s="1659">
        <f>+S283+S299</f>
        <v>0</v>
      </c>
      <c r="T300" s="1659">
        <f>+T283+T299</f>
        <v>0</v>
      </c>
      <c r="U300" s="1659">
        <f t="shared" si="721"/>
        <v>0</v>
      </c>
      <c r="V300" s="1659">
        <f>+V283+V299</f>
        <v>0</v>
      </c>
      <c r="W300" s="1659">
        <f>+W283+W299</f>
        <v>0</v>
      </c>
      <c r="X300" s="1659">
        <f t="shared" si="722"/>
        <v>0</v>
      </c>
      <c r="Y300" s="1659">
        <f>+Y283+Y299</f>
        <v>0</v>
      </c>
      <c r="Z300" s="1659">
        <f>+Z283+Z299</f>
        <v>0</v>
      </c>
      <c r="AA300" s="1659">
        <f t="shared" si="723"/>
        <v>0</v>
      </c>
      <c r="AB300" s="1659">
        <f>+AB283+AB299</f>
        <v>0</v>
      </c>
      <c r="AC300" s="1659">
        <f>+AC283+AC299</f>
        <v>0</v>
      </c>
      <c r="AD300" s="1659">
        <f t="shared" si="724"/>
        <v>0</v>
      </c>
      <c r="AE300" s="1659">
        <f>+AE283+AE299</f>
        <v>0</v>
      </c>
      <c r="AF300" s="1659">
        <f>+AF283+AF299</f>
        <v>0</v>
      </c>
      <c r="AG300" s="1659">
        <f t="shared" si="725"/>
        <v>0</v>
      </c>
      <c r="AH300" s="1659">
        <f>+AH283+AH299</f>
        <v>0</v>
      </c>
      <c r="AI300" s="1659">
        <f>+AI283+AI299</f>
        <v>0</v>
      </c>
      <c r="AJ300" s="1659">
        <f t="shared" si="726"/>
        <v>0</v>
      </c>
      <c r="AK300" s="1659">
        <f>+AK283+AK299</f>
        <v>0</v>
      </c>
      <c r="AL300" s="1659">
        <f>+AL283+AL299</f>
        <v>0</v>
      </c>
      <c r="AM300" s="1659">
        <f t="shared" si="727"/>
        <v>0</v>
      </c>
      <c r="AN300" s="1659">
        <f>+AN283+AN299</f>
        <v>0</v>
      </c>
      <c r="AO300" s="1659">
        <f>+AO283+AO299</f>
        <v>0</v>
      </c>
      <c r="AP300" s="1659">
        <f t="shared" si="728"/>
        <v>0</v>
      </c>
      <c r="AQ300" s="1659">
        <f>+AQ283+AQ299</f>
        <v>0</v>
      </c>
      <c r="AR300" s="1659">
        <f>+AR283+AR299</f>
        <v>0</v>
      </c>
      <c r="AS300" s="1659">
        <f t="shared" si="729"/>
        <v>0</v>
      </c>
      <c r="AT300" s="1659">
        <f>+AT283+AT299</f>
        <v>0</v>
      </c>
      <c r="AU300" s="1659">
        <f>+AU283+AU299</f>
        <v>0</v>
      </c>
      <c r="AV300" s="1659">
        <f t="shared" si="730"/>
        <v>0</v>
      </c>
      <c r="AW300" s="1659">
        <f>+AW283+AW299</f>
        <v>0</v>
      </c>
      <c r="AX300" s="1659">
        <f>+AX283+AX299</f>
        <v>0</v>
      </c>
      <c r="AY300" s="1659">
        <f t="shared" si="731"/>
        <v>0</v>
      </c>
      <c r="AZ300" s="1659">
        <f>+AZ283+AZ299</f>
        <v>0</v>
      </c>
      <c r="BA300" s="1659">
        <f>+BA283+BA299</f>
        <v>0</v>
      </c>
      <c r="BB300" s="1659">
        <f t="shared" si="732"/>
        <v>0</v>
      </c>
      <c r="BC300" s="1659">
        <f>+BC283+BC299</f>
        <v>0</v>
      </c>
      <c r="BD300" s="1659">
        <f>+BD283+BD299</f>
        <v>0</v>
      </c>
      <c r="BE300" s="1659">
        <f t="shared" si="733"/>
        <v>0</v>
      </c>
      <c r="BF300" s="1659">
        <f>+BF283+BF299</f>
        <v>0</v>
      </c>
      <c r="BG300" s="1659">
        <f>+BG283+BG299</f>
        <v>0</v>
      </c>
      <c r="BH300" s="1659">
        <f t="shared" si="734"/>
        <v>0</v>
      </c>
      <c r="BI300" s="1659">
        <f>+BI283+BI299</f>
        <v>0</v>
      </c>
      <c r="BJ300" s="1659">
        <f>+BJ283+BJ299</f>
        <v>0</v>
      </c>
      <c r="BK300" s="1659">
        <f t="shared" si="735"/>
        <v>0</v>
      </c>
      <c r="BL300" s="1659">
        <f>+BL283+BL299</f>
        <v>0</v>
      </c>
      <c r="BM300" s="1659">
        <f>+BM283+BM299</f>
        <v>0</v>
      </c>
      <c r="BN300" s="1659">
        <f t="shared" si="736"/>
        <v>0</v>
      </c>
      <c r="BO300" s="1659">
        <f>+BO283+BO299</f>
        <v>0</v>
      </c>
      <c r="BP300" s="1659">
        <f>+BP283+BP299</f>
        <v>0</v>
      </c>
      <c r="BQ300" s="1659">
        <f t="shared" si="737"/>
        <v>0</v>
      </c>
      <c r="BR300" s="1659">
        <f>+BR283+BR299</f>
        <v>0</v>
      </c>
      <c r="BS300" s="1659">
        <f>+BS283+BS299</f>
        <v>0</v>
      </c>
      <c r="BT300" s="1659">
        <f t="shared" si="738"/>
        <v>0</v>
      </c>
      <c r="BU300" s="1659">
        <f>+BU283+BU299</f>
        <v>0</v>
      </c>
      <c r="BV300" s="1659">
        <f>+BV283+BV299</f>
        <v>0</v>
      </c>
      <c r="BW300" s="1659">
        <f t="shared" si="739"/>
        <v>1817</v>
      </c>
      <c r="BX300" s="1659">
        <f>+BX283+BX299</f>
        <v>1817</v>
      </c>
      <c r="BY300" s="1659">
        <f>+BY283+BY299</f>
        <v>0</v>
      </c>
      <c r="BZ300" s="1659">
        <f t="shared" si="740"/>
        <v>1546</v>
      </c>
      <c r="CA300" s="1659">
        <f>+CA283+CA299</f>
        <v>1546</v>
      </c>
      <c r="CB300" s="1659">
        <f>+CB283+CB299</f>
        <v>0</v>
      </c>
      <c r="CC300" s="1659">
        <f t="shared" si="741"/>
        <v>1274</v>
      </c>
      <c r="CD300" s="1659">
        <f>+CD283+CD299</f>
        <v>1274</v>
      </c>
      <c r="CE300" s="1659">
        <f>+CE283+CE299</f>
        <v>0</v>
      </c>
      <c r="CF300" s="1659">
        <f t="shared" si="742"/>
        <v>1529</v>
      </c>
      <c r="CG300" s="1659">
        <f>+CG283+CG299</f>
        <v>1529</v>
      </c>
      <c r="CH300" s="1659">
        <f>+CH283+CH299</f>
        <v>2471.9230000000002</v>
      </c>
      <c r="CI300" s="1659">
        <f t="shared" si="743"/>
        <v>2391</v>
      </c>
      <c r="CJ300" s="1659">
        <f>+CJ283+CJ299</f>
        <v>2391</v>
      </c>
      <c r="CK300" s="1659">
        <f>+CK283+CK299</f>
        <v>2968.7</v>
      </c>
      <c r="CL300" s="1659">
        <f t="shared" si="744"/>
        <v>2968.7</v>
      </c>
      <c r="CM300" s="1659">
        <f>+CM283+CM299</f>
        <v>2968.7</v>
      </c>
      <c r="CN300" s="1659">
        <f>+CN283+CN299</f>
        <v>2944.8</v>
      </c>
      <c r="CO300" s="1659">
        <f t="shared" si="745"/>
        <v>3115.7</v>
      </c>
      <c r="CP300" s="1659">
        <f>+CP283+CP299</f>
        <v>3115.7</v>
      </c>
      <c r="CQ300" s="1659">
        <f>+CQ283+CQ299</f>
        <v>3525.2</v>
      </c>
      <c r="CR300" s="1659">
        <f t="shared" si="746"/>
        <v>3654.0999999999995</v>
      </c>
      <c r="CS300" s="1659">
        <f>+CS283+CS299</f>
        <v>3654.0999999999995</v>
      </c>
      <c r="CT300" s="1659">
        <f>+CT283+CT299</f>
        <v>4655.5</v>
      </c>
      <c r="CU300" s="1659">
        <f t="shared" si="747"/>
        <v>4995.5</v>
      </c>
      <c r="CV300" s="1659">
        <f>+CV283+CV299</f>
        <v>4995.5</v>
      </c>
      <c r="CW300" s="1659">
        <f>+CW283+CW299</f>
        <v>5222.8</v>
      </c>
      <c r="CX300" s="1659">
        <f t="shared" si="748"/>
        <v>5958.9</v>
      </c>
      <c r="CY300" s="1659">
        <f>+CY283+CY299</f>
        <v>5958.9</v>
      </c>
      <c r="CZ300" s="1659">
        <f>+CZ283+CZ299</f>
        <v>6556.5999999999995</v>
      </c>
      <c r="DA300" s="1659">
        <f t="shared" si="749"/>
        <v>6694.6</v>
      </c>
      <c r="DB300" s="1659">
        <f>+DB283+DB299</f>
        <v>6694.6</v>
      </c>
      <c r="DC300" s="1659">
        <f>+DC283+DC299</f>
        <v>6679.5</v>
      </c>
      <c r="DD300" s="1659">
        <f t="shared" si="750"/>
        <v>7063.1</v>
      </c>
      <c r="DE300" s="1660">
        <f>+DE283+DE299</f>
        <v>7063.1</v>
      </c>
      <c r="DF300" s="1659">
        <f>+DF283+DF299</f>
        <v>7995.2000000000007</v>
      </c>
      <c r="DG300" s="1659">
        <f t="shared" si="751"/>
        <v>8937.1</v>
      </c>
      <c r="DH300" s="1660">
        <f>+DH283+DH299</f>
        <v>8937.1</v>
      </c>
      <c r="DI300" s="1659">
        <f>+DI283+DI299</f>
        <v>9537.1</v>
      </c>
      <c r="DJ300" s="1659">
        <f t="shared" si="752"/>
        <v>9775.2999999999993</v>
      </c>
      <c r="DK300" s="1660">
        <f>+DK283+DK299</f>
        <v>9775.2999999999993</v>
      </c>
      <c r="DL300" s="1272">
        <f>+DL283+DL299</f>
        <v>9406.4</v>
      </c>
      <c r="DM300" s="1272">
        <f t="shared" si="753"/>
        <v>13768.5</v>
      </c>
      <c r="DN300" s="1276">
        <f>+DN283+DN299</f>
        <v>13768.5</v>
      </c>
      <c r="DO300" s="1272">
        <f>+DO283+DO299</f>
        <v>17566.5</v>
      </c>
      <c r="DP300" s="1272">
        <f t="shared" si="754"/>
        <v>18408</v>
      </c>
      <c r="DQ300" s="1276">
        <f>+DQ283+DQ299</f>
        <v>18408</v>
      </c>
      <c r="DR300" s="1272">
        <f>+DR283+DR299</f>
        <v>18142</v>
      </c>
      <c r="DS300" s="1272">
        <f t="shared" si="755"/>
        <v>18621</v>
      </c>
      <c r="DT300" s="1276">
        <f>+DT283+DT299</f>
        <v>18621</v>
      </c>
      <c r="DU300" s="1272">
        <f>+DU283+DU299</f>
        <v>17901</v>
      </c>
      <c r="DV300" s="1272">
        <f t="shared" si="756"/>
        <v>17997</v>
      </c>
      <c r="DW300" s="1276">
        <f>+DW283+DW299</f>
        <v>17997</v>
      </c>
      <c r="DX300" s="1272">
        <f>+DX283+DX299</f>
        <v>17442</v>
      </c>
      <c r="DY300" s="1272">
        <f t="shared" si="757"/>
        <v>18140.296813717068</v>
      </c>
      <c r="DZ300" s="1276">
        <f>+DZ283+DZ299</f>
        <v>18140.296813717068</v>
      </c>
      <c r="EA300" s="1272">
        <f>+EA283+EA299</f>
        <v>17555.70103047114</v>
      </c>
      <c r="EB300" s="1272">
        <f t="shared" si="758"/>
        <v>18313.941723502932</v>
      </c>
      <c r="EC300" s="1276">
        <f>+EC283+EC299</f>
        <v>18313.941723502932</v>
      </c>
      <c r="ED300" s="1272">
        <f>+ED283+ED299</f>
        <v>17707.12607065343</v>
      </c>
      <c r="EE300" s="1272">
        <f t="shared" si="759"/>
        <v>18491.3983738569</v>
      </c>
      <c r="EF300" s="1276">
        <f>+EF283+EF299</f>
        <v>18491.3983738569</v>
      </c>
      <c r="EG300" s="1272">
        <f>+EG283+EG299</f>
        <v>17907.932635615878</v>
      </c>
      <c r="EH300" s="1272">
        <f t="shared" si="760"/>
        <v>18708.835397443243</v>
      </c>
      <c r="EI300" s="1276">
        <f>+EI283+EI299</f>
        <v>18708.835397443243</v>
      </c>
      <c r="EJ300" s="1272">
        <f>+EJ283+EJ299</f>
        <v>18123.207211298854</v>
      </c>
      <c r="EK300" s="1272">
        <f t="shared" si="761"/>
        <v>18941.641758315454</v>
      </c>
      <c r="EL300" s="1276">
        <f>+EL283+EL299</f>
        <v>18941.641758315454</v>
      </c>
      <c r="EM300" s="1272">
        <f>+EM283+EM299</f>
        <v>18334.465853334994</v>
      </c>
      <c r="EN300" s="1272">
        <f t="shared" si="762"/>
        <v>19149.154179710633</v>
      </c>
      <c r="EO300" s="1276">
        <f>+EO283+EO299</f>
        <v>19149.154179710633</v>
      </c>
      <c r="EP300" s="1272">
        <f>+EP283+EP299</f>
        <v>18554.331152651393</v>
      </c>
      <c r="EQ300" s="1272">
        <f t="shared" si="763"/>
        <v>19370.773918241637</v>
      </c>
      <c r="ER300" s="1276">
        <f>+ER283+ER299</f>
        <v>19370.773918241637</v>
      </c>
      <c r="ES300" s="1272">
        <f>+ES283+ES299</f>
        <v>18792.173923445655</v>
      </c>
      <c r="ET300" s="1272">
        <f t="shared" si="764"/>
        <v>19606.333776089632</v>
      </c>
      <c r="EU300" s="1276">
        <f>+EU283+EU299</f>
        <v>19606.333776089632</v>
      </c>
      <c r="EV300" s="1272">
        <f>+EV283+EV299</f>
        <v>19044.773334406451</v>
      </c>
      <c r="EW300" s="1272">
        <f t="shared" si="765"/>
        <v>19853.824952714804</v>
      </c>
      <c r="EX300" s="1276">
        <f>+EX283+EX299</f>
        <v>19853.824952714804</v>
      </c>
      <c r="EY300" s="1272">
        <f>+EY283+EY299</f>
        <v>19313.096279269244</v>
      </c>
      <c r="EZ300" s="1272">
        <f t="shared" si="766"/>
        <v>20113.844474106307</v>
      </c>
      <c r="FA300" s="1276">
        <f>+FA283+FA299</f>
        <v>20113.844474106307</v>
      </c>
      <c r="FD300"/>
      <c r="FE300"/>
      <c r="FF300"/>
      <c r="FG300"/>
      <c r="FH300"/>
      <c r="FI300"/>
      <c r="FJ300" s="33"/>
      <c r="FK300" s="33"/>
      <c r="FL300" s="33"/>
      <c r="FM300" s="33"/>
    </row>
    <row r="301" spans="1:169" s="33" customFormat="1">
      <c r="B301" s="54"/>
      <c r="D301" s="2"/>
      <c r="E301" s="32"/>
      <c r="F301" s="32"/>
      <c r="G301" s="32"/>
      <c r="H301" s="32"/>
      <c r="I301" s="32"/>
      <c r="J301" s="32"/>
      <c r="K301" s="32"/>
      <c r="L301" s="32"/>
      <c r="M301" s="32"/>
      <c r="N301" s="32"/>
      <c r="O301" s="32"/>
      <c r="P301" s="32"/>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c r="BB301" s="32"/>
      <c r="BC301" s="32"/>
      <c r="BD301" s="32"/>
      <c r="BE301" s="32"/>
      <c r="BF301" s="32"/>
      <c r="BG301" s="32"/>
      <c r="BH301" s="32"/>
      <c r="BI301" s="32"/>
      <c r="BJ301" s="32"/>
      <c r="BK301" s="32"/>
      <c r="BL301" s="32"/>
      <c r="BM301" s="32"/>
      <c r="BN301" s="32"/>
      <c r="BO301" s="32"/>
      <c r="BP301" s="32"/>
      <c r="BQ301" s="32"/>
      <c r="BR301" s="32"/>
      <c r="BS301" s="32"/>
      <c r="BT301" s="32"/>
      <c r="BU301" s="32"/>
      <c r="BV301" s="32"/>
      <c r="BW301" s="32"/>
      <c r="BX301" s="32"/>
      <c r="BY301" s="32"/>
      <c r="BZ301" s="32"/>
      <c r="CA301" s="32"/>
      <c r="CB301" s="32"/>
      <c r="CC301" s="32"/>
      <c r="CD301" s="32"/>
      <c r="CE301" s="32"/>
      <c r="CF301" s="32"/>
      <c r="CG301" s="32"/>
      <c r="CH301" s="32"/>
      <c r="CI301" s="32"/>
      <c r="CJ301" s="32"/>
      <c r="CK301" s="32"/>
      <c r="CL301" s="32"/>
      <c r="CM301" s="32"/>
      <c r="CN301" s="32"/>
      <c r="CO301" s="32"/>
      <c r="CP301" s="32"/>
      <c r="CQ301" s="32"/>
      <c r="CR301" s="32"/>
      <c r="CS301" s="32"/>
      <c r="CT301" s="32"/>
      <c r="CU301" s="32"/>
      <c r="CV301" s="32"/>
      <c r="CW301" s="32"/>
      <c r="CX301" s="32"/>
      <c r="CY301" s="32"/>
      <c r="CZ301" s="32"/>
      <c r="DA301" s="32"/>
      <c r="DB301" s="32"/>
      <c r="DC301" s="32"/>
      <c r="DD301" s="32"/>
      <c r="DE301" s="1061"/>
      <c r="DF301" s="32"/>
      <c r="DG301" s="32"/>
      <c r="DH301" s="1061"/>
      <c r="DI301" s="32"/>
      <c r="DJ301" s="32"/>
      <c r="DK301" s="1061"/>
      <c r="DL301" s="32"/>
      <c r="DM301" s="32"/>
      <c r="DN301" s="1061"/>
      <c r="DO301" s="32"/>
      <c r="DP301" s="32"/>
      <c r="DQ301" s="1061"/>
      <c r="DR301" s="32"/>
      <c r="DS301" s="32"/>
      <c r="DT301" s="1061"/>
      <c r="DU301" s="32"/>
      <c r="DV301" s="32"/>
      <c r="DW301" s="1061"/>
      <c r="DX301" s="32"/>
      <c r="DY301" s="32"/>
      <c r="DZ301" s="1061"/>
      <c r="EA301" s="32"/>
      <c r="EB301" s="32"/>
      <c r="EC301" s="1061"/>
      <c r="ED301" s="32"/>
      <c r="EE301" s="32"/>
      <c r="EF301" s="1061"/>
      <c r="EG301" s="32"/>
      <c r="EH301" s="32"/>
      <c r="EI301" s="1061"/>
      <c r="EJ301" s="32"/>
      <c r="EK301" s="32"/>
      <c r="EL301" s="1061"/>
      <c r="EM301" s="32"/>
      <c r="EN301" s="32"/>
      <c r="EO301" s="1061"/>
      <c r="EP301" s="32"/>
      <c r="EQ301" s="32"/>
      <c r="ER301" s="1061"/>
      <c r="ES301" s="32"/>
      <c r="ET301" s="32"/>
      <c r="EU301" s="1061"/>
      <c r="EV301" s="32"/>
      <c r="EW301" s="32"/>
      <c r="EX301" s="1061"/>
      <c r="EY301" s="32"/>
      <c r="EZ301" s="32"/>
      <c r="FA301" s="1061"/>
      <c r="FD301"/>
      <c r="FE301"/>
      <c r="FF301"/>
      <c r="FG301"/>
      <c r="FH301"/>
      <c r="FI301"/>
    </row>
    <row r="302" spans="1:169" s="61" customFormat="1">
      <c r="B302" s="60" t="s">
        <v>4</v>
      </c>
      <c r="C302" s="60"/>
      <c r="D302" s="1658" t="s">
        <v>506</v>
      </c>
      <c r="E302" s="1659">
        <f>+E261-E300</f>
        <v>0</v>
      </c>
      <c r="F302" s="1659">
        <f>+G302</f>
        <v>0</v>
      </c>
      <c r="G302" s="1659">
        <f>+G261-G300</f>
        <v>0</v>
      </c>
      <c r="H302" s="1659">
        <f>+H261-H300</f>
        <v>0</v>
      </c>
      <c r="I302" s="1659">
        <f>+J302</f>
        <v>0</v>
      </c>
      <c r="J302" s="1659">
        <f>+J261-J300</f>
        <v>0</v>
      </c>
      <c r="K302" s="1659">
        <f>+K261-K300</f>
        <v>0</v>
      </c>
      <c r="L302" s="1659">
        <f>+M302</f>
        <v>0</v>
      </c>
      <c r="M302" s="1659">
        <f>+M261-M300</f>
        <v>0</v>
      </c>
      <c r="N302" s="1659">
        <f>+N261-N300</f>
        <v>0</v>
      </c>
      <c r="O302" s="1659">
        <f>+P302</f>
        <v>0</v>
      </c>
      <c r="P302" s="1659">
        <f>+P261-P300</f>
        <v>0</v>
      </c>
      <c r="Q302" s="1659">
        <f>+Q261-Q300</f>
        <v>0</v>
      </c>
      <c r="R302" s="1659">
        <f>+S302</f>
        <v>0</v>
      </c>
      <c r="S302" s="1659">
        <f>+S261-S300</f>
        <v>0</v>
      </c>
      <c r="T302" s="1659">
        <f>+T261-T300</f>
        <v>0</v>
      </c>
      <c r="U302" s="1659">
        <f>+V302</f>
        <v>0</v>
      </c>
      <c r="V302" s="1659">
        <f>+V261-V300</f>
        <v>0</v>
      </c>
      <c r="W302" s="1659">
        <f>+W261-W300</f>
        <v>0</v>
      </c>
      <c r="X302" s="1659">
        <f>+Y302</f>
        <v>0</v>
      </c>
      <c r="Y302" s="1659">
        <f>+Y261-Y300</f>
        <v>0</v>
      </c>
      <c r="Z302" s="1659">
        <f>+Z261-Z300</f>
        <v>0</v>
      </c>
      <c r="AA302" s="1659">
        <f>+AB302</f>
        <v>0</v>
      </c>
      <c r="AB302" s="1659">
        <f>+AB261-AB300</f>
        <v>0</v>
      </c>
      <c r="AC302" s="1659">
        <f>+AC261-AC300</f>
        <v>0</v>
      </c>
      <c r="AD302" s="1659">
        <f>+AE302</f>
        <v>0</v>
      </c>
      <c r="AE302" s="1659">
        <f>+AE261-AE300</f>
        <v>0</v>
      </c>
      <c r="AF302" s="1659">
        <f>+AF261-AF300</f>
        <v>0</v>
      </c>
      <c r="AG302" s="1659">
        <f>+AH302</f>
        <v>0</v>
      </c>
      <c r="AH302" s="1659">
        <f>+AH261-AH300</f>
        <v>0</v>
      </c>
      <c r="AI302" s="1659">
        <f>+AI261-AI300</f>
        <v>0</v>
      </c>
      <c r="AJ302" s="1659">
        <f>+AK302</f>
        <v>0</v>
      </c>
      <c r="AK302" s="1659">
        <f>+AK261-AK300</f>
        <v>0</v>
      </c>
      <c r="AL302" s="1659">
        <f>+AL261-AL300</f>
        <v>0</v>
      </c>
      <c r="AM302" s="1659">
        <f>+AN302</f>
        <v>0</v>
      </c>
      <c r="AN302" s="1659">
        <f>+AN261-AN300</f>
        <v>0</v>
      </c>
      <c r="AO302" s="1659">
        <f>+AO261-AO300</f>
        <v>0</v>
      </c>
      <c r="AP302" s="1659">
        <f>+AQ302</f>
        <v>0</v>
      </c>
      <c r="AQ302" s="1659">
        <f>+AQ261-AQ300</f>
        <v>0</v>
      </c>
      <c r="AR302" s="1659">
        <f>+AR261-AR300</f>
        <v>0</v>
      </c>
      <c r="AS302" s="1659">
        <f>+AT302</f>
        <v>0</v>
      </c>
      <c r="AT302" s="1659">
        <f>+AT261-AT300</f>
        <v>0</v>
      </c>
      <c r="AU302" s="1659">
        <f>+AU261-AU300</f>
        <v>0</v>
      </c>
      <c r="AV302" s="1659">
        <f>+AW302</f>
        <v>0</v>
      </c>
      <c r="AW302" s="1659">
        <f>+AW261-AW300</f>
        <v>0</v>
      </c>
      <c r="AX302" s="1659">
        <f>+AX261-AX300</f>
        <v>0</v>
      </c>
      <c r="AY302" s="1659">
        <f>+AZ302</f>
        <v>0</v>
      </c>
      <c r="AZ302" s="1659">
        <f>+AZ261-AZ300</f>
        <v>0</v>
      </c>
      <c r="BA302" s="1659">
        <f>+BA261-BA300</f>
        <v>0</v>
      </c>
      <c r="BB302" s="1659">
        <f>+BC302</f>
        <v>0</v>
      </c>
      <c r="BC302" s="1659">
        <f>+BC261-BC300</f>
        <v>0</v>
      </c>
      <c r="BD302" s="1659">
        <f>+BD261-BD300</f>
        <v>0</v>
      </c>
      <c r="BE302" s="1659">
        <f>+BF302</f>
        <v>0</v>
      </c>
      <c r="BF302" s="1659">
        <f>+BF261-BF300</f>
        <v>0</v>
      </c>
      <c r="BG302" s="1659">
        <f>+BG261-BG300</f>
        <v>0</v>
      </c>
      <c r="BH302" s="1659">
        <f>+BI302</f>
        <v>0</v>
      </c>
      <c r="BI302" s="1659">
        <f>+BI261-BI300</f>
        <v>0</v>
      </c>
      <c r="BJ302" s="1659">
        <f>+BJ261-BJ300</f>
        <v>0</v>
      </c>
      <c r="BK302" s="1659">
        <f>+BL302</f>
        <v>0</v>
      </c>
      <c r="BL302" s="1659">
        <f>+BL261-BL300</f>
        <v>0</v>
      </c>
      <c r="BM302" s="1659">
        <f>+BM261-BM300</f>
        <v>0</v>
      </c>
      <c r="BN302" s="1659">
        <f>+BO302</f>
        <v>0</v>
      </c>
      <c r="BO302" s="1659">
        <f>+BO261-BO300</f>
        <v>0</v>
      </c>
      <c r="BP302" s="1659">
        <f>+BP261-BP300</f>
        <v>0</v>
      </c>
      <c r="BQ302" s="1659">
        <f>+BR302</f>
        <v>0</v>
      </c>
      <c r="BR302" s="1659">
        <f>+BR261-BR300</f>
        <v>0</v>
      </c>
      <c r="BS302" s="1659">
        <f>+BS261-BS300</f>
        <v>0</v>
      </c>
      <c r="BT302" s="1659">
        <f>+BU302</f>
        <v>0</v>
      </c>
      <c r="BU302" s="1659">
        <f>+BU261-BU300</f>
        <v>0</v>
      </c>
      <c r="BV302" s="1659">
        <f>+BV261-BV300</f>
        <v>0</v>
      </c>
      <c r="BW302" s="1659">
        <f>+BX302</f>
        <v>2700</v>
      </c>
      <c r="BX302" s="1659">
        <f>+BX261-BX300</f>
        <v>2700</v>
      </c>
      <c r="BY302" s="1659">
        <f>+BY261-BY300</f>
        <v>0</v>
      </c>
      <c r="BZ302" s="1659">
        <f>+CA302</f>
        <v>4432</v>
      </c>
      <c r="CA302" s="1659">
        <f>+CA261-CA300</f>
        <v>4432</v>
      </c>
      <c r="CB302" s="1659">
        <f>+CB261-CB300</f>
        <v>0</v>
      </c>
      <c r="CC302" s="1659">
        <f>+CD302</f>
        <v>3590</v>
      </c>
      <c r="CD302" s="1659">
        <f>+CD261-CD300</f>
        <v>3590</v>
      </c>
      <c r="CE302" s="1659">
        <f>+CE261-CE300</f>
        <v>0</v>
      </c>
      <c r="CF302" s="1659">
        <f>+CG302</f>
        <v>3916</v>
      </c>
      <c r="CG302" s="1659">
        <f>+CG261-CG300</f>
        <v>3916</v>
      </c>
      <c r="CH302" s="1659">
        <f>+CH261-CH300</f>
        <v>3372.4589999999994</v>
      </c>
      <c r="CI302" s="1659">
        <f>+CJ302</f>
        <v>3428.2999999999993</v>
      </c>
      <c r="CJ302" s="1659">
        <f>+CJ261-CJ300</f>
        <v>3428.2999999999993</v>
      </c>
      <c r="CK302" s="1659">
        <f>+CK261-CK300</f>
        <v>3006.8</v>
      </c>
      <c r="CL302" s="1659">
        <f>+CM302</f>
        <v>3006.8</v>
      </c>
      <c r="CM302" s="1659">
        <f>+CM261-CM300</f>
        <v>3006.8</v>
      </c>
      <c r="CN302" s="1659">
        <f>+CN261-CN300</f>
        <v>3292.5999999999995</v>
      </c>
      <c r="CO302" s="1659">
        <f>+CP302</f>
        <v>3162</v>
      </c>
      <c r="CP302" s="1659">
        <f>+CP261-CP300</f>
        <v>3162</v>
      </c>
      <c r="CQ302" s="1659">
        <f>+CQ261-CQ300</f>
        <v>2998.1000000000004</v>
      </c>
      <c r="CR302" s="1659">
        <f>+CS302</f>
        <v>2746.9000000000005</v>
      </c>
      <c r="CS302" s="1659">
        <f>+CS261-CS300</f>
        <v>2746.9000000000005</v>
      </c>
      <c r="CT302" s="1659">
        <f>+CT261-CT300</f>
        <v>2846.7000000000007</v>
      </c>
      <c r="CU302" s="1659">
        <f>+CV302</f>
        <v>2567.1999999999998</v>
      </c>
      <c r="CV302" s="1659">
        <f>+CV261-CV300</f>
        <v>2567.1999999999998</v>
      </c>
      <c r="CW302" s="1659">
        <f>+CW261-CW300</f>
        <v>2906.8</v>
      </c>
      <c r="CX302" s="1659">
        <f>+CY302</f>
        <v>3163.8000000000011</v>
      </c>
      <c r="CY302" s="1659">
        <f>+CY261-CY300</f>
        <v>3163.8000000000011</v>
      </c>
      <c r="CZ302" s="1659">
        <f>+CZ261-CZ300</f>
        <v>3842.9999999999991</v>
      </c>
      <c r="DA302" s="1659">
        <f>+DB302</f>
        <v>4079.8999999999996</v>
      </c>
      <c r="DB302" s="1659">
        <f>+DB261-DB300</f>
        <v>4079.8999999999996</v>
      </c>
      <c r="DC302" s="1659">
        <f>+DC261-DC300</f>
        <v>4852.1000000000004</v>
      </c>
      <c r="DD302" s="1659">
        <f>+DE302</f>
        <v>5251.3000000000011</v>
      </c>
      <c r="DE302" s="1660">
        <f>+DE261-DE300</f>
        <v>5251.3000000000011</v>
      </c>
      <c r="DF302" s="1659">
        <f>+DF261-DF300</f>
        <v>6079.3999999999978</v>
      </c>
      <c r="DG302" s="1659">
        <f>+DH302</f>
        <v>6527.5899999999983</v>
      </c>
      <c r="DH302" s="1660">
        <f>+DH261-DH300</f>
        <v>6527.5899999999983</v>
      </c>
      <c r="DI302" s="1659">
        <f>+DI261-DI300</f>
        <v>8154.2999999999975</v>
      </c>
      <c r="DJ302" s="1659">
        <f>+DK302</f>
        <v>8381.6000000000022</v>
      </c>
      <c r="DK302" s="1660">
        <f>+DK261-DK300</f>
        <v>8381.6000000000022</v>
      </c>
      <c r="DL302" s="1272">
        <f>+DL261-DL300</f>
        <v>14033.199999999999</v>
      </c>
      <c r="DM302" s="1272">
        <f>+DN302</f>
        <v>14577.499999999996</v>
      </c>
      <c r="DN302" s="1276">
        <f>+DN261-DN300</f>
        <v>14577.499999999996</v>
      </c>
      <c r="DO302" s="1272">
        <f>+DO261-DO300</f>
        <v>17881.099999999999</v>
      </c>
      <c r="DP302" s="1272">
        <f>+DQ302</f>
        <v>17826</v>
      </c>
      <c r="DQ302" s="1276">
        <f>+DQ261-DQ300</f>
        <v>17826</v>
      </c>
      <c r="DR302" s="1272">
        <f>+DR261-DR300</f>
        <v>19162</v>
      </c>
      <c r="DS302" s="1272">
        <f>+DT302</f>
        <v>19401</v>
      </c>
      <c r="DT302" s="1276">
        <f>+DT261-DT300</f>
        <v>19401</v>
      </c>
      <c r="DU302" s="1272">
        <f>+DU261-DU300</f>
        <v>20546</v>
      </c>
      <c r="DV302" s="1272">
        <f>+DW302</f>
        <v>21407</v>
      </c>
      <c r="DW302" s="1276">
        <f>+DW261-DW300</f>
        <v>21407</v>
      </c>
      <c r="DX302" s="1272">
        <f>+DX261-DX300</f>
        <v>20460</v>
      </c>
      <c r="DY302" s="1272">
        <f>+DZ302</f>
        <v>20874.248054280935</v>
      </c>
      <c r="DZ302" s="1276">
        <f>+DZ261-DZ300</f>
        <v>20874.248054280935</v>
      </c>
      <c r="EA302" s="1272">
        <f>+EA261-EA300</f>
        <v>21782.66988722076</v>
      </c>
      <c r="EB302" s="1272">
        <f>+EC302</f>
        <v>22163.707805623802</v>
      </c>
      <c r="EC302" s="1276">
        <f>+EC261-EC300</f>
        <v>22163.707805623802</v>
      </c>
      <c r="ED302" s="1272">
        <f>+ED261-ED300</f>
        <v>23311.323178033155</v>
      </c>
      <c r="EE302" s="1272">
        <f>+EF302</f>
        <v>23763.590152667974</v>
      </c>
      <c r="EF302" s="1276">
        <f>+EF261-EF300</f>
        <v>23763.590152667974</v>
      </c>
      <c r="EG302" s="1272">
        <f>+EG261-EG300</f>
        <v>25421.022340701529</v>
      </c>
      <c r="EH302" s="1272">
        <f>+EI302</f>
        <v>26373.540058329319</v>
      </c>
      <c r="EI302" s="1276">
        <f>+EI261-EI300</f>
        <v>26373.540058329319</v>
      </c>
      <c r="EJ302" s="1272">
        <f>+EJ261-EJ300</f>
        <v>28160.520038384842</v>
      </c>
      <c r="EK302" s="1272">
        <f>+EL302</f>
        <v>29255.168900981153</v>
      </c>
      <c r="EL302" s="1276">
        <f>+EL261-EL300</f>
        <v>29255.168900981153</v>
      </c>
      <c r="EM302" s="1272">
        <f>+EM261-EM300</f>
        <v>31201.437135059059</v>
      </c>
      <c r="EN302" s="1272">
        <f>+EO302</f>
        <v>32418.324790888058</v>
      </c>
      <c r="EO302" s="1276">
        <f>+EO261-EO300</f>
        <v>32418.324790888058</v>
      </c>
      <c r="EP302" s="1272">
        <f>+EP261-EP300</f>
        <v>34516.015077309567</v>
      </c>
      <c r="EQ302" s="1272">
        <f>+ER302</f>
        <v>35886.502128347405</v>
      </c>
      <c r="ER302" s="1276">
        <f>+ER261-ER300</f>
        <v>35886.502128347405</v>
      </c>
      <c r="ES302" s="1272">
        <f>+ES261-ES300</f>
        <v>38110.837645429296</v>
      </c>
      <c r="ET302" s="1272">
        <f>+EU302</f>
        <v>39621.202619574702</v>
      </c>
      <c r="EU302" s="1276">
        <f>+EU261-EU300</f>
        <v>39621.202619574702</v>
      </c>
      <c r="EV302" s="1272">
        <f>+EV261-EV300</f>
        <v>41961.155822997534</v>
      </c>
      <c r="EW302" s="1272">
        <f>+EX302</f>
        <v>43594.704435677297</v>
      </c>
      <c r="EX302" s="1276">
        <f>+EX261-EX300</f>
        <v>43594.704435677297</v>
      </c>
      <c r="EY302" s="1272">
        <f>+EY261-EY300</f>
        <v>46076.283206039647</v>
      </c>
      <c r="EZ302" s="1272">
        <f>+FA302</f>
        <v>47841.404092383855</v>
      </c>
      <c r="FA302" s="1276">
        <f>+FA261-FA300</f>
        <v>47841.404092383855</v>
      </c>
      <c r="FD302"/>
      <c r="FE302"/>
      <c r="FF302"/>
      <c r="FG302"/>
      <c r="FH302"/>
      <c r="FI302"/>
      <c r="FJ302" s="33"/>
      <c r="FK302" s="33"/>
      <c r="FL302" s="33"/>
      <c r="FM302" s="33"/>
    </row>
    <row r="303" spans="1:169" s="33" customFormat="1">
      <c r="B303" s="54"/>
      <c r="C303" s="54"/>
      <c r="D303" s="2"/>
      <c r="E303" s="32"/>
      <c r="F303" s="32"/>
      <c r="G303" s="32"/>
      <c r="H303" s="32"/>
      <c r="I303" s="32"/>
      <c r="J303" s="32"/>
      <c r="K303" s="32"/>
      <c r="L303" s="32"/>
      <c r="M303" s="32"/>
      <c r="N303" s="32"/>
      <c r="O303" s="32"/>
      <c r="P303" s="32"/>
      <c r="Q303" s="32"/>
      <c r="R303" s="32"/>
      <c r="S303" s="32"/>
      <c r="T303" s="32"/>
      <c r="U303" s="32"/>
      <c r="V303" s="32"/>
      <c r="W303" s="32"/>
      <c r="X303" s="32"/>
      <c r="Y303" s="32"/>
      <c r="Z303" s="32"/>
      <c r="AA303" s="32"/>
      <c r="AB303" s="32"/>
      <c r="AC303" s="32"/>
      <c r="AD303" s="32"/>
      <c r="AE303" s="32"/>
      <c r="AF303" s="32"/>
      <c r="AG303" s="32"/>
      <c r="AH303" s="32"/>
      <c r="AI303" s="32"/>
      <c r="AJ303" s="32"/>
      <c r="AK303" s="32"/>
      <c r="AL303" s="32"/>
      <c r="AM303" s="32"/>
      <c r="AN303" s="32"/>
      <c r="AO303" s="32"/>
      <c r="AP303" s="32"/>
      <c r="AQ303" s="32"/>
      <c r="AR303" s="32"/>
      <c r="AS303" s="32"/>
      <c r="AT303" s="32"/>
      <c r="AU303" s="32"/>
      <c r="AV303" s="32"/>
      <c r="AW303" s="32"/>
      <c r="AX303" s="32"/>
      <c r="AY303" s="32"/>
      <c r="AZ303" s="32"/>
      <c r="BA303" s="32"/>
      <c r="BB303" s="32"/>
      <c r="BC303" s="32"/>
      <c r="BD303" s="32"/>
      <c r="BE303" s="32"/>
      <c r="BF303" s="32"/>
      <c r="BG303" s="32"/>
      <c r="BH303" s="32"/>
      <c r="BI303" s="32"/>
      <c r="BJ303" s="32"/>
      <c r="BK303" s="32"/>
      <c r="BL303" s="32"/>
      <c r="BM303" s="32"/>
      <c r="BN303" s="32"/>
      <c r="BO303" s="32"/>
      <c r="BP303" s="32"/>
      <c r="BQ303" s="32"/>
      <c r="BR303" s="32"/>
      <c r="BS303" s="32"/>
      <c r="BT303" s="32"/>
      <c r="BU303" s="32"/>
      <c r="BV303" s="32"/>
      <c r="BW303" s="32"/>
      <c r="BX303" s="32"/>
      <c r="BY303" s="32"/>
      <c r="BZ303" s="32"/>
      <c r="CA303" s="32"/>
      <c r="CB303" s="32"/>
      <c r="CC303" s="32"/>
      <c r="CD303" s="32"/>
      <c r="CE303" s="32"/>
      <c r="CF303" s="32"/>
      <c r="CG303" s="32"/>
      <c r="CH303" s="32"/>
      <c r="CI303" s="32"/>
      <c r="CJ303" s="32"/>
      <c r="CK303" s="32"/>
      <c r="CL303" s="32"/>
      <c r="CM303" s="32"/>
      <c r="CN303" s="32"/>
      <c r="CO303" s="32"/>
      <c r="CP303" s="32"/>
      <c r="CQ303" s="32"/>
      <c r="CR303" s="32"/>
      <c r="CS303" s="32"/>
      <c r="CT303" s="32"/>
      <c r="CU303" s="32"/>
      <c r="CV303" s="32"/>
      <c r="CW303" s="32"/>
      <c r="CX303" s="32"/>
      <c r="CY303" s="32"/>
      <c r="CZ303" s="32"/>
      <c r="DA303" s="32"/>
      <c r="DB303" s="32"/>
      <c r="DC303" s="32"/>
      <c r="DD303" s="32"/>
      <c r="DE303" s="1061"/>
      <c r="DF303" s="32"/>
      <c r="DG303" s="32"/>
      <c r="DH303" s="1061"/>
      <c r="DI303" s="32"/>
      <c r="DJ303" s="32"/>
      <c r="DK303" s="1061"/>
      <c r="DL303" s="32"/>
      <c r="DM303" s="32"/>
      <c r="DN303" s="1061"/>
      <c r="DO303" s="32"/>
      <c r="DP303" s="32"/>
      <c r="DQ303" s="1061"/>
      <c r="DR303" s="32"/>
      <c r="DS303" s="32"/>
      <c r="DT303" s="1061"/>
      <c r="DU303" s="32"/>
      <c r="DV303" s="32"/>
      <c r="DW303" s="1061"/>
      <c r="DX303" s="32"/>
      <c r="DY303" s="32"/>
      <c r="DZ303" s="1061"/>
      <c r="EA303" s="32"/>
      <c r="EB303" s="32"/>
      <c r="EC303" s="1061"/>
      <c r="ED303" s="32"/>
      <c r="EE303" s="32"/>
      <c r="EF303" s="1061"/>
      <c r="EG303" s="32"/>
      <c r="EH303" s="32"/>
      <c r="EI303" s="1061"/>
      <c r="EJ303" s="32"/>
      <c r="EK303" s="32"/>
      <c r="EL303" s="1061"/>
      <c r="EM303" s="32"/>
      <c r="EN303" s="32"/>
      <c r="EO303" s="1061"/>
      <c r="EP303" s="32"/>
      <c r="EQ303" s="32"/>
      <c r="ER303" s="1061"/>
      <c r="ES303" s="32"/>
      <c r="ET303" s="32"/>
      <c r="EU303" s="1061"/>
      <c r="EV303" s="32"/>
      <c r="EW303" s="32"/>
      <c r="EX303" s="1061"/>
      <c r="EY303" s="32"/>
      <c r="EZ303" s="32"/>
      <c r="FA303" s="1061"/>
      <c r="FD303"/>
      <c r="FE303"/>
      <c r="FF303"/>
      <c r="FG303"/>
      <c r="FH303"/>
      <c r="FI303"/>
    </row>
    <row r="304" spans="1:169" s="33" customFormat="1" ht="13.5" thickBot="1">
      <c r="A304" s="54"/>
      <c r="B304" s="54" t="s">
        <v>34</v>
      </c>
      <c r="C304" s="54"/>
      <c r="D304" s="2" t="s">
        <v>506</v>
      </c>
      <c r="E304" s="32"/>
      <c r="F304" s="32"/>
      <c r="G304" s="32"/>
      <c r="H304" s="32"/>
      <c r="I304" s="32"/>
      <c r="J304" s="32"/>
      <c r="K304" s="32"/>
      <c r="L304" s="32"/>
      <c r="M304" s="32"/>
      <c r="N304" s="32"/>
      <c r="O304" s="32"/>
      <c r="P304" s="32"/>
      <c r="Q304" s="32"/>
      <c r="R304" s="32"/>
      <c r="S304" s="32"/>
      <c r="T304" s="32"/>
      <c r="U304" s="32"/>
      <c r="V304" s="32"/>
      <c r="W304" s="32"/>
      <c r="X304" s="32"/>
      <c r="Y304" s="32"/>
      <c r="Z304" s="32"/>
      <c r="AA304" s="32"/>
      <c r="AB304" s="32"/>
      <c r="AC304" s="32"/>
      <c r="AD304" s="32"/>
      <c r="AE304" s="32"/>
      <c r="AF304" s="32"/>
      <c r="AG304" s="32"/>
      <c r="AH304" s="32"/>
      <c r="AI304" s="32"/>
      <c r="AJ304" s="32"/>
      <c r="AK304" s="32"/>
      <c r="AL304" s="32"/>
      <c r="AM304" s="32"/>
      <c r="AN304" s="32"/>
      <c r="AO304" s="32"/>
      <c r="AP304" s="32"/>
      <c r="AQ304" s="32"/>
      <c r="AR304" s="32"/>
      <c r="AS304" s="32"/>
      <c r="AT304" s="32"/>
      <c r="AU304" s="32"/>
      <c r="AV304" s="32"/>
      <c r="AW304" s="32"/>
      <c r="AX304" s="32"/>
      <c r="AY304" s="32"/>
      <c r="AZ304" s="32"/>
      <c r="BA304" s="32"/>
      <c r="BB304" s="32"/>
      <c r="BC304" s="32"/>
      <c r="BD304" s="32"/>
      <c r="BE304" s="32"/>
      <c r="BF304" s="32"/>
      <c r="BG304" s="32"/>
      <c r="BH304" s="32"/>
      <c r="BI304" s="32"/>
      <c r="BJ304" s="32"/>
      <c r="BK304" s="32"/>
      <c r="BL304" s="32"/>
      <c r="BM304" s="32"/>
      <c r="BN304" s="32"/>
      <c r="BO304" s="32"/>
      <c r="BP304" s="32"/>
      <c r="BQ304" s="32"/>
      <c r="BR304" s="32"/>
      <c r="BS304" s="32"/>
      <c r="BT304" s="32"/>
      <c r="BU304" s="32"/>
      <c r="BV304" s="32"/>
      <c r="BW304" s="32"/>
      <c r="BX304" s="32"/>
      <c r="BY304" s="32"/>
      <c r="BZ304" s="32"/>
      <c r="CA304" s="32"/>
      <c r="CB304" s="32"/>
      <c r="CC304" s="32"/>
      <c r="CD304" s="32"/>
      <c r="CE304" s="32"/>
      <c r="CF304" s="32"/>
      <c r="CG304" s="32"/>
      <c r="CH304" s="32"/>
      <c r="CI304" s="32"/>
      <c r="CJ304" s="32"/>
      <c r="CK304" s="32"/>
      <c r="CL304" s="32"/>
      <c r="CM304" s="32"/>
      <c r="CN304" s="32"/>
      <c r="CO304" s="32"/>
      <c r="CP304" s="32"/>
      <c r="CQ304" s="32"/>
      <c r="CR304" s="32"/>
      <c r="CS304" s="32"/>
      <c r="CT304" s="32"/>
      <c r="CU304" s="32"/>
      <c r="CV304" s="32"/>
      <c r="CW304" s="32"/>
      <c r="CX304" s="32"/>
      <c r="CY304" s="32"/>
      <c r="CZ304" s="32"/>
      <c r="DA304" s="32"/>
      <c r="DB304" s="32"/>
      <c r="DC304" s="32"/>
      <c r="DD304" s="32"/>
      <c r="DE304" s="1061"/>
      <c r="DF304" s="32"/>
      <c r="DG304" s="32"/>
      <c r="DH304" s="1061"/>
      <c r="DI304" s="32"/>
      <c r="DJ304" s="32"/>
      <c r="DK304" s="1061"/>
      <c r="DL304" s="32"/>
      <c r="DM304" s="32"/>
      <c r="DN304" s="1061"/>
      <c r="DO304" s="32"/>
      <c r="DP304" s="32"/>
      <c r="DQ304" s="1061"/>
      <c r="DR304" s="32"/>
      <c r="DS304" s="32"/>
      <c r="DT304" s="1061"/>
      <c r="DU304" s="32"/>
      <c r="DV304" s="32"/>
      <c r="DW304" s="1061"/>
      <c r="DX304" s="32"/>
      <c r="DY304" s="32"/>
      <c r="DZ304" s="1061"/>
      <c r="EA304" s="32"/>
      <c r="EB304" s="32"/>
      <c r="EC304" s="1061"/>
      <c r="ED304" s="32"/>
      <c r="EE304" s="32"/>
      <c r="EF304" s="1061"/>
      <c r="EG304" s="32"/>
      <c r="EH304" s="32"/>
      <c r="EI304" s="1061"/>
      <c r="EJ304" s="32"/>
      <c r="EK304" s="32"/>
      <c r="EL304" s="1061"/>
      <c r="EM304" s="32"/>
      <c r="EN304" s="32"/>
      <c r="EO304" s="1061"/>
      <c r="EP304" s="32"/>
      <c r="EQ304" s="32"/>
      <c r="ER304" s="1061"/>
      <c r="ES304" s="32"/>
      <c r="ET304" s="32"/>
      <c r="EU304" s="1061"/>
      <c r="EV304" s="32"/>
      <c r="EW304" s="32"/>
      <c r="EX304" s="1061"/>
      <c r="EY304" s="32"/>
      <c r="EZ304" s="32"/>
      <c r="FA304" s="1061"/>
      <c r="FD304"/>
      <c r="FE304"/>
      <c r="FF304"/>
      <c r="FG304"/>
      <c r="FH304"/>
      <c r="FI304"/>
    </row>
    <row r="305" spans="2:169" s="33" customFormat="1">
      <c r="B305" s="54" t="s">
        <v>35</v>
      </c>
      <c r="C305" s="54"/>
      <c r="D305" s="2" t="s">
        <v>506</v>
      </c>
      <c r="E305" s="1183"/>
      <c r="F305" s="32">
        <f t="shared" ref="F305:F317" si="768">+G305</f>
        <v>0</v>
      </c>
      <c r="G305" s="1215"/>
      <c r="H305" s="1185"/>
      <c r="I305" s="32">
        <f t="shared" ref="I305:I317" si="769">+J305</f>
        <v>0</v>
      </c>
      <c r="J305" s="1215"/>
      <c r="K305" s="1185"/>
      <c r="L305" s="32">
        <f t="shared" ref="L305:L317" si="770">+M305</f>
        <v>0</v>
      </c>
      <c r="M305" s="1215"/>
      <c r="N305" s="1185"/>
      <c r="O305" s="32">
        <f t="shared" ref="O305:O317" si="771">+P305</f>
        <v>0</v>
      </c>
      <c r="P305" s="1215"/>
      <c r="Q305" s="1185"/>
      <c r="R305" s="32">
        <f t="shared" ref="R305:R317" si="772">+S305</f>
        <v>0</v>
      </c>
      <c r="S305" s="1215"/>
      <c r="T305" s="1185"/>
      <c r="U305" s="32">
        <f t="shared" ref="U305:U317" si="773">+V305</f>
        <v>0</v>
      </c>
      <c r="V305" s="1215"/>
      <c r="W305" s="1185"/>
      <c r="X305" s="32">
        <f t="shared" ref="X305:X317" si="774">+Y305</f>
        <v>0</v>
      </c>
      <c r="Y305" s="1215"/>
      <c r="Z305" s="1185"/>
      <c r="AA305" s="32">
        <f t="shared" ref="AA305:AA317" si="775">+AB305</f>
        <v>0</v>
      </c>
      <c r="AB305" s="1215"/>
      <c r="AC305" s="1185"/>
      <c r="AD305" s="32">
        <f t="shared" ref="AD305:AD317" si="776">+AE305</f>
        <v>0</v>
      </c>
      <c r="AE305" s="1215"/>
      <c r="AF305" s="1185"/>
      <c r="AG305" s="32">
        <f t="shared" ref="AG305:AG317" si="777">+AH305</f>
        <v>0</v>
      </c>
      <c r="AH305" s="1215"/>
      <c r="AI305" s="1185"/>
      <c r="AJ305" s="32">
        <f t="shared" ref="AJ305:AJ317" si="778">+AK305</f>
        <v>0</v>
      </c>
      <c r="AK305" s="1215"/>
      <c r="AL305" s="1185"/>
      <c r="AM305" s="32">
        <f t="shared" ref="AM305:AM317" si="779">+AN305</f>
        <v>0</v>
      </c>
      <c r="AN305" s="1215"/>
      <c r="AO305" s="1185"/>
      <c r="AP305" s="32">
        <f t="shared" ref="AP305:AP317" si="780">+AQ305</f>
        <v>0</v>
      </c>
      <c r="AQ305" s="1215"/>
      <c r="AR305" s="1185"/>
      <c r="AS305" s="32">
        <f t="shared" ref="AS305:AS317" si="781">+AT305</f>
        <v>0</v>
      </c>
      <c r="AT305" s="1215"/>
      <c r="AU305" s="1185"/>
      <c r="AV305" s="32">
        <f t="shared" ref="AV305:AV317" si="782">+AW305</f>
        <v>0</v>
      </c>
      <c r="AW305" s="1215"/>
      <c r="AX305" s="1185"/>
      <c r="AY305" s="32">
        <f t="shared" ref="AY305:AY317" si="783">+AZ305</f>
        <v>0</v>
      </c>
      <c r="AZ305" s="1215"/>
      <c r="BA305" s="1185"/>
      <c r="BB305" s="32">
        <f t="shared" ref="BB305:BB317" si="784">+BC305</f>
        <v>0</v>
      </c>
      <c r="BC305" s="1215"/>
      <c r="BD305" s="1185"/>
      <c r="BE305" s="32">
        <f t="shared" ref="BE305:BE317" si="785">+BF305</f>
        <v>0</v>
      </c>
      <c r="BF305" s="1215"/>
      <c r="BG305" s="1185"/>
      <c r="BH305" s="32">
        <f t="shared" ref="BH305:BH317" si="786">+BI305</f>
        <v>0</v>
      </c>
      <c r="BI305" s="1215"/>
      <c r="BJ305" s="1185"/>
      <c r="BK305" s="32">
        <f t="shared" ref="BK305:BK317" si="787">+BL305</f>
        <v>0</v>
      </c>
      <c r="BL305" s="1215"/>
      <c r="BM305" s="1185"/>
      <c r="BN305" s="32">
        <f t="shared" ref="BN305:BN317" si="788">+BO305</f>
        <v>0</v>
      </c>
      <c r="BO305" s="1215"/>
      <c r="BP305" s="1185"/>
      <c r="BQ305" s="32">
        <f t="shared" ref="BQ305:BQ317" si="789">+BR305</f>
        <v>0</v>
      </c>
      <c r="BR305" s="1215"/>
      <c r="BS305" s="1185"/>
      <c r="BT305" s="32">
        <f t="shared" ref="BT305:BT317" si="790">+BU305</f>
        <v>0</v>
      </c>
      <c r="BU305" s="1215"/>
      <c r="BV305" s="1185"/>
      <c r="BW305" s="32">
        <f t="shared" ref="BW305:BW317" si="791">+BX305</f>
        <v>1286.297</v>
      </c>
      <c r="BX305" s="1183">
        <f>1034.337+251.96</f>
        <v>1286.297</v>
      </c>
      <c r="BY305" s="1185"/>
      <c r="BZ305" s="32">
        <f t="shared" ref="BZ305:BZ317" si="792">+CA305</f>
        <v>2145</v>
      </c>
      <c r="CA305" s="1183">
        <f>2145</f>
        <v>2145</v>
      </c>
      <c r="CB305" s="1185"/>
      <c r="CC305" s="32">
        <f t="shared" ref="CC305:CC317" si="793">+CD305</f>
        <v>1144.6180000000002</v>
      </c>
      <c r="CD305" s="1183">
        <f>5.39+1139.228</f>
        <v>1144.6180000000002</v>
      </c>
      <c r="CE305" s="1185"/>
      <c r="CF305" s="32">
        <f t="shared" ref="CF305:CF317" si="794">+CG305</f>
        <v>1175.636</v>
      </c>
      <c r="CG305" s="1183">
        <f>253.896+921.74</f>
        <v>1175.636</v>
      </c>
      <c r="CH305" s="1198">
        <v>-166.79</v>
      </c>
      <c r="CI305" s="32">
        <f t="shared" ref="CI305:CI317" si="795">+CJ305</f>
        <v>-373.3</v>
      </c>
      <c r="CJ305" s="1244">
        <v>-373.3</v>
      </c>
      <c r="CK305" s="1198">
        <v>-1978.3</v>
      </c>
      <c r="CL305" s="32">
        <f t="shared" ref="CL305:CL317" si="796">+CM305</f>
        <v>-1978.3</v>
      </c>
      <c r="CM305" s="1244">
        <v>-1978.3</v>
      </c>
      <c r="CN305" s="1198">
        <v>-2190.5</v>
      </c>
      <c r="CO305" s="32">
        <f t="shared" ref="CO305:CO317" si="797">+CP305</f>
        <v>-2797.8</v>
      </c>
      <c r="CP305" s="1244">
        <v>-2797.8</v>
      </c>
      <c r="CQ305" s="1185">
        <f>+-2912.1</f>
        <v>-2912.1</v>
      </c>
      <c r="CR305" s="32">
        <f t="shared" ref="CR305:CR317" si="798">+CS305</f>
        <v>-3560.4</v>
      </c>
      <c r="CS305" s="1244">
        <v>-3560.4</v>
      </c>
      <c r="CT305" s="1185">
        <f>+-3722.3</f>
        <v>-3722.3</v>
      </c>
      <c r="CU305" s="32">
        <f t="shared" ref="CU305:CU317" si="799">+CV305</f>
        <v>-4213</v>
      </c>
      <c r="CV305" s="1183">
        <f>+-4213</f>
        <v>-4213</v>
      </c>
      <c r="CW305" s="1185">
        <f>+-4315.3</f>
        <v>-4315.3</v>
      </c>
      <c r="CX305" s="32">
        <f t="shared" ref="CX305:CX317" si="800">+CY305</f>
        <v>-4534.3</v>
      </c>
      <c r="CY305" s="1244">
        <v>-4534.3</v>
      </c>
      <c r="CZ305" s="1185">
        <f>+-4643.8</f>
        <v>-4643.8</v>
      </c>
      <c r="DA305" s="32">
        <f t="shared" ref="DA305:DA317" si="801">+DB305</f>
        <v>-4634.5</v>
      </c>
      <c r="DB305" s="1183">
        <v>-4634.5</v>
      </c>
      <c r="DC305" s="1185">
        <v>-4615</v>
      </c>
      <c r="DD305" s="32">
        <f t="shared" ref="DD305:DD317" si="802">+DE305</f>
        <v>-4603</v>
      </c>
      <c r="DE305" s="1560">
        <v>-4603</v>
      </c>
      <c r="DF305" s="1561">
        <f>-4575.9</f>
        <v>-4575.8999999999996</v>
      </c>
      <c r="DG305" s="1530">
        <f t="shared" ref="DG305:DG317" si="803">+DH305</f>
        <v>-4561</v>
      </c>
      <c r="DH305" s="1562">
        <v>-4561</v>
      </c>
      <c r="DI305" s="1543">
        <v>-4522.8</v>
      </c>
      <c r="DJ305" s="1530">
        <f t="shared" ref="DJ305:DJ317" si="804">+DK305</f>
        <v>-4504.6000000000004</v>
      </c>
      <c r="DK305" s="1562">
        <v>-4504.6000000000004</v>
      </c>
      <c r="DL305" s="1530">
        <v>-46.5</v>
      </c>
      <c r="DM305" s="1530">
        <f t="shared" ref="DM305:DM317" si="805">+DN305</f>
        <v>483.8</v>
      </c>
      <c r="DN305" s="1531">
        <v>483.8</v>
      </c>
      <c r="DO305" s="1558">
        <v>497.3</v>
      </c>
      <c r="DP305" s="1530">
        <f t="shared" ref="DP305:DP317" si="806">+DQ305</f>
        <v>517</v>
      </c>
      <c r="DQ305" s="1532">
        <v>517</v>
      </c>
      <c r="DR305" s="1558">
        <v>537</v>
      </c>
      <c r="DS305" s="1530">
        <f t="shared" ref="DS305:DS317" si="807">+DT305</f>
        <v>557</v>
      </c>
      <c r="DT305" s="1532">
        <v>557</v>
      </c>
      <c r="DU305" s="1558">
        <v>576</v>
      </c>
      <c r="DV305" s="1530">
        <f t="shared" ref="DV305:DV317" si="808">+DW305</f>
        <v>574</v>
      </c>
      <c r="DW305" s="1532">
        <v>574</v>
      </c>
      <c r="DX305" s="1558">
        <v>206</v>
      </c>
      <c r="DY305" s="32">
        <f t="shared" ref="DY305:DY317" si="809">+DZ305</f>
        <v>-176</v>
      </c>
      <c r="DZ305" s="1061">
        <f>IF(DZ5="A","",+DX305+DY206+DY354+DY455)</f>
        <v>-176</v>
      </c>
      <c r="EA305" s="32">
        <f>IF(EA5="A","",+DZ305+EA206+EA354+EA455)</f>
        <v>-551</v>
      </c>
      <c r="EB305" s="32">
        <f t="shared" ref="EB305:EB317" si="810">+EC305</f>
        <v>-926</v>
      </c>
      <c r="EC305" s="1061">
        <f>IF(EC5="A","",+DZ305+EC206+EC354+EC455)</f>
        <v>-926</v>
      </c>
      <c r="ED305" s="32">
        <f>IF(ED5="A","",+EC305+ED206+ED354+ED455)</f>
        <v>-1301</v>
      </c>
      <c r="EE305" s="32">
        <f t="shared" ref="EE305:EE317" si="811">+EF305</f>
        <v>-1676</v>
      </c>
      <c r="EF305" s="1061">
        <f>IF(EF5="A","",+EC305+EF206+EF354+EF455)</f>
        <v>-1676</v>
      </c>
      <c r="EG305" s="32">
        <f>IF(EG5="A","",+EF305+EG206+EG354+EG455)</f>
        <v>-1676</v>
      </c>
      <c r="EH305" s="32">
        <f t="shared" ref="EH305:EH317" si="812">+EI305</f>
        <v>-1676</v>
      </c>
      <c r="EI305" s="1061">
        <f>IF(EI5="A","",+EF305+EI206+EI354+EI455)</f>
        <v>-1676</v>
      </c>
      <c r="EJ305" s="32">
        <f>IF(EJ5="A","",+EI305+EJ206+EJ354+EJ455)</f>
        <v>-1676</v>
      </c>
      <c r="EK305" s="32">
        <f t="shared" ref="EK305:EK317" si="813">+EL305</f>
        <v>-1676</v>
      </c>
      <c r="EL305" s="1061">
        <f>IF(EL5="A","",+EI305+EL206+EL354+EL455)</f>
        <v>-1676</v>
      </c>
      <c r="EM305" s="32">
        <f>IF(EM5="A","",+EL305+EM206+EM354+EM455)</f>
        <v>-1676</v>
      </c>
      <c r="EN305" s="32">
        <f t="shared" ref="EN305:EN317" si="814">+EO305</f>
        <v>-1676</v>
      </c>
      <c r="EO305" s="1061">
        <f>IF(EO5="A","",+EL305+EO206+EO354+EO455)</f>
        <v>-1676</v>
      </c>
      <c r="EP305" s="32">
        <f>IF(EP5="A","",+EO305+EP206+EP354+EP455)</f>
        <v>-1676</v>
      </c>
      <c r="EQ305" s="32">
        <f t="shared" ref="EQ305:EQ317" si="815">+ER305</f>
        <v>-1676</v>
      </c>
      <c r="ER305" s="1061">
        <f>IF(ER5="A","",+EO305+ER206+ER354+ER455)</f>
        <v>-1676</v>
      </c>
      <c r="ES305" s="32">
        <f>IF(ES5="A","",+ER305+ES206+ES354+ES455)</f>
        <v>-1676</v>
      </c>
      <c r="ET305" s="32">
        <f t="shared" ref="ET305:ET317" si="816">+EU305</f>
        <v>-1676</v>
      </c>
      <c r="EU305" s="1061">
        <f>IF(EU5="A","",+ER305+EU206+EU354+EU455)</f>
        <v>-1676</v>
      </c>
      <c r="EV305" s="32">
        <f>IF(EV5="A","",+EU305+EV206+EV354+EV455)</f>
        <v>-1676</v>
      </c>
      <c r="EW305" s="32">
        <f t="shared" ref="EW305:EW317" si="817">+EX305</f>
        <v>-1676</v>
      </c>
      <c r="EX305" s="1061">
        <f>IF(EX5="A","",+EU305+EX206+EX354+EX455)</f>
        <v>-1676</v>
      </c>
      <c r="EY305" s="32">
        <f>IF(EY5="A","",+EX305+EY206+EY354+EY455)</f>
        <v>-1676</v>
      </c>
      <c r="EZ305" s="32">
        <f t="shared" ref="EZ305:EZ317" si="818">+FA305</f>
        <v>-1676</v>
      </c>
      <c r="FA305" s="1061">
        <f>IF(FA5="A","",+EX305+FA206+FA354+FA455)</f>
        <v>-1676</v>
      </c>
      <c r="FD305"/>
      <c r="FE305"/>
      <c r="FF305"/>
      <c r="FG305"/>
      <c r="FH305"/>
      <c r="FI305"/>
    </row>
    <row r="306" spans="2:169" s="33" customFormat="1" ht="13.5" thickBot="1">
      <c r="B306" s="54" t="s">
        <v>36</v>
      </c>
      <c r="C306" s="54"/>
      <c r="D306" s="2" t="s">
        <v>506</v>
      </c>
      <c r="E306" s="1188"/>
      <c r="F306" s="32">
        <f t="shared" si="768"/>
        <v>0</v>
      </c>
      <c r="G306" s="1247"/>
      <c r="H306" s="1190"/>
      <c r="I306" s="32">
        <f t="shared" si="769"/>
        <v>0</v>
      </c>
      <c r="J306" s="1247"/>
      <c r="K306" s="1190"/>
      <c r="L306" s="32">
        <f t="shared" si="770"/>
        <v>0</v>
      </c>
      <c r="M306" s="1247"/>
      <c r="N306" s="1190"/>
      <c r="O306" s="32">
        <f t="shared" si="771"/>
        <v>0</v>
      </c>
      <c r="P306" s="1247"/>
      <c r="Q306" s="1190"/>
      <c r="R306" s="32">
        <f t="shared" si="772"/>
        <v>0</v>
      </c>
      <c r="S306" s="1247"/>
      <c r="T306" s="1190"/>
      <c r="U306" s="32">
        <f t="shared" si="773"/>
        <v>0</v>
      </c>
      <c r="V306" s="1247"/>
      <c r="W306" s="1190"/>
      <c r="X306" s="32">
        <f t="shared" si="774"/>
        <v>0</v>
      </c>
      <c r="Y306" s="1247"/>
      <c r="Z306" s="1190"/>
      <c r="AA306" s="32">
        <f t="shared" si="775"/>
        <v>0</v>
      </c>
      <c r="AB306" s="1247"/>
      <c r="AC306" s="1190"/>
      <c r="AD306" s="32">
        <f t="shared" si="776"/>
        <v>0</v>
      </c>
      <c r="AE306" s="1247"/>
      <c r="AF306" s="1190"/>
      <c r="AG306" s="32">
        <f t="shared" si="777"/>
        <v>0</v>
      </c>
      <c r="AH306" s="1247"/>
      <c r="AI306" s="1190"/>
      <c r="AJ306" s="32">
        <f t="shared" si="778"/>
        <v>0</v>
      </c>
      <c r="AK306" s="1247"/>
      <c r="AL306" s="1190"/>
      <c r="AM306" s="32">
        <f t="shared" si="779"/>
        <v>0</v>
      </c>
      <c r="AN306" s="1247"/>
      <c r="AO306" s="1190"/>
      <c r="AP306" s="32">
        <f t="shared" si="780"/>
        <v>0</v>
      </c>
      <c r="AQ306" s="1247"/>
      <c r="AR306" s="1190"/>
      <c r="AS306" s="32">
        <f t="shared" si="781"/>
        <v>0</v>
      </c>
      <c r="AT306" s="1247"/>
      <c r="AU306" s="1190"/>
      <c r="AV306" s="32">
        <f t="shared" si="782"/>
        <v>0</v>
      </c>
      <c r="AW306" s="1247"/>
      <c r="AX306" s="1190"/>
      <c r="AY306" s="32">
        <f t="shared" si="783"/>
        <v>0</v>
      </c>
      <c r="AZ306" s="1247"/>
      <c r="BA306" s="1190"/>
      <c r="BB306" s="32">
        <f t="shared" si="784"/>
        <v>0</v>
      </c>
      <c r="BC306" s="1247"/>
      <c r="BD306" s="1190"/>
      <c r="BE306" s="32">
        <f t="shared" si="785"/>
        <v>0</v>
      </c>
      <c r="BF306" s="1247"/>
      <c r="BG306" s="1190"/>
      <c r="BH306" s="32">
        <f t="shared" si="786"/>
        <v>0</v>
      </c>
      <c r="BI306" s="1247"/>
      <c r="BJ306" s="1190"/>
      <c r="BK306" s="32">
        <f t="shared" si="787"/>
        <v>0</v>
      </c>
      <c r="BL306" s="1247"/>
      <c r="BM306" s="1190"/>
      <c r="BN306" s="32">
        <f t="shared" si="788"/>
        <v>0</v>
      </c>
      <c r="BO306" s="1247"/>
      <c r="BP306" s="1190"/>
      <c r="BQ306" s="32">
        <f t="shared" si="789"/>
        <v>0</v>
      </c>
      <c r="BR306" s="1247"/>
      <c r="BS306" s="1190"/>
      <c r="BT306" s="32">
        <f t="shared" si="790"/>
        <v>0</v>
      </c>
      <c r="BU306" s="1247"/>
      <c r="BV306" s="1190"/>
      <c r="BW306" s="32">
        <f t="shared" si="791"/>
        <v>0</v>
      </c>
      <c r="BX306" s="1188"/>
      <c r="BY306" s="1190"/>
      <c r="BZ306" s="32">
        <f t="shared" si="792"/>
        <v>0</v>
      </c>
      <c r="CA306" s="1188"/>
      <c r="CB306" s="1190"/>
      <c r="CC306" s="32">
        <f t="shared" si="793"/>
        <v>0</v>
      </c>
      <c r="CD306" s="1188"/>
      <c r="CE306" s="1190"/>
      <c r="CF306" s="32">
        <f t="shared" si="794"/>
        <v>0</v>
      </c>
      <c r="CG306" s="1188"/>
      <c r="CH306" s="1190"/>
      <c r="CI306" s="32">
        <f t="shared" si="795"/>
        <v>0</v>
      </c>
      <c r="CJ306" s="1188"/>
      <c r="CK306" s="1190"/>
      <c r="CL306" s="32">
        <f t="shared" si="796"/>
        <v>0</v>
      </c>
      <c r="CM306" s="1188"/>
      <c r="CN306" s="1190"/>
      <c r="CO306" s="32">
        <f t="shared" si="797"/>
        <v>0</v>
      </c>
      <c r="CP306" s="1188"/>
      <c r="CQ306" s="1190"/>
      <c r="CR306" s="32">
        <f t="shared" si="798"/>
        <v>0</v>
      </c>
      <c r="CS306" s="1188"/>
      <c r="CT306" s="1190"/>
      <c r="CU306" s="32">
        <f t="shared" si="799"/>
        <v>0</v>
      </c>
      <c r="CV306" s="1188"/>
      <c r="CW306" s="1190"/>
      <c r="CX306" s="32">
        <f t="shared" si="800"/>
        <v>0</v>
      </c>
      <c r="CY306" s="1188"/>
      <c r="CZ306" s="1190"/>
      <c r="DA306" s="32">
        <f t="shared" si="801"/>
        <v>0</v>
      </c>
      <c r="DB306" s="1188"/>
      <c r="DC306" s="1190"/>
      <c r="DD306" s="32">
        <f t="shared" si="802"/>
        <v>0</v>
      </c>
      <c r="DE306" s="1248"/>
      <c r="DF306" s="1190"/>
      <c r="DG306" s="32">
        <f t="shared" si="803"/>
        <v>0</v>
      </c>
      <c r="DH306" s="1248"/>
      <c r="DI306" s="1190"/>
      <c r="DJ306" s="32">
        <f t="shared" si="804"/>
        <v>0</v>
      </c>
      <c r="DK306" s="1248"/>
      <c r="DL306" s="32"/>
      <c r="DM306" s="32">
        <f t="shared" si="805"/>
        <v>0</v>
      </c>
      <c r="DN306" s="1061"/>
      <c r="DO306" s="1693"/>
      <c r="DP306" s="32">
        <f t="shared" si="806"/>
        <v>0</v>
      </c>
      <c r="DQ306" s="1061"/>
      <c r="DR306" s="32"/>
      <c r="DS306" s="32">
        <f t="shared" si="807"/>
        <v>0</v>
      </c>
      <c r="DT306" s="1061"/>
      <c r="DU306" s="32"/>
      <c r="DV306" s="32">
        <f t="shared" si="808"/>
        <v>0</v>
      </c>
      <c r="DW306" s="1061"/>
      <c r="DX306" s="32"/>
      <c r="DY306" s="32">
        <f t="shared" si="809"/>
        <v>0</v>
      </c>
      <c r="DZ306" s="1061"/>
      <c r="EA306" s="32"/>
      <c r="EB306" s="32">
        <f t="shared" si="810"/>
        <v>0</v>
      </c>
      <c r="EC306" s="1061"/>
      <c r="ED306" s="32"/>
      <c r="EE306" s="32">
        <f t="shared" si="811"/>
        <v>0</v>
      </c>
      <c r="EF306" s="1061"/>
      <c r="EG306" s="32"/>
      <c r="EH306" s="32">
        <f t="shared" si="812"/>
        <v>0</v>
      </c>
      <c r="EI306" s="1061"/>
      <c r="EJ306" s="32"/>
      <c r="EK306" s="32">
        <f t="shared" si="813"/>
        <v>0</v>
      </c>
      <c r="EL306" s="1061"/>
      <c r="EM306" s="32"/>
      <c r="EN306" s="32">
        <f t="shared" si="814"/>
        <v>0</v>
      </c>
      <c r="EO306" s="1061"/>
      <c r="EP306" s="32"/>
      <c r="EQ306" s="32">
        <f t="shared" si="815"/>
        <v>0</v>
      </c>
      <c r="ER306" s="1061"/>
      <c r="ES306" s="32"/>
      <c r="ET306" s="32">
        <f t="shared" si="816"/>
        <v>0</v>
      </c>
      <c r="EU306" s="1061"/>
      <c r="EV306" s="32"/>
      <c r="EW306" s="32">
        <f t="shared" si="817"/>
        <v>0</v>
      </c>
      <c r="EX306" s="1061"/>
      <c r="EY306" s="32"/>
      <c r="EZ306" s="32">
        <f t="shared" si="818"/>
        <v>0</v>
      </c>
      <c r="FA306" s="1061"/>
      <c r="FD306"/>
      <c r="FE306"/>
      <c r="FF306"/>
      <c r="FG306"/>
      <c r="FH306"/>
      <c r="FI306"/>
    </row>
    <row r="307" spans="2:169" s="33" customFormat="1" ht="13.5" thickBot="1">
      <c r="B307" s="1140" t="s">
        <v>37</v>
      </c>
      <c r="C307" s="54"/>
      <c r="D307" s="2" t="s">
        <v>506</v>
      </c>
      <c r="E307" s="32">
        <f>+SUM(E308:E313)</f>
        <v>0</v>
      </c>
      <c r="F307" s="32">
        <f t="shared" si="768"/>
        <v>0</v>
      </c>
      <c r="G307" s="32">
        <f>+SUM(G308:G313)</f>
        <v>0</v>
      </c>
      <c r="H307" s="32">
        <f>+SUM(H308:H313)</f>
        <v>0</v>
      </c>
      <c r="I307" s="32">
        <f t="shared" si="769"/>
        <v>0</v>
      </c>
      <c r="J307" s="32">
        <f>+SUM(J308:J313)</f>
        <v>0</v>
      </c>
      <c r="K307" s="32">
        <f>+SUM(K308:K313)</f>
        <v>0</v>
      </c>
      <c r="L307" s="32">
        <f t="shared" si="770"/>
        <v>0</v>
      </c>
      <c r="M307" s="32">
        <f>+SUM(M308:M313)</f>
        <v>0</v>
      </c>
      <c r="N307" s="32">
        <f>+SUM(N308:N313)</f>
        <v>0</v>
      </c>
      <c r="O307" s="32">
        <f t="shared" si="771"/>
        <v>0</v>
      </c>
      <c r="P307" s="32">
        <f>+SUM(P308:P313)</f>
        <v>0</v>
      </c>
      <c r="Q307" s="32">
        <f>+SUM(Q308:Q313)</f>
        <v>0</v>
      </c>
      <c r="R307" s="32">
        <f t="shared" si="772"/>
        <v>0</v>
      </c>
      <c r="S307" s="32">
        <f>+SUM(S308:S313)</f>
        <v>0</v>
      </c>
      <c r="T307" s="32">
        <f>+SUM(T308:T313)</f>
        <v>0</v>
      </c>
      <c r="U307" s="32">
        <f t="shared" si="773"/>
        <v>0</v>
      </c>
      <c r="V307" s="32">
        <f>+SUM(V308:V313)</f>
        <v>0</v>
      </c>
      <c r="W307" s="32">
        <f>+SUM(W308:W313)</f>
        <v>0</v>
      </c>
      <c r="X307" s="32">
        <f t="shared" si="774"/>
        <v>0</v>
      </c>
      <c r="Y307" s="32">
        <f>+SUM(Y308:Y313)</f>
        <v>0</v>
      </c>
      <c r="Z307" s="32">
        <f>+SUM(Z308:Z313)</f>
        <v>0</v>
      </c>
      <c r="AA307" s="32">
        <f t="shared" si="775"/>
        <v>0</v>
      </c>
      <c r="AB307" s="32">
        <f>+SUM(AB308:AB313)</f>
        <v>0</v>
      </c>
      <c r="AC307" s="32">
        <f>+SUM(AC308:AC313)</f>
        <v>0</v>
      </c>
      <c r="AD307" s="32">
        <f t="shared" si="776"/>
        <v>0</v>
      </c>
      <c r="AE307" s="32">
        <f>+SUM(AE308:AE313)</f>
        <v>0</v>
      </c>
      <c r="AF307" s="32">
        <f>+SUM(AF308:AF313)</f>
        <v>0</v>
      </c>
      <c r="AG307" s="32">
        <f t="shared" si="777"/>
        <v>0</v>
      </c>
      <c r="AH307" s="32">
        <f>+SUM(AH308:AH313)</f>
        <v>0</v>
      </c>
      <c r="AI307" s="32">
        <f>+SUM(AI308:AI313)</f>
        <v>0</v>
      </c>
      <c r="AJ307" s="32">
        <f t="shared" si="778"/>
        <v>0</v>
      </c>
      <c r="AK307" s="32">
        <f>+SUM(AK308:AK313)</f>
        <v>0</v>
      </c>
      <c r="AL307" s="32">
        <f>+SUM(AL308:AL313)</f>
        <v>0</v>
      </c>
      <c r="AM307" s="32">
        <f t="shared" si="779"/>
        <v>0</v>
      </c>
      <c r="AN307" s="32">
        <f>+SUM(AN308:AN313)</f>
        <v>0</v>
      </c>
      <c r="AO307" s="32">
        <f>+SUM(AO308:AO313)</f>
        <v>0</v>
      </c>
      <c r="AP307" s="32">
        <f t="shared" si="780"/>
        <v>0</v>
      </c>
      <c r="AQ307" s="32">
        <f>+SUM(AQ308:AQ313)</f>
        <v>0</v>
      </c>
      <c r="AR307" s="32">
        <f>+SUM(AR308:AR313)</f>
        <v>0</v>
      </c>
      <c r="AS307" s="32">
        <f t="shared" si="781"/>
        <v>0</v>
      </c>
      <c r="AT307" s="32">
        <f>+SUM(AT308:AT313)</f>
        <v>0</v>
      </c>
      <c r="AU307" s="32">
        <f>+SUM(AU308:AU313)</f>
        <v>0</v>
      </c>
      <c r="AV307" s="32">
        <f t="shared" si="782"/>
        <v>0</v>
      </c>
      <c r="AW307" s="32">
        <f>+SUM(AW308:AW313)</f>
        <v>0</v>
      </c>
      <c r="AX307" s="32">
        <f>+SUM(AX308:AX313)</f>
        <v>0</v>
      </c>
      <c r="AY307" s="32">
        <f t="shared" si="783"/>
        <v>0</v>
      </c>
      <c r="AZ307" s="32">
        <f>+SUM(AZ308:AZ313)</f>
        <v>0</v>
      </c>
      <c r="BA307" s="32">
        <f>+SUM(BA308:BA313)</f>
        <v>0</v>
      </c>
      <c r="BB307" s="32">
        <f t="shared" si="784"/>
        <v>0</v>
      </c>
      <c r="BC307" s="32">
        <f>+SUM(BC308:BC313)</f>
        <v>0</v>
      </c>
      <c r="BD307" s="32">
        <f>+SUM(BD308:BD313)</f>
        <v>0</v>
      </c>
      <c r="BE307" s="32">
        <f t="shared" si="785"/>
        <v>0</v>
      </c>
      <c r="BF307" s="32">
        <f>+SUM(BF308:BF313)</f>
        <v>0</v>
      </c>
      <c r="BG307" s="32">
        <f>+SUM(BG308:BG313)</f>
        <v>0</v>
      </c>
      <c r="BH307" s="32">
        <f t="shared" si="786"/>
        <v>0</v>
      </c>
      <c r="BI307" s="32">
        <f>+SUM(BI308:BI313)</f>
        <v>0</v>
      </c>
      <c r="BJ307" s="32">
        <f>+SUM(BJ308:BJ313)</f>
        <v>0</v>
      </c>
      <c r="BK307" s="32">
        <f t="shared" si="787"/>
        <v>0</v>
      </c>
      <c r="BL307" s="32">
        <f>+SUM(BL308:BL313)</f>
        <v>0</v>
      </c>
      <c r="BM307" s="32">
        <f>+SUM(BM308:BM313)</f>
        <v>0</v>
      </c>
      <c r="BN307" s="32">
        <f t="shared" si="788"/>
        <v>0</v>
      </c>
      <c r="BO307" s="32">
        <f>+SUM(BO308:BO313)</f>
        <v>0</v>
      </c>
      <c r="BP307" s="32">
        <f>+SUM(BP308:BP313)</f>
        <v>0</v>
      </c>
      <c r="BQ307" s="32">
        <f t="shared" si="789"/>
        <v>0</v>
      </c>
      <c r="BR307" s="32">
        <f>+SUM(BR308:BR313)</f>
        <v>0</v>
      </c>
      <c r="BS307" s="32">
        <f>+SUM(BS308:BS313)</f>
        <v>0</v>
      </c>
      <c r="BT307" s="32">
        <f t="shared" si="790"/>
        <v>0</v>
      </c>
      <c r="BU307" s="32">
        <f>+SUM(BU308:BU313)</f>
        <v>0</v>
      </c>
      <c r="BV307" s="32">
        <f>+SUM(BV308:BV313)</f>
        <v>0</v>
      </c>
      <c r="BW307" s="32">
        <f t="shared" si="791"/>
        <v>-134.29900000000001</v>
      </c>
      <c r="BX307" s="32">
        <f>+SUM(BX308:BX313)</f>
        <v>-134.29900000000001</v>
      </c>
      <c r="BY307" s="32">
        <f>+SUM(BY308:BY313)</f>
        <v>0</v>
      </c>
      <c r="BZ307" s="32">
        <f t="shared" si="792"/>
        <v>142</v>
      </c>
      <c r="CA307" s="32">
        <f>+SUM(CA308:CA313)</f>
        <v>142</v>
      </c>
      <c r="CB307" s="32">
        <f>+SUM(CB308:CB313)</f>
        <v>0</v>
      </c>
      <c r="CC307" s="32">
        <f t="shared" si="793"/>
        <v>-242.61500000000001</v>
      </c>
      <c r="CD307" s="32">
        <f>+SUM(CD308:CD313)</f>
        <v>-242.61500000000001</v>
      </c>
      <c r="CE307" s="32">
        <f>+SUM(CE308:CE313)</f>
        <v>0</v>
      </c>
      <c r="CF307" s="32">
        <f t="shared" si="794"/>
        <v>-421.63499999999999</v>
      </c>
      <c r="CG307" s="32">
        <f>+SUM(CG308:CG313)</f>
        <v>-421.63499999999999</v>
      </c>
      <c r="CH307" s="32">
        <f>+SUM(CH308:CH313)</f>
        <v>-486.48599999999999</v>
      </c>
      <c r="CI307" s="32">
        <f t="shared" si="795"/>
        <v>-522.9</v>
      </c>
      <c r="CJ307" s="32">
        <f>+SUM(CJ308:CJ313)</f>
        <v>-522.9</v>
      </c>
      <c r="CK307" s="32">
        <f>+SUM(CK308:CK313)</f>
        <v>578.29999999999995</v>
      </c>
      <c r="CL307" s="32">
        <f t="shared" si="796"/>
        <v>578.29999999999995</v>
      </c>
      <c r="CM307" s="32">
        <f>+SUM(CM308:CM313)</f>
        <v>578.29999999999995</v>
      </c>
      <c r="CN307" s="32">
        <f>+SUM(CN308:CN313)</f>
        <v>656.2</v>
      </c>
      <c r="CO307" s="32">
        <f t="shared" si="797"/>
        <v>738.3</v>
      </c>
      <c r="CP307" s="32">
        <f>+SUM(CP308:CP313)</f>
        <v>738.3</v>
      </c>
      <c r="CQ307" s="32">
        <f>+SUM(CQ308:CQ313)</f>
        <v>315.7</v>
      </c>
      <c r="CR307" s="32">
        <f t="shared" si="798"/>
        <v>306.5</v>
      </c>
      <c r="CS307" s="32">
        <f>+SUM(CS308:CS313)</f>
        <v>306.5</v>
      </c>
      <c r="CT307" s="32">
        <f>+SUM(CT308:CT313)</f>
        <v>143.9</v>
      </c>
      <c r="CU307" s="32">
        <f t="shared" si="799"/>
        <v>187.9</v>
      </c>
      <c r="CV307" s="32">
        <f>+SUM(CV308:CV313)</f>
        <v>187.9</v>
      </c>
      <c r="CW307" s="32">
        <f>+SUM(CW308:CW313)</f>
        <v>82</v>
      </c>
      <c r="CX307" s="32">
        <f t="shared" si="800"/>
        <v>294.2</v>
      </c>
      <c r="CY307" s="32">
        <f>+SUM(CY308:CY313)</f>
        <v>294.2</v>
      </c>
      <c r="CZ307" s="32">
        <f>+SUM(CZ308:CZ313)</f>
        <v>296.60000000000002</v>
      </c>
      <c r="DA307" s="32">
        <f t="shared" si="801"/>
        <v>224.2</v>
      </c>
      <c r="DB307" s="32">
        <f>+SUM(DB308:DB313)</f>
        <v>224.2</v>
      </c>
      <c r="DC307" s="32">
        <f>+SUM(DC308:DC313)</f>
        <v>216.8</v>
      </c>
      <c r="DD307" s="32">
        <f t="shared" si="802"/>
        <v>242</v>
      </c>
      <c r="DE307" s="1061">
        <f>+SUM(DE308:DE313)</f>
        <v>242</v>
      </c>
      <c r="DF307" s="32">
        <f>+SUM(DF308:DF313)</f>
        <v>299.8</v>
      </c>
      <c r="DG307" s="32">
        <f t="shared" si="803"/>
        <v>336.3</v>
      </c>
      <c r="DH307" s="1061">
        <f>+SUM(DH308:DH313)</f>
        <v>336.3</v>
      </c>
      <c r="DI307" s="32">
        <f>+SUM(DI308:DI313)</f>
        <v>612.1</v>
      </c>
      <c r="DJ307" s="32">
        <f t="shared" si="804"/>
        <v>633.5</v>
      </c>
      <c r="DK307" s="1061">
        <f>+SUM(DK308:DK313)</f>
        <v>633.5</v>
      </c>
      <c r="DL307" s="32">
        <f>+SUM(DL308:DL313)</f>
        <v>584.6</v>
      </c>
      <c r="DM307" s="32">
        <f t="shared" si="805"/>
        <v>590.29999999999995</v>
      </c>
      <c r="DN307" s="1061">
        <f>+SUM(DN308:DN313)</f>
        <v>590.29999999999995</v>
      </c>
      <c r="DO307" s="32">
        <f>+SUM(DO308:DO313)</f>
        <v>612.4</v>
      </c>
      <c r="DP307" s="32">
        <f t="shared" si="806"/>
        <v>648</v>
      </c>
      <c r="DQ307" s="1061">
        <f>+SUM(DQ308:DQ313)</f>
        <v>648</v>
      </c>
      <c r="DR307" s="32">
        <f>+SUM(DR308:DR313)</f>
        <v>738</v>
      </c>
      <c r="DS307" s="32">
        <f t="shared" si="807"/>
        <v>794</v>
      </c>
      <c r="DT307" s="1061">
        <f>+SUM(DT308:DT313)</f>
        <v>794</v>
      </c>
      <c r="DU307" s="32">
        <f>+SUM(DU308:DU313)</f>
        <v>652</v>
      </c>
      <c r="DV307" s="32">
        <f t="shared" si="808"/>
        <v>1017</v>
      </c>
      <c r="DW307" s="1061">
        <f>+SUM(DW308:DW313)</f>
        <v>1017</v>
      </c>
      <c r="DX307" s="32">
        <f>+SUM(DX308:DX313)</f>
        <v>1091</v>
      </c>
      <c r="DY307" s="32">
        <f t="shared" si="809"/>
        <v>1091</v>
      </c>
      <c r="DZ307" s="1061">
        <f>+SUM(DZ308:DZ313)</f>
        <v>1091</v>
      </c>
      <c r="EA307" s="32">
        <f>+SUM(EA308:EA313)</f>
        <v>1091</v>
      </c>
      <c r="EB307" s="32">
        <f t="shared" si="810"/>
        <v>1091</v>
      </c>
      <c r="EC307" s="1061">
        <f>+SUM(EC308:EC313)</f>
        <v>1091</v>
      </c>
      <c r="ED307" s="32">
        <f>+SUM(ED308:ED313)</f>
        <v>1091</v>
      </c>
      <c r="EE307" s="32">
        <f t="shared" si="811"/>
        <v>1091</v>
      </c>
      <c r="EF307" s="1061">
        <f>+SUM(EF308:EF313)</f>
        <v>1091</v>
      </c>
      <c r="EG307" s="32">
        <f>+SUM(EG308:EG313)</f>
        <v>1091</v>
      </c>
      <c r="EH307" s="32">
        <f t="shared" si="812"/>
        <v>1091</v>
      </c>
      <c r="EI307" s="1061">
        <f>+SUM(EI308:EI313)</f>
        <v>1091</v>
      </c>
      <c r="EJ307" s="32">
        <f>+SUM(EJ308:EJ313)</f>
        <v>1091</v>
      </c>
      <c r="EK307" s="32">
        <f t="shared" si="813"/>
        <v>1091</v>
      </c>
      <c r="EL307" s="1061">
        <f>+SUM(EL308:EL313)</f>
        <v>1091</v>
      </c>
      <c r="EM307" s="32">
        <f>+SUM(EM308:EM313)</f>
        <v>1091</v>
      </c>
      <c r="EN307" s="32">
        <f t="shared" si="814"/>
        <v>1091</v>
      </c>
      <c r="EO307" s="1061">
        <f>+SUM(EO308:EO313)</f>
        <v>1091</v>
      </c>
      <c r="EP307" s="32">
        <f>+SUM(EP308:EP313)</f>
        <v>1091</v>
      </c>
      <c r="EQ307" s="32">
        <f t="shared" si="815"/>
        <v>1091</v>
      </c>
      <c r="ER307" s="1061">
        <f>+SUM(ER308:ER313)</f>
        <v>1091</v>
      </c>
      <c r="ES307" s="32">
        <f>+SUM(ES308:ES313)</f>
        <v>1091</v>
      </c>
      <c r="ET307" s="32">
        <f t="shared" si="816"/>
        <v>1091</v>
      </c>
      <c r="EU307" s="1061">
        <f>+SUM(EU308:EU313)</f>
        <v>1091</v>
      </c>
      <c r="EV307" s="32">
        <f>+SUM(EV308:EV313)</f>
        <v>1091</v>
      </c>
      <c r="EW307" s="32">
        <f t="shared" si="817"/>
        <v>1091</v>
      </c>
      <c r="EX307" s="1061">
        <f>+SUM(EX308:EX313)</f>
        <v>1091</v>
      </c>
      <c r="EY307" s="32">
        <f>+SUM(EY308:EY313)</f>
        <v>1091</v>
      </c>
      <c r="EZ307" s="32">
        <f t="shared" si="818"/>
        <v>1091</v>
      </c>
      <c r="FA307" s="1061">
        <f>+SUM(FA308:FA313)</f>
        <v>1091</v>
      </c>
      <c r="FD307"/>
      <c r="FE307"/>
      <c r="FF307"/>
      <c r="FG307"/>
      <c r="FH307"/>
      <c r="FI307"/>
    </row>
    <row r="308" spans="2:169" s="33" customFormat="1" outlineLevel="1">
      <c r="B308" s="54" t="s">
        <v>155</v>
      </c>
      <c r="C308" s="54"/>
      <c r="D308" s="2" t="s">
        <v>506</v>
      </c>
      <c r="E308" s="1183"/>
      <c r="F308" s="1192">
        <f t="shared" si="768"/>
        <v>0</v>
      </c>
      <c r="G308" s="1215"/>
      <c r="H308" s="1185"/>
      <c r="I308" s="1192">
        <f t="shared" si="769"/>
        <v>0</v>
      </c>
      <c r="J308" s="1215"/>
      <c r="K308" s="1185"/>
      <c r="L308" s="1192">
        <f t="shared" si="770"/>
        <v>0</v>
      </c>
      <c r="M308" s="1215"/>
      <c r="N308" s="1185"/>
      <c r="O308" s="1192">
        <f t="shared" si="771"/>
        <v>0</v>
      </c>
      <c r="P308" s="1215"/>
      <c r="Q308" s="1185"/>
      <c r="R308" s="1192">
        <f t="shared" si="772"/>
        <v>0</v>
      </c>
      <c r="S308" s="1215"/>
      <c r="T308" s="1185"/>
      <c r="U308" s="1192">
        <f t="shared" si="773"/>
        <v>0</v>
      </c>
      <c r="V308" s="1215"/>
      <c r="W308" s="1185"/>
      <c r="X308" s="1192">
        <f t="shared" si="774"/>
        <v>0</v>
      </c>
      <c r="Y308" s="1215"/>
      <c r="Z308" s="1185"/>
      <c r="AA308" s="1192">
        <f t="shared" si="775"/>
        <v>0</v>
      </c>
      <c r="AB308" s="1215"/>
      <c r="AC308" s="1185"/>
      <c r="AD308" s="1192">
        <f t="shared" si="776"/>
        <v>0</v>
      </c>
      <c r="AE308" s="1215"/>
      <c r="AF308" s="1185"/>
      <c r="AG308" s="1192">
        <f t="shared" si="777"/>
        <v>0</v>
      </c>
      <c r="AH308" s="1215"/>
      <c r="AI308" s="1185"/>
      <c r="AJ308" s="1192">
        <f t="shared" si="778"/>
        <v>0</v>
      </c>
      <c r="AK308" s="1215"/>
      <c r="AL308" s="1185"/>
      <c r="AM308" s="1192">
        <f t="shared" si="779"/>
        <v>0</v>
      </c>
      <c r="AN308" s="1215"/>
      <c r="AO308" s="1185"/>
      <c r="AP308" s="1192">
        <f t="shared" si="780"/>
        <v>0</v>
      </c>
      <c r="AQ308" s="1215"/>
      <c r="AR308" s="1185"/>
      <c r="AS308" s="1192">
        <f t="shared" si="781"/>
        <v>0</v>
      </c>
      <c r="AT308" s="1215"/>
      <c r="AU308" s="1185"/>
      <c r="AV308" s="1192">
        <f t="shared" si="782"/>
        <v>0</v>
      </c>
      <c r="AW308" s="1215"/>
      <c r="AX308" s="1185"/>
      <c r="AY308" s="1192">
        <f t="shared" si="783"/>
        <v>0</v>
      </c>
      <c r="AZ308" s="1215"/>
      <c r="BA308" s="1185"/>
      <c r="BB308" s="1192">
        <f t="shared" si="784"/>
        <v>0</v>
      </c>
      <c r="BC308" s="1215"/>
      <c r="BD308" s="1185"/>
      <c r="BE308" s="1192">
        <f t="shared" si="785"/>
        <v>0</v>
      </c>
      <c r="BF308" s="1215"/>
      <c r="BG308" s="1185"/>
      <c r="BH308" s="1192">
        <f t="shared" si="786"/>
        <v>0</v>
      </c>
      <c r="BI308" s="1215"/>
      <c r="BJ308" s="1185"/>
      <c r="BK308" s="1192">
        <f t="shared" si="787"/>
        <v>0</v>
      </c>
      <c r="BL308" s="1215"/>
      <c r="BM308" s="1185"/>
      <c r="BN308" s="1192">
        <f t="shared" si="788"/>
        <v>0</v>
      </c>
      <c r="BO308" s="1215"/>
      <c r="BP308" s="1185"/>
      <c r="BQ308" s="1192">
        <f t="shared" si="789"/>
        <v>0</v>
      </c>
      <c r="BR308" s="1215"/>
      <c r="BS308" s="1185"/>
      <c r="BT308" s="1192">
        <f t="shared" si="790"/>
        <v>0</v>
      </c>
      <c r="BU308" s="1215"/>
      <c r="BV308" s="1185"/>
      <c r="BW308" s="1192">
        <f t="shared" si="791"/>
        <v>-134.29900000000001</v>
      </c>
      <c r="BX308" s="1244">
        <v>-134.29900000000001</v>
      </c>
      <c r="BY308" s="1185"/>
      <c r="BZ308" s="1192">
        <f t="shared" si="792"/>
        <v>142</v>
      </c>
      <c r="CA308" s="1183">
        <f>15.198+126.802</f>
        <v>142</v>
      </c>
      <c r="CB308" s="1185"/>
      <c r="CC308" s="1192">
        <f t="shared" si="793"/>
        <v>-242.61500000000001</v>
      </c>
      <c r="CD308" s="1244">
        <v>-242.61500000000001</v>
      </c>
      <c r="CE308" s="1185"/>
      <c r="CF308" s="1192">
        <f t="shared" si="794"/>
        <v>-421.63499999999999</v>
      </c>
      <c r="CG308" s="1244">
        <v>-421.63499999999999</v>
      </c>
      <c r="CH308" s="1198">
        <v>-486.48599999999999</v>
      </c>
      <c r="CI308" s="1192">
        <f t="shared" si="795"/>
        <v>-522.9</v>
      </c>
      <c r="CJ308" s="1244">
        <v>-522.9</v>
      </c>
      <c r="CK308" s="1198">
        <v>578.29999999999995</v>
      </c>
      <c r="CL308" s="1192">
        <f t="shared" si="796"/>
        <v>578.29999999999995</v>
      </c>
      <c r="CM308" s="1244">
        <v>578.29999999999995</v>
      </c>
      <c r="CN308" s="1198">
        <v>656.2</v>
      </c>
      <c r="CO308" s="1192">
        <f t="shared" si="797"/>
        <v>738.3</v>
      </c>
      <c r="CP308" s="1244">
        <v>738.3</v>
      </c>
      <c r="CQ308" s="1198">
        <v>315.7</v>
      </c>
      <c r="CR308" s="1192">
        <f t="shared" si="798"/>
        <v>306.5</v>
      </c>
      <c r="CS308" s="1244">
        <v>306.5</v>
      </c>
      <c r="CT308" s="1198">
        <v>143.9</v>
      </c>
      <c r="CU308" s="1192">
        <f t="shared" si="799"/>
        <v>187.9</v>
      </c>
      <c r="CV308" s="1244">
        <v>187.9</v>
      </c>
      <c r="CW308" s="1198">
        <v>82</v>
      </c>
      <c r="CX308" s="1192">
        <f t="shared" si="800"/>
        <v>294.2</v>
      </c>
      <c r="CY308" s="1244">
        <v>294.2</v>
      </c>
      <c r="CZ308" s="1185">
        <v>296.60000000000002</v>
      </c>
      <c r="DA308" s="1192">
        <f t="shared" si="801"/>
        <v>224.2</v>
      </c>
      <c r="DB308" s="1183">
        <v>224.2</v>
      </c>
      <c r="DC308" s="1185">
        <v>216.8</v>
      </c>
      <c r="DD308" s="1192">
        <f t="shared" si="802"/>
        <v>242</v>
      </c>
      <c r="DE308" s="1560">
        <v>242</v>
      </c>
      <c r="DF308" s="1561">
        <f>14.3+285.5</f>
        <v>299.8</v>
      </c>
      <c r="DG308" s="1542">
        <f t="shared" si="803"/>
        <v>336.3</v>
      </c>
      <c r="DH308" s="1562">
        <v>336.3</v>
      </c>
      <c r="DI308" s="1543">
        <v>612.1</v>
      </c>
      <c r="DJ308" s="1542">
        <f t="shared" si="804"/>
        <v>633.5</v>
      </c>
      <c r="DK308" s="1562">
        <f>633.2+0.3</f>
        <v>633.5</v>
      </c>
      <c r="DL308" s="1530">
        <v>584.6</v>
      </c>
      <c r="DM308" s="1530">
        <f t="shared" si="805"/>
        <v>590.29999999999995</v>
      </c>
      <c r="DN308" s="1531">
        <v>590.29999999999995</v>
      </c>
      <c r="DO308" s="1558">
        <v>612.4</v>
      </c>
      <c r="DP308" s="1530">
        <f t="shared" si="806"/>
        <v>648</v>
      </c>
      <c r="DQ308" s="1532">
        <v>648</v>
      </c>
      <c r="DR308" s="1558">
        <v>738</v>
      </c>
      <c r="DS308" s="1530">
        <f t="shared" si="807"/>
        <v>794</v>
      </c>
      <c r="DT308" s="1532">
        <v>794</v>
      </c>
      <c r="DU308" s="1558">
        <v>652</v>
      </c>
      <c r="DV308" s="1530">
        <f t="shared" si="808"/>
        <v>1017</v>
      </c>
      <c r="DW308" s="1532">
        <v>1017</v>
      </c>
      <c r="DX308" s="1558">
        <v>1091</v>
      </c>
      <c r="DY308" s="32">
        <f t="shared" si="809"/>
        <v>1091</v>
      </c>
      <c r="DZ308" s="1559">
        <f>IF(DZ5="A","",DX307+DY207+DY355+DY456+Assumptions!DY97)</f>
        <v>1091</v>
      </c>
      <c r="EA308" s="32">
        <f>IF(EA5="A","",DZ307+EA207+EA355+EA456+Assumptions!EA97)</f>
        <v>1091</v>
      </c>
      <c r="EB308" s="32">
        <f t="shared" si="810"/>
        <v>1091</v>
      </c>
      <c r="EC308" s="1061">
        <f>IF(EC5="A","",DZ307+EC207+EC355+EC456+Assumptions!EC97)</f>
        <v>1091</v>
      </c>
      <c r="ED308" s="32">
        <f>IF(ED5="A","",EC307+ED207+ED355+ED456+Assumptions!ED97)</f>
        <v>1091</v>
      </c>
      <c r="EE308" s="32">
        <f t="shared" si="811"/>
        <v>1091</v>
      </c>
      <c r="EF308" s="1061">
        <f>IF(EF5="A","",EC307+EF207+EF355+EF456+Assumptions!EF97)</f>
        <v>1091</v>
      </c>
      <c r="EG308" s="32">
        <f>IF(EG5="A","",EF307+EG207+EG355+EG456+Assumptions!EG97)</f>
        <v>1091</v>
      </c>
      <c r="EH308" s="32">
        <f t="shared" si="812"/>
        <v>1091</v>
      </c>
      <c r="EI308" s="1061">
        <f>IF(EI5="A","",EF307+EI207+EI355+EI456+Assumptions!EI97)</f>
        <v>1091</v>
      </c>
      <c r="EJ308" s="32">
        <f>IF(EJ5="A","",EI307+EJ207+EJ355+EJ456+Assumptions!EJ97)</f>
        <v>1091</v>
      </c>
      <c r="EK308" s="32">
        <f t="shared" si="813"/>
        <v>1091</v>
      </c>
      <c r="EL308" s="1061">
        <f>IF(EL5="A","",EI307+EL207+EL355+EL456+Assumptions!EL97)</f>
        <v>1091</v>
      </c>
      <c r="EM308" s="32">
        <f>IF(EM5="A","",EL307+EM207+EM355+EM456+Assumptions!EM97)</f>
        <v>1091</v>
      </c>
      <c r="EN308" s="32">
        <f t="shared" si="814"/>
        <v>1091</v>
      </c>
      <c r="EO308" s="1061">
        <f>IF(EO5="A","",EL307+EO207+EO355+EO456+Assumptions!EO97)</f>
        <v>1091</v>
      </c>
      <c r="EP308" s="32">
        <f>IF(EP5="A","",EO307+EP207+EP355+EP456+Assumptions!EP97)</f>
        <v>1091</v>
      </c>
      <c r="EQ308" s="32">
        <f t="shared" si="815"/>
        <v>1091</v>
      </c>
      <c r="ER308" s="1061">
        <f>IF(ER5="A","",EO307+ER207+ER355+ER456+Assumptions!ER97)</f>
        <v>1091</v>
      </c>
      <c r="ES308" s="32">
        <f>IF(ES5="A","",ER307+ES207+ES355+ES456+Assumptions!ES97)</f>
        <v>1091</v>
      </c>
      <c r="ET308" s="32">
        <f t="shared" si="816"/>
        <v>1091</v>
      </c>
      <c r="EU308" s="1061">
        <f>IF(EU5="A","",ER307+EU207+EU355+EU456+Assumptions!EU97)</f>
        <v>1091</v>
      </c>
      <c r="EV308" s="32">
        <f>IF(EV5="A","",EU307+EV207+EV355+EV456+Assumptions!EV97)</f>
        <v>1091</v>
      </c>
      <c r="EW308" s="32">
        <f t="shared" si="817"/>
        <v>1091</v>
      </c>
      <c r="EX308" s="1061">
        <f>IF(EX5="A","",EU307+EX207+EX355+EX456+Assumptions!EX97)</f>
        <v>1091</v>
      </c>
      <c r="EY308" s="32">
        <f>IF(EY5="A","",EX307+EY207+EY355+EY456+Assumptions!EY97)</f>
        <v>1091</v>
      </c>
      <c r="EZ308" s="32">
        <f t="shared" si="818"/>
        <v>1091</v>
      </c>
      <c r="FA308" s="1061">
        <f>IF(FA5="A","",EX307+FA207+FA355+FA456+Assumptions!FA97)</f>
        <v>1091</v>
      </c>
      <c r="FD308"/>
      <c r="FE308"/>
      <c r="FF308"/>
      <c r="FG308"/>
      <c r="FH308"/>
      <c r="FI308"/>
    </row>
    <row r="309" spans="2:169" s="33" customFormat="1" outlineLevel="1">
      <c r="B309" s="54" t="s">
        <v>156</v>
      </c>
      <c r="C309" s="54"/>
      <c r="D309" s="2" t="s">
        <v>506</v>
      </c>
      <c r="E309" s="1205"/>
      <c r="F309" s="32">
        <f t="shared" si="768"/>
        <v>0</v>
      </c>
      <c r="G309" s="1214"/>
      <c r="H309" s="1207"/>
      <c r="I309" s="32">
        <f t="shared" si="769"/>
        <v>0</v>
      </c>
      <c r="J309" s="1214"/>
      <c r="K309" s="1207"/>
      <c r="L309" s="32">
        <f t="shared" si="770"/>
        <v>0</v>
      </c>
      <c r="M309" s="1214"/>
      <c r="N309" s="1207"/>
      <c r="O309" s="32">
        <f t="shared" si="771"/>
        <v>0</v>
      </c>
      <c r="P309" s="1214"/>
      <c r="Q309" s="1207"/>
      <c r="R309" s="32">
        <f t="shared" si="772"/>
        <v>0</v>
      </c>
      <c r="S309" s="1214"/>
      <c r="T309" s="1207"/>
      <c r="U309" s="32">
        <f t="shared" si="773"/>
        <v>0</v>
      </c>
      <c r="V309" s="1214"/>
      <c r="W309" s="1207"/>
      <c r="X309" s="32">
        <f t="shared" si="774"/>
        <v>0</v>
      </c>
      <c r="Y309" s="1214"/>
      <c r="Z309" s="1207"/>
      <c r="AA309" s="32">
        <f t="shared" si="775"/>
        <v>0</v>
      </c>
      <c r="AB309" s="1214"/>
      <c r="AC309" s="1207"/>
      <c r="AD309" s="32">
        <f t="shared" si="776"/>
        <v>0</v>
      </c>
      <c r="AE309" s="1214"/>
      <c r="AF309" s="1207"/>
      <c r="AG309" s="32">
        <f t="shared" si="777"/>
        <v>0</v>
      </c>
      <c r="AH309" s="1214"/>
      <c r="AI309" s="1207"/>
      <c r="AJ309" s="32">
        <f t="shared" si="778"/>
        <v>0</v>
      </c>
      <c r="AK309" s="1214"/>
      <c r="AL309" s="1207"/>
      <c r="AM309" s="32">
        <f t="shared" si="779"/>
        <v>0</v>
      </c>
      <c r="AN309" s="1214"/>
      <c r="AO309" s="1207"/>
      <c r="AP309" s="32">
        <f t="shared" si="780"/>
        <v>0</v>
      </c>
      <c r="AQ309" s="1214"/>
      <c r="AR309" s="1207"/>
      <c r="AS309" s="32">
        <f t="shared" si="781"/>
        <v>0</v>
      </c>
      <c r="AT309" s="1214"/>
      <c r="AU309" s="1207"/>
      <c r="AV309" s="32">
        <f t="shared" si="782"/>
        <v>0</v>
      </c>
      <c r="AW309" s="1214"/>
      <c r="AX309" s="1207"/>
      <c r="AY309" s="32">
        <f t="shared" si="783"/>
        <v>0</v>
      </c>
      <c r="AZ309" s="1214"/>
      <c r="BA309" s="1207"/>
      <c r="BB309" s="32">
        <f t="shared" si="784"/>
        <v>0</v>
      </c>
      <c r="BC309" s="1214"/>
      <c r="BD309" s="1207"/>
      <c r="BE309" s="32">
        <f t="shared" si="785"/>
        <v>0</v>
      </c>
      <c r="BF309" s="1214"/>
      <c r="BG309" s="1207"/>
      <c r="BH309" s="32">
        <f t="shared" si="786"/>
        <v>0</v>
      </c>
      <c r="BI309" s="1214"/>
      <c r="BJ309" s="1207"/>
      <c r="BK309" s="32">
        <f t="shared" si="787"/>
        <v>0</v>
      </c>
      <c r="BL309" s="1214"/>
      <c r="BM309" s="1207"/>
      <c r="BN309" s="32">
        <f t="shared" si="788"/>
        <v>0</v>
      </c>
      <c r="BO309" s="1214"/>
      <c r="BP309" s="1207"/>
      <c r="BQ309" s="32">
        <f t="shared" si="789"/>
        <v>0</v>
      </c>
      <c r="BR309" s="1214"/>
      <c r="BS309" s="1207"/>
      <c r="BT309" s="32">
        <f t="shared" si="790"/>
        <v>0</v>
      </c>
      <c r="BU309" s="1214"/>
      <c r="BV309" s="1207"/>
      <c r="BW309" s="32">
        <f t="shared" si="791"/>
        <v>0</v>
      </c>
      <c r="BX309" s="1205"/>
      <c r="BY309" s="1207"/>
      <c r="BZ309" s="32">
        <f t="shared" si="792"/>
        <v>0</v>
      </c>
      <c r="CA309" s="1205"/>
      <c r="CB309" s="1207"/>
      <c r="CC309" s="32">
        <f t="shared" si="793"/>
        <v>0</v>
      </c>
      <c r="CD309" s="1205"/>
      <c r="CE309" s="1207"/>
      <c r="CF309" s="32">
        <f t="shared" si="794"/>
        <v>0</v>
      </c>
      <c r="CG309" s="1205"/>
      <c r="CH309" s="1207"/>
      <c r="CI309" s="32">
        <f t="shared" si="795"/>
        <v>0</v>
      </c>
      <c r="CJ309" s="1205"/>
      <c r="CK309" s="1207"/>
      <c r="CL309" s="32">
        <f t="shared" si="796"/>
        <v>0</v>
      </c>
      <c r="CM309" s="1205"/>
      <c r="CN309" s="1207"/>
      <c r="CO309" s="32">
        <f t="shared" si="797"/>
        <v>0</v>
      </c>
      <c r="CP309" s="1205"/>
      <c r="CQ309" s="1207"/>
      <c r="CR309" s="32">
        <f t="shared" si="798"/>
        <v>0</v>
      </c>
      <c r="CS309" s="1205"/>
      <c r="CT309" s="1207"/>
      <c r="CU309" s="32">
        <f t="shared" si="799"/>
        <v>0</v>
      </c>
      <c r="CV309" s="1205"/>
      <c r="CW309" s="1207"/>
      <c r="CX309" s="32">
        <f t="shared" si="800"/>
        <v>0</v>
      </c>
      <c r="CY309" s="1205"/>
      <c r="CZ309" s="1207"/>
      <c r="DA309" s="32">
        <f t="shared" si="801"/>
        <v>0</v>
      </c>
      <c r="DB309" s="1205"/>
      <c r="DC309" s="1207"/>
      <c r="DD309" s="32">
        <f t="shared" si="802"/>
        <v>0</v>
      </c>
      <c r="DE309" s="1219"/>
      <c r="DF309" s="1207"/>
      <c r="DG309" s="32"/>
      <c r="DH309" s="1219"/>
      <c r="DI309" s="11"/>
      <c r="DJ309" s="11">
        <f t="shared" si="804"/>
        <v>0</v>
      </c>
      <c r="DK309" s="1264">
        <v>0</v>
      </c>
      <c r="DL309" s="32"/>
      <c r="DM309" s="32">
        <f t="shared" si="805"/>
        <v>0</v>
      </c>
      <c r="DN309" s="1061"/>
      <c r="DO309" s="32"/>
      <c r="DP309" s="32">
        <f t="shared" si="806"/>
        <v>0</v>
      </c>
      <c r="DQ309" s="1061"/>
      <c r="DR309" s="32"/>
      <c r="DS309" s="32">
        <f t="shared" si="807"/>
        <v>0</v>
      </c>
      <c r="DT309" s="1061"/>
      <c r="DU309" s="32"/>
      <c r="DV309" s="32">
        <f t="shared" si="808"/>
        <v>0</v>
      </c>
      <c r="DW309" s="1061"/>
      <c r="DX309" s="32"/>
      <c r="DY309" s="32">
        <f t="shared" si="809"/>
        <v>0</v>
      </c>
      <c r="DZ309" s="1061"/>
      <c r="EA309" s="32"/>
      <c r="EB309" s="32">
        <f t="shared" si="810"/>
        <v>0</v>
      </c>
      <c r="EC309" s="1061"/>
      <c r="ED309" s="32"/>
      <c r="EE309" s="32">
        <f t="shared" si="811"/>
        <v>0</v>
      </c>
      <c r="EF309" s="1061"/>
      <c r="EG309" s="32"/>
      <c r="EH309" s="32">
        <f t="shared" si="812"/>
        <v>0</v>
      </c>
      <c r="EI309" s="1061"/>
      <c r="EJ309" s="32"/>
      <c r="EK309" s="32">
        <f t="shared" si="813"/>
        <v>0</v>
      </c>
      <c r="EL309" s="1061"/>
      <c r="EM309" s="32"/>
      <c r="EN309" s="32">
        <f t="shared" si="814"/>
        <v>0</v>
      </c>
      <c r="EO309" s="1061"/>
      <c r="EP309" s="32"/>
      <c r="EQ309" s="32">
        <f t="shared" si="815"/>
        <v>0</v>
      </c>
      <c r="ER309" s="1061"/>
      <c r="ES309" s="32"/>
      <c r="ET309" s="32">
        <f t="shared" si="816"/>
        <v>0</v>
      </c>
      <c r="EU309" s="1061"/>
      <c r="EV309" s="32"/>
      <c r="EW309" s="32">
        <f t="shared" si="817"/>
        <v>0</v>
      </c>
      <c r="EX309" s="1061"/>
      <c r="EY309" s="32"/>
      <c r="EZ309" s="32">
        <f t="shared" si="818"/>
        <v>0</v>
      </c>
      <c r="FA309" s="1061"/>
      <c r="FD309"/>
      <c r="FE309"/>
      <c r="FF309"/>
      <c r="FG309"/>
      <c r="FH309"/>
      <c r="FI309"/>
    </row>
    <row r="310" spans="2:169" s="33" customFormat="1" outlineLevel="1">
      <c r="B310" s="54" t="s">
        <v>157</v>
      </c>
      <c r="C310" s="54"/>
      <c r="D310" s="2" t="s">
        <v>506</v>
      </c>
      <c r="E310" s="1205"/>
      <c r="F310" s="32">
        <f t="shared" si="768"/>
        <v>0</v>
      </c>
      <c r="G310" s="1214"/>
      <c r="H310" s="1207"/>
      <c r="I310" s="32">
        <f t="shared" si="769"/>
        <v>0</v>
      </c>
      <c r="J310" s="1214"/>
      <c r="K310" s="1207"/>
      <c r="L310" s="32">
        <f t="shared" si="770"/>
        <v>0</v>
      </c>
      <c r="M310" s="1214"/>
      <c r="N310" s="1207"/>
      <c r="O310" s="32">
        <f t="shared" si="771"/>
        <v>0</v>
      </c>
      <c r="P310" s="1214"/>
      <c r="Q310" s="1207"/>
      <c r="R310" s="32">
        <f t="shared" si="772"/>
        <v>0</v>
      </c>
      <c r="S310" s="1214"/>
      <c r="T310" s="1207"/>
      <c r="U310" s="32">
        <f t="shared" si="773"/>
        <v>0</v>
      </c>
      <c r="V310" s="1214"/>
      <c r="W310" s="1207"/>
      <c r="X310" s="32">
        <f t="shared" si="774"/>
        <v>0</v>
      </c>
      <c r="Y310" s="1214"/>
      <c r="Z310" s="1207"/>
      <c r="AA310" s="32">
        <f t="shared" si="775"/>
        <v>0</v>
      </c>
      <c r="AB310" s="1214"/>
      <c r="AC310" s="1207"/>
      <c r="AD310" s="32">
        <f t="shared" si="776"/>
        <v>0</v>
      </c>
      <c r="AE310" s="1214"/>
      <c r="AF310" s="1207"/>
      <c r="AG310" s="32">
        <f t="shared" si="777"/>
        <v>0</v>
      </c>
      <c r="AH310" s="1214"/>
      <c r="AI310" s="1207"/>
      <c r="AJ310" s="32">
        <f t="shared" si="778"/>
        <v>0</v>
      </c>
      <c r="AK310" s="1214"/>
      <c r="AL310" s="1207"/>
      <c r="AM310" s="32">
        <f t="shared" si="779"/>
        <v>0</v>
      </c>
      <c r="AN310" s="1214"/>
      <c r="AO310" s="1207"/>
      <c r="AP310" s="32">
        <f t="shared" si="780"/>
        <v>0</v>
      </c>
      <c r="AQ310" s="1214"/>
      <c r="AR310" s="1207"/>
      <c r="AS310" s="32">
        <f t="shared" si="781"/>
        <v>0</v>
      </c>
      <c r="AT310" s="1214"/>
      <c r="AU310" s="1207"/>
      <c r="AV310" s="32">
        <f t="shared" si="782"/>
        <v>0</v>
      </c>
      <c r="AW310" s="1214"/>
      <c r="AX310" s="1207"/>
      <c r="AY310" s="32">
        <f t="shared" si="783"/>
        <v>0</v>
      </c>
      <c r="AZ310" s="1214"/>
      <c r="BA310" s="1207"/>
      <c r="BB310" s="32">
        <f t="shared" si="784"/>
        <v>0</v>
      </c>
      <c r="BC310" s="1214"/>
      <c r="BD310" s="1207"/>
      <c r="BE310" s="32">
        <f t="shared" si="785"/>
        <v>0</v>
      </c>
      <c r="BF310" s="1214"/>
      <c r="BG310" s="1207"/>
      <c r="BH310" s="32">
        <f t="shared" si="786"/>
        <v>0</v>
      </c>
      <c r="BI310" s="1214"/>
      <c r="BJ310" s="1207"/>
      <c r="BK310" s="32">
        <f t="shared" si="787"/>
        <v>0</v>
      </c>
      <c r="BL310" s="1214"/>
      <c r="BM310" s="1207"/>
      <c r="BN310" s="32">
        <f t="shared" si="788"/>
        <v>0</v>
      </c>
      <c r="BO310" s="1214"/>
      <c r="BP310" s="1207"/>
      <c r="BQ310" s="32">
        <f t="shared" si="789"/>
        <v>0</v>
      </c>
      <c r="BR310" s="1214"/>
      <c r="BS310" s="1207"/>
      <c r="BT310" s="32">
        <f t="shared" si="790"/>
        <v>0</v>
      </c>
      <c r="BU310" s="1214"/>
      <c r="BV310" s="1207"/>
      <c r="BW310" s="32">
        <f t="shared" si="791"/>
        <v>0</v>
      </c>
      <c r="BX310" s="1205"/>
      <c r="BY310" s="1207"/>
      <c r="BZ310" s="32">
        <f t="shared" si="792"/>
        <v>0</v>
      </c>
      <c r="CA310" s="1205"/>
      <c r="CB310" s="1207"/>
      <c r="CC310" s="32">
        <f t="shared" si="793"/>
        <v>0</v>
      </c>
      <c r="CD310" s="1205"/>
      <c r="CE310" s="1207"/>
      <c r="CF310" s="32">
        <f t="shared" si="794"/>
        <v>0</v>
      </c>
      <c r="CG310" s="1205"/>
      <c r="CH310" s="1207"/>
      <c r="CI310" s="32">
        <f t="shared" si="795"/>
        <v>0</v>
      </c>
      <c r="CJ310" s="1205"/>
      <c r="CK310" s="1207"/>
      <c r="CL310" s="32">
        <f t="shared" si="796"/>
        <v>0</v>
      </c>
      <c r="CM310" s="1205"/>
      <c r="CN310" s="1207"/>
      <c r="CO310" s="32">
        <f t="shared" si="797"/>
        <v>0</v>
      </c>
      <c r="CP310" s="1205"/>
      <c r="CQ310" s="1207"/>
      <c r="CR310" s="32">
        <f t="shared" si="798"/>
        <v>0</v>
      </c>
      <c r="CS310" s="1205"/>
      <c r="CT310" s="1207"/>
      <c r="CU310" s="32">
        <f t="shared" si="799"/>
        <v>0</v>
      </c>
      <c r="CV310" s="1205"/>
      <c r="CW310" s="1207"/>
      <c r="CX310" s="32">
        <f t="shared" si="800"/>
        <v>0</v>
      </c>
      <c r="CY310" s="1205"/>
      <c r="CZ310" s="1207"/>
      <c r="DA310" s="32">
        <f t="shared" si="801"/>
        <v>0</v>
      </c>
      <c r="DB310" s="1205"/>
      <c r="DC310" s="1207"/>
      <c r="DD310" s="32">
        <f t="shared" si="802"/>
        <v>0</v>
      </c>
      <c r="DE310" s="1219"/>
      <c r="DF310" s="1207"/>
      <c r="DG310" s="32">
        <f t="shared" si="803"/>
        <v>0</v>
      </c>
      <c r="DH310" s="1219"/>
      <c r="DI310" s="1207"/>
      <c r="DJ310" s="32">
        <f t="shared" si="804"/>
        <v>0</v>
      </c>
      <c r="DK310" s="1219"/>
      <c r="DL310" s="32"/>
      <c r="DM310" s="32">
        <f t="shared" si="805"/>
        <v>0</v>
      </c>
      <c r="DN310" s="1061"/>
      <c r="DO310" s="32"/>
      <c r="DP310" s="32">
        <f t="shared" si="806"/>
        <v>0</v>
      </c>
      <c r="DQ310" s="1061"/>
      <c r="DR310" s="32"/>
      <c r="DS310" s="32">
        <f t="shared" si="807"/>
        <v>0</v>
      </c>
      <c r="DT310" s="1061"/>
      <c r="DU310" s="32"/>
      <c r="DV310" s="32">
        <f t="shared" si="808"/>
        <v>0</v>
      </c>
      <c r="DW310" s="1061"/>
      <c r="DX310" s="32"/>
      <c r="DY310" s="32">
        <f t="shared" si="809"/>
        <v>0</v>
      </c>
      <c r="DZ310" s="1061"/>
      <c r="EA310" s="32"/>
      <c r="EB310" s="32">
        <f t="shared" si="810"/>
        <v>0</v>
      </c>
      <c r="EC310" s="1061"/>
      <c r="ED310" s="32"/>
      <c r="EE310" s="32">
        <f t="shared" si="811"/>
        <v>0</v>
      </c>
      <c r="EF310" s="1061"/>
      <c r="EG310" s="32"/>
      <c r="EH310" s="32">
        <f t="shared" si="812"/>
        <v>0</v>
      </c>
      <c r="EI310" s="1061"/>
      <c r="EJ310" s="32"/>
      <c r="EK310" s="32">
        <f t="shared" si="813"/>
        <v>0</v>
      </c>
      <c r="EL310" s="1061"/>
      <c r="EM310" s="32"/>
      <c r="EN310" s="32">
        <f t="shared" si="814"/>
        <v>0</v>
      </c>
      <c r="EO310" s="1061"/>
      <c r="EP310" s="32"/>
      <c r="EQ310" s="32">
        <f t="shared" si="815"/>
        <v>0</v>
      </c>
      <c r="ER310" s="1061"/>
      <c r="ES310" s="32"/>
      <c r="ET310" s="32">
        <f t="shared" si="816"/>
        <v>0</v>
      </c>
      <c r="EU310" s="1061"/>
      <c r="EV310" s="32"/>
      <c r="EW310" s="32">
        <f t="shared" si="817"/>
        <v>0</v>
      </c>
      <c r="EX310" s="1061"/>
      <c r="EY310" s="32"/>
      <c r="EZ310" s="32">
        <f t="shared" si="818"/>
        <v>0</v>
      </c>
      <c r="FA310" s="1061"/>
      <c r="FD310"/>
      <c r="FE310"/>
      <c r="FF310"/>
      <c r="FG310"/>
      <c r="FH310"/>
      <c r="FI310"/>
    </row>
    <row r="311" spans="2:169" s="33" customFormat="1" outlineLevel="1">
      <c r="B311" s="54" t="s">
        <v>158</v>
      </c>
      <c r="C311" s="54"/>
      <c r="D311" s="2" t="s">
        <v>506</v>
      </c>
      <c r="E311" s="1205"/>
      <c r="F311" s="32">
        <f t="shared" si="768"/>
        <v>0</v>
      </c>
      <c r="G311" s="1214"/>
      <c r="H311" s="1207"/>
      <c r="I311" s="32">
        <f t="shared" si="769"/>
        <v>0</v>
      </c>
      <c r="J311" s="1214"/>
      <c r="K311" s="1207"/>
      <c r="L311" s="32">
        <f t="shared" si="770"/>
        <v>0</v>
      </c>
      <c r="M311" s="1214"/>
      <c r="N311" s="1207"/>
      <c r="O311" s="32">
        <f t="shared" si="771"/>
        <v>0</v>
      </c>
      <c r="P311" s="1214"/>
      <c r="Q311" s="1207"/>
      <c r="R311" s="32">
        <f t="shared" si="772"/>
        <v>0</v>
      </c>
      <c r="S311" s="1214"/>
      <c r="T311" s="1207"/>
      <c r="U311" s="32">
        <f t="shared" si="773"/>
        <v>0</v>
      </c>
      <c r="V311" s="1214"/>
      <c r="W311" s="1207"/>
      <c r="X311" s="32">
        <f t="shared" si="774"/>
        <v>0</v>
      </c>
      <c r="Y311" s="1214"/>
      <c r="Z311" s="1207"/>
      <c r="AA311" s="32">
        <f t="shared" si="775"/>
        <v>0</v>
      </c>
      <c r="AB311" s="1214"/>
      <c r="AC311" s="1207"/>
      <c r="AD311" s="32">
        <f t="shared" si="776"/>
        <v>0</v>
      </c>
      <c r="AE311" s="1214"/>
      <c r="AF311" s="1207"/>
      <c r="AG311" s="32">
        <f t="shared" si="777"/>
        <v>0</v>
      </c>
      <c r="AH311" s="1214"/>
      <c r="AI311" s="1207"/>
      <c r="AJ311" s="32">
        <f t="shared" si="778"/>
        <v>0</v>
      </c>
      <c r="AK311" s="1214"/>
      <c r="AL311" s="1207"/>
      <c r="AM311" s="32">
        <f t="shared" si="779"/>
        <v>0</v>
      </c>
      <c r="AN311" s="1214"/>
      <c r="AO311" s="1207"/>
      <c r="AP311" s="32">
        <f t="shared" si="780"/>
        <v>0</v>
      </c>
      <c r="AQ311" s="1214"/>
      <c r="AR311" s="1207"/>
      <c r="AS311" s="32">
        <f t="shared" si="781"/>
        <v>0</v>
      </c>
      <c r="AT311" s="1214"/>
      <c r="AU311" s="1207"/>
      <c r="AV311" s="32">
        <f t="shared" si="782"/>
        <v>0</v>
      </c>
      <c r="AW311" s="1214"/>
      <c r="AX311" s="1207"/>
      <c r="AY311" s="32">
        <f t="shared" si="783"/>
        <v>0</v>
      </c>
      <c r="AZ311" s="1214"/>
      <c r="BA311" s="1207"/>
      <c r="BB311" s="32">
        <f t="shared" si="784"/>
        <v>0</v>
      </c>
      <c r="BC311" s="1214"/>
      <c r="BD311" s="1207"/>
      <c r="BE311" s="32">
        <f t="shared" si="785"/>
        <v>0</v>
      </c>
      <c r="BF311" s="1214"/>
      <c r="BG311" s="1207"/>
      <c r="BH311" s="32">
        <f t="shared" si="786"/>
        <v>0</v>
      </c>
      <c r="BI311" s="1214"/>
      <c r="BJ311" s="1207"/>
      <c r="BK311" s="32">
        <f t="shared" si="787"/>
        <v>0</v>
      </c>
      <c r="BL311" s="1214"/>
      <c r="BM311" s="1207"/>
      <c r="BN311" s="32">
        <f t="shared" si="788"/>
        <v>0</v>
      </c>
      <c r="BO311" s="1214"/>
      <c r="BP311" s="1207"/>
      <c r="BQ311" s="32">
        <f t="shared" si="789"/>
        <v>0</v>
      </c>
      <c r="BR311" s="1214"/>
      <c r="BS311" s="1207"/>
      <c r="BT311" s="32">
        <f t="shared" si="790"/>
        <v>0</v>
      </c>
      <c r="BU311" s="1214"/>
      <c r="BV311" s="1207"/>
      <c r="BW311" s="32">
        <f t="shared" si="791"/>
        <v>0</v>
      </c>
      <c r="BX311" s="1205"/>
      <c r="BY311" s="1207"/>
      <c r="BZ311" s="32">
        <f t="shared" si="792"/>
        <v>0</v>
      </c>
      <c r="CA311" s="1205"/>
      <c r="CB311" s="1207"/>
      <c r="CC311" s="32">
        <f t="shared" si="793"/>
        <v>0</v>
      </c>
      <c r="CD311" s="1205"/>
      <c r="CE311" s="1207"/>
      <c r="CF311" s="32">
        <f t="shared" si="794"/>
        <v>0</v>
      </c>
      <c r="CG311" s="1205"/>
      <c r="CH311" s="1207"/>
      <c r="CI311" s="32">
        <f t="shared" si="795"/>
        <v>0</v>
      </c>
      <c r="CJ311" s="1205"/>
      <c r="CK311" s="1207"/>
      <c r="CL311" s="32">
        <f t="shared" si="796"/>
        <v>0</v>
      </c>
      <c r="CM311" s="1205"/>
      <c r="CN311" s="1207"/>
      <c r="CO311" s="32">
        <f t="shared" si="797"/>
        <v>0</v>
      </c>
      <c r="CP311" s="1205"/>
      <c r="CQ311" s="1207"/>
      <c r="CR311" s="32">
        <f t="shared" si="798"/>
        <v>0</v>
      </c>
      <c r="CS311" s="1205"/>
      <c r="CT311" s="1207"/>
      <c r="CU311" s="32">
        <f t="shared" si="799"/>
        <v>0</v>
      </c>
      <c r="CV311" s="1205"/>
      <c r="CW311" s="1207"/>
      <c r="CX311" s="32">
        <f t="shared" si="800"/>
        <v>0</v>
      </c>
      <c r="CY311" s="1205"/>
      <c r="CZ311" s="1207"/>
      <c r="DA311" s="32">
        <f t="shared" si="801"/>
        <v>0</v>
      </c>
      <c r="DB311" s="1205"/>
      <c r="DC311" s="1207"/>
      <c r="DD311" s="32">
        <f t="shared" si="802"/>
        <v>0</v>
      </c>
      <c r="DE311" s="1219"/>
      <c r="DF311" s="1207"/>
      <c r="DG311" s="32">
        <f t="shared" si="803"/>
        <v>0</v>
      </c>
      <c r="DH311" s="1219"/>
      <c r="DI311" s="1207"/>
      <c r="DJ311" s="32">
        <f t="shared" si="804"/>
        <v>0</v>
      </c>
      <c r="DK311" s="1219"/>
      <c r="DL311" s="32"/>
      <c r="DM311" s="32">
        <f t="shared" si="805"/>
        <v>0</v>
      </c>
      <c r="DN311" s="1061"/>
      <c r="DO311" s="32"/>
      <c r="DP311" s="32">
        <f t="shared" si="806"/>
        <v>0</v>
      </c>
      <c r="DQ311" s="1061"/>
      <c r="DR311" s="32"/>
      <c r="DS311" s="32">
        <f t="shared" si="807"/>
        <v>0</v>
      </c>
      <c r="DT311" s="1061"/>
      <c r="DU311" s="32"/>
      <c r="DV311" s="32">
        <f t="shared" si="808"/>
        <v>0</v>
      </c>
      <c r="DW311" s="1061"/>
      <c r="DX311" s="32"/>
      <c r="DY311" s="32">
        <f t="shared" si="809"/>
        <v>0</v>
      </c>
      <c r="DZ311" s="1061"/>
      <c r="EA311" s="32"/>
      <c r="EB311" s="32">
        <f t="shared" si="810"/>
        <v>0</v>
      </c>
      <c r="EC311" s="1061"/>
      <c r="ED311" s="32"/>
      <c r="EE311" s="32">
        <f t="shared" si="811"/>
        <v>0</v>
      </c>
      <c r="EF311" s="1061"/>
      <c r="EG311" s="32"/>
      <c r="EH311" s="32">
        <f t="shared" si="812"/>
        <v>0</v>
      </c>
      <c r="EI311" s="1061"/>
      <c r="EJ311" s="32"/>
      <c r="EK311" s="32">
        <f t="shared" si="813"/>
        <v>0</v>
      </c>
      <c r="EL311" s="1061"/>
      <c r="EM311" s="32"/>
      <c r="EN311" s="32">
        <f t="shared" si="814"/>
        <v>0</v>
      </c>
      <c r="EO311" s="1061"/>
      <c r="EP311" s="32"/>
      <c r="EQ311" s="32">
        <f t="shared" si="815"/>
        <v>0</v>
      </c>
      <c r="ER311" s="1061"/>
      <c r="ES311" s="32"/>
      <c r="ET311" s="32">
        <f t="shared" si="816"/>
        <v>0</v>
      </c>
      <c r="EU311" s="1061"/>
      <c r="EV311" s="32"/>
      <c r="EW311" s="32">
        <f t="shared" si="817"/>
        <v>0</v>
      </c>
      <c r="EX311" s="1061"/>
      <c r="EY311" s="32"/>
      <c r="EZ311" s="32">
        <f t="shared" si="818"/>
        <v>0</v>
      </c>
      <c r="FA311" s="1061"/>
      <c r="FD311"/>
      <c r="FE311"/>
      <c r="FF311"/>
      <c r="FG311"/>
      <c r="FH311"/>
      <c r="FI311"/>
    </row>
    <row r="312" spans="2:169" s="33" customFormat="1" outlineLevel="1">
      <c r="B312" s="54" t="s">
        <v>292</v>
      </c>
      <c r="C312" s="54"/>
      <c r="D312" s="2" t="s">
        <v>506</v>
      </c>
      <c r="E312" s="1205"/>
      <c r="F312" s="32">
        <f t="shared" si="768"/>
        <v>0</v>
      </c>
      <c r="G312" s="1214"/>
      <c r="H312" s="1207"/>
      <c r="I312" s="32">
        <f t="shared" si="769"/>
        <v>0</v>
      </c>
      <c r="J312" s="1214"/>
      <c r="K312" s="1207"/>
      <c r="L312" s="32">
        <f t="shared" si="770"/>
        <v>0</v>
      </c>
      <c r="M312" s="1214"/>
      <c r="N312" s="1207"/>
      <c r="O312" s="32">
        <f t="shared" si="771"/>
        <v>0</v>
      </c>
      <c r="P312" s="1214"/>
      <c r="Q312" s="1207"/>
      <c r="R312" s="32">
        <f t="shared" si="772"/>
        <v>0</v>
      </c>
      <c r="S312" s="1214"/>
      <c r="T312" s="1207"/>
      <c r="U312" s="32">
        <f t="shared" si="773"/>
        <v>0</v>
      </c>
      <c r="V312" s="1214"/>
      <c r="W312" s="1207"/>
      <c r="X312" s="32">
        <f t="shared" si="774"/>
        <v>0</v>
      </c>
      <c r="Y312" s="1214"/>
      <c r="Z312" s="1207"/>
      <c r="AA312" s="32">
        <f t="shared" si="775"/>
        <v>0</v>
      </c>
      <c r="AB312" s="1214"/>
      <c r="AC312" s="1207"/>
      <c r="AD312" s="32">
        <f t="shared" si="776"/>
        <v>0</v>
      </c>
      <c r="AE312" s="1214"/>
      <c r="AF312" s="1207"/>
      <c r="AG312" s="32">
        <f t="shared" si="777"/>
        <v>0</v>
      </c>
      <c r="AH312" s="1214"/>
      <c r="AI312" s="1207"/>
      <c r="AJ312" s="32">
        <f t="shared" si="778"/>
        <v>0</v>
      </c>
      <c r="AK312" s="1214"/>
      <c r="AL312" s="1207"/>
      <c r="AM312" s="32">
        <f t="shared" si="779"/>
        <v>0</v>
      </c>
      <c r="AN312" s="1214"/>
      <c r="AO312" s="1207"/>
      <c r="AP312" s="32">
        <f t="shared" si="780"/>
        <v>0</v>
      </c>
      <c r="AQ312" s="1214"/>
      <c r="AR312" s="1207"/>
      <c r="AS312" s="32">
        <f t="shared" si="781"/>
        <v>0</v>
      </c>
      <c r="AT312" s="1214"/>
      <c r="AU312" s="1207"/>
      <c r="AV312" s="32">
        <f t="shared" si="782"/>
        <v>0</v>
      </c>
      <c r="AW312" s="1214"/>
      <c r="AX312" s="1207"/>
      <c r="AY312" s="32">
        <f t="shared" si="783"/>
        <v>0</v>
      </c>
      <c r="AZ312" s="1214"/>
      <c r="BA312" s="1207"/>
      <c r="BB312" s="32">
        <f t="shared" si="784"/>
        <v>0</v>
      </c>
      <c r="BC312" s="1214"/>
      <c r="BD312" s="1207"/>
      <c r="BE312" s="32">
        <f t="shared" si="785"/>
        <v>0</v>
      </c>
      <c r="BF312" s="1214"/>
      <c r="BG312" s="1207"/>
      <c r="BH312" s="32">
        <f t="shared" si="786"/>
        <v>0</v>
      </c>
      <c r="BI312" s="1214"/>
      <c r="BJ312" s="1207"/>
      <c r="BK312" s="32">
        <f t="shared" si="787"/>
        <v>0</v>
      </c>
      <c r="BL312" s="1214"/>
      <c r="BM312" s="1207"/>
      <c r="BN312" s="32">
        <f t="shared" si="788"/>
        <v>0</v>
      </c>
      <c r="BO312" s="1214"/>
      <c r="BP312" s="1207"/>
      <c r="BQ312" s="32">
        <f t="shared" si="789"/>
        <v>0</v>
      </c>
      <c r="BR312" s="1214"/>
      <c r="BS312" s="1207"/>
      <c r="BT312" s="32">
        <f t="shared" si="790"/>
        <v>0</v>
      </c>
      <c r="BU312" s="1214"/>
      <c r="BV312" s="1207"/>
      <c r="BW312" s="32">
        <f t="shared" si="791"/>
        <v>0</v>
      </c>
      <c r="BX312" s="1205"/>
      <c r="BY312" s="1207"/>
      <c r="BZ312" s="32">
        <f t="shared" si="792"/>
        <v>0</v>
      </c>
      <c r="CA312" s="1205"/>
      <c r="CB312" s="1207"/>
      <c r="CC312" s="32">
        <f t="shared" si="793"/>
        <v>0</v>
      </c>
      <c r="CD312" s="1205"/>
      <c r="CE312" s="1207"/>
      <c r="CF312" s="32">
        <f t="shared" si="794"/>
        <v>0</v>
      </c>
      <c r="CG312" s="1205"/>
      <c r="CH312" s="1207"/>
      <c r="CI312" s="32">
        <f t="shared" si="795"/>
        <v>0</v>
      </c>
      <c r="CJ312" s="1205"/>
      <c r="CK312" s="1207"/>
      <c r="CL312" s="32">
        <f t="shared" si="796"/>
        <v>0</v>
      </c>
      <c r="CM312" s="1205"/>
      <c r="CN312" s="1207"/>
      <c r="CO312" s="32">
        <f t="shared" si="797"/>
        <v>0</v>
      </c>
      <c r="CP312" s="1205"/>
      <c r="CQ312" s="1207"/>
      <c r="CR312" s="32">
        <f t="shared" si="798"/>
        <v>0</v>
      </c>
      <c r="CS312" s="1205"/>
      <c r="CT312" s="1207"/>
      <c r="CU312" s="32">
        <f t="shared" si="799"/>
        <v>0</v>
      </c>
      <c r="CV312" s="1205"/>
      <c r="CW312" s="1207"/>
      <c r="CX312" s="32">
        <f t="shared" si="800"/>
        <v>0</v>
      </c>
      <c r="CY312" s="1205"/>
      <c r="CZ312" s="1207"/>
      <c r="DA312" s="32">
        <f t="shared" si="801"/>
        <v>0</v>
      </c>
      <c r="DB312" s="1205"/>
      <c r="DC312" s="1207"/>
      <c r="DD312" s="32">
        <f t="shared" si="802"/>
        <v>0</v>
      </c>
      <c r="DE312" s="1219"/>
      <c r="DF312" s="1207"/>
      <c r="DG312" s="32">
        <f t="shared" si="803"/>
        <v>0</v>
      </c>
      <c r="DH312" s="1219"/>
      <c r="DI312" s="1207"/>
      <c r="DJ312" s="32">
        <f t="shared" si="804"/>
        <v>0</v>
      </c>
      <c r="DK312" s="1219"/>
      <c r="DL312" s="32"/>
      <c r="DM312" s="32">
        <f t="shared" si="805"/>
        <v>0</v>
      </c>
      <c r="DN312" s="1061"/>
      <c r="DO312" s="32"/>
      <c r="DP312" s="32">
        <f t="shared" si="806"/>
        <v>0</v>
      </c>
      <c r="DQ312" s="1061"/>
      <c r="DR312" s="32"/>
      <c r="DS312" s="32">
        <f t="shared" si="807"/>
        <v>0</v>
      </c>
      <c r="DT312" s="1061"/>
      <c r="DU312" s="32"/>
      <c r="DV312" s="32">
        <f t="shared" si="808"/>
        <v>0</v>
      </c>
      <c r="DW312" s="1061"/>
      <c r="DX312" s="32"/>
      <c r="DY312" s="32">
        <f t="shared" si="809"/>
        <v>0</v>
      </c>
      <c r="DZ312" s="1061"/>
      <c r="EA312" s="32"/>
      <c r="EB312" s="32">
        <f t="shared" si="810"/>
        <v>0</v>
      </c>
      <c r="EC312" s="1061"/>
      <c r="ED312" s="32"/>
      <c r="EE312" s="32">
        <f t="shared" si="811"/>
        <v>0</v>
      </c>
      <c r="EF312" s="1061"/>
      <c r="EG312" s="32"/>
      <c r="EH312" s="32">
        <f t="shared" si="812"/>
        <v>0</v>
      </c>
      <c r="EI312" s="1061"/>
      <c r="EJ312" s="32"/>
      <c r="EK312" s="32">
        <f t="shared" si="813"/>
        <v>0</v>
      </c>
      <c r="EL312" s="1061"/>
      <c r="EM312" s="32"/>
      <c r="EN312" s="32">
        <f t="shared" si="814"/>
        <v>0</v>
      </c>
      <c r="EO312" s="1061"/>
      <c r="EP312" s="32"/>
      <c r="EQ312" s="32">
        <f t="shared" si="815"/>
        <v>0</v>
      </c>
      <c r="ER312" s="1061"/>
      <c r="ES312" s="32"/>
      <c r="ET312" s="32">
        <f t="shared" si="816"/>
        <v>0</v>
      </c>
      <c r="EU312" s="1061"/>
      <c r="EV312" s="32"/>
      <c r="EW312" s="32">
        <f t="shared" si="817"/>
        <v>0</v>
      </c>
      <c r="EX312" s="1061"/>
      <c r="EY312" s="32"/>
      <c r="EZ312" s="32">
        <f t="shared" si="818"/>
        <v>0</v>
      </c>
      <c r="FA312" s="1061"/>
      <c r="FD312"/>
      <c r="FE312"/>
      <c r="FF312"/>
      <c r="FG312"/>
      <c r="FH312"/>
      <c r="FI312"/>
    </row>
    <row r="313" spans="2:169" s="33" customFormat="1" outlineLevel="1">
      <c r="B313" s="54" t="s">
        <v>293</v>
      </c>
      <c r="C313" s="54"/>
      <c r="D313" s="2" t="s">
        <v>506</v>
      </c>
      <c r="E313" s="1205"/>
      <c r="F313" s="32">
        <f t="shared" si="768"/>
        <v>0</v>
      </c>
      <c r="G313" s="1214"/>
      <c r="H313" s="1207"/>
      <c r="I313" s="32">
        <f t="shared" si="769"/>
        <v>0</v>
      </c>
      <c r="J313" s="1214"/>
      <c r="K313" s="1207"/>
      <c r="L313" s="32">
        <f t="shared" si="770"/>
        <v>0</v>
      </c>
      <c r="M313" s="1214"/>
      <c r="N313" s="1207"/>
      <c r="O313" s="32">
        <f t="shared" si="771"/>
        <v>0</v>
      </c>
      <c r="P313" s="1214"/>
      <c r="Q313" s="1207"/>
      <c r="R313" s="32">
        <f t="shared" si="772"/>
        <v>0</v>
      </c>
      <c r="S313" s="1214"/>
      <c r="T313" s="1207"/>
      <c r="U313" s="32">
        <f t="shared" si="773"/>
        <v>0</v>
      </c>
      <c r="V313" s="1214"/>
      <c r="W313" s="1207"/>
      <c r="X313" s="32">
        <f t="shared" si="774"/>
        <v>0</v>
      </c>
      <c r="Y313" s="1214"/>
      <c r="Z313" s="1207"/>
      <c r="AA313" s="32">
        <f t="shared" si="775"/>
        <v>0</v>
      </c>
      <c r="AB313" s="1214"/>
      <c r="AC313" s="1207"/>
      <c r="AD313" s="32">
        <f t="shared" si="776"/>
        <v>0</v>
      </c>
      <c r="AE313" s="1214"/>
      <c r="AF313" s="1207"/>
      <c r="AG313" s="32">
        <f t="shared" si="777"/>
        <v>0</v>
      </c>
      <c r="AH313" s="1214"/>
      <c r="AI313" s="1207"/>
      <c r="AJ313" s="32">
        <f t="shared" si="778"/>
        <v>0</v>
      </c>
      <c r="AK313" s="1214"/>
      <c r="AL313" s="1207"/>
      <c r="AM313" s="32">
        <f t="shared" si="779"/>
        <v>0</v>
      </c>
      <c r="AN313" s="1214"/>
      <c r="AO313" s="1207"/>
      <c r="AP313" s="32">
        <f t="shared" si="780"/>
        <v>0</v>
      </c>
      <c r="AQ313" s="1214"/>
      <c r="AR313" s="1207"/>
      <c r="AS313" s="32">
        <f t="shared" si="781"/>
        <v>0</v>
      </c>
      <c r="AT313" s="1214"/>
      <c r="AU313" s="1207"/>
      <c r="AV313" s="32">
        <f t="shared" si="782"/>
        <v>0</v>
      </c>
      <c r="AW313" s="1214"/>
      <c r="AX313" s="1207"/>
      <c r="AY313" s="32">
        <f t="shared" si="783"/>
        <v>0</v>
      </c>
      <c r="AZ313" s="1214"/>
      <c r="BA313" s="1207"/>
      <c r="BB313" s="32">
        <f t="shared" si="784"/>
        <v>0</v>
      </c>
      <c r="BC313" s="1214"/>
      <c r="BD313" s="1207"/>
      <c r="BE313" s="32">
        <f t="shared" si="785"/>
        <v>0</v>
      </c>
      <c r="BF313" s="1214"/>
      <c r="BG313" s="1207"/>
      <c r="BH313" s="32">
        <f t="shared" si="786"/>
        <v>0</v>
      </c>
      <c r="BI313" s="1214"/>
      <c r="BJ313" s="1207"/>
      <c r="BK313" s="32">
        <f t="shared" si="787"/>
        <v>0</v>
      </c>
      <c r="BL313" s="1214"/>
      <c r="BM313" s="1207"/>
      <c r="BN313" s="32">
        <f t="shared" si="788"/>
        <v>0</v>
      </c>
      <c r="BO313" s="1214"/>
      <c r="BP313" s="1207"/>
      <c r="BQ313" s="32">
        <f t="shared" si="789"/>
        <v>0</v>
      </c>
      <c r="BR313" s="1214"/>
      <c r="BS313" s="1207"/>
      <c r="BT313" s="32">
        <f t="shared" si="790"/>
        <v>0</v>
      </c>
      <c r="BU313" s="1214"/>
      <c r="BV313" s="1207"/>
      <c r="BW313" s="32">
        <f t="shared" si="791"/>
        <v>0</v>
      </c>
      <c r="BX313" s="1205"/>
      <c r="BY313" s="1207"/>
      <c r="BZ313" s="32">
        <f t="shared" si="792"/>
        <v>0</v>
      </c>
      <c r="CA313" s="1205"/>
      <c r="CB313" s="1207"/>
      <c r="CC313" s="32">
        <f t="shared" si="793"/>
        <v>0</v>
      </c>
      <c r="CD313" s="1205"/>
      <c r="CE313" s="1207"/>
      <c r="CF313" s="32">
        <f t="shared" si="794"/>
        <v>0</v>
      </c>
      <c r="CG313" s="1205"/>
      <c r="CH313" s="1207"/>
      <c r="CI313" s="32">
        <f t="shared" si="795"/>
        <v>0</v>
      </c>
      <c r="CJ313" s="1205"/>
      <c r="CK313" s="1207"/>
      <c r="CL313" s="32">
        <f t="shared" si="796"/>
        <v>0</v>
      </c>
      <c r="CM313" s="1205"/>
      <c r="CN313" s="1207"/>
      <c r="CO313" s="32">
        <f t="shared" si="797"/>
        <v>0</v>
      </c>
      <c r="CP313" s="1205"/>
      <c r="CQ313" s="1207"/>
      <c r="CR313" s="32">
        <f t="shared" si="798"/>
        <v>0</v>
      </c>
      <c r="CS313" s="1205"/>
      <c r="CT313" s="1207"/>
      <c r="CU313" s="32">
        <f t="shared" si="799"/>
        <v>0</v>
      </c>
      <c r="CV313" s="1205"/>
      <c r="CW313" s="1207"/>
      <c r="CX313" s="32">
        <f t="shared" si="800"/>
        <v>0</v>
      </c>
      <c r="CY313" s="1205"/>
      <c r="CZ313" s="1207"/>
      <c r="DA313" s="32">
        <f t="shared" si="801"/>
        <v>0</v>
      </c>
      <c r="DB313" s="1205"/>
      <c r="DC313" s="1207"/>
      <c r="DD313" s="32">
        <f t="shared" si="802"/>
        <v>0</v>
      </c>
      <c r="DE313" s="1219"/>
      <c r="DF313" s="1207"/>
      <c r="DG313" s="32">
        <f t="shared" si="803"/>
        <v>0</v>
      </c>
      <c r="DH313" s="1219"/>
      <c r="DI313" s="1207"/>
      <c r="DJ313" s="32">
        <f t="shared" si="804"/>
        <v>0</v>
      </c>
      <c r="DK313" s="1219"/>
      <c r="DL313" s="32"/>
      <c r="DM313" s="32">
        <f t="shared" si="805"/>
        <v>0</v>
      </c>
      <c r="DN313" s="1061"/>
      <c r="DO313" s="32"/>
      <c r="DP313" s="32">
        <f t="shared" si="806"/>
        <v>0</v>
      </c>
      <c r="DQ313" s="1061"/>
      <c r="DR313" s="32"/>
      <c r="DS313" s="32">
        <f t="shared" si="807"/>
        <v>0</v>
      </c>
      <c r="DT313" s="1061"/>
      <c r="DU313" s="32"/>
      <c r="DV313" s="32">
        <f t="shared" si="808"/>
        <v>0</v>
      </c>
      <c r="DW313" s="1061"/>
      <c r="DX313" s="32"/>
      <c r="DY313" s="32">
        <f t="shared" si="809"/>
        <v>0</v>
      </c>
      <c r="DZ313" s="1061"/>
      <c r="EA313" s="32"/>
      <c r="EB313" s="32">
        <f t="shared" si="810"/>
        <v>0</v>
      </c>
      <c r="EC313" s="1061"/>
      <c r="ED313" s="32"/>
      <c r="EE313" s="32">
        <f t="shared" si="811"/>
        <v>0</v>
      </c>
      <c r="EF313" s="1061"/>
      <c r="EG313" s="32"/>
      <c r="EH313" s="32">
        <f t="shared" si="812"/>
        <v>0</v>
      </c>
      <c r="EI313" s="1061"/>
      <c r="EJ313" s="32"/>
      <c r="EK313" s="32">
        <f t="shared" si="813"/>
        <v>0</v>
      </c>
      <c r="EL313" s="1061"/>
      <c r="EM313" s="32"/>
      <c r="EN313" s="32">
        <f t="shared" si="814"/>
        <v>0</v>
      </c>
      <c r="EO313" s="1061"/>
      <c r="EP313" s="32"/>
      <c r="EQ313" s="32">
        <f t="shared" si="815"/>
        <v>0</v>
      </c>
      <c r="ER313" s="1061"/>
      <c r="ES313" s="32"/>
      <c r="ET313" s="32">
        <f t="shared" si="816"/>
        <v>0</v>
      </c>
      <c r="EU313" s="1061"/>
      <c r="EV313" s="32"/>
      <c r="EW313" s="32">
        <f t="shared" si="817"/>
        <v>0</v>
      </c>
      <c r="EX313" s="1061"/>
      <c r="EY313" s="32"/>
      <c r="EZ313" s="32">
        <f t="shared" si="818"/>
        <v>0</v>
      </c>
      <c r="FA313" s="1061"/>
      <c r="FD313"/>
      <c r="FE313"/>
      <c r="FF313"/>
      <c r="FG313"/>
      <c r="FH313"/>
      <c r="FI313"/>
    </row>
    <row r="314" spans="2:169" s="33" customFormat="1">
      <c r="B314" s="1780" t="s">
        <v>294</v>
      </c>
      <c r="C314" s="1730"/>
      <c r="D314" s="1732" t="s">
        <v>506</v>
      </c>
      <c r="E314" s="1753"/>
      <c r="F314" s="1421">
        <f t="shared" si="768"/>
        <v>0</v>
      </c>
      <c r="G314" s="1768"/>
      <c r="H314" s="1755"/>
      <c r="I314" s="1421">
        <f t="shared" si="769"/>
        <v>0</v>
      </c>
      <c r="J314" s="1768"/>
      <c r="K314" s="1755"/>
      <c r="L314" s="1421">
        <f t="shared" si="770"/>
        <v>0</v>
      </c>
      <c r="M314" s="1768"/>
      <c r="N314" s="1755"/>
      <c r="O314" s="1421">
        <f t="shared" si="771"/>
        <v>0</v>
      </c>
      <c r="P314" s="1768"/>
      <c r="Q314" s="1755"/>
      <c r="R314" s="1421">
        <f t="shared" si="772"/>
        <v>0</v>
      </c>
      <c r="S314" s="1768"/>
      <c r="T314" s="1755"/>
      <c r="U314" s="1421">
        <f t="shared" si="773"/>
        <v>0</v>
      </c>
      <c r="V314" s="1768"/>
      <c r="W314" s="1755"/>
      <c r="X314" s="1421">
        <f t="shared" si="774"/>
        <v>0</v>
      </c>
      <c r="Y314" s="1768"/>
      <c r="Z314" s="1755"/>
      <c r="AA314" s="1421">
        <f t="shared" si="775"/>
        <v>0</v>
      </c>
      <c r="AB314" s="1768"/>
      <c r="AC314" s="1755"/>
      <c r="AD314" s="1421">
        <f t="shared" si="776"/>
        <v>0</v>
      </c>
      <c r="AE314" s="1768"/>
      <c r="AF314" s="1755"/>
      <c r="AG314" s="1421">
        <f t="shared" si="777"/>
        <v>0</v>
      </c>
      <c r="AH314" s="1768"/>
      <c r="AI314" s="1755"/>
      <c r="AJ314" s="1421">
        <f t="shared" si="778"/>
        <v>0</v>
      </c>
      <c r="AK314" s="1768"/>
      <c r="AL314" s="1755"/>
      <c r="AM314" s="1421">
        <f t="shared" si="779"/>
        <v>0</v>
      </c>
      <c r="AN314" s="1768"/>
      <c r="AO314" s="1755"/>
      <c r="AP314" s="1421">
        <f t="shared" si="780"/>
        <v>0</v>
      </c>
      <c r="AQ314" s="1768"/>
      <c r="AR314" s="1755"/>
      <c r="AS314" s="1421">
        <f t="shared" si="781"/>
        <v>0</v>
      </c>
      <c r="AT314" s="1768"/>
      <c r="AU314" s="1755"/>
      <c r="AV314" s="1421">
        <f t="shared" si="782"/>
        <v>0</v>
      </c>
      <c r="AW314" s="1768"/>
      <c r="AX314" s="1755"/>
      <c r="AY314" s="1421">
        <f t="shared" si="783"/>
        <v>0</v>
      </c>
      <c r="AZ314" s="1768"/>
      <c r="BA314" s="1755"/>
      <c r="BB314" s="1421">
        <f t="shared" si="784"/>
        <v>0</v>
      </c>
      <c r="BC314" s="1768"/>
      <c r="BD314" s="1755"/>
      <c r="BE314" s="1421">
        <f t="shared" si="785"/>
        <v>0</v>
      </c>
      <c r="BF314" s="1768"/>
      <c r="BG314" s="1755"/>
      <c r="BH314" s="1421">
        <f t="shared" si="786"/>
        <v>0</v>
      </c>
      <c r="BI314" s="1768"/>
      <c r="BJ314" s="1755"/>
      <c r="BK314" s="1421">
        <f t="shared" si="787"/>
        <v>0</v>
      </c>
      <c r="BL314" s="1768"/>
      <c r="BM314" s="1755"/>
      <c r="BN314" s="1421">
        <f t="shared" si="788"/>
        <v>0</v>
      </c>
      <c r="BO314" s="1768"/>
      <c r="BP314" s="1755"/>
      <c r="BQ314" s="1421">
        <f t="shared" si="789"/>
        <v>0</v>
      </c>
      <c r="BR314" s="1768"/>
      <c r="BS314" s="1755"/>
      <c r="BT314" s="1421">
        <f t="shared" si="790"/>
        <v>0</v>
      </c>
      <c r="BU314" s="1768"/>
      <c r="BV314" s="1755"/>
      <c r="BW314" s="1421">
        <f t="shared" si="791"/>
        <v>1548</v>
      </c>
      <c r="BX314" s="1769">
        <v>1548</v>
      </c>
      <c r="BY314" s="1755"/>
      <c r="BZ314" s="1421">
        <f t="shared" si="792"/>
        <v>2145</v>
      </c>
      <c r="CA314" s="1769">
        <v>2145</v>
      </c>
      <c r="CB314" s="1755"/>
      <c r="CC314" s="1421">
        <f t="shared" si="793"/>
        <v>2688</v>
      </c>
      <c r="CD314" s="1769">
        <v>2688</v>
      </c>
      <c r="CE314" s="1755"/>
      <c r="CF314" s="1421">
        <f t="shared" si="794"/>
        <v>3162</v>
      </c>
      <c r="CG314" s="1769">
        <v>3162</v>
      </c>
      <c r="CH314" s="1757">
        <v>4025.739</v>
      </c>
      <c r="CI314" s="1421">
        <f t="shared" si="795"/>
        <v>4324.5</v>
      </c>
      <c r="CJ314" s="1769">
        <v>4324.5</v>
      </c>
      <c r="CK314" s="1757">
        <v>4406.8</v>
      </c>
      <c r="CL314" s="1421">
        <f t="shared" si="796"/>
        <v>4406.8</v>
      </c>
      <c r="CM314" s="1769">
        <v>4406.8</v>
      </c>
      <c r="CN314" s="1757">
        <v>4826.8999999999996</v>
      </c>
      <c r="CO314" s="1421">
        <f t="shared" si="797"/>
        <v>5221.5</v>
      </c>
      <c r="CP314" s="1769">
        <v>5221.5</v>
      </c>
      <c r="CQ314" s="1757">
        <v>5594.5</v>
      </c>
      <c r="CR314" s="1421">
        <f t="shared" si="798"/>
        <v>6000.8</v>
      </c>
      <c r="CS314" s="1769">
        <v>6000.8</v>
      </c>
      <c r="CT314" s="1757">
        <v>6425.1</v>
      </c>
      <c r="CU314" s="1421">
        <f t="shared" si="799"/>
        <v>6592.3</v>
      </c>
      <c r="CV314" s="1769">
        <v>6592.3</v>
      </c>
      <c r="CW314" s="1757">
        <v>7140.1</v>
      </c>
      <c r="CX314" s="1421">
        <f t="shared" si="800"/>
        <v>7403.9</v>
      </c>
      <c r="CY314" s="1769">
        <v>7403.9</v>
      </c>
      <c r="CZ314" s="1755">
        <v>8190.2</v>
      </c>
      <c r="DA314" s="1421">
        <f t="shared" si="801"/>
        <v>8490.2000000000007</v>
      </c>
      <c r="DB314" s="1753">
        <v>8490.2000000000007</v>
      </c>
      <c r="DC314" s="1755">
        <v>9250.2999999999993</v>
      </c>
      <c r="DD314" s="1421">
        <f t="shared" si="802"/>
        <v>9612.2999999999993</v>
      </c>
      <c r="DE314" s="1771">
        <v>9612.2999999999993</v>
      </c>
      <c r="DF314" s="1772">
        <v>10355.5</v>
      </c>
      <c r="DG314" s="1737">
        <f t="shared" si="803"/>
        <v>10752.29</v>
      </c>
      <c r="DH314" s="1773">
        <v>10752.29</v>
      </c>
      <c r="DI314" s="1774">
        <v>12065</v>
      </c>
      <c r="DJ314" s="1737">
        <f t="shared" si="804"/>
        <v>12252.7</v>
      </c>
      <c r="DK314" s="1773">
        <v>12252.7</v>
      </c>
      <c r="DL314" s="1737">
        <v>13495.1</v>
      </c>
      <c r="DM314" s="1737">
        <f t="shared" si="805"/>
        <v>13503.4</v>
      </c>
      <c r="DN314" s="1775">
        <v>13503.4</v>
      </c>
      <c r="DO314" s="1776">
        <v>14566.1</v>
      </c>
      <c r="DP314" s="1737">
        <f t="shared" si="806"/>
        <v>14621</v>
      </c>
      <c r="DQ314" s="1777">
        <v>14621</v>
      </c>
      <c r="DR314" s="1776">
        <v>15902</v>
      </c>
      <c r="DS314" s="1737">
        <f t="shared" si="807"/>
        <v>16012</v>
      </c>
      <c r="DT314" s="1777">
        <v>16012</v>
      </c>
      <c r="DU314" s="1776">
        <v>17331</v>
      </c>
      <c r="DV314" s="1737">
        <f t="shared" si="808"/>
        <v>17744</v>
      </c>
      <c r="DW314" s="1777">
        <v>17744</v>
      </c>
      <c r="DX314" s="1776">
        <v>17361</v>
      </c>
      <c r="DY314" s="1878">
        <f>+DX314+DY91+DY208</f>
        <v>18055.599307729066</v>
      </c>
      <c r="DZ314" s="1879">
        <f>+DY314</f>
        <v>18055.599307729066</v>
      </c>
      <c r="EA314" s="1421">
        <f>IF(EA5="A","",DZ314+EA80-EA81+EA93+EA94+EA117+EA118-EA83+EA146-EA145-EA84+(EA81+EA182)+(EA75+EA180)+((EA84+EA145)+(EA208-DY348))+Assumptions!EA96+EA86)</f>
        <v>19229.598516811926</v>
      </c>
      <c r="EB314" s="1421">
        <f t="shared" si="810"/>
        <v>19892.012884004816</v>
      </c>
      <c r="EC314" s="1104">
        <f>IF(EC5="A","",DZ314+EC80-EC81+EC93+EC94+EC117+EC118-EC83+EC146-EC145-EC84+(EC81+EC182)+(EC75+EC180)+((EC84+EC145)+(EC208-DY348-EA348))+Assumptions!EC96+EC86)</f>
        <v>19892.012884004816</v>
      </c>
      <c r="ED314" s="1421">
        <f>IF(ED5="A","",EC314+ED80-ED81+ED93+ED94+ED117+ED118-ED83+ED146-ED145-ED84+(ED81+ED182)+(ED75+ED180)+((ED84+ED145)+(ED208-EB348))+Assumptions!ED96+ED86)</f>
        <v>21305.733984740364</v>
      </c>
      <c r="EE314" s="1421">
        <f t="shared" si="811"/>
        <v>22035.750826254945</v>
      </c>
      <c r="EF314" s="1104">
        <f>IF(EF5="A","",EC314+EF80-EF81+EF93+EF94+EF117+EF118-EF83+EF146-EF145-EF84+(EF81+EF182)+(EF75+EF180)+((EF84+EF145)+(EF208-EB348-ED348))+Assumptions!EF96+EF86)</f>
        <v>22035.750826254945</v>
      </c>
      <c r="EG314" s="1421">
        <f>IF(EG5="A","",EF314+EG80-EG81+EG93+EG94+EG117+EG118-EG83+EG146-EG145-EG84+(EG81+EG182)+(EG75+EG180)+((EG84+EG145)+(EG208-EE348))+Assumptions!EG96+EG86)</f>
        <v>23579.959921998099</v>
      </c>
      <c r="EH314" s="1421">
        <f t="shared" si="812"/>
        <v>24431.43306915346</v>
      </c>
      <c r="EI314" s="1104">
        <f>IF(EI5="A","",EF314+EI80-EI81+EI93+EI94+EI117+EI118-EI83+EI146-EI145-EI84+(EI81+EI182)+(EI75+EI180)+((EI84+EI145)+(EI208-EE348-EG348))+Assumptions!EI96+EI86)</f>
        <v>24431.43306915346</v>
      </c>
      <c r="EJ314" s="1421">
        <f>IF(EJ5="A","",EI314+EJ80-EJ81+EJ93+EJ94+EJ117+EJ118-EJ83+EJ146-EJ145-EJ84+(EJ81+EJ182)+(EJ75+EJ180)+((EJ84+EJ145)+(EJ208-EH348))+Assumptions!EJ96+EJ86)</f>
        <v>26100.655725560973</v>
      </c>
      <c r="EK314" s="1421">
        <f t="shared" si="813"/>
        <v>27090.289108277364</v>
      </c>
      <c r="EL314" s="1104">
        <f>IF(EL5="A","",EI314+EL80-EL81+EL93+EL94+EL117+EL118-EL83+EL146-EL145-EL84+(EL81+EL182)+(EL75+EL180)+((EL84+EL145)+(EL208-EH348-EJ348))+Assumptions!EL96+EL86)</f>
        <v>27090.289108277364</v>
      </c>
      <c r="EM314" s="1421">
        <f>IF(EM5="A","",EL314+EM80-EM81+EM93+EM94+EM117+EM118-EM83+EM146-EM145-EM84+(EM81+EM182)+(EM75+EM180)+((EM84+EM145)+(EM208-EK348))+Assumptions!EM96+EM86)</f>
        <v>28914.049480803787</v>
      </c>
      <c r="EN314" s="1421">
        <f t="shared" si="814"/>
        <v>30021.765168580572</v>
      </c>
      <c r="EO314" s="1104">
        <f>IF(EO5="A","",EL314+EO80-EO81+EO93+EO94+EO117+EO118-EO83+EO146-EO145-EO84+(EO81+EO182)+(EO75+EO180)+((EO84+EO145)+(EO208-EK348-EM348))+Assumptions!EO96+EO86)</f>
        <v>30021.765168580572</v>
      </c>
      <c r="EP314" s="1421">
        <f>IF(EP5="A","",EO314+EP80-EP81+EP93+EP94+EP117+EP118-EP83+EP146-EP145-EP84+(EP81+EP182)+(EP75+EP180)+((EP84+EP145)+(EP208-EN348))+Assumptions!EP96+EP86)</f>
        <v>31991.969206807767</v>
      </c>
      <c r="EQ314" s="1421">
        <f t="shared" si="815"/>
        <v>33248.932595086706</v>
      </c>
      <c r="ER314" s="1104">
        <f>IF(ER5="A","",EO314+ER80-ER81+ER93+ER94+ER117+ER118-ER83+ER146-ER145-ER84+(ER81+ER182)+(ER75+ER180)+((ER84+ER145)+(ER208-EN348-EP348))+Assumptions!ER96+ER86)</f>
        <v>33248.932595086706</v>
      </c>
      <c r="ES314" s="1421">
        <f>IF(ES5="A","",ER314+ES80-ES81+ES93+ES94+ES117+ES118-ES83+ES146-ES145-ES84+(ES81+ES182)+(ES75+ES180)+((ES84+ES145)+(ES208-EQ348))+Assumptions!ES96+ES86)</f>
        <v>35340.563397137994</v>
      </c>
      <c r="ET314" s="1421">
        <f t="shared" si="816"/>
        <v>36732.847625324372</v>
      </c>
      <c r="EU314" s="1104">
        <f>IF(EU5="A","",ER314+EU80-EU81+EU93+EU94+EU117+EU118-EU83+EU146-EU145-EU84+(EU81+EU182)+(EU75+EU180)+((EU84+EU145)+(EU208-EQ348-ES348))+Assumptions!EU96+EU86)</f>
        <v>36732.847625324372</v>
      </c>
      <c r="EV314" s="1421">
        <f>IF(EV5="A","",EU314+EV80-EV81+EV93+EV94+EV117+EV118-EV83+EV146-EV145-EV84+(EV81+EV182)+(EV75+EV180)+((EV84+EV145)+(EV208-ET348))+Assumptions!EV96+EV86)</f>
        <v>38934.624599948998</v>
      </c>
      <c r="EW314" s="1421">
        <f t="shared" si="817"/>
        <v>40445.319223367551</v>
      </c>
      <c r="EX314" s="1104">
        <f>IF(EX5="A","",EU314+EX80-EX81+EX93+EX94+EX117+EX118-EX83+EX146-EX145-EX84+(EX81+EX182)+(EX75+EX180)+((EX84+EX145)+(EX208-ET348-EV348))+Assumptions!EX96+EX86)</f>
        <v>40445.319223367551</v>
      </c>
      <c r="EY314" s="1421">
        <f>IF(EY5="A","",EX314+EY80-EY81+EY93+EY94+EY117+EY118-EY83+EY146-EY145-EY84+(EY81+EY182)+(EY75+EY180)+((EY84+EY145)+(EY208-EW348))+Assumptions!EY96+EY86)</f>
        <v>42782.983452784982</v>
      </c>
      <c r="EZ314" s="1421">
        <f t="shared" si="818"/>
        <v>44420.249547234685</v>
      </c>
      <c r="FA314" s="1104">
        <f>IF(FA5="A","",EX314+FA80-FA81+FA93+FA94+FA117+FA118-FA83+FA146-FA145-FA84+(FA81+FA182)+(FA75+FA180)+((FA84+FA145)+(FA208-EW348-EY348))+Assumptions!FA96+FA86)</f>
        <v>44420.249547234685</v>
      </c>
      <c r="FD314"/>
      <c r="FE314"/>
      <c r="FF314"/>
      <c r="FG314"/>
      <c r="FH314"/>
      <c r="FI314"/>
    </row>
    <row r="315" spans="2:169" s="61" customFormat="1" ht="13.5" thickBot="1">
      <c r="B315" s="60" t="s">
        <v>295</v>
      </c>
      <c r="C315" s="60"/>
      <c r="D315" s="1658" t="s">
        <v>506</v>
      </c>
      <c r="E315" s="1272">
        <f>+E305+E306+E307+E314</f>
        <v>0</v>
      </c>
      <c r="F315" s="1272">
        <f t="shared" si="768"/>
        <v>0</v>
      </c>
      <c r="G315" s="1272">
        <f>+G305+G306+G307+G314</f>
        <v>0</v>
      </c>
      <c r="H315" s="1272">
        <f>+H305+H306+H307+H314</f>
        <v>0</v>
      </c>
      <c r="I315" s="1272">
        <f t="shared" si="769"/>
        <v>0</v>
      </c>
      <c r="J315" s="1272">
        <f>+J305+J306+J307+J314</f>
        <v>0</v>
      </c>
      <c r="K315" s="1272">
        <f>+K305+K306+K307+K314</f>
        <v>0</v>
      </c>
      <c r="L315" s="1272">
        <f t="shared" si="770"/>
        <v>0</v>
      </c>
      <c r="M315" s="1272">
        <f>+M305+M306+M307+M314</f>
        <v>0</v>
      </c>
      <c r="N315" s="1272">
        <f>+N305+N306+N307+N314</f>
        <v>0</v>
      </c>
      <c r="O315" s="1272">
        <f t="shared" si="771"/>
        <v>0</v>
      </c>
      <c r="P315" s="1272">
        <f>+P305+P306+P307+P314</f>
        <v>0</v>
      </c>
      <c r="Q315" s="1272">
        <f>+Q305+Q306+Q307+Q314</f>
        <v>0</v>
      </c>
      <c r="R315" s="1272">
        <f t="shared" si="772"/>
        <v>0</v>
      </c>
      <c r="S315" s="1272">
        <f>+S305+S306+S307+S314</f>
        <v>0</v>
      </c>
      <c r="T315" s="1272">
        <f>+T305+T306+T307+T314</f>
        <v>0</v>
      </c>
      <c r="U315" s="1272">
        <f t="shared" si="773"/>
        <v>0</v>
      </c>
      <c r="V315" s="1272">
        <f>+V305+V306+V307+V314</f>
        <v>0</v>
      </c>
      <c r="W315" s="1272">
        <f>+W305+W306+W307+W314</f>
        <v>0</v>
      </c>
      <c r="X315" s="1272">
        <f t="shared" si="774"/>
        <v>0</v>
      </c>
      <c r="Y315" s="1272">
        <f>+Y305+Y306+Y307+Y314</f>
        <v>0</v>
      </c>
      <c r="Z315" s="1272">
        <f>+Z305+Z306+Z307+Z314</f>
        <v>0</v>
      </c>
      <c r="AA315" s="1272">
        <f t="shared" si="775"/>
        <v>0</v>
      </c>
      <c r="AB315" s="1272">
        <f>+AB305+AB306+AB307+AB314</f>
        <v>0</v>
      </c>
      <c r="AC315" s="1272">
        <f>+AC305+AC306+AC307+AC314</f>
        <v>0</v>
      </c>
      <c r="AD315" s="1272">
        <f t="shared" si="776"/>
        <v>0</v>
      </c>
      <c r="AE315" s="1272">
        <f>+AE305+AE306+AE307+AE314</f>
        <v>0</v>
      </c>
      <c r="AF315" s="1272">
        <f>+AF305+AF306+AF307+AF314</f>
        <v>0</v>
      </c>
      <c r="AG315" s="1272">
        <f t="shared" si="777"/>
        <v>0</v>
      </c>
      <c r="AH315" s="1272">
        <f>+AH305+AH306+AH307+AH314</f>
        <v>0</v>
      </c>
      <c r="AI315" s="1272">
        <f>+AI305+AI306+AI307+AI314</f>
        <v>0</v>
      </c>
      <c r="AJ315" s="1272">
        <f t="shared" si="778"/>
        <v>0</v>
      </c>
      <c r="AK315" s="1272">
        <f>+AK305+AK306+AK307+AK314</f>
        <v>0</v>
      </c>
      <c r="AL315" s="1272">
        <f>+AL305+AL306+AL307+AL314</f>
        <v>0</v>
      </c>
      <c r="AM315" s="1272">
        <f t="shared" si="779"/>
        <v>0</v>
      </c>
      <c r="AN315" s="1272">
        <f>+AN305+AN306+AN307+AN314</f>
        <v>0</v>
      </c>
      <c r="AO315" s="1272">
        <f>+AO305+AO306+AO307+AO314</f>
        <v>0</v>
      </c>
      <c r="AP315" s="1272">
        <f t="shared" si="780"/>
        <v>0</v>
      </c>
      <c r="AQ315" s="1272">
        <f>+AQ305+AQ306+AQ307+AQ314</f>
        <v>0</v>
      </c>
      <c r="AR315" s="1272">
        <f>+AR305+AR306+AR307+AR314</f>
        <v>0</v>
      </c>
      <c r="AS315" s="1272">
        <f t="shared" si="781"/>
        <v>0</v>
      </c>
      <c r="AT315" s="1272">
        <f>+AT305+AT306+AT307+AT314</f>
        <v>0</v>
      </c>
      <c r="AU315" s="1272">
        <f>+AU305+AU306+AU307+AU314</f>
        <v>0</v>
      </c>
      <c r="AV315" s="1272">
        <f t="shared" si="782"/>
        <v>0</v>
      </c>
      <c r="AW315" s="1272">
        <f>+AW305+AW306+AW307+AW314</f>
        <v>0</v>
      </c>
      <c r="AX315" s="1272">
        <f>+AX305+AX306+AX307+AX314</f>
        <v>0</v>
      </c>
      <c r="AY315" s="1272">
        <f t="shared" si="783"/>
        <v>0</v>
      </c>
      <c r="AZ315" s="1272">
        <f>+AZ305+AZ306+AZ307+AZ314</f>
        <v>0</v>
      </c>
      <c r="BA315" s="1272">
        <f>+BA305+BA306+BA307+BA314</f>
        <v>0</v>
      </c>
      <c r="BB315" s="1272">
        <f t="shared" si="784"/>
        <v>0</v>
      </c>
      <c r="BC315" s="1272">
        <f>+BC305+BC306+BC307+BC314</f>
        <v>0</v>
      </c>
      <c r="BD315" s="1272">
        <f>+BD305+BD306+BD307+BD314</f>
        <v>0</v>
      </c>
      <c r="BE315" s="1272">
        <f t="shared" si="785"/>
        <v>0</v>
      </c>
      <c r="BF315" s="1272">
        <f>+BF305+BF306+BF307+BF314</f>
        <v>0</v>
      </c>
      <c r="BG315" s="1272">
        <f>+BG305+BG306+BG307+BG314</f>
        <v>0</v>
      </c>
      <c r="BH315" s="1272">
        <f t="shared" si="786"/>
        <v>0</v>
      </c>
      <c r="BI315" s="1272">
        <f>+BI305+BI306+BI307+BI314</f>
        <v>0</v>
      </c>
      <c r="BJ315" s="1272">
        <f>+BJ305+BJ306+BJ307+BJ314</f>
        <v>0</v>
      </c>
      <c r="BK315" s="1272">
        <f t="shared" si="787"/>
        <v>0</v>
      </c>
      <c r="BL315" s="1272">
        <f>+BL305+BL306+BL307+BL314</f>
        <v>0</v>
      </c>
      <c r="BM315" s="1272">
        <f>+BM305+BM306+BM307+BM314</f>
        <v>0</v>
      </c>
      <c r="BN315" s="1272">
        <f t="shared" si="788"/>
        <v>0</v>
      </c>
      <c r="BO315" s="1272">
        <f>+BO305+BO306+BO307+BO314</f>
        <v>0</v>
      </c>
      <c r="BP315" s="1272">
        <f>+BP305+BP306+BP307+BP314</f>
        <v>0</v>
      </c>
      <c r="BQ315" s="1272">
        <f t="shared" si="789"/>
        <v>0</v>
      </c>
      <c r="BR315" s="1272">
        <f>+BR305+BR306+BR307+BR314</f>
        <v>0</v>
      </c>
      <c r="BS315" s="1272">
        <f>+BS305+BS306+BS307+BS314</f>
        <v>0</v>
      </c>
      <c r="BT315" s="1272">
        <f t="shared" si="790"/>
        <v>0</v>
      </c>
      <c r="BU315" s="1272">
        <f>+BU305+BU306+BU307+BU314</f>
        <v>0</v>
      </c>
      <c r="BV315" s="1272">
        <f>+BV305+BV306+BV307+BV314</f>
        <v>0</v>
      </c>
      <c r="BW315" s="1272">
        <f t="shared" si="791"/>
        <v>2699.998</v>
      </c>
      <c r="BX315" s="1272">
        <f>+BX305+BX306+BX307+BX314</f>
        <v>2699.998</v>
      </c>
      <c r="BY315" s="1272">
        <f>+BY305+BY306+BY307+BY314</f>
        <v>0</v>
      </c>
      <c r="BZ315" s="1272">
        <f t="shared" si="792"/>
        <v>4432</v>
      </c>
      <c r="CA315" s="1272">
        <f>+CA305+CA306+CA307+CA314</f>
        <v>4432</v>
      </c>
      <c r="CB315" s="1272">
        <f>+CB305+CB306+CB307+CB314</f>
        <v>0</v>
      </c>
      <c r="CC315" s="1272">
        <f t="shared" si="793"/>
        <v>3590.0030000000002</v>
      </c>
      <c r="CD315" s="1272">
        <f>+CD305+CD306+CD307+CD314</f>
        <v>3590.0030000000002</v>
      </c>
      <c r="CE315" s="1272">
        <f>+CE305+CE306+CE307+CE314</f>
        <v>0</v>
      </c>
      <c r="CF315" s="1272">
        <f t="shared" si="794"/>
        <v>3916.0010000000002</v>
      </c>
      <c r="CG315" s="1272">
        <f>+CG305+CG306+CG307+CG314</f>
        <v>3916.0010000000002</v>
      </c>
      <c r="CH315" s="1272">
        <f>+CH305+CH306+CH307+CH314</f>
        <v>3372.4630000000002</v>
      </c>
      <c r="CI315" s="1272">
        <f t="shared" si="795"/>
        <v>3428.3</v>
      </c>
      <c r="CJ315" s="1272">
        <f>+CJ305+CJ306+CJ307+CJ314</f>
        <v>3428.3</v>
      </c>
      <c r="CK315" s="1272">
        <f>+CK305+CK306+CK307+CK314</f>
        <v>3006.8</v>
      </c>
      <c r="CL315" s="1272">
        <f t="shared" si="796"/>
        <v>3006.8</v>
      </c>
      <c r="CM315" s="1272">
        <f>+CM305+CM306+CM307+CM314</f>
        <v>3006.8</v>
      </c>
      <c r="CN315" s="1272">
        <f>+CN305+CN306+CN307+CN314</f>
        <v>3292.5999999999995</v>
      </c>
      <c r="CO315" s="1272">
        <f t="shared" si="797"/>
        <v>3162</v>
      </c>
      <c r="CP315" s="1272">
        <f>+CP305+CP306+CP307+CP314</f>
        <v>3162</v>
      </c>
      <c r="CQ315" s="1272">
        <f>+CQ305+CQ306+CQ307+CQ314</f>
        <v>2998.1</v>
      </c>
      <c r="CR315" s="1272">
        <f t="shared" si="798"/>
        <v>2746.9</v>
      </c>
      <c r="CS315" s="1272">
        <f>+CS305+CS306+CS307+CS314</f>
        <v>2746.9</v>
      </c>
      <c r="CT315" s="1272">
        <f>+CT305+CT306+CT307+CT314</f>
        <v>2846.7000000000003</v>
      </c>
      <c r="CU315" s="1272">
        <f t="shared" si="799"/>
        <v>2567.2000000000003</v>
      </c>
      <c r="CV315" s="1272">
        <f>+CV305+CV306+CV307+CV314</f>
        <v>2567.2000000000003</v>
      </c>
      <c r="CW315" s="1272">
        <f>+CW305+CW306+CW307+CW314</f>
        <v>2906.8</v>
      </c>
      <c r="CX315" s="1272">
        <f t="shared" si="800"/>
        <v>3163.7999999999993</v>
      </c>
      <c r="CY315" s="1272">
        <f>+CY305+CY306+CY307+CY314</f>
        <v>3163.7999999999993</v>
      </c>
      <c r="CZ315" s="1272">
        <f>+CZ305+CZ306+CZ307+CZ314</f>
        <v>3843</v>
      </c>
      <c r="DA315" s="1272">
        <f t="shared" si="801"/>
        <v>4079.9000000000005</v>
      </c>
      <c r="DB315" s="1272">
        <f>+DB305+DB306+DB307+DB314</f>
        <v>4079.9000000000005</v>
      </c>
      <c r="DC315" s="1272">
        <f>+DC305+DC306+DC307+DC314</f>
        <v>4852.0999999999995</v>
      </c>
      <c r="DD315" s="1272">
        <f t="shared" si="802"/>
        <v>5251.2999999999993</v>
      </c>
      <c r="DE315" s="1276">
        <f>+DE305+DE306+DE307+DE314</f>
        <v>5251.2999999999993</v>
      </c>
      <c r="DF315" s="1272">
        <f>+DF305+DF306+DF307+DF314</f>
        <v>6079.4000000000005</v>
      </c>
      <c r="DG315" s="1272">
        <f t="shared" si="803"/>
        <v>6527.5900000000011</v>
      </c>
      <c r="DH315" s="1276">
        <f>+DH305+DH306+DH307+DH314</f>
        <v>6527.5900000000011</v>
      </c>
      <c r="DI315" s="1272">
        <f>+DI305+DI306+DI307+DI314</f>
        <v>8154.2999999999993</v>
      </c>
      <c r="DJ315" s="1272">
        <f t="shared" si="804"/>
        <v>8381.6</v>
      </c>
      <c r="DK315" s="1276">
        <f>+DK305+DK306+DK307+DK314</f>
        <v>8381.6</v>
      </c>
      <c r="DL315" s="1272">
        <f>+DL305+DL306+DL307+DL314</f>
        <v>14033.2</v>
      </c>
      <c r="DM315" s="1272">
        <f t="shared" si="805"/>
        <v>14577.5</v>
      </c>
      <c r="DN315" s="1276">
        <f>+DN305+DN306+DN307+DN314</f>
        <v>14577.5</v>
      </c>
      <c r="DO315" s="1272">
        <f>+DO305+DO306+DO307+DO314</f>
        <v>15675.800000000001</v>
      </c>
      <c r="DP315" s="1272">
        <f t="shared" si="806"/>
        <v>15786</v>
      </c>
      <c r="DQ315" s="1276">
        <f>+DQ305+DQ306+DQ307+DQ314</f>
        <v>15786</v>
      </c>
      <c r="DR315" s="1272">
        <f>+DR305+DR306+DR307+DR314</f>
        <v>17177</v>
      </c>
      <c r="DS315" s="1272">
        <f t="shared" si="807"/>
        <v>17363</v>
      </c>
      <c r="DT315" s="1276">
        <f>+DT305+DT306+DT307+DT314</f>
        <v>17363</v>
      </c>
      <c r="DU315" s="1272">
        <f>+DU305+DU306+DU307+DU314</f>
        <v>18559</v>
      </c>
      <c r="DV315" s="1272">
        <f t="shared" si="808"/>
        <v>19335</v>
      </c>
      <c r="DW315" s="1276">
        <f>+DW305+DW306+DW307+DW314</f>
        <v>19335</v>
      </c>
      <c r="DX315" s="1272">
        <f>+DX305+DX306+DX307+DX314</f>
        <v>18658</v>
      </c>
      <c r="DY315" s="1272">
        <f t="shared" si="809"/>
        <v>18970.599307729066</v>
      </c>
      <c r="DZ315" s="1276">
        <f>+DZ305+DZ306+DZ307+DZ314</f>
        <v>18970.599307729066</v>
      </c>
      <c r="EA315" s="1272">
        <f>+EA305+EA306+EA307+EA314</f>
        <v>19769.598516811926</v>
      </c>
      <c r="EB315" s="1272">
        <f t="shared" si="810"/>
        <v>20057.012884004816</v>
      </c>
      <c r="EC315" s="1276">
        <f>+EC305+EC306+EC307+EC314</f>
        <v>20057.012884004816</v>
      </c>
      <c r="ED315" s="1272">
        <f>+ED305+ED306+ED307+ED314</f>
        <v>21095.733984740364</v>
      </c>
      <c r="EE315" s="1272">
        <f t="shared" si="811"/>
        <v>21450.750826254945</v>
      </c>
      <c r="EF315" s="1276">
        <f>+EF305+EF306+EF307+EF314</f>
        <v>21450.750826254945</v>
      </c>
      <c r="EG315" s="1272">
        <f>+EG305+EG306+EG307+EG314</f>
        <v>22994.959921998099</v>
      </c>
      <c r="EH315" s="1272">
        <f t="shared" si="812"/>
        <v>23846.43306915346</v>
      </c>
      <c r="EI315" s="1276">
        <f>+EI305+EI306+EI307+EI314</f>
        <v>23846.43306915346</v>
      </c>
      <c r="EJ315" s="1272">
        <f>+EJ305+EJ306+EJ307+EJ314</f>
        <v>25515.655725560973</v>
      </c>
      <c r="EK315" s="1272">
        <f t="shared" si="813"/>
        <v>26505.289108277364</v>
      </c>
      <c r="EL315" s="1276">
        <f>+EL305+EL306+EL307+EL314</f>
        <v>26505.289108277364</v>
      </c>
      <c r="EM315" s="1272">
        <f>+EM305+EM306+EM307+EM314</f>
        <v>28329.049480803787</v>
      </c>
      <c r="EN315" s="1272">
        <f t="shared" si="814"/>
        <v>29436.765168580572</v>
      </c>
      <c r="EO315" s="1276">
        <f>+EO305+EO306+EO307+EO314</f>
        <v>29436.765168580572</v>
      </c>
      <c r="EP315" s="1272">
        <f>+EP305+EP306+EP307+EP314</f>
        <v>31406.969206807767</v>
      </c>
      <c r="EQ315" s="1272">
        <f t="shared" si="815"/>
        <v>32663.932595086706</v>
      </c>
      <c r="ER315" s="1276">
        <f>+ER305+ER306+ER307+ER314</f>
        <v>32663.932595086706</v>
      </c>
      <c r="ES315" s="1272">
        <f>+ES305+ES306+ES307+ES314</f>
        <v>34755.563397137994</v>
      </c>
      <c r="ET315" s="1272">
        <f t="shared" si="816"/>
        <v>36147.847625324372</v>
      </c>
      <c r="EU315" s="1276">
        <f>+EU305+EU306+EU307+EU314</f>
        <v>36147.847625324372</v>
      </c>
      <c r="EV315" s="1272">
        <f>+EV305+EV306+EV307+EV314</f>
        <v>38349.624599948998</v>
      </c>
      <c r="EW315" s="1272">
        <f t="shared" si="817"/>
        <v>39860.319223367551</v>
      </c>
      <c r="EX315" s="1276">
        <f>+EX305+EX306+EX307+EX314</f>
        <v>39860.319223367551</v>
      </c>
      <c r="EY315" s="1272">
        <f>+EY305+EY306+EY307+EY314</f>
        <v>42197.983452784982</v>
      </c>
      <c r="EZ315" s="1272">
        <f t="shared" si="818"/>
        <v>43835.249547234685</v>
      </c>
      <c r="FA315" s="1276">
        <f>+FA305+FA306+FA307+FA314</f>
        <v>43835.249547234685</v>
      </c>
      <c r="FD315"/>
      <c r="FE315"/>
      <c r="FF315"/>
      <c r="FG315"/>
      <c r="FH315"/>
      <c r="FI315"/>
      <c r="FJ315" s="33"/>
      <c r="FK315" s="33"/>
      <c r="FL315" s="33"/>
      <c r="FM315" s="33"/>
    </row>
    <row r="316" spans="2:169" s="33" customFormat="1" ht="13.5" thickBot="1">
      <c r="B316" s="54" t="s">
        <v>296</v>
      </c>
      <c r="C316" s="54"/>
      <c r="D316" s="2" t="s">
        <v>506</v>
      </c>
      <c r="E316" s="1172">
        <f>E83</f>
        <v>0</v>
      </c>
      <c r="F316" s="32">
        <f t="shared" si="768"/>
        <v>0</v>
      </c>
      <c r="G316" s="1231">
        <f>E83</f>
        <v>0</v>
      </c>
      <c r="H316" s="1172">
        <f>H83</f>
        <v>0</v>
      </c>
      <c r="I316" s="32">
        <f t="shared" si="769"/>
        <v>0</v>
      </c>
      <c r="J316" s="1231">
        <f>H83</f>
        <v>0</v>
      </c>
      <c r="K316" s="1172">
        <f>K83</f>
        <v>0</v>
      </c>
      <c r="L316" s="32">
        <f t="shared" si="770"/>
        <v>0</v>
      </c>
      <c r="M316" s="1231">
        <f>K83</f>
        <v>0</v>
      </c>
      <c r="N316" s="1172">
        <f>N83</f>
        <v>0</v>
      </c>
      <c r="O316" s="32">
        <f t="shared" si="771"/>
        <v>0</v>
      </c>
      <c r="P316" s="1231">
        <f>N83</f>
        <v>0</v>
      </c>
      <c r="Q316" s="1172">
        <f>Q83</f>
        <v>0</v>
      </c>
      <c r="R316" s="32">
        <f t="shared" si="772"/>
        <v>0</v>
      </c>
      <c r="S316" s="1231">
        <f>Q83</f>
        <v>0</v>
      </c>
      <c r="T316" s="1172">
        <f>T83</f>
        <v>0</v>
      </c>
      <c r="U316" s="32">
        <f t="shared" si="773"/>
        <v>0</v>
      </c>
      <c r="V316" s="1231">
        <f>T83</f>
        <v>0</v>
      </c>
      <c r="W316" s="1172">
        <f>W83</f>
        <v>0</v>
      </c>
      <c r="X316" s="32">
        <f t="shared" si="774"/>
        <v>0</v>
      </c>
      <c r="Y316" s="1231">
        <f>W83</f>
        <v>0</v>
      </c>
      <c r="Z316" s="1172">
        <f>Z83</f>
        <v>0</v>
      </c>
      <c r="AA316" s="32">
        <f t="shared" si="775"/>
        <v>0</v>
      </c>
      <c r="AB316" s="1231">
        <f>Z83</f>
        <v>0</v>
      </c>
      <c r="AC316" s="1172">
        <f>AC83</f>
        <v>0</v>
      </c>
      <c r="AD316" s="32">
        <f t="shared" si="776"/>
        <v>0</v>
      </c>
      <c r="AE316" s="1231">
        <f>AC83</f>
        <v>0</v>
      </c>
      <c r="AF316" s="1172">
        <f>AF83</f>
        <v>0</v>
      </c>
      <c r="AG316" s="32">
        <f t="shared" si="777"/>
        <v>0</v>
      </c>
      <c r="AH316" s="1231">
        <f>AF83</f>
        <v>0</v>
      </c>
      <c r="AI316" s="1172">
        <f>AI83</f>
        <v>0</v>
      </c>
      <c r="AJ316" s="32">
        <f t="shared" si="778"/>
        <v>0</v>
      </c>
      <c r="AK316" s="1231">
        <f>AI83</f>
        <v>0</v>
      </c>
      <c r="AL316" s="1172">
        <f>AL83</f>
        <v>0</v>
      </c>
      <c r="AM316" s="32">
        <f t="shared" si="779"/>
        <v>0</v>
      </c>
      <c r="AN316" s="1231">
        <f>AL83</f>
        <v>0</v>
      </c>
      <c r="AO316" s="1172">
        <f>AO83</f>
        <v>0</v>
      </c>
      <c r="AP316" s="32">
        <f t="shared" si="780"/>
        <v>0</v>
      </c>
      <c r="AQ316" s="1231">
        <f>AO83</f>
        <v>0</v>
      </c>
      <c r="AR316" s="1172">
        <f>AR83</f>
        <v>0</v>
      </c>
      <c r="AS316" s="32">
        <f t="shared" si="781"/>
        <v>0</v>
      </c>
      <c r="AT316" s="1231">
        <f>AR83</f>
        <v>0</v>
      </c>
      <c r="AU316" s="1172">
        <f>AU83</f>
        <v>0</v>
      </c>
      <c r="AV316" s="32">
        <f t="shared" si="782"/>
        <v>0</v>
      </c>
      <c r="AW316" s="1231">
        <f>AU83</f>
        <v>0</v>
      </c>
      <c r="AX316" s="1172">
        <f>AX83</f>
        <v>0</v>
      </c>
      <c r="AY316" s="32">
        <f t="shared" si="783"/>
        <v>0</v>
      </c>
      <c r="AZ316" s="1231">
        <f>AX83</f>
        <v>0</v>
      </c>
      <c r="BA316" s="1172">
        <f>BA83</f>
        <v>0</v>
      </c>
      <c r="BB316" s="32">
        <f t="shared" si="784"/>
        <v>0</v>
      </c>
      <c r="BC316" s="1231">
        <f>BA83</f>
        <v>0</v>
      </c>
      <c r="BD316" s="1172">
        <f>BD83</f>
        <v>0</v>
      </c>
      <c r="BE316" s="32">
        <f t="shared" si="785"/>
        <v>0</v>
      </c>
      <c r="BF316" s="1231">
        <f>BD83</f>
        <v>0</v>
      </c>
      <c r="BG316" s="1172">
        <f>BG83</f>
        <v>0</v>
      </c>
      <c r="BH316" s="32">
        <f t="shared" si="786"/>
        <v>0</v>
      </c>
      <c r="BI316" s="1231">
        <f>BG83</f>
        <v>0</v>
      </c>
      <c r="BJ316" s="1172">
        <f>BJ83</f>
        <v>0</v>
      </c>
      <c r="BK316" s="32">
        <f t="shared" si="787"/>
        <v>0</v>
      </c>
      <c r="BL316" s="1231">
        <f>BJ83</f>
        <v>0</v>
      </c>
      <c r="BM316" s="1172">
        <f>BM83</f>
        <v>0</v>
      </c>
      <c r="BN316" s="32">
        <f t="shared" si="788"/>
        <v>0</v>
      </c>
      <c r="BO316" s="1231">
        <f>BM83</f>
        <v>0</v>
      </c>
      <c r="BP316" s="1172">
        <f>BP83</f>
        <v>0</v>
      </c>
      <c r="BQ316" s="32">
        <f t="shared" si="789"/>
        <v>0</v>
      </c>
      <c r="BR316" s="1231">
        <f>BP83</f>
        <v>0</v>
      </c>
      <c r="BS316" s="1172">
        <f>BS83</f>
        <v>0</v>
      </c>
      <c r="BT316" s="32">
        <f t="shared" si="790"/>
        <v>0</v>
      </c>
      <c r="BU316" s="1231">
        <f>BS83</f>
        <v>0</v>
      </c>
      <c r="BV316" s="1172">
        <f>BV83</f>
        <v>0</v>
      </c>
      <c r="BW316" s="32" t="str">
        <f t="shared" si="791"/>
        <v/>
      </c>
      <c r="BX316" s="1231" t="str">
        <f>IF(BX5="A","",+BU316+BX83)</f>
        <v/>
      </c>
      <c r="BY316" s="1172">
        <f>BY83</f>
        <v>0</v>
      </c>
      <c r="BZ316" s="32" t="str">
        <f t="shared" si="792"/>
        <v/>
      </c>
      <c r="CA316" s="1231" t="str">
        <f>IF(CA5="A","",+BX316+CA83)</f>
        <v/>
      </c>
      <c r="CB316" s="1172">
        <f>CB83</f>
        <v>0</v>
      </c>
      <c r="CC316" s="32" t="str">
        <f t="shared" si="793"/>
        <v/>
      </c>
      <c r="CD316" s="1231" t="str">
        <f>IF(CD5="A","",+CA316+CD83)</f>
        <v/>
      </c>
      <c r="CE316" s="1172">
        <f>CE83</f>
        <v>0</v>
      </c>
      <c r="CF316" s="32" t="str">
        <f t="shared" si="794"/>
        <v/>
      </c>
      <c r="CG316" s="1231" t="str">
        <f>IF(CG5="A","",+CD316+CG83)</f>
        <v/>
      </c>
      <c r="CH316" s="1172" t="str">
        <f>IF(CH5="A","",+CG316+CH83)</f>
        <v/>
      </c>
      <c r="CI316" s="32">
        <f t="shared" si="795"/>
        <v>0</v>
      </c>
      <c r="CJ316" s="1231">
        <f>(+CG316+CJ83)</f>
        <v>0</v>
      </c>
      <c r="CK316" s="1172" t="str">
        <f>IF(CK5="A","",+CJ316+CK83)</f>
        <v/>
      </c>
      <c r="CL316" s="32" t="str">
        <f t="shared" si="796"/>
        <v/>
      </c>
      <c r="CM316" s="1231" t="str">
        <f>IF(CM5="A","",+CJ316+CM83)</f>
        <v/>
      </c>
      <c r="CN316" s="1172" t="str">
        <f>IF(CN5="A","",+CM316+CN83)</f>
        <v/>
      </c>
      <c r="CO316" s="32" t="str">
        <f t="shared" si="797"/>
        <v/>
      </c>
      <c r="CP316" s="1231" t="str">
        <f>IF(CP5="A","",+CM316+CP83)</f>
        <v/>
      </c>
      <c r="CQ316" s="1172">
        <f>(+CP316+CQ83)</f>
        <v>0</v>
      </c>
      <c r="CR316" s="32">
        <f t="shared" si="798"/>
        <v>0</v>
      </c>
      <c r="CS316" s="1231">
        <f>(+CP316+CS83)</f>
        <v>0</v>
      </c>
      <c r="CT316" s="1172">
        <f>(+CS316+CT83)</f>
        <v>0</v>
      </c>
      <c r="CU316" s="32">
        <f t="shared" si="799"/>
        <v>0</v>
      </c>
      <c r="CV316" s="1231">
        <f>(+CS316+CV83)</f>
        <v>0</v>
      </c>
      <c r="CW316" s="1233">
        <v>0</v>
      </c>
      <c r="CX316" s="32">
        <f t="shared" si="800"/>
        <v>0</v>
      </c>
      <c r="CY316" s="1232">
        <v>0</v>
      </c>
      <c r="CZ316" s="1233">
        <v>0</v>
      </c>
      <c r="DA316" s="32">
        <f t="shared" si="801"/>
        <v>0</v>
      </c>
      <c r="DB316" s="1231">
        <v>0</v>
      </c>
      <c r="DC316" s="1172" t="str">
        <f>IF(DC5="A","",+DB316+DC83)</f>
        <v/>
      </c>
      <c r="DD316" s="32" t="str">
        <f t="shared" si="802"/>
        <v/>
      </c>
      <c r="DE316" s="1557" t="str">
        <f>IF(DE5="A","",+DB316+DE83)</f>
        <v/>
      </c>
      <c r="DF316" s="1554" t="str">
        <f>IF(DF5="A","",+DE316+DF83)</f>
        <v/>
      </c>
      <c r="DG316" s="1530" t="str">
        <f t="shared" si="803"/>
        <v/>
      </c>
      <c r="DH316" s="1557" t="str">
        <f>IF(DH5="A","",+DE316+DH83)</f>
        <v/>
      </c>
      <c r="DI316" s="1554" t="str">
        <f>IF(DI5="A","",+DH316+DI83)</f>
        <v/>
      </c>
      <c r="DJ316" s="1530" t="str">
        <f t="shared" si="804"/>
        <v/>
      </c>
      <c r="DK316" s="1557" t="str">
        <f>IF(DK5="A","",+DH316+DK83)</f>
        <v/>
      </c>
      <c r="DL316" s="1530" t="str">
        <f>IF(DL5="A","",+DK316+DL83)</f>
        <v/>
      </c>
      <c r="DM316" s="1530" t="str">
        <f t="shared" si="805"/>
        <v/>
      </c>
      <c r="DN316" s="1531" t="str">
        <f>IF(DN5="A","",+DK316+DN83)</f>
        <v/>
      </c>
      <c r="DO316" s="1558">
        <v>2205.3000000000002</v>
      </c>
      <c r="DP316" s="1530">
        <f t="shared" si="806"/>
        <v>2040</v>
      </c>
      <c r="DQ316" s="1532">
        <v>2040</v>
      </c>
      <c r="DR316" s="1558">
        <v>1985</v>
      </c>
      <c r="DS316" s="1530">
        <f t="shared" si="807"/>
        <v>2038</v>
      </c>
      <c r="DT316" s="1532">
        <v>2038</v>
      </c>
      <c r="DU316" s="1558">
        <v>1987</v>
      </c>
      <c r="DV316" s="1530">
        <f t="shared" si="808"/>
        <v>2072</v>
      </c>
      <c r="DW316" s="1532">
        <v>2072</v>
      </c>
      <c r="DX316" s="1558">
        <v>1802</v>
      </c>
      <c r="DY316" s="32">
        <f t="shared" si="809"/>
        <v>1903.6487465518708</v>
      </c>
      <c r="DZ316" s="1061">
        <f>IF(DZ5="A","",+DX316+DY83)</f>
        <v>1903.6487465518708</v>
      </c>
      <c r="EA316" s="32">
        <f>IF(EA5="A","",+DZ316+EA83)</f>
        <v>2013.0713704088337</v>
      </c>
      <c r="EB316" s="32">
        <f t="shared" si="810"/>
        <v>2106.6949216189882</v>
      </c>
      <c r="EC316" s="1061">
        <f>IF(EC5="A","",+DZ316+EC83)</f>
        <v>2106.6949216189882</v>
      </c>
      <c r="ED316" s="32">
        <f>IF(ED5="A","",+EC316+ED83)</f>
        <v>2215.5891932927993</v>
      </c>
      <c r="EE316" s="32">
        <f t="shared" si="811"/>
        <v>2312.8393264130295</v>
      </c>
      <c r="EF316" s="1061">
        <f>IF(EF5="A","",+EC316+EF83)</f>
        <v>2312.8393264130295</v>
      </c>
      <c r="EG316" s="32">
        <f>IF(EG5="A","",+EF316+EG83)</f>
        <v>2426.0624187034273</v>
      </c>
      <c r="EH316" s="32">
        <f t="shared" si="812"/>
        <v>2527.1069891758598</v>
      </c>
      <c r="EI316" s="1061">
        <f>IF(EI5="A","",+EF316+EI83)</f>
        <v>2527.1069891758598</v>
      </c>
      <c r="EJ316" s="32">
        <f>IF(EJ5="A","",+EI316+EJ83)</f>
        <v>2644.8643128238737</v>
      </c>
      <c r="EK316" s="32">
        <f t="shared" si="813"/>
        <v>2749.8797927037931</v>
      </c>
      <c r="EL316" s="1061">
        <f>IF(EL5="A","",+EI316+EL83)</f>
        <v>2749.8797927037931</v>
      </c>
      <c r="EM316" s="32">
        <f>IF(EM5="A","",+EL316+EM83)</f>
        <v>2872.3876542552889</v>
      </c>
      <c r="EN316" s="32">
        <f t="shared" si="814"/>
        <v>2981.5596223074845</v>
      </c>
      <c r="EO316" s="1061">
        <f>IF(EO5="A","",+EL316+EO83)</f>
        <v>2981.5596223074845</v>
      </c>
      <c r="EP316" s="32">
        <f>IF(EP5="A","",+EO316+EP83)</f>
        <v>3109.0458705017941</v>
      </c>
      <c r="EQ316" s="32">
        <f t="shared" si="815"/>
        <v>3222.5695332606992</v>
      </c>
      <c r="ER316" s="1061">
        <f>IF(ER5="A","",+EO316+ER83)</f>
        <v>3222.5695332606992</v>
      </c>
      <c r="ES316" s="32">
        <f>IF(ES5="A","",+ER316+ES83)</f>
        <v>3355.2742482913054</v>
      </c>
      <c r="ET316" s="32">
        <f t="shared" si="816"/>
        <v>3473.3549942503323</v>
      </c>
      <c r="EU316" s="1061">
        <f>IF(EU5="A","",+ER316+EU83)</f>
        <v>3473.3549942503323</v>
      </c>
      <c r="EV316" s="32">
        <f>IF(EV5="A","",+EU316+EV83)</f>
        <v>3611.5312230485451</v>
      </c>
      <c r="EW316" s="32">
        <f t="shared" si="817"/>
        <v>3734.3852123097377</v>
      </c>
      <c r="EX316" s="1061">
        <f>IF(EX5="A","",+EU316+EX83)</f>
        <v>3734.3852123097377</v>
      </c>
      <c r="EY316" s="32">
        <f>IF(EY5="A","",+EX316+EY83)</f>
        <v>3878.2997532546619</v>
      </c>
      <c r="EZ316" s="32">
        <f t="shared" si="818"/>
        <v>4006.1545451491584</v>
      </c>
      <c r="FA316" s="1061">
        <f>IF(FA5="A","",+EX316+FA83)</f>
        <v>4006.1545451491584</v>
      </c>
      <c r="FD316"/>
      <c r="FE316"/>
      <c r="FF316"/>
      <c r="FG316"/>
      <c r="FH316"/>
      <c r="FI316"/>
    </row>
    <row r="317" spans="2:169" s="61" customFormat="1">
      <c r="B317" s="60" t="s">
        <v>297</v>
      </c>
      <c r="C317" s="60"/>
      <c r="D317" s="1658" t="s">
        <v>506</v>
      </c>
      <c r="E317" s="1659">
        <f>+E315+E316</f>
        <v>0</v>
      </c>
      <c r="F317" s="1659">
        <f t="shared" si="768"/>
        <v>0</v>
      </c>
      <c r="G317" s="1659">
        <f>+G315+G316</f>
        <v>0</v>
      </c>
      <c r="H317" s="1659">
        <f>+H315+H316</f>
        <v>0</v>
      </c>
      <c r="I317" s="1659">
        <f t="shared" si="769"/>
        <v>0</v>
      </c>
      <c r="J317" s="1659">
        <f>+J315+J316</f>
        <v>0</v>
      </c>
      <c r="K317" s="1659">
        <f>+K315+K316</f>
        <v>0</v>
      </c>
      <c r="L317" s="1659">
        <f t="shared" si="770"/>
        <v>0</v>
      </c>
      <c r="M317" s="1659">
        <f>+M315+M316</f>
        <v>0</v>
      </c>
      <c r="N317" s="1659">
        <f>+N315+N316</f>
        <v>0</v>
      </c>
      <c r="O317" s="1659">
        <f t="shared" si="771"/>
        <v>0</v>
      </c>
      <c r="P317" s="1659">
        <f>+P315+P316</f>
        <v>0</v>
      </c>
      <c r="Q317" s="1659">
        <f>+Q315+Q316</f>
        <v>0</v>
      </c>
      <c r="R317" s="1659">
        <f t="shared" si="772"/>
        <v>0</v>
      </c>
      <c r="S317" s="1659">
        <f>+S315+S316</f>
        <v>0</v>
      </c>
      <c r="T317" s="1659">
        <f>+T315+T316</f>
        <v>0</v>
      </c>
      <c r="U317" s="1659">
        <f t="shared" si="773"/>
        <v>0</v>
      </c>
      <c r="V317" s="1659">
        <f>+V315+V316</f>
        <v>0</v>
      </c>
      <c r="W317" s="1659">
        <f>+W315+W316</f>
        <v>0</v>
      </c>
      <c r="X317" s="1659">
        <f t="shared" si="774"/>
        <v>0</v>
      </c>
      <c r="Y317" s="1659">
        <f>+Y315+Y316</f>
        <v>0</v>
      </c>
      <c r="Z317" s="1659">
        <f>+Z315+Z316</f>
        <v>0</v>
      </c>
      <c r="AA317" s="1659">
        <f t="shared" si="775"/>
        <v>0</v>
      </c>
      <c r="AB317" s="1659">
        <f>+AB315+AB316</f>
        <v>0</v>
      </c>
      <c r="AC317" s="1659">
        <f>+AC315+AC316</f>
        <v>0</v>
      </c>
      <c r="AD317" s="1659">
        <f t="shared" si="776"/>
        <v>0</v>
      </c>
      <c r="AE317" s="1659">
        <f>+AE315+AE316</f>
        <v>0</v>
      </c>
      <c r="AF317" s="1659">
        <f>+AF315+AF316</f>
        <v>0</v>
      </c>
      <c r="AG317" s="1659">
        <f t="shared" si="777"/>
        <v>0</v>
      </c>
      <c r="AH317" s="1659">
        <f>+AH315+AH316</f>
        <v>0</v>
      </c>
      <c r="AI317" s="1659">
        <f>+AI315+AI316</f>
        <v>0</v>
      </c>
      <c r="AJ317" s="1659">
        <f t="shared" si="778"/>
        <v>0</v>
      </c>
      <c r="AK317" s="1659">
        <f>+AK315+AK316</f>
        <v>0</v>
      </c>
      <c r="AL317" s="1659">
        <f>+AL315+AL316</f>
        <v>0</v>
      </c>
      <c r="AM317" s="1659">
        <f t="shared" si="779"/>
        <v>0</v>
      </c>
      <c r="AN317" s="1659">
        <f>+AN315+AN316</f>
        <v>0</v>
      </c>
      <c r="AO317" s="1659">
        <f>+AO315+AO316</f>
        <v>0</v>
      </c>
      <c r="AP317" s="1659">
        <f t="shared" si="780"/>
        <v>0</v>
      </c>
      <c r="AQ317" s="1659">
        <f>+AQ315+AQ316</f>
        <v>0</v>
      </c>
      <c r="AR317" s="1659">
        <f>+AR315+AR316</f>
        <v>0</v>
      </c>
      <c r="AS317" s="1659">
        <f t="shared" si="781"/>
        <v>0</v>
      </c>
      <c r="AT317" s="1659">
        <f>+AT315+AT316</f>
        <v>0</v>
      </c>
      <c r="AU317" s="1659">
        <f>+AU315+AU316</f>
        <v>0</v>
      </c>
      <c r="AV317" s="1659">
        <f t="shared" si="782"/>
        <v>0</v>
      </c>
      <c r="AW317" s="1659">
        <f>+AW315+AW316</f>
        <v>0</v>
      </c>
      <c r="AX317" s="1659">
        <f>+AX315+AX316</f>
        <v>0</v>
      </c>
      <c r="AY317" s="1659">
        <f t="shared" si="783"/>
        <v>0</v>
      </c>
      <c r="AZ317" s="1659">
        <f>+AZ315+AZ316</f>
        <v>0</v>
      </c>
      <c r="BA317" s="1659">
        <f>+BA315+BA316</f>
        <v>0</v>
      </c>
      <c r="BB317" s="1659">
        <f t="shared" si="784"/>
        <v>0</v>
      </c>
      <c r="BC317" s="1659">
        <f>+BC315+BC316</f>
        <v>0</v>
      </c>
      <c r="BD317" s="1659">
        <f>+BD315+BD316</f>
        <v>0</v>
      </c>
      <c r="BE317" s="1659">
        <f t="shared" si="785"/>
        <v>0</v>
      </c>
      <c r="BF317" s="1659">
        <f>+BF315+BF316</f>
        <v>0</v>
      </c>
      <c r="BG317" s="1659">
        <f>+BG315+BG316</f>
        <v>0</v>
      </c>
      <c r="BH317" s="1659">
        <f t="shared" si="786"/>
        <v>0</v>
      </c>
      <c r="BI317" s="1659">
        <f>+BI315+BI316</f>
        <v>0</v>
      </c>
      <c r="BJ317" s="1659">
        <f>+BJ315+BJ316</f>
        <v>0</v>
      </c>
      <c r="BK317" s="1659">
        <f t="shared" si="787"/>
        <v>0</v>
      </c>
      <c r="BL317" s="1659">
        <f>+BL315+BL316</f>
        <v>0</v>
      </c>
      <c r="BM317" s="1659">
        <f>+BM315+BM316</f>
        <v>0</v>
      </c>
      <c r="BN317" s="1659">
        <f t="shared" si="788"/>
        <v>0</v>
      </c>
      <c r="BO317" s="1659">
        <f>+BO315+BO316</f>
        <v>0</v>
      </c>
      <c r="BP317" s="1659">
        <f>+BP315+BP316</f>
        <v>0</v>
      </c>
      <c r="BQ317" s="1659">
        <f t="shared" si="789"/>
        <v>0</v>
      </c>
      <c r="BR317" s="1659">
        <f>+BR315+BR316</f>
        <v>0</v>
      </c>
      <c r="BS317" s="1659">
        <f>+BS315+BS316</f>
        <v>0</v>
      </c>
      <c r="BT317" s="1659">
        <f t="shared" si="790"/>
        <v>0</v>
      </c>
      <c r="BU317" s="1659">
        <f>+BU315+BU316</f>
        <v>0</v>
      </c>
      <c r="BV317" s="1659">
        <f>+BV315+BV316</f>
        <v>0</v>
      </c>
      <c r="BW317" s="1659">
        <f t="shared" si="791"/>
        <v>2699.998</v>
      </c>
      <c r="BX317" s="1659">
        <f>+BX315+BX316</f>
        <v>2699.998</v>
      </c>
      <c r="BY317" s="1659">
        <f>+BY315+BY316</f>
        <v>0</v>
      </c>
      <c r="BZ317" s="1659">
        <f t="shared" si="792"/>
        <v>4432</v>
      </c>
      <c r="CA317" s="1659">
        <f>+CA315+CA316</f>
        <v>4432</v>
      </c>
      <c r="CB317" s="1659">
        <f>+CB315+CB316</f>
        <v>0</v>
      </c>
      <c r="CC317" s="1659">
        <f t="shared" si="793"/>
        <v>3590.0030000000002</v>
      </c>
      <c r="CD317" s="1659">
        <f>+CD315+CD316</f>
        <v>3590.0030000000002</v>
      </c>
      <c r="CE317" s="1659">
        <f>+CE315+CE316</f>
        <v>0</v>
      </c>
      <c r="CF317" s="1659">
        <f t="shared" si="794"/>
        <v>3916.0010000000002</v>
      </c>
      <c r="CG317" s="1659">
        <f>+CG315+CG316</f>
        <v>3916.0010000000002</v>
      </c>
      <c r="CH317" s="1659">
        <f>+CH315+CH316</f>
        <v>3372.4630000000002</v>
      </c>
      <c r="CI317" s="1659">
        <f t="shared" si="795"/>
        <v>3428.3</v>
      </c>
      <c r="CJ317" s="1659">
        <f>+CJ315+CJ316</f>
        <v>3428.3</v>
      </c>
      <c r="CK317" s="1659">
        <f>+CK315+CK316</f>
        <v>3006.8</v>
      </c>
      <c r="CL317" s="1659">
        <f t="shared" si="796"/>
        <v>3006.8</v>
      </c>
      <c r="CM317" s="1659">
        <f>+CM315+CM316</f>
        <v>3006.8</v>
      </c>
      <c r="CN317" s="1659">
        <f>+CN315+CN316</f>
        <v>3292.5999999999995</v>
      </c>
      <c r="CO317" s="1659">
        <f t="shared" si="797"/>
        <v>3162</v>
      </c>
      <c r="CP317" s="1659">
        <f>+CP315+CP316</f>
        <v>3162</v>
      </c>
      <c r="CQ317" s="1659">
        <f>+CQ315+CQ316</f>
        <v>2998.1</v>
      </c>
      <c r="CR317" s="1659">
        <f t="shared" si="798"/>
        <v>2746.9</v>
      </c>
      <c r="CS317" s="1659">
        <f>+CS315+CS316</f>
        <v>2746.9</v>
      </c>
      <c r="CT317" s="1659">
        <f>+CT315+CT316</f>
        <v>2846.7000000000003</v>
      </c>
      <c r="CU317" s="1659">
        <f t="shared" si="799"/>
        <v>2567.2000000000003</v>
      </c>
      <c r="CV317" s="1659">
        <f>+CV315+CV316</f>
        <v>2567.2000000000003</v>
      </c>
      <c r="CW317" s="1659">
        <f>+CW315+CW316</f>
        <v>2906.8</v>
      </c>
      <c r="CX317" s="1659">
        <f t="shared" si="800"/>
        <v>3163.7999999999993</v>
      </c>
      <c r="CY317" s="1659">
        <f>+CY315+CY316</f>
        <v>3163.7999999999993</v>
      </c>
      <c r="CZ317" s="1659">
        <f>+CZ315+CZ316</f>
        <v>3843</v>
      </c>
      <c r="DA317" s="1659">
        <f t="shared" si="801"/>
        <v>4079.9000000000005</v>
      </c>
      <c r="DB317" s="1659">
        <f>+DB315+DB316</f>
        <v>4079.9000000000005</v>
      </c>
      <c r="DC317" s="1659">
        <f>+DC315+DC316</f>
        <v>4852.0999999999995</v>
      </c>
      <c r="DD317" s="1659">
        <f t="shared" si="802"/>
        <v>5251.2999999999993</v>
      </c>
      <c r="DE317" s="1660">
        <f>+DE315+DE316</f>
        <v>5251.2999999999993</v>
      </c>
      <c r="DF317" s="1659">
        <f>+DF315+DF316</f>
        <v>6079.4000000000005</v>
      </c>
      <c r="DG317" s="1659">
        <f t="shared" si="803"/>
        <v>6527.5900000000011</v>
      </c>
      <c r="DH317" s="1660">
        <f>+DH315+DH316</f>
        <v>6527.5900000000011</v>
      </c>
      <c r="DI317" s="1659">
        <f>+DI315+DI316</f>
        <v>8154.2999999999993</v>
      </c>
      <c r="DJ317" s="1659">
        <f t="shared" si="804"/>
        <v>8381.6</v>
      </c>
      <c r="DK317" s="1660">
        <f>+DK315+DK316</f>
        <v>8381.6</v>
      </c>
      <c r="DL317" s="1272">
        <f>+DL315+DL316</f>
        <v>14033.2</v>
      </c>
      <c r="DM317" s="1272">
        <f t="shared" si="805"/>
        <v>14577.5</v>
      </c>
      <c r="DN317" s="1276">
        <f>+DN315+DN316</f>
        <v>14577.5</v>
      </c>
      <c r="DO317" s="1272">
        <f>+DO315+DO316</f>
        <v>17881.100000000002</v>
      </c>
      <c r="DP317" s="1272">
        <f t="shared" si="806"/>
        <v>17826</v>
      </c>
      <c r="DQ317" s="1276">
        <f>+DQ315+DQ316</f>
        <v>17826</v>
      </c>
      <c r="DR317" s="1272">
        <f>+DR315+DR316</f>
        <v>19162</v>
      </c>
      <c r="DS317" s="1272">
        <f t="shared" si="807"/>
        <v>19401</v>
      </c>
      <c r="DT317" s="1276">
        <f>+DT315+DT316</f>
        <v>19401</v>
      </c>
      <c r="DU317" s="1272">
        <f>+DU315+DU316</f>
        <v>20546</v>
      </c>
      <c r="DV317" s="1272">
        <f t="shared" si="808"/>
        <v>21407</v>
      </c>
      <c r="DW317" s="1276">
        <f>+DW315+DW316</f>
        <v>21407</v>
      </c>
      <c r="DX317" s="1272">
        <f>+DX315+DX316</f>
        <v>20460</v>
      </c>
      <c r="DY317" s="1272">
        <f t="shared" si="809"/>
        <v>20874.248054280935</v>
      </c>
      <c r="DZ317" s="1276">
        <f>+DZ315+DZ316</f>
        <v>20874.248054280935</v>
      </c>
      <c r="EA317" s="1272">
        <f>+EA315+EA316</f>
        <v>21782.66988722076</v>
      </c>
      <c r="EB317" s="1272">
        <f t="shared" si="810"/>
        <v>22163.707805623806</v>
      </c>
      <c r="EC317" s="1276">
        <f>+EC315+EC316</f>
        <v>22163.707805623806</v>
      </c>
      <c r="ED317" s="1272">
        <f>+ED315+ED316</f>
        <v>23311.323178033163</v>
      </c>
      <c r="EE317" s="1272">
        <f t="shared" si="811"/>
        <v>23763.590152667974</v>
      </c>
      <c r="EF317" s="1276">
        <f>+EF315+EF316</f>
        <v>23763.590152667974</v>
      </c>
      <c r="EG317" s="1272">
        <f>+EG315+EG316</f>
        <v>25421.022340701526</v>
      </c>
      <c r="EH317" s="1272">
        <f t="shared" si="812"/>
        <v>26373.540058329319</v>
      </c>
      <c r="EI317" s="1276">
        <f>+EI315+EI316</f>
        <v>26373.540058329319</v>
      </c>
      <c r="EJ317" s="1272">
        <f>+EJ315+EJ316</f>
        <v>28160.520038384846</v>
      </c>
      <c r="EK317" s="1272">
        <f t="shared" si="813"/>
        <v>29255.168900981156</v>
      </c>
      <c r="EL317" s="1276">
        <f>+EL315+EL316</f>
        <v>29255.168900981156</v>
      </c>
      <c r="EM317" s="1272">
        <f>+EM315+EM316</f>
        <v>31201.437135059077</v>
      </c>
      <c r="EN317" s="1272">
        <f t="shared" si="814"/>
        <v>32418.324790888058</v>
      </c>
      <c r="EO317" s="1276">
        <f>+EO315+EO316</f>
        <v>32418.324790888058</v>
      </c>
      <c r="EP317" s="1272">
        <f>+EP315+EP316</f>
        <v>34516.015077309559</v>
      </c>
      <c r="EQ317" s="1272">
        <f t="shared" si="815"/>
        <v>35886.502128347405</v>
      </c>
      <c r="ER317" s="1276">
        <f>+ER315+ER316</f>
        <v>35886.502128347405</v>
      </c>
      <c r="ES317" s="1272">
        <f>+ES315+ES316</f>
        <v>38110.837645429303</v>
      </c>
      <c r="ET317" s="1272">
        <f t="shared" si="816"/>
        <v>39621.202619574702</v>
      </c>
      <c r="EU317" s="1276">
        <f>+EU315+EU316</f>
        <v>39621.202619574702</v>
      </c>
      <c r="EV317" s="1272">
        <f>+EV315+EV316</f>
        <v>41961.155822997542</v>
      </c>
      <c r="EW317" s="1272">
        <f t="shared" si="817"/>
        <v>43594.704435677289</v>
      </c>
      <c r="EX317" s="1276">
        <f>+EX315+EX316</f>
        <v>43594.704435677289</v>
      </c>
      <c r="EY317" s="1272">
        <f>+EY315+EY316</f>
        <v>46076.283206039647</v>
      </c>
      <c r="EZ317" s="1272">
        <f t="shared" si="818"/>
        <v>47841.404092383847</v>
      </c>
      <c r="FA317" s="1276">
        <f>+FA315+FA316</f>
        <v>47841.404092383847</v>
      </c>
      <c r="FD317"/>
      <c r="FE317"/>
      <c r="FF317"/>
      <c r="FG317"/>
      <c r="FH317"/>
      <c r="FI317"/>
      <c r="FJ317" s="33"/>
      <c r="FK317" s="33"/>
      <c r="FL317" s="33"/>
      <c r="FM317" s="33"/>
    </row>
    <row r="318" spans="2:169" s="33" customFormat="1">
      <c r="B318" s="54"/>
      <c r="C318" s="54"/>
      <c r="D318" s="2"/>
      <c r="E318" s="32"/>
      <c r="F318" s="32"/>
      <c r="G318" s="32"/>
      <c r="H318" s="32"/>
      <c r="I318" s="32"/>
      <c r="J318" s="32"/>
      <c r="K318" s="32"/>
      <c r="L318" s="32"/>
      <c r="M318" s="32"/>
      <c r="N318" s="32"/>
      <c r="O318" s="32"/>
      <c r="P318" s="32"/>
      <c r="Q318" s="32"/>
      <c r="R318" s="32"/>
      <c r="S318" s="32"/>
      <c r="T318" s="32"/>
      <c r="U318" s="32"/>
      <c r="V318" s="32"/>
      <c r="W318" s="32"/>
      <c r="X318" s="32"/>
      <c r="Y318" s="32"/>
      <c r="Z318" s="32"/>
      <c r="AA318" s="32"/>
      <c r="AB318" s="32"/>
      <c r="AC318" s="32"/>
      <c r="AD318" s="32"/>
      <c r="AE318" s="32"/>
      <c r="AF318" s="32"/>
      <c r="AG318" s="32"/>
      <c r="AH318" s="32"/>
      <c r="AI318" s="32"/>
      <c r="AJ318" s="32"/>
      <c r="AK318" s="32"/>
      <c r="AL318" s="32"/>
      <c r="AM318" s="32"/>
      <c r="AN318" s="32"/>
      <c r="AO318" s="32"/>
      <c r="AP318" s="32"/>
      <c r="AQ318" s="32"/>
      <c r="AR318" s="32"/>
      <c r="AS318" s="32"/>
      <c r="AT318" s="32"/>
      <c r="AU318" s="32"/>
      <c r="AV318" s="32"/>
      <c r="AW318" s="32"/>
      <c r="AX318" s="32"/>
      <c r="AY318" s="32"/>
      <c r="AZ318" s="32"/>
      <c r="BA318" s="32"/>
      <c r="BB318" s="32"/>
      <c r="BC318" s="32"/>
      <c r="BD318" s="32"/>
      <c r="BE318" s="32"/>
      <c r="BF318" s="32"/>
      <c r="BG318" s="32"/>
      <c r="BH318" s="32"/>
      <c r="BI318" s="32"/>
      <c r="BJ318" s="32"/>
      <c r="BK318" s="32"/>
      <c r="BL318" s="32"/>
      <c r="BM318" s="32"/>
      <c r="BN318" s="32"/>
      <c r="BO318" s="32"/>
      <c r="BP318" s="32"/>
      <c r="BQ318" s="32"/>
      <c r="BR318" s="32"/>
      <c r="BS318" s="32"/>
      <c r="BT318" s="32"/>
      <c r="BU318" s="32"/>
      <c r="BV318" s="32"/>
      <c r="BW318" s="32"/>
      <c r="BX318" s="32"/>
      <c r="BY318" s="32"/>
      <c r="BZ318" s="32"/>
      <c r="CA318" s="32"/>
      <c r="CB318" s="32"/>
      <c r="CC318" s="32"/>
      <c r="CD318" s="32"/>
      <c r="CE318" s="32"/>
      <c r="CF318" s="32"/>
      <c r="CG318" s="32"/>
      <c r="CH318" s="32"/>
      <c r="CI318" s="32"/>
      <c r="CJ318" s="32"/>
      <c r="CK318" s="32"/>
      <c r="CL318" s="32"/>
      <c r="CM318" s="32"/>
      <c r="CN318" s="32"/>
      <c r="CO318" s="32"/>
      <c r="CP318" s="32"/>
      <c r="CQ318" s="32"/>
      <c r="CR318" s="32"/>
      <c r="CS318" s="32"/>
      <c r="CT318" s="32"/>
      <c r="CU318" s="32"/>
      <c r="CV318" s="32"/>
      <c r="CW318" s="32"/>
      <c r="CX318" s="32"/>
      <c r="CY318" s="32"/>
      <c r="CZ318" s="32"/>
      <c r="DA318" s="32"/>
      <c r="DB318" s="32"/>
      <c r="DC318" s="32"/>
      <c r="DD318" s="32"/>
      <c r="DE318" s="1061"/>
      <c r="DF318" s="32"/>
      <c r="DG318" s="32"/>
      <c r="DH318" s="1061"/>
      <c r="DI318" s="32"/>
      <c r="DJ318" s="32"/>
      <c r="DK318" s="1061"/>
      <c r="DL318" s="32"/>
      <c r="DM318" s="32"/>
      <c r="DN318" s="1061"/>
      <c r="DO318" s="32"/>
      <c r="DP318" s="32"/>
      <c r="DQ318" s="1061"/>
      <c r="DR318" s="32"/>
      <c r="DS318" s="32"/>
      <c r="DT318" s="1061"/>
      <c r="DU318" s="32"/>
      <c r="DV318" s="32"/>
      <c r="DW318" s="1061"/>
      <c r="DX318" s="32"/>
      <c r="DY318" s="32"/>
      <c r="DZ318" s="1061"/>
      <c r="EA318" s="32"/>
      <c r="EB318" s="32"/>
      <c r="EC318" s="1061"/>
      <c r="ED318" s="32"/>
      <c r="EE318" s="32"/>
      <c r="EF318" s="1061"/>
      <c r="EG318" s="32"/>
      <c r="EH318" s="32"/>
      <c r="EI318" s="1061"/>
      <c r="EJ318" s="32"/>
      <c r="EK318" s="32"/>
      <c r="EL318" s="1061"/>
      <c r="EM318" s="32"/>
      <c r="EN318" s="32"/>
      <c r="EO318" s="1061"/>
      <c r="EP318" s="32"/>
      <c r="EQ318" s="32"/>
      <c r="ER318" s="1061"/>
      <c r="ES318" s="32"/>
      <c r="ET318" s="32"/>
      <c r="EU318" s="1061"/>
      <c r="EV318" s="32"/>
      <c r="EW318" s="32"/>
      <c r="EX318" s="1061"/>
      <c r="EY318" s="32"/>
      <c r="EZ318" s="32"/>
      <c r="FA318" s="1061"/>
      <c r="FD318"/>
      <c r="FE318"/>
      <c r="FF318"/>
      <c r="FG318"/>
      <c r="FH318"/>
      <c r="FI318"/>
    </row>
    <row r="319" spans="2:169" s="33" customFormat="1">
      <c r="B319" s="54" t="s">
        <v>298</v>
      </c>
      <c r="C319" s="54"/>
      <c r="D319" s="2" t="s">
        <v>506</v>
      </c>
      <c r="E319" s="1265">
        <f t="shared" ref="E319:AJ319" si="819">+E302-E317</f>
        <v>0</v>
      </c>
      <c r="F319" s="1265">
        <f t="shared" si="819"/>
        <v>0</v>
      </c>
      <c r="G319" s="1265">
        <f t="shared" si="819"/>
        <v>0</v>
      </c>
      <c r="H319" s="1265">
        <f t="shared" si="819"/>
        <v>0</v>
      </c>
      <c r="I319" s="1265">
        <f t="shared" si="819"/>
        <v>0</v>
      </c>
      <c r="J319" s="1265">
        <f t="shared" si="819"/>
        <v>0</v>
      </c>
      <c r="K319" s="1265">
        <f t="shared" si="819"/>
        <v>0</v>
      </c>
      <c r="L319" s="1265">
        <f t="shared" si="819"/>
        <v>0</v>
      </c>
      <c r="M319" s="1265">
        <f t="shared" si="819"/>
        <v>0</v>
      </c>
      <c r="N319" s="1265">
        <f t="shared" si="819"/>
        <v>0</v>
      </c>
      <c r="O319" s="1265">
        <f t="shared" si="819"/>
        <v>0</v>
      </c>
      <c r="P319" s="1265">
        <f t="shared" si="819"/>
        <v>0</v>
      </c>
      <c r="Q319" s="1265">
        <f t="shared" si="819"/>
        <v>0</v>
      </c>
      <c r="R319" s="1265">
        <f t="shared" si="819"/>
        <v>0</v>
      </c>
      <c r="S319" s="1265">
        <f t="shared" si="819"/>
        <v>0</v>
      </c>
      <c r="T319" s="1265">
        <f t="shared" si="819"/>
        <v>0</v>
      </c>
      <c r="U319" s="1265">
        <f t="shared" si="819"/>
        <v>0</v>
      </c>
      <c r="V319" s="1265">
        <f t="shared" si="819"/>
        <v>0</v>
      </c>
      <c r="W319" s="1265">
        <f t="shared" si="819"/>
        <v>0</v>
      </c>
      <c r="X319" s="1265">
        <f t="shared" si="819"/>
        <v>0</v>
      </c>
      <c r="Y319" s="1265">
        <f t="shared" si="819"/>
        <v>0</v>
      </c>
      <c r="Z319" s="1265">
        <f t="shared" si="819"/>
        <v>0</v>
      </c>
      <c r="AA319" s="1265">
        <f t="shared" si="819"/>
        <v>0</v>
      </c>
      <c r="AB319" s="1265">
        <f t="shared" si="819"/>
        <v>0</v>
      </c>
      <c r="AC319" s="1265">
        <f t="shared" si="819"/>
        <v>0</v>
      </c>
      <c r="AD319" s="1265">
        <f t="shared" si="819"/>
        <v>0</v>
      </c>
      <c r="AE319" s="1265">
        <f t="shared" si="819"/>
        <v>0</v>
      </c>
      <c r="AF319" s="1265">
        <f t="shared" si="819"/>
        <v>0</v>
      </c>
      <c r="AG319" s="1265">
        <f t="shared" si="819"/>
        <v>0</v>
      </c>
      <c r="AH319" s="1265">
        <f t="shared" si="819"/>
        <v>0</v>
      </c>
      <c r="AI319" s="1265">
        <f t="shared" si="819"/>
        <v>0</v>
      </c>
      <c r="AJ319" s="1265">
        <f t="shared" si="819"/>
        <v>0</v>
      </c>
      <c r="AK319" s="1265">
        <f>+AK302-AK317</f>
        <v>0</v>
      </c>
      <c r="AL319" s="1265">
        <f>+AL302-AL317</f>
        <v>0</v>
      </c>
      <c r="AM319" s="1265">
        <f>+AM302-AM317</f>
        <v>0</v>
      </c>
      <c r="AN319" s="1265">
        <f t="shared" ref="AN319:BU319" si="820">+AN302-AN317</f>
        <v>0</v>
      </c>
      <c r="AO319" s="1265">
        <f t="shared" si="820"/>
        <v>0</v>
      </c>
      <c r="AP319" s="1265">
        <f t="shared" si="820"/>
        <v>0</v>
      </c>
      <c r="AQ319" s="1265">
        <f t="shared" si="820"/>
        <v>0</v>
      </c>
      <c r="AR319" s="1265">
        <f t="shared" si="820"/>
        <v>0</v>
      </c>
      <c r="AS319" s="1265">
        <f t="shared" si="820"/>
        <v>0</v>
      </c>
      <c r="AT319" s="1265">
        <f t="shared" si="820"/>
        <v>0</v>
      </c>
      <c r="AU319" s="1265">
        <f t="shared" si="820"/>
        <v>0</v>
      </c>
      <c r="AV319" s="1265">
        <f t="shared" si="820"/>
        <v>0</v>
      </c>
      <c r="AW319" s="1265">
        <f t="shared" si="820"/>
        <v>0</v>
      </c>
      <c r="AX319" s="1265">
        <f t="shared" si="820"/>
        <v>0</v>
      </c>
      <c r="AY319" s="1265">
        <f t="shared" si="820"/>
        <v>0</v>
      </c>
      <c r="AZ319" s="1265">
        <f t="shared" si="820"/>
        <v>0</v>
      </c>
      <c r="BA319" s="1265">
        <f t="shared" si="820"/>
        <v>0</v>
      </c>
      <c r="BB319" s="1265">
        <f t="shared" si="820"/>
        <v>0</v>
      </c>
      <c r="BC319" s="1265">
        <f t="shared" si="820"/>
        <v>0</v>
      </c>
      <c r="BD319" s="1265">
        <f t="shared" si="820"/>
        <v>0</v>
      </c>
      <c r="BE319" s="1265">
        <f t="shared" si="820"/>
        <v>0</v>
      </c>
      <c r="BF319" s="1265">
        <f t="shared" si="820"/>
        <v>0</v>
      </c>
      <c r="BG319" s="1265">
        <f t="shared" si="820"/>
        <v>0</v>
      </c>
      <c r="BH319" s="1265">
        <f t="shared" si="820"/>
        <v>0</v>
      </c>
      <c r="BI319" s="1265">
        <f t="shared" si="820"/>
        <v>0</v>
      </c>
      <c r="BJ319" s="1265">
        <f t="shared" si="820"/>
        <v>0</v>
      </c>
      <c r="BK319" s="1265">
        <f t="shared" si="820"/>
        <v>0</v>
      </c>
      <c r="BL319" s="1265">
        <f t="shared" si="820"/>
        <v>0</v>
      </c>
      <c r="BM319" s="1265">
        <f t="shared" si="820"/>
        <v>0</v>
      </c>
      <c r="BN319" s="1265">
        <f t="shared" si="820"/>
        <v>0</v>
      </c>
      <c r="BO319" s="1265">
        <f t="shared" si="820"/>
        <v>0</v>
      </c>
      <c r="BP319" s="1265">
        <f t="shared" si="820"/>
        <v>0</v>
      </c>
      <c r="BQ319" s="1265">
        <f t="shared" si="820"/>
        <v>0</v>
      </c>
      <c r="BR319" s="1265">
        <f t="shared" si="820"/>
        <v>0</v>
      </c>
      <c r="BS319" s="1265">
        <f t="shared" si="820"/>
        <v>0</v>
      </c>
      <c r="BT319" s="1265">
        <f t="shared" si="820"/>
        <v>0</v>
      </c>
      <c r="BU319" s="1265">
        <f t="shared" si="820"/>
        <v>0</v>
      </c>
      <c r="BV319" s="1265">
        <f>+BV302-BV317</f>
        <v>0</v>
      </c>
      <c r="BW319" s="1265">
        <f>+BW302-BW317</f>
        <v>1.9999999999527063E-3</v>
      </c>
      <c r="BX319" s="1265">
        <f>+BX302-BX317</f>
        <v>1.9999999999527063E-3</v>
      </c>
      <c r="BY319" s="1265">
        <f>+BY302-BY317</f>
        <v>0</v>
      </c>
      <c r="BZ319" s="1265">
        <f>+BZ302-BZ317</f>
        <v>0</v>
      </c>
      <c r="CA319" s="1266">
        <f t="shared" ref="CA319:CM319" si="821">+CA302-CA317</f>
        <v>0</v>
      </c>
      <c r="CB319" s="1265">
        <f t="shared" si="821"/>
        <v>0</v>
      </c>
      <c r="CC319" s="1265">
        <f t="shared" si="821"/>
        <v>-3.0000000001564331E-3</v>
      </c>
      <c r="CD319" s="1265">
        <f t="shared" si="821"/>
        <v>-3.0000000001564331E-3</v>
      </c>
      <c r="CE319" s="1265">
        <f t="shared" si="821"/>
        <v>0</v>
      </c>
      <c r="CF319" s="1265">
        <f t="shared" si="821"/>
        <v>-1.0000000002037268E-3</v>
      </c>
      <c r="CG319" s="1265">
        <f t="shared" si="821"/>
        <v>-1.0000000002037268E-3</v>
      </c>
      <c r="CH319" s="1265">
        <f t="shared" si="821"/>
        <v>-4.0000000008149073E-3</v>
      </c>
      <c r="CI319" s="1265">
        <f t="shared" si="821"/>
        <v>0</v>
      </c>
      <c r="CJ319" s="1265">
        <f t="shared" si="821"/>
        <v>0</v>
      </c>
      <c r="CK319" s="1265">
        <f t="shared" si="821"/>
        <v>0</v>
      </c>
      <c r="CL319" s="1265">
        <f t="shared" si="821"/>
        <v>0</v>
      </c>
      <c r="CM319" s="1265">
        <f t="shared" si="821"/>
        <v>0</v>
      </c>
      <c r="CN319" s="1265">
        <f t="shared" ref="CN319:DQ319" si="822">+CN302-CN317</f>
        <v>0</v>
      </c>
      <c r="CO319" s="1265">
        <f t="shared" si="822"/>
        <v>0</v>
      </c>
      <c r="CP319" s="1265">
        <f t="shared" si="822"/>
        <v>0</v>
      </c>
      <c r="CQ319" s="1265">
        <f t="shared" si="822"/>
        <v>0</v>
      </c>
      <c r="CR319" s="1265">
        <f t="shared" si="822"/>
        <v>0</v>
      </c>
      <c r="CS319" s="1265">
        <f t="shared" si="822"/>
        <v>0</v>
      </c>
      <c r="CT319" s="1265">
        <f t="shared" si="822"/>
        <v>0</v>
      </c>
      <c r="CU319" s="1265">
        <f t="shared" si="822"/>
        <v>0</v>
      </c>
      <c r="CV319" s="1265">
        <f t="shared" si="822"/>
        <v>0</v>
      </c>
      <c r="CW319" s="1265">
        <f t="shared" si="822"/>
        <v>0</v>
      </c>
      <c r="CX319" s="1265">
        <f t="shared" si="822"/>
        <v>0</v>
      </c>
      <c r="CY319" s="1265">
        <f t="shared" si="822"/>
        <v>0</v>
      </c>
      <c r="CZ319" s="1265">
        <f t="shared" si="822"/>
        <v>0</v>
      </c>
      <c r="DA319" s="1265">
        <f t="shared" si="822"/>
        <v>0</v>
      </c>
      <c r="DB319" s="1265">
        <f t="shared" si="822"/>
        <v>0</v>
      </c>
      <c r="DC319" s="1265">
        <f t="shared" si="822"/>
        <v>0</v>
      </c>
      <c r="DD319" s="1265">
        <f t="shared" si="822"/>
        <v>0</v>
      </c>
      <c r="DE319" s="1267">
        <f t="shared" si="822"/>
        <v>0</v>
      </c>
      <c r="DF319" s="1265">
        <f t="shared" si="822"/>
        <v>0</v>
      </c>
      <c r="DG319" s="1265">
        <f t="shared" si="822"/>
        <v>0</v>
      </c>
      <c r="DH319" s="1267">
        <f t="shared" si="822"/>
        <v>0</v>
      </c>
      <c r="DI319" s="1265">
        <f t="shared" si="822"/>
        <v>0</v>
      </c>
      <c r="DJ319" s="1265">
        <f t="shared" si="822"/>
        <v>0</v>
      </c>
      <c r="DK319" s="1267">
        <f t="shared" si="822"/>
        <v>0</v>
      </c>
      <c r="DL319" s="1684">
        <f t="shared" si="822"/>
        <v>0</v>
      </c>
      <c r="DM319" s="1684">
        <f t="shared" si="822"/>
        <v>0</v>
      </c>
      <c r="DN319" s="1170">
        <f t="shared" si="822"/>
        <v>0</v>
      </c>
      <c r="DO319" s="1684">
        <f t="shared" si="822"/>
        <v>0</v>
      </c>
      <c r="DP319" s="1684">
        <f t="shared" si="822"/>
        <v>0</v>
      </c>
      <c r="DQ319" s="1170">
        <f t="shared" si="822"/>
        <v>0</v>
      </c>
      <c r="DR319" s="1684">
        <f t="shared" ref="DR319:DZ319" si="823">+DR302-DR317</f>
        <v>0</v>
      </c>
      <c r="DS319" s="1684">
        <f t="shared" si="823"/>
        <v>0</v>
      </c>
      <c r="DT319" s="1170">
        <f t="shared" si="823"/>
        <v>0</v>
      </c>
      <c r="DU319" s="1684">
        <f t="shared" si="823"/>
        <v>0</v>
      </c>
      <c r="DV319" s="1684">
        <f>+DV302-DV317</f>
        <v>0</v>
      </c>
      <c r="DW319" s="1170">
        <f>+DW302-DW317</f>
        <v>0</v>
      </c>
      <c r="DX319" s="1684">
        <f t="shared" ref="DX319" si="824">+DX302-DX317</f>
        <v>0</v>
      </c>
      <c r="DY319" s="1684">
        <f t="shared" si="823"/>
        <v>0</v>
      </c>
      <c r="DZ319" s="1170">
        <f t="shared" si="823"/>
        <v>0</v>
      </c>
      <c r="EA319" s="1684">
        <f t="shared" ref="EA319:EF319" si="825">+EA302-EA317</f>
        <v>0</v>
      </c>
      <c r="EB319" s="1684">
        <f t="shared" si="825"/>
        <v>0</v>
      </c>
      <c r="EC319" s="1170">
        <f t="shared" si="825"/>
        <v>0</v>
      </c>
      <c r="ED319" s="1684">
        <f t="shared" si="825"/>
        <v>0</v>
      </c>
      <c r="EE319" s="1684">
        <f t="shared" si="825"/>
        <v>0</v>
      </c>
      <c r="EF319" s="1170">
        <f t="shared" si="825"/>
        <v>0</v>
      </c>
      <c r="EG319" s="1684">
        <f t="shared" ref="EG319:EL319" si="826">+EG302-EG317</f>
        <v>0</v>
      </c>
      <c r="EH319" s="1684">
        <f t="shared" si="826"/>
        <v>0</v>
      </c>
      <c r="EI319" s="1170">
        <f t="shared" si="826"/>
        <v>0</v>
      </c>
      <c r="EJ319" s="1684">
        <f t="shared" si="826"/>
        <v>0</v>
      </c>
      <c r="EK319" s="1684">
        <f t="shared" si="826"/>
        <v>0</v>
      </c>
      <c r="EL319" s="1170">
        <f t="shared" si="826"/>
        <v>0</v>
      </c>
      <c r="EM319" s="1684">
        <f t="shared" ref="EM319:ER319" si="827">+EM302-EM317</f>
        <v>0</v>
      </c>
      <c r="EN319" s="1684">
        <f t="shared" si="827"/>
        <v>0</v>
      </c>
      <c r="EO319" s="1170">
        <f t="shared" si="827"/>
        <v>0</v>
      </c>
      <c r="EP319" s="1684">
        <f t="shared" si="827"/>
        <v>0</v>
      </c>
      <c r="EQ319" s="1684">
        <f t="shared" si="827"/>
        <v>0</v>
      </c>
      <c r="ER319" s="1170">
        <f t="shared" si="827"/>
        <v>0</v>
      </c>
      <c r="ES319" s="1684">
        <f t="shared" ref="ES319:FA319" si="828">+ES302-ES317</f>
        <v>0</v>
      </c>
      <c r="ET319" s="1684">
        <f t="shared" si="828"/>
        <v>0</v>
      </c>
      <c r="EU319" s="1170">
        <f t="shared" si="828"/>
        <v>0</v>
      </c>
      <c r="EV319" s="1684">
        <f t="shared" si="828"/>
        <v>0</v>
      </c>
      <c r="EW319" s="1684">
        <f t="shared" si="828"/>
        <v>0</v>
      </c>
      <c r="EX319" s="1170">
        <f t="shared" si="828"/>
        <v>0</v>
      </c>
      <c r="EY319" s="1684">
        <f t="shared" si="828"/>
        <v>0</v>
      </c>
      <c r="EZ319" s="1684">
        <f t="shared" si="828"/>
        <v>0</v>
      </c>
      <c r="FA319" s="1170">
        <f t="shared" si="828"/>
        <v>0</v>
      </c>
      <c r="FD319"/>
      <c r="FE319"/>
      <c r="FF319"/>
      <c r="FG319"/>
      <c r="FH319"/>
      <c r="FI319"/>
    </row>
    <row r="320" spans="2:169" s="33" customFormat="1">
      <c r="B320" s="54"/>
      <c r="C320" s="54"/>
      <c r="D320" s="2"/>
      <c r="E320" s="32"/>
      <c r="F320" s="32"/>
      <c r="G320" s="32"/>
      <c r="H320" s="32"/>
      <c r="I320" s="32"/>
      <c r="J320" s="32"/>
      <c r="K320" s="32"/>
      <c r="L320" s="32"/>
      <c r="M320" s="32"/>
      <c r="N320" s="32"/>
      <c r="O320" s="32"/>
      <c r="P320" s="32"/>
      <c r="Q320" s="32"/>
      <c r="R320" s="32"/>
      <c r="S320" s="32"/>
      <c r="T320" s="32"/>
      <c r="U320" s="32"/>
      <c r="V320" s="32"/>
      <c r="W320" s="32"/>
      <c r="X320" s="32"/>
      <c r="Y320" s="32"/>
      <c r="Z320" s="32"/>
      <c r="AA320" s="32"/>
      <c r="AB320" s="32"/>
      <c r="AC320" s="32"/>
      <c r="AD320" s="32"/>
      <c r="AE320" s="32"/>
      <c r="AF320" s="32"/>
      <c r="AG320" s="32"/>
      <c r="AH320" s="32"/>
      <c r="AI320" s="32"/>
      <c r="AJ320" s="32"/>
      <c r="AK320" s="32"/>
      <c r="AL320" s="32"/>
      <c r="AM320" s="32"/>
      <c r="AN320" s="32"/>
      <c r="AO320" s="32"/>
      <c r="AP320" s="32"/>
      <c r="AQ320" s="32"/>
      <c r="AR320" s="32"/>
      <c r="AS320" s="32"/>
      <c r="AT320" s="32"/>
      <c r="AU320" s="32"/>
      <c r="AV320" s="32"/>
      <c r="AW320" s="32"/>
      <c r="AX320" s="32"/>
      <c r="AY320" s="32"/>
      <c r="AZ320" s="32"/>
      <c r="BA320" s="32"/>
      <c r="BB320" s="32"/>
      <c r="BC320" s="32"/>
      <c r="BD320" s="32"/>
      <c r="BE320" s="32"/>
      <c r="BF320" s="32"/>
      <c r="BG320" s="32"/>
      <c r="BH320" s="32"/>
      <c r="BI320" s="32"/>
      <c r="BJ320" s="32"/>
      <c r="BK320" s="32"/>
      <c r="BL320" s="32"/>
      <c r="BM320" s="32"/>
      <c r="BN320" s="32"/>
      <c r="BO320" s="32"/>
      <c r="BP320" s="32"/>
      <c r="BQ320" s="32"/>
      <c r="BR320" s="32"/>
      <c r="BS320" s="32"/>
      <c r="BT320" s="32"/>
      <c r="BU320" s="32"/>
      <c r="BV320" s="32"/>
      <c r="BW320" s="32"/>
      <c r="BX320" s="32"/>
      <c r="BY320" s="32"/>
      <c r="BZ320" s="32"/>
      <c r="CA320" s="32"/>
      <c r="CB320" s="32"/>
      <c r="CC320" s="32"/>
      <c r="CD320" s="32"/>
      <c r="CE320" s="32"/>
      <c r="CF320" s="32"/>
      <c r="CG320" s="32"/>
      <c r="CH320" s="32"/>
      <c r="CI320" s="32"/>
      <c r="CJ320" s="32"/>
      <c r="CK320" s="32"/>
      <c r="CL320" s="32"/>
      <c r="CM320" s="32"/>
      <c r="CN320" s="32"/>
      <c r="CO320" s="32"/>
      <c r="CP320" s="32"/>
      <c r="CQ320" s="32"/>
      <c r="CR320" s="32"/>
      <c r="CS320" s="32"/>
      <c r="CT320" s="32"/>
      <c r="CU320" s="32"/>
      <c r="CV320" s="32"/>
      <c r="CW320" s="32"/>
      <c r="CX320" s="32"/>
      <c r="CY320" s="32"/>
      <c r="CZ320" s="32"/>
      <c r="DA320" s="32"/>
      <c r="DB320" s="32"/>
      <c r="DC320" s="32"/>
      <c r="DD320" s="32"/>
      <c r="DE320" s="1061"/>
      <c r="DF320" s="32"/>
      <c r="DG320" s="32"/>
      <c r="DH320" s="1061"/>
      <c r="DI320" s="32"/>
      <c r="DJ320" s="32"/>
      <c r="DK320" s="1061"/>
      <c r="DL320" s="32"/>
      <c r="DM320" s="32"/>
      <c r="DN320" s="1061"/>
      <c r="DO320" s="32"/>
      <c r="DP320" s="32"/>
      <c r="DQ320" s="1061"/>
      <c r="DR320" s="32"/>
      <c r="DS320" s="32"/>
      <c r="DT320" s="1061"/>
      <c r="DU320" s="32"/>
      <c r="DV320" s="32"/>
      <c r="DW320" s="1061"/>
      <c r="DX320" s="32"/>
      <c r="DY320" s="32"/>
      <c r="DZ320" s="1061"/>
      <c r="EA320" s="32"/>
      <c r="EB320" s="32"/>
      <c r="EC320" s="1061"/>
      <c r="ED320" s="32"/>
      <c r="EE320" s="32"/>
      <c r="EF320" s="1061"/>
      <c r="EG320" s="32"/>
      <c r="EH320" s="32"/>
      <c r="EI320" s="1061"/>
      <c r="EJ320" s="32"/>
      <c r="EK320" s="32"/>
      <c r="EL320" s="1061"/>
      <c r="EM320" s="32"/>
      <c r="EN320" s="32"/>
      <c r="EO320" s="1061"/>
      <c r="EP320" s="32"/>
      <c r="EQ320" s="32"/>
      <c r="ER320" s="1061"/>
      <c r="ES320" s="32"/>
      <c r="ET320" s="32"/>
      <c r="EU320" s="1061"/>
      <c r="EV320" s="32"/>
      <c r="EW320" s="32"/>
      <c r="EX320" s="1061"/>
      <c r="EY320" s="32"/>
      <c r="EZ320" s="32"/>
      <c r="FA320" s="1061"/>
      <c r="FD320"/>
      <c r="FE320"/>
      <c r="FF320"/>
      <c r="FG320"/>
      <c r="FH320"/>
      <c r="FI320"/>
    </row>
    <row r="321" spans="1:169" s="1269" customFormat="1">
      <c r="A321" s="48" t="s">
        <v>299</v>
      </c>
      <c r="B321" s="48"/>
      <c r="C321" s="48"/>
      <c r="D321" s="49" t="str">
        <f t="shared" ref="D321:AI321" si="829">+D4</f>
        <v xml:space="preserve">Year ending Jun </v>
      </c>
      <c r="E321" s="49" t="str">
        <f t="shared" si="829"/>
        <v>1h85</v>
      </c>
      <c r="F321" s="49" t="str">
        <f t="shared" si="829"/>
        <v>2h85</v>
      </c>
      <c r="G321" s="49" t="str">
        <f t="shared" si="829"/>
        <v>1985</v>
      </c>
      <c r="H321" s="49" t="str">
        <f t="shared" si="829"/>
        <v>1h86</v>
      </c>
      <c r="I321" s="49" t="str">
        <f t="shared" si="829"/>
        <v>2h86</v>
      </c>
      <c r="J321" s="49" t="str">
        <f t="shared" si="829"/>
        <v>1986</v>
      </c>
      <c r="K321" s="49" t="str">
        <f t="shared" si="829"/>
        <v>1h87</v>
      </c>
      <c r="L321" s="49" t="str">
        <f t="shared" si="829"/>
        <v>2h87</v>
      </c>
      <c r="M321" s="49" t="str">
        <f t="shared" si="829"/>
        <v>1987</v>
      </c>
      <c r="N321" s="49" t="str">
        <f t="shared" si="829"/>
        <v>1h88</v>
      </c>
      <c r="O321" s="49" t="str">
        <f t="shared" si="829"/>
        <v>2h88</v>
      </c>
      <c r="P321" s="49" t="str">
        <f t="shared" si="829"/>
        <v>1988</v>
      </c>
      <c r="Q321" s="49" t="str">
        <f t="shared" si="829"/>
        <v>1h89</v>
      </c>
      <c r="R321" s="49" t="str">
        <f t="shared" si="829"/>
        <v>2h89</v>
      </c>
      <c r="S321" s="49" t="str">
        <f t="shared" si="829"/>
        <v>1989</v>
      </c>
      <c r="T321" s="49" t="str">
        <f t="shared" si="829"/>
        <v>1h90</v>
      </c>
      <c r="U321" s="49" t="str">
        <f t="shared" si="829"/>
        <v>2h90</v>
      </c>
      <c r="V321" s="49" t="str">
        <f t="shared" si="829"/>
        <v>1990</v>
      </c>
      <c r="W321" s="49" t="str">
        <f t="shared" si="829"/>
        <v>1h91</v>
      </c>
      <c r="X321" s="49" t="str">
        <f t="shared" si="829"/>
        <v>2h91</v>
      </c>
      <c r="Y321" s="49" t="str">
        <f t="shared" si="829"/>
        <v>1991</v>
      </c>
      <c r="Z321" s="49" t="str">
        <f t="shared" si="829"/>
        <v>1h92</v>
      </c>
      <c r="AA321" s="49" t="str">
        <f t="shared" si="829"/>
        <v>2h92</v>
      </c>
      <c r="AB321" s="49" t="str">
        <f t="shared" si="829"/>
        <v>1992</v>
      </c>
      <c r="AC321" s="49" t="str">
        <f t="shared" si="829"/>
        <v>1h93</v>
      </c>
      <c r="AD321" s="49" t="str">
        <f t="shared" si="829"/>
        <v>2h93</v>
      </c>
      <c r="AE321" s="49" t="str">
        <f t="shared" si="829"/>
        <v>1993</v>
      </c>
      <c r="AF321" s="49" t="str">
        <f t="shared" si="829"/>
        <v>1h94</v>
      </c>
      <c r="AG321" s="49" t="str">
        <f t="shared" si="829"/>
        <v>2h94</v>
      </c>
      <c r="AH321" s="49" t="str">
        <f t="shared" si="829"/>
        <v>1994</v>
      </c>
      <c r="AI321" s="49" t="str">
        <f t="shared" si="829"/>
        <v>1h95</v>
      </c>
      <c r="AJ321" s="49" t="str">
        <f t="shared" ref="AJ321:BO321" si="830">+AJ4</f>
        <v>2h95</v>
      </c>
      <c r="AK321" s="49" t="str">
        <f t="shared" si="830"/>
        <v>1995</v>
      </c>
      <c r="AL321" s="49" t="str">
        <f t="shared" si="830"/>
        <v>1h96</v>
      </c>
      <c r="AM321" s="49" t="str">
        <f t="shared" si="830"/>
        <v>2h96</v>
      </c>
      <c r="AN321" s="49" t="str">
        <f t="shared" si="830"/>
        <v>1996</v>
      </c>
      <c r="AO321" s="49" t="str">
        <f t="shared" si="830"/>
        <v>1h97</v>
      </c>
      <c r="AP321" s="49" t="str">
        <f t="shared" si="830"/>
        <v>2h97</v>
      </c>
      <c r="AQ321" s="49" t="str">
        <f t="shared" si="830"/>
        <v>1997</v>
      </c>
      <c r="AR321" s="49" t="str">
        <f t="shared" si="830"/>
        <v>1h98</v>
      </c>
      <c r="AS321" s="49" t="str">
        <f t="shared" si="830"/>
        <v>2h98</v>
      </c>
      <c r="AT321" s="49" t="str">
        <f t="shared" si="830"/>
        <v>1998a</v>
      </c>
      <c r="AU321" s="49" t="str">
        <f t="shared" si="830"/>
        <v>1h99</v>
      </c>
      <c r="AV321" s="49" t="str">
        <f t="shared" si="830"/>
        <v>2h99</v>
      </c>
      <c r="AW321" s="49" t="str">
        <f t="shared" si="830"/>
        <v>1999a</v>
      </c>
      <c r="AX321" s="49" t="str">
        <f t="shared" si="830"/>
        <v>1h00</v>
      </c>
      <c r="AY321" s="49" t="str">
        <f t="shared" si="830"/>
        <v>2h00</v>
      </c>
      <c r="AZ321" s="49" t="str">
        <f t="shared" si="830"/>
        <v>2000a</v>
      </c>
      <c r="BA321" s="49" t="str">
        <f t="shared" si="830"/>
        <v>1h01</v>
      </c>
      <c r="BB321" s="49" t="str">
        <f t="shared" si="830"/>
        <v>2h01</v>
      </c>
      <c r="BC321" s="49" t="str">
        <f t="shared" si="830"/>
        <v>2001a</v>
      </c>
      <c r="BD321" s="49" t="str">
        <f t="shared" si="830"/>
        <v>1h02</v>
      </c>
      <c r="BE321" s="49" t="str">
        <f t="shared" si="830"/>
        <v>2h02f</v>
      </c>
      <c r="BF321" s="49" t="str">
        <f t="shared" si="830"/>
        <v>2002</v>
      </c>
      <c r="BG321" s="49" t="str">
        <f t="shared" si="830"/>
        <v>1h03</v>
      </c>
      <c r="BH321" s="49" t="str">
        <f t="shared" si="830"/>
        <v>2h03</v>
      </c>
      <c r="BI321" s="49" t="str">
        <f t="shared" si="830"/>
        <v>2003</v>
      </c>
      <c r="BJ321" s="49" t="str">
        <f t="shared" si="830"/>
        <v>1h04</v>
      </c>
      <c r="BK321" s="49" t="str">
        <f t="shared" si="830"/>
        <v>2h04</v>
      </c>
      <c r="BL321" s="49" t="str">
        <f t="shared" si="830"/>
        <v>2004</v>
      </c>
      <c r="BM321" s="49" t="str">
        <f t="shared" si="830"/>
        <v>1h05</v>
      </c>
      <c r="BN321" s="49" t="str">
        <f t="shared" si="830"/>
        <v>2h05</v>
      </c>
      <c r="BO321" s="49" t="str">
        <f t="shared" si="830"/>
        <v>2005</v>
      </c>
      <c r="BP321" s="49" t="str">
        <f t="shared" ref="BP321:CU321" si="831">+BP4</f>
        <v>1h06</v>
      </c>
      <c r="BQ321" s="49" t="str">
        <f t="shared" si="831"/>
        <v>2h06</v>
      </c>
      <c r="BR321" s="49" t="str">
        <f t="shared" si="831"/>
        <v>2006</v>
      </c>
      <c r="BS321" s="49" t="str">
        <f t="shared" si="831"/>
        <v>1h07</v>
      </c>
      <c r="BT321" s="49" t="str">
        <f t="shared" si="831"/>
        <v>2h07</v>
      </c>
      <c r="BU321" s="49" t="str">
        <f t="shared" si="831"/>
        <v>2007</v>
      </c>
      <c r="BV321" s="49" t="str">
        <f t="shared" si="831"/>
        <v>1h08</v>
      </c>
      <c r="BW321" s="49" t="str">
        <f t="shared" si="831"/>
        <v>2h08</v>
      </c>
      <c r="BX321" s="49" t="str">
        <f t="shared" si="831"/>
        <v>2008</v>
      </c>
      <c r="BY321" s="49" t="str">
        <f t="shared" si="831"/>
        <v>1h09</v>
      </c>
      <c r="BZ321" s="49" t="str">
        <f t="shared" si="831"/>
        <v>2h09</v>
      </c>
      <c r="CA321" s="49" t="str">
        <f t="shared" si="831"/>
        <v>2009</v>
      </c>
      <c r="CB321" s="49" t="str">
        <f t="shared" si="831"/>
        <v>1h10</v>
      </c>
      <c r="CC321" s="49" t="str">
        <f t="shared" si="831"/>
        <v>2h10</v>
      </c>
      <c r="CD321" s="49" t="str">
        <f t="shared" si="831"/>
        <v>2010</v>
      </c>
      <c r="CE321" s="49" t="str">
        <f t="shared" si="831"/>
        <v>1h11</v>
      </c>
      <c r="CF321" s="49" t="str">
        <f t="shared" si="831"/>
        <v>2h11</v>
      </c>
      <c r="CG321" s="49" t="str">
        <f t="shared" si="831"/>
        <v>2011</v>
      </c>
      <c r="CH321" s="49" t="str">
        <f t="shared" si="831"/>
        <v>1h12</v>
      </c>
      <c r="CI321" s="49" t="str">
        <f t="shared" si="831"/>
        <v>2h12</v>
      </c>
      <c r="CJ321" s="49" t="str">
        <f t="shared" si="831"/>
        <v>2012</v>
      </c>
      <c r="CK321" s="49" t="str">
        <f t="shared" si="831"/>
        <v>1h13</v>
      </c>
      <c r="CL321" s="49" t="str">
        <f t="shared" si="831"/>
        <v>2h13</v>
      </c>
      <c r="CM321" s="49" t="str">
        <f t="shared" si="831"/>
        <v>2013</v>
      </c>
      <c r="CN321" s="49" t="str">
        <f t="shared" si="831"/>
        <v>1h14</v>
      </c>
      <c r="CO321" s="49" t="str">
        <f t="shared" si="831"/>
        <v>2h14</v>
      </c>
      <c r="CP321" s="49" t="str">
        <f t="shared" si="831"/>
        <v>2014</v>
      </c>
      <c r="CQ321" s="49" t="str">
        <f t="shared" si="831"/>
        <v>1h15</v>
      </c>
      <c r="CR321" s="49" t="str">
        <f t="shared" si="831"/>
        <v>2h15</v>
      </c>
      <c r="CS321" s="49" t="str">
        <f t="shared" si="831"/>
        <v>2015</v>
      </c>
      <c r="CT321" s="49" t="str">
        <f t="shared" si="831"/>
        <v>1h16</v>
      </c>
      <c r="CU321" s="49" t="str">
        <f t="shared" si="831"/>
        <v>2h16</v>
      </c>
      <c r="CV321" s="49" t="str">
        <f t="shared" ref="CV321:EC321" si="832">+CV4</f>
        <v>2016</v>
      </c>
      <c r="CW321" s="49" t="str">
        <f t="shared" si="832"/>
        <v>1h17</v>
      </c>
      <c r="CX321" s="49" t="str">
        <f t="shared" si="832"/>
        <v>2h17</v>
      </c>
      <c r="CY321" s="49" t="str">
        <f t="shared" si="832"/>
        <v>2017</v>
      </c>
      <c r="CZ321" s="49" t="str">
        <f t="shared" si="832"/>
        <v>1h18</v>
      </c>
      <c r="DA321" s="49" t="str">
        <f t="shared" si="832"/>
        <v>2h18</v>
      </c>
      <c r="DB321" s="49" t="str">
        <f t="shared" si="832"/>
        <v>2018</v>
      </c>
      <c r="DC321" s="49" t="str">
        <f t="shared" si="832"/>
        <v>1h19</v>
      </c>
      <c r="DD321" s="49" t="str">
        <f t="shared" si="832"/>
        <v>2h19</v>
      </c>
      <c r="DE321" s="63" t="str">
        <f t="shared" si="832"/>
        <v>2019</v>
      </c>
      <c r="DF321" s="49" t="str">
        <f t="shared" si="832"/>
        <v>1h20</v>
      </c>
      <c r="DG321" s="49" t="str">
        <f t="shared" si="832"/>
        <v>2h20</v>
      </c>
      <c r="DH321" s="63" t="str">
        <f t="shared" si="832"/>
        <v>2020</v>
      </c>
      <c r="DI321" s="49" t="str">
        <f t="shared" si="832"/>
        <v>1h21</v>
      </c>
      <c r="DJ321" s="49" t="str">
        <f t="shared" si="832"/>
        <v>2h21</v>
      </c>
      <c r="DK321" s="63" t="str">
        <f t="shared" si="832"/>
        <v>2021</v>
      </c>
      <c r="DL321" s="49" t="str">
        <f t="shared" si="832"/>
        <v>1h22</v>
      </c>
      <c r="DM321" s="49" t="str">
        <f t="shared" si="832"/>
        <v>2h22</v>
      </c>
      <c r="DN321" s="63" t="str">
        <f t="shared" si="832"/>
        <v>2022</v>
      </c>
      <c r="DO321" s="49" t="str">
        <f t="shared" si="832"/>
        <v>1h23</v>
      </c>
      <c r="DP321" s="49" t="str">
        <f t="shared" si="832"/>
        <v>2h23</v>
      </c>
      <c r="DQ321" s="63" t="str">
        <f t="shared" si="832"/>
        <v>2023</v>
      </c>
      <c r="DR321" s="49" t="str">
        <f t="shared" si="832"/>
        <v>1h24</v>
      </c>
      <c r="DS321" s="49" t="str">
        <f t="shared" si="832"/>
        <v>2h24</v>
      </c>
      <c r="DT321" s="63" t="str">
        <f t="shared" si="832"/>
        <v>2024</v>
      </c>
      <c r="DU321" s="49" t="str">
        <f>+DU4</f>
        <v>1h25</v>
      </c>
      <c r="DV321" s="49" t="str">
        <f>+DV4</f>
        <v>2h25</v>
      </c>
      <c r="DW321" s="63" t="str">
        <f>+DW4</f>
        <v>2025</v>
      </c>
      <c r="DX321" s="49" t="str">
        <f t="shared" si="832"/>
        <v>1h26</v>
      </c>
      <c r="DY321" s="49" t="str">
        <f t="shared" si="832"/>
        <v>2h26E</v>
      </c>
      <c r="DZ321" s="63" t="str">
        <f t="shared" si="832"/>
        <v>2026E</v>
      </c>
      <c r="EA321" s="49" t="str">
        <f t="shared" si="832"/>
        <v>1h27E</v>
      </c>
      <c r="EB321" s="49" t="str">
        <f t="shared" si="832"/>
        <v>2h27E</v>
      </c>
      <c r="EC321" s="63" t="str">
        <f t="shared" si="832"/>
        <v>2027E</v>
      </c>
      <c r="ED321" s="49" t="str">
        <f t="shared" ref="ED321:EL321" si="833">+ED4</f>
        <v>1h28E</v>
      </c>
      <c r="EE321" s="49" t="str">
        <f t="shared" si="833"/>
        <v>2h28E</v>
      </c>
      <c r="EF321" s="63" t="str">
        <f t="shared" si="833"/>
        <v>2028E</v>
      </c>
      <c r="EG321" s="49" t="str">
        <f t="shared" si="833"/>
        <v>1h29E</v>
      </c>
      <c r="EH321" s="49" t="str">
        <f t="shared" si="833"/>
        <v>2h29E</v>
      </c>
      <c r="EI321" s="63" t="str">
        <f t="shared" si="833"/>
        <v>2029E</v>
      </c>
      <c r="EJ321" s="49" t="str">
        <f t="shared" si="833"/>
        <v>1h30E</v>
      </c>
      <c r="EK321" s="49" t="str">
        <f t="shared" si="833"/>
        <v>2h30E</v>
      </c>
      <c r="EL321" s="63" t="str">
        <f t="shared" si="833"/>
        <v>2030E</v>
      </c>
      <c r="EM321" s="49" t="str">
        <f t="shared" ref="EM321:ER321" si="834">+EM4</f>
        <v>1h31E</v>
      </c>
      <c r="EN321" s="49" t="str">
        <f t="shared" si="834"/>
        <v>2h31E</v>
      </c>
      <c r="EO321" s="63" t="str">
        <f t="shared" si="834"/>
        <v>2031E</v>
      </c>
      <c r="EP321" s="49" t="str">
        <f t="shared" si="834"/>
        <v>1h32E</v>
      </c>
      <c r="EQ321" s="49" t="str">
        <f t="shared" si="834"/>
        <v>2h32E</v>
      </c>
      <c r="ER321" s="63" t="str">
        <f t="shared" si="834"/>
        <v>2032E</v>
      </c>
      <c r="ES321" s="49" t="str">
        <f t="shared" ref="ES321:FA321" si="835">+ES4</f>
        <v>1h33E</v>
      </c>
      <c r="ET321" s="49" t="str">
        <f t="shared" si="835"/>
        <v>2h33E</v>
      </c>
      <c r="EU321" s="63" t="str">
        <f t="shared" si="835"/>
        <v>2033E</v>
      </c>
      <c r="EV321" s="49" t="str">
        <f t="shared" si="835"/>
        <v>1h34E</v>
      </c>
      <c r="EW321" s="49" t="str">
        <f t="shared" si="835"/>
        <v>2h34E</v>
      </c>
      <c r="EX321" s="63" t="str">
        <f t="shared" si="835"/>
        <v>2034E</v>
      </c>
      <c r="EY321" s="49" t="str">
        <f t="shared" si="835"/>
        <v>1h35E</v>
      </c>
      <c r="EZ321" s="49" t="str">
        <f t="shared" si="835"/>
        <v>2h35E</v>
      </c>
      <c r="FA321" s="63" t="str">
        <f t="shared" si="835"/>
        <v>2035E</v>
      </c>
      <c r="FB321" s="1268"/>
      <c r="FC321" s="1268"/>
      <c r="FD321"/>
      <c r="FE321"/>
      <c r="FF321"/>
      <c r="FG321"/>
      <c r="FH321"/>
      <c r="FI321"/>
      <c r="FJ321" s="1078"/>
      <c r="FK321" s="1078"/>
      <c r="FL321" s="1078"/>
      <c r="FM321" s="1078"/>
    </row>
    <row r="322" spans="1:169" s="33" customFormat="1">
      <c r="B322" s="54" t="s">
        <v>394</v>
      </c>
      <c r="C322" s="54"/>
      <c r="D322" s="2" t="s">
        <v>507</v>
      </c>
      <c r="E322" s="51"/>
      <c r="F322" s="51"/>
      <c r="G322" s="51"/>
      <c r="H322" s="51"/>
      <c r="I322" s="5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c r="AJ322" s="51"/>
      <c r="AK322" s="51"/>
      <c r="AL322" s="51"/>
      <c r="AM322" s="51"/>
      <c r="AN322" s="51"/>
      <c r="AO322" s="51"/>
      <c r="AP322" s="51"/>
      <c r="AQ322" s="51"/>
      <c r="AR322" s="51"/>
      <c r="AS322" s="51"/>
      <c r="AT322" s="51"/>
      <c r="AU322" s="51"/>
      <c r="AV322" s="51"/>
      <c r="AW322" s="51"/>
      <c r="AX322" s="51"/>
      <c r="AY322" s="51"/>
      <c r="AZ322" s="51"/>
      <c r="BA322" s="51"/>
      <c r="BB322" s="51"/>
      <c r="BC322" s="51"/>
      <c r="BD322" s="51"/>
      <c r="BE322" s="51"/>
      <c r="BF322" s="51"/>
      <c r="BG322" s="51"/>
      <c r="BH322" s="51"/>
      <c r="BI322" s="51"/>
      <c r="BJ322" s="51"/>
      <c r="BK322" s="51"/>
      <c r="BL322" s="51"/>
      <c r="BM322" s="51"/>
      <c r="BN322" s="51"/>
      <c r="BO322" s="51"/>
      <c r="BP322" s="51"/>
      <c r="BQ322" s="51"/>
      <c r="BR322" s="51"/>
      <c r="BS322" s="51"/>
      <c r="BT322" s="51"/>
      <c r="BU322" s="51"/>
      <c r="BV322" s="51"/>
      <c r="BW322" s="51">
        <f>+((BW266+BW286)/(BW266+BW286+BW317))</f>
        <v>0.25352516092074145</v>
      </c>
      <c r="BX322" s="51">
        <f>+((BX266+BX286)/(BX266+BX286+BX317))</f>
        <v>0.25352516092074145</v>
      </c>
      <c r="BY322" s="51"/>
      <c r="BZ322" s="51">
        <f>+((BZ266+BZ286)/(BZ266+BZ286+BZ317))</f>
        <v>0.11625124626121636</v>
      </c>
      <c r="CA322" s="51">
        <f>+((CA266+CA286)/(CA266+CA286+CA317))</f>
        <v>0.11625124626121636</v>
      </c>
      <c r="CB322" s="51"/>
      <c r="CC322" s="51">
        <f>+((CC266+CC286)/(CC266+CC286+CC317))</f>
        <v>9.8895507859808329E-2</v>
      </c>
      <c r="CD322" s="51">
        <f>+((CD266+CD286)/(CD266+CD286+CD317))</f>
        <v>9.8895507859808329E-2</v>
      </c>
      <c r="CE322" s="51"/>
      <c r="CF322" s="51">
        <f t="shared" ref="CF322:CW322" si="836">+((CF266+CF286)/(CF266+CF286+CF317))</f>
        <v>0.10245241749887291</v>
      </c>
      <c r="CG322" s="51">
        <f t="shared" si="836"/>
        <v>0.10245241749887291</v>
      </c>
      <c r="CH322" s="51">
        <f t="shared" si="836"/>
        <v>0.31087563585063505</v>
      </c>
      <c r="CI322" s="51">
        <f t="shared" si="836"/>
        <v>0.27055894806272474</v>
      </c>
      <c r="CJ322" s="51">
        <f t="shared" si="836"/>
        <v>0.27055894806272474</v>
      </c>
      <c r="CK322" s="51">
        <f t="shared" si="836"/>
        <v>0.35830292165524891</v>
      </c>
      <c r="CL322" s="51">
        <f t="shared" si="836"/>
        <v>0.35830292165524891</v>
      </c>
      <c r="CM322" s="51">
        <f t="shared" si="836"/>
        <v>0.35830292165524891</v>
      </c>
      <c r="CN322" s="51">
        <f t="shared" si="836"/>
        <v>0.35242403382830173</v>
      </c>
      <c r="CO322" s="51">
        <f t="shared" si="836"/>
        <v>0.37414642835936107</v>
      </c>
      <c r="CP322" s="51">
        <f t="shared" si="836"/>
        <v>0.37414642835936107</v>
      </c>
      <c r="CQ322" s="51">
        <f t="shared" si="836"/>
        <v>0.43731466536541419</v>
      </c>
      <c r="CR322" s="51">
        <f t="shared" si="836"/>
        <v>0.45365766339154301</v>
      </c>
      <c r="CS322" s="51">
        <f t="shared" si="836"/>
        <v>0.45365766339154301</v>
      </c>
      <c r="CT322" s="51">
        <f t="shared" si="836"/>
        <v>0.5192278461772305</v>
      </c>
      <c r="CU322" s="51">
        <f t="shared" si="836"/>
        <v>0.55044216793625778</v>
      </c>
      <c r="CV322" s="51">
        <f t="shared" si="836"/>
        <v>0.55044216793625778</v>
      </c>
      <c r="CW322" s="51">
        <f t="shared" si="836"/>
        <v>0.54833897883712979</v>
      </c>
      <c r="CX322" s="51">
        <f t="shared" ref="CX322:DQ322" si="837">+((CX266+CX286)/(CX266+CX286+CX317))</f>
        <v>0.55682868749124537</v>
      </c>
      <c r="CY322" s="51">
        <f t="shared" si="837"/>
        <v>0.55682868749124537</v>
      </c>
      <c r="CZ322" s="51">
        <f t="shared" si="837"/>
        <v>0.5367591219759158</v>
      </c>
      <c r="DA322" s="51">
        <f t="shared" si="837"/>
        <v>0.51809548557794527</v>
      </c>
      <c r="DB322" s="51">
        <f t="shared" si="837"/>
        <v>0.51809548557794527</v>
      </c>
      <c r="DC322" s="51">
        <f t="shared" si="837"/>
        <v>0.48928488727027775</v>
      </c>
      <c r="DD322" s="51">
        <f t="shared" si="837"/>
        <v>0.47032004922282417</v>
      </c>
      <c r="DE322" s="1080">
        <f t="shared" si="837"/>
        <v>0.47032004922282417</v>
      </c>
      <c r="DF322" s="51">
        <f t="shared" si="837"/>
        <v>0.47989528437478612</v>
      </c>
      <c r="DG322" s="51">
        <f t="shared" si="837"/>
        <v>0.47864323715155832</v>
      </c>
      <c r="DH322" s="1080">
        <f t="shared" si="837"/>
        <v>0.47864323715155832</v>
      </c>
      <c r="DI322" s="51">
        <f t="shared" si="837"/>
        <v>0.42898658300887932</v>
      </c>
      <c r="DJ322" s="51">
        <f t="shared" si="837"/>
        <v>0.40926806921098074</v>
      </c>
      <c r="DK322" s="1080">
        <f t="shared" si="837"/>
        <v>0.40926806921098074</v>
      </c>
      <c r="DL322" s="51">
        <f t="shared" si="837"/>
        <v>0.2840898076206898</v>
      </c>
      <c r="DM322" s="51">
        <f t="shared" si="837"/>
        <v>0.39850135958704863</v>
      </c>
      <c r="DN322" s="1080">
        <f t="shared" si="837"/>
        <v>0.39850135958704863</v>
      </c>
      <c r="DO322" s="51">
        <f t="shared" si="837"/>
        <v>0.40395737290706235</v>
      </c>
      <c r="DP322" s="51">
        <f t="shared" si="837"/>
        <v>0.40684790203972981</v>
      </c>
      <c r="DQ322" s="1080">
        <f t="shared" si="837"/>
        <v>0.40684790203972981</v>
      </c>
      <c r="DR322" s="51">
        <f t="shared" ref="DR322:DZ322" si="838">+((DR266+DR286)/(DR266+DR286+DR317))</f>
        <v>0.38718858933768269</v>
      </c>
      <c r="DS322" s="51">
        <f t="shared" si="838"/>
        <v>0.38573328267477203</v>
      </c>
      <c r="DT322" s="1080">
        <f t="shared" si="838"/>
        <v>0.38573328267477203</v>
      </c>
      <c r="DU322" s="51">
        <f t="shared" si="838"/>
        <v>0.36800984312519225</v>
      </c>
      <c r="DV322" s="51">
        <f>+((DV266+DV286)/(DV266+DV286+DV317))</f>
        <v>0.34943017778453123</v>
      </c>
      <c r="DW322" s="1080">
        <f>+((DW266+DW286)/(DW266+DW286+DW317))</f>
        <v>0.34943017778453123</v>
      </c>
      <c r="DX322" s="51">
        <f t="shared" si="838"/>
        <v>0.35249066396607381</v>
      </c>
      <c r="DY322" s="51">
        <f t="shared" si="838"/>
        <v>0.34792932945896426</v>
      </c>
      <c r="DZ322" s="1080">
        <f t="shared" si="838"/>
        <v>0.34792932945896426</v>
      </c>
      <c r="EA322" s="51">
        <f t="shared" ref="EA322:EF322" si="839">+((EA266+EA286)/(EA266+EA286+EA317))</f>
        <v>0.33832847381770864</v>
      </c>
      <c r="EB322" s="51">
        <f t="shared" si="839"/>
        <v>0.33445732167883219</v>
      </c>
      <c r="EC322" s="1080">
        <f t="shared" si="839"/>
        <v>0.33445732167883219</v>
      </c>
      <c r="ED322" s="51">
        <f t="shared" si="839"/>
        <v>0.32331549570478119</v>
      </c>
      <c r="EE322" s="51">
        <f t="shared" si="839"/>
        <v>0.319125860778254</v>
      </c>
      <c r="EF322" s="1080">
        <f t="shared" si="839"/>
        <v>0.319125860778254</v>
      </c>
      <c r="EG322" s="51">
        <f t="shared" ref="EG322:EL322" si="840">+((EG266+EG286)/(EG266+EG286+EG317))</f>
        <v>0.30465803752087628</v>
      </c>
      <c r="EH322" s="51">
        <f t="shared" si="840"/>
        <v>0.29692196008696903</v>
      </c>
      <c r="EI322" s="1080">
        <f t="shared" si="840"/>
        <v>0.29692196008696903</v>
      </c>
      <c r="EJ322" s="51">
        <f t="shared" si="840"/>
        <v>0.28342034227042023</v>
      </c>
      <c r="EK322" s="51">
        <f t="shared" si="840"/>
        <v>0.27573969319672409</v>
      </c>
      <c r="EL322" s="1080">
        <f t="shared" si="840"/>
        <v>0.27573969319672409</v>
      </c>
      <c r="EM322" s="51">
        <f t="shared" ref="EM322:ER322" si="841">+((EM266+EM286)/(EM266+EM286+EM317))</f>
        <v>0.26306443244558875</v>
      </c>
      <c r="EN322" s="51">
        <f t="shared" si="841"/>
        <v>0.2557148715708461</v>
      </c>
      <c r="EO322" s="1080">
        <f t="shared" si="841"/>
        <v>0.2557148715708461</v>
      </c>
      <c r="EP322" s="51">
        <f t="shared" si="841"/>
        <v>0.24396539890607963</v>
      </c>
      <c r="EQ322" s="51">
        <f t="shared" si="841"/>
        <v>0.23685524558240392</v>
      </c>
      <c r="ER322" s="1080">
        <f t="shared" si="841"/>
        <v>0.23685524558240392</v>
      </c>
      <c r="ES322" s="51">
        <f t="shared" ref="ES322:FA322" si="842">+((ES266+ES286)/(ES266+ES286+ES317))</f>
        <v>0.22615762183442512</v>
      </c>
      <c r="ET322" s="51">
        <f t="shared" si="842"/>
        <v>0.21942819085390358</v>
      </c>
      <c r="EU322" s="1080">
        <f t="shared" si="842"/>
        <v>0.21942819085390358</v>
      </c>
      <c r="EV322" s="51">
        <f t="shared" si="842"/>
        <v>0.20975851362171882</v>
      </c>
      <c r="EW322" s="51">
        <f t="shared" si="842"/>
        <v>0.2034980751424324</v>
      </c>
      <c r="EX322" s="1080">
        <f t="shared" si="842"/>
        <v>0.2034980751424324</v>
      </c>
      <c r="EY322" s="51">
        <f t="shared" si="842"/>
        <v>0.19467166895877938</v>
      </c>
      <c r="EZ322" s="51">
        <f t="shared" si="842"/>
        <v>0.18884558383387051</v>
      </c>
      <c r="FA322" s="1080">
        <f t="shared" si="842"/>
        <v>0.18884558383387051</v>
      </c>
      <c r="FD322"/>
      <c r="FE322"/>
      <c r="FF322"/>
      <c r="FG322"/>
      <c r="FH322"/>
      <c r="FI322"/>
    </row>
    <row r="323" spans="1:169" s="33" customFormat="1">
      <c r="B323" s="54" t="s">
        <v>395</v>
      </c>
      <c r="C323" s="54"/>
      <c r="D323" s="2" t="s">
        <v>507</v>
      </c>
      <c r="E323" s="51"/>
      <c r="F323" s="51"/>
      <c r="G323" s="51"/>
      <c r="H323" s="51"/>
      <c r="I323" s="5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c r="AJ323" s="51"/>
      <c r="AK323" s="51"/>
      <c r="AL323" s="51"/>
      <c r="AM323" s="51"/>
      <c r="AN323" s="51"/>
      <c r="AO323" s="51"/>
      <c r="AP323" s="51"/>
      <c r="AQ323" s="51"/>
      <c r="AR323" s="51"/>
      <c r="AS323" s="51"/>
      <c r="AT323" s="51"/>
      <c r="AU323" s="51"/>
      <c r="AV323" s="51"/>
      <c r="AW323" s="51"/>
      <c r="AX323" s="51"/>
      <c r="AY323" s="51"/>
      <c r="AZ323" s="51"/>
      <c r="BA323" s="51"/>
      <c r="BB323" s="51"/>
      <c r="BC323" s="51"/>
      <c r="BD323" s="51"/>
      <c r="BE323" s="51"/>
      <c r="BF323" s="51"/>
      <c r="BG323" s="51"/>
      <c r="BH323" s="51"/>
      <c r="BI323" s="51"/>
      <c r="BJ323" s="51"/>
      <c r="BK323" s="51"/>
      <c r="BL323" s="51"/>
      <c r="BM323" s="51"/>
      <c r="BN323" s="51"/>
      <c r="BO323" s="51"/>
      <c r="BP323" s="51"/>
      <c r="BQ323" s="51"/>
      <c r="BR323" s="51"/>
      <c r="BS323" s="51"/>
      <c r="BT323" s="51"/>
      <c r="BU323" s="51"/>
      <c r="BV323" s="51"/>
      <c r="BW323" s="51">
        <f>+((BW266+BW286-BW228)/((BW266+BW286-BW228)+BW317))</f>
        <v>8.2257023968065238E-2</v>
      </c>
      <c r="BX323" s="51">
        <f>+((BX266+BX286-BX228)/((BX266+BX286-BX228)+BX317))</f>
        <v>8.2257023968065238E-2</v>
      </c>
      <c r="BY323" s="51"/>
      <c r="BZ323" s="51">
        <f>+((BZ266+BZ286-BZ228)/((BZ266+BZ286-BZ228)+BZ317))</f>
        <v>-0.49527665317139002</v>
      </c>
      <c r="CA323" s="51">
        <f>+((CA266+CA286-CA228)/((CA266+CA286-CA228)+CA317))</f>
        <v>-0.49527665317139002</v>
      </c>
      <c r="CB323" s="51"/>
      <c r="CC323" s="51">
        <f>+((CC266+CC286-CC228)/((CC266+CC286-CC228)+CC317))</f>
        <v>-0.14659839035606162</v>
      </c>
      <c r="CD323" s="51">
        <f>+((CD266+CD286-CD228)/((CD266+CD286-CD228)+CD317))</f>
        <v>-0.14659839035606162</v>
      </c>
      <c r="CE323" s="51"/>
      <c r="CF323" s="51">
        <f t="shared" ref="CF323:CW323" si="843">+((CF266+CF286-CF228)/((CF266+CF286-CF228)+CF317))</f>
        <v>-1.7671513079128617E-2</v>
      </c>
      <c r="CG323" s="51">
        <f t="shared" si="843"/>
        <v>-1.7671513079128617E-2</v>
      </c>
      <c r="CH323" s="51">
        <f t="shared" si="843"/>
        <v>6.1710757239026158E-2</v>
      </c>
      <c r="CI323" s="51">
        <f t="shared" si="843"/>
        <v>3.2865041751297737E-2</v>
      </c>
      <c r="CJ323" s="51">
        <f t="shared" si="843"/>
        <v>3.2865041751297737E-2</v>
      </c>
      <c r="CK323" s="51">
        <f t="shared" si="843"/>
        <v>0.23364343061042439</v>
      </c>
      <c r="CL323" s="51">
        <f t="shared" si="843"/>
        <v>0.23364343061042439</v>
      </c>
      <c r="CM323" s="51">
        <f t="shared" si="843"/>
        <v>0.23364343061042439</v>
      </c>
      <c r="CN323" s="51">
        <f t="shared" si="843"/>
        <v>0.25006263523516686</v>
      </c>
      <c r="CO323" s="51">
        <f t="shared" si="843"/>
        <v>0.28841479881177418</v>
      </c>
      <c r="CP323" s="51">
        <f t="shared" si="843"/>
        <v>0.28841479881177418</v>
      </c>
      <c r="CQ323" s="51">
        <f t="shared" si="843"/>
        <v>0.29747399006467334</v>
      </c>
      <c r="CR323" s="51">
        <f t="shared" si="843"/>
        <v>0.38561842988145822</v>
      </c>
      <c r="CS323" s="51">
        <f t="shared" si="843"/>
        <v>0.38561842988145822</v>
      </c>
      <c r="CT323" s="51">
        <f t="shared" si="843"/>
        <v>0.41051127539293025</v>
      </c>
      <c r="CU323" s="51">
        <f t="shared" si="843"/>
        <v>0.50189177128000151</v>
      </c>
      <c r="CV323" s="51">
        <f t="shared" si="843"/>
        <v>0.50189177128000151</v>
      </c>
      <c r="CW323" s="51">
        <f t="shared" si="843"/>
        <v>0.4763749031758327</v>
      </c>
      <c r="CX323" s="51">
        <f t="shared" ref="CX323:DQ323" si="844">+((CX266+CX286-CX228)/((CX266+CX286-CX228)+CX317))</f>
        <v>0.49737072047025183</v>
      </c>
      <c r="CY323" s="51">
        <f t="shared" si="844"/>
        <v>0.49737072047025183</v>
      </c>
      <c r="CZ323" s="51">
        <f t="shared" si="844"/>
        <v>0.48390475806776523</v>
      </c>
      <c r="DA323" s="51">
        <f t="shared" si="844"/>
        <v>0.4667842906619617</v>
      </c>
      <c r="DB323" s="51">
        <f t="shared" si="844"/>
        <v>0.4667842906619617</v>
      </c>
      <c r="DC323" s="51">
        <f t="shared" si="844"/>
        <v>0.45079684882510074</v>
      </c>
      <c r="DD323" s="51">
        <f t="shared" si="844"/>
        <v>0.43267828397955987</v>
      </c>
      <c r="DE323" s="1080">
        <f t="shared" si="844"/>
        <v>0.43267828397955987</v>
      </c>
      <c r="DF323" s="51">
        <f t="shared" si="844"/>
        <v>0.44831028349486368</v>
      </c>
      <c r="DG323" s="51">
        <f t="shared" si="844"/>
        <v>0.42366274383078201</v>
      </c>
      <c r="DH323" s="1080">
        <f t="shared" si="844"/>
        <v>0.42366274383078201</v>
      </c>
      <c r="DI323" s="51">
        <f t="shared" si="844"/>
        <v>0.31227966602007251</v>
      </c>
      <c r="DJ323" s="51">
        <f t="shared" si="844"/>
        <v>0.3229561297931291</v>
      </c>
      <c r="DK323" s="1080">
        <f t="shared" si="844"/>
        <v>0.3229561297931291</v>
      </c>
      <c r="DL323" s="51">
        <f t="shared" si="844"/>
        <v>-5.7704483101691365E-2</v>
      </c>
      <c r="DM323" s="51">
        <f t="shared" si="844"/>
        <v>-5.6424787483060269E-2</v>
      </c>
      <c r="DN323" s="1080">
        <f t="shared" si="844"/>
        <v>-5.6424787483060269E-2</v>
      </c>
      <c r="DO323" s="51">
        <f t="shared" si="844"/>
        <v>0.37241241339613501</v>
      </c>
      <c r="DP323" s="51">
        <f t="shared" si="844"/>
        <v>0.37463602876688301</v>
      </c>
      <c r="DQ323" s="1080">
        <f t="shared" si="844"/>
        <v>0.37463602876688301</v>
      </c>
      <c r="DR323" s="51">
        <f t="shared" ref="DR323:DZ323" si="845">+((DR266+DR286-DR228)/((DR266+DR286-DR228)+DR317))</f>
        <v>0.36658733306888802</v>
      </c>
      <c r="DS323" s="51">
        <f t="shared" si="845"/>
        <v>0.35172252481037192</v>
      </c>
      <c r="DT323" s="1080">
        <f t="shared" si="845"/>
        <v>0.35172252481037192</v>
      </c>
      <c r="DU323" s="51">
        <f t="shared" si="845"/>
        <v>0.33692635383721681</v>
      </c>
      <c r="DV323" s="51">
        <f>+((DV266+DV286-DV228)/((DV266+DV286-DV228)+DV317))</f>
        <v>0.30379211656042671</v>
      </c>
      <c r="DW323" s="1080">
        <f>+((DW266+DW286-DW228)/((DW266+DW286-DW228)+DW317))</f>
        <v>0.30379211656042671</v>
      </c>
      <c r="DX323" s="51">
        <f t="shared" si="845"/>
        <v>0.3281450103438085</v>
      </c>
      <c r="DY323" s="51">
        <f t="shared" si="845"/>
        <v>0.31149909570664469</v>
      </c>
      <c r="DZ323" s="1080">
        <f t="shared" si="845"/>
        <v>0.31149909570664469</v>
      </c>
      <c r="EA323" s="51">
        <f t="shared" ref="EA323:EF323" si="846">+((EA266+EA286-EA228)/((EA266+EA286-EA228)+EA317))</f>
        <v>0.30210749531818698</v>
      </c>
      <c r="EB323" s="51">
        <f t="shared" si="846"/>
        <v>0.29104359320493306</v>
      </c>
      <c r="EC323" s="1080">
        <f t="shared" si="846"/>
        <v>0.29104359320493306</v>
      </c>
      <c r="ED323" s="51">
        <f t="shared" si="846"/>
        <v>0.27517206449937354</v>
      </c>
      <c r="EE323" s="51">
        <f t="shared" si="846"/>
        <v>0.26622530584275772</v>
      </c>
      <c r="EF323" s="1080">
        <f t="shared" si="846"/>
        <v>0.26622530584275772</v>
      </c>
      <c r="EG323" s="51">
        <f t="shared" ref="EG323:EL323" si="847">+((EG266+EG286-EG228)/((EG266+EG286-EG228)+EG317))</f>
        <v>0.2365815577771421</v>
      </c>
      <c r="EH323" s="51">
        <f t="shared" si="847"/>
        <v>0.21490861957490096</v>
      </c>
      <c r="EI323" s="1080">
        <f t="shared" si="847"/>
        <v>0.21490861957490096</v>
      </c>
      <c r="EJ323" s="51">
        <f t="shared" si="847"/>
        <v>0.18111441684811994</v>
      </c>
      <c r="EK323" s="51">
        <f t="shared" si="847"/>
        <v>0.15673635553596363</v>
      </c>
      <c r="EL323" s="1080">
        <f t="shared" si="847"/>
        <v>0.15673635553596363</v>
      </c>
      <c r="EM323" s="51">
        <f t="shared" ref="EM323:ER323" si="848">+((EM266+EM286-EM228)/((EM266+EM286-EM228)+EM317))</f>
        <v>0.11624390851485135</v>
      </c>
      <c r="EN323" s="51">
        <f t="shared" si="848"/>
        <v>8.8455952711598243E-2</v>
      </c>
      <c r="EO323" s="1080">
        <f t="shared" si="848"/>
        <v>8.8455952711598243E-2</v>
      </c>
      <c r="EP323" s="51">
        <f t="shared" si="848"/>
        <v>4.5674900090702776E-2</v>
      </c>
      <c r="EQ323" s="51">
        <f t="shared" si="848"/>
        <v>1.6721158856354203E-2</v>
      </c>
      <c r="ER323" s="1080">
        <f t="shared" si="848"/>
        <v>1.6721158856354203E-2</v>
      </c>
      <c r="ES323" s="51">
        <f t="shared" ref="ES323:FA323" si="849">+((ES266+ES286-ES228)/((ES266+ES286-ES228)+ES317))</f>
        <v>-2.7467426187967742E-2</v>
      </c>
      <c r="ET323" s="51">
        <f t="shared" si="849"/>
        <v>-5.6804417726493701E-2</v>
      </c>
      <c r="EU323" s="1080">
        <f t="shared" si="849"/>
        <v>-5.6804417726493701E-2</v>
      </c>
      <c r="EV323" s="51">
        <f t="shared" si="849"/>
        <v>-0.10218711865897907</v>
      </c>
      <c r="EW323" s="51">
        <f t="shared" si="849"/>
        <v>-0.13092761723362434</v>
      </c>
      <c r="EX323" s="1080">
        <f t="shared" si="849"/>
        <v>-0.13092761723362434</v>
      </c>
      <c r="EY323" s="51">
        <f t="shared" si="849"/>
        <v>-0.17820092796271753</v>
      </c>
      <c r="EZ323" s="51">
        <f t="shared" si="849"/>
        <v>-0.20601592465747706</v>
      </c>
      <c r="FA323" s="1080">
        <f t="shared" si="849"/>
        <v>-0.20601592465747706</v>
      </c>
      <c r="FD323"/>
      <c r="FE323"/>
      <c r="FF323"/>
      <c r="FG323"/>
      <c r="FH323"/>
      <c r="FI323"/>
    </row>
    <row r="324" spans="1:169" s="33" customFormat="1">
      <c r="B324" s="54" t="s">
        <v>90</v>
      </c>
      <c r="C324" s="54"/>
      <c r="D324" s="2" t="s">
        <v>506</v>
      </c>
      <c r="E324" s="32">
        <f>+(E266+E286-E228)</f>
        <v>0</v>
      </c>
      <c r="F324" s="32">
        <f>+G324</f>
        <v>0</v>
      </c>
      <c r="G324" s="32">
        <f>+(G266+G286-G228)</f>
        <v>0</v>
      </c>
      <c r="H324" s="32">
        <f>+(H266+H286-H228)</f>
        <v>0</v>
      </c>
      <c r="I324" s="32">
        <f>+J324</f>
        <v>0</v>
      </c>
      <c r="J324" s="32">
        <f>+(J266+J286-J228)</f>
        <v>0</v>
      </c>
      <c r="K324" s="32">
        <f>+(K266+K286-K228)</f>
        <v>0</v>
      </c>
      <c r="L324" s="32">
        <f>+M324</f>
        <v>0</v>
      </c>
      <c r="M324" s="32">
        <f>+(M266+M286-M228)</f>
        <v>0</v>
      </c>
      <c r="N324" s="32">
        <f>+(N266+N286-N228)</f>
        <v>0</v>
      </c>
      <c r="O324" s="32">
        <f>+P324</f>
        <v>0</v>
      </c>
      <c r="P324" s="32">
        <f>+(P266+P286-P228)</f>
        <v>0</v>
      </c>
      <c r="Q324" s="32">
        <f>+(Q266+Q286-Q228)</f>
        <v>0</v>
      </c>
      <c r="R324" s="32">
        <f>+S324</f>
        <v>0</v>
      </c>
      <c r="S324" s="32">
        <f>+(S266+S286-S228)</f>
        <v>0</v>
      </c>
      <c r="T324" s="32">
        <f>+(T266+T286-T228)</f>
        <v>0</v>
      </c>
      <c r="U324" s="32">
        <f>+V324</f>
        <v>0</v>
      </c>
      <c r="V324" s="32">
        <f>+(V266+V286-V228)</f>
        <v>0</v>
      </c>
      <c r="W324" s="32">
        <f>+(W266+W286-W228)</f>
        <v>0</v>
      </c>
      <c r="X324" s="32">
        <f>+Y324</f>
        <v>0</v>
      </c>
      <c r="Y324" s="32">
        <f>+(Y266+Y286-Y228)</f>
        <v>0</v>
      </c>
      <c r="Z324" s="32">
        <f>+(Z266+Z286-Z228)</f>
        <v>0</v>
      </c>
      <c r="AA324" s="32">
        <f>+AB324</f>
        <v>0</v>
      </c>
      <c r="AB324" s="32">
        <f>+(AB266+AB286-AB228)</f>
        <v>0</v>
      </c>
      <c r="AC324" s="32">
        <f>+(AC266+AC286-AC228)</f>
        <v>0</v>
      </c>
      <c r="AD324" s="32">
        <f>+AE324</f>
        <v>0</v>
      </c>
      <c r="AE324" s="32">
        <f>+(AE266+AE286-AE228)</f>
        <v>0</v>
      </c>
      <c r="AF324" s="32">
        <f>+(AF266+AF286-AF228)</f>
        <v>0</v>
      </c>
      <c r="AG324" s="32">
        <f>+AH324</f>
        <v>0</v>
      </c>
      <c r="AH324" s="32">
        <f>+(AH266+AH286-AH228)</f>
        <v>0</v>
      </c>
      <c r="AI324" s="32">
        <f>+(AI266+AI286-AI228)</f>
        <v>0</v>
      </c>
      <c r="AJ324" s="32">
        <f>+AK324</f>
        <v>0</v>
      </c>
      <c r="AK324" s="32">
        <f>+(AK266+AK286-AK228)</f>
        <v>0</v>
      </c>
      <c r="AL324" s="32">
        <f>+(AL266+AL286-AL228)</f>
        <v>0</v>
      </c>
      <c r="AM324" s="32">
        <f>+AN324</f>
        <v>0</v>
      </c>
      <c r="AN324" s="32">
        <f>+(AN266+AN286-AN228)</f>
        <v>0</v>
      </c>
      <c r="AO324" s="32">
        <f>+(AO266+AO286-AO228)</f>
        <v>0</v>
      </c>
      <c r="AP324" s="32">
        <f>+AQ324</f>
        <v>0</v>
      </c>
      <c r="AQ324" s="32">
        <f>+(AQ266+AQ286-AQ228)</f>
        <v>0</v>
      </c>
      <c r="AR324" s="32">
        <f>+(AR266+AR286-AR228)</f>
        <v>0</v>
      </c>
      <c r="AS324" s="32">
        <f>+AT324</f>
        <v>0</v>
      </c>
      <c r="AT324" s="32">
        <f>+(AT266+AT286-AT228)</f>
        <v>0</v>
      </c>
      <c r="AU324" s="32">
        <f>+(AU266+AU286-AU228)</f>
        <v>0</v>
      </c>
      <c r="AV324" s="32">
        <f>+AW324</f>
        <v>0</v>
      </c>
      <c r="AW324" s="32">
        <f>+(AW266+AW286-AW228)</f>
        <v>0</v>
      </c>
      <c r="AX324" s="32">
        <f>+(AX266+AX286-AX228)</f>
        <v>0</v>
      </c>
      <c r="AY324" s="32">
        <f>+AZ324</f>
        <v>0</v>
      </c>
      <c r="AZ324" s="32">
        <f>+(AZ266+AZ286-AZ228)</f>
        <v>0</v>
      </c>
      <c r="BA324" s="32">
        <f>+(BA266+BA286-BA228)</f>
        <v>0</v>
      </c>
      <c r="BB324" s="32">
        <f>+BC324</f>
        <v>0</v>
      </c>
      <c r="BC324" s="32">
        <f>+(BC266+BC286-BC228)</f>
        <v>0</v>
      </c>
      <c r="BD324" s="32">
        <f>+(BD266+BD286-BD228)</f>
        <v>0</v>
      </c>
      <c r="BE324" s="32">
        <f>+BF324</f>
        <v>0</v>
      </c>
      <c r="BF324" s="32">
        <f>+(BF266+BF286-BF228)</f>
        <v>0</v>
      </c>
      <c r="BG324" s="32">
        <f>+(BG266+BG286-BG228)</f>
        <v>0</v>
      </c>
      <c r="BH324" s="32">
        <f>+BI324</f>
        <v>0</v>
      </c>
      <c r="BI324" s="32">
        <f>+(BI266+BI286-BI228)</f>
        <v>0</v>
      </c>
      <c r="BJ324" s="32">
        <f>+(BJ266+BJ286-BJ228)</f>
        <v>0</v>
      </c>
      <c r="BK324" s="32">
        <f>+BL324</f>
        <v>0</v>
      </c>
      <c r="BL324" s="32">
        <f>+(BL266+BL286-BL228)</f>
        <v>0</v>
      </c>
      <c r="BM324" s="32">
        <f>+(BM266+BM286-BM228)</f>
        <v>0</v>
      </c>
      <c r="BN324" s="32">
        <f>+BO324</f>
        <v>0</v>
      </c>
      <c r="BO324" s="32">
        <f>+(BO266+BO286-BO228)</f>
        <v>0</v>
      </c>
      <c r="BP324" s="32">
        <f>+(BP266+BP286-BP228)</f>
        <v>0</v>
      </c>
      <c r="BQ324" s="32">
        <f>+BR324</f>
        <v>0</v>
      </c>
      <c r="BR324" s="32">
        <f>+(BR266+BR286-BR228)</f>
        <v>0</v>
      </c>
      <c r="BS324" s="32">
        <f>+(BS266+BS286-BS228)</f>
        <v>0</v>
      </c>
      <c r="BT324" s="32">
        <f>+BU324</f>
        <v>0</v>
      </c>
      <c r="BU324" s="32">
        <f>+(BU266+BU286-BU228)</f>
        <v>0</v>
      </c>
      <c r="BV324" s="32">
        <f>+(BV266+BV286-BV228)</f>
        <v>0</v>
      </c>
      <c r="BW324" s="32">
        <f>+BX324</f>
        <v>242</v>
      </c>
      <c r="BX324" s="32">
        <f>+(BX266+BX286-BX228)</f>
        <v>242</v>
      </c>
      <c r="BY324" s="32">
        <f>+(BY266+BY286-BY228)</f>
        <v>0</v>
      </c>
      <c r="BZ324" s="32">
        <f>+CA324</f>
        <v>-1468</v>
      </c>
      <c r="CA324" s="32">
        <f>+(CA266+CA286-CA228)</f>
        <v>-1468</v>
      </c>
      <c r="CB324" s="32">
        <f>+(CB266+CB286-CB228)</f>
        <v>0</v>
      </c>
      <c r="CC324" s="32">
        <f>+CD324</f>
        <v>-459</v>
      </c>
      <c r="CD324" s="32">
        <f>+(CD266+CD286-CD228)</f>
        <v>-459</v>
      </c>
      <c r="CE324" s="32">
        <f>+(CE266+CE286-CE228)</f>
        <v>0</v>
      </c>
      <c r="CF324" s="32">
        <f>+CG324</f>
        <v>-68</v>
      </c>
      <c r="CG324" s="32">
        <f>+(CG266+CG286-CG228)</f>
        <v>-68</v>
      </c>
      <c r="CH324" s="32">
        <f>+(CH266+CH286-CH228)</f>
        <v>221.80500000000006</v>
      </c>
      <c r="CI324" s="32">
        <f>+CJ324</f>
        <v>116.50000000000023</v>
      </c>
      <c r="CJ324" s="32">
        <f>+(CJ266+CJ286-CJ228)</f>
        <v>116.50000000000023</v>
      </c>
      <c r="CK324" s="32">
        <f>+(CK266+CK286-CK228)</f>
        <v>916.7</v>
      </c>
      <c r="CL324" s="32">
        <f>+CM324</f>
        <v>916.7</v>
      </c>
      <c r="CM324" s="32">
        <f>+(CM266+CM286-CM228)</f>
        <v>916.7</v>
      </c>
      <c r="CN324" s="32">
        <f>+(CN266+CN286-CN228)</f>
        <v>1097.9000000000001</v>
      </c>
      <c r="CO324" s="32">
        <f>+CP324</f>
        <v>1281.5999999999999</v>
      </c>
      <c r="CP324" s="32">
        <f>+(CP266+CP286-CP228)</f>
        <v>1281.5999999999999</v>
      </c>
      <c r="CQ324" s="32">
        <f>+(CQ266+CQ286-CQ228)</f>
        <v>1269.5</v>
      </c>
      <c r="CR324" s="32">
        <f>+CS324</f>
        <v>1724.0999999999997</v>
      </c>
      <c r="CS324" s="32">
        <f>+(CS266+CS286-CS228)</f>
        <v>1724.0999999999997</v>
      </c>
      <c r="CT324" s="32">
        <f>+(CT266+CT286-CT228)</f>
        <v>1982.3999999999996</v>
      </c>
      <c r="CU324" s="32">
        <f>+CV324</f>
        <v>2586.7000000000003</v>
      </c>
      <c r="CV324" s="32">
        <f>+(CV266+CV286-CV228)</f>
        <v>2586.7000000000003</v>
      </c>
      <c r="CW324" s="32">
        <f>+(CW266+CW286-CW228)</f>
        <v>2644.5</v>
      </c>
      <c r="CX324" s="32">
        <f>+CY324</f>
        <v>3130.7</v>
      </c>
      <c r="CY324" s="32">
        <f>+(CY266+CY286-CY228)</f>
        <v>3130.7</v>
      </c>
      <c r="CZ324" s="32">
        <f>+(CZ266+CZ286-CZ228)</f>
        <v>3603.2999999999997</v>
      </c>
      <c r="DA324" s="32">
        <f>+DB324</f>
        <v>3571.6000000000004</v>
      </c>
      <c r="DB324" s="32">
        <f>+(DB266+DB286-DB228)</f>
        <v>3571.6000000000004</v>
      </c>
      <c r="DC324" s="32">
        <f>+(DC266+DC286-DC228)</f>
        <v>3982.7</v>
      </c>
      <c r="DD324" s="32">
        <f>+DE324</f>
        <v>4005</v>
      </c>
      <c r="DE324" s="1061">
        <f>+(DE266+DE286-DE228)</f>
        <v>4005</v>
      </c>
      <c r="DF324" s="32">
        <f>+(DF266+DF286-DF228)</f>
        <v>4940.2</v>
      </c>
      <c r="DG324" s="32">
        <f>+DH324</f>
        <v>4798.3999999999996</v>
      </c>
      <c r="DH324" s="1061">
        <f>+(DH266+DH286-DH228)</f>
        <v>4798.3999999999996</v>
      </c>
      <c r="DI324" s="32">
        <f>+(DI266+DI286-DI228)</f>
        <v>3702.6999999999994</v>
      </c>
      <c r="DJ324" s="32">
        <f>+DK324</f>
        <v>3998.1000000000004</v>
      </c>
      <c r="DK324" s="1061">
        <f>+(DK266+DK286-DK228)</f>
        <v>3998.1000000000004</v>
      </c>
      <c r="DL324" s="32">
        <f>+(DL266+DL286-DL228)</f>
        <v>-765.60000000000036</v>
      </c>
      <c r="DM324" s="32">
        <f>+DN324</f>
        <v>-778.60000000000036</v>
      </c>
      <c r="DN324" s="1061">
        <f>+(DN266+DN286-DN228)</f>
        <v>-778.60000000000036</v>
      </c>
      <c r="DO324" s="32">
        <f>+(DO266+DO286-DO228)</f>
        <v>10610.7</v>
      </c>
      <c r="DP324" s="32">
        <f>+DQ324</f>
        <v>10679</v>
      </c>
      <c r="DQ324" s="1061">
        <f>+(DQ266+DQ286-DQ228)</f>
        <v>10679</v>
      </c>
      <c r="DR324" s="32">
        <f>+(DR266+DR286-DR228)</f>
        <v>11090</v>
      </c>
      <c r="DS324" s="32">
        <f>+DT324</f>
        <v>10526</v>
      </c>
      <c r="DT324" s="1061">
        <f>+(DT266+DT286-DT228)</f>
        <v>10526</v>
      </c>
      <c r="DU324" s="32">
        <f>+(DU266+DU286-DU228)</f>
        <v>10440</v>
      </c>
      <c r="DV324" s="32">
        <f>+DW324</f>
        <v>9341</v>
      </c>
      <c r="DW324" s="1061">
        <f>+(DW266+DW286-DW228)</f>
        <v>9341</v>
      </c>
      <c r="DX324" s="32">
        <f>+(DX266+DX286-DX228)</f>
        <v>9993</v>
      </c>
      <c r="DY324" s="32">
        <f>+DZ324</f>
        <v>9444.1551956106159</v>
      </c>
      <c r="DZ324" s="1061">
        <f>+(DZ266+DZ286-DZ228)</f>
        <v>9444.1551956106159</v>
      </c>
      <c r="EA324" s="32">
        <f>+(EA266+EA286-EA228)</f>
        <v>9429.4003687164841</v>
      </c>
      <c r="EB324" s="32">
        <f>+EC324</f>
        <v>9098.7331472943515</v>
      </c>
      <c r="EC324" s="1061">
        <f>+(EC266+EC286-EC228)</f>
        <v>9098.7331472943515</v>
      </c>
      <c r="ED324" s="32">
        <f>+(ED266+ED286-ED228)</f>
        <v>8849.8588574418154</v>
      </c>
      <c r="EE324" s="32">
        <f>+EF324</f>
        <v>8621.8141708771764</v>
      </c>
      <c r="EF324" s="1061">
        <f>+(EF266+EF286-EF228)</f>
        <v>8621.8141708771764</v>
      </c>
      <c r="EG324" s="32">
        <f>+(EG266+EG286-EG228)</f>
        <v>7877.9143036408896</v>
      </c>
      <c r="EH324" s="32">
        <f>+EI324</f>
        <v>7219.415763003205</v>
      </c>
      <c r="EI324" s="1061">
        <f>+(EI266+EI286-EI228)</f>
        <v>7219.415763003205</v>
      </c>
      <c r="EJ324" s="32">
        <f>+(EJ266+EJ286-EJ228)</f>
        <v>6228.3135395557583</v>
      </c>
      <c r="EK324" s="32">
        <f>+EL324</f>
        <v>5437.6215365518528</v>
      </c>
      <c r="EL324" s="1061">
        <f>+(EL266+EL286-EL228)</f>
        <v>5437.6215365518528</v>
      </c>
      <c r="EM324" s="32">
        <f>+(EM266+EM286-EM228)</f>
        <v>4104.0475294089028</v>
      </c>
      <c r="EN324" s="32">
        <f>+EO324</f>
        <v>3145.8642215067357</v>
      </c>
      <c r="EO324" s="1061">
        <f>+(EO266+EO286-EO228)</f>
        <v>3145.8642215067357</v>
      </c>
      <c r="EP324" s="32">
        <f>+(EP266+EP286-EP228)</f>
        <v>1651.9690620472447</v>
      </c>
      <c r="EQ324" s="32">
        <f>+ER324</f>
        <v>610.26829600956262</v>
      </c>
      <c r="ER324" s="1061">
        <f>+(ER266+ER286-ER228)</f>
        <v>610.26829600956262</v>
      </c>
      <c r="ES324" s="32">
        <f>+(ES266+ES286-ES228)</f>
        <v>-1018.822196506253</v>
      </c>
      <c r="ET324" s="32">
        <f>+EU324</f>
        <v>-2129.6838910554688</v>
      </c>
      <c r="EU324" s="1061">
        <f>+(EU266+EU286-EU228)</f>
        <v>-2129.6838910554688</v>
      </c>
      <c r="EV324" s="32">
        <f>+(EV266+EV286-EV228)</f>
        <v>-3890.3463273727939</v>
      </c>
      <c r="EW324" s="32">
        <f>+EX324</f>
        <v>-5046.9638275605466</v>
      </c>
      <c r="EX324" s="1061">
        <f>+(EX266+EX286-EX228)</f>
        <v>-5046.9638275605466</v>
      </c>
      <c r="EY324" s="32">
        <f>+(EY266+EY286-EY228)</f>
        <v>-6968.9610910313786</v>
      </c>
      <c r="EZ324" s="32">
        <f>+FA324</f>
        <v>-8172.4386050737376</v>
      </c>
      <c r="FA324" s="1061">
        <f>+(FA266+FA286-FA228)</f>
        <v>-8172.4386050737376</v>
      </c>
      <c r="FD324"/>
      <c r="FE324"/>
      <c r="FF324"/>
      <c r="FG324"/>
      <c r="FH324"/>
      <c r="FI324"/>
    </row>
    <row r="325" spans="1:169" s="33" customFormat="1">
      <c r="B325" s="54" t="s">
        <v>396</v>
      </c>
      <c r="C325" s="54"/>
      <c r="D325" s="2" t="s">
        <v>367</v>
      </c>
      <c r="E325" s="32"/>
      <c r="F325" s="32"/>
      <c r="G325" s="32"/>
      <c r="H325" s="32"/>
      <c r="I325" s="32"/>
      <c r="J325" s="32"/>
      <c r="K325" s="32"/>
      <c r="L325" s="32"/>
      <c r="M325" s="32"/>
      <c r="N325" s="32"/>
      <c r="O325" s="32"/>
      <c r="P325" s="32"/>
      <c r="Q325" s="32"/>
      <c r="R325" s="32"/>
      <c r="S325" s="32"/>
      <c r="T325" s="32"/>
      <c r="U325" s="32"/>
      <c r="V325" s="32"/>
      <c r="W325" s="32"/>
      <c r="X325" s="32"/>
      <c r="Y325" s="32"/>
      <c r="Z325" s="32"/>
      <c r="AA325" s="32"/>
      <c r="AB325" s="32"/>
      <c r="AC325" s="32"/>
      <c r="AD325" s="32"/>
      <c r="AE325" s="32"/>
      <c r="AF325" s="32"/>
      <c r="AG325" s="32"/>
      <c r="AH325" s="32"/>
      <c r="AI325" s="32"/>
      <c r="AJ325" s="32"/>
      <c r="AK325" s="32"/>
      <c r="AL325" s="32"/>
      <c r="AM325" s="32">
        <f t="shared" ref="AM325:BP325" si="850">+(AM73)/(AM75)</f>
        <v>73.425795053003569</v>
      </c>
      <c r="AN325" s="32">
        <f t="shared" si="850"/>
        <v>73.425795053003569</v>
      </c>
      <c r="AO325" s="32"/>
      <c r="AP325" s="32">
        <f t="shared" si="850"/>
        <v>-16.301661474558667</v>
      </c>
      <c r="AQ325" s="32">
        <f t="shared" si="850"/>
        <v>-24.962616822429901</v>
      </c>
      <c r="AR325" s="32"/>
      <c r="AS325" s="32">
        <f t="shared" si="850"/>
        <v>-15.440855874041176</v>
      </c>
      <c r="AT325" s="32">
        <f t="shared" si="850"/>
        <v>-23.597900686314087</v>
      </c>
      <c r="AU325" s="32">
        <f t="shared" si="850"/>
        <v>-30.286079182630907</v>
      </c>
      <c r="AV325" s="32">
        <f t="shared" si="850"/>
        <v>-58.014175257731964</v>
      </c>
      <c r="AW325" s="32">
        <f t="shared" si="850"/>
        <v>-44.087876844130861</v>
      </c>
      <c r="AX325" s="32">
        <f t="shared" si="850"/>
        <v>-15.183529411764704</v>
      </c>
      <c r="AY325" s="32">
        <f t="shared" si="850"/>
        <v>-29.868528214077958</v>
      </c>
      <c r="AZ325" s="32">
        <f t="shared" si="850"/>
        <v>-22.566832407136591</v>
      </c>
      <c r="BA325" s="32">
        <f t="shared" si="850"/>
        <v>7.5599379951774024</v>
      </c>
      <c r="BB325" s="32">
        <f t="shared" si="850"/>
        <v>5.0872620263047263</v>
      </c>
      <c r="BC325" s="32">
        <f t="shared" si="850"/>
        <v>5.7265440619851269</v>
      </c>
      <c r="BD325" s="32">
        <f t="shared" si="850"/>
        <v>5.8399709877357244</v>
      </c>
      <c r="BE325" s="32">
        <f t="shared" si="850"/>
        <v>6.7426358733231933</v>
      </c>
      <c r="BF325" s="32">
        <f t="shared" si="850"/>
        <v>6.2805791818550025</v>
      </c>
      <c r="BG325" s="32">
        <f t="shared" si="850"/>
        <v>4.5954536820110174</v>
      </c>
      <c r="BH325" s="32">
        <f t="shared" si="850"/>
        <v>3.5331943192064923</v>
      </c>
      <c r="BI325" s="32">
        <f t="shared" si="850"/>
        <v>4.0334257685541344</v>
      </c>
      <c r="BJ325" s="32">
        <f t="shared" si="850"/>
        <v>5.8273066666666669</v>
      </c>
      <c r="BK325" s="32"/>
      <c r="BL325" s="32"/>
      <c r="BM325" s="32"/>
      <c r="BN325" s="32">
        <f t="shared" si="850"/>
        <v>0</v>
      </c>
      <c r="BO325" s="32">
        <f t="shared" si="850"/>
        <v>27.270256997871996</v>
      </c>
      <c r="BP325" s="32">
        <f t="shared" si="850"/>
        <v>13.208965350133271</v>
      </c>
      <c r="BQ325" s="32">
        <f t="shared" ref="BQ325:CV325" si="851">+(BQ73)/(BQ75)</f>
        <v>-52.893542757417158</v>
      </c>
      <c r="BR325" s="32">
        <f t="shared" si="851"/>
        <v>32.087159678524699</v>
      </c>
      <c r="BS325" s="32">
        <f t="shared" si="851"/>
        <v>103.44532697908389</v>
      </c>
      <c r="BT325" s="32">
        <f t="shared" si="851"/>
        <v>48.04374772147284</v>
      </c>
      <c r="BU325" s="32">
        <f t="shared" si="851"/>
        <v>65.472680326503408</v>
      </c>
      <c r="BV325" s="32">
        <f t="shared" si="851"/>
        <v>56.484578013783761</v>
      </c>
      <c r="BW325" s="32">
        <f t="shared" si="851"/>
        <v>80.883882149046741</v>
      </c>
      <c r="BX325" s="32">
        <f t="shared" si="851"/>
        <v>66.113466931126453</v>
      </c>
      <c r="BY325" s="32">
        <f t="shared" si="851"/>
        <v>-45.909530791788853</v>
      </c>
      <c r="BZ325" s="32">
        <f t="shared" si="851"/>
        <v>26.088718400253285</v>
      </c>
      <c r="CA325" s="32">
        <f t="shared" si="851"/>
        <v>120.25366443953095</v>
      </c>
      <c r="CB325" s="32">
        <f t="shared" si="851"/>
        <v>-52.325271114032205</v>
      </c>
      <c r="CC325" s="32">
        <f t="shared" si="851"/>
        <v>-78.869394067200901</v>
      </c>
      <c r="CD325" s="32">
        <f t="shared" si="851"/>
        <v>-60.781395557147974</v>
      </c>
      <c r="CE325" s="32">
        <f t="shared" si="851"/>
        <v>-58.155984273566794</v>
      </c>
      <c r="CF325" s="32">
        <f t="shared" si="851"/>
        <v>-137.77574320305428</v>
      </c>
      <c r="CG325" s="32">
        <f t="shared" si="851"/>
        <v>-79.365519346737884</v>
      </c>
      <c r="CH325" s="32"/>
      <c r="CI325" s="32">
        <f t="shared" si="851"/>
        <v>-29.350808684303523</v>
      </c>
      <c r="CJ325" s="32">
        <f t="shared" si="851"/>
        <v>-59.59022313017126</v>
      </c>
      <c r="CK325" s="32">
        <f t="shared" si="851"/>
        <v>62.005881080230509</v>
      </c>
      <c r="CL325" s="32">
        <f t="shared" si="851"/>
        <v>123.74854469755314</v>
      </c>
      <c r="CM325" s="32">
        <f t="shared" si="851"/>
        <v>80.976928538840141</v>
      </c>
      <c r="CN325" s="32">
        <f t="shared" si="851"/>
        <v>52.435897435897402</v>
      </c>
      <c r="CO325" s="32">
        <f t="shared" si="851"/>
        <v>47.352601156069397</v>
      </c>
      <c r="CP325" s="32">
        <f t="shared" si="851"/>
        <v>49.762917933130701</v>
      </c>
      <c r="CQ325" s="32">
        <f t="shared" si="851"/>
        <v>41.234741784037546</v>
      </c>
      <c r="CR325" s="32">
        <f t="shared" si="851"/>
        <v>39.722466960352435</v>
      </c>
      <c r="CS325" s="32">
        <f t="shared" si="851"/>
        <v>40.454545454545453</v>
      </c>
      <c r="CT325" s="32">
        <f t="shared" si="851"/>
        <v>29.992592592592594</v>
      </c>
      <c r="CU325" s="32">
        <f t="shared" si="851"/>
        <v>23.410423452768732</v>
      </c>
      <c r="CV325" s="32">
        <f t="shared" si="851"/>
        <v>26.490467937608322</v>
      </c>
      <c r="CW325" s="32">
        <f t="shared" ref="CW325:DQ325" si="852">+(CW73)/(CW75)</f>
        <v>28.657068062827229</v>
      </c>
      <c r="CX325" s="32">
        <f t="shared" si="852"/>
        <v>16.728606356968218</v>
      </c>
      <c r="CY325" s="32">
        <f t="shared" si="852"/>
        <v>22.489254108723138</v>
      </c>
      <c r="CZ325" s="32">
        <f t="shared" si="852"/>
        <v>28.863926248747003</v>
      </c>
      <c r="DA325" s="32">
        <f t="shared" si="852"/>
        <v>18.859633311094118</v>
      </c>
      <c r="DB325" s="32">
        <f t="shared" si="852"/>
        <v>24.019172552976787</v>
      </c>
      <c r="DC325" s="32">
        <f t="shared" si="852"/>
        <v>16.771058315334773</v>
      </c>
      <c r="DD325" s="32">
        <f t="shared" si="852"/>
        <v>13.527738264580378</v>
      </c>
      <c r="DE325" s="1061">
        <f t="shared" si="852"/>
        <v>15.371393492940459</v>
      </c>
      <c r="DF325" s="32">
        <f t="shared" si="852"/>
        <v>23.077518064452285</v>
      </c>
      <c r="DG325" s="32">
        <f t="shared" si="852"/>
        <v>14.833743069407907</v>
      </c>
      <c r="DH325" s="1061">
        <f t="shared" si="852"/>
        <v>18.887078042693961</v>
      </c>
      <c r="DI325" s="32">
        <f t="shared" si="852"/>
        <v>22.040077519912433</v>
      </c>
      <c r="DJ325" s="32">
        <f t="shared" si="852"/>
        <v>13.236188230385304</v>
      </c>
      <c r="DK325" s="1061">
        <f t="shared" si="852"/>
        <v>18.879889241938823</v>
      </c>
      <c r="DL325" s="32">
        <f t="shared" si="852"/>
        <v>31.73079471529444</v>
      </c>
      <c r="DM325" s="32">
        <f t="shared" si="852"/>
        <v>10.982394155717387</v>
      </c>
      <c r="DN325" s="1061">
        <f t="shared" si="852"/>
        <v>20.85453315290934</v>
      </c>
      <c r="DO325" s="32">
        <f t="shared" si="852"/>
        <v>14.070037209577233</v>
      </c>
      <c r="DP325" s="32">
        <f t="shared" si="852"/>
        <v>5.3179588591333573</v>
      </c>
      <c r="DQ325" s="1061">
        <f t="shared" si="852"/>
        <v>9.0015128201268517</v>
      </c>
      <c r="DR325" s="32">
        <f t="shared" ref="DR325:DZ325" si="853">+(DR73)/(DR75)</f>
        <v>11.945420878892508</v>
      </c>
      <c r="DS325" s="32">
        <f t="shared" si="853"/>
        <v>6.9055755602754738</v>
      </c>
      <c r="DT325" s="1061">
        <f t="shared" si="853"/>
        <v>9.6039693588852906</v>
      </c>
      <c r="DU325" s="32">
        <f>+(DU73)/(DU75)</f>
        <v>12.963963963963964</v>
      </c>
      <c r="DV325" s="32">
        <f>+(DV73)/(DV75)</f>
        <v>8.4574468085106389</v>
      </c>
      <c r="DW325" s="1061">
        <f>+(DW73)/(DW75)</f>
        <v>10.897560975609757</v>
      </c>
      <c r="DX325" s="32">
        <f t="shared" si="853"/>
        <v>14.238578680203046</v>
      </c>
      <c r="DY325" s="32">
        <f t="shared" si="853"/>
        <v>10.632302116939675</v>
      </c>
      <c r="DZ325" s="1061">
        <f t="shared" si="853"/>
        <v>12.435440398571361</v>
      </c>
      <c r="EA325" s="32">
        <f t="shared" ref="EA325:EF325" si="854">+(EA73)/(EA75)</f>
        <v>15.277819172328183</v>
      </c>
      <c r="EB325" s="32">
        <f t="shared" si="854"/>
        <v>11.324399043957509</v>
      </c>
      <c r="EC325" s="1061">
        <f t="shared" si="854"/>
        <v>13.301520845459168</v>
      </c>
      <c r="ED325" s="32">
        <f t="shared" si="854"/>
        <v>16.784531735838144</v>
      </c>
      <c r="EE325" s="32">
        <f t="shared" si="854"/>
        <v>12.499363613224206</v>
      </c>
      <c r="EF325" s="1061">
        <f t="shared" si="854"/>
        <v>14.649651070153835</v>
      </c>
      <c r="EG325" s="32">
        <f t="shared" ref="EG325:EL325" si="855">+(EG73)/(EG75)</f>
        <v>18.578520169571913</v>
      </c>
      <c r="EH325" s="32">
        <f t="shared" si="855"/>
        <v>14.332355035333803</v>
      </c>
      <c r="EI325" s="1061">
        <f t="shared" si="855"/>
        <v>16.479074376239087</v>
      </c>
      <c r="EJ325" s="32">
        <f t="shared" si="855"/>
        <v>21.831716836741915</v>
      </c>
      <c r="EK325" s="32">
        <f t="shared" si="855"/>
        <v>17.349164739153586</v>
      </c>
      <c r="EL325" s="1061">
        <f t="shared" si="855"/>
        <v>19.62687929706329</v>
      </c>
      <c r="EM325" s="32">
        <f t="shared" ref="EM325:ER325" si="856">+(EM73)/(EM75)</f>
        <v>26.743623235531452</v>
      </c>
      <c r="EN325" s="32">
        <f t="shared" si="856"/>
        <v>21.652438894656758</v>
      </c>
      <c r="EO325" s="1061">
        <f t="shared" si="856"/>
        <v>24.261494139103672</v>
      </c>
      <c r="EP325" s="32">
        <f t="shared" si="856"/>
        <v>34.449069999189973</v>
      </c>
      <c r="EQ325" s="32">
        <f t="shared" si="856"/>
        <v>28.802566915062773</v>
      </c>
      <c r="ER325" s="1061">
        <f t="shared" si="856"/>
        <v>31.72131765857452</v>
      </c>
      <c r="ES325" s="32">
        <f t="shared" ref="ES325:FA325" si="857">+(ES73)/(ES75)</f>
        <v>47.119423987654862</v>
      </c>
      <c r="ET325" s="32">
        <f t="shared" si="857"/>
        <v>40.912398527186063</v>
      </c>
      <c r="EU325" s="1061">
        <f t="shared" si="857"/>
        <v>44.165112010365263</v>
      </c>
      <c r="EV325" s="32">
        <f t="shared" si="857"/>
        <v>71.845359227606906</v>
      </c>
      <c r="EW325" s="32">
        <f t="shared" si="857"/>
        <v>66.504366905958619</v>
      </c>
      <c r="EX325" s="1061">
        <f t="shared" si="857"/>
        <v>69.381127659871751</v>
      </c>
      <c r="EY325" s="32">
        <f t="shared" si="857"/>
        <v>144.38407678757503</v>
      </c>
      <c r="EZ325" s="32">
        <f t="shared" si="857"/>
        <v>164.02732597894735</v>
      </c>
      <c r="FA325" s="1061">
        <f t="shared" si="857"/>
        <v>152.48408013291149</v>
      </c>
      <c r="FD325"/>
      <c r="FE325"/>
      <c r="FF325"/>
      <c r="FG325"/>
      <c r="FH325"/>
      <c r="FI325"/>
    </row>
    <row r="326" spans="1:169" s="33" customFormat="1">
      <c r="B326" s="54" t="s">
        <v>397</v>
      </c>
      <c r="C326" s="54"/>
      <c r="D326" s="2"/>
      <c r="E326" s="32"/>
      <c r="F326" s="32"/>
      <c r="G326" s="32"/>
      <c r="H326" s="32"/>
      <c r="I326" s="32"/>
      <c r="J326" s="32"/>
      <c r="K326" s="32"/>
      <c r="L326" s="32"/>
      <c r="M326" s="32"/>
      <c r="N326" s="32"/>
      <c r="O326" s="32"/>
      <c r="P326" s="32"/>
      <c r="Q326" s="32"/>
      <c r="R326" s="32"/>
      <c r="S326" s="32"/>
      <c r="T326" s="32"/>
      <c r="U326" s="32"/>
      <c r="V326" s="32"/>
      <c r="W326" s="32"/>
      <c r="X326" s="32"/>
      <c r="Y326" s="32"/>
      <c r="Z326" s="32"/>
      <c r="AA326" s="32"/>
      <c r="AB326" s="32"/>
      <c r="AC326" s="32"/>
      <c r="AD326" s="32"/>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32"/>
      <c r="BD326" s="32"/>
      <c r="BE326" s="32"/>
      <c r="BF326" s="32"/>
      <c r="BG326" s="32"/>
      <c r="BH326" s="32"/>
      <c r="BI326" s="32"/>
      <c r="BJ326" s="32"/>
      <c r="BK326" s="32"/>
      <c r="BL326" s="51"/>
      <c r="BM326" s="51"/>
      <c r="BN326" s="51"/>
      <c r="BO326" s="51"/>
      <c r="BP326" s="51"/>
      <c r="BQ326" s="51"/>
      <c r="BR326" s="51"/>
      <c r="BS326" s="51"/>
      <c r="BT326" s="51"/>
      <c r="BU326" s="51"/>
      <c r="BV326" s="51"/>
      <c r="BW326" s="51">
        <f>+((BW266+BW286-BW228)/((BW266+BW286-BW228)+BW317))</f>
        <v>8.2257023968065238E-2</v>
      </c>
      <c r="BX326" s="51">
        <f>+((BX266+BX286-BX228)/((BX266+BX286-BX228)+BX317))</f>
        <v>8.2257023968065238E-2</v>
      </c>
      <c r="BY326" s="51"/>
      <c r="BZ326" s="51">
        <f>+((BZ266+BZ286-BZ228)/((BZ266+BZ286-BZ228)+BZ317))</f>
        <v>-0.49527665317139002</v>
      </c>
      <c r="CA326" s="32"/>
      <c r="CB326" s="32"/>
      <c r="CC326" s="32"/>
      <c r="CD326" s="32"/>
      <c r="CE326" s="32"/>
      <c r="CF326" s="32"/>
      <c r="CG326" s="32"/>
      <c r="CH326" s="32"/>
      <c r="CI326" s="32"/>
      <c r="CJ326" s="32"/>
      <c r="CK326" s="32"/>
      <c r="CL326" s="32"/>
      <c r="CM326" s="32"/>
      <c r="CN326" s="32"/>
      <c r="CO326" s="32"/>
      <c r="CP326" s="32"/>
      <c r="CQ326" s="32"/>
      <c r="CR326" s="32"/>
      <c r="CS326" s="32"/>
      <c r="CT326" s="32"/>
      <c r="CU326" s="32"/>
      <c r="CV326" s="32"/>
      <c r="CW326" s="32"/>
      <c r="CX326" s="32"/>
      <c r="CY326" s="32"/>
      <c r="CZ326" s="32"/>
      <c r="DA326" s="32"/>
      <c r="DB326" s="32"/>
      <c r="DC326" s="32"/>
      <c r="DD326" s="32"/>
      <c r="DE326" s="1061"/>
      <c r="DF326" s="32"/>
      <c r="DG326" s="32"/>
      <c r="DH326" s="1061"/>
      <c r="DI326" s="32"/>
      <c r="DJ326" s="32"/>
      <c r="DK326" s="1061"/>
      <c r="DL326" s="32"/>
      <c r="DM326" s="32"/>
      <c r="DN326" s="1061"/>
      <c r="DO326" s="32"/>
      <c r="DP326" s="32"/>
      <c r="DQ326" s="1061"/>
      <c r="DR326" s="32"/>
      <c r="DS326" s="32"/>
      <c r="DT326" s="1061"/>
      <c r="DU326" s="32"/>
      <c r="DV326" s="32"/>
      <c r="DW326" s="1061"/>
      <c r="DX326" s="32"/>
      <c r="DY326" s="32"/>
      <c r="DZ326" s="1061"/>
      <c r="EA326" s="32"/>
      <c r="EB326" s="32"/>
      <c r="EC326" s="1061"/>
      <c r="ED326" s="32"/>
      <c r="EE326" s="32"/>
      <c r="EF326" s="1061"/>
      <c r="EG326" s="32"/>
      <c r="EH326" s="32"/>
      <c r="EI326" s="1061"/>
      <c r="EJ326" s="32"/>
      <c r="EK326" s="32"/>
      <c r="EL326" s="1061"/>
      <c r="EM326" s="32"/>
      <c r="EN326" s="32"/>
      <c r="EO326" s="1061"/>
      <c r="EP326" s="32"/>
      <c r="EQ326" s="32"/>
      <c r="ER326" s="1061"/>
      <c r="ES326" s="32"/>
      <c r="ET326" s="32"/>
      <c r="EU326" s="1061"/>
      <c r="EV326" s="32"/>
      <c r="EW326" s="32"/>
      <c r="EX326" s="1061"/>
      <c r="EY326" s="32"/>
      <c r="EZ326" s="32"/>
      <c r="FA326" s="1061"/>
      <c r="FD326"/>
      <c r="FE326"/>
      <c r="FF326"/>
      <c r="FG326"/>
      <c r="FH326"/>
      <c r="FI326"/>
    </row>
    <row r="327" spans="1:169" s="33" customFormat="1" outlineLevel="1">
      <c r="B327" s="54" t="s">
        <v>398</v>
      </c>
      <c r="C327" s="54"/>
      <c r="D327" s="2" t="s">
        <v>507</v>
      </c>
      <c r="E327" s="51"/>
      <c r="F327" s="51"/>
      <c r="G327" s="51"/>
      <c r="H327" s="51"/>
      <c r="I327" s="5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c r="AJ327" s="51"/>
      <c r="AK327" s="51"/>
      <c r="AL327" s="51"/>
      <c r="AM327" s="51">
        <f>+AM229/(AM30*2)</f>
        <v>0</v>
      </c>
      <c r="AN327" s="51">
        <f>+AN229/(AN30)</f>
        <v>0</v>
      </c>
      <c r="AO327" s="51">
        <f>+AO229/(AO30*2)</f>
        <v>0</v>
      </c>
      <c r="AP327" s="51">
        <f>+AP229/(AP30*2)</f>
        <v>0</v>
      </c>
      <c r="AQ327" s="51">
        <f>+AQ229/(AQ30)</f>
        <v>0</v>
      </c>
      <c r="AR327" s="51">
        <f>+AR229/(AR30*2)</f>
        <v>0</v>
      </c>
      <c r="AS327" s="51">
        <f>+AS229/(AS30*2)</f>
        <v>0</v>
      </c>
      <c r="AT327" s="51">
        <f>+AT229/(AT30)</f>
        <v>0</v>
      </c>
      <c r="AU327" s="51">
        <f>+AU229/(AU30*2)</f>
        <v>0</v>
      </c>
      <c r="AV327" s="51">
        <f>+AV229/(AV30*2)</f>
        <v>0</v>
      </c>
      <c r="AW327" s="51">
        <f>+AW229/(AW30)</f>
        <v>0</v>
      </c>
      <c r="AX327" s="51">
        <f>+AX229/(AX30*2)</f>
        <v>0</v>
      </c>
      <c r="AY327" s="51">
        <f>+AY229/(AY30*2)</f>
        <v>0</v>
      </c>
      <c r="AZ327" s="51">
        <f>+AZ229/(AZ30)</f>
        <v>0</v>
      </c>
      <c r="BA327" s="51"/>
      <c r="BB327" s="51"/>
      <c r="BC327" s="51">
        <f>+BC229/(BC30)</f>
        <v>0</v>
      </c>
      <c r="BD327" s="51">
        <f>+BD229/(BD30*2)</f>
        <v>0</v>
      </c>
      <c r="BE327" s="51">
        <f>+BE229/(BE30*2)</f>
        <v>0</v>
      </c>
      <c r="BF327" s="51">
        <f>+BF229/(BF30)</f>
        <v>0</v>
      </c>
      <c r="BG327" s="51">
        <f>+BG229/(BG30*2)</f>
        <v>0</v>
      </c>
      <c r="BH327" s="51">
        <f>+BH229/(BH30*2)</f>
        <v>0</v>
      </c>
      <c r="BI327" s="51">
        <f>+BI229/(BI30)</f>
        <v>0</v>
      </c>
      <c r="BJ327" s="51">
        <f>+BJ229/(BJ30*2)</f>
        <v>0</v>
      </c>
      <c r="BK327" s="51">
        <f>+BK229/(BK30*2)</f>
        <v>0</v>
      </c>
      <c r="BL327" s="51">
        <f>+BL229/(BL30)</f>
        <v>0</v>
      </c>
      <c r="BM327" s="51">
        <f>+BM229/(BM30*2)</f>
        <v>0</v>
      </c>
      <c r="BN327" s="51">
        <f>+BN229/(BN30*2)</f>
        <v>0</v>
      </c>
      <c r="BO327" s="51">
        <f>+BO229/(BO30)</f>
        <v>0</v>
      </c>
      <c r="BP327" s="51"/>
      <c r="BQ327" s="51"/>
      <c r="BR327" s="51"/>
      <c r="BS327" s="51"/>
      <c r="BT327" s="51"/>
      <c r="BU327" s="51"/>
      <c r="BV327" s="51">
        <f>+BV229/(BV30*2)</f>
        <v>0</v>
      </c>
      <c r="BW327" s="51">
        <f>+BW229/(BW30*2)</f>
        <v>0.20024912824269619</v>
      </c>
      <c r="BX327" s="51">
        <f>+BX229/(BX30)</f>
        <v>0.20997536945812809</v>
      </c>
      <c r="BY327" s="51">
        <f>+BY229/(BY30*2)</f>
        <v>0</v>
      </c>
      <c r="BZ327" s="51">
        <f>+BZ229/(BZ30*2)</f>
        <v>0.21052262497597146</v>
      </c>
      <c r="CA327" s="51">
        <f>+CA229/(CA30)</f>
        <v>0.205054364107573</v>
      </c>
      <c r="CB327" s="51">
        <f>+CB229/(CB30*2)</f>
        <v>0</v>
      </c>
      <c r="CC327" s="51">
        <f>+CC229/(CC30*2)</f>
        <v>0.19075949774389261</v>
      </c>
      <c r="CD327" s="51">
        <f>+CD229/(CD30)</f>
        <v>0.18510323650701907</v>
      </c>
      <c r="CE327" s="51">
        <f>+CE229/(CE30*2)</f>
        <v>0</v>
      </c>
      <c r="CF327" s="51">
        <f>+CF229/(CF30*2)</f>
        <v>0.19780498127122689</v>
      </c>
      <c r="CG327" s="51">
        <f>+CG229/(CG30)</f>
        <v>0.20489019751019041</v>
      </c>
      <c r="CH327" s="51">
        <f>+CH229/(CH30*2)</f>
        <v>0.18020289124796199</v>
      </c>
      <c r="CI327" s="51">
        <f>+CI229/(CI30*2)</f>
        <v>0.16670345709650267</v>
      </c>
      <c r="CJ327" s="51">
        <f>+CJ229/(CJ30)</f>
        <v>0.16713881019830026</v>
      </c>
      <c r="CK327" s="51">
        <f>+CK229/(CK30*2)</f>
        <v>0.17062552662199576</v>
      </c>
      <c r="CL327" s="51">
        <f>+CL229/(CL30*2)</f>
        <v>0.17229154849688019</v>
      </c>
      <c r="CM327" s="51">
        <f>+CM229/(CM30)</f>
        <v>0.17145449047475048</v>
      </c>
      <c r="CN327" s="51">
        <f>+CN229/(CN30*2)</f>
        <v>0.17885168207598479</v>
      </c>
      <c r="CO327" s="51">
        <f>+CO229/(CO30*2)</f>
        <v>0.17267985220604223</v>
      </c>
      <c r="CP327" s="51">
        <f>+CP229/(CP30)</f>
        <v>0.1787133538276974</v>
      </c>
      <c r="CQ327" s="51">
        <f>+CQ229/(CQ30*2)</f>
        <v>0.16168847198222661</v>
      </c>
      <c r="CR327" s="51">
        <f>+CR229/(CR30*2)</f>
        <v>0.18184288716573652</v>
      </c>
      <c r="CS327" s="51">
        <f>+CS229/(CS30)</f>
        <v>0.17937628451434184</v>
      </c>
      <c r="CT327" s="51">
        <f>+CT229/(CT30*2)</f>
        <v>0.16859033022376202</v>
      </c>
      <c r="CU327" s="51">
        <f>+CU229/(CU30*2)</f>
        <v>0.18960902277002961</v>
      </c>
      <c r="CV327" s="51">
        <f>+CV229/(CV30)</f>
        <v>0.18284506390989855</v>
      </c>
      <c r="CW327" s="51">
        <f>+CW229/(CW30*2)</f>
        <v>0.1674869313758203</v>
      </c>
      <c r="CX327" s="51">
        <f>+CX229/(CX30*2)</f>
        <v>0.18647632400739281</v>
      </c>
      <c r="CY327" s="51">
        <f>+CY229/(CY30)</f>
        <v>0.17378908918124317</v>
      </c>
      <c r="CZ327" s="51">
        <f>+CZ229/(CZ30*2)</f>
        <v>0.20052552800137197</v>
      </c>
      <c r="DA327" s="51">
        <f>+DA229/(DA30*2)</f>
        <v>0.20048999116545321</v>
      </c>
      <c r="DB327" s="51">
        <f>+DB229/(DB30)</f>
        <v>0.19032901938059366</v>
      </c>
      <c r="DC327" s="51">
        <f>+DC229/(DC30*2)</f>
        <v>0.23502241543268576</v>
      </c>
      <c r="DD327" s="51">
        <f>+DD229/(DD30*2)</f>
        <v>0.22968202335022814</v>
      </c>
      <c r="DE327" s="1080">
        <f>+DE229/(DE30)</f>
        <v>0.21732698662658217</v>
      </c>
      <c r="DF327" s="51">
        <f>+DF229/(DF30*2)</f>
        <v>0.20619623380385638</v>
      </c>
      <c r="DG327" s="51">
        <f>+DG229/(DG30*2)</f>
        <v>0.20418236242121737</v>
      </c>
      <c r="DH327" s="1080">
        <f>+DH229/(DH30)</f>
        <v>0.19020443139233925</v>
      </c>
      <c r="DI327" s="51">
        <f>+DI229/(DI30*2)</f>
        <v>0.17797722729534093</v>
      </c>
      <c r="DJ327" s="51">
        <f>+DJ229/(DJ30*2)</f>
        <v>0.19077110677622811</v>
      </c>
      <c r="DK327" s="1080">
        <f>+DK229/(DK30)</f>
        <v>0.16832081269006735</v>
      </c>
      <c r="DL327" s="51">
        <f>+DL229/(DL30*2)</f>
        <v>0.19002389385029908</v>
      </c>
      <c r="DM327" s="51">
        <f>+DM229/(DM30*2)</f>
        <v>0.18736009044658</v>
      </c>
      <c r="DN327" s="1080">
        <f>+DN229/(DN30)</f>
        <v>0.16052539811693595</v>
      </c>
      <c r="DO327" s="51">
        <f>+DO229/(DO30*2)</f>
        <v>0.21537621114976568</v>
      </c>
      <c r="DP327" s="51">
        <f>+DP229/(DP30*2)</f>
        <v>0.18840356813288217</v>
      </c>
      <c r="DQ327" s="1080">
        <f>+DQ229/(DQ30)</f>
        <v>0.17215802623360399</v>
      </c>
      <c r="DR327" s="51">
        <f>+DR229/(DR30*2)</f>
        <v>0.22248558616271621</v>
      </c>
      <c r="DS327" s="51">
        <f>+DS229/(DS30*2)</f>
        <v>0.22344859524544614</v>
      </c>
      <c r="DT327" s="1080">
        <f>+DT229/(DT30)</f>
        <v>0.20268851081705525</v>
      </c>
      <c r="DU327" s="51">
        <f>+DU229/(DU30*2)</f>
        <v>0.21910317170980678</v>
      </c>
      <c r="DV327" s="51">
        <f>+DV229/(DV30*2)</f>
        <v>0.2298741217798595</v>
      </c>
      <c r="DW327" s="1080">
        <f>+DW229/(DW30)</f>
        <v>0.20855188898479515</v>
      </c>
      <c r="DX327" s="51">
        <f>+DX229/(DX30*2)</f>
        <v>0.2472194760257044</v>
      </c>
      <c r="DY327" s="51">
        <f>+DY229/(DY30*2)</f>
        <v>0.24087438172200681</v>
      </c>
      <c r="DZ327" s="1080">
        <f>+DZ229/(DZ30)</f>
        <v>0.2298741217798595</v>
      </c>
      <c r="EA327" s="51">
        <f>+EA229/(EA30*2)</f>
        <v>0.23</v>
      </c>
      <c r="EB327" s="51">
        <f>+EB229/(EB30*2)</f>
        <v>0.24411252778873377</v>
      </c>
      <c r="EC327" s="1080">
        <f>+EC229/(EC30)</f>
        <v>0.2298741217798595</v>
      </c>
      <c r="ED327" s="51">
        <f>+ED229/(ED30*2)</f>
        <v>0.23000000000000004</v>
      </c>
      <c r="EE327" s="51">
        <f>+EE229/(EE30*2)</f>
        <v>0.24193509719655829</v>
      </c>
      <c r="EF327" s="1080">
        <f>+EF229/(EF30)</f>
        <v>0.2298741217798595</v>
      </c>
      <c r="EG327" s="51">
        <f>+EG229/(EG30*2)</f>
        <v>0.23</v>
      </c>
      <c r="EH327" s="51">
        <f>+EH229/(EH30*2)</f>
        <v>0.24095243491285559</v>
      </c>
      <c r="EI327" s="1080">
        <f>+EI229/(EI30)</f>
        <v>0.22987412177985947</v>
      </c>
      <c r="EJ327" s="51">
        <f>+EJ229/(EJ30*2)</f>
        <v>0.23</v>
      </c>
      <c r="EK327" s="51">
        <f>+EK229/(EK30*2)</f>
        <v>0.23990585215602106</v>
      </c>
      <c r="EL327" s="1080">
        <f>+EL229/(EL30)</f>
        <v>0.22987412177985952</v>
      </c>
      <c r="EM327" s="51">
        <f>+EM229/(EM30*2)</f>
        <v>0.23</v>
      </c>
      <c r="EN327" s="51">
        <f>+EN229/(EN30*2)</f>
        <v>0.23976205944124973</v>
      </c>
      <c r="EO327" s="1080">
        <f>+EO229/(EO30)</f>
        <v>0.2298741217798595</v>
      </c>
      <c r="EP327" s="51">
        <f>+EP229/(EP30*2)</f>
        <v>0.23000000000000004</v>
      </c>
      <c r="EQ327" s="51">
        <f>+EQ229/(EQ30*2)</f>
        <v>0.23916103461583782</v>
      </c>
      <c r="ER327" s="1080">
        <f>+ER229/(ER30)</f>
        <v>0.2298741217798595</v>
      </c>
      <c r="ES327" s="51">
        <f>+ES229/(ES30*2)</f>
        <v>0.22999999999999998</v>
      </c>
      <c r="ET327" s="51">
        <f>+ET229/(ET30*2)</f>
        <v>0.23869454669559048</v>
      </c>
      <c r="EU327" s="1080">
        <f>+EU229/(EU30)</f>
        <v>0.2298741217798595</v>
      </c>
      <c r="EV327" s="51">
        <f>+EV229/(EV30*2)</f>
        <v>0.23000000000000004</v>
      </c>
      <c r="EW327" s="51">
        <f>+EW229/(EW30*2)</f>
        <v>0.23823604206850843</v>
      </c>
      <c r="EX327" s="1080">
        <f>+EX229/(EX30)</f>
        <v>0.22987412177985952</v>
      </c>
      <c r="EY327" s="51">
        <f>+EY229/(EY30*2)</f>
        <v>0.23000000000000004</v>
      </c>
      <c r="EZ327" s="51">
        <f>+EZ229/(EZ30*2)</f>
        <v>0.23778569760886045</v>
      </c>
      <c r="FA327" s="1080">
        <f>+FA229/(FA30)</f>
        <v>0.22987412177985947</v>
      </c>
      <c r="FD327"/>
      <c r="FE327"/>
      <c r="FF327"/>
      <c r="FG327"/>
      <c r="FH327"/>
      <c r="FI327"/>
    </row>
    <row r="328" spans="1:169" s="33" customFormat="1" outlineLevel="1">
      <c r="B328" s="54" t="s">
        <v>741</v>
      </c>
      <c r="C328" s="54"/>
      <c r="D328" s="2" t="s">
        <v>507</v>
      </c>
      <c r="E328" s="51"/>
      <c r="F328" s="51"/>
      <c r="G328" s="51"/>
      <c r="H328" s="51"/>
      <c r="I328" s="5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c r="AJ328" s="51"/>
      <c r="AK328" s="51"/>
      <c r="AL328" s="51"/>
      <c r="AM328" s="51">
        <f>+AM234/(AM30*2)</f>
        <v>0</v>
      </c>
      <c r="AN328" s="51">
        <f>+AN234/(AN30)</f>
        <v>0</v>
      </c>
      <c r="AO328" s="51">
        <f>+AO234/(AO30*2)</f>
        <v>0</v>
      </c>
      <c r="AP328" s="51">
        <f>+AP234/(AP30*2)</f>
        <v>0</v>
      </c>
      <c r="AQ328" s="51">
        <f>+AQ234/(AQ30)</f>
        <v>0</v>
      </c>
      <c r="AR328" s="51">
        <f>+AR234/(AR30*2)</f>
        <v>0</v>
      </c>
      <c r="AS328" s="51">
        <f>+AS234/(AS30*2)</f>
        <v>0</v>
      </c>
      <c r="AT328" s="51">
        <f>+AT234/(AT30)</f>
        <v>0</v>
      </c>
      <c r="AU328" s="51">
        <f>+AU234/(AU30*2)</f>
        <v>0</v>
      </c>
      <c r="AV328" s="51">
        <f>+AV234/(AV30*2)</f>
        <v>0</v>
      </c>
      <c r="AW328" s="51">
        <f>+AW234/(AW30)</f>
        <v>0</v>
      </c>
      <c r="AX328" s="51">
        <f>+AX234/(AX30*2)</f>
        <v>0</v>
      </c>
      <c r="AY328" s="51">
        <f>+AY234/(AY30*2)</f>
        <v>0</v>
      </c>
      <c r="AZ328" s="51">
        <f>+AZ234/(AZ30)</f>
        <v>0</v>
      </c>
      <c r="BA328" s="51"/>
      <c r="BB328" s="51"/>
      <c r="BC328" s="51">
        <f>+BC234/(BC30)</f>
        <v>0</v>
      </c>
      <c r="BD328" s="51">
        <f>+BD234/(BD30*2)</f>
        <v>0</v>
      </c>
      <c r="BE328" s="51">
        <f>+BE234/(BE30*2)</f>
        <v>0</v>
      </c>
      <c r="BF328" s="51">
        <f>+BF234/(BF30)</f>
        <v>0</v>
      </c>
      <c r="BG328" s="51">
        <f>+BG234/(BG30*2)</f>
        <v>0</v>
      </c>
      <c r="BH328" s="51">
        <f>+BH234/(BH30*2)</f>
        <v>0</v>
      </c>
      <c r="BI328" s="51">
        <f>+BI234/(BI30)</f>
        <v>0</v>
      </c>
      <c r="BJ328" s="51">
        <f>+BJ234/(BJ30*2)</f>
        <v>0</v>
      </c>
      <c r="BK328" s="51">
        <f>+BK234/(BK30*2)</f>
        <v>0</v>
      </c>
      <c r="BL328" s="51">
        <f>+BL234/(BL30)</f>
        <v>0</v>
      </c>
      <c r="BM328" s="51">
        <f>+BM234/(BM30*2)</f>
        <v>0</v>
      </c>
      <c r="BN328" s="51">
        <f>+BN234/(BN30*2)</f>
        <v>0</v>
      </c>
      <c r="BO328" s="51">
        <f>+BO234/(BO30)</f>
        <v>0</v>
      </c>
      <c r="BP328" s="51"/>
      <c r="BQ328" s="51"/>
      <c r="BR328" s="51"/>
      <c r="BS328" s="51"/>
      <c r="BT328" s="51"/>
      <c r="BU328" s="51"/>
      <c r="BV328" s="51">
        <f>+BV234/(BV30*2)</f>
        <v>0</v>
      </c>
      <c r="BW328" s="51">
        <f>+BW234/(BW30*2)</f>
        <v>0.33854434730766669</v>
      </c>
      <c r="BX328" s="51">
        <f>+BX234/(BX30)</f>
        <v>0.35498768472906406</v>
      </c>
      <c r="BY328" s="51">
        <f>+BY234/(BY30*2)</f>
        <v>0</v>
      </c>
      <c r="BZ328" s="51">
        <f>+BZ234/(BZ30*2)</f>
        <v>0.36160701230225978</v>
      </c>
      <c r="CA328" s="51">
        <f>+CA234/(CA30)</f>
        <v>0.35221438062983679</v>
      </c>
      <c r="CB328" s="51">
        <f>+CB234/(CB30*2)</f>
        <v>0</v>
      </c>
      <c r="CC328" s="51">
        <f>+CC234/(CC30*2)</f>
        <v>0.31429656609665285</v>
      </c>
      <c r="CD328" s="51">
        <f>+CD234/(CD30)</f>
        <v>0.30497727397898489</v>
      </c>
      <c r="CE328" s="51">
        <f>+CE234/(CE30*2)</f>
        <v>0</v>
      </c>
      <c r="CF328" s="51">
        <f>+CF234/(CF30*2)</f>
        <v>0.35623106523529352</v>
      </c>
      <c r="CG328" s="51">
        <f>+CG234/(CG30)</f>
        <v>0.36899097710408285</v>
      </c>
      <c r="CH328" s="51">
        <f>+CH234/(CH30*2)</f>
        <v>0.30246431388643752</v>
      </c>
      <c r="CI328" s="51">
        <f>+CI234/(CI30*2)</f>
        <v>0.31535402331581902</v>
      </c>
      <c r="CJ328" s="51">
        <f>+CJ234/(CJ30)</f>
        <v>0.31617758363427972</v>
      </c>
      <c r="CK328" s="51">
        <f>+CK234/(CK30*2)</f>
        <v>0.32889299041046427</v>
      </c>
      <c r="CL328" s="51">
        <f>+CL234/(CL30*2)</f>
        <v>0.33210436755530326</v>
      </c>
      <c r="CM328" s="51">
        <f>+CM234/(CM30)</f>
        <v>0.33049087793569187</v>
      </c>
      <c r="CN328" s="51">
        <f>+CN234/(CN30*2)</f>
        <v>0.32946158029679129</v>
      </c>
      <c r="CO328" s="51">
        <f>+CO234/(CO30*2)</f>
        <v>0.29785191625009066</v>
      </c>
      <c r="CP328" s="51">
        <f>+CP234/(CP30)</f>
        <v>0.3082589787808353</v>
      </c>
      <c r="CQ328" s="51">
        <f>+CQ234/(CQ30*2)</f>
        <v>0.28691328419790524</v>
      </c>
      <c r="CR328" s="51">
        <f>+CR234/(CR30*2)</f>
        <v>0.31806652655989542</v>
      </c>
      <c r="CS328" s="51">
        <f>+CS234/(CS30)</f>
        <v>0.31375212224108645</v>
      </c>
      <c r="CT328" s="51">
        <f>+CT234/(CT30*2)</f>
        <v>0.30205302425316599</v>
      </c>
      <c r="CU328" s="51">
        <f>+CU234/(CU30*2)</f>
        <v>0.36853198789839564</v>
      </c>
      <c r="CV328" s="51">
        <f>+CV234/(CV30)</f>
        <v>0.35538527595204267</v>
      </c>
      <c r="CW328" s="51">
        <f>+CW234/(CW30*2)</f>
        <v>0.29546212879546213</v>
      </c>
      <c r="CX328" s="51">
        <f>+CX234/(CX30*2)</f>
        <v>0.41039449365878533</v>
      </c>
      <c r="CY328" s="51">
        <f>+CY234/(CY30)</f>
        <v>0.38247260416357326</v>
      </c>
      <c r="CZ328" s="51">
        <f>+CZ234/(CZ30*2)</f>
        <v>0.30955768356033564</v>
      </c>
      <c r="DA328" s="51">
        <f>+DA234/(DA30*2)</f>
        <v>0.36527702855908828</v>
      </c>
      <c r="DB328" s="51">
        <f>+DB234/(DB30)</f>
        <v>0.34676453544523855</v>
      </c>
      <c r="DC328" s="51">
        <f>+DC234/(DC30*2)</f>
        <v>0.31646515419100663</v>
      </c>
      <c r="DD328" s="51">
        <f>+DD234/(DD30*2)</f>
        <v>0.38313538593438728</v>
      </c>
      <c r="DE328" s="1080">
        <f>+DE234/(DE30)</f>
        <v>0.36252579840855131</v>
      </c>
      <c r="DF328" s="51">
        <f>+DF234/(DF30*2)</f>
        <v>0.33710618564629258</v>
      </c>
      <c r="DG328" s="51">
        <f>+DG234/(DG30*2)</f>
        <v>0.42055414429174554</v>
      </c>
      <c r="DH328" s="1080">
        <f>+DH234/(DH30)</f>
        <v>0.39176381807007177</v>
      </c>
      <c r="DI328" s="51">
        <f>+DI234/(DI30*2)</f>
        <v>0.31978344118100716</v>
      </c>
      <c r="DJ328" s="51">
        <f>+DJ234/(DJ30*2)</f>
        <v>0.42147571661886862</v>
      </c>
      <c r="DK328" s="1080">
        <f>+DK234/(DK30)</f>
        <v>0.37187568049092368</v>
      </c>
      <c r="DL328" s="51">
        <f>+DL234/(DL30*2)</f>
        <v>0.32253308705156664</v>
      </c>
      <c r="DM328" s="51">
        <f>+DM234/(DM30*2)</f>
        <v>0.48988128886376486</v>
      </c>
      <c r="DN328" s="1080">
        <f>+DN234/(DN30)</f>
        <v>0.41971792785462436</v>
      </c>
      <c r="DO328" s="51">
        <f>+DO234/(DO30*2)</f>
        <v>0.36351024984905556</v>
      </c>
      <c r="DP328" s="51">
        <f>+DP234/(DP30*2)</f>
        <v>0.46703578386137595</v>
      </c>
      <c r="DQ328" s="1080">
        <f>+DQ234/(DQ30)</f>
        <v>0.42676452217364147</v>
      </c>
      <c r="DR328" s="51">
        <f>+DR234/(DR30*2)</f>
        <v>0.35656630365150543</v>
      </c>
      <c r="DS328" s="51">
        <f>+DS234/(DS30*2)</f>
        <v>0.4603272615004631</v>
      </c>
      <c r="DT328" s="1080">
        <f>+DT234/(DT30)</f>
        <v>0.41755933627389202</v>
      </c>
      <c r="DU328" s="51">
        <f>+DU234/(DU30*2)</f>
        <v>0.37301008628022847</v>
      </c>
      <c r="DV328" s="51">
        <f>+DV234/(DV30*2)</f>
        <v>0.4732142857142857</v>
      </c>
      <c r="DW328" s="1080">
        <f>+DW234/(DW30)</f>
        <v>0.42932076223358345</v>
      </c>
      <c r="DX328" s="51">
        <f>+DX234/(DX30*2)</f>
        <v>0.40595650024715768</v>
      </c>
      <c r="DY328" s="51">
        <f>+DY234/(DY30*2)</f>
        <v>0.49249110135920576</v>
      </c>
      <c r="DZ328" s="1080">
        <f>+DZ234/(DZ30)</f>
        <v>0.47</v>
      </c>
      <c r="EA328" s="51">
        <f>+EA234/(EA30*2)</f>
        <v>0.4</v>
      </c>
      <c r="EB328" s="51">
        <f>+EB234/(EB30*2)</f>
        <v>0.49911180594125154</v>
      </c>
      <c r="EC328" s="1080">
        <f>+EC234/(EC30)</f>
        <v>0.47</v>
      </c>
      <c r="ED328" s="51">
        <f>+ED234/(ED30*2)</f>
        <v>0.4</v>
      </c>
      <c r="EE328" s="51">
        <f>+EE234/(EE30*2)</f>
        <v>0.49465983731425434</v>
      </c>
      <c r="EF328" s="1080">
        <f>+EF234/(EF30)</f>
        <v>0.47</v>
      </c>
      <c r="EG328" s="51">
        <f>+EG234/(EG30*2)</f>
        <v>0.4</v>
      </c>
      <c r="EH328" s="51">
        <f>+EH234/(EH30*2)</f>
        <v>0.49265068869950707</v>
      </c>
      <c r="EI328" s="1080">
        <f>+EI234/(EI30)</f>
        <v>0.47000000000000003</v>
      </c>
      <c r="EJ328" s="51">
        <f>+EJ234/(EJ30*2)</f>
        <v>0.4</v>
      </c>
      <c r="EK328" s="51">
        <f>+EK234/(EK30*2)</f>
        <v>0.49051084846040738</v>
      </c>
      <c r="EL328" s="1080">
        <f>+EL234/(EL30)</f>
        <v>0.47</v>
      </c>
      <c r="EM328" s="51">
        <f>+EM234/(EM30*2)</f>
        <v>0.4</v>
      </c>
      <c r="EN328" s="51">
        <f>+EN234/(EN30*2)</f>
        <v>0.48917383569444622</v>
      </c>
      <c r="EO328" s="1080">
        <f>+EO234/(EO30)</f>
        <v>0.46899999999999997</v>
      </c>
      <c r="EP328" s="51">
        <f>+EP234/(EP30*2)</f>
        <v>0.4</v>
      </c>
      <c r="EQ328" s="51">
        <f>+EQ234/(EQ30*2)</f>
        <v>0.48690719657169629</v>
      </c>
      <c r="ER328" s="1080">
        <f>+ER234/(ER30)</f>
        <v>0.46799999999999997</v>
      </c>
      <c r="ES328" s="51">
        <f>+ES234/(ES30*2)</f>
        <v>0.4</v>
      </c>
      <c r="ET328" s="51">
        <f>+ET234/(ET30*2)</f>
        <v>0.48491910461148424</v>
      </c>
      <c r="EU328" s="1080">
        <f>+EU234/(EU30)</f>
        <v>0.46699999999999997</v>
      </c>
      <c r="EV328" s="51">
        <f>+EV234/(EV30*2)</f>
        <v>0.4</v>
      </c>
      <c r="EW328" s="51">
        <f>+EW234/(EW30*2)</f>
        <v>0.48295125499268704</v>
      </c>
      <c r="EX328" s="1080">
        <f>+EX234/(EX30)</f>
        <v>0.46599999999999997</v>
      </c>
      <c r="EY328" s="51">
        <f>+EY234/(EY30*2)</f>
        <v>0.4</v>
      </c>
      <c r="EZ328" s="51">
        <f>+EZ234/(EZ30*2)</f>
        <v>0.48100390131782017</v>
      </c>
      <c r="FA328" s="1080">
        <f>+FA234/(FA30)</f>
        <v>0.46499999999999997</v>
      </c>
      <c r="FD328"/>
      <c r="FE328"/>
      <c r="FF328"/>
      <c r="FG328"/>
      <c r="FH328"/>
      <c r="FI328"/>
    </row>
    <row r="329" spans="1:169" s="33" customFormat="1" outlineLevel="1">
      <c r="B329" s="54" t="s">
        <v>192</v>
      </c>
      <c r="C329" s="54"/>
      <c r="D329" s="2" t="s">
        <v>507</v>
      </c>
      <c r="E329" s="51"/>
      <c r="F329" s="51"/>
      <c r="G329" s="51"/>
      <c r="H329" s="51"/>
      <c r="I329" s="5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c r="AJ329" s="51"/>
      <c r="AK329" s="51"/>
      <c r="AL329" s="51"/>
      <c r="AM329" s="51">
        <f>+AM263/(AM30*2)</f>
        <v>0</v>
      </c>
      <c r="AN329" s="51">
        <f>+AN263/(AN30)</f>
        <v>0</v>
      </c>
      <c r="AO329" s="51">
        <f>+AO263/(AO30*2)</f>
        <v>0</v>
      </c>
      <c r="AP329" s="51">
        <f>+AP263/(AP30*2)</f>
        <v>0</v>
      </c>
      <c r="AQ329" s="51">
        <f>+AQ263/(AQ30)</f>
        <v>0</v>
      </c>
      <c r="AR329" s="51">
        <f>+AR263/(AR30*2)</f>
        <v>0</v>
      </c>
      <c r="AS329" s="51">
        <f>+AS263/(AS30*2)</f>
        <v>0</v>
      </c>
      <c r="AT329" s="51">
        <f>+AT263/(AT30)</f>
        <v>0</v>
      </c>
      <c r="AU329" s="51">
        <f>+AU263/(AU30*2)</f>
        <v>0</v>
      </c>
      <c r="AV329" s="51">
        <f>+AV263/(AV30*2)</f>
        <v>0</v>
      </c>
      <c r="AW329" s="51">
        <f>+AW263/(AW30)</f>
        <v>0</v>
      </c>
      <c r="AX329" s="51">
        <f>+AX263/(AX30*2)</f>
        <v>0</v>
      </c>
      <c r="AY329" s="51">
        <f>+AY263/(AY30*2)</f>
        <v>0</v>
      </c>
      <c r="AZ329" s="51">
        <f>+AZ263/(AZ30)</f>
        <v>0</v>
      </c>
      <c r="BA329" s="51"/>
      <c r="BB329" s="51"/>
      <c r="BC329" s="51">
        <f>+BC263/(BC30)</f>
        <v>0</v>
      </c>
      <c r="BD329" s="51">
        <f>+BD263/(BD30*2)</f>
        <v>0</v>
      </c>
      <c r="BE329" s="51">
        <f>+BE263/(BE30*2)</f>
        <v>0</v>
      </c>
      <c r="BF329" s="51">
        <f>+BF263/(BF30)</f>
        <v>0</v>
      </c>
      <c r="BG329" s="51">
        <f>+BG263/(BG30*2)</f>
        <v>0</v>
      </c>
      <c r="BH329" s="51">
        <f>+BH263/(BH30*2)</f>
        <v>0</v>
      </c>
      <c r="BI329" s="51">
        <f>+BI263/(BI30)</f>
        <v>0</v>
      </c>
      <c r="BJ329" s="51">
        <f>+BJ263/(BJ30*2)</f>
        <v>0</v>
      </c>
      <c r="BK329" s="51">
        <f>+BK263/(BK30*2)</f>
        <v>0</v>
      </c>
      <c r="BL329" s="51">
        <f>+BL263/(BL30)</f>
        <v>0</v>
      </c>
      <c r="BM329" s="51">
        <f>+BM263/(BM30*2)</f>
        <v>0</v>
      </c>
      <c r="BN329" s="51">
        <f>+BN263/(BN30*2)</f>
        <v>0</v>
      </c>
      <c r="BO329" s="51">
        <f>+BO263/(BO30)</f>
        <v>0</v>
      </c>
      <c r="BP329" s="51"/>
      <c r="BQ329" s="51"/>
      <c r="BR329" s="51"/>
      <c r="BS329" s="51"/>
      <c r="BT329" s="51"/>
      <c r="BU329" s="51"/>
      <c r="BV329" s="51">
        <f>+BV263/(BV30*2)</f>
        <v>0</v>
      </c>
      <c r="BW329" s="51">
        <f>+BW263/(BW30*2)</f>
        <v>0.12420143877809456</v>
      </c>
      <c r="BX329" s="51">
        <f>+BX263/(BX30)</f>
        <v>0.13023399014778325</v>
      </c>
      <c r="BY329" s="51">
        <f>+BY263/(BY30*2)</f>
        <v>0</v>
      </c>
      <c r="BZ329" s="51">
        <f>+BZ263/(BZ30*2)</f>
        <v>0.15781876893191743</v>
      </c>
      <c r="CA329" s="51">
        <f>+CA263/(CA30)</f>
        <v>0.15371947462306237</v>
      </c>
      <c r="CB329" s="51">
        <f>+CB263/(CB30*2)</f>
        <v>0</v>
      </c>
      <c r="CC329" s="51">
        <f>+CC263/(CC30*2)</f>
        <v>0.10476552203221762</v>
      </c>
      <c r="CD329" s="51">
        <f>+CD263/(CD30)</f>
        <v>0.10165909132632829</v>
      </c>
      <c r="CE329" s="51">
        <f>+CE263/(CE30*2)</f>
        <v>0</v>
      </c>
      <c r="CF329" s="51">
        <f>+CF263/(CF30*2)</f>
        <v>0.12064055244390132</v>
      </c>
      <c r="CG329" s="51">
        <f>+CG263/(CG30)</f>
        <v>0.12496180055282038</v>
      </c>
      <c r="CH329" s="51">
        <f>+CH263/(CH30*2)</f>
        <v>9.1910334568367655E-2</v>
      </c>
      <c r="CI329" s="51">
        <f>+CI263/(CI30*2)</f>
        <v>0.11407615274723801</v>
      </c>
      <c r="CJ329" s="51">
        <f>+CJ263/(CJ30)</f>
        <v>0.11437406742642128</v>
      </c>
      <c r="CK329" s="51">
        <f>+CK263/(CK30*2)</f>
        <v>0.12998033944549212</v>
      </c>
      <c r="CL329" s="51">
        <f>+CL263/(CL30*2)</f>
        <v>0.1312494935580584</v>
      </c>
      <c r="CM329" s="51">
        <f>+CM263/(CM30)</f>
        <v>0.13061183348452771</v>
      </c>
      <c r="CN329" s="51">
        <f>+CN263/(CN30*2)</f>
        <v>0.10614948333462824</v>
      </c>
      <c r="CO329" s="51">
        <f>+CO263/(CO30*2)</f>
        <v>0.11435919727595455</v>
      </c>
      <c r="CP329" s="51">
        <f>+CP263/(CP30)</f>
        <v>0.11835495238809329</v>
      </c>
      <c r="CQ329" s="51">
        <f>+CQ263/(CQ30*2)</f>
        <v>0.11044891913813167</v>
      </c>
      <c r="CR329" s="51">
        <f>+CR263/(CR30*2)</f>
        <v>0.12696572215377916</v>
      </c>
      <c r="CS329" s="51">
        <f>+CS263/(CS30)</f>
        <v>0.12524349924046105</v>
      </c>
      <c r="CT329" s="51">
        <f>+CT263/(CT30*2)</f>
        <v>0.14428959597037952</v>
      </c>
      <c r="CU329" s="51">
        <f>+CU263/(CU30*2)</f>
        <v>0.17058304514200368</v>
      </c>
      <c r="CV329" s="51">
        <f>+CV263/(CV30)</f>
        <v>0.16449780361330377</v>
      </c>
      <c r="CW329" s="51">
        <f>+CW263/(CW30*2)</f>
        <v>0.1357468579690802</v>
      </c>
      <c r="CX329" s="51">
        <f>+CX263/(CX30*2)</f>
        <v>0.18415014976738259</v>
      </c>
      <c r="CY329" s="51">
        <f>+CY263/(CY30)</f>
        <v>0.17162118017402667</v>
      </c>
      <c r="CZ329" s="51">
        <f>+CZ263/(CZ30*2)</f>
        <v>0.12460992868345144</v>
      </c>
      <c r="DA329" s="51">
        <f>+DA263/(DA30*2)</f>
        <v>0.17048431725084004</v>
      </c>
      <c r="DB329" s="51">
        <f>+DB263/(DB30)</f>
        <v>0.16184405382782821</v>
      </c>
      <c r="DC329" s="51">
        <f>+DC263/(DC30*2)</f>
        <v>0.12511886971878819</v>
      </c>
      <c r="DD329" s="51">
        <f>+DD263/(DD30*2)</f>
        <v>0.17748442897849051</v>
      </c>
      <c r="DE329" s="1080">
        <f>+DE263/(DE30)</f>
        <v>0.16793720100688353</v>
      </c>
      <c r="DF329" s="51">
        <f>+DF263/(DF30*2)</f>
        <v>0.14206811852780904</v>
      </c>
      <c r="DG329" s="51">
        <f>+DG263/(DG30*2)</f>
        <v>0.18279335851335765</v>
      </c>
      <c r="DH329" s="1080">
        <f>+DH263/(DH30)</f>
        <v>0.17027967747088973</v>
      </c>
      <c r="DI329" s="51">
        <f>+DI263/(DI30*2)</f>
        <v>0.14261588133911882</v>
      </c>
      <c r="DJ329" s="51">
        <f>+DJ263/(DJ30*2)</f>
        <v>0.22739354049291285</v>
      </c>
      <c r="DK329" s="1080">
        <f>+DK263/(DK30)</f>
        <v>0.20063345117106729</v>
      </c>
      <c r="DL329" s="51">
        <f>+DL263/(DL30*2)</f>
        <v>0.14628628560776805</v>
      </c>
      <c r="DM329" s="51">
        <f>+DM263/(DM30*2)</f>
        <v>0.2601695873374788</v>
      </c>
      <c r="DN329" s="1080">
        <f>+DN263/(DN30)</f>
        <v>0.22290673795962646</v>
      </c>
      <c r="DO329" s="51">
        <f>+DO263/(DO30*2)</f>
        <v>0.18393663206923322</v>
      </c>
      <c r="DP329" s="51">
        <f>+DP263/(DP30*2)</f>
        <v>0.25180286407601077</v>
      </c>
      <c r="DQ329" s="1080">
        <f>+DQ263/(DQ30)</f>
        <v>0.23009056839475328</v>
      </c>
      <c r="DR329" s="51">
        <f>+DR263/(DR30*2)</f>
        <v>0.18558616271620756</v>
      </c>
      <c r="DS329" s="51">
        <f>+DS263/(DS30*2)</f>
        <v>0.25818153751157763</v>
      </c>
      <c r="DT329" s="1080">
        <f>+DT263/(DT30)</f>
        <v>0.23419449695442135</v>
      </c>
      <c r="DU329" s="51">
        <f>+DU263/(DU30*2)</f>
        <v>0.18088467614533965</v>
      </c>
      <c r="DV329" s="51">
        <f>+DV263/(DV30*2)</f>
        <v>0.25329332552693207</v>
      </c>
      <c r="DW329" s="1080">
        <f>+DW263/(DW30)</f>
        <v>0.22979881813956576</v>
      </c>
      <c r="DX329" s="51">
        <f>+DX263/(DX30*2)</f>
        <v>0.19593425605536333</v>
      </c>
      <c r="DY329" s="51">
        <f>+DY263/(DY30*2)</f>
        <v>0.26196335178681157</v>
      </c>
      <c r="DZ329" s="1080">
        <f>+DZ263/(DZ30)</f>
        <v>0.25</v>
      </c>
      <c r="EA329" s="51">
        <f>+EA263/(EA30*2)</f>
        <v>0.19</v>
      </c>
      <c r="EB329" s="51">
        <f>+EB263/(EB30*2)</f>
        <v>0.26283015312863778</v>
      </c>
      <c r="EC329" s="1080">
        <f>+EC263/(EC30)</f>
        <v>0.2475</v>
      </c>
      <c r="ED329" s="51">
        <f>+ED263/(ED30*2)</f>
        <v>0.19</v>
      </c>
      <c r="EE329" s="51">
        <f>+EE263/(EE30*2)</f>
        <v>0.25785459604679217</v>
      </c>
      <c r="EF329" s="1080">
        <f>+EF263/(EF30)</f>
        <v>0.24500000000000002</v>
      </c>
      <c r="EG329" s="51">
        <f>+EG263/(EG30*2)</f>
        <v>0.19</v>
      </c>
      <c r="EH329" s="51">
        <f>+EH263/(EH30*2)</f>
        <v>0.25418679150985207</v>
      </c>
      <c r="EI329" s="1080">
        <f>+EI263/(EI30)</f>
        <v>0.24249999999999999</v>
      </c>
      <c r="EJ329" s="51">
        <f>+EJ263/(EJ30*2)</f>
        <v>0.19</v>
      </c>
      <c r="EK329" s="51">
        <f>+EK263/(EK30*2)</f>
        <v>0.25047362474573992</v>
      </c>
      <c r="EL329" s="1080">
        <f>+EL263/(EL30)</f>
        <v>0.24</v>
      </c>
      <c r="EM329" s="51">
        <f>+EM263/(EM30*2)</f>
        <v>0.19</v>
      </c>
      <c r="EN329" s="51">
        <f>+EN263/(EN30*2)</f>
        <v>0.24771596157234749</v>
      </c>
      <c r="EO329" s="1080">
        <f>+EO263/(EO30)</f>
        <v>0.23749999999999999</v>
      </c>
      <c r="EP329" s="51">
        <f>+EP263/(EP30*2)</f>
        <v>0.19</v>
      </c>
      <c r="EQ329" s="51">
        <f>+EQ263/(EQ30*2)</f>
        <v>0.24449399827852272</v>
      </c>
      <c r="ER329" s="1080">
        <f>+ER263/(ER30)</f>
        <v>0.23499999999999999</v>
      </c>
      <c r="ES329" s="51">
        <f>+ES263/(ES30*2)</f>
        <v>0.18999999999999997</v>
      </c>
      <c r="ET329" s="51">
        <f>+ET263/(ET30*2)</f>
        <v>0.24142118163205584</v>
      </c>
      <c r="EU329" s="1080">
        <f>+EU263/(EU30)</f>
        <v>0.23249999999999996</v>
      </c>
      <c r="EV329" s="51">
        <f>+EV263/(EV30*2)</f>
        <v>0.19</v>
      </c>
      <c r="EW329" s="51">
        <f>+EW263/(EW30*2)</f>
        <v>0.23836649924531764</v>
      </c>
      <c r="EX329" s="1080">
        <f>+EX263/(EX30)</f>
        <v>0.22999999999999998</v>
      </c>
      <c r="EY329" s="51">
        <f>+EY263/(EY30*2)</f>
        <v>0.19</v>
      </c>
      <c r="EZ329" s="51">
        <f>+EZ263/(EZ30*2)</f>
        <v>0.23532986569850342</v>
      </c>
      <c r="FA329" s="1080">
        <f>+FA263/(FA30)</f>
        <v>0.22750000000000001</v>
      </c>
      <c r="FD329"/>
      <c r="FE329"/>
      <c r="FF329"/>
      <c r="FG329"/>
      <c r="FH329"/>
      <c r="FI329"/>
    </row>
    <row r="330" spans="1:169" s="33" customFormat="1" outlineLevel="1">
      <c r="B330" s="54" t="s">
        <v>193</v>
      </c>
      <c r="C330" s="54"/>
      <c r="D330" s="2" t="s">
        <v>507</v>
      </c>
      <c r="E330" s="51"/>
      <c r="F330" s="51"/>
      <c r="G330" s="51"/>
      <c r="H330" s="51"/>
      <c r="I330" s="5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f>+AM273/(AM30*2)</f>
        <v>0</v>
      </c>
      <c r="AN330" s="51">
        <f>+AN273/(AN30)</f>
        <v>0</v>
      </c>
      <c r="AO330" s="51">
        <f>+AO273/(AO30*2)</f>
        <v>0</v>
      </c>
      <c r="AP330" s="51">
        <f>+AP273/(AP30*2)</f>
        <v>0</v>
      </c>
      <c r="AQ330" s="51">
        <f>+AQ273/(AQ30)</f>
        <v>0</v>
      </c>
      <c r="AR330" s="51">
        <f>+AR273/(AR30*2)</f>
        <v>0</v>
      </c>
      <c r="AS330" s="51">
        <f>+AS273/(AS30*2)</f>
        <v>0</v>
      </c>
      <c r="AT330" s="51">
        <f>+AT273/(AT30)</f>
        <v>0</v>
      </c>
      <c r="AU330" s="51">
        <f>+AU273/(AU30*2)</f>
        <v>0</v>
      </c>
      <c r="AV330" s="51">
        <f>+AV273/(AV30*2)</f>
        <v>0</v>
      </c>
      <c r="AW330" s="51">
        <f>+AW273/(AW30)</f>
        <v>0</v>
      </c>
      <c r="AX330" s="51">
        <f>+AX273/(AX30*2)</f>
        <v>0</v>
      </c>
      <c r="AY330" s="51">
        <f>+AY273/(AY30*2)</f>
        <v>0</v>
      </c>
      <c r="AZ330" s="51">
        <f>+AZ273/(AZ30)</f>
        <v>0</v>
      </c>
      <c r="BA330" s="51"/>
      <c r="BB330" s="51"/>
      <c r="BC330" s="51">
        <f>+BC273/(BC30)</f>
        <v>0</v>
      </c>
      <c r="BD330" s="51">
        <f>+BD273/(BD30*2)</f>
        <v>0</v>
      </c>
      <c r="BE330" s="51">
        <f>+BE273/(BE30*2)</f>
        <v>0</v>
      </c>
      <c r="BF330" s="51">
        <f>+BF273/(BF30)</f>
        <v>0</v>
      </c>
      <c r="BG330" s="51">
        <f>+BG273/(BG30*2)</f>
        <v>0</v>
      </c>
      <c r="BH330" s="51">
        <f>+BH273/(BH30*2)</f>
        <v>0</v>
      </c>
      <c r="BI330" s="51">
        <f>+BI273/(BI30)</f>
        <v>0</v>
      </c>
      <c r="BJ330" s="51">
        <f>+BJ273/(BJ30*2)</f>
        <v>0</v>
      </c>
      <c r="BK330" s="51">
        <f>+BK273/(BK30*2)</f>
        <v>0</v>
      </c>
      <c r="BL330" s="51">
        <f>+BL273/(BL30)</f>
        <v>0</v>
      </c>
      <c r="BM330" s="51">
        <f>+BM273/(BM30*2)</f>
        <v>0</v>
      </c>
      <c r="BN330" s="51">
        <f>+BN273/(BN30*2)</f>
        <v>0</v>
      </c>
      <c r="BO330" s="51">
        <f>+BO273/(BO30)</f>
        <v>0</v>
      </c>
      <c r="BP330" s="51"/>
      <c r="BQ330" s="51"/>
      <c r="BR330" s="51"/>
      <c r="BS330" s="51"/>
      <c r="BT330" s="51"/>
      <c r="BU330" s="51"/>
      <c r="BV330" s="51">
        <f>+BV273/(BV30*2)</f>
        <v>0</v>
      </c>
      <c r="BW330" s="51">
        <f>+BW273/(BW30*2)</f>
        <v>0</v>
      </c>
      <c r="BX330" s="51">
        <f>+BX273/(BX30)</f>
        <v>0</v>
      </c>
      <c r="BY330" s="51">
        <f>+BY273/(BY30*2)</f>
        <v>0</v>
      </c>
      <c r="BZ330" s="51">
        <f>+BZ273/(BZ30*2)</f>
        <v>0</v>
      </c>
      <c r="CA330" s="51">
        <f>+CA273/(CA30)</f>
        <v>0</v>
      </c>
      <c r="CB330" s="51">
        <f>+CB273/(CB30*2)</f>
        <v>0</v>
      </c>
      <c r="CC330" s="51">
        <f>+CC273/(CC30*2)</f>
        <v>0</v>
      </c>
      <c r="CD330" s="51">
        <f>+CD273/(CD30)</f>
        <v>0</v>
      </c>
      <c r="CE330" s="51">
        <f>+CE273/(CE30*2)</f>
        <v>0</v>
      </c>
      <c r="CF330" s="51">
        <f>+CF273/(CF30*2)</f>
        <v>0</v>
      </c>
      <c r="CG330" s="51">
        <f>+CG273/(CG30)</f>
        <v>0</v>
      </c>
      <c r="CH330" s="51">
        <f>+CH273/(CH30*2)</f>
        <v>4.5230462586040181E-2</v>
      </c>
      <c r="CI330" s="51">
        <f>+CI273/(CI30*2)</f>
        <v>5.2023384463289489E-2</v>
      </c>
      <c r="CJ330" s="51">
        <f>+CJ273/(CJ30)</f>
        <v>5.2159245723677097E-2</v>
      </c>
      <c r="CK330" s="51">
        <f>+CK273/(CK30*2)</f>
        <v>3.2078802712354054E-2</v>
      </c>
      <c r="CL330" s="51">
        <f>+CL273/(CL30*2)</f>
        <v>3.2392026578073066E-2</v>
      </c>
      <c r="CM330" s="51">
        <f>+CM273/(CM30)</f>
        <v>3.2234653764741446E-2</v>
      </c>
      <c r="CN330" s="51">
        <f>+CN273/(CN30*2)</f>
        <v>3.0339522958589077E-2</v>
      </c>
      <c r="CO330" s="51">
        <f>+CO273/(CO30*2)</f>
        <v>2.0756357313627478E-2</v>
      </c>
      <c r="CP330" s="51">
        <f>+CP273/(CP30)</f>
        <v>2.1481592562045439E-2</v>
      </c>
      <c r="CQ330" s="51">
        <f>+CQ273/(CQ30*2)</f>
        <v>1.3665056247134745E-2</v>
      </c>
      <c r="CR330" s="51">
        <f>+CR273/(CR30*2)</f>
        <v>2.6070729763026289E-2</v>
      </c>
      <c r="CS330" s="51">
        <f>+CS273/(CS30)</f>
        <v>2.5717094093467958E-2</v>
      </c>
      <c r="CT330" s="51">
        <f>+CT273/(CT30*2)</f>
        <v>2.409344452549933E-2</v>
      </c>
      <c r="CU330" s="51">
        <f>+CU273/(CU30*2)</f>
        <v>3.550031649225717E-2</v>
      </c>
      <c r="CV330" s="51">
        <f>+CV273/(CV30)</f>
        <v>3.4233906926049468E-2</v>
      </c>
      <c r="CW330" s="51">
        <f>+CW273/(CW30*2)</f>
        <v>2.3092536981425871E-2</v>
      </c>
      <c r="CX330" s="51">
        <f>+CX273/(CX30*2)</f>
        <v>3.2263718054935955E-2</v>
      </c>
      <c r="CY330" s="51">
        <f>+CY273/(CY30)</f>
        <v>3.0068600956255756E-2</v>
      </c>
      <c r="CZ330" s="51">
        <f>+CZ273/(CZ30*2)</f>
        <v>3.4685364234697313E-2</v>
      </c>
      <c r="DA330" s="51">
        <f>+DA273/(DA30*2)</f>
        <v>3.3695340869755466E-2</v>
      </c>
      <c r="DB330" s="51">
        <f>+DB273/(DB30)</f>
        <v>3.198763762796987E-2</v>
      </c>
      <c r="DC330" s="51">
        <f>+DC273/(DC30*2)</f>
        <v>8.8529638183217855E-3</v>
      </c>
      <c r="DD330" s="51">
        <f>+DD273/(DD30*2)</f>
        <v>2.045036185288851E-2</v>
      </c>
      <c r="DE330" s="1080">
        <f>+DE273/(DE30)</f>
        <v>1.9350297651002706E-2</v>
      </c>
      <c r="DF330" s="51">
        <f>+DF273/(DF30*2)</f>
        <v>2.5753633782251012E-2</v>
      </c>
      <c r="DG330" s="51">
        <f>+DG273/(DG30*2)</f>
        <v>3.0401648783819873E-2</v>
      </c>
      <c r="DH330" s="1080">
        <f>+DH273/(DH30)</f>
        <v>2.8320410498469072E-2</v>
      </c>
      <c r="DI330" s="51">
        <f>+DI273/(DI30*2)</f>
        <v>3.0916975695422674E-2</v>
      </c>
      <c r="DJ330" s="51">
        <f>+DJ273/(DJ30*2)</f>
        <v>3.4894434561102965E-2</v>
      </c>
      <c r="DK330" s="1080">
        <f>+DK273/(DK30)</f>
        <v>3.0787993438517462E-2</v>
      </c>
      <c r="DL330" s="51">
        <f>+DL273/(DL30*2)</f>
        <v>1.7572994865364084E-2</v>
      </c>
      <c r="DM330" s="51">
        <f>+DM273/(DM30*2)</f>
        <v>1.4867156585641606E-2</v>
      </c>
      <c r="DN330" s="1080">
        <f>+DN273/(DN30)</f>
        <v>1.2737804641791623E-2</v>
      </c>
      <c r="DO330" s="51">
        <f>+DO273/(DO30*2)</f>
        <v>2.5825881947040052E-2</v>
      </c>
      <c r="DP330" s="51">
        <f>+DP273/(DP30*2)</f>
        <v>2.529136334119416E-2</v>
      </c>
      <c r="DQ330" s="1080">
        <f>+DQ273/(DQ30)</f>
        <v>2.3110555902560899E-2</v>
      </c>
      <c r="DR330" s="51">
        <f>+DR273/(DR30*2)</f>
        <v>8.4561178731582323E-3</v>
      </c>
      <c r="DS330" s="51">
        <f>+DS273/(DS30*2)</f>
        <v>1.3584439641864773E-2</v>
      </c>
      <c r="DT330" s="1080">
        <f>+DT273/(DT30)</f>
        <v>1.232234124483652E-2</v>
      </c>
      <c r="DU330" s="51">
        <f>+DU273/(DU30*2)</f>
        <v>1.2455948474905821E-2</v>
      </c>
      <c r="DV330" s="51">
        <f>+DV273/(DV30*2)</f>
        <v>2.0491803278688523E-2</v>
      </c>
      <c r="DW330" s="1080">
        <f>+DW273/(DW30)</f>
        <v>1.8591063010424274E-2</v>
      </c>
      <c r="DX330" s="51">
        <f>+DX273/(DX30*2)</f>
        <v>1.866040533860603E-2</v>
      </c>
      <c r="DY330" s="51">
        <f>+DY273/(DY30*2)</f>
        <v>2.0446333287007956E-2</v>
      </c>
      <c r="DZ330" s="1080">
        <f>+DZ273/(DZ30)</f>
        <v>1.9512589401863536E-2</v>
      </c>
      <c r="EA330" s="51">
        <f>+EA273/(EA30*2)</f>
        <v>1.746886534503559E-2</v>
      </c>
      <c r="EB330" s="51">
        <f>+EB273/(EB30*2)</f>
        <v>1.9632908825625083E-2</v>
      </c>
      <c r="EC330" s="1080">
        <f>+EC273/(EC30)</f>
        <v>1.8487775761268841E-2</v>
      </c>
      <c r="ED330" s="51">
        <f>+ED273/(ED30*2)</f>
        <v>1.66990380504544E-2</v>
      </c>
      <c r="EE330" s="51">
        <f>+EE273/(EE30*2)</f>
        <v>1.8451359589300137E-2</v>
      </c>
      <c r="EF330" s="1080">
        <f>+EF273/(EF30)</f>
        <v>1.7531520355596825E-2</v>
      </c>
      <c r="EG330" s="51">
        <f>+EG273/(EG30*2)</f>
        <v>1.5777031292272824E-2</v>
      </c>
      <c r="EH330" s="51">
        <f>+EH273/(EH30*2)</f>
        <v>1.7297714800373478E-2</v>
      </c>
      <c r="EI330" s="1080">
        <f>+EI273/(EI30)</f>
        <v>1.6502414677703605E-2</v>
      </c>
      <c r="EJ330" s="51">
        <f>+EJ273/(EJ30*2)</f>
        <v>1.489535657160381E-2</v>
      </c>
      <c r="EK330" s="51">
        <f>+EK273/(EK30*2)</f>
        <v>1.6195426364811891E-2</v>
      </c>
      <c r="EL330" s="1080">
        <f>+EL273/(EL30)</f>
        <v>1.5518210077011161E-2</v>
      </c>
      <c r="EM330" s="51">
        <f>+EM273/(EM30*2)</f>
        <v>1.4120950457331086E-2</v>
      </c>
      <c r="EN330" s="51">
        <f>+EN273/(EN30*2)</f>
        <v>1.5335763823538394E-2</v>
      </c>
      <c r="EO330" s="1080">
        <f>+EO273/(EO30)</f>
        <v>1.4703307307981528E-2</v>
      </c>
      <c r="EP330" s="51">
        <f>+EP273/(EP30*2)</f>
        <v>1.3396115769494408E-2</v>
      </c>
      <c r="EQ330" s="51">
        <f>+EQ273/(EQ30*2)</f>
        <v>1.4478521727404799E-2</v>
      </c>
      <c r="ER330" s="1080">
        <f>+ER273/(ER30)</f>
        <v>1.3916303180841768E-2</v>
      </c>
      <c r="ES330" s="51">
        <f>+ES273/(ES30*2)</f>
        <v>1.2691394087372293E-2</v>
      </c>
      <c r="ET330" s="51">
        <f>+ET273/(ET30*2)</f>
        <v>1.3665348769672923E-2</v>
      </c>
      <c r="EU330" s="1080">
        <f>+EU273/(EU30)</f>
        <v>1.3160376266367705E-2</v>
      </c>
      <c r="EV330" s="51">
        <f>+EV273/(EV30*2)</f>
        <v>1.2019841743729205E-2</v>
      </c>
      <c r="EW330" s="51">
        <f>+EW273/(EW30*2)</f>
        <v>1.2894311281796578E-2</v>
      </c>
      <c r="EX330" s="1080">
        <f>+EX273/(EX30)</f>
        <v>1.2441729874805255E-2</v>
      </c>
      <c r="EY330" s="51">
        <f>+EY273/(EY30*2)</f>
        <v>1.1380187291527909E-2</v>
      </c>
      <c r="EZ330" s="51">
        <f>+EZ273/(EZ30*2)</f>
        <v>1.2163530923321128E-2</v>
      </c>
      <c r="FA330" s="1080">
        <f>+FA273/(FA30)</f>
        <v>1.1758827452019215E-2</v>
      </c>
      <c r="FD330"/>
      <c r="FE330"/>
      <c r="FF330"/>
      <c r="FG330"/>
      <c r="FH330"/>
      <c r="FI330"/>
    </row>
    <row r="331" spans="1:169" s="33" customFormat="1" outlineLevel="1">
      <c r="B331" s="54" t="s">
        <v>194</v>
      </c>
      <c r="C331" s="54"/>
      <c r="D331" s="2" t="s">
        <v>507</v>
      </c>
      <c r="E331" s="51"/>
      <c r="F331" s="51"/>
      <c r="G331" s="51"/>
      <c r="H331" s="51"/>
      <c r="I331" s="5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c r="AJ331" s="51"/>
      <c r="AK331" s="51"/>
      <c r="AL331" s="51"/>
      <c r="AM331" s="51">
        <f>+AM293/(AM30*2)</f>
        <v>0</v>
      </c>
      <c r="AN331" s="51">
        <f>+AN293/(AN30)</f>
        <v>0</v>
      </c>
      <c r="AO331" s="51">
        <f>+AO293/(AO30*2)</f>
        <v>0</v>
      </c>
      <c r="AP331" s="51">
        <f>+AP293/(AP30*2)</f>
        <v>0</v>
      </c>
      <c r="AQ331" s="51">
        <f>+AQ293/(AQ30)</f>
        <v>0</v>
      </c>
      <c r="AR331" s="51">
        <f>+AR293/(AR30*2)</f>
        <v>0</v>
      </c>
      <c r="AS331" s="51">
        <f>+AS293/(AS30*2)</f>
        <v>0</v>
      </c>
      <c r="AT331" s="51">
        <f>+AT293/(AT30)</f>
        <v>0</v>
      </c>
      <c r="AU331" s="51">
        <f>+AU293/(AU30*2)</f>
        <v>0</v>
      </c>
      <c r="AV331" s="51">
        <f>+AV293/(AV30*2)</f>
        <v>0</v>
      </c>
      <c r="AW331" s="51">
        <f>+AW293/(AW30)</f>
        <v>0</v>
      </c>
      <c r="AX331" s="51">
        <f>+AX293/(AX30*2)</f>
        <v>0</v>
      </c>
      <c r="AY331" s="51">
        <f>+AY293/(AY30*2)</f>
        <v>0</v>
      </c>
      <c r="AZ331" s="51">
        <f>+AZ293/(AZ30)</f>
        <v>0</v>
      </c>
      <c r="BA331" s="51"/>
      <c r="BB331" s="51"/>
      <c r="BC331" s="51">
        <f>+BC293/(BC30)</f>
        <v>0</v>
      </c>
      <c r="BD331" s="51">
        <f>+BD293/(BD30*2)</f>
        <v>0</v>
      </c>
      <c r="BE331" s="51">
        <f>+BE293/(BE30*2)</f>
        <v>0</v>
      </c>
      <c r="BF331" s="51">
        <f>+BF293/(BF30)</f>
        <v>0</v>
      </c>
      <c r="BG331" s="51">
        <f>+BG293/(BG30*2)</f>
        <v>0</v>
      </c>
      <c r="BH331" s="51">
        <f>+BH293/(BH30*2)</f>
        <v>0</v>
      </c>
      <c r="BI331" s="51">
        <f>+BI293/(BI30)</f>
        <v>0</v>
      </c>
      <c r="BJ331" s="51">
        <f>+BJ293/(BJ30*2)</f>
        <v>0</v>
      </c>
      <c r="BK331" s="51">
        <f>+BK293/(BK30*2)</f>
        <v>0</v>
      </c>
      <c r="BL331" s="51">
        <f>+BL293/(BL30)</f>
        <v>0</v>
      </c>
      <c r="BM331" s="51">
        <f>+BM293/(BM30*2)</f>
        <v>0</v>
      </c>
      <c r="BN331" s="51">
        <f>+BN293/(BN30*2)</f>
        <v>0</v>
      </c>
      <c r="BO331" s="51">
        <f>+BO293/(BO30)</f>
        <v>0</v>
      </c>
      <c r="BP331" s="51"/>
      <c r="BQ331" s="51"/>
      <c r="BR331" s="51"/>
      <c r="BS331" s="51"/>
      <c r="BT331" s="51"/>
      <c r="BU331" s="51"/>
      <c r="BV331" s="51">
        <f>+BV293/(BV30*2)</f>
        <v>0</v>
      </c>
      <c r="BW331" s="51">
        <f>+BW293/(BW30*2)</f>
        <v>6.4302872558871654E-2</v>
      </c>
      <c r="BX331" s="51">
        <f>+BX293/(BX30)</f>
        <v>6.742610837438423E-2</v>
      </c>
      <c r="BY331" s="51">
        <f>+BY293/(BY30*2)</f>
        <v>0</v>
      </c>
      <c r="BZ331" s="51">
        <f>+BZ293/(BZ30*2)</f>
        <v>6.9686209658249246E-2</v>
      </c>
      <c r="CA331" s="51">
        <f>+CA293/(CA30)</f>
        <v>6.7876131651741833E-2</v>
      </c>
      <c r="CB331" s="51">
        <f>+CB293/(CB30*2)</f>
        <v>0</v>
      </c>
      <c r="CC331" s="51">
        <f>+CC293/(CC30*2)</f>
        <v>5.885133441034985E-2</v>
      </c>
      <c r="CD331" s="51">
        <f>+CD293/(CD30)</f>
        <v>5.710631764578248E-2</v>
      </c>
      <c r="CE331" s="51">
        <f>+CE293/(CE30*2)</f>
        <v>0</v>
      </c>
      <c r="CF331" s="51">
        <f>+CF293/(CF30*2)</f>
        <v>6.9425223576207368E-2</v>
      </c>
      <c r="CG331" s="51">
        <f>+CG293/(CG30)</f>
        <v>7.191197956341551E-2</v>
      </c>
      <c r="CH331" s="51">
        <f>+CH293/(CH30*2)</f>
        <v>3.0207773244237165E-2</v>
      </c>
      <c r="CI331" s="51">
        <f>+CI293/(CI30*2)</f>
        <v>7.2060583537251324E-2</v>
      </c>
      <c r="CJ331" s="51">
        <f>+CJ293/(CJ30)</f>
        <v>7.2248772787232671E-2</v>
      </c>
      <c r="CK331" s="51">
        <f>+CK293/(CK30*2)</f>
        <v>7.3365967178911057E-2</v>
      </c>
      <c r="CL331" s="51">
        <f>+CL293/(CL30*2)</f>
        <v>7.408232720200951E-2</v>
      </c>
      <c r="CM331" s="51">
        <f>+CM293/(CM30)</f>
        <v>7.3722407015421806E-2</v>
      </c>
      <c r="CN331" s="51">
        <f>+CN293/(CN30*2)</f>
        <v>7.1925258332685885E-2</v>
      </c>
      <c r="CO331" s="51">
        <f>+CO293/(CO30*2)</f>
        <v>6.6344272984133909E-2</v>
      </c>
      <c r="CP331" s="51">
        <f>+CP293/(CP30)</f>
        <v>6.8662367848841582E-2</v>
      </c>
      <c r="CQ331" s="51">
        <f>+CQ293/(CQ30*2)</f>
        <v>7.0458793243290893E-2</v>
      </c>
      <c r="CR331" s="51">
        <f>+CR293/(CR30*2)</f>
        <v>7.665410536995429E-2</v>
      </c>
      <c r="CS331" s="51">
        <f>+CS293/(CS30)</f>
        <v>7.5614332946117385E-2</v>
      </c>
      <c r="CT331" s="51">
        <f>+CT293/(CT30*2)</f>
        <v>6.736916156203486E-2</v>
      </c>
      <c r="CU331" s="51">
        <f>+CU293/(CU30*2)</f>
        <v>8.9273106548063974E-2</v>
      </c>
      <c r="CV331" s="51">
        <f>+CV293/(CV30)</f>
        <v>8.6088449978531531E-2</v>
      </c>
      <c r="CW331" s="51">
        <f>+CW293/(CW30*2)</f>
        <v>6.2201089978867759E-2</v>
      </c>
      <c r="CX331" s="51">
        <f>+CX293/(CX30*2)</f>
        <v>7.3656873366898232E-2</v>
      </c>
      <c r="CY331" s="51">
        <f>+CY293/(CY30)</f>
        <v>6.8645502331244626E-2</v>
      </c>
      <c r="CZ331" s="51">
        <f>+CZ293/(CZ30*2)</f>
        <v>5.6808008207710967E-2</v>
      </c>
      <c r="DA331" s="51">
        <f>+DA293/(DA30*2)</f>
        <v>6.6834518705831389E-2</v>
      </c>
      <c r="DB331" s="51">
        <f>+DB293/(DB30)</f>
        <v>6.344729895048612E-2</v>
      </c>
      <c r="DC331" s="51">
        <f>+DC293/(DC30*2)</f>
        <v>6.3827378526468317E-2</v>
      </c>
      <c r="DD331" s="51">
        <f>+DD293/(DD30*2)</f>
        <v>6.8865521849862554E-2</v>
      </c>
      <c r="DE331" s="1080">
        <f>+DE293/(DE30)</f>
        <v>6.5161113298259424E-2</v>
      </c>
      <c r="DF331" s="51">
        <f>+DF293/(DF30*2)</f>
        <v>6.0842306827967048E-2</v>
      </c>
      <c r="DG331" s="51">
        <f>+DG293/(DG30*2)</f>
        <v>0.12044421439738807</v>
      </c>
      <c r="DH331" s="1080">
        <f>+DH293/(DH30)</f>
        <v>0.11219883560114807</v>
      </c>
      <c r="DI331" s="51">
        <f>+DI293/(DI30*2)</f>
        <v>0.10449990589452</v>
      </c>
      <c r="DJ331" s="51">
        <f>+DJ293/(DJ30*2)</f>
        <v>0.14926568189731873</v>
      </c>
      <c r="DK331" s="1080">
        <f>+DK293/(DK30)</f>
        <v>0.13169982241160075</v>
      </c>
      <c r="DL331" s="51">
        <f>+DL293/(DL30*2)</f>
        <v>0.14280388402162308</v>
      </c>
      <c r="DM331" s="51">
        <f>+DM293/(DM30*2)</f>
        <v>0.16919163369135104</v>
      </c>
      <c r="DN331" s="1080">
        <f>+DN293/(DN30)</f>
        <v>0.14495912278662482</v>
      </c>
      <c r="DO331" s="51">
        <f>+DO293/(DO30*2)</f>
        <v>0.16779994824760647</v>
      </c>
      <c r="DP331" s="51">
        <f>+DP293/(DP30*2)</f>
        <v>0.22454629344816979</v>
      </c>
      <c r="DQ331" s="1080">
        <f>+DQ293/(DQ30)</f>
        <v>0.2051842598376015</v>
      </c>
      <c r="DR331" s="51">
        <f>+DR293/(DR30*2)</f>
        <v>0.17533632286995515</v>
      </c>
      <c r="DS331" s="51">
        <f>+DS293/(DS30*2)</f>
        <v>0.18771225686940413</v>
      </c>
      <c r="DT331" s="1080">
        <f>+DT293/(DT30)</f>
        <v>0.17027235174683189</v>
      </c>
      <c r="DU331" s="51">
        <f>+DU293/(DU30*2)</f>
        <v>0.15196257139385103</v>
      </c>
      <c r="DV331" s="51">
        <f>+DV293/(DV30*2)</f>
        <v>0.18208430913348947</v>
      </c>
      <c r="DW331" s="1080">
        <f>+DW293/(DW30)</f>
        <v>0.16519487417834142</v>
      </c>
      <c r="DX331" s="51">
        <f>+DX293/(DX30*2)</f>
        <v>0.14909787444389522</v>
      </c>
      <c r="DY331" s="51">
        <f>+DY293/(DY30*2)</f>
        <v>0.16336755702500066</v>
      </c>
      <c r="DZ331" s="1080">
        <f>+DZ293/(DZ30)</f>
        <v>0.15590688154535337</v>
      </c>
      <c r="EA331" s="51">
        <f>+EA293/(EA30*2)</f>
        <v>0.13957739098533403</v>
      </c>
      <c r="EB331" s="51">
        <f>+EB293/(EB30*2)</f>
        <v>0.15686824170938188</v>
      </c>
      <c r="EC331" s="1080">
        <f>+EC293/(EC30)</f>
        <v>0.14771855268854872</v>
      </c>
      <c r="ED331" s="51">
        <f>+ED293/(ED30*2)</f>
        <v>0.13342641991969029</v>
      </c>
      <c r="EE331" s="51">
        <f>+EE293/(EE30*2)</f>
        <v>0.14742758506285175</v>
      </c>
      <c r="EF331" s="1080">
        <f>+EF293/(EF30)</f>
        <v>0.14007800866905676</v>
      </c>
      <c r="EG331" s="51">
        <f>+EG293/(EG30*2)</f>
        <v>0.1260595248617693</v>
      </c>
      <c r="EH331" s="51">
        <f>+EH293/(EH30*2)</f>
        <v>0.13820988679901061</v>
      </c>
      <c r="EI331" s="1080">
        <f>+EI293/(EI30)</f>
        <v>0.13185538614999603</v>
      </c>
      <c r="EJ331" s="51">
        <f>+EJ293/(EJ30*2)</f>
        <v>0.11901488545456951</v>
      </c>
      <c r="EK331" s="51">
        <f>+EK293/(EK30*2)</f>
        <v>0.12940252919963938</v>
      </c>
      <c r="EL331" s="1080">
        <f>+EL293/(EL30)</f>
        <v>0.12399152621135077</v>
      </c>
      <c r="EM331" s="51">
        <f>+EM293/(EM30*2)</f>
        <v>0.11282732931635732</v>
      </c>
      <c r="EN331" s="51">
        <f>+EN293/(EN30*2)</f>
        <v>0.12253376856357001</v>
      </c>
      <c r="EO331" s="1080">
        <f>+EO293/(EO30)</f>
        <v>0.11748039911973319</v>
      </c>
      <c r="EP331" s="51">
        <f>+EP293/(EP30*2)</f>
        <v>0.10703585215824504</v>
      </c>
      <c r="EQ331" s="51">
        <f>+EQ293/(EQ30*2)</f>
        <v>0.11568434744446285</v>
      </c>
      <c r="ER331" s="1080">
        <f>+ER293/(ER30)</f>
        <v>0.11119218402440791</v>
      </c>
      <c r="ES331" s="51">
        <f>+ES293/(ES30*2)</f>
        <v>0.10140507924777928</v>
      </c>
      <c r="ET331" s="51">
        <f>+ET293/(ET30*2)</f>
        <v>0.10918704165967141</v>
      </c>
      <c r="EU331" s="1080">
        <f>+EU293/(EU30)</f>
        <v>0.10515227791637508</v>
      </c>
      <c r="EV331" s="51">
        <f>+EV293/(EV30*2)</f>
        <v>9.6039331548405854E-2</v>
      </c>
      <c r="EW331" s="51">
        <f>+EW293/(EW30*2)</f>
        <v>0.10302640106945411</v>
      </c>
      <c r="EX331" s="1080">
        <f>+EX293/(EX30)</f>
        <v>9.9410245655314838E-2</v>
      </c>
      <c r="EY331" s="51">
        <f>+EY293/(EY30*2)</f>
        <v>9.0928450114095519E-2</v>
      </c>
      <c r="EZ331" s="51">
        <f>+EZ293/(EZ30*2)</f>
        <v>9.7187417609185048E-2</v>
      </c>
      <c r="FA331" s="1080">
        <f>+FA293/(FA30)</f>
        <v>9.3953810071928365E-2</v>
      </c>
      <c r="FD331"/>
      <c r="FE331"/>
      <c r="FF331"/>
      <c r="FG331"/>
      <c r="FH331"/>
      <c r="FI331"/>
    </row>
    <row r="332" spans="1:169" s="33" customFormat="1" outlineLevel="1">
      <c r="B332" s="54" t="s">
        <v>195</v>
      </c>
      <c r="C332" s="54"/>
      <c r="D332" s="2" t="s">
        <v>506</v>
      </c>
      <c r="E332" s="32"/>
      <c r="F332" s="32"/>
      <c r="G332" s="32"/>
      <c r="H332" s="32">
        <f>+(G234+H234)/2</f>
        <v>0</v>
      </c>
      <c r="I332" s="32">
        <f>+(H234+I234)/2</f>
        <v>0</v>
      </c>
      <c r="J332" s="32">
        <f>+(G234+J234)/2</f>
        <v>0</v>
      </c>
      <c r="K332" s="32">
        <f>+(J234+K234)/2</f>
        <v>0</v>
      </c>
      <c r="L332" s="32">
        <f>+(K234+L234)/2</f>
        <v>0</v>
      </c>
      <c r="M332" s="32">
        <f>+(J234+M234)/2</f>
        <v>0</v>
      </c>
      <c r="N332" s="32">
        <f>+(M234+N234)/2</f>
        <v>0</v>
      </c>
      <c r="O332" s="32">
        <f>+(N234+O234)/2</f>
        <v>0</v>
      </c>
      <c r="P332" s="32">
        <f>+(M234+P234)/2</f>
        <v>0</v>
      </c>
      <c r="Q332" s="32">
        <f>+(P234+Q234)/2</f>
        <v>0</v>
      </c>
      <c r="R332" s="32">
        <f>+(Q234+R234)/2</f>
        <v>0</v>
      </c>
      <c r="S332" s="32">
        <f>+(P234+S234)/2</f>
        <v>0</v>
      </c>
      <c r="T332" s="32">
        <f>+(S234+T234)/2</f>
        <v>0</v>
      </c>
      <c r="U332" s="32">
        <f>+(T234+U234)/2</f>
        <v>0</v>
      </c>
      <c r="V332" s="32">
        <f>+(S234+V234)/2</f>
        <v>0</v>
      </c>
      <c r="W332" s="32">
        <f>+(V234+W234)/2</f>
        <v>0</v>
      </c>
      <c r="X332" s="32">
        <f>+(W234+X234)/2</f>
        <v>0</v>
      </c>
      <c r="Y332" s="32">
        <f>+(V234+Y234)/2</f>
        <v>0</v>
      </c>
      <c r="Z332" s="32">
        <f>+(Y234+Z234)/2</f>
        <v>0</v>
      </c>
      <c r="AA332" s="32">
        <f>+(Z234+AA234)/2</f>
        <v>0</v>
      </c>
      <c r="AB332" s="32">
        <f>+(Y234+AB234)/2</f>
        <v>0</v>
      </c>
      <c r="AC332" s="32">
        <f>+(AB234+AC234)/2</f>
        <v>0</v>
      </c>
      <c r="AD332" s="32">
        <f>+(AC234+AD234)/2</f>
        <v>0</v>
      </c>
      <c r="AE332" s="32">
        <f>+(AB234+AE234)/2</f>
        <v>0</v>
      </c>
      <c r="AF332" s="32">
        <f>+(AE234+AF234)/2</f>
        <v>0</v>
      </c>
      <c r="AG332" s="32">
        <f>+(AF234+AG234)/2</f>
        <v>0</v>
      </c>
      <c r="AH332" s="32">
        <f>+(AE234+AH234)/2</f>
        <v>0</v>
      </c>
      <c r="AI332" s="32">
        <f>+(AH234+AI234)/2</f>
        <v>0</v>
      </c>
      <c r="AJ332" s="32">
        <f>+(AI234+AJ234)/2</f>
        <v>0</v>
      </c>
      <c r="AK332" s="32">
        <f>+(AH234+AK234)/2</f>
        <v>0</v>
      </c>
      <c r="AL332" s="32">
        <f>+(AK234+AL234)/2</f>
        <v>0</v>
      </c>
      <c r="AM332" s="32">
        <f>+(AL234+AM234)/2</f>
        <v>0</v>
      </c>
      <c r="AN332" s="32">
        <f>+(AK234+AN234)/2</f>
        <v>0</v>
      </c>
      <c r="AO332" s="32">
        <f>+(AN234+AO234)/2</f>
        <v>0</v>
      </c>
      <c r="AP332" s="32">
        <f>+(AO234+AP234)/2</f>
        <v>0</v>
      </c>
      <c r="AQ332" s="32">
        <f>+(AN234+AQ234)/2</f>
        <v>0</v>
      </c>
      <c r="AR332" s="32">
        <f>+(AQ234+AR234)/2</f>
        <v>0</v>
      </c>
      <c r="AS332" s="32">
        <f>+(AR234+AS234)/2</f>
        <v>0</v>
      </c>
      <c r="AT332" s="32">
        <f>+(AQ234+AT234)/2</f>
        <v>0</v>
      </c>
      <c r="AU332" s="32">
        <f>+(AT234+AU234)/2</f>
        <v>0</v>
      </c>
      <c r="AV332" s="32">
        <f>+(AU234+AV234)/2</f>
        <v>0</v>
      </c>
      <c r="AW332" s="32">
        <f>+(AT234+AW234)/2</f>
        <v>0</v>
      </c>
      <c r="AX332" s="32">
        <f>+(AW234+AX234)/2</f>
        <v>0</v>
      </c>
      <c r="AY332" s="32">
        <f>+(AX234+AY234)/2</f>
        <v>0</v>
      </c>
      <c r="AZ332" s="32">
        <f>+(AW234+AZ234)/2</f>
        <v>0</v>
      </c>
      <c r="BA332" s="32">
        <f>+(AZ234+BA234)/2</f>
        <v>0</v>
      </c>
      <c r="BB332" s="32">
        <f>+(BA234+BB234)/2</f>
        <v>0</v>
      </c>
      <c r="BC332" s="32">
        <f>+(AZ234+BC234)/2</f>
        <v>0</v>
      </c>
      <c r="BD332" s="32">
        <f>+(BC234+BD234)/2</f>
        <v>0</v>
      </c>
      <c r="BE332" s="32">
        <f>+(BD234+BE234)/2</f>
        <v>0</v>
      </c>
      <c r="BF332" s="32">
        <f>+(BC234+BF234)/2</f>
        <v>0</v>
      </c>
      <c r="BG332" s="32">
        <f>+(BF234+BG234)/2</f>
        <v>0</v>
      </c>
      <c r="BH332" s="32">
        <f>+(BG234+BH234)/2</f>
        <v>0</v>
      </c>
      <c r="BI332" s="32">
        <f>+(BF234+BI234)/2</f>
        <v>0</v>
      </c>
      <c r="BJ332" s="32">
        <f>+(BI234+BJ234)/2</f>
        <v>0</v>
      </c>
      <c r="BK332" s="32">
        <f>+(BJ234+BK234)/2</f>
        <v>0</v>
      </c>
      <c r="BL332" s="32">
        <f>+(BI234+BL234)/2</f>
        <v>0</v>
      </c>
      <c r="BM332" s="32">
        <f>+(BL234+BM234)/2</f>
        <v>0</v>
      </c>
      <c r="BN332" s="32">
        <f>+(BM234+BN234)/2</f>
        <v>0</v>
      </c>
      <c r="BO332" s="32">
        <f>+(BL234+BO234)/2</f>
        <v>0</v>
      </c>
      <c r="BP332" s="32">
        <f>+(BO234+BP234)/2</f>
        <v>0</v>
      </c>
      <c r="BQ332" s="32">
        <f>+(BP234+BQ234)/2</f>
        <v>0</v>
      </c>
      <c r="BR332" s="32">
        <f>+(BO234+BR234)/2</f>
        <v>0</v>
      </c>
      <c r="BS332" s="32">
        <f>+(BR234+BS234)/2</f>
        <v>0</v>
      </c>
      <c r="BT332" s="32">
        <f>+(BS234+BT234)/2</f>
        <v>0</v>
      </c>
      <c r="BU332" s="32">
        <f>+(BR234+BU234)/2</f>
        <v>0</v>
      </c>
      <c r="BV332" s="32">
        <f>+(BU234+BV234)/2</f>
        <v>0</v>
      </c>
      <c r="BW332" s="32">
        <f>+(BV234+BW234)/2</f>
        <v>576.5</v>
      </c>
      <c r="BX332" s="32">
        <f>+(BU234+BX234)/2</f>
        <v>576.5</v>
      </c>
      <c r="BY332" s="32">
        <f>+(BX234+BY234)/2</f>
        <v>576.5</v>
      </c>
      <c r="BZ332" s="32">
        <f>+(BY234+BZ234)/2</f>
        <v>617.5</v>
      </c>
      <c r="CA332" s="32">
        <f>+(BX234+CA234)/2</f>
        <v>1194</v>
      </c>
      <c r="CB332" s="32">
        <f>+(CA234+CB234)/2</f>
        <v>617.5</v>
      </c>
      <c r="CC332" s="32">
        <f>+(CB234+CC234)/2</f>
        <v>619.5</v>
      </c>
      <c r="CD332" s="32">
        <f>+(CA234+CD234)/2</f>
        <v>1237</v>
      </c>
      <c r="CE332" s="32">
        <f>+(CD234+CE234)/2</f>
        <v>619.5</v>
      </c>
      <c r="CF332" s="32">
        <f>+(CE234+CF234)/2</f>
        <v>782.5</v>
      </c>
      <c r="CG332" s="32">
        <f>+(CD234+CG234)/2</f>
        <v>1402</v>
      </c>
      <c r="CH332" s="32">
        <f>+(CG234+CH234)/2</f>
        <v>1480.0165</v>
      </c>
      <c r="CI332" s="32">
        <f>+(CH234+CI234)/2</f>
        <v>1428.5664999999999</v>
      </c>
      <c r="CJ332" s="32">
        <f>+(CG234+CJ234)/2</f>
        <v>1513.55</v>
      </c>
      <c r="CK332" s="32">
        <f>+(CJ234+CK234)/2</f>
        <v>1550.75</v>
      </c>
      <c r="CL332" s="32">
        <f>+(CK234+CL234)/2</f>
        <v>1639.4</v>
      </c>
      <c r="CM332" s="32">
        <f>+(CJ234+CM234)/2</f>
        <v>1550.75</v>
      </c>
      <c r="CN332" s="32">
        <f>+(CM234+CN234)/2</f>
        <v>1667.8000000000002</v>
      </c>
      <c r="CO332" s="32">
        <f>+(CN234+CO234)/2</f>
        <v>1670.35</v>
      </c>
      <c r="CP332" s="32">
        <f>+(CM234+CP234)/2</f>
        <v>1641.95</v>
      </c>
      <c r="CQ332" s="32">
        <f>+(CP234+CQ234)/2</f>
        <v>1635.85</v>
      </c>
      <c r="CR332" s="32">
        <f>+(CQ234+CR234)/2</f>
        <v>1691.4</v>
      </c>
      <c r="CS332" s="32">
        <f>+(CP234+CS234)/2</f>
        <v>1700.05</v>
      </c>
      <c r="CT332" s="32">
        <f>+(CS234+CT234)/2</f>
        <v>1824.9499999999998</v>
      </c>
      <c r="CU332" s="32">
        <f>+(CT234+CU234)/2</f>
        <v>2023.15</v>
      </c>
      <c r="CV332" s="32">
        <f>+(CS234+CV234)/2</f>
        <v>1953.8</v>
      </c>
      <c r="CW332" s="32">
        <f>+(CV234+CW234)/2</f>
        <v>2138.6</v>
      </c>
      <c r="CX332" s="32">
        <f>+(CW234+CX234)/2</f>
        <v>2350.5</v>
      </c>
      <c r="CY332" s="32">
        <f>+(CV234+CY234)/2</f>
        <v>2363.9</v>
      </c>
      <c r="CZ332" s="32">
        <f>+(CY234+CZ234)/2</f>
        <v>2550.75</v>
      </c>
      <c r="DA332" s="32">
        <f>+(CZ234+DA234)/2</f>
        <v>2609.25</v>
      </c>
      <c r="DB332" s="32">
        <f>+(CY234+DB234)/2</f>
        <v>2634.3</v>
      </c>
      <c r="DC332" s="32">
        <f>+(DB234+DC234)/2</f>
        <v>2744.1000000000004</v>
      </c>
      <c r="DD332" s="32">
        <f>+(DC234+DD234)/2</f>
        <v>2917.1000000000004</v>
      </c>
      <c r="DE332" s="1061">
        <f>+(DB234+DE234)/2</f>
        <v>2865.8</v>
      </c>
      <c r="DF332" s="32">
        <f>+(DE234+DF234)/2</f>
        <v>3132.7</v>
      </c>
      <c r="DG332" s="32">
        <f>+(DF234+DG234)/2</f>
        <v>3368.05</v>
      </c>
      <c r="DH332" s="1061">
        <f>+(DE234+DH234)/2</f>
        <v>3274.15</v>
      </c>
      <c r="DI332" s="32">
        <f>+(DH234+DI234)/2</f>
        <v>3571.55</v>
      </c>
      <c r="DJ332" s="32">
        <f>+(DI234+DJ234)/2</f>
        <v>3707.1</v>
      </c>
      <c r="DK332" s="1061">
        <f>+(DH234+DK234)/2</f>
        <v>3645.05</v>
      </c>
      <c r="DL332" s="32">
        <f>+(DK234+DL234)/2</f>
        <v>3793.6</v>
      </c>
      <c r="DM332" s="32">
        <f>+(DL234+DM234)/2</f>
        <v>4069.8</v>
      </c>
      <c r="DN332" s="1061">
        <f>+(DK234+DN234)/2</f>
        <v>4056.8</v>
      </c>
      <c r="DO332" s="32">
        <f>+(DN234+DO234)/2</f>
        <v>4695.1499999999996</v>
      </c>
      <c r="DP332" s="32">
        <f>+(DO234+DP234)/2</f>
        <v>5261.65</v>
      </c>
      <c r="DQ332" s="1061">
        <f>+(DN234+DQ234)/2</f>
        <v>4899.5</v>
      </c>
      <c r="DR332" s="32">
        <f>+(DQ234+DR234)/2</f>
        <v>5516</v>
      </c>
      <c r="DS332" s="32">
        <f>+(DR234+DS234)/2</f>
        <v>5765</v>
      </c>
      <c r="DT332" s="1061">
        <f>+(DQ234+DT234)/2</f>
        <v>5715</v>
      </c>
      <c r="DU332" s="32">
        <f>+(DT234+DU234)/2</f>
        <v>6051.5</v>
      </c>
      <c r="DV332" s="32">
        <f>+(DU234+DV234)/2</f>
        <v>6302.5</v>
      </c>
      <c r="DW332" s="1061">
        <f>+(DT234+DW234)/2</f>
        <v>6215</v>
      </c>
      <c r="DX332" s="32">
        <f>+(DW234+DX234)/2</f>
        <v>6518</v>
      </c>
      <c r="DY332" s="32">
        <f>+(DX234+DY234)/2</f>
        <v>6922.139004894043</v>
      </c>
      <c r="DZ332" s="1061">
        <f>+(DW234+DZ234)/2</f>
        <v>6870.139004894043</v>
      </c>
      <c r="EA332" s="32">
        <f>+(DZ234+EA234)/2</f>
        <v>7094.7190369689288</v>
      </c>
      <c r="EB332" s="32">
        <f>+(EA234+EB234)/2</f>
        <v>7296.3327796433259</v>
      </c>
      <c r="EC332" s="1061">
        <f>+(DZ234+EC234)/2</f>
        <v>7475.891752462484</v>
      </c>
      <c r="ED332" s="32">
        <f>+(EC234+ED234)/2</f>
        <v>7455.7275587825789</v>
      </c>
      <c r="EE332" s="32">
        <f>+(ED234+EE234)/2</f>
        <v>7665.1120269544299</v>
      </c>
      <c r="EF332" s="1061">
        <f>+(EC234+EF234)/2</f>
        <v>7886.8899633087331</v>
      </c>
      <c r="EG332" s="32">
        <f>+(EF234+EG234)/2</f>
        <v>7876.4873584938487</v>
      </c>
      <c r="EH332" s="32">
        <f>+(EG234+EH234)/2</f>
        <v>8128.9328990387621</v>
      </c>
      <c r="EI332" s="1061">
        <f>+(EF234+EI234)/2</f>
        <v>8348.7199720254976</v>
      </c>
      <c r="EJ332" s="32">
        <f>+(EI234+EJ234)/2</f>
        <v>8355.5377155471597</v>
      </c>
      <c r="EK332" s="32">
        <f>+(EJ234+EK234)/2</f>
        <v>8628.2916809458347</v>
      </c>
      <c r="EL332" s="1061">
        <f>+(EI234+EL234)/2</f>
        <v>8873.9194779690879</v>
      </c>
      <c r="EM332" s="32">
        <f>+(EL234+EM234)/2</f>
        <v>8850.6691988786097</v>
      </c>
      <c r="EN332" s="32">
        <f>+(EM234+EN234)/2</f>
        <v>9093.8678672669121</v>
      </c>
      <c r="EO332" s="1061">
        <f>+(EL234+EO234)/2</f>
        <v>9389.8721117560654</v>
      </c>
      <c r="EP332" s="32">
        <f>+(EO234+EP234)/2</f>
        <v>9325.3050244420738</v>
      </c>
      <c r="EQ332" s="32">
        <f>+(EP234+EQ234)/2</f>
        <v>9586.8423870019869</v>
      </c>
      <c r="ER332" s="1061">
        <f>+(EO234+ER234)/2</f>
        <v>9894.6081427042827</v>
      </c>
      <c r="ES332" s="32">
        <f>+(ER234+ES234)/2</f>
        <v>9837.2031983643683</v>
      </c>
      <c r="ET332" s="32">
        <f>+(ES234+ET234)/2</f>
        <v>10117.411893977129</v>
      </c>
      <c r="EU332" s="1061">
        <f>+(ER234+EU234)/2</f>
        <v>10436.354200876956</v>
      </c>
      <c r="EV332" s="32">
        <f>+(EU234+EV234)/2</f>
        <v>10383.306010777964</v>
      </c>
      <c r="EW332" s="32">
        <f>+(EV234+EW234)/2</f>
        <v>10680.668971152883</v>
      </c>
      <c r="EX332" s="1061">
        <f>+(EU234+EX234)/2</f>
        <v>11013.925856864636</v>
      </c>
      <c r="EY332" s="32">
        <f>+(EX234+EY234)/2</f>
        <v>10963.114176271614</v>
      </c>
      <c r="EZ332" s="32">
        <f>+(EY234+EZ234)/2</f>
        <v>11278.728406024213</v>
      </c>
      <c r="FA332" s="1061">
        <f>+(EX234+FA234)/2</f>
        <v>11626.903046992156</v>
      </c>
      <c r="FD332"/>
      <c r="FE332"/>
      <c r="FF332"/>
      <c r="FG332"/>
      <c r="FH332"/>
      <c r="FI332"/>
    </row>
    <row r="333" spans="1:169" s="33" customFormat="1" outlineLevel="1">
      <c r="B333" s="54" t="s">
        <v>196</v>
      </c>
      <c r="C333" s="54"/>
      <c r="D333" s="2" t="s">
        <v>367</v>
      </c>
      <c r="E333" s="32"/>
      <c r="F333" s="32"/>
      <c r="G333" s="32"/>
      <c r="H333" s="32"/>
      <c r="I333" s="32"/>
      <c r="J333" s="32"/>
      <c r="K333" s="32"/>
      <c r="L333" s="32"/>
      <c r="M333" s="32"/>
      <c r="N333" s="32"/>
      <c r="O333" s="32"/>
      <c r="P333" s="32"/>
      <c r="Q333" s="32"/>
      <c r="R333" s="32"/>
      <c r="S333" s="32"/>
      <c r="T333" s="32"/>
      <c r="U333" s="32"/>
      <c r="V333" s="32"/>
      <c r="W333" s="32"/>
      <c r="X333" s="32"/>
      <c r="Y333" s="32"/>
      <c r="Z333" s="32"/>
      <c r="AA333" s="32"/>
      <c r="AB333" s="32"/>
      <c r="AC333" s="32"/>
      <c r="AD333" s="32"/>
      <c r="AE333" s="32"/>
      <c r="AF333" s="32"/>
      <c r="AG333" s="32"/>
      <c r="AH333" s="32"/>
      <c r="AI333" s="32"/>
      <c r="AJ333" s="32"/>
      <c r="AK333" s="32"/>
      <c r="AL333" s="32"/>
      <c r="AM333" s="32"/>
      <c r="AN333" s="32"/>
      <c r="AO333" s="32"/>
      <c r="AP333" s="32"/>
      <c r="AQ333" s="32"/>
      <c r="AR333" s="32"/>
      <c r="AS333" s="32"/>
      <c r="AT333" s="32"/>
      <c r="AU333" s="32"/>
      <c r="AV333" s="32"/>
      <c r="AW333" s="32"/>
      <c r="AX333" s="32"/>
      <c r="AY333" s="32"/>
      <c r="AZ333" s="32"/>
      <c r="BA333" s="32"/>
      <c r="BB333" s="32"/>
      <c r="BC333" s="32"/>
      <c r="BD333" s="32"/>
      <c r="BE333" s="32"/>
      <c r="BF333" s="32"/>
      <c r="BG333" s="32"/>
      <c r="BH333" s="32"/>
      <c r="BI333" s="32"/>
      <c r="BJ333" s="32"/>
      <c r="BK333" s="32"/>
      <c r="BL333" s="32"/>
      <c r="BM333" s="32"/>
      <c r="BN333" s="32"/>
      <c r="BO333" s="32"/>
      <c r="BP333" s="32"/>
      <c r="BQ333" s="32"/>
      <c r="BR333" s="32"/>
      <c r="BS333" s="32"/>
      <c r="BT333" s="32"/>
      <c r="BU333" s="32"/>
      <c r="BV333" s="32"/>
      <c r="BW333" s="32">
        <f t="shared" ref="BW333:DB333" si="858">+BW30/BW332</f>
        <v>2.9538227648834647</v>
      </c>
      <c r="BX333" s="32">
        <f t="shared" si="858"/>
        <v>5.6339982653946228</v>
      </c>
      <c r="BY333" s="32">
        <f t="shared" si="858"/>
        <v>3.120090674987626</v>
      </c>
      <c r="BZ333" s="32">
        <f t="shared" si="858"/>
        <v>2.7654330971992347</v>
      </c>
      <c r="CA333" s="32">
        <f t="shared" si="858"/>
        <v>2.9366727065752878</v>
      </c>
      <c r="CB333" s="32">
        <f t="shared" si="858"/>
        <v>3.3870922862789929</v>
      </c>
      <c r="CC333" s="32">
        <f t="shared" si="858"/>
        <v>3.1817083222362625</v>
      </c>
      <c r="CD333" s="32">
        <f t="shared" si="858"/>
        <v>3.2842342703335836</v>
      </c>
      <c r="CE333" s="32">
        <f t="shared" si="858"/>
        <v>3.3005458322469936</v>
      </c>
      <c r="CF333" s="32">
        <f t="shared" si="858"/>
        <v>2.8071667453805351</v>
      </c>
      <c r="CG333" s="32">
        <f t="shared" si="858"/>
        <v>3.0251755501692448</v>
      </c>
      <c r="CH333" s="32">
        <f t="shared" si="858"/>
        <v>1.558166225078532</v>
      </c>
      <c r="CI333" s="32">
        <f t="shared" si="858"/>
        <v>1.6227373924427455</v>
      </c>
      <c r="CJ333" s="32">
        <f t="shared" si="858"/>
        <v>3.0552674176604673</v>
      </c>
      <c r="CK333" s="32">
        <f t="shared" si="858"/>
        <v>1.6071578268579718</v>
      </c>
      <c r="CL333" s="32">
        <f t="shared" si="858"/>
        <v>1.5055508112724176</v>
      </c>
      <c r="CM333" s="32">
        <f t="shared" si="858"/>
        <v>3.1987747863936815</v>
      </c>
      <c r="CN333" s="32">
        <f t="shared" si="858"/>
        <v>1.5434704401007313</v>
      </c>
      <c r="CO333" s="32">
        <f t="shared" si="858"/>
        <v>1.6527075163887803</v>
      </c>
      <c r="CP333" s="32">
        <f t="shared" si="858"/>
        <v>3.2490636133865216</v>
      </c>
      <c r="CQ333" s="32">
        <f t="shared" si="858"/>
        <v>1.733471895344928</v>
      </c>
      <c r="CR333" s="32">
        <f t="shared" si="858"/>
        <v>1.6316660754404646</v>
      </c>
      <c r="CS333" s="32">
        <f t="shared" si="858"/>
        <v>3.2913737831240271</v>
      </c>
      <c r="CT333" s="32">
        <f t="shared" si="858"/>
        <v>1.7182430861119486</v>
      </c>
      <c r="CU333" s="32">
        <f t="shared" si="858"/>
        <v>1.4431417739663406</v>
      </c>
      <c r="CV333" s="32">
        <f t="shared" si="858"/>
        <v>3.0992936841027752</v>
      </c>
      <c r="CW333" s="32">
        <f t="shared" si="858"/>
        <v>1.6816608996539792</v>
      </c>
      <c r="CX333" s="32">
        <f t="shared" si="858"/>
        <v>1.335120187194214</v>
      </c>
      <c r="CY333" s="32">
        <f t="shared" si="858"/>
        <v>2.8489360802064381</v>
      </c>
      <c r="CZ333" s="32">
        <f t="shared" si="858"/>
        <v>1.5993454719386089</v>
      </c>
      <c r="DA333" s="32">
        <f t="shared" si="858"/>
        <v>1.4126548002117822</v>
      </c>
      <c r="DB333" s="32">
        <f t="shared" si="858"/>
        <v>2.9478419314428876</v>
      </c>
      <c r="DC333" s="32">
        <f t="shared" ref="DC333:EC333" si="859">+DC30/DC332</f>
        <v>1.6094894500929267</v>
      </c>
      <c r="DD333" s="32">
        <f t="shared" si="859"/>
        <v>1.359466593534675</v>
      </c>
      <c r="DE333" s="1061">
        <f t="shared" si="859"/>
        <v>2.9249424244539051</v>
      </c>
      <c r="DF333" s="32">
        <f t="shared" si="859"/>
        <v>1.5276701934959382</v>
      </c>
      <c r="DG333" s="32">
        <f t="shared" si="859"/>
        <v>1.238838814443745</v>
      </c>
      <c r="DH333" s="1061">
        <f t="shared" si="859"/>
        <v>2.7360394252407438</v>
      </c>
      <c r="DI333" s="32">
        <f t="shared" si="859"/>
        <v>1.590722467596781</v>
      </c>
      <c r="DJ333" s="32">
        <f t="shared" si="859"/>
        <v>1.2098286788481354</v>
      </c>
      <c r="DK333" s="1061">
        <f t="shared" si="859"/>
        <v>2.7890703075412424</v>
      </c>
      <c r="DL333" s="32">
        <f t="shared" si="859"/>
        <v>1.5555409110080136</v>
      </c>
      <c r="DM333" s="32">
        <f t="shared" si="859"/>
        <v>1.0866627352695464</v>
      </c>
      <c r="DN333" s="1061">
        <f t="shared" si="859"/>
        <v>2.5447643462827845</v>
      </c>
      <c r="DO333" s="32">
        <f t="shared" si="859"/>
        <v>1.4815714087941814</v>
      </c>
      <c r="DP333" s="32">
        <f t="shared" si="859"/>
        <v>1.1121606340216472</v>
      </c>
      <c r="DQ333" s="1061">
        <f t="shared" si="859"/>
        <v>2.6141443004388201</v>
      </c>
      <c r="DR333" s="32">
        <f t="shared" si="859"/>
        <v>1.4149746192893402</v>
      </c>
      <c r="DS333" s="32">
        <f t="shared" si="859"/>
        <v>1.1236773633998265</v>
      </c>
      <c r="DT333" s="1061">
        <f t="shared" si="859"/>
        <v>2.4992125984251969</v>
      </c>
      <c r="DU333" s="32">
        <f>+DU30/DU332</f>
        <v>1.3598281417830289</v>
      </c>
      <c r="DV333" s="32">
        <f>+DV30/DV332</f>
        <v>1.0840142800476003</v>
      </c>
      <c r="DW333" s="1061">
        <f>+DW30/DW332</f>
        <v>2.4233306516492359</v>
      </c>
      <c r="DX333" s="32">
        <f t="shared" si="859"/>
        <v>1.2414851181343971</v>
      </c>
      <c r="DY333" s="32">
        <f t="shared" si="859"/>
        <v>1.0668938097959091</v>
      </c>
      <c r="DZ333" s="1061">
        <f t="shared" si="859"/>
        <v>2.2528201021613787</v>
      </c>
      <c r="EA333" s="32">
        <f t="shared" si="859"/>
        <v>1.2183639739848191</v>
      </c>
      <c r="EB333" s="32">
        <f t="shared" si="859"/>
        <v>1.0541142004967716</v>
      </c>
      <c r="EC333" s="1061">
        <f t="shared" si="859"/>
        <v>2.1850394060853944</v>
      </c>
      <c r="ED333" s="32">
        <f t="shared" ref="ED333:EL333" si="860">+ED30/ED332</f>
        <v>1.2128175227357494</v>
      </c>
      <c r="EE333" s="32">
        <f t="shared" si="860"/>
        <v>1.0676528607602214</v>
      </c>
      <c r="EF333" s="1061">
        <f t="shared" si="860"/>
        <v>2.184145574719552</v>
      </c>
      <c r="EG333" s="32">
        <f t="shared" si="860"/>
        <v>1.2151197508827138</v>
      </c>
      <c r="EH333" s="32">
        <f t="shared" si="860"/>
        <v>1.0738773349394346</v>
      </c>
      <c r="EI333" s="1061">
        <f t="shared" si="860"/>
        <v>2.1919949663810856</v>
      </c>
      <c r="EJ333" s="32">
        <f t="shared" si="860"/>
        <v>1.2132537418019471</v>
      </c>
      <c r="EK333" s="32">
        <f t="shared" si="860"/>
        <v>1.080587012229685</v>
      </c>
      <c r="EL333" s="1061">
        <f t="shared" si="860"/>
        <v>2.1930565602527077</v>
      </c>
      <c r="EM333" s="32">
        <f t="shared" ref="EM333:ER333" si="861">+EM30/EM332</f>
        <v>1.2081946520316993</v>
      </c>
      <c r="EN333" s="32">
        <f t="shared" si="861"/>
        <v>1.0827367954844098</v>
      </c>
      <c r="EO333" s="1061">
        <f t="shared" si="861"/>
        <v>2.1874202653340276</v>
      </c>
      <c r="EP333" s="32">
        <f t="shared" si="861"/>
        <v>1.2087458862075253</v>
      </c>
      <c r="EQ333" s="32">
        <f t="shared" si="861"/>
        <v>1.0878703438114636</v>
      </c>
      <c r="ER333" s="1061">
        <f t="shared" si="861"/>
        <v>2.1932314343888475</v>
      </c>
      <c r="ES333" s="32">
        <f t="shared" ref="ES333:FA333" si="862">+ES30/ES332</f>
        <v>1.2094724358554398</v>
      </c>
      <c r="ET333" s="32">
        <f t="shared" si="862"/>
        <v>1.0921613310486553</v>
      </c>
      <c r="EU333" s="1061">
        <f t="shared" si="862"/>
        <v>2.198820748465586</v>
      </c>
      <c r="EV333" s="32">
        <f t="shared" si="862"/>
        <v>1.2098806866803995</v>
      </c>
      <c r="EW333" s="32">
        <f t="shared" si="862"/>
        <v>1.0964285658156123</v>
      </c>
      <c r="EX333" s="1061">
        <f t="shared" si="862"/>
        <v>2.203860120703149</v>
      </c>
      <c r="EY333" s="32">
        <f t="shared" si="862"/>
        <v>1.2103015809000777</v>
      </c>
      <c r="EZ333" s="32">
        <f t="shared" si="862"/>
        <v>1.1006700389606219</v>
      </c>
      <c r="FA333" s="1061">
        <f t="shared" si="862"/>
        <v>2.2089143385313257</v>
      </c>
      <c r="FD333"/>
      <c r="FE333"/>
      <c r="FF333"/>
      <c r="FG333"/>
      <c r="FH333"/>
      <c r="FI333"/>
    </row>
    <row r="334" spans="1:169" s="33" customFormat="1" outlineLevel="1">
      <c r="B334" s="54" t="s">
        <v>197</v>
      </c>
      <c r="C334" s="54"/>
      <c r="D334" s="2" t="s">
        <v>198</v>
      </c>
      <c r="E334" s="32"/>
      <c r="F334" s="32"/>
      <c r="G334" s="32"/>
      <c r="H334" s="32"/>
      <c r="I334" s="32"/>
      <c r="J334" s="32"/>
      <c r="K334" s="32"/>
      <c r="L334" s="32"/>
      <c r="M334" s="32"/>
      <c r="N334" s="32"/>
      <c r="O334" s="32"/>
      <c r="P334" s="32"/>
      <c r="Q334" s="32"/>
      <c r="R334" s="32"/>
      <c r="S334" s="32"/>
      <c r="T334" s="32"/>
      <c r="U334" s="32"/>
      <c r="V334" s="32"/>
      <c r="W334" s="32"/>
      <c r="X334" s="32"/>
      <c r="Y334" s="32"/>
      <c r="Z334" s="32"/>
      <c r="AA334" s="32"/>
      <c r="AB334" s="32"/>
      <c r="AC334" s="32"/>
      <c r="AD334" s="32"/>
      <c r="AE334" s="32"/>
      <c r="AF334" s="32"/>
      <c r="AG334" s="32"/>
      <c r="AH334" s="32"/>
      <c r="AI334" s="32"/>
      <c r="AJ334" s="32"/>
      <c r="AK334" s="32"/>
      <c r="AL334" s="32"/>
      <c r="AM334" s="32">
        <f>+(AM332/(AM30*2))*365</f>
        <v>0</v>
      </c>
      <c r="AN334" s="32">
        <f>+(AN332/(AN30))*365</f>
        <v>0</v>
      </c>
      <c r="AO334" s="32">
        <f>+(AO332/(AO30*2))*365</f>
        <v>0</v>
      </c>
      <c r="AP334" s="32">
        <f>+(AP332/(AP30*2))*365</f>
        <v>0</v>
      </c>
      <c r="AQ334" s="32">
        <f>+(AQ332/(AQ30))*365</f>
        <v>0</v>
      </c>
      <c r="AR334" s="32">
        <f>+(AR332/(AR30*2))*365</f>
        <v>0</v>
      </c>
      <c r="AS334" s="32">
        <f>+(AS332/(AS30*2))*365</f>
        <v>0</v>
      </c>
      <c r="AT334" s="32">
        <f>+(AT332/(AT30))*365</f>
        <v>0</v>
      </c>
      <c r="AU334" s="32">
        <f>+(AU332/(AU30*2))*365</f>
        <v>0</v>
      </c>
      <c r="AV334" s="32">
        <f>+(AV332/(AV30*2))*365</f>
        <v>0</v>
      </c>
      <c r="AW334" s="32">
        <f>+(AW332/(AW30))*365</f>
        <v>0</v>
      </c>
      <c r="AX334" s="32">
        <f>+(AX332/(AX30*2))*365</f>
        <v>0</v>
      </c>
      <c r="AY334" s="32">
        <f>+(AY332/(AY30*2))*365</f>
        <v>0</v>
      </c>
      <c r="AZ334" s="32">
        <f>+(AZ332/(AZ30))*365</f>
        <v>0</v>
      </c>
      <c r="BA334" s="32"/>
      <c r="BB334" s="32"/>
      <c r="BC334" s="32">
        <f>+(BC332/(BC30))*365</f>
        <v>0</v>
      </c>
      <c r="BD334" s="32">
        <f>+(BD332/(BD30*2))*365</f>
        <v>0</v>
      </c>
      <c r="BE334" s="32">
        <f>+(BE332/(BE30*2))*365</f>
        <v>0</v>
      </c>
      <c r="BF334" s="32">
        <f>+(BF332/(BF30))*365</f>
        <v>0</v>
      </c>
      <c r="BG334" s="32">
        <f>+(BG332/(BG30*2))*365</f>
        <v>0</v>
      </c>
      <c r="BH334" s="32">
        <f>+(BH332/(BH30*2))*365</f>
        <v>0</v>
      </c>
      <c r="BI334" s="32">
        <f>+(BI332/(BI30))*365</f>
        <v>0</v>
      </c>
      <c r="BJ334" s="32">
        <f>+(BJ332/(BJ30*2))*365</f>
        <v>0</v>
      </c>
      <c r="BK334" s="32">
        <f>+(BK332/(BK30*2))*365</f>
        <v>0</v>
      </c>
      <c r="BL334" s="32">
        <f>+(BL332/(BL30))*365</f>
        <v>0</v>
      </c>
      <c r="BM334" s="32">
        <f>+(BM332/(BM30*2))*365</f>
        <v>0</v>
      </c>
      <c r="BN334" s="32">
        <f>+(BN332/(BN30*2))*365</f>
        <v>0</v>
      </c>
      <c r="BO334" s="32">
        <f>+(BO332/(BO30))*365</f>
        <v>0</v>
      </c>
      <c r="BP334" s="32"/>
      <c r="BQ334" s="32"/>
      <c r="BR334" s="32"/>
      <c r="BS334" s="32"/>
      <c r="BT334" s="32"/>
      <c r="BU334" s="32"/>
      <c r="BV334" s="32">
        <f>+(BV332/(BV30*2))*365</f>
        <v>0</v>
      </c>
      <c r="BW334" s="32">
        <f>+(BW332/(BW30*2))*365</f>
        <v>61.784343383649173</v>
      </c>
      <c r="BX334" s="32">
        <f>+(BX332/(BX30))*365</f>
        <v>64.785252463054192</v>
      </c>
      <c r="BY334" s="32">
        <f>+(BY332/(BY30*2))*365</f>
        <v>58.491889823273731</v>
      </c>
      <c r="BZ334" s="32">
        <f>+(BZ332/(BZ30*2))*365</f>
        <v>65.993279745162411</v>
      </c>
      <c r="CA334" s="32">
        <f>+(CA332/(CA30))*365</f>
        <v>124.29032325691432</v>
      </c>
      <c r="CB334" s="32">
        <f>+(CB332/(CB30*2))*365</f>
        <v>53.881023773489112</v>
      </c>
      <c r="CC334" s="32">
        <f>+(CC332/(CC30*2))*365</f>
        <v>57.359123312639149</v>
      </c>
      <c r="CD334" s="32">
        <f>+(CD332/(CD30))*365</f>
        <v>111.13701702008198</v>
      </c>
      <c r="CE334" s="32">
        <f>+(CE332/(CE30*2))*365</f>
        <v>55.293884489328541</v>
      </c>
      <c r="CF334" s="32">
        <f>+(CF332/(CF30*2))*365</f>
        <v>65.012169405441071</v>
      </c>
      <c r="CG334" s="32">
        <f>+(CG332/(CG30))*365</f>
        <v>120.65415508848072</v>
      </c>
      <c r="CH334" s="32">
        <f>+(CH332/(CH30*2))*365</f>
        <v>117.12485937808205</v>
      </c>
      <c r="CI334" s="32">
        <f>+(CI332/(CI30*2))*365</f>
        <v>112.46428464021426</v>
      </c>
      <c r="CJ334" s="32">
        <f>+(CJ332/(CJ30))*365</f>
        <v>119.46581104167116</v>
      </c>
      <c r="CK334" s="32">
        <f>+(CK332/(CK30*2))*365</f>
        <v>113.55449785338844</v>
      </c>
      <c r="CL334" s="32">
        <f>+(CL332/(CL30*2))*365</f>
        <v>121.21809415768568</v>
      </c>
      <c r="CM334" s="32">
        <f>+(CM332/(CM30))*365</f>
        <v>114.10618889224872</v>
      </c>
      <c r="CN334" s="32">
        <f>+(CN332/(CN30*2))*365</f>
        <v>118.24003573925881</v>
      </c>
      <c r="CO334" s="32">
        <f>+(CO332/(CO30*2))*365</f>
        <v>110.42486234876479</v>
      </c>
      <c r="CP334" s="32">
        <f>+(CP332/(CP30))*365</f>
        <v>112.34005960860765</v>
      </c>
      <c r="CQ334" s="32">
        <f>+(CQ332/(CQ30*2))*365</f>
        <v>105.28004549141305</v>
      </c>
      <c r="CR334" s="32">
        <f>+(CR332/(CR30*2))*365</f>
        <v>111.84886585984485</v>
      </c>
      <c r="CS334" s="32">
        <f>+(CS332/(CS30))*365</f>
        <v>110.89594316861759</v>
      </c>
      <c r="CT334" s="32">
        <f>+(CT332/(CT30*2))*365</f>
        <v>106.21314380665554</v>
      </c>
      <c r="CU334" s="32">
        <f>+(CU332/(CU30*2))*365</f>
        <v>126.46020182647459</v>
      </c>
      <c r="CV334" s="32">
        <f>+(CV332/(CV30))*365</f>
        <v>117.76876837203153</v>
      </c>
      <c r="CW334" s="32">
        <f>+(CW332/(CW30*2))*365</f>
        <v>108.52366255144034</v>
      </c>
      <c r="CX334" s="32">
        <f>+(CX332/(CX30*2))*365</f>
        <v>136.6918137785992</v>
      </c>
      <c r="CY334" s="32">
        <f>+(CY332/(CY30))*365</f>
        <v>128.118002553975</v>
      </c>
      <c r="CZ334" s="32">
        <f>+(CZ332/(CZ30*2))*365</f>
        <v>114.10917978764583</v>
      </c>
      <c r="DA334" s="32">
        <f>+(DA332/(DA30*2))*365</f>
        <v>129.18938156203481</v>
      </c>
      <c r="DB334" s="32">
        <f>+(DB332/(DB30))*365</f>
        <v>123.81939347112227</v>
      </c>
      <c r="DC334" s="32">
        <f>+(DC332/(DC30*2))*365</f>
        <v>113.38999456595572</v>
      </c>
      <c r="DD334" s="32">
        <f>+(DD332/(DD30*2))*365</f>
        <v>134.24382832791181</v>
      </c>
      <c r="DE334" s="1061">
        <f>+(DE332/(DE30))*365</f>
        <v>124.78878112212637</v>
      </c>
      <c r="DF334" s="32">
        <f>+(DF332/(DF30*2))*365</f>
        <v>119.46295789300233</v>
      </c>
      <c r="DG334" s="32">
        <f>+(DG332/(DG30*2))*365</f>
        <v>147.3153713559943</v>
      </c>
      <c r="DH334" s="1061">
        <f>+(DH332/(DH30))*365</f>
        <v>133.40451041486133</v>
      </c>
      <c r="DI334" s="32">
        <f>+(DI332/(DI30*2))*365</f>
        <v>114.72774397643099</v>
      </c>
      <c r="DJ334" s="32">
        <f>+(DJ332/(DJ30*2))*365</f>
        <v>150.84780447902446</v>
      </c>
      <c r="DK334" s="1061">
        <f>+(DK332/(DK30))*365</f>
        <v>130.86798099463209</v>
      </c>
      <c r="DL334" s="32">
        <f>+(DL332/(DL30*2))*365</f>
        <v>117.32253308705155</v>
      </c>
      <c r="DM334" s="32">
        <f>+(DM332/(DM30*2))*365</f>
        <v>167.94539287733184</v>
      </c>
      <c r="DN334" s="1061">
        <f>+(DN332/(DN30))*365</f>
        <v>143.4317486148243</v>
      </c>
      <c r="DO334" s="32">
        <f>+(DO332/(DO30*2))*365</f>
        <v>123.18002285730715</v>
      </c>
      <c r="DP334" s="32">
        <f>+(DP332/(DP30*2))*365</f>
        <v>164.09500068355035</v>
      </c>
      <c r="DQ334" s="1061">
        <f>+(DQ332/(DQ30))*365</f>
        <v>139.62503903810119</v>
      </c>
      <c r="DR334" s="32">
        <f>+(DR332/(DR30*2))*365</f>
        <v>128.97757847533632</v>
      </c>
      <c r="DS334" s="32">
        <f>+(DS332/(DS30*2))*365</f>
        <v>162.41316764433469</v>
      </c>
      <c r="DT334" s="1061">
        <f>+(DT332/(DT30))*365</f>
        <v>146.04599873976056</v>
      </c>
      <c r="DU334" s="32">
        <f>+(DU332/(DU30*2))*365</f>
        <v>134.20813586097947</v>
      </c>
      <c r="DV334" s="32">
        <f>+(DV332/(DV30*2))*365</f>
        <v>168.35571574941451</v>
      </c>
      <c r="DW334" s="1061">
        <f>+(DW332/(DW30))*365</f>
        <v>150.61914879490075</v>
      </c>
      <c r="DX334" s="32">
        <f>+(DX332/(DX30*2))*365</f>
        <v>147.00135936727631</v>
      </c>
      <c r="DY334" s="32">
        <f>+(DY332/(DY30*2))*365</f>
        <v>171.05732391015675</v>
      </c>
      <c r="DZ334" s="1061">
        <f>+(DZ332/(DZ30))*365</f>
        <v>162.01915086331806</v>
      </c>
      <c r="EA334" s="32">
        <f>+(EA332/(EA30*2))*365</f>
        <v>149.79103445016503</v>
      </c>
      <c r="EB334" s="32">
        <f>+(EB332/(EB30*2))*365</f>
        <v>173.13114642985869</v>
      </c>
      <c r="EC334" s="1061">
        <f>+(EC332/(EC30))*365</f>
        <v>167.04504229235638</v>
      </c>
      <c r="ED334" s="32">
        <f>+(ED332/(ED30*2))*365</f>
        <v>150.47605808690429</v>
      </c>
      <c r="EE334" s="32">
        <f>+(EE332/(EE30*2))*365</f>
        <v>170.93571019896021</v>
      </c>
      <c r="EF334" s="1061">
        <f>+(EF332/(EF30))*365</f>
        <v>167.11340316538497</v>
      </c>
      <c r="EG334" s="32">
        <f>+(EG332/(EG30*2))*365</f>
        <v>150.19095843633875</v>
      </c>
      <c r="EH334" s="32">
        <f>+(EH332/(EH30*2))*365</f>
        <v>169.94492207091119</v>
      </c>
      <c r="EI334" s="1061">
        <f>+(EI332/(EI30))*365</f>
        <v>166.51498091832002</v>
      </c>
      <c r="EJ334" s="32">
        <f>+(EJ332/(EJ30*2))*365</f>
        <v>150.42195520365559</v>
      </c>
      <c r="EK334" s="32">
        <f>+(EK332/(EK30*2))*365</f>
        <v>168.8896848976828</v>
      </c>
      <c r="EL334" s="1061">
        <f>+(EL332/(EL30))*365</f>
        <v>166.43437593690734</v>
      </c>
      <c r="EM334" s="32">
        <f>+(EM332/(EM30*2))*365</f>
        <v>151.05181908652563</v>
      </c>
      <c r="EN334" s="32">
        <f>+(EN332/(EN30*2))*365</f>
        <v>168.5543529702901</v>
      </c>
      <c r="EO334" s="1061">
        <f>+(EO332/(EO30))*365</f>
        <v>166.86322504389119</v>
      </c>
      <c r="EP334" s="32">
        <f>+(EP332/(EP30*2))*365</f>
        <v>150.98293370213565</v>
      </c>
      <c r="EQ334" s="32">
        <f>+(EQ332/(EQ30*2))*365</f>
        <v>167.75896230482101</v>
      </c>
      <c r="ER334" s="1061">
        <f>+(ER332/(ER30))*365</f>
        <v>166.42110553267199</v>
      </c>
      <c r="ES334" s="32">
        <f>+(ES332/(ES30*2))*365</f>
        <v>150.89223581265063</v>
      </c>
      <c r="ET334" s="32">
        <f>+(ET332/(ET30*2))*365</f>
        <v>167.09985494979014</v>
      </c>
      <c r="EU334" s="1061">
        <f>+(EU332/(EU30))*365</f>
        <v>165.99806976294443</v>
      </c>
      <c r="EV334" s="32">
        <f>+(EV332/(EV30*2))*365</f>
        <v>150.84132014763614</v>
      </c>
      <c r="EW334" s="32">
        <f>+(EW332/(EW30*2))*365</f>
        <v>166.44951225275832</v>
      </c>
      <c r="EX334" s="1061">
        <f>+(EX332/(EX30))*365</f>
        <v>165.61849664194909</v>
      </c>
      <c r="EY334" s="32">
        <f>+(EY332/(EY30*2))*365</f>
        <v>150.78886360230837</v>
      </c>
      <c r="EZ334" s="32">
        <f>+(EZ332/(EZ30*2))*365</f>
        <v>165.80809283437688</v>
      </c>
      <c r="FA334" s="1061">
        <f>+(FA332/(FA30))*365</f>
        <v>165.23954489004001</v>
      </c>
      <c r="FD334"/>
      <c r="FE334"/>
      <c r="FF334"/>
      <c r="FG334"/>
      <c r="FH334"/>
      <c r="FI334"/>
    </row>
    <row r="335" spans="1:169" s="33" customFormat="1" outlineLevel="1">
      <c r="B335" s="54" t="s">
        <v>199</v>
      </c>
      <c r="C335" s="54"/>
      <c r="D335" s="2" t="s">
        <v>198</v>
      </c>
      <c r="E335" s="32"/>
      <c r="F335" s="32"/>
      <c r="G335" s="32"/>
      <c r="H335" s="32"/>
      <c r="I335" s="32"/>
      <c r="J335" s="32"/>
      <c r="K335" s="32"/>
      <c r="L335" s="32"/>
      <c r="M335" s="32"/>
      <c r="N335" s="32"/>
      <c r="O335" s="32"/>
      <c r="P335" s="32"/>
      <c r="Q335" s="32"/>
      <c r="R335" s="32"/>
      <c r="S335" s="32"/>
      <c r="T335" s="32"/>
      <c r="U335" s="32"/>
      <c r="V335" s="32"/>
      <c r="W335" s="32"/>
      <c r="X335" s="32"/>
      <c r="Y335" s="32"/>
      <c r="Z335" s="32"/>
      <c r="AA335" s="32"/>
      <c r="AB335" s="32"/>
      <c r="AC335" s="32"/>
      <c r="AD335" s="32"/>
      <c r="AE335" s="32"/>
      <c r="AF335" s="32"/>
      <c r="AG335" s="32"/>
      <c r="AH335" s="32"/>
      <c r="AI335" s="32"/>
      <c r="AJ335" s="32"/>
      <c r="AK335" s="32"/>
      <c r="AL335" s="32"/>
      <c r="AM335" s="32">
        <f>+(((AL229+AM229)/2)/(AM30*2))*365</f>
        <v>0</v>
      </c>
      <c r="AN335" s="32">
        <f>+(((AK229+AN229)/2)/(AN30))*365</f>
        <v>0</v>
      </c>
      <c r="AO335" s="32">
        <f>+(((AN229+AO229)/2)/(AO30*2))*365</f>
        <v>0</v>
      </c>
      <c r="AP335" s="32">
        <f>+(((AO229+AP229)/2)/(AP30*2))*365</f>
        <v>0</v>
      </c>
      <c r="AQ335" s="32">
        <f>+(((AN229+AQ229)/2)/(AQ30))*365</f>
        <v>0</v>
      </c>
      <c r="AR335" s="32">
        <f>+(((AQ229+AR229)/2)/(AR30*2))*365</f>
        <v>0</v>
      </c>
      <c r="AS335" s="32">
        <f>+(((AR229+AS229)/2)/(AS30*2))*365</f>
        <v>0</v>
      </c>
      <c r="AT335" s="32">
        <f>+(((AQ229+AT229)/2)/(AT30))*365</f>
        <v>0</v>
      </c>
      <c r="AU335" s="32">
        <f>+(((AT229+AU229)/2)/(AU30*2))*365</f>
        <v>0</v>
      </c>
      <c r="AV335" s="32">
        <f>+(((AU229+AV229)/2)/(AV30*2))*365</f>
        <v>0</v>
      </c>
      <c r="AW335" s="32">
        <f>+(((AT229+AW229)/2)/(AW30))*365</f>
        <v>0</v>
      </c>
      <c r="AX335" s="32">
        <f>+(((AW229+AX229)/2)/(AX30*2))*365</f>
        <v>0</v>
      </c>
      <c r="AY335" s="32">
        <f>+(((AX229+AY229)/2)/(AY30*2))*365</f>
        <v>0</v>
      </c>
      <c r="AZ335" s="32">
        <f>+(((AW229+AZ229)/2)/(AZ30))*365</f>
        <v>0</v>
      </c>
      <c r="BA335" s="32"/>
      <c r="BB335" s="32"/>
      <c r="BC335" s="32">
        <f>+(((AZ229+BC229)/2)/(BC30))*365</f>
        <v>0</v>
      </c>
      <c r="BD335" s="32">
        <f>+(((BC229+BD229)/2)/(BD30*2))*365</f>
        <v>0</v>
      </c>
      <c r="BE335" s="32">
        <f>+(((BD229+BE229)/2)/(BE30*2))*365</f>
        <v>0</v>
      </c>
      <c r="BF335" s="32">
        <f>+(((BC229+BF229)/2)/(BF30))*365</f>
        <v>0</v>
      </c>
      <c r="BG335" s="32">
        <f>+(((BF229+BG229)/2)/(BG30*2))*365</f>
        <v>0</v>
      </c>
      <c r="BH335" s="32">
        <f>+(((BG229+BH229)/2)/(BH30*2))*365</f>
        <v>0</v>
      </c>
      <c r="BI335" s="32">
        <f>+(((BF229+BI229)/2)/(BI30))*365</f>
        <v>0</v>
      </c>
      <c r="BJ335" s="32">
        <f>+(((BI229+BJ229)/2)/(BJ30*2))*365</f>
        <v>0</v>
      </c>
      <c r="BK335" s="32">
        <f>+(((BJ229+BK229)/2)/(BK30*2))*365</f>
        <v>0</v>
      </c>
      <c r="BL335" s="32">
        <f>+(((BI229+BL229)/2)/(BL30))*365</f>
        <v>0</v>
      </c>
      <c r="BM335" s="32">
        <f>+(((BL229+BM229)/2)/(BM30*2))*365</f>
        <v>0</v>
      </c>
      <c r="BN335" s="32">
        <f>+(((BM229+BN229)/2)/(BN30*2))*365</f>
        <v>0</v>
      </c>
      <c r="BO335" s="32">
        <f>+(((BL229+BO229)/2)/(BO30))*365</f>
        <v>0</v>
      </c>
      <c r="BP335" s="32"/>
      <c r="BQ335" s="32"/>
      <c r="BR335" s="32"/>
      <c r="BS335" s="32"/>
      <c r="BT335" s="32"/>
      <c r="BU335" s="32"/>
      <c r="BV335" s="32">
        <f>+(((BU229+BV229)/2)/(BV30*2))*365</f>
        <v>0</v>
      </c>
      <c r="BW335" s="32">
        <f>+(((BV229+BW229)/2)/(BW30*2))*365</f>
        <v>36.545465904292058</v>
      </c>
      <c r="BX335" s="32">
        <f>+(((BU229+BX229)/2)/(BX30))*365</f>
        <v>38.320504926108377</v>
      </c>
      <c r="BY335" s="32">
        <f>+(((BX229+BY229)/2)/(BY30*2))*365</f>
        <v>34.597978195553068</v>
      </c>
      <c r="BZ335" s="32">
        <f>+(((BY229+BZ229)/2)/(BZ30*2))*365</f>
        <v>38.42037905811479</v>
      </c>
      <c r="CA335" s="32">
        <f>+(((BX229+CA229)/2)/(CA30))*365</f>
        <v>72.919071559018832</v>
      </c>
      <c r="CB335" s="32">
        <f>+(((CA229+CB229)/2)/(CB30*2))*365</f>
        <v>31.368790358816735</v>
      </c>
      <c r="CC335" s="32">
        <f>+(((CB229+CC229)/2)/(CC30*2))*365</f>
        <v>34.813608338260401</v>
      </c>
      <c r="CD335" s="32">
        <f>+(((CA229+CD229)/2)/(CD30))*365</f>
        <v>66.080255471520047</v>
      </c>
      <c r="CE335" s="32">
        <f>+(((CD229+CE229)/2)/(CE30*2))*365</f>
        <v>33.560130053248635</v>
      </c>
      <c r="CF335" s="32">
        <f>+(((CE229+CF229)/2)/(CF30*2))*365</f>
        <v>36.099409081998907</v>
      </c>
      <c r="CG335" s="32">
        <f>+(((CD229+CG229)/2)/(CG30))*365</f>
        <v>69.75049407932498</v>
      </c>
      <c r="CH335" s="32">
        <f>+(((CG229+CH229)/2)/(CH30*2))*365</f>
        <v>67.272287141263263</v>
      </c>
      <c r="CI335" s="32">
        <f>+(((CH229+CI229)/2)/(CI30*2))*365</f>
        <v>63.139084276843512</v>
      </c>
      <c r="CJ335" s="32">
        <f>+(((CG229+CJ229)/2)/(CJ30))*365</f>
        <v>64.798293795817756</v>
      </c>
      <c r="CK335" s="32">
        <f>+(((CJ229+CK229)/2)/(CK30*2))*365</f>
        <v>59.437166472736038</v>
      </c>
      <c r="CL335" s="32">
        <f>+(((CK229+CL229)/2)/(CL30*2))*365</f>
        <v>62.886415201361267</v>
      </c>
      <c r="CM335" s="32">
        <f>+(((CJ229+CM229)/2)/(CM30))*365</f>
        <v>59.725934885596196</v>
      </c>
      <c r="CN335" s="32">
        <f>+(((CM229+CN229)/2)/(CN30*2))*365</f>
        <v>62.788876155698858</v>
      </c>
      <c r="CO335" s="32">
        <f>+(((CN229+CO229)/2)/(CO30*2))*365</f>
        <v>61.950572339346536</v>
      </c>
      <c r="CP335" s="32">
        <f>+(((CM229+CP229)/2)/(CP30))*365</f>
        <v>61.71023281097699</v>
      </c>
      <c r="CQ335" s="32">
        <f>+(((CP229+CQ229)/2)/(CQ30*2))*365</f>
        <v>60.187607998025179</v>
      </c>
      <c r="CR335" s="32">
        <f>+(((CQ229+CR229)/2)/(CR30*2))*365</f>
        <v>63.506005869990538</v>
      </c>
      <c r="CS335" s="32">
        <f>+(((CP229+CS229)/2)/(CS30))*365</f>
        <v>63.831784469663098</v>
      </c>
      <c r="CT335" s="32">
        <f>+(((CS229+CT229)/2)/(CT30*2))*365</f>
        <v>59.975695056170601</v>
      </c>
      <c r="CU335" s="32">
        <f>+(((CT229+CU229)/2)/(CU30*2))*365</f>
        <v>67.647753961249592</v>
      </c>
      <c r="CV335" s="32">
        <f>+(((CS229+CV229)/2)/(CV30))*365</f>
        <v>63.619125078442359</v>
      </c>
      <c r="CW335" s="32">
        <f>+(((CV229+CW229)/2)/(CW30*2))*365</f>
        <v>58.658901957513081</v>
      </c>
      <c r="CX335" s="32">
        <f>+(((CW229+CX229)/2)/(CX30*2))*365</f>
        <v>69.061205468102756</v>
      </c>
      <c r="CY335" s="32">
        <f>+(((CV229+CY229)/2)/(CY30))*365</f>
        <v>61.720369435452753</v>
      </c>
      <c r="CZ335" s="32">
        <f>+(((CY229+CZ229)/2)/(CZ30*2))*365</f>
        <v>62.775147128105068</v>
      </c>
      <c r="DA335" s="32">
        <f>+(((CZ229+DA229)/2)/(DA30*2))*365</f>
        <v>77.092776300149978</v>
      </c>
      <c r="DB335" s="32">
        <f>+(((CY229+DB229)/2)/(DB30))*365</f>
        <v>62.241066254587594</v>
      </c>
      <c r="DC335" s="32">
        <f>+(((DB229+DC229)/2)/(DC30*2))*365</f>
        <v>73.428089480595929</v>
      </c>
      <c r="DD335" s="32">
        <f>+(((DC229+DD229)/2)/(DD30*2))*365</f>
        <v>89.6853329803061</v>
      </c>
      <c r="DE335" s="1061">
        <f>+(((DB229+DE229)/2)/(DE30))*365</f>
        <v>71.84129057657205</v>
      </c>
      <c r="DF335" s="32">
        <f>+(((DE229+DF229)/2)/(DF30*2))*365</f>
        <v>72.365334071457823</v>
      </c>
      <c r="DG335" s="32">
        <f>+(((DF229+DG229)/2)/(DG30*2))*365</f>
        <v>80.424994434161519</v>
      </c>
      <c r="DH335" s="1061">
        <f>+(((DE229+DH229)/2)/(DH30))*365</f>
        <v>71.824688525805314</v>
      </c>
      <c r="DI335" s="32">
        <f>+(((DH229+DI229)/2)/(DI30*2))*365</f>
        <v>59.847597307546764</v>
      </c>
      <c r="DJ335" s="32">
        <f>+(((DI229+DJ229)/2)/(DJ30*2))*365</f>
        <v>75.961031267356944</v>
      </c>
      <c r="DK335" s="1061">
        <f>+(((DH229+DK229)/2)/(DK30))*365</f>
        <v>61.305871416710076</v>
      </c>
      <c r="DL335" s="32">
        <f>+(((DK229+DL229)/2)/(DL30*2))*365</f>
        <v>61.140020504651666</v>
      </c>
      <c r="DM335" s="32">
        <f>+(((DL229+DM229)/2)/(DM30*2))*365</f>
        <v>80.467128321085355</v>
      </c>
      <c r="DN335" s="1061">
        <f>+(((DK229+DN229)/2)/(DN30))*365</f>
        <v>59.546379170056959</v>
      </c>
      <c r="DO335" s="32">
        <f>+(((DN229+DO229)/2)/(DO30*2))*365</f>
        <v>61.044967079727442</v>
      </c>
      <c r="DP335" s="32">
        <f>+(((DO229+DP229)/2)/(DP30*2))*365</f>
        <v>81.107992412590988</v>
      </c>
      <c r="DQ335" s="1061">
        <f>+(((DN229+DQ229)/2)/(DQ30))*365</f>
        <v>55.032128357276697</v>
      </c>
      <c r="DR335" s="32">
        <f>+(((DQ229+DR229)/2)/(DR30*2))*365</f>
        <v>66.382767456758486</v>
      </c>
      <c r="DS335" s="32">
        <f>+(((DR229+DS229)/2)/(DS30*2))*365</f>
        <v>89.700524853349805</v>
      </c>
      <c r="DT335" s="1061">
        <f>+(((DQ229+DT229)/2)/(DT30))*365</f>
        <v>65.164881327452221</v>
      </c>
      <c r="DU335" s="32">
        <f>+(((DT229+DU229)/2)/(DU30*2))*365</f>
        <v>72.088497994896102</v>
      </c>
      <c r="DV335" s="32">
        <f>+(((DU229+DV229)/2)/(DV30*2))*365</f>
        <v>90.114717505854799</v>
      </c>
      <c r="DW335" s="1061">
        <f>+(((DT229+DW229)/2)/(DW30))*365</f>
        <v>73.140561715689529</v>
      </c>
      <c r="DX335" s="32">
        <f>+(((DW229+DX229)/2)/(DX30*2))*365</f>
        <v>80.537259021255565</v>
      </c>
      <c r="DY335" s="32">
        <f>+(((DX229+DY229)/2)/(DY30*2))*365</f>
        <v>93.395186436917541</v>
      </c>
      <c r="DZ335" s="1061">
        <f>+(((DW229+DZ229)/2)/(DZ30))*365</f>
        <v>78.9892802192076</v>
      </c>
      <c r="EA335" s="32">
        <f>+(((DZ229+EA229)/2)/(EA30*2))*365</f>
        <v>79.533024691060888</v>
      </c>
      <c r="EB335" s="32">
        <f>+(((EA229+EB229)/2)/(EB30*2))*365</f>
        <v>91.725400382652566</v>
      </c>
      <c r="EC335" s="1061">
        <f>+(((DZ229+EC229)/2)/(EC30))*365</f>
        <v>81.700707222627486</v>
      </c>
      <c r="ED335" s="32">
        <f>+(((EC229+ED229)/2)/(ED30*2))*365</f>
        <v>79.868065556792573</v>
      </c>
      <c r="EE335" s="32">
        <f>+(((ED229+EE229)/2)/(EE30*2))*365</f>
        <v>90.532821924609451</v>
      </c>
      <c r="EF335" s="1061">
        <f>+(((EC229+EF229)/2)/(EF30))*365</f>
        <v>81.734142106992479</v>
      </c>
      <c r="EG335" s="32">
        <f>+(((EF229+EG229)/2)/(EG30*2))*365</f>
        <v>79.728625063614928</v>
      </c>
      <c r="EH335" s="32">
        <f>+(((EG229+EH229)/2)/(EH30*2))*365</f>
        <v>89.994617916965552</v>
      </c>
      <c r="EI335" s="1061">
        <f>+(((EF229+EI229)/2)/(EI30))*365</f>
        <v>81.441457450614621</v>
      </c>
      <c r="EJ335" s="32">
        <f>+(((EI229+EJ229)/2)/(EJ30*2))*365</f>
        <v>79.841604167914781</v>
      </c>
      <c r="EK335" s="32">
        <f>+(((EJ229+EK229)/2)/(EK30*2))*365</f>
        <v>89.421404674327462</v>
      </c>
      <c r="EL335" s="1061">
        <f>+(((EI229+EL229)/2)/(EL30))*365</f>
        <v>81.402034047820322</v>
      </c>
      <c r="EM335" s="32">
        <f>+(((EL229+EM229)/2)/(EM30*2))*365</f>
        <v>80.149666735820333</v>
      </c>
      <c r="EN335" s="32">
        <f>+(((EM229+EN229)/2)/(EN30*2))*365</f>
        <v>89.342649422758925</v>
      </c>
      <c r="EO335" s="1061">
        <f>+(((EL229+EO229)/2)/(EO30))*365</f>
        <v>81.701041152222047</v>
      </c>
      <c r="EP335" s="32">
        <f>+(((EO229+EP229)/2)/(EP30*2))*365</f>
        <v>80.197299357346353</v>
      </c>
      <c r="EQ335" s="32">
        <f>+(((EP229+EQ229)/2)/(EQ30*2))*365</f>
        <v>89.013468202420114</v>
      </c>
      <c r="ER335" s="1061">
        <f>+(((EO229+ER229)/2)/(ER30))*365</f>
        <v>81.658544791430941</v>
      </c>
      <c r="ES335" s="32">
        <f>+(((ER229+ES229)/2)/(ES30*2))*365</f>
        <v>80.234421583125624</v>
      </c>
      <c r="ET335" s="32">
        <f>+(((ES229+ET229)/2)/(ET30*2))*365</f>
        <v>88.75797282790694</v>
      </c>
      <c r="EU335" s="1061">
        <f>+(((ER229+EU229)/2)/(EU30))*365</f>
        <v>81.625240451140002</v>
      </c>
      <c r="EV335" s="32">
        <f>+(((EU229+EV229)/2)/(EV30*2))*365</f>
        <v>80.291285025958757</v>
      </c>
      <c r="EW335" s="32">
        <f>+(((EV229+EW229)/2)/(EW30*2))*365</f>
        <v>88.50684990204374</v>
      </c>
      <c r="EX335" s="1061">
        <f>+(((EU229+EX229)/2)/(EX30))*365</f>
        <v>81.613187351806175</v>
      </c>
      <c r="EY335" s="32">
        <f>+(((EX229+EY229)/2)/(EY30*2))*365</f>
        <v>80.347632413806679</v>
      </c>
      <c r="EZ335" s="32">
        <f>+(((EY229+EZ229)/2)/(EZ30*2))*365</f>
        <v>88.260196298844988</v>
      </c>
      <c r="FA335" s="1061">
        <f>+(((EX229+FA229)/2)/(FA30))*365</f>
        <v>81.601389038897935</v>
      </c>
      <c r="FD335"/>
      <c r="FE335"/>
      <c r="FF335"/>
      <c r="FG335"/>
      <c r="FH335"/>
      <c r="FI335"/>
    </row>
    <row r="336" spans="1:169" s="33" customFormat="1" outlineLevel="1">
      <c r="B336" s="54" t="s">
        <v>723</v>
      </c>
      <c r="C336" s="54"/>
      <c r="D336" s="2" t="s">
        <v>198</v>
      </c>
      <c r="E336" s="32"/>
      <c r="F336" s="32"/>
      <c r="G336" s="32"/>
      <c r="H336" s="32"/>
      <c r="I336" s="32"/>
      <c r="J336" s="32"/>
      <c r="K336" s="32"/>
      <c r="L336" s="32"/>
      <c r="M336" s="32"/>
      <c r="N336" s="32"/>
      <c r="O336" s="32"/>
      <c r="P336" s="32"/>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f>+(((AL263+AM263)/2)/(AM30*2))*365</f>
        <v>0</v>
      </c>
      <c r="AN336" s="32">
        <f>+(((AK263+AN263)/2)/(AN30))*365</f>
        <v>0</v>
      </c>
      <c r="AO336" s="32">
        <f>+(((AN263+AO263)/2)/(AO30*2))*365</f>
        <v>0</v>
      </c>
      <c r="AP336" s="32">
        <f>+(((AO263+AP263)/2)/(AP30*2))*365</f>
        <v>0</v>
      </c>
      <c r="AQ336" s="32">
        <f>+(((AN263+AQ263)/2)/(AQ30))*365</f>
        <v>0</v>
      </c>
      <c r="AR336" s="32">
        <f>+(((AQ263+AR263)/2)/(AR30*2))*365</f>
        <v>0</v>
      </c>
      <c r="AS336" s="32">
        <f>+(((AR263+AS263)/2)/(AS30*2))*365</f>
        <v>0</v>
      </c>
      <c r="AT336" s="32">
        <f>+(((AQ263+AT263)/2)/(AT30))*365</f>
        <v>0</v>
      </c>
      <c r="AU336" s="32">
        <f>+(((AT263+AU263)/2)/(AU30*2))*365</f>
        <v>0</v>
      </c>
      <c r="AV336" s="32">
        <f>+(((AU263+AV263)/2)/(AV30*2))*365</f>
        <v>0</v>
      </c>
      <c r="AW336" s="32">
        <f>+(((AT263+AW263)/2)/(AW30))*365</f>
        <v>0</v>
      </c>
      <c r="AX336" s="32">
        <f>+(((AW263+AX263)/2)/(AX30*2))*365</f>
        <v>0</v>
      </c>
      <c r="AY336" s="32">
        <f>+(((AX263+AY263)/2)/(AY30*2))*365</f>
        <v>0</v>
      </c>
      <c r="AZ336" s="32">
        <f>+(((AW263+AZ263)/2)/(AZ30))*365</f>
        <v>0</v>
      </c>
      <c r="BA336" s="32"/>
      <c r="BB336" s="32"/>
      <c r="BC336" s="32">
        <f>+(((AZ263+BC263)/2)/(BC30))*365</f>
        <v>0</v>
      </c>
      <c r="BD336" s="32">
        <f>+(((BC263+BD263)/2)/(BD30*2))*365</f>
        <v>0</v>
      </c>
      <c r="BE336" s="32">
        <f>+(((BD263+BE263)/2)/(BE30*2))*365</f>
        <v>0</v>
      </c>
      <c r="BF336" s="32">
        <f>+(((BC263+BF263)/2)/(BF30))*365</f>
        <v>0</v>
      </c>
      <c r="BG336" s="32">
        <f>+(((BF263+BG263)/2)/(BG30*2))*365</f>
        <v>0</v>
      </c>
      <c r="BH336" s="32">
        <f>+(((BG263+BH263)/2)/(BH30*2))*365</f>
        <v>0</v>
      </c>
      <c r="BI336" s="32">
        <f>+(((BF263+BI263)/2)/(BI30))*365</f>
        <v>0</v>
      </c>
      <c r="BJ336" s="32">
        <f>+(((BI263+BJ263)/2)/(BJ30*2))*365</f>
        <v>0</v>
      </c>
      <c r="BK336" s="32">
        <f>+(((BJ263+BK263)/2)/(BK30*2))*365</f>
        <v>0</v>
      </c>
      <c r="BL336" s="32">
        <f>+(((BI263+BL263)/2)/(BL30))*365</f>
        <v>0</v>
      </c>
      <c r="BM336" s="32">
        <f>+(((BL263+BM263)/2)/(BM30*2))*365</f>
        <v>0</v>
      </c>
      <c r="BN336" s="32">
        <f>+(((BM263+BN263)/2)/(BN30*2))*365</f>
        <v>0</v>
      </c>
      <c r="BO336" s="32">
        <f>+(((BL263+BO263)/2)/(BO30))*365</f>
        <v>0</v>
      </c>
      <c r="BP336" s="32"/>
      <c r="BQ336" s="32"/>
      <c r="BR336" s="32"/>
      <c r="BS336" s="32"/>
      <c r="BT336" s="32"/>
      <c r="BU336" s="32"/>
      <c r="BV336" s="32">
        <f>+(((BU263+BV263)/2)/(BV30*2))*365</f>
        <v>0</v>
      </c>
      <c r="BW336" s="32">
        <f>+(((BV263+BW263)/2)/(BW30*2))*365</f>
        <v>22.666762577002256</v>
      </c>
      <c r="BX336" s="32">
        <f>+(((BU263+BX263)/2)/(BX30))*365</f>
        <v>23.767703201970445</v>
      </c>
      <c r="BY336" s="32">
        <f>+(((BX263+BY263)/2)/(BY30*2))*365</f>
        <v>21.458863308972063</v>
      </c>
      <c r="BZ336" s="32">
        <f>+(((BY263+BZ263)/2)/(BZ30*2))*365</f>
        <v>28.80192533007493</v>
      </c>
      <c r="CA336" s="32">
        <f>+(((BX263+CA263)/2)/(CA30))*365</f>
        <v>50.070054846378376</v>
      </c>
      <c r="CB336" s="32">
        <f>+(((CA263+CB263)/2)/(CB30*2))*365</f>
        <v>23.515685679279862</v>
      </c>
      <c r="CC336" s="32">
        <f>+(((CB263+CC263)/2)/(CC30*2))*365</f>
        <v>19.119707770879714</v>
      </c>
      <c r="CD336" s="32">
        <f>+(((CA263+CD263)/2)/(CD30))*365</f>
        <v>42.765739774906244</v>
      </c>
      <c r="CE336" s="32">
        <f>+(((CD263+CE263)/2)/(CE30*2))*365</f>
        <v>18.431294829776181</v>
      </c>
      <c r="CF336" s="32">
        <f>+(((CE263+CF263)/2)/(CF30*2))*365</f>
        <v>22.016900821011991</v>
      </c>
      <c r="CG336" s="32">
        <f>+(((CD263+CG263)/2)/(CG30))*365</f>
        <v>40.576629189884919</v>
      </c>
      <c r="CH336" s="32">
        <f>+(((CG263+CH263)/2)/(CH30*2))*365</f>
        <v>37.745083157588326</v>
      </c>
      <c r="CI336" s="32">
        <f>+(((CH263+CI263)/2)/(CI30*2))*365</f>
        <v>37.505152022088993</v>
      </c>
      <c r="CJ336" s="32">
        <f>+(((CG263+CJ263)/2)/(CJ30))*365</f>
        <v>41.789946586510389</v>
      </c>
      <c r="CK336" s="32">
        <f>+(((CJ263+CK263)/2)/(CK30*2))*365</f>
        <v>43.085904586125267</v>
      </c>
      <c r="CL336" s="32">
        <f>+(((CK263+CL263)/2)/(CL30*2))*365</f>
        <v>47.906065148691319</v>
      </c>
      <c r="CM336" s="32">
        <f>+(((CJ263+CM263)/2)/(CM30))*365</f>
        <v>43.295232335450038</v>
      </c>
      <c r="CN336" s="32">
        <f>+(((CM263+CN263)/2)/(CN30*2))*365</f>
        <v>42.338979100303014</v>
      </c>
      <c r="CO336" s="32">
        <f>+(((CN263+CO263)/2)/(CO30*2))*365</f>
        <v>38.934787727305675</v>
      </c>
      <c r="CP336" s="32">
        <f>+(((CM263+CP263)/2)/(CP30))*365</f>
        <v>43.764011771762767</v>
      </c>
      <c r="CQ336" s="32">
        <f>+(((CP263+CQ263)/2)/(CQ30*2))*365</f>
        <v>40.474750502521417</v>
      </c>
      <c r="CR336" s="32">
        <f>+(((CQ263+CR263)/2)/(CR30*2))*365</f>
        <v>43.882527719399917</v>
      </c>
      <c r="CS336" s="32">
        <f>+(((CP263+CS263)/2)/(CS30))*365</f>
        <v>43.450361897953691</v>
      </c>
      <c r="CT336" s="32">
        <f>+(((CS263+CT263)/2)/(CT30*2))*365</f>
        <v>46.726333601015583</v>
      </c>
      <c r="CU336" s="32">
        <f>+(((CT263+CU263)/2)/(CU30*2))*365</f>
        <v>59.412511102026095</v>
      </c>
      <c r="CV336" s="32">
        <f>+(((CS263+CV263)/2)/(CV30))*365</f>
        <v>51.141832083759937</v>
      </c>
      <c r="CW336" s="32">
        <f>+(((CV263+CW263)/2)/(CW30*2))*365</f>
        <v>50.047443276609954</v>
      </c>
      <c r="CX336" s="32">
        <f>+(((CW263+CX263)/2)/(CX30*2))*365</f>
        <v>61.998358931871778</v>
      </c>
      <c r="CY336" s="32">
        <f>+(((CV263+CY263)/2)/(CY30))*365</f>
        <v>58.314042407863873</v>
      </c>
      <c r="CZ336" s="32">
        <f>+(((CY263+CZ263)/2)/(CZ30*2))*365</f>
        <v>48.593980807343051</v>
      </c>
      <c r="DA336" s="32">
        <f>+(((CZ263+DA263)/2)/(DA30*2))*365</f>
        <v>56.282851198866759</v>
      </c>
      <c r="DB336" s="32">
        <f>+(((CY263+DB263)/2)/(DB30))*365</f>
        <v>56.699439830017383</v>
      </c>
      <c r="DC336" s="32">
        <f>+(((DB263+DC263)/2)/(DC30*2))*365</f>
        <v>48.800547932798985</v>
      </c>
      <c r="DD336" s="32">
        <f>+(((DC263+DD263)/2)/(DD30*2))*365</f>
        <v>57.821349320422613</v>
      </c>
      <c r="DE336" s="1061">
        <f>+(((DB263+DE263)/2)/(DE30))*365</f>
        <v>58.011673407060101</v>
      </c>
      <c r="DF336" s="32">
        <f>+(((DE263+DF263)/2)/(DF30*2))*365</f>
        <v>52.768176966974806</v>
      </c>
      <c r="DG336" s="32">
        <f>+(((DF263+DG263)/2)/(DG30*2))*365</f>
        <v>63.097980943916312</v>
      </c>
      <c r="DH336" s="1061">
        <f>+(((DE263+DH263)/2)/(DH30))*365</f>
        <v>59.754252171988121</v>
      </c>
      <c r="DI336" s="32">
        <f>+(((DH263+DI263)/2)/(DI30*2))*365</f>
        <v>50.527363438206685</v>
      </c>
      <c r="DJ336" s="32">
        <f>+(((DI263+DJ263)/2)/(DJ30*2))*365</f>
        <v>74.469684383227488</v>
      </c>
      <c r="DK336" s="1061">
        <f>+(((DH263+DK263)/2)/(DK30))*365</f>
        <v>63.998770804784975</v>
      </c>
      <c r="DL336" s="32">
        <f>+(((DK263+DL263)/2)/(DL30*2))*365</f>
        <v>58.237574350544811</v>
      </c>
      <c r="DM336" s="32">
        <f>+(((DL263+DM263)/2)/(DM30*2))*365</f>
        <v>83.104041831543242</v>
      </c>
      <c r="DN336" s="1061">
        <f>+(((DK263+DN263)/2)/(DN30))*365</f>
        <v>76.73817757371458</v>
      </c>
      <c r="DO336" s="32">
        <f>+(((DN263+DO263)/2)/(DO30*2))*365</f>
        <v>63.755103361030443</v>
      </c>
      <c r="DP336" s="32">
        <f>+(((DO263+DP263)/2)/(DP30*2))*365</f>
        <v>85.857770258723804</v>
      </c>
      <c r="DQ336" s="1061">
        <f>+(((DN263+DQ263)/2)/(DQ30))*365</f>
        <v>74.781113366645855</v>
      </c>
      <c r="DR336" s="32">
        <f>+(((DQ263+DR263)/2)/(DR30*2))*365</f>
        <v>68.323510570147349</v>
      </c>
      <c r="DS336" s="32">
        <f>+(((DR263+DS263)/2)/(DS30*2))*365</f>
        <v>87.925671503550475</v>
      </c>
      <c r="DT336" s="1061">
        <f>+(((DQ263+DT263)/2)/(DT30))*365</f>
        <v>80.395575159280256</v>
      </c>
      <c r="DU336" s="32">
        <f>+(((DT263+DU263)/2)/(DU30*2))*365</f>
        <v>70.103597034876657</v>
      </c>
      <c r="DV336" s="32">
        <f>+(((DU263+DV263)/2)/(DV30*2))*365</f>
        <v>85.987631733021075</v>
      </c>
      <c r="DW336" s="1061">
        <f>+(((DT263+DW263)/2)/(DW30))*365</f>
        <v>82.470951464046209</v>
      </c>
      <c r="DX336" s="32">
        <f>+(((DW263+DX263)/2)/(DX30*2))*365</f>
        <v>74.786208601087495</v>
      </c>
      <c r="DY336" s="32">
        <f>+(((DX263+DY263)/2)/(DY30*2))*365</f>
        <v>86.988597862322123</v>
      </c>
      <c r="DZ336" s="1061">
        <f>+(((DW263+DZ263)/2)/(DZ30))*365</f>
        <v>86.435548428385999</v>
      </c>
      <c r="EA336" s="32">
        <f>+(((DZ263+EA263)/2)/(EA30*2))*365</f>
        <v>75.521294920300534</v>
      </c>
      <c r="EB336" s="32">
        <f>+(((EA263+EB263)/2)/(EB30*2))*365</f>
        <v>86.937042822627035</v>
      </c>
      <c r="EC336" s="1061">
        <f>+(((DZ263+EC263)/2)/(EC30))*365</f>
        <v>88.397495900189583</v>
      </c>
      <c r="ED336" s="32">
        <f>+(((EC263+ED263)/2)/(ED30*2))*365</f>
        <v>75.473562503210232</v>
      </c>
      <c r="EE336" s="32">
        <f>+(((ED263+EE263)/2)/(EE30*2))*365</f>
        <v>85.372101475866245</v>
      </c>
      <c r="EF336" s="1061">
        <f>+(((EC263+EF263)/2)/(EF30))*365</f>
        <v>87.544956986027216</v>
      </c>
      <c r="EG336" s="32">
        <f>+(((EF263+EG263)/2)/(EG30*2))*365</f>
        <v>74.912840035963839</v>
      </c>
      <c r="EH336" s="32">
        <f>+(((EG263+EH263)/2)/(EH30*2))*365</f>
        <v>84.40627085759229</v>
      </c>
      <c r="EI336" s="1061">
        <f>+(((EF263+EI263)/2)/(EI30))*365</f>
        <v>86.344112393592354</v>
      </c>
      <c r="EJ336" s="32">
        <f>+(((EI263+EJ263)/2)/(EJ30*2))*365</f>
        <v>74.62143433380102</v>
      </c>
      <c r="EK336" s="32">
        <f>+(((EJ263+EK263)/2)/(EK30*2))*365</f>
        <v>83.412877666585317</v>
      </c>
      <c r="EL336" s="1061">
        <f>+(((EI263+EL263)/2)/(EL30))*365</f>
        <v>85.416805669574529</v>
      </c>
      <c r="EM336" s="32">
        <f>+(((EL263+EM263)/2)/(EM30*2))*365</f>
        <v>74.531248044183286</v>
      </c>
      <c r="EN336" s="32">
        <f>+(((EM263+EN263)/2)/(EN30*2))*365</f>
        <v>82.866223766078889</v>
      </c>
      <c r="EO336" s="1061">
        <f>+(((EL263+EO263)/2)/(EO30))*365</f>
        <v>84.84369470326358</v>
      </c>
      <c r="EP336" s="32">
        <f>+(((EO263+EP263)/2)/(EP30*2))*365</f>
        <v>74.165291586902384</v>
      </c>
      <c r="EQ336" s="32">
        <f>+(((EP263+EQ263)/2)/(EQ30*2))*365</f>
        <v>82.096894177811464</v>
      </c>
      <c r="ER336" s="1061">
        <f>+(((EO263+ER263)/2)/(ER30))*365</f>
        <v>83.911247471235825</v>
      </c>
      <c r="ES336" s="32">
        <f>+(((ER263+ES263)/2)/(ES30*2))*365</f>
        <v>73.787554307634423</v>
      </c>
      <c r="ET336" s="32">
        <f>+(((ES263+ET263)/2)/(ET30*2))*365</f>
        <v>81.395371867992452</v>
      </c>
      <c r="EU336" s="1061">
        <f>+(((ER263+EU263)/2)/(EU30))*365</f>
        <v>82.989121568999877</v>
      </c>
      <c r="EV336" s="32">
        <f>+(((EU263+EV263)/2)/(EV30*2))*365</f>
        <v>73.428976304765314</v>
      </c>
      <c r="EW336" s="32">
        <f>+(((EV263+EW263)/2)/(EW30*2))*365</f>
        <v>80.699567515152125</v>
      </c>
      <c r="EX336" s="1061">
        <f>+(((EU263+EX263)/2)/(EX30))*365</f>
        <v>82.089214066923262</v>
      </c>
      <c r="EY336" s="32">
        <f>+(((EX263+EY263)/2)/(EY30*2))*365</f>
        <v>73.068645125602842</v>
      </c>
      <c r="EZ336" s="32">
        <f>+(((EY263+EZ263)/2)/(EZ30*2))*365</f>
        <v>80.009518890817361</v>
      </c>
      <c r="FA336" s="1061">
        <f>+(((EX263+FA263)/2)/(FA30))*365</f>
        <v>81.189823658174262</v>
      </c>
      <c r="FD336"/>
      <c r="FE336"/>
      <c r="FF336"/>
      <c r="FG336"/>
      <c r="FH336"/>
      <c r="FI336"/>
    </row>
    <row r="337" spans="1:169" s="33" customFormat="1">
      <c r="B337" s="54" t="s">
        <v>724</v>
      </c>
      <c r="C337" s="54"/>
      <c r="D337" s="2" t="s">
        <v>507</v>
      </c>
      <c r="E337" s="51"/>
      <c r="F337" s="51"/>
      <c r="G337" s="51"/>
      <c r="H337" s="51"/>
      <c r="I337" s="5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c r="AJ337" s="51"/>
      <c r="AK337" s="51"/>
      <c r="AL337" s="51"/>
      <c r="AM337" s="51"/>
      <c r="AN337" s="51"/>
      <c r="AO337" s="51"/>
      <c r="AP337" s="51"/>
      <c r="AQ337" s="51"/>
      <c r="AR337" s="51"/>
      <c r="AS337" s="51"/>
      <c r="AT337" s="51"/>
      <c r="AU337" s="51"/>
      <c r="AV337" s="51"/>
      <c r="AW337" s="51"/>
      <c r="AX337" s="51"/>
      <c r="AY337" s="51"/>
      <c r="AZ337" s="51"/>
      <c r="BA337" s="51"/>
      <c r="BB337" s="51"/>
      <c r="BC337" s="51"/>
      <c r="BD337" s="51"/>
      <c r="BE337" s="51"/>
      <c r="BF337" s="51"/>
      <c r="BG337" s="51"/>
      <c r="BH337" s="51"/>
      <c r="BI337" s="51"/>
      <c r="BJ337" s="51"/>
      <c r="BK337" s="51"/>
      <c r="BL337" s="51"/>
      <c r="BM337" s="51"/>
      <c r="BN337" s="51"/>
      <c r="BO337" s="51"/>
      <c r="BP337" s="51"/>
      <c r="BQ337" s="51"/>
      <c r="BR337" s="51"/>
      <c r="BS337" s="51"/>
      <c r="BT337" s="51"/>
      <c r="BU337" s="51"/>
      <c r="BV337" s="51"/>
      <c r="BW337" s="51">
        <f>+(BW73)/((BW261-BW228)/2)</f>
        <v>0.24294638209266006</v>
      </c>
      <c r="BX337" s="51">
        <f>+(BX73)/((BX261-BX228)/1)</f>
        <v>0.25159942738157209</v>
      </c>
      <c r="BY337" s="51"/>
      <c r="BZ337" s="51">
        <f>+(BZ73)/((BZ261-BZ228)/2)</f>
        <v>0.31980244721161194</v>
      </c>
      <c r="CA337" s="51">
        <f>+(CA73)/((CA261-CA228)/1)</f>
        <v>0.31936289918512861</v>
      </c>
      <c r="CB337" s="51"/>
      <c r="CC337" s="51">
        <f>+(CC73)/((CC261-CC228)/2)</f>
        <v>0.27972974320618299</v>
      </c>
      <c r="CD337" s="51">
        <f>+(CD73)/((CD261-CD228)/1)</f>
        <v>0.33835128396908498</v>
      </c>
      <c r="CE337" s="51"/>
      <c r="CF337" s="51">
        <f>+(CF73)/((CF261-CF228)/2)</f>
        <v>0.22197104613655563</v>
      </c>
      <c r="CG337" s="51">
        <f>+(CG73)/((CG261-CG228)/1)</f>
        <v>0.24000215592831839</v>
      </c>
      <c r="CH337" s="51">
        <f>+(CH73)/((CH261-CH228)/2)</f>
        <v>0.27895543314002869</v>
      </c>
      <c r="CI337" s="51">
        <f>+(CI73)/((CI261-CI228)/2)</f>
        <v>0.26382763060654124</v>
      </c>
      <c r="CJ337" s="51">
        <f>+(CJ73)/((CJ261-CJ228)/1)</f>
        <v>0.26782136643744153</v>
      </c>
      <c r="CK337" s="51">
        <f>+(CK73)/((CK261-CK228)/2)</f>
        <v>0.30234601883643752</v>
      </c>
      <c r="CL337" s="51">
        <f>+(CL73)/((CL261-CL228)/2)</f>
        <v>0.26763759667751802</v>
      </c>
      <c r="CM337" s="51">
        <f>+(CM73)/((CM261-CM228)/1)</f>
        <v>0.2849918077569778</v>
      </c>
      <c r="CN337" s="51">
        <f>+(CN73)/((CN261-CN228)/2)</f>
        <v>0.29512573510841722</v>
      </c>
      <c r="CO337" s="51">
        <f>+(CO73)/((CO261-CO228)/2)</f>
        <v>0.28901040747927326</v>
      </c>
      <c r="CP337" s="51">
        <f>+(CP73)/((CP261-CP228)/1)</f>
        <v>0.28879872993473277</v>
      </c>
      <c r="CQ337" s="51">
        <f>+(CQ73)/((CQ261-CQ228)/2)</f>
        <v>0.32156259725044384</v>
      </c>
      <c r="CR337" s="51">
        <f>+(CR73)/((CR261-CR228)/2)</f>
        <v>0.30857944628862805</v>
      </c>
      <c r="CS337" s="51">
        <f>+(CS73)/((CS261-CS228)/1)</f>
        <v>0.30457547654084394</v>
      </c>
      <c r="CT337" s="51">
        <f>+(CT73)/((CT261-CT228)/2)</f>
        <v>0.25265982340644599</v>
      </c>
      <c r="CU337" s="51">
        <f>+(CU73)/((CU261-CU228)/2)</f>
        <v>0.20516407130928768</v>
      </c>
      <c r="CV337" s="51">
        <f>+(CV73)/((CV261-CV228)/1)</f>
        <v>0.21816702587744971</v>
      </c>
      <c r="CW337" s="51">
        <f>+(CW73)/((CW261-CW228)/2)</f>
        <v>0.30219044595657757</v>
      </c>
      <c r="CX337" s="51">
        <f>+(CX73)/((CX261-CX228)/2)</f>
        <v>0.16530163562127026</v>
      </c>
      <c r="CY337" s="51">
        <f>+(CY73)/((CY261-CY228)/1)</f>
        <v>0.21488971032350024</v>
      </c>
      <c r="CZ337" s="51">
        <f>+(CZ73)/((CZ261-CZ228)/2)</f>
        <v>0.30894431268524647</v>
      </c>
      <c r="DA337" s="51">
        <f>+(DA73)/((DA261-DA228)/2)</f>
        <v>0.18174881160825479</v>
      </c>
      <c r="DB337" s="51">
        <f>+(DB73)/((DB261-DB228)/1)</f>
        <v>0.23899074278599972</v>
      </c>
      <c r="DC337" s="51">
        <f>+(DC73)/((DC261-DC228)/2)</f>
        <v>0.28585101879290986</v>
      </c>
      <c r="DD337" s="51">
        <f>+(DD73)/((DD261-DD228)/2)</f>
        <v>0.16316936327917228</v>
      </c>
      <c r="DE337" s="1080">
        <f>+(DE73)/((DE261-DE228)/1)</f>
        <v>0.21481392515827938</v>
      </c>
      <c r="DF337" s="51">
        <f>+(DF73)/((DF261-DF228)/2)</f>
        <v>0.24348680382532417</v>
      </c>
      <c r="DG337" s="51">
        <f>+(DG73)/((DG261-DG228)/2)</f>
        <v>0.15199566196622491</v>
      </c>
      <c r="DH337" s="1080">
        <f>+(DH73)/((DH261-DH228)/1)</f>
        <v>0.19036264066812938</v>
      </c>
      <c r="DI337" s="51">
        <f>+(DI73)/((DI261-DI228)/2)</f>
        <v>0.30886580364160343</v>
      </c>
      <c r="DJ337" s="51">
        <f>+(DJ73)/((DJ261-DJ228)/2)</f>
        <v>9.7002621252622601E-2</v>
      </c>
      <c r="DK337" s="1080">
        <f>+(DK73)/((DK261-DK228)/1)</f>
        <v>0.19273100979624541</v>
      </c>
      <c r="DL337" s="51">
        <f>+(DL73)/((DL261-DL228)/2)</f>
        <v>0.26090435084447511</v>
      </c>
      <c r="DM337" s="51">
        <f>+(DM73)/((DM261-DM228)/2)</f>
        <v>9.5019029319471177E-2</v>
      </c>
      <c r="DN337" s="1080">
        <f>+(DN73)/((DN261-DN228)/1)</f>
        <v>0.17210322955286553</v>
      </c>
      <c r="DO337" s="51">
        <f>+(DO73)/((DO261-DO228)/2)</f>
        <v>0.14178097086892344</v>
      </c>
      <c r="DP337" s="51">
        <f>+(DP73)/((DP261-DP228)/2)</f>
        <v>7.2149937121273391E-2</v>
      </c>
      <c r="DQ337" s="1080">
        <f>+(DQ73)/((DQ261-DQ228)/1)</f>
        <v>0.10544018243655205</v>
      </c>
      <c r="DR337" s="51">
        <f>+(DR73)/((DR261-DR228)/2)</f>
        <v>0.15404850910794499</v>
      </c>
      <c r="DS337" s="51">
        <f>+(DS73)/((DS261-DS228)/2)</f>
        <v>7.7108674549704395E-2</v>
      </c>
      <c r="DT337" s="1080">
        <f>+(DT73)/((DT261-DT228)/1)</f>
        <v>0.11541338099821256</v>
      </c>
      <c r="DU337" s="51">
        <f>+(DU73)/((DU261-DU228)/2)</f>
        <v>0.15589199144164884</v>
      </c>
      <c r="DV337" s="51">
        <f>+(DV73)/((DV261-DV228)/2)</f>
        <v>8.5376003436518383E-2</v>
      </c>
      <c r="DW337" s="1080">
        <f>+(DW73)/((DW261-DW228)/1)</f>
        <v>0.11995596960829059</v>
      </c>
      <c r="DX337" s="51">
        <f>+(DX73)/((DX261-DX228)/2)</f>
        <v>0.15262398998830154</v>
      </c>
      <c r="DY337" s="51">
        <f>+(DY73)/((DY261-DY228)/2)</f>
        <v>0.11224674314614601</v>
      </c>
      <c r="DZ337" s="1080">
        <f>+(DZ73)/((DZ261-DZ228)/1)</f>
        <v>0.1312827334076371</v>
      </c>
      <c r="EA337" s="51">
        <f>+(EA73)/((EA261-EA228)/2)</f>
        <v>0.15680956033474241</v>
      </c>
      <c r="EB337" s="51">
        <f>+(EB73)/((EB261-EB228)/2)</f>
        <v>0.11373964977085484</v>
      </c>
      <c r="EC337" s="1080">
        <f>+(EC73)/((EC261-EC228)/1)</f>
        <v>0.13362523809559654</v>
      </c>
      <c r="ED337" s="51">
        <f>+(ED73)/((ED261-ED228)/2)</f>
        <v>0.16411492053286417</v>
      </c>
      <c r="EE337" s="51">
        <f>+(EE73)/((EE261-EE228)/2)</f>
        <v>0.11826057758003354</v>
      </c>
      <c r="EF337" s="1080">
        <f>+(EF73)/((EF261-EF228)/1)</f>
        <v>0.13910528810556172</v>
      </c>
      <c r="EG337" s="51">
        <f>+(EG73)/((EG261-EG228)/2)</f>
        <v>0.17076584789180083</v>
      </c>
      <c r="EH337" s="51">
        <f>+(EH73)/((EH261-EH228)/2)</f>
        <v>0.1254089626146693</v>
      </c>
      <c r="EI337" s="1080">
        <f>+(EI73)/((EI261-EI228)/1)</f>
        <v>0.14581629188246012</v>
      </c>
      <c r="EJ337" s="51">
        <f>+(EJ73)/((EJ261-EJ228)/2)</f>
        <v>0.17820198454026528</v>
      </c>
      <c r="EK337" s="51">
        <f>+(EK73)/((EK261-EK228)/2)</f>
        <v>0.13346149408712679</v>
      </c>
      <c r="EL337" s="1080">
        <f>+(EL73)/((EL261-EL228)/1)</f>
        <v>0.15347845498188567</v>
      </c>
      <c r="EM337" s="51">
        <f>+(EM73)/((EM261-EM228)/2)</f>
        <v>0.18805553160576174</v>
      </c>
      <c r="EN337" s="51">
        <f>+(EN73)/((EN261-EN228)/2)</f>
        <v>0.14128037033808358</v>
      </c>
      <c r="EO337" s="1080">
        <f>+(EO73)/((EO261-EO228)/1)</f>
        <v>0.16235176232943996</v>
      </c>
      <c r="EP337" s="51">
        <f>+(EP73)/((EP261-EP228)/2)</f>
        <v>0.19672524691713159</v>
      </c>
      <c r="EQ337" s="51">
        <f>+(EQ73)/((EQ261-EQ228)/2)</f>
        <v>0.14978125785858598</v>
      </c>
      <c r="ER337" s="1080">
        <f>+(ER73)/((ER261-ER228)/1)</f>
        <v>0.17073483339806922</v>
      </c>
      <c r="ES337" s="51">
        <f>+(ES73)/((ES261-ES228)/2)</f>
        <v>0.20387283252657584</v>
      </c>
      <c r="ET337" s="51">
        <f>+(ET73)/((ET261-ET228)/2)</f>
        <v>0.15653169951482007</v>
      </c>
      <c r="EU337" s="1080">
        <f>+(EU73)/((EU261-EU228)/1)</f>
        <v>0.17751042817724463</v>
      </c>
      <c r="EV337" s="51">
        <f>+(EV73)/((EV261-EV228)/2)</f>
        <v>0.20917182272587287</v>
      </c>
      <c r="EW337" s="51">
        <f>+(EW73)/((EW261-EW228)/2)</f>
        <v>0.16134371371472495</v>
      </c>
      <c r="EX337" s="1080">
        <f>+(EX73)/((EX261-EX228)/1)</f>
        <v>0.18241211588108538</v>
      </c>
      <c r="EY337" s="51">
        <f>+(EY73)/((EY261-EY228)/2)</f>
        <v>0.2145152394260692</v>
      </c>
      <c r="EZ337" s="51">
        <f>+(EZ73)/((EZ261-EZ228)/2)</f>
        <v>0.16621701495137062</v>
      </c>
      <c r="FA337" s="1080">
        <f>+(FA73)/((FA261-FA228)/1)</f>
        <v>0.18736217102722327</v>
      </c>
      <c r="FD337"/>
      <c r="FE337"/>
      <c r="FF337"/>
      <c r="FG337"/>
      <c r="FH337"/>
      <c r="FI337"/>
    </row>
    <row r="338" spans="1:169" s="33" customFormat="1">
      <c r="B338" s="54" t="s">
        <v>725</v>
      </c>
      <c r="C338" s="54"/>
      <c r="D338" s="2" t="s">
        <v>507</v>
      </c>
      <c r="E338" s="51"/>
      <c r="F338" s="51"/>
      <c r="G338" s="51"/>
      <c r="H338" s="51"/>
      <c r="I338" s="5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c r="AJ338" s="51"/>
      <c r="AK338" s="51"/>
      <c r="AL338" s="51"/>
      <c r="AM338" s="51"/>
      <c r="AN338" s="51"/>
      <c r="AO338" s="51"/>
      <c r="AP338" s="51"/>
      <c r="AQ338" s="51"/>
      <c r="AR338" s="51"/>
      <c r="AS338" s="51"/>
      <c r="AT338" s="51"/>
      <c r="AU338" s="51"/>
      <c r="AV338" s="51"/>
      <c r="AW338" s="51"/>
      <c r="AX338" s="51"/>
      <c r="AY338" s="51"/>
      <c r="AZ338" s="51"/>
      <c r="BA338" s="51"/>
      <c r="BB338" s="51"/>
      <c r="BC338" s="51"/>
      <c r="BD338" s="51"/>
      <c r="BE338" s="51"/>
      <c r="BF338" s="51"/>
      <c r="BG338" s="51"/>
      <c r="BH338" s="51"/>
      <c r="BI338" s="51"/>
      <c r="BJ338" s="51"/>
      <c r="BK338" s="51"/>
      <c r="BL338" s="51"/>
      <c r="BM338" s="51"/>
      <c r="BN338" s="51"/>
      <c r="BO338" s="51"/>
      <c r="BP338" s="51"/>
      <c r="BQ338" s="51"/>
      <c r="BR338" s="51"/>
      <c r="BS338" s="51"/>
      <c r="BT338" s="51"/>
      <c r="BU338" s="51"/>
      <c r="BV338" s="51"/>
      <c r="BW338" s="51">
        <f>+(BW91)/((BW317-BW316)/2)</f>
        <v>0.26153649002702972</v>
      </c>
      <c r="BX338" s="51">
        <f>+(BX91)/((BX317-BX316)/1)</f>
        <v>0.25992685920508091</v>
      </c>
      <c r="BY338" s="51"/>
      <c r="BZ338" s="51">
        <f>+(BZ91)/((BZ317-BZ316)/2)</f>
        <v>0.2337712093862816</v>
      </c>
      <c r="CA338" s="51">
        <f>+(CA91)/((CA317-CA316)/1)</f>
        <v>0.23012048736462093</v>
      </c>
      <c r="CB338" s="51"/>
      <c r="CC338" s="51">
        <f>+(CC91)/((CC317-CC316)/2)</f>
        <v>0.24262208137430516</v>
      </c>
      <c r="CD338" s="51">
        <f>+(CD91)/((CD317-CD316)/1)</f>
        <v>0.29328694154294571</v>
      </c>
      <c r="CE338" s="51"/>
      <c r="CF338" s="51">
        <f>+(CF91)/((CF317-CF316)/2)</f>
        <v>0.22491618362712359</v>
      </c>
      <c r="CG338" s="51">
        <f>+(CG91)/((CG317-CG316)/1)</f>
        <v>0.24019426961331211</v>
      </c>
      <c r="CH338" s="51">
        <f>+(CH91)/((CH317-CH316)/2)</f>
        <v>0.29906925591177719</v>
      </c>
      <c r="CI338" s="51">
        <f>+(CI91)/((CI317-CI316)/2)</f>
        <v>0.30312399731645423</v>
      </c>
      <c r="CJ338" s="51">
        <f>+(CJ91)/((CJ317-CJ316)/1)</f>
        <v>0.29866114400723387</v>
      </c>
      <c r="CK338" s="51">
        <f>+(CK91)/((CK317-CK316)/2)</f>
        <v>0.41545829453239314</v>
      </c>
      <c r="CL338" s="51">
        <f>+(CL91)/((CL317-CL316)/2)</f>
        <v>0.39357456432087284</v>
      </c>
      <c r="CM338" s="51">
        <f>+(CM91)/((CM317-CM316)/1)</f>
        <v>0.40451642942663302</v>
      </c>
      <c r="CN338" s="51">
        <f>+(CN91)/((CN317-CN316)/2)</f>
        <v>0.39221284091599351</v>
      </c>
      <c r="CO338" s="51">
        <f>+(CO91)/((CO317-CO316)/2)</f>
        <v>0.41827956989247311</v>
      </c>
      <c r="CP338" s="51">
        <f>+(CP91)/((CP317-CP316)/1)</f>
        <v>0.41334598355471219</v>
      </c>
      <c r="CQ338" s="51">
        <f>+(CQ91)/((CQ317-CQ316)/2)</f>
        <v>0.46175911410560028</v>
      </c>
      <c r="CR338" s="51">
        <f>+(CR91)/((CR317-CR316)/2)</f>
        <v>0.51607266373002292</v>
      </c>
      <c r="CS338" s="51">
        <f>+(CS91)/((CS317-CS316)/1)</f>
        <v>0.51002948778623169</v>
      </c>
      <c r="CT338" s="51">
        <f>+(CT91)/((CT317-CT316)/2)</f>
        <v>0.4263884497839604</v>
      </c>
      <c r="CU338" s="51">
        <f>+(CU91)/((CU317-CU316)/2)</f>
        <v>0.4253661576815207</v>
      </c>
      <c r="CV338" s="51">
        <f>+(CV91)/((CV317-CV316)/1)</f>
        <v>0.44908850109068243</v>
      </c>
      <c r="CW338" s="51">
        <f>+(CW91)/((CW317-CW316)/2)</f>
        <v>0.55421769643594321</v>
      </c>
      <c r="CX338" s="51">
        <f>+(CX91)/((CX317-CX316)/2)</f>
        <v>0.34124441880025946</v>
      </c>
      <c r="CY338" s="51">
        <f>+(CY91)/((CY317-CY316)/1)</f>
        <v>0.42522110945702335</v>
      </c>
      <c r="CZ338" s="51">
        <f>+(CZ91)/((CZ317-CZ316)/2)</f>
        <v>0.56533957845433258</v>
      </c>
      <c r="DA338" s="51">
        <f>+(DA91)/((DA317-DA316)/2)</f>
        <v>0.31500772077746997</v>
      </c>
      <c r="DB338" s="51">
        <f>+(DB91)/((DB317-DB316)/1)</f>
        <v>0.42376038628397744</v>
      </c>
      <c r="DC338" s="51">
        <f>+(DC91)/((DC317-DC316)/2)</f>
        <v>0.47843201912573946</v>
      </c>
      <c r="DD338" s="51">
        <f>+(DD91)/((DD317-DD316)/2)</f>
        <v>0.28869041951516761</v>
      </c>
      <c r="DE338" s="1080">
        <f>+(DE91)/((DE317-DE316)/1)</f>
        <v>0.36537619256184184</v>
      </c>
      <c r="DF338" s="51">
        <f>+(DF91)/((DF317-DF316)/2)</f>
        <v>0.41056683225318286</v>
      </c>
      <c r="DG338" s="51">
        <f>+(DG91)/((DG317-DG316)/2)</f>
        <v>0.26181178658586091</v>
      </c>
      <c r="DH338" s="1080">
        <f>+(DH91)/((DH317-DH316)/1)</f>
        <v>0.32209437173596989</v>
      </c>
      <c r="DI338" s="51">
        <f>+(DI91)/((DI317-DI316)/2)</f>
        <v>0.44439130274824329</v>
      </c>
      <c r="DJ338" s="51">
        <f>+(DJ91)/((DJ317-DJ316)/2)</f>
        <v>0.13912618115872857</v>
      </c>
      <c r="DK338" s="1080">
        <f>+(DK91)/((DK317-DK316)/1)</f>
        <v>0.28573303426553398</v>
      </c>
      <c r="DL338" s="51">
        <f>+(DL91)/((DL317-DL316)/2)</f>
        <v>0.25087649288829345</v>
      </c>
      <c r="DM338" s="51">
        <f>+(DM91)/((DM317-DM316)/2)</f>
        <v>6.883210427027954E-2</v>
      </c>
      <c r="DN338" s="1080">
        <f>+(DN91)/((DN317-DN316)/1)</f>
        <v>0.15517063968444519</v>
      </c>
      <c r="DO338" s="51">
        <f>+(DO91)/((DO317-DO316)/2)</f>
        <v>0.20708353002717564</v>
      </c>
      <c r="DP338" s="51">
        <f>+(DP91)/((DP317-DP316)/2)</f>
        <v>7.2317243126821279E-2</v>
      </c>
      <c r="DQ338" s="1080">
        <f>+(DQ91)/((DQ317-DQ316)/1)</f>
        <v>0.13897757506651467</v>
      </c>
      <c r="DR338" s="51">
        <f>+(DR91)/((DR317-DR316)/2)</f>
        <v>0.22134308435698899</v>
      </c>
      <c r="DS338" s="51">
        <f>+(DS91)/((DS317-DS316)/2)</f>
        <v>8.5353328341876408E-2</v>
      </c>
      <c r="DT338" s="1080">
        <f>+(DT91)/((DT317-DT316)/1)</f>
        <v>0.15216264470425617</v>
      </c>
      <c r="DU338" s="51">
        <f>+(DU91)/((DU317-DU316)/2)</f>
        <v>0.21628320491405781</v>
      </c>
      <c r="DV338" s="51">
        <f>+(DV91)/((DV317-DV316)/2)</f>
        <v>0.10292216188259637</v>
      </c>
      <c r="DW338" s="1080">
        <f>+(DW91)/((DW317-DW316)/1)</f>
        <v>0.15526247737264029</v>
      </c>
      <c r="DX338" s="51">
        <f>+(DX91)/((DX317-DX316)/2)</f>
        <v>4.2984242684103335E-2</v>
      </c>
      <c r="DY338" s="51">
        <f>+(DY91)/((DY317-DY316)/2)</f>
        <v>0.14473530118670092</v>
      </c>
      <c r="DZ338" s="1080">
        <f>+(DZ91)/((DZ317-DZ316)/1)</f>
        <v>9.3505622752017223E-2</v>
      </c>
      <c r="EA338" s="51">
        <f>+(EA91)/((EA317-EA316)/2)</f>
        <v>0.20030169982383</v>
      </c>
      <c r="EB338" s="51">
        <f>+(EB91)/((EB317-EB316)/2)</f>
        <v>0.1398679597108938</v>
      </c>
      <c r="EC338" s="1080">
        <f>+(EC91)/((EC317-EC316)/1)</f>
        <v>0.16864968120771678</v>
      </c>
      <c r="ED338" s="51">
        <f>+(ED91)/((ED317-ED316)/2)</f>
        <v>0.20553955220470133</v>
      </c>
      <c r="EE338" s="51">
        <f>+(EE91)/((EE317-EE316)/2)</f>
        <v>0.14319204075448153</v>
      </c>
      <c r="EF338" s="1080">
        <f>+(EF91)/((EF317-EF316)/1)</f>
        <v>0.17266492355395188</v>
      </c>
      <c r="EG338" s="51">
        <f>+(EG91)/((EG317-EG316)/2)</f>
        <v>0.20567870416314879</v>
      </c>
      <c r="EH338" s="51">
        <f>+(EH91)/((EH317-EH316)/2)</f>
        <v>0.14474409040669914</v>
      </c>
      <c r="EI338" s="1080">
        <f>+(EI91)/((EI317-EI316)/1)</f>
        <v>0.17153936186921284</v>
      </c>
      <c r="EJ338" s="51">
        <f>+(EJ91)/((EJ317-EJ316)/2)</f>
        <v>0.2028171705519064</v>
      </c>
      <c r="EK338" s="51">
        <f>+(EK91)/((EK317-EK316)/2)</f>
        <v>0.14650650076406974</v>
      </c>
      <c r="EL338" s="1080">
        <f>+(EL91)/((EL317-EL316)/1)</f>
        <v>0.17087552263672076</v>
      </c>
      <c r="EM338" s="51">
        <f>+(EM91)/((EM317-EM316)/2)</f>
        <v>0.20117203728976618</v>
      </c>
      <c r="EN338" s="51">
        <f>+(EN91)/((EN317-EN316)/2)</f>
        <v>0.14614337837247021</v>
      </c>
      <c r="EO338" s="1080">
        <f>+(EO91)/((EO317-EO316)/1)</f>
        <v>0.16987262104641704</v>
      </c>
      <c r="EP338" s="51">
        <f>+(EP91)/((EP317-EP316)/2)</f>
        <v>0.19742349440520091</v>
      </c>
      <c r="EQ338" s="51">
        <f>+(EQ91)/((EQ317-EQ316)/2)</f>
        <v>0.14619355082576158</v>
      </c>
      <c r="ER338" s="1080">
        <f>+(ER91)/((ER317-ER316)/1)</f>
        <v>0.16800992757902874</v>
      </c>
      <c r="ES338" s="51">
        <f>+(ES91)/((ES317-ES316)/2)</f>
        <v>0.19217131003172852</v>
      </c>
      <c r="ET338" s="51">
        <f>+(ET91)/((ET317-ET316)/2)</f>
        <v>0.14420460748820257</v>
      </c>
      <c r="EU338" s="1080">
        <f>+(EU91)/((EU317-EU316)/1)</f>
        <v>0.16448708717778532</v>
      </c>
      <c r="EV338" s="51">
        <f>+(EV91)/((EV317-EV316)/2)</f>
        <v>0.18558630142867338</v>
      </c>
      <c r="EW338" s="51">
        <f>+(EW91)/((EW317-EW316)/2)</f>
        <v>0.140546141168025</v>
      </c>
      <c r="EX338" s="1080">
        <f>+(EX91)/((EX317-EX316)/1)</f>
        <v>0.15954938759993675</v>
      </c>
      <c r="EY338" s="51">
        <f>+(EY91)/((EY317-EY316)/2)</f>
        <v>0.1796990342715096</v>
      </c>
      <c r="EZ338" s="51">
        <f>+(EZ91)/((EZ317-EZ316)/2)</f>
        <v>0.1372797968447346</v>
      </c>
      <c r="FA338" s="1080">
        <f>+(FA91)/((FA317-FA316)/1)</f>
        <v>0.1551334960748639</v>
      </c>
      <c r="FD338"/>
      <c r="FE338"/>
      <c r="FF338"/>
      <c r="FG338"/>
      <c r="FH338"/>
      <c r="FI338"/>
    </row>
    <row r="339" spans="1:169" s="33" customFormat="1">
      <c r="B339" s="54" t="s">
        <v>726</v>
      </c>
      <c r="C339" s="54"/>
      <c r="D339" s="2" t="s">
        <v>507</v>
      </c>
      <c r="E339" s="51"/>
      <c r="F339" s="51"/>
      <c r="G339" s="51"/>
      <c r="H339" s="51"/>
      <c r="I339" s="5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c r="AJ339" s="51"/>
      <c r="AK339" s="51"/>
      <c r="AL339" s="51"/>
      <c r="AM339" s="51"/>
      <c r="AN339" s="51"/>
      <c r="AO339" s="51"/>
      <c r="AP339" s="51"/>
      <c r="AQ339" s="51"/>
      <c r="AR339" s="51"/>
      <c r="AS339" s="51"/>
      <c r="AT339" s="51"/>
      <c r="AU339" s="51"/>
      <c r="AV339" s="51"/>
      <c r="AW339" s="51"/>
      <c r="AX339" s="51"/>
      <c r="AY339" s="51"/>
      <c r="AZ339" s="51"/>
      <c r="BA339" s="51"/>
      <c r="BB339" s="51"/>
      <c r="BC339" s="51"/>
      <c r="BD339" s="51"/>
      <c r="BE339" s="51"/>
      <c r="BF339" s="51"/>
      <c r="BG339" s="51"/>
      <c r="BH339" s="51"/>
      <c r="BI339" s="51"/>
      <c r="BJ339" s="51"/>
      <c r="BK339" s="51"/>
      <c r="BL339" s="51"/>
      <c r="BM339" s="51"/>
      <c r="BN339" s="51"/>
      <c r="BO339" s="51"/>
      <c r="BP339" s="51"/>
      <c r="BQ339" s="51"/>
      <c r="BR339" s="51"/>
      <c r="BS339" s="51"/>
      <c r="BT339" s="51"/>
      <c r="BU339" s="51"/>
      <c r="BV339" s="51"/>
      <c r="BW339" s="51">
        <f>+(BW73)/((BW315+BW286+BW266-BW228)/2)</f>
        <v>0.31726738087517392</v>
      </c>
      <c r="BX339" s="51">
        <f>+(BX73)/((BX315+BX286+BX266-BX228)/1)</f>
        <v>0.3285675245190513</v>
      </c>
      <c r="BY339" s="51"/>
      <c r="BZ339" s="51">
        <f>+(BZ73)/((BZ315+BZ286+BZ266-BZ228)/2)</f>
        <v>0.42370587388663972</v>
      </c>
      <c r="CA339" s="51">
        <f>+(CA73)/((CA315+CA286+CA266-CA228)/1)</f>
        <v>0.42312351724021596</v>
      </c>
      <c r="CB339" s="51"/>
      <c r="CC339" s="51">
        <f>+(CC73)/((CC315+CC286+CC266-CC228)/2)</f>
        <v>0.35835034332448734</v>
      </c>
      <c r="CD339" s="51">
        <f>+(CD73)/((CD315+CD286+CD266-CD228)/1)</f>
        <v>0.43344800372276865</v>
      </c>
      <c r="CE339" s="51"/>
      <c r="CF339" s="51">
        <f>+(CF73)/((CF315+CF286+CF266-CF228)/2)</f>
        <v>0.28438590776177536</v>
      </c>
      <c r="CG339" s="51">
        <f>+(CG73)/((CG315+CG286+CG266-CG228)/1)</f>
        <v>0.30748708971920996</v>
      </c>
      <c r="CH339" s="51">
        <f>+(CH73)/((CH315+CH286+CH266-CH228)/2)</f>
        <v>0.35272828848600041</v>
      </c>
      <c r="CI339" s="51">
        <f>+(CI73)/((CI315+CI286+CI266-CI228)/2)</f>
        <v>0.34714083578058819</v>
      </c>
      <c r="CJ339" s="51">
        <f>+(CJ73)/((CJ315+CJ286+CJ266-CJ228)/1)</f>
        <v>0.35239573948812752</v>
      </c>
      <c r="CK339" s="51">
        <f>+(CK73)/((CK315+CK286+CK266-CK228)/2)</f>
        <v>0.40173837135210905</v>
      </c>
      <c r="CL339" s="51">
        <f>+(CL73)/((CL315+CL286+CL266-CL228)/2)</f>
        <v>0.35562000325191917</v>
      </c>
      <c r="CM339" s="51">
        <f>+(CM73)/((CM315+CM286+CM266-CM228)/1)</f>
        <v>0.37867918730201411</v>
      </c>
      <c r="CN339" s="51">
        <f>+(CN73)/((CN315+CN286+CN266-CN228)/2)</f>
        <v>0.37262270811980414</v>
      </c>
      <c r="CO339" s="51">
        <f>+(CO73)/((CO315+CO286+CO266-CO228)/2)</f>
        <v>0.36871005491043296</v>
      </c>
      <c r="CP339" s="51">
        <f>+(CP73)/((CP315+CP286+CP266-CP228)/1)</f>
        <v>0.36844000360068413</v>
      </c>
      <c r="CQ339" s="51">
        <f>+(CQ73)/((CQ315+CQ286+CQ266-CQ228)/2)</f>
        <v>0.41161308463773544</v>
      </c>
      <c r="CR339" s="51">
        <f>+(CR73)/((CR315+CR286+CR266-CR228)/2)</f>
        <v>0.40335495414896</v>
      </c>
      <c r="CS339" s="51">
        <f>+(CS73)/((CS315+CS286+CS266-CS228)/1)</f>
        <v>0.39812122567658242</v>
      </c>
      <c r="CT339" s="51">
        <f>+(CT73)/((CT315+CT286+CT266-CT228)/2)</f>
        <v>0.335383404775217</v>
      </c>
      <c r="CU339" s="51">
        <f>+(CU73)/((CU315+CU286+CU266-CU228)/2)</f>
        <v>0.27889559362812633</v>
      </c>
      <c r="CV339" s="51">
        <f>+(CV73)/((CV315+CV286+CV266-CV228)/1)</f>
        <v>0.29657152835716644</v>
      </c>
      <c r="CW339" s="51">
        <f>+(CW73)/((CW315+CW286+CW266-CW228)/2)</f>
        <v>0.39439410588510798</v>
      </c>
      <c r="CX339" s="51">
        <f>+(CX73)/((CX315+CX286+CX266-CX228)/2)</f>
        <v>0.21739613948685357</v>
      </c>
      <c r="CY339" s="51">
        <f>+(CY73)/((CY315+CY286+CY266-CY228)/1)</f>
        <v>0.28261180395583446</v>
      </c>
      <c r="CZ339" s="51">
        <f>+(CZ73)/((CZ315+CZ286+CZ266-CZ228)/2)</f>
        <v>0.39622607014814121</v>
      </c>
      <c r="DA339" s="51">
        <f>+(DA73)/((DA315+DA286+DA266-DA228)/2)</f>
        <v>0.23657868572905913</v>
      </c>
      <c r="DB339" s="51">
        <f>+(DB73)/((DB315+DB286+DB266-DB228)/1)</f>
        <v>0.3110893288897601</v>
      </c>
      <c r="DC339" s="51">
        <f>+(DC73)/((DC315+DC286+DC266-DC228)/2)</f>
        <v>0.35156426857427447</v>
      </c>
      <c r="DD339" s="51">
        <f>+(DD73)/((DD315+DD286+DD266-DD228)/2)</f>
        <v>0.20548167194235276</v>
      </c>
      <c r="DE339" s="1080">
        <f>+(DE73)/((DE315+DE286+DE266-DE228)/1)</f>
        <v>0.27051845769908062</v>
      </c>
      <c r="DF339" s="51">
        <f>+(DF73)/((DF315+DF286+DF266-DF228)/2)</f>
        <v>0.29620294747540749</v>
      </c>
      <c r="DG339" s="51">
        <f>+(DG73)/((DG315+DG286+DG266-DG228)/2)</f>
        <v>0.19150839573405942</v>
      </c>
      <c r="DH339" s="1080">
        <f>+(DH73)/((DH315+DH286+DH266-DH228)/1)</f>
        <v>0.23984923944838374</v>
      </c>
      <c r="DI339" s="51">
        <f>+(DI73)/((DI315+DI286+DI266-DI228)/2)</f>
        <v>0.39771975120182174</v>
      </c>
      <c r="DJ339" s="51">
        <f>+(DJ73)/((DJ315+DJ286+DJ266-DJ228)/2)</f>
        <v>0.1280974944869423</v>
      </c>
      <c r="DK339" s="1080">
        <f>+(DK73)/((DK315+DK286+DK266-DK228)/1)</f>
        <v>0.25451229199819059</v>
      </c>
      <c r="DL339" s="51">
        <f>+(DL73)/((DL315+DL286+DL266-DL228)/2)</f>
        <v>0.33637185267116887</v>
      </c>
      <c r="DM339" s="51">
        <f>+(DM73)/((DM315+DM286+DM266-DM228)/2)</f>
        <v>0.12332525110697236</v>
      </c>
      <c r="DN339" s="1080">
        <f>+(DN73)/((DN315+DN286+DN266-DN228)/1)</f>
        <v>0.22337287754821039</v>
      </c>
      <c r="DO339" s="51">
        <f>+(DO73)/((DO315+DO286+DO266-DO228)/2)</f>
        <v>0.18305988309588572</v>
      </c>
      <c r="DP339" s="51">
        <f>+(DP73)/((DP315+DP286+DP266-DP228)/2)</f>
        <v>9.456235477001658E-2</v>
      </c>
      <c r="DQ339" s="1080">
        <f>+(DQ73)/((DQ315+DQ286+DQ266-DQ228)/1)</f>
        <v>0.1381937716982522</v>
      </c>
      <c r="DR339" s="51">
        <f>+(DR73)/((DR315+DR286+DR266-DR228)/2)</f>
        <v>0.19775562493366822</v>
      </c>
      <c r="DS339" s="51">
        <f>+(DS73)/((DS315+DS286+DS266-DS228)/2)</f>
        <v>0.10054347412958514</v>
      </c>
      <c r="DT339" s="1080">
        <f>+(DT73)/((DT315+DT286+DT266-DT228)/1)</f>
        <v>0.15048971278998888</v>
      </c>
      <c r="DU339" s="51">
        <f>+(DU73)/((DU315+DU286+DU266-DU228)/2)</f>
        <v>0.19848960308976171</v>
      </c>
      <c r="DV339" s="51">
        <f>+(DV73)/((DV315+DV286+DV266-DV228)/2)</f>
        <v>0.11089412749337425</v>
      </c>
      <c r="DW339" s="1080">
        <f>+(DW73)/((DW315+DW286+DW266-DW228)/1)</f>
        <v>0.15580973636490444</v>
      </c>
      <c r="DX339" s="51">
        <f>+(DX73)/((DX315+DX286+DX266-DX228)/2)</f>
        <v>0.1958046839551848</v>
      </c>
      <c r="DY339" s="51">
        <f>+(DY73)/((DY315+DY286+DY266-DY228)/2)</f>
        <v>0.14742788059569087</v>
      </c>
      <c r="DZ339" s="1080">
        <f>+(DZ73)/((DZ315+DZ286+DZ266-DZ228)/1)</f>
        <v>0.17243026035861947</v>
      </c>
      <c r="EA339" s="51">
        <f>+(EA73)/((EA315+EA286+EA266-EA228)/2)</f>
        <v>0.20208596582546257</v>
      </c>
      <c r="EB339" s="51">
        <f>+(EB73)/((EB315+EB286+EB266-EB228)/2)</f>
        <v>0.14995219737066062</v>
      </c>
      <c r="EC339" s="1080">
        <f>+(EC73)/((EC315+EC286+EC266-EC228)/1)</f>
        <v>0.17616897992020092</v>
      </c>
      <c r="ED339" s="51">
        <f>+(ED73)/((ED315+ED286+ED266-ED228)/2)</f>
        <v>0.21225899485606645</v>
      </c>
      <c r="EE339" s="51">
        <f>+(EE73)/((EE315+EE286+EE266-EE228)/2)</f>
        <v>0.1562731266781511</v>
      </c>
      <c r="EF339" s="1080">
        <f>+(EF73)/((EF315+EF286+EF266-EF228)/1)</f>
        <v>0.18381796161116792</v>
      </c>
      <c r="EG339" s="51">
        <f>+(EG73)/((EG315+EG286+EG266-EG228)/2)</f>
        <v>0.22163127367569185</v>
      </c>
      <c r="EH339" s="51">
        <f>+(EH73)/((EH315+EH286+EH266-EH228)/2)</f>
        <v>0.16617309837321845</v>
      </c>
      <c r="EI339" s="1080">
        <f>+(EI73)/((EI315+EI286+EI266-EI228)/1)</f>
        <v>0.19321382228360501</v>
      </c>
      <c r="EJ339" s="51">
        <f>+(EJ73)/((EJ315+EJ286+EJ266-EJ228)/2)</f>
        <v>0.2322625792482238</v>
      </c>
      <c r="EK339" s="51">
        <f>+(EK73)/((EK315+EK286+EK266-EK228)/2)</f>
        <v>0.17755543310666697</v>
      </c>
      <c r="EL339" s="1080">
        <f>+(EL73)/((EL315+EL286+EL266-EL228)/1)</f>
        <v>0.20418573711651056</v>
      </c>
      <c r="EM339" s="51">
        <f>+(EM73)/((EM315+EM286+EM266-EM228)/2)</f>
        <v>0.24643736293177387</v>
      </c>
      <c r="EN339" s="51">
        <f>+(EN73)/((EN315+EN286+EN266-EN228)/2)</f>
        <v>0.18894548227168864</v>
      </c>
      <c r="EO339" s="1080">
        <f>+(EO73)/((EO315+EO286+EO266-EO228)/1)</f>
        <v>0.2171259316321715</v>
      </c>
      <c r="EP339" s="51">
        <f>+(EP73)/((EP315+EP286+EP266-EP228)/2)</f>
        <v>0.25935906101413309</v>
      </c>
      <c r="EQ339" s="51">
        <f>+(EQ73)/((EQ315+EQ286+EQ266-EQ228)/2)</f>
        <v>0.2013466059486512</v>
      </c>
      <c r="ER339" s="1080">
        <f>+(ER73)/((ER315+ER286+ER266-ER228)/1)</f>
        <v>0.22951389054541213</v>
      </c>
      <c r="ES339" s="51">
        <f>+(ES73)/((ES315+ES286+ES266-ES228)/2)</f>
        <v>0.27040348437520534</v>
      </c>
      <c r="ET339" s="51">
        <f>+(ET73)/((ET315+ET286+ET266-ET228)/2)</f>
        <v>0.21148036908146467</v>
      </c>
      <c r="EU339" s="1080">
        <f>+(EU73)/((EU315+EU286+EU266-EU228)/1)</f>
        <v>0.23982344140573469</v>
      </c>
      <c r="EV339" s="51">
        <f>+(EV73)/((EV315+EV286+EV266-EV228)/2)</f>
        <v>0.27908926963049913</v>
      </c>
      <c r="EW339" s="51">
        <f>+(EW73)/((EW315+EW286+EW266-EW228)/2)</f>
        <v>0.21904464836223148</v>
      </c>
      <c r="EX339" s="1080">
        <f>+(EX73)/((EX315+EX286+EX266-EX228)/1)</f>
        <v>0.2476476886532479</v>
      </c>
      <c r="EY339" s="51">
        <f>+(EY73)/((EY315+EY286+EY266-EY228)/2)</f>
        <v>0.28791032570644232</v>
      </c>
      <c r="EZ339" s="51">
        <f>+(EZ73)/((EZ315+EZ286+EZ266-EZ228)/2)</f>
        <v>0.22672343797511657</v>
      </c>
      <c r="FA339" s="1080">
        <f>+(FA73)/((FA315+FA286+FA266-FA228)/1)</f>
        <v>0.25556586715386415</v>
      </c>
      <c r="FD339"/>
      <c r="FE339"/>
      <c r="FF339"/>
      <c r="FG339"/>
      <c r="FH339"/>
      <c r="FI339"/>
    </row>
    <row r="340" spans="1:169" s="1078" customFormat="1" ht="13.5" thickBot="1">
      <c r="A340" s="48" t="s">
        <v>727</v>
      </c>
      <c r="B340" s="48"/>
      <c r="C340" s="1036"/>
      <c r="D340" s="49" t="str">
        <f t="shared" ref="D340:AI340" si="863">+D4</f>
        <v xml:space="preserve">Year ending Jun </v>
      </c>
      <c r="E340" s="49" t="str">
        <f t="shared" si="863"/>
        <v>1h85</v>
      </c>
      <c r="F340" s="49" t="str">
        <f t="shared" si="863"/>
        <v>2h85</v>
      </c>
      <c r="G340" s="49" t="str">
        <f t="shared" si="863"/>
        <v>1985</v>
      </c>
      <c r="H340" s="49" t="str">
        <f t="shared" si="863"/>
        <v>1h86</v>
      </c>
      <c r="I340" s="49" t="str">
        <f t="shared" si="863"/>
        <v>2h86</v>
      </c>
      <c r="J340" s="49" t="str">
        <f t="shared" si="863"/>
        <v>1986</v>
      </c>
      <c r="K340" s="49" t="str">
        <f t="shared" si="863"/>
        <v>1h87</v>
      </c>
      <c r="L340" s="49" t="str">
        <f t="shared" si="863"/>
        <v>2h87</v>
      </c>
      <c r="M340" s="49" t="str">
        <f t="shared" si="863"/>
        <v>1987</v>
      </c>
      <c r="N340" s="49" t="str">
        <f t="shared" si="863"/>
        <v>1h88</v>
      </c>
      <c r="O340" s="49" t="str">
        <f t="shared" si="863"/>
        <v>2h88</v>
      </c>
      <c r="P340" s="49" t="str">
        <f t="shared" si="863"/>
        <v>1988</v>
      </c>
      <c r="Q340" s="49" t="str">
        <f t="shared" si="863"/>
        <v>1h89</v>
      </c>
      <c r="R340" s="49" t="str">
        <f t="shared" si="863"/>
        <v>2h89</v>
      </c>
      <c r="S340" s="49" t="str">
        <f t="shared" si="863"/>
        <v>1989</v>
      </c>
      <c r="T340" s="49" t="str">
        <f t="shared" si="863"/>
        <v>1h90</v>
      </c>
      <c r="U340" s="49" t="str">
        <f t="shared" si="863"/>
        <v>2h90</v>
      </c>
      <c r="V340" s="49" t="str">
        <f t="shared" si="863"/>
        <v>1990</v>
      </c>
      <c r="W340" s="49" t="str">
        <f t="shared" si="863"/>
        <v>1h91</v>
      </c>
      <c r="X340" s="49" t="str">
        <f t="shared" si="863"/>
        <v>2h91</v>
      </c>
      <c r="Y340" s="49" t="str">
        <f t="shared" si="863"/>
        <v>1991</v>
      </c>
      <c r="Z340" s="49" t="str">
        <f t="shared" si="863"/>
        <v>1h92</v>
      </c>
      <c r="AA340" s="49" t="str">
        <f t="shared" si="863"/>
        <v>2h92</v>
      </c>
      <c r="AB340" s="49" t="str">
        <f t="shared" si="863"/>
        <v>1992</v>
      </c>
      <c r="AC340" s="49" t="str">
        <f t="shared" si="863"/>
        <v>1h93</v>
      </c>
      <c r="AD340" s="49" t="str">
        <f t="shared" si="863"/>
        <v>2h93</v>
      </c>
      <c r="AE340" s="49" t="str">
        <f t="shared" si="863"/>
        <v>1993</v>
      </c>
      <c r="AF340" s="49" t="str">
        <f t="shared" si="863"/>
        <v>1h94</v>
      </c>
      <c r="AG340" s="49" t="str">
        <f t="shared" si="863"/>
        <v>2h94</v>
      </c>
      <c r="AH340" s="49" t="str">
        <f t="shared" si="863"/>
        <v>1994</v>
      </c>
      <c r="AI340" s="49" t="str">
        <f t="shared" si="863"/>
        <v>1h95</v>
      </c>
      <c r="AJ340" s="49" t="str">
        <f t="shared" ref="AJ340:BO340" si="864">+AJ4</f>
        <v>2h95</v>
      </c>
      <c r="AK340" s="49" t="str">
        <f t="shared" si="864"/>
        <v>1995</v>
      </c>
      <c r="AL340" s="49" t="str">
        <f t="shared" si="864"/>
        <v>1h96</v>
      </c>
      <c r="AM340" s="49" t="str">
        <f t="shared" si="864"/>
        <v>2h96</v>
      </c>
      <c r="AN340" s="49" t="str">
        <f t="shared" si="864"/>
        <v>1996</v>
      </c>
      <c r="AO340" s="49" t="str">
        <f t="shared" si="864"/>
        <v>1h97</v>
      </c>
      <c r="AP340" s="49" t="str">
        <f t="shared" si="864"/>
        <v>2h97</v>
      </c>
      <c r="AQ340" s="49" t="str">
        <f t="shared" si="864"/>
        <v>1997</v>
      </c>
      <c r="AR340" s="49" t="str">
        <f t="shared" si="864"/>
        <v>1h98</v>
      </c>
      <c r="AS340" s="49" t="str">
        <f t="shared" si="864"/>
        <v>2h98</v>
      </c>
      <c r="AT340" s="49" t="str">
        <f t="shared" si="864"/>
        <v>1998a</v>
      </c>
      <c r="AU340" s="49" t="str">
        <f t="shared" si="864"/>
        <v>1h99</v>
      </c>
      <c r="AV340" s="49" t="str">
        <f t="shared" si="864"/>
        <v>2h99</v>
      </c>
      <c r="AW340" s="49" t="str">
        <f t="shared" si="864"/>
        <v>1999a</v>
      </c>
      <c r="AX340" s="49" t="str">
        <f t="shared" si="864"/>
        <v>1h00</v>
      </c>
      <c r="AY340" s="49" t="str">
        <f t="shared" si="864"/>
        <v>2h00</v>
      </c>
      <c r="AZ340" s="49" t="str">
        <f t="shared" si="864"/>
        <v>2000a</v>
      </c>
      <c r="BA340" s="49" t="str">
        <f t="shared" si="864"/>
        <v>1h01</v>
      </c>
      <c r="BB340" s="49" t="str">
        <f t="shared" si="864"/>
        <v>2h01</v>
      </c>
      <c r="BC340" s="49" t="str">
        <f t="shared" si="864"/>
        <v>2001a</v>
      </c>
      <c r="BD340" s="49" t="str">
        <f t="shared" si="864"/>
        <v>1h02</v>
      </c>
      <c r="BE340" s="49" t="str">
        <f t="shared" si="864"/>
        <v>2h02f</v>
      </c>
      <c r="BF340" s="49" t="str">
        <f t="shared" si="864"/>
        <v>2002</v>
      </c>
      <c r="BG340" s="49" t="str">
        <f t="shared" si="864"/>
        <v>1h03</v>
      </c>
      <c r="BH340" s="49" t="str">
        <f t="shared" si="864"/>
        <v>2h03</v>
      </c>
      <c r="BI340" s="49" t="str">
        <f t="shared" si="864"/>
        <v>2003</v>
      </c>
      <c r="BJ340" s="49" t="str">
        <f t="shared" si="864"/>
        <v>1h04</v>
      </c>
      <c r="BK340" s="49" t="str">
        <f t="shared" si="864"/>
        <v>2h04</v>
      </c>
      <c r="BL340" s="49" t="str">
        <f t="shared" si="864"/>
        <v>2004</v>
      </c>
      <c r="BM340" s="49" t="str">
        <f t="shared" si="864"/>
        <v>1h05</v>
      </c>
      <c r="BN340" s="49" t="str">
        <f t="shared" si="864"/>
        <v>2h05</v>
      </c>
      <c r="BO340" s="49" t="str">
        <f t="shared" si="864"/>
        <v>2005</v>
      </c>
      <c r="BP340" s="49" t="str">
        <f t="shared" ref="BP340:CU340" si="865">+BP4</f>
        <v>1h06</v>
      </c>
      <c r="BQ340" s="49" t="str">
        <f t="shared" si="865"/>
        <v>2h06</v>
      </c>
      <c r="BR340" s="49" t="str">
        <f t="shared" si="865"/>
        <v>2006</v>
      </c>
      <c r="BS340" s="49" t="str">
        <f t="shared" si="865"/>
        <v>1h07</v>
      </c>
      <c r="BT340" s="49" t="str">
        <f t="shared" si="865"/>
        <v>2h07</v>
      </c>
      <c r="BU340" s="49" t="str">
        <f t="shared" si="865"/>
        <v>2007</v>
      </c>
      <c r="BV340" s="49" t="str">
        <f t="shared" si="865"/>
        <v>1h08</v>
      </c>
      <c r="BW340" s="49" t="str">
        <f t="shared" si="865"/>
        <v>2h08</v>
      </c>
      <c r="BX340" s="49" t="str">
        <f t="shared" si="865"/>
        <v>2008</v>
      </c>
      <c r="BY340" s="49" t="str">
        <f t="shared" si="865"/>
        <v>1h09</v>
      </c>
      <c r="BZ340" s="49" t="str">
        <f t="shared" si="865"/>
        <v>2h09</v>
      </c>
      <c r="CA340" s="49" t="str">
        <f t="shared" si="865"/>
        <v>2009</v>
      </c>
      <c r="CB340" s="49" t="str">
        <f t="shared" si="865"/>
        <v>1h10</v>
      </c>
      <c r="CC340" s="49" t="str">
        <f t="shared" si="865"/>
        <v>2h10</v>
      </c>
      <c r="CD340" s="49" t="str">
        <f t="shared" si="865"/>
        <v>2010</v>
      </c>
      <c r="CE340" s="49" t="str">
        <f t="shared" si="865"/>
        <v>1h11</v>
      </c>
      <c r="CF340" s="49" t="str">
        <f t="shared" si="865"/>
        <v>2h11</v>
      </c>
      <c r="CG340" s="49" t="str">
        <f t="shared" si="865"/>
        <v>2011</v>
      </c>
      <c r="CH340" s="49" t="str">
        <f t="shared" si="865"/>
        <v>1h12</v>
      </c>
      <c r="CI340" s="49" t="str">
        <f t="shared" si="865"/>
        <v>2h12</v>
      </c>
      <c r="CJ340" s="49" t="str">
        <f t="shared" si="865"/>
        <v>2012</v>
      </c>
      <c r="CK340" s="49" t="str">
        <f t="shared" si="865"/>
        <v>1h13</v>
      </c>
      <c r="CL340" s="49" t="str">
        <f t="shared" si="865"/>
        <v>2h13</v>
      </c>
      <c r="CM340" s="49" t="str">
        <f t="shared" si="865"/>
        <v>2013</v>
      </c>
      <c r="CN340" s="49" t="str">
        <f t="shared" si="865"/>
        <v>1h14</v>
      </c>
      <c r="CO340" s="49" t="str">
        <f t="shared" si="865"/>
        <v>2h14</v>
      </c>
      <c r="CP340" s="49" t="str">
        <f t="shared" si="865"/>
        <v>2014</v>
      </c>
      <c r="CQ340" s="49" t="str">
        <f t="shared" si="865"/>
        <v>1h15</v>
      </c>
      <c r="CR340" s="49" t="str">
        <f t="shared" si="865"/>
        <v>2h15</v>
      </c>
      <c r="CS340" s="49" t="str">
        <f t="shared" si="865"/>
        <v>2015</v>
      </c>
      <c r="CT340" s="49" t="str">
        <f t="shared" si="865"/>
        <v>1h16</v>
      </c>
      <c r="CU340" s="49" t="str">
        <f t="shared" si="865"/>
        <v>2h16</v>
      </c>
      <c r="CV340" s="49" t="str">
        <f t="shared" ref="CV340:EC340" si="866">+CV4</f>
        <v>2016</v>
      </c>
      <c r="CW340" s="49" t="str">
        <f t="shared" si="866"/>
        <v>1h17</v>
      </c>
      <c r="CX340" s="49" t="str">
        <f t="shared" si="866"/>
        <v>2h17</v>
      </c>
      <c r="CY340" s="49" t="str">
        <f t="shared" si="866"/>
        <v>2017</v>
      </c>
      <c r="CZ340" s="49" t="str">
        <f t="shared" si="866"/>
        <v>1h18</v>
      </c>
      <c r="DA340" s="49" t="str">
        <f t="shared" si="866"/>
        <v>2h18</v>
      </c>
      <c r="DB340" s="49" t="str">
        <f t="shared" si="866"/>
        <v>2018</v>
      </c>
      <c r="DC340" s="49" t="str">
        <f t="shared" si="866"/>
        <v>1h19</v>
      </c>
      <c r="DD340" s="49" t="str">
        <f t="shared" si="866"/>
        <v>2h19</v>
      </c>
      <c r="DE340" s="63" t="str">
        <f t="shared" si="866"/>
        <v>2019</v>
      </c>
      <c r="DF340" s="49" t="str">
        <f t="shared" si="866"/>
        <v>1h20</v>
      </c>
      <c r="DG340" s="49" t="str">
        <f t="shared" si="866"/>
        <v>2h20</v>
      </c>
      <c r="DH340" s="63" t="str">
        <f t="shared" si="866"/>
        <v>2020</v>
      </c>
      <c r="DI340" s="49" t="str">
        <f t="shared" si="866"/>
        <v>1h21</v>
      </c>
      <c r="DJ340" s="49" t="str">
        <f t="shared" si="866"/>
        <v>2h21</v>
      </c>
      <c r="DK340" s="63" t="str">
        <f t="shared" si="866"/>
        <v>2021</v>
      </c>
      <c r="DL340" s="49" t="str">
        <f t="shared" si="866"/>
        <v>1h22</v>
      </c>
      <c r="DM340" s="49" t="str">
        <f t="shared" si="866"/>
        <v>2h22</v>
      </c>
      <c r="DN340" s="63" t="str">
        <f t="shared" si="866"/>
        <v>2022</v>
      </c>
      <c r="DO340" s="49" t="str">
        <f t="shared" si="866"/>
        <v>1h23</v>
      </c>
      <c r="DP340" s="49" t="str">
        <f t="shared" si="866"/>
        <v>2h23</v>
      </c>
      <c r="DQ340" s="63" t="str">
        <f t="shared" si="866"/>
        <v>2023</v>
      </c>
      <c r="DR340" s="49" t="str">
        <f t="shared" si="866"/>
        <v>1h24</v>
      </c>
      <c r="DS340" s="49" t="str">
        <f t="shared" si="866"/>
        <v>2h24</v>
      </c>
      <c r="DT340" s="63" t="str">
        <f t="shared" si="866"/>
        <v>2024</v>
      </c>
      <c r="DU340" s="49" t="str">
        <f>+DU4</f>
        <v>1h25</v>
      </c>
      <c r="DV340" s="49" t="str">
        <f>+DV4</f>
        <v>2h25</v>
      </c>
      <c r="DW340" s="63" t="str">
        <f>+DW4</f>
        <v>2025</v>
      </c>
      <c r="DX340" s="49" t="str">
        <f t="shared" si="866"/>
        <v>1h26</v>
      </c>
      <c r="DY340" s="49" t="str">
        <f t="shared" si="866"/>
        <v>2h26E</v>
      </c>
      <c r="DZ340" s="63" t="str">
        <f t="shared" si="866"/>
        <v>2026E</v>
      </c>
      <c r="EA340" s="49" t="str">
        <f t="shared" si="866"/>
        <v>1h27E</v>
      </c>
      <c r="EB340" s="49" t="str">
        <f t="shared" si="866"/>
        <v>2h27E</v>
      </c>
      <c r="EC340" s="63" t="str">
        <f t="shared" si="866"/>
        <v>2027E</v>
      </c>
      <c r="ED340" s="49" t="str">
        <f t="shared" ref="ED340:EL340" si="867">+ED4</f>
        <v>1h28E</v>
      </c>
      <c r="EE340" s="49" t="str">
        <f t="shared" si="867"/>
        <v>2h28E</v>
      </c>
      <c r="EF340" s="63" t="str">
        <f t="shared" si="867"/>
        <v>2028E</v>
      </c>
      <c r="EG340" s="49" t="str">
        <f t="shared" si="867"/>
        <v>1h29E</v>
      </c>
      <c r="EH340" s="49" t="str">
        <f t="shared" si="867"/>
        <v>2h29E</v>
      </c>
      <c r="EI340" s="63" t="str">
        <f t="shared" si="867"/>
        <v>2029E</v>
      </c>
      <c r="EJ340" s="49" t="str">
        <f t="shared" si="867"/>
        <v>1h30E</v>
      </c>
      <c r="EK340" s="49" t="str">
        <f t="shared" si="867"/>
        <v>2h30E</v>
      </c>
      <c r="EL340" s="63" t="str">
        <f t="shared" si="867"/>
        <v>2030E</v>
      </c>
      <c r="EM340" s="49" t="str">
        <f t="shared" ref="EM340:ER340" si="868">+EM4</f>
        <v>1h31E</v>
      </c>
      <c r="EN340" s="49" t="str">
        <f t="shared" si="868"/>
        <v>2h31E</v>
      </c>
      <c r="EO340" s="63" t="str">
        <f t="shared" si="868"/>
        <v>2031E</v>
      </c>
      <c r="EP340" s="49" t="str">
        <f t="shared" si="868"/>
        <v>1h32E</v>
      </c>
      <c r="EQ340" s="49" t="str">
        <f t="shared" si="868"/>
        <v>2h32E</v>
      </c>
      <c r="ER340" s="63" t="str">
        <f t="shared" si="868"/>
        <v>2032E</v>
      </c>
      <c r="ES340" s="49" t="str">
        <f t="shared" ref="ES340:FA340" si="869">+ES4</f>
        <v>1h33E</v>
      </c>
      <c r="ET340" s="49" t="str">
        <f t="shared" si="869"/>
        <v>2h33E</v>
      </c>
      <c r="EU340" s="63" t="str">
        <f t="shared" si="869"/>
        <v>2033E</v>
      </c>
      <c r="EV340" s="49" t="str">
        <f t="shared" si="869"/>
        <v>1h34E</v>
      </c>
      <c r="EW340" s="49" t="str">
        <f t="shared" si="869"/>
        <v>2h34E</v>
      </c>
      <c r="EX340" s="63" t="str">
        <f t="shared" si="869"/>
        <v>2034E</v>
      </c>
      <c r="EY340" s="49" t="str">
        <f t="shared" si="869"/>
        <v>1h35E</v>
      </c>
      <c r="EZ340" s="49" t="str">
        <f t="shared" si="869"/>
        <v>2h35E</v>
      </c>
      <c r="FA340" s="63" t="str">
        <f t="shared" si="869"/>
        <v>2035E</v>
      </c>
      <c r="FB340" s="1068"/>
      <c r="FC340" s="1068"/>
      <c r="FD340"/>
      <c r="FE340"/>
      <c r="FF340"/>
      <c r="FG340"/>
      <c r="FH340"/>
      <c r="FI340"/>
    </row>
    <row r="341" spans="1:169" s="61" customFormat="1" ht="13.5" thickBot="1">
      <c r="A341" s="33"/>
      <c r="B341" s="54" t="s">
        <v>170</v>
      </c>
      <c r="C341" s="54"/>
      <c r="D341" s="2" t="s">
        <v>365</v>
      </c>
      <c r="E341" s="1270"/>
      <c r="F341" s="1271"/>
      <c r="G341" s="1272">
        <f>+E341+F341</f>
        <v>0</v>
      </c>
      <c r="H341" s="1270"/>
      <c r="I341" s="1271"/>
      <c r="J341" s="1272">
        <f>+H341+I341</f>
        <v>0</v>
      </c>
      <c r="K341" s="1270"/>
      <c r="L341" s="1271"/>
      <c r="M341" s="1272">
        <f>+K341+L341</f>
        <v>0</v>
      </c>
      <c r="N341" s="1270"/>
      <c r="O341" s="1271"/>
      <c r="P341" s="1272">
        <f>+N341+O341</f>
        <v>0</v>
      </c>
      <c r="Q341" s="1270"/>
      <c r="R341" s="1271"/>
      <c r="S341" s="1272">
        <f>+Q341+R341</f>
        <v>0</v>
      </c>
      <c r="T341" s="1270"/>
      <c r="U341" s="1271"/>
      <c r="V341" s="1272">
        <f>+T341+U341</f>
        <v>0</v>
      </c>
      <c r="W341" s="1270"/>
      <c r="X341" s="1271"/>
      <c r="Y341" s="1272">
        <f>+W341+X341</f>
        <v>0</v>
      </c>
      <c r="Z341" s="1270"/>
      <c r="AA341" s="1271"/>
      <c r="AB341" s="1272">
        <f>+Z341+AA341</f>
        <v>0</v>
      </c>
      <c r="AC341" s="1270"/>
      <c r="AD341" s="1271"/>
      <c r="AE341" s="1272">
        <f>+AC341+AD341</f>
        <v>0</v>
      </c>
      <c r="AF341" s="1270"/>
      <c r="AG341" s="1271"/>
      <c r="AH341" s="1272">
        <f>+AF341+AG341</f>
        <v>0</v>
      </c>
      <c r="AI341" s="1270"/>
      <c r="AJ341" s="1271"/>
      <c r="AK341" s="1272">
        <f>+AI341+AJ341</f>
        <v>0</v>
      </c>
      <c r="AL341" s="1270"/>
      <c r="AM341" s="1271"/>
      <c r="AN341" s="1272">
        <f>+AL341+AM341</f>
        <v>0</v>
      </c>
      <c r="AO341" s="1273">
        <v>5.5</v>
      </c>
      <c r="AP341" s="1274">
        <v>10</v>
      </c>
      <c r="AQ341" s="1272">
        <f>+AO341+AP341</f>
        <v>15.5</v>
      </c>
      <c r="AR341" s="1273">
        <v>6</v>
      </c>
      <c r="AS341" s="1274">
        <v>12</v>
      </c>
      <c r="AT341" s="1272">
        <f>+AR341+AS341</f>
        <v>18</v>
      </c>
      <c r="AU341" s="1273">
        <v>7</v>
      </c>
      <c r="AV341" s="1274">
        <v>14</v>
      </c>
      <c r="AW341" s="1272">
        <f>+AU341+AV341</f>
        <v>21</v>
      </c>
      <c r="AX341" s="1273">
        <v>8</v>
      </c>
      <c r="AY341" s="1274">
        <v>15</v>
      </c>
      <c r="AZ341" s="1275">
        <v>23</v>
      </c>
      <c r="BA341" s="1273">
        <v>9</v>
      </c>
      <c r="BB341" s="1271">
        <f>IF(Assumptions!BB197&lt;&gt;"0",Assumptions!BB197,0)</f>
        <v>5.666666666666667</v>
      </c>
      <c r="BC341" s="1272">
        <f>+BA341+BB341</f>
        <v>14.666666666666668</v>
      </c>
      <c r="BD341" s="1270">
        <f>Assumptions!BD197</f>
        <v>4</v>
      </c>
      <c r="BE341" s="1271">
        <f>IF(Assumptions!BE197&lt;&gt;"0",Assumptions!BE197,0)</f>
        <v>7.333333333333333</v>
      </c>
      <c r="BF341" s="1272">
        <f>+BD341+BE341</f>
        <v>11.333333333333332</v>
      </c>
      <c r="BG341" s="1270">
        <f>IF(Assumptions!BG197&lt;&gt;"0",Assumptions!BG197,0)</f>
        <v>4</v>
      </c>
      <c r="BH341" s="1271">
        <f>IF(Assumptions!BH197&lt;&gt;"0",Assumptions!BH197,0)</f>
        <v>7.333333333333333</v>
      </c>
      <c r="BI341" s="1272">
        <f>+BG341+BH341</f>
        <v>11.333333333333332</v>
      </c>
      <c r="BJ341" s="1273">
        <v>12</v>
      </c>
      <c r="BK341" s="1271">
        <f>IF(Assumptions!BK197&lt;&gt;"0",Assumptions!BK197,0)</f>
        <v>8.6666666666666661</v>
      </c>
      <c r="BL341" s="1272">
        <f>+BJ341+BK341</f>
        <v>20.666666666666664</v>
      </c>
      <c r="BM341" s="1270">
        <f>IF(Assumptions!BM197&lt;&gt;"0",Assumptions!BM197,0)</f>
        <v>5.666666666666667</v>
      </c>
      <c r="BN341" s="1271">
        <f>IF(Assumptions!BN197&lt;&gt;"0",Assumptions!BN197,0)</f>
        <v>13.333333333333334</v>
      </c>
      <c r="BO341" s="1272">
        <f>+BM341+BN341</f>
        <v>19</v>
      </c>
      <c r="BP341" s="1273">
        <v>28</v>
      </c>
      <c r="BQ341" s="1271">
        <f>IF(Assumptions!BQ197&lt;&gt;"0",Assumptions!BQ197,0)</f>
        <v>13.333333333333334</v>
      </c>
      <c r="BR341" s="1272">
        <f>+BP341+BQ341</f>
        <v>41.333333333333336</v>
      </c>
      <c r="BS341" s="1270">
        <f>IF(Assumptions!BS197&lt;&gt;"0",Assumptions!BS197,0)</f>
        <v>16.333333333333332</v>
      </c>
      <c r="BT341" s="1271">
        <f>IF(Assumptions!BT197&lt;&gt;"0",Assumptions!BT197,0)</f>
        <v>18.333333333333332</v>
      </c>
      <c r="BU341" s="1272">
        <f>+BS341+BT341</f>
        <v>34.666666666666664</v>
      </c>
      <c r="BV341" s="1273">
        <v>23</v>
      </c>
      <c r="BW341" s="1274">
        <v>23</v>
      </c>
      <c r="BX341" s="1272">
        <f>+BV341+BW341</f>
        <v>46</v>
      </c>
      <c r="BY341" s="1270">
        <f>IF(Assumptions!BY197&lt;&gt;"0",Assumptions!BY197,0)</f>
        <v>29.878664589776484</v>
      </c>
      <c r="BZ341" s="1274">
        <v>40</v>
      </c>
      <c r="CA341" s="1272">
        <f>+BY341+BZ341</f>
        <v>69.878664589776491</v>
      </c>
      <c r="CB341" s="1270">
        <f>IF(Assumptions!CB197&lt;&gt;"0",Assumptions!CB197,0)</f>
        <v>34.9811384904786</v>
      </c>
      <c r="CC341" s="1274">
        <v>45</v>
      </c>
      <c r="CD341" s="1272">
        <f>+CB341+CC341</f>
        <v>79.9811384904786</v>
      </c>
      <c r="CE341" s="1270">
        <f>IF(Assumptions!CE197&lt;&gt;"0",Assumptions!CE197,0)</f>
        <v>34.999999999999993</v>
      </c>
      <c r="CF341" s="1271">
        <f>IF(Assumptions!CF197&lt;&gt;"0",Assumptions!CF197,0)</f>
        <v>47.142606059045839</v>
      </c>
      <c r="CG341" s="1272">
        <f>+CE341+CF341</f>
        <v>82.142606059045832</v>
      </c>
      <c r="CH341" s="1273">
        <v>36</v>
      </c>
      <c r="CI341" s="1271">
        <f>IF(Assumptions!CI197&lt;&gt;"0",Assumptions!CI197,0)</f>
        <v>48.405279617328553</v>
      </c>
      <c r="CJ341" s="1272">
        <f>+CH341+CI341</f>
        <v>84.405279617328546</v>
      </c>
      <c r="CK341" s="1270">
        <f>IF(Assumptions!CK197&lt;&gt;"0",Assumptions!CK197,0)</f>
        <v>49.816557664699324</v>
      </c>
      <c r="CL341" s="1271">
        <f>IF(Assumptions!CL197&lt;&gt;"0",Assumptions!CL197,0)</f>
        <v>52.202918221920612</v>
      </c>
      <c r="CM341" s="1272">
        <f>+CK341+CL341</f>
        <v>102.01947588661994</v>
      </c>
      <c r="CN341" s="1270">
        <f>IF(Assumptions!CN197&lt;&gt;"0",Assumptions!CN197,0)</f>
        <v>53.04437988603037</v>
      </c>
      <c r="CO341" s="1271">
        <f>IF(Assumptions!CO197&lt;&gt;"0",Assumptions!CO197,0)</f>
        <v>59.970106028841471</v>
      </c>
      <c r="CP341" s="1272">
        <f>+CN341+CO341</f>
        <v>113.01448591487184</v>
      </c>
      <c r="CQ341" s="1270">
        <f>IF(Assumptions!CQ197&lt;&gt;"0",Assumptions!CQ197,0)</f>
        <v>58.000000000000007</v>
      </c>
      <c r="CR341" s="1271">
        <f>IF(Assumptions!CR197&lt;&gt;"0",Assumptions!CR197,0)</f>
        <v>65.999999999999986</v>
      </c>
      <c r="CS341" s="1272">
        <f>+CQ341+CR341</f>
        <v>124</v>
      </c>
      <c r="CT341" s="1270">
        <f>IF(Assumptions!CT197&lt;&gt;"0",Assumptions!CT197,0)</f>
        <v>58</v>
      </c>
      <c r="CU341" s="1271">
        <f>IF(Assumptions!CU197&lt;&gt;"0",Assumptions!CU197,0)</f>
        <v>68</v>
      </c>
      <c r="CV341" s="1272">
        <f>+CT341+CU341</f>
        <v>126</v>
      </c>
      <c r="CW341" s="1270">
        <f>IF(Assumptions!CW197&lt;&gt;"0",Assumptions!CW197,0)</f>
        <v>78.279236340056116</v>
      </c>
      <c r="CX341" s="1271">
        <f>IF(Assumptions!CX197&lt;&gt;"0",Assumptions!CX197,0)</f>
        <v>58.650912780043939</v>
      </c>
      <c r="CY341" s="1272">
        <f>+CW341+CX341</f>
        <v>136.93014912010005</v>
      </c>
      <c r="CZ341" s="1270">
        <f>IF(Assumptions!CZ197&lt;&gt;"0",Assumptions!CZ197,0)</f>
        <v>79.217586953570603</v>
      </c>
      <c r="DA341" s="1271">
        <f>IF(Assumptions!DA197&lt;&gt;"0",Assumptions!DA197,0)</f>
        <v>93.256146666861639</v>
      </c>
      <c r="DB341" s="1272">
        <f>+CZ341+DA341</f>
        <v>172.47373362043226</v>
      </c>
      <c r="DC341" s="1270">
        <f>IF(Assumptions!DC197&lt;&gt;"0",Assumptions!DC197,0)</f>
        <v>84.860542833114522</v>
      </c>
      <c r="DD341" s="1271">
        <f>IF(Assumptions!DD197&lt;&gt;"0",Assumptions!DD197,0)</f>
        <v>100.13945716688559</v>
      </c>
      <c r="DE341" s="1276">
        <f>+DC341+DD341</f>
        <v>185.00000000000011</v>
      </c>
      <c r="DF341" s="1277">
        <f>IF(Assumptions!DF197&lt;&gt;"0",Assumptions!DF197,0)</f>
        <v>95</v>
      </c>
      <c r="DG341" s="1271">
        <f>IF(Assumptions!DG197&lt;&gt;"0",Assumptions!DG197,0)</f>
        <v>107.07926149328205</v>
      </c>
      <c r="DH341" s="1276">
        <f>+DF341+DG341</f>
        <v>202.07926149328205</v>
      </c>
      <c r="DI341" s="1277">
        <f>IF(Assumptions!DI197&lt;&gt;"0",Assumptions!DI197,0)</f>
        <v>103.96749505793404</v>
      </c>
      <c r="DJ341" s="1271">
        <f>IF(Assumptions!DJ197&lt;&gt;"0",Assumptions!DJ197,0)</f>
        <v>121.41963198055035</v>
      </c>
      <c r="DK341" s="1276">
        <f>+DI341+DJ341</f>
        <v>225.38712703848438</v>
      </c>
      <c r="DL341" s="1277">
        <f>IF(Assumptions!DL197&lt;&gt;"0",Assumptions!DL197,0)</f>
        <v>104.61536046281159</v>
      </c>
      <c r="DM341" s="1271">
        <f>IF(Assumptions!DM197&lt;&gt;"0",Assumptions!DM197,0)</f>
        <v>143.97439347334546</v>
      </c>
      <c r="DN341" s="1276">
        <f>+DL341+DM341</f>
        <v>248.58975393615705</v>
      </c>
      <c r="DO341" s="1277">
        <f>IF(Assumptions!DO197&lt;&gt;"0",Assumptions!DO197,0)</f>
        <v>106.96964353828592</v>
      </c>
      <c r="DP341" s="1271">
        <f>IF(Assumptions!DP197&lt;&gt;"0",Assumptions!DP197,0)</f>
        <v>128.99237000746771</v>
      </c>
      <c r="DQ341" s="1276">
        <f>+DO341+DP341</f>
        <v>235.96201354575362</v>
      </c>
      <c r="DR341" s="1277">
        <f>IF(Assumptions!DR197&lt;&gt;"0",Assumptions!DR197,0)</f>
        <v>118.95185457762365</v>
      </c>
      <c r="DS341" s="1271">
        <f>IF(Assumptions!DS197&lt;&gt;"0",Assumptions!DS197,0)</f>
        <v>144.6089921834743</v>
      </c>
      <c r="DT341" s="1276">
        <f>+DR341+DS341</f>
        <v>263.56084676109793</v>
      </c>
      <c r="DU341" s="1277">
        <f>IF(Assumptions!DU197&lt;&gt;"0",Assumptions!DU197,0)</f>
        <v>130</v>
      </c>
      <c r="DV341" s="1271">
        <f>IF(Assumptions!DV197&lt;&gt;"0",Assumptions!DV197,0)</f>
        <v>162</v>
      </c>
      <c r="DW341" s="1276">
        <f>+DU341+DV341</f>
        <v>292</v>
      </c>
      <c r="DX341" s="1277">
        <f>IF(Assumptions!DX197&lt;&gt;"0",Assumptions!DX197,0)</f>
        <v>140.68628399867342</v>
      </c>
      <c r="DY341" s="1271">
        <f>IF(Assumptions!DY197&lt;&gt;"0",Assumptions!DY197,0)</f>
        <v>168.50452207110013</v>
      </c>
      <c r="DZ341" s="1276">
        <f>+DX341+DY341</f>
        <v>309.19080606977354</v>
      </c>
      <c r="EA341" s="1277">
        <f>IF(Assumptions!EA197&lt;&gt;"0",Assumptions!EA197,0)</f>
        <v>154.83407947709841</v>
      </c>
      <c r="EB341" s="1271">
        <f>IF(Assumptions!EB197&lt;&gt;"0",Assumptions!EB197,0)</f>
        <v>158.97251308939349</v>
      </c>
      <c r="EC341" s="1276">
        <f>+EA341+EB341</f>
        <v>313.80659256649187</v>
      </c>
      <c r="ED341" s="1277">
        <f>IF(Assumptions!ED197&lt;&gt;"0",Assumptions!ED197,0)</f>
        <v>169.80739667019913</v>
      </c>
      <c r="EE341" s="1271">
        <f>IF(Assumptions!EE197&lt;&gt;"0",Assumptions!EE197,0)</f>
        <v>174.12256738677664</v>
      </c>
      <c r="EF341" s="1276">
        <f>+ED341+EE341</f>
        <v>343.92996405697579</v>
      </c>
      <c r="EG341" s="1277">
        <f>IF(Assumptions!EG197&lt;&gt;"0",Assumptions!EG197,0)</f>
        <v>184.83793175080697</v>
      </c>
      <c r="EH341" s="1271">
        <f>IF(Assumptions!EH197&lt;&gt;"0",Assumptions!EH197,0)</f>
        <v>193.9996369143627</v>
      </c>
      <c r="EI341" s="1276">
        <f>+EG341+EH341</f>
        <v>378.83756866516967</v>
      </c>
      <c r="EJ341" s="1277">
        <f>IF(Assumptions!EJ197&lt;&gt;"0",Assumptions!EJ197,0)</f>
        <v>201.1120586974688</v>
      </c>
      <c r="EK341" s="1271">
        <f>IF(Assumptions!EK197&lt;&gt;"0",Assumptions!EK197,0)</f>
        <v>216.55825399784581</v>
      </c>
      <c r="EL341" s="1276">
        <f>+EJ341+EK341</f>
        <v>417.67031269531458</v>
      </c>
      <c r="EM341" s="1277">
        <f>IF(Assumptions!EM197&lt;&gt;"0",Assumptions!EM197,0)</f>
        <v>220.25448215648885</v>
      </c>
      <c r="EN341" s="1271">
        <f>IF(Assumptions!EN197&lt;&gt;"0",Assumptions!EN197,0)</f>
        <v>238.41542258897829</v>
      </c>
      <c r="EO341" s="1276">
        <f>+EM341+EN341</f>
        <v>458.66990474546714</v>
      </c>
      <c r="EP341" s="1277">
        <f>IF(Assumptions!EP197&lt;&gt;"0",Assumptions!EP197,0)</f>
        <v>238.54264689352121</v>
      </c>
      <c r="EQ341" s="1271">
        <f>IF(Assumptions!EQ197&lt;&gt;"0",Assumptions!EQ197,0)</f>
        <v>263.10348036481099</v>
      </c>
      <c r="ER341" s="1276">
        <f>+EP341+EQ341</f>
        <v>501.64612725833217</v>
      </c>
      <c r="ES341" s="1277">
        <f>IF(Assumptions!ES197&lt;&gt;"0",Assumptions!ES197,0)</f>
        <v>255.96452899138666</v>
      </c>
      <c r="ET341" s="1271">
        <f>IF(Assumptions!ET197&lt;&gt;"0",Assumptions!ET197,0)</f>
        <v>285.878157541419</v>
      </c>
      <c r="EU341" s="1276">
        <f>+ES341+ET341</f>
        <v>541.8426865328056</v>
      </c>
      <c r="EV341" s="1277">
        <f>IF(Assumptions!EV197&lt;&gt;"0",Assumptions!EV197,0)</f>
        <v>271.8796060750575</v>
      </c>
      <c r="EW341" s="1271">
        <f>IF(Assumptions!EW197&lt;&gt;"0",Assumptions!EW197,0)</f>
        <v>306.11075508420311</v>
      </c>
      <c r="EX341" s="1276">
        <f>+EV341+EW341</f>
        <v>577.9903611592606</v>
      </c>
      <c r="EY341" s="1277">
        <f>IF(Assumptions!EY197&lt;&gt;"0",Assumptions!EY197,0)</f>
        <v>288.78711664238199</v>
      </c>
      <c r="EZ341" s="1271">
        <f>IF(Assumptions!EZ197&lt;&gt;"0",Assumptions!EZ197,0)</f>
        <v>327.6761270412303</v>
      </c>
      <c r="FA341" s="1276">
        <f>+EY341+EZ341</f>
        <v>616.46324368361229</v>
      </c>
      <c r="FD341"/>
      <c r="FE341"/>
      <c r="FF341"/>
      <c r="FG341"/>
      <c r="FH341"/>
      <c r="FI341"/>
      <c r="FJ341" s="33"/>
      <c r="FK341" s="33"/>
      <c r="FL341" s="33"/>
      <c r="FM341" s="33"/>
    </row>
    <row r="342" spans="1:169" s="33" customFormat="1" ht="13.5" thickBot="1">
      <c r="B342" s="54" t="s">
        <v>728</v>
      </c>
      <c r="C342" s="54"/>
      <c r="D342" s="2" t="s">
        <v>506</v>
      </c>
      <c r="E342" s="1278"/>
      <c r="F342" s="32">
        <f>+G342-E342</f>
        <v>0</v>
      </c>
      <c r="G342" s="1224"/>
      <c r="H342" s="1279"/>
      <c r="I342" s="32">
        <f>+J342-H342</f>
        <v>0</v>
      </c>
      <c r="J342" s="1224"/>
      <c r="K342" s="1279"/>
      <c r="L342" s="32">
        <f>+M342-K342</f>
        <v>0</v>
      </c>
      <c r="M342" s="1224"/>
      <c r="N342" s="1279"/>
      <c r="O342" s="32">
        <f>+P342-N342</f>
        <v>0</v>
      </c>
      <c r="P342" s="1224"/>
      <c r="Q342" s="1279"/>
      <c r="R342" s="32">
        <f>+S342-Q342</f>
        <v>0</v>
      </c>
      <c r="S342" s="1224"/>
      <c r="T342" s="1279"/>
      <c r="U342" s="32">
        <f>+V342-T342</f>
        <v>0</v>
      </c>
      <c r="V342" s="1224"/>
      <c r="W342" s="1279"/>
      <c r="X342" s="32">
        <f>+Y342-W342</f>
        <v>0</v>
      </c>
      <c r="Y342" s="1224"/>
      <c r="Z342" s="1279"/>
      <c r="AA342" s="32">
        <f>+AB342-Z342</f>
        <v>0</v>
      </c>
      <c r="AB342" s="1224"/>
      <c r="AC342" s="1279"/>
      <c r="AD342" s="32">
        <f>+AE342-AC342</f>
        <v>0</v>
      </c>
      <c r="AE342" s="1224"/>
      <c r="AF342" s="1279"/>
      <c r="AG342" s="32">
        <f>+AH342-AF342</f>
        <v>0</v>
      </c>
      <c r="AH342" s="1224"/>
      <c r="AI342" s="1279"/>
      <c r="AJ342" s="32">
        <f>+AK342-AI342</f>
        <v>0</v>
      </c>
      <c r="AK342" s="1224"/>
      <c r="AL342" s="1279"/>
      <c r="AM342" s="32">
        <f>+AN342-AL342</f>
        <v>16.899999999999999</v>
      </c>
      <c r="AN342" s="1225">
        <v>16.899999999999999</v>
      </c>
      <c r="AO342" s="1280">
        <v>7.15</v>
      </c>
      <c r="AP342" s="32">
        <f>+AQ342-AO342</f>
        <v>12.999999999999998</v>
      </c>
      <c r="AQ342" s="1225">
        <v>20.149999999999999</v>
      </c>
      <c r="AR342" s="1280">
        <v>8.0020000000000007</v>
      </c>
      <c r="AS342" s="32">
        <f>+AT342-AR342</f>
        <v>15.750999999999999</v>
      </c>
      <c r="AT342" s="1232">
        <v>23.753</v>
      </c>
      <c r="AU342" s="1196">
        <v>9.2159999999999993</v>
      </c>
      <c r="AV342" s="32">
        <f>+AW342-AU342</f>
        <v>18.478000000000002</v>
      </c>
      <c r="AW342" s="1232">
        <v>27.693999999999999</v>
      </c>
      <c r="AX342" s="1196">
        <v>10.597</v>
      </c>
      <c r="AY342" s="32">
        <f>+AZ342-AX342</f>
        <v>18.546999999999997</v>
      </c>
      <c r="AZ342" s="1232">
        <v>29.143999999999998</v>
      </c>
      <c r="BA342" s="1190">
        <f>+(BA341/100)*BA378</f>
        <v>40.48760034</v>
      </c>
      <c r="BB342" s="32">
        <f>+BC342-BA342</f>
        <v>25.57528064666667</v>
      </c>
      <c r="BC342" s="1231">
        <f>+(BC341/100)*BC378</f>
        <v>66.06288098666667</v>
      </c>
      <c r="BD342" s="1196">
        <v>20.504000000000001</v>
      </c>
      <c r="BE342" s="32">
        <f>+BF342-BD342</f>
        <v>33.333291500000001</v>
      </c>
      <c r="BF342" s="1231">
        <f>+(BF341/100)*BF378</f>
        <v>53.837291499999999</v>
      </c>
      <c r="BG342" s="1196">
        <v>34.923999999999999</v>
      </c>
      <c r="BH342" s="32">
        <f>+BI342-BG342</f>
        <v>19.167000000000002</v>
      </c>
      <c r="BI342" s="1232">
        <v>54.091000000000001</v>
      </c>
      <c r="BJ342" s="1190">
        <f>+(BJ341/100)*BJ378</f>
        <v>67.59652615200001</v>
      </c>
      <c r="BK342" s="32">
        <f>+BL342-BJ342</f>
        <v>53.221713331999979</v>
      </c>
      <c r="BL342" s="1231">
        <f>+(BL341/100)*BL378</f>
        <v>120.81823948399999</v>
      </c>
      <c r="BM342" s="1190">
        <f>+(BM341/100)*BM378</f>
        <v>33.374713684</v>
      </c>
      <c r="BN342" s="32">
        <f>+BO342-BM342</f>
        <v>72.828738079999994</v>
      </c>
      <c r="BO342" s="1172">
        <f>+(BO341/100)*BO378</f>
        <v>106.20345176399999</v>
      </c>
      <c r="BP342" s="1190">
        <f>+(BP341/100)*BP378</f>
        <v>149.79034996800002</v>
      </c>
      <c r="BQ342" s="32">
        <f>+BR342-BP342</f>
        <v>74.506881639999932</v>
      </c>
      <c r="BR342" s="1172">
        <f>+(BR341/100)*BR378</f>
        <v>224.29723160799995</v>
      </c>
      <c r="BS342" s="1190">
        <f>+(BS341/100)*BS378</f>
        <v>88.633583457999976</v>
      </c>
      <c r="BT342" s="32">
        <f>+BU342-BS342</f>
        <v>101.23850206200001</v>
      </c>
      <c r="BU342" s="1172">
        <f>+(BU341/100)*BU378</f>
        <v>189.87208551999998</v>
      </c>
      <c r="BV342" s="1190">
        <f>+(BV341/100)*BV378</f>
        <v>125.97282597</v>
      </c>
      <c r="BW342" s="32">
        <f>+BX342-BV342</f>
        <v>127.07589447000001</v>
      </c>
      <c r="BX342" s="1172">
        <f>+(BX341/100)*BX378</f>
        <v>253.04872044000001</v>
      </c>
      <c r="BY342" s="1190">
        <f>+(BY341/100)*BY378</f>
        <v>179.73842845094288</v>
      </c>
      <c r="BZ342" s="32">
        <f>+CA342-BY342</f>
        <v>240.62444680000004</v>
      </c>
      <c r="CA342" s="1172">
        <f>+(CA341/100)*CA378</f>
        <v>420.36287525094292</v>
      </c>
      <c r="CB342" s="1190">
        <f>+(CB341/100)*CB378</f>
        <v>194.86322568324337</v>
      </c>
      <c r="CC342" s="32">
        <f>+CD342-CB342</f>
        <v>244.78740274072524</v>
      </c>
      <c r="CD342" s="1172">
        <f>+(CD341/100)*CD378</f>
        <v>439.65062842396861</v>
      </c>
      <c r="CE342" s="1190">
        <f>+(CE341/100)*CE378</f>
        <v>189.53392499999995</v>
      </c>
      <c r="CF342" s="32">
        <f>+CG342-CE342</f>
        <v>241.54742739289202</v>
      </c>
      <c r="CG342" s="1172">
        <f>+(CG341/100)*CG378</f>
        <v>431.08135239289197</v>
      </c>
      <c r="CH342" s="1190">
        <f>+(CH341/100)*CH378</f>
        <v>186.86835720000002</v>
      </c>
      <c r="CI342" s="32">
        <f>+CJ342-CH342</f>
        <v>243.63403679092355</v>
      </c>
      <c r="CJ342" s="1172">
        <f>+(CJ341/100)*CJ378</f>
        <v>430.50239399092357</v>
      </c>
      <c r="CK342" s="1190">
        <f>+(CK341/100)*CK378</f>
        <v>248.46308230212162</v>
      </c>
      <c r="CL342" s="32">
        <f>+CM342-CK342</f>
        <v>246.98018304347573</v>
      </c>
      <c r="CM342" s="1172">
        <f>+(CM341/100)*CM378</f>
        <v>495.44326534559735</v>
      </c>
      <c r="CN342" s="1190">
        <f>+(CN341/100)*CN378</f>
        <v>257.60258568838566</v>
      </c>
      <c r="CO342" s="32">
        <f>+CP342-CN342</f>
        <v>290.91821920001195</v>
      </c>
      <c r="CP342" s="1172">
        <f>+(CP341/100)*CP378</f>
        <v>548.52080488839761</v>
      </c>
      <c r="CQ342" s="1190">
        <f>+(CQ341/100)*CQ378</f>
        <v>275.37719602000004</v>
      </c>
      <c r="CR342" s="32">
        <f>+CS342-CQ342</f>
        <v>301.78826133999996</v>
      </c>
      <c r="CS342" s="1172">
        <f>+(CS341/100)*CS378</f>
        <v>577.16545736</v>
      </c>
      <c r="CT342" s="1190">
        <f>+(CT341/100)*CT378</f>
        <v>268.93642767999995</v>
      </c>
      <c r="CU342" s="32">
        <f>+CV342-CT342</f>
        <v>306.30684764000011</v>
      </c>
      <c r="CV342" s="1172">
        <f>+(CV341/100)*CV378</f>
        <v>575.24327532000007</v>
      </c>
      <c r="CW342" s="1190">
        <f>+(CW341/100)*CW378</f>
        <v>357.37781191906549</v>
      </c>
      <c r="CX342" s="32">
        <f>+CY342-CW342</f>
        <v>263.16949379200594</v>
      </c>
      <c r="CY342" s="1172">
        <f>+(CY341/100)*CY378</f>
        <v>620.54730571107143</v>
      </c>
      <c r="CZ342" s="1190">
        <f>+(CZ341/100)*CZ378</f>
        <v>359.00245829612396</v>
      </c>
      <c r="DA342" s="32">
        <f>+DB342-CZ342</f>
        <v>421.27009756679269</v>
      </c>
      <c r="DB342" s="1172">
        <f>+(DB341/100)*DB378</f>
        <v>780.27255586291665</v>
      </c>
      <c r="DC342" s="1190">
        <f>+(DC341/100)*DC378</f>
        <v>384.31117054488868</v>
      </c>
      <c r="DD342" s="32">
        <f>+DE342-DC342</f>
        <v>453.99533380511195</v>
      </c>
      <c r="DE342" s="1242">
        <f>+(DE341/100)*DE378</f>
        <v>838.30650435000064</v>
      </c>
      <c r="DF342" s="1190">
        <f>+(DF341/100)*DF378</f>
        <v>431.07063961319443</v>
      </c>
      <c r="DG342" s="32">
        <f>+DH342-DF342</f>
        <v>486.46763431220154</v>
      </c>
      <c r="DH342" s="1242">
        <f>+(DH341/100)*DH378</f>
        <v>917.53827392539597</v>
      </c>
      <c r="DI342" s="1190">
        <f>+(DI341/100)*DI378</f>
        <v>473.02545148591668</v>
      </c>
      <c r="DJ342" s="32">
        <f>+DK342-DI342</f>
        <v>552.76995079602807</v>
      </c>
      <c r="DK342" s="1242">
        <f>+(DK341/100)*DK378</f>
        <v>1025.7954022819447</v>
      </c>
      <c r="DL342" s="1190">
        <f>+(DL341/100)*DL378</f>
        <v>500.84435495456069</v>
      </c>
      <c r="DM342" s="32">
        <f>+DN342-DL342</f>
        <v>696.62806638988945</v>
      </c>
      <c r="DN342" s="1242">
        <f>+(DN341/100)*DN378</f>
        <v>1197.4724213444501</v>
      </c>
      <c r="DO342" s="1190">
        <f>+(DO341/100)*DO378</f>
        <v>515.82494273599286</v>
      </c>
      <c r="DP342" s="32">
        <f>+DQ342-DO342</f>
        <v>622.38327824537873</v>
      </c>
      <c r="DQ342" s="1242">
        <f>+(DQ341/100)*DQ378</f>
        <v>1138.2082209813716</v>
      </c>
      <c r="DR342" s="1190">
        <f>+(DR341/100)*DR378</f>
        <v>574.64838854094569</v>
      </c>
      <c r="DS342" s="32">
        <f>+DT342-DR342</f>
        <v>699.01659600756807</v>
      </c>
      <c r="DT342" s="1242">
        <f>+(DT341/100)*DT378</f>
        <v>1273.6649845485138</v>
      </c>
      <c r="DU342" s="1190">
        <f>+(DU341/100)*DU378</f>
        <v>628.43586129999994</v>
      </c>
      <c r="DV342" s="32">
        <f>+DW342-DU342</f>
        <v>785.46353786000009</v>
      </c>
      <c r="DW342" s="1242">
        <f>+(DW341/100)*DW378</f>
        <v>1413.89939916</v>
      </c>
      <c r="DX342" s="1190">
        <f>+(DX341/100)*DX378</f>
        <v>678.25839451912657</v>
      </c>
      <c r="DY342" s="32">
        <f>+DZ342-DX342</f>
        <v>805.94288479318925</v>
      </c>
      <c r="DZ342" s="1242">
        <f>+(DZ341/100)*DZ378</f>
        <v>1484.2012793123158</v>
      </c>
      <c r="EA342" s="1190">
        <f>+(EA341/100)*EA378</f>
        <v>740.25236779754505</v>
      </c>
      <c r="EB342" s="32">
        <f>+EC342-EA342</f>
        <v>754.28275759097141</v>
      </c>
      <c r="EC342" s="1242">
        <f>+(EC341/100)*EC378</f>
        <v>1494.5351253885165</v>
      </c>
      <c r="ED342" s="1190">
        <f>+(ED341/100)*ED378</f>
        <v>805.77155174907875</v>
      </c>
      <c r="EE342" s="32">
        <f>+EF342-ED342</f>
        <v>820.57768377689672</v>
      </c>
      <c r="EF342" s="1242">
        <f>+(EF341/100)*EF378</f>
        <v>1626.3492355259755</v>
      </c>
      <c r="EG342" s="1190">
        <f>+(EG341/100)*EG378</f>
        <v>874.34198486406808</v>
      </c>
      <c r="EH342" s="32">
        <f>+EI342-EG342</f>
        <v>918.28389310989928</v>
      </c>
      <c r="EI342" s="1242">
        <f>+(EI341/100)*EI378</f>
        <v>1792.6258779739674</v>
      </c>
      <c r="EJ342" s="1190">
        <f>+(EJ341/100)*EJ378</f>
        <v>951.96519678047321</v>
      </c>
      <c r="EK342" s="32">
        <f>+EL342-EJ342</f>
        <v>1025.7459267415259</v>
      </c>
      <c r="EL342" s="1242">
        <f>+(EL341/100)*EL378</f>
        <v>1977.7111235219991</v>
      </c>
      <c r="EM342" s="1190">
        <f>+(EM341/100)*EM378</f>
        <v>1043.2784672699222</v>
      </c>
      <c r="EN342" s="32">
        <f>+EO342-EM342</f>
        <v>1130.0327665150662</v>
      </c>
      <c r="EO342" s="1242">
        <f>+(EO341/100)*EO378</f>
        <v>2173.3112337849884</v>
      </c>
      <c r="EP342" s="1190">
        <f>+(EP341/100)*EP378</f>
        <v>1130.6647567255873</v>
      </c>
      <c r="EQ342" s="32">
        <f>+ER342-EP342</f>
        <v>1247.8802724081183</v>
      </c>
      <c r="ER342" s="1242">
        <f>+(ER341/100)*ER378</f>
        <v>2378.5450291337056</v>
      </c>
      <c r="ES342" s="1190">
        <f>+(ES341/100)*ES378</f>
        <v>1214.0588609902522</v>
      </c>
      <c r="ET342" s="32">
        <f>+EU342-ES342</f>
        <v>1356.8055207166788</v>
      </c>
      <c r="EU342" s="1242">
        <f>+(EU341/100)*EU378</f>
        <v>2570.864381706931</v>
      </c>
      <c r="EV342" s="1190">
        <f>+(EV341/100)*EV378</f>
        <v>1290.4124028664185</v>
      </c>
      <c r="EW342" s="32">
        <f>+EX342-EV342</f>
        <v>1453.8042079178697</v>
      </c>
      <c r="EX342" s="1242">
        <f>+(EX341/100)*EX378</f>
        <v>2744.2166107842882</v>
      </c>
      <c r="EY342" s="1190">
        <f>+(EY341/100)*EY378</f>
        <v>1371.5809817916027</v>
      </c>
      <c r="EZ342" s="32">
        <f>+FA342-EY342</f>
        <v>1557.2656145923872</v>
      </c>
      <c r="FA342" s="1242">
        <f>+(FA341/100)*FA378</f>
        <v>2928.8465963839899</v>
      </c>
      <c r="FD342"/>
      <c r="FE342"/>
      <c r="FF342"/>
      <c r="FG342"/>
      <c r="FH342"/>
      <c r="FI342"/>
    </row>
    <row r="343" spans="1:169" s="1078" customFormat="1">
      <c r="B343" s="54" t="s">
        <v>729</v>
      </c>
      <c r="D343" s="2" t="s">
        <v>507</v>
      </c>
      <c r="E343" s="1281">
        <v>0</v>
      </c>
      <c r="F343" s="1281">
        <v>0</v>
      </c>
      <c r="G343" s="1281">
        <v>0</v>
      </c>
      <c r="H343" s="1281">
        <v>0</v>
      </c>
      <c r="I343" s="1281">
        <v>0</v>
      </c>
      <c r="J343" s="1281">
        <v>0</v>
      </c>
      <c r="K343" s="1281">
        <v>0</v>
      </c>
      <c r="L343" s="1281">
        <v>0</v>
      </c>
      <c r="M343" s="1281">
        <v>0</v>
      </c>
      <c r="N343" s="1281">
        <v>0</v>
      </c>
      <c r="O343" s="1281">
        <v>0</v>
      </c>
      <c r="P343" s="1281">
        <v>0</v>
      </c>
      <c r="Q343" s="1281">
        <v>0</v>
      </c>
      <c r="R343" s="1281">
        <v>0</v>
      </c>
      <c r="S343" s="1281">
        <v>0</v>
      </c>
      <c r="T343" s="1281">
        <v>0</v>
      </c>
      <c r="U343" s="1281">
        <v>0</v>
      </c>
      <c r="V343" s="1281">
        <v>0</v>
      </c>
      <c r="W343" s="1281">
        <v>0</v>
      </c>
      <c r="X343" s="1281">
        <v>0</v>
      </c>
      <c r="Y343" s="1281">
        <v>0</v>
      </c>
      <c r="Z343" s="1281">
        <v>0</v>
      </c>
      <c r="AA343" s="1281">
        <v>0</v>
      </c>
      <c r="AB343" s="1281">
        <v>0</v>
      </c>
      <c r="AC343" s="1281">
        <v>0</v>
      </c>
      <c r="AD343" s="1281">
        <v>0</v>
      </c>
      <c r="AE343" s="1281">
        <v>0</v>
      </c>
      <c r="AF343" s="1281">
        <v>0</v>
      </c>
      <c r="AG343" s="1281">
        <v>0</v>
      </c>
      <c r="AH343" s="1281">
        <v>0</v>
      </c>
      <c r="AI343" s="1281">
        <v>0</v>
      </c>
      <c r="AJ343" s="1281">
        <v>0</v>
      </c>
      <c r="AK343" s="1281">
        <v>0</v>
      </c>
      <c r="AL343" s="1281">
        <v>0</v>
      </c>
      <c r="AM343" s="1281">
        <v>0</v>
      </c>
      <c r="AN343" s="1281">
        <v>0</v>
      </c>
      <c r="AO343" s="1281">
        <v>6.4181107415835236E-4</v>
      </c>
      <c r="AP343" s="1281">
        <v>1.1669292257424589E-3</v>
      </c>
      <c r="AQ343" s="1281">
        <v>9.0437014995040554E-4</v>
      </c>
      <c r="AR343" s="1281">
        <v>7.0015753544547526E-4</v>
      </c>
      <c r="AS343" s="1281">
        <v>1.4003150708909505E-3</v>
      </c>
      <c r="AT343" s="1281">
        <v>1.0502363031682129E-3</v>
      </c>
      <c r="AU343" s="1281">
        <v>8.1685045801972126E-4</v>
      </c>
      <c r="AV343" s="1281">
        <v>1.6337009160394425E-3</v>
      </c>
      <c r="AW343" s="1281">
        <v>1.2252756870295817E-3</v>
      </c>
      <c r="AX343" s="1281">
        <v>9.3354338059396704E-4</v>
      </c>
      <c r="AY343" s="1281">
        <v>1.7503938386136881E-3</v>
      </c>
      <c r="AZ343" s="1281">
        <v>1.3419686096038277E-3</v>
      </c>
      <c r="BA343" s="1281">
        <v>1.0502363031682129E-3</v>
      </c>
      <c r="BB343" s="1281">
        <v>6.612598945873934E-4</v>
      </c>
      <c r="BC343" s="1281">
        <v>8.5574809887780311E-4</v>
      </c>
      <c r="BD343" s="1281">
        <v>4.6677169029698352E-4</v>
      </c>
      <c r="BE343" s="1281">
        <v>8.5574809887780311E-4</v>
      </c>
      <c r="BF343" s="1281">
        <v>6.6125989458739329E-4</v>
      </c>
      <c r="BG343" s="1281">
        <v>4.6677169029698352E-4</v>
      </c>
      <c r="BH343" s="1281">
        <v>8.5574809887780311E-4</v>
      </c>
      <c r="BI343" s="1281">
        <v>6.6125989458739329E-4</v>
      </c>
      <c r="BJ343" s="1281">
        <v>1.4003150708909505E-3</v>
      </c>
      <c r="BK343" s="1281">
        <v>1.0113386623101309E-3</v>
      </c>
      <c r="BL343" s="1281">
        <v>1.2058268666005406E-3</v>
      </c>
      <c r="BM343" s="1281">
        <v>6.612598945873934E-4</v>
      </c>
      <c r="BN343" s="1281">
        <v>1.5559056343232784E-3</v>
      </c>
      <c r="BO343" s="1281">
        <v>1.1085827644553359E-3</v>
      </c>
      <c r="BP343" s="1281">
        <v>3.267401832078885E-3</v>
      </c>
      <c r="BQ343" s="1281">
        <v>1.5559056343232784E-3</v>
      </c>
      <c r="BR343" s="1281">
        <v>2.4116537332010816E-3</v>
      </c>
      <c r="BS343" s="1281">
        <v>1.9059844020460159E-3</v>
      </c>
      <c r="BT343" s="1281">
        <v>2.1393702471945077E-3</v>
      </c>
      <c r="BU343" s="1281">
        <v>2.0226773246202617E-3</v>
      </c>
      <c r="BV343" s="1281">
        <v>2.6839372192076555E-3</v>
      </c>
      <c r="BW343" s="1281">
        <v>2.6839372192076555E-3</v>
      </c>
      <c r="BX343" s="1281">
        <v>2.6839372192076555E-3</v>
      </c>
      <c r="BY343" s="1281">
        <v>3.4866286935966492E-3</v>
      </c>
      <c r="BZ343" s="1281">
        <v>4.6677169029698358E-3</v>
      </c>
      <c r="CA343" s="1281">
        <v>4.0771727982832429E-3</v>
      </c>
      <c r="CB343" s="1282">
        <v>4.0820512854283916E-3</v>
      </c>
      <c r="CC343" s="1282">
        <v>5.2511815158410649E-3</v>
      </c>
      <c r="CD343" s="1282">
        <v>4.6666164006347278E-3</v>
      </c>
      <c r="CE343" s="1282">
        <v>4.0842522900986049E-3</v>
      </c>
      <c r="CF343" s="1282">
        <v>5.501208478796411E-3</v>
      </c>
      <c r="CG343" s="1282">
        <v>4.7927303844475079E-3</v>
      </c>
      <c r="CH343" s="1282">
        <v>4.2009452126728518E-3</v>
      </c>
      <c r="CI343" s="1282">
        <v>5.6485535465696426E-3</v>
      </c>
      <c r="CJ343" s="1282">
        <v>4.9247493796212467E-3</v>
      </c>
      <c r="CK343" s="1282">
        <v>5.8132397064822134E-3</v>
      </c>
      <c r="CL343" s="1282">
        <v>6.0917110942202719E-3</v>
      </c>
      <c r="CM343" s="1282">
        <v>5.9524754003512431E-3</v>
      </c>
      <c r="CN343" s="1282">
        <v>6.189903715039427E-3</v>
      </c>
      <c r="CO343" s="1282">
        <v>6.9980869395929145E-3</v>
      </c>
      <c r="CP343" s="1282">
        <v>6.5939953273161708E-3</v>
      </c>
      <c r="CQ343" s="1282">
        <v>6.7681895093062621E-3</v>
      </c>
      <c r="CR343" s="1282">
        <v>7.7017328899002258E-3</v>
      </c>
      <c r="CS343" s="1282">
        <v>7.2349611996032443E-3</v>
      </c>
      <c r="CT343" s="1282">
        <v>6.7681895093062603E-3</v>
      </c>
      <c r="CU343" s="1282">
        <v>7.9351187350487212E-3</v>
      </c>
      <c r="CV343" s="1282">
        <v>7.3516541221774903E-3</v>
      </c>
      <c r="CW343" s="1282">
        <v>9.134632865401263E-3</v>
      </c>
      <c r="CX343" s="1282">
        <v>6.8441464239505159E-3</v>
      </c>
      <c r="CY343" s="1282">
        <v>7.9893896446758903E-3</v>
      </c>
      <c r="CZ343" s="1282">
        <v>9.2441317408916059E-3</v>
      </c>
      <c r="DA343" s="1282">
        <v>1.0882332302568604E-2</v>
      </c>
      <c r="DB343" s="1282">
        <v>1.0063232021730106E-2</v>
      </c>
      <c r="DC343" s="1282">
        <v>9.9026247544331102E-3</v>
      </c>
      <c r="DD343" s="1282">
        <v>1.1685565921802392E-2</v>
      </c>
      <c r="DE343" s="1283">
        <v>1.0794095338117751E-2</v>
      </c>
      <c r="DF343" s="1282">
        <v>1.1085827644553358E-2</v>
      </c>
      <c r="DG343" s="1282">
        <v>1.2495391970742989E-2</v>
      </c>
      <c r="DH343" s="1283">
        <v>1.1790609807648175E-2</v>
      </c>
      <c r="DI343" s="1282">
        <v>1.2132270851033787E-2</v>
      </c>
      <c r="DJ343" s="1282">
        <v>1.416881171369979E-2</v>
      </c>
      <c r="DK343" s="1283">
        <v>1.3150541282366788E-2</v>
      </c>
      <c r="DL343" s="1282">
        <v>1.2207872158563697E-2</v>
      </c>
      <c r="DM343" s="1282">
        <v>1.6800792750259114E-2</v>
      </c>
      <c r="DN343" s="1283">
        <v>1.4504332454411406E-2</v>
      </c>
      <c r="DO343" s="1282">
        <v>1.2482600331207881E-2</v>
      </c>
      <c r="DP343" s="1282">
        <v>1.5052496645949905E-2</v>
      </c>
      <c r="DQ343" s="1283">
        <v>1.3767548488578894E-2</v>
      </c>
      <c r="DR343" s="1282">
        <v>1.3880839556289591E-2</v>
      </c>
      <c r="DS343" s="1282">
        <v>1.6874845928405893E-2</v>
      </c>
      <c r="DT343" s="1283">
        <v>1.5377842742347742E-2</v>
      </c>
      <c r="DU343" s="1282">
        <v>1.5170079934651965E-2</v>
      </c>
      <c r="DV343" s="1282">
        <v>1.8904253457027835E-2</v>
      </c>
      <c r="DW343" s="1283">
        <v>1.7037166695839899E-2</v>
      </c>
      <c r="DX343" s="1282">
        <v>1.6417093645915565E-2</v>
      </c>
      <c r="DY343" s="1282">
        <v>1.9663285147453191E-2</v>
      </c>
      <c r="DZ343" s="1283">
        <v>1.8040189396684378E-2</v>
      </c>
      <c r="EA343" s="1282">
        <v>1.8068041248275678E-2</v>
      </c>
      <c r="EB343" s="1282">
        <v>1.8550967161373885E-2</v>
      </c>
      <c r="EC343" s="1283">
        <v>1.8309504204824779E-2</v>
      </c>
      <c r="ED343" s="1282">
        <v>1.9815321392169804E-2</v>
      </c>
      <c r="EE343" s="1282">
        <v>2.0318871274494037E-2</v>
      </c>
      <c r="EF343" s="1283">
        <v>2.0067096333331921E-2</v>
      </c>
      <c r="EG343" s="1282">
        <v>2.1569278458580664E-2</v>
      </c>
      <c r="EH343" s="1282">
        <v>2.263838460987954E-2</v>
      </c>
      <c r="EI343" s="1283">
        <v>2.2103831534230102E-2</v>
      </c>
      <c r="EJ343" s="1282">
        <v>2.3468353894330919E-2</v>
      </c>
      <c r="EK343" s="1282">
        <v>2.5270815566584493E-2</v>
      </c>
      <c r="EL343" s="1283">
        <v>2.4369584730457704E-2</v>
      </c>
      <c r="EM343" s="1282">
        <v>2.5702139232917774E-2</v>
      </c>
      <c r="EN343" s="1282">
        <v>2.7821392448681759E-2</v>
      </c>
      <c r="EO343" s="1283">
        <v>2.6761765840799766E-2</v>
      </c>
      <c r="EP343" s="1282">
        <v>2.7836238624601346E-2</v>
      </c>
      <c r="EQ343" s="1282">
        <v>3.070231406322551E-2</v>
      </c>
      <c r="ER343" s="1283">
        <v>2.9269276343913426E-2</v>
      </c>
      <c r="ES343" s="1282">
        <v>2.9869248963345196E-2</v>
      </c>
      <c r="ET343" s="1282">
        <v>3.3359957703648878E-2</v>
      </c>
      <c r="EU343" s="1283">
        <v>3.1614603333497034E-2</v>
      </c>
      <c r="EV343" s="1282">
        <v>3.1726425821233153E-2</v>
      </c>
      <c r="EW343" s="1282">
        <v>3.5720958642184858E-2</v>
      </c>
      <c r="EX343" s="1283">
        <v>3.3723692231709006E-2</v>
      </c>
      <c r="EY343" s="1282">
        <v>3.3699412642789195E-2</v>
      </c>
      <c r="EZ343" s="1282">
        <v>3.8237484922251042E-2</v>
      </c>
      <c r="FA343" s="1283">
        <v>3.5968448782520118E-2</v>
      </c>
      <c r="FB343" s="1068"/>
      <c r="FC343" s="1068"/>
      <c r="FD343"/>
      <c r="FE343"/>
      <c r="FF343"/>
      <c r="FG343"/>
      <c r="FH343"/>
      <c r="FI343"/>
    </row>
    <row r="344" spans="1:169" s="1078" customFormat="1" ht="13.5" thickBot="1">
      <c r="B344" s="54" t="s">
        <v>730</v>
      </c>
      <c r="D344" s="2" t="s">
        <v>507</v>
      </c>
      <c r="E344" s="1284"/>
      <c r="F344" s="1284"/>
      <c r="G344" s="1284"/>
      <c r="H344" s="1284"/>
      <c r="I344" s="1284"/>
      <c r="J344" s="1284"/>
      <c r="K344" s="1284"/>
      <c r="L344" s="1284"/>
      <c r="M344" s="1284"/>
      <c r="N344" s="1284"/>
      <c r="O344" s="1284"/>
      <c r="P344" s="1284"/>
      <c r="Q344" s="1284"/>
      <c r="R344" s="1284"/>
      <c r="S344" s="1284"/>
      <c r="T344" s="1284"/>
      <c r="U344" s="1284"/>
      <c r="V344" s="1284"/>
      <c r="W344" s="1284"/>
      <c r="X344" s="1284"/>
      <c r="Y344" s="1284"/>
      <c r="Z344" s="1284"/>
      <c r="AA344" s="1284"/>
      <c r="AB344" s="1284"/>
      <c r="AC344" s="1284"/>
      <c r="AD344" s="1284"/>
      <c r="AE344" s="1284"/>
      <c r="AF344" s="1284"/>
      <c r="AG344" s="1284"/>
      <c r="AH344" s="1284"/>
      <c r="AI344" s="1284"/>
      <c r="AJ344" s="1284"/>
      <c r="AK344" s="1284"/>
      <c r="AL344" s="1284"/>
      <c r="AM344" s="1284"/>
      <c r="AN344" s="1284"/>
      <c r="AO344" s="1284"/>
      <c r="AP344" s="1284"/>
      <c r="AQ344" s="1284"/>
      <c r="AR344" s="1284"/>
      <c r="AS344" s="1284"/>
      <c r="AT344" s="1284"/>
      <c r="AU344" s="1284"/>
      <c r="AV344" s="1284"/>
      <c r="AW344" s="1284"/>
      <c r="AX344" s="1284"/>
      <c r="AY344" s="1284"/>
      <c r="AZ344" s="1284"/>
      <c r="BA344" s="1284"/>
      <c r="BB344" s="1284"/>
      <c r="BC344" s="1284"/>
      <c r="BD344" s="1284"/>
      <c r="BE344" s="1284"/>
      <c r="BF344" s="1284"/>
      <c r="BG344" s="1284"/>
      <c r="BH344" s="1284"/>
      <c r="BI344" s="1284"/>
      <c r="BJ344" s="1190">
        <f>+(BJ341/100)*BJ378</f>
        <v>67.59652615200001</v>
      </c>
      <c r="BK344" s="1284"/>
      <c r="BL344" s="1284"/>
      <c r="BM344" s="1284"/>
      <c r="BN344" s="1284"/>
      <c r="BO344" s="1284"/>
      <c r="BP344" s="1284"/>
      <c r="BQ344" s="1284"/>
      <c r="BR344" s="1284"/>
      <c r="BS344" s="1284"/>
      <c r="BT344" s="1284"/>
      <c r="BU344" s="1284"/>
      <c r="BV344" s="1284"/>
      <c r="BW344" s="1284"/>
      <c r="BX344" s="1284"/>
      <c r="BY344" s="1284"/>
      <c r="BZ344" s="1284"/>
      <c r="CA344" s="1284"/>
      <c r="CB344" s="1284"/>
      <c r="CC344" s="1284"/>
      <c r="CD344" s="1284"/>
      <c r="CE344" s="1284"/>
      <c r="CF344" s="1284"/>
      <c r="CG344" s="1284"/>
      <c r="CH344" s="1284"/>
      <c r="CI344" s="1284"/>
      <c r="CJ344" s="1284"/>
      <c r="CK344" s="1284"/>
      <c r="CL344" s="1284"/>
      <c r="CM344" s="1284"/>
      <c r="CN344" s="1284"/>
      <c r="CO344" s="1284"/>
      <c r="CP344" s="1284"/>
      <c r="CQ344" s="1284"/>
      <c r="CR344" s="1284"/>
      <c r="CS344" s="1284"/>
      <c r="CT344" s="1284"/>
      <c r="CU344" s="1284"/>
      <c r="CV344" s="1284"/>
      <c r="CW344" s="1284"/>
      <c r="CX344" s="1284"/>
      <c r="CY344" s="1284"/>
      <c r="CZ344" s="1284"/>
      <c r="DA344" s="1284"/>
      <c r="DB344" s="1284"/>
      <c r="DC344" s="1284"/>
      <c r="DD344" s="1284"/>
      <c r="DE344" s="1285"/>
      <c r="DF344" s="1284"/>
      <c r="DG344" s="1284"/>
      <c r="DH344" s="1285"/>
      <c r="DI344" s="1284"/>
      <c r="DJ344" s="1284"/>
      <c r="DK344" s="1285"/>
      <c r="DL344" s="1284"/>
      <c r="DM344" s="1284"/>
      <c r="DN344" s="1285"/>
      <c r="DO344" s="1284"/>
      <c r="DP344" s="1284"/>
      <c r="DQ344" s="1285"/>
      <c r="DR344" s="1284"/>
      <c r="DS344" s="1284"/>
      <c r="DT344" s="1285"/>
      <c r="DU344" s="1284"/>
      <c r="DV344" s="1284"/>
      <c r="DW344" s="1285"/>
      <c r="DX344" s="1284"/>
      <c r="DY344" s="1284"/>
      <c r="DZ344" s="1285"/>
      <c r="EA344" s="1284"/>
      <c r="EB344" s="1284"/>
      <c r="EC344" s="1285"/>
      <c r="ED344" s="1284"/>
      <c r="EE344" s="1284"/>
      <c r="EF344" s="1285"/>
      <c r="EG344" s="1284"/>
      <c r="EH344" s="1284"/>
      <c r="EI344" s="1285"/>
      <c r="EJ344" s="1284"/>
      <c r="EK344" s="1284"/>
      <c r="EL344" s="1285"/>
      <c r="EM344" s="1284"/>
      <c r="EN344" s="1284"/>
      <c r="EO344" s="1285"/>
      <c r="EP344" s="1284"/>
      <c r="EQ344" s="1284"/>
      <c r="ER344" s="1285"/>
      <c r="ES344" s="1284"/>
      <c r="ET344" s="1284"/>
      <c r="EU344" s="1285"/>
      <c r="EV344" s="1284"/>
      <c r="EW344" s="1284"/>
      <c r="EX344" s="1285"/>
      <c r="EY344" s="1284"/>
      <c r="EZ344" s="1284"/>
      <c r="FA344" s="1285"/>
      <c r="FB344" s="1068"/>
      <c r="FC344" s="1068"/>
      <c r="FD344"/>
      <c r="FE344"/>
      <c r="FF344"/>
      <c r="FG344"/>
      <c r="FH344"/>
      <c r="FI344"/>
    </row>
    <row r="345" spans="1:169" s="33" customFormat="1" ht="13.5" thickBot="1">
      <c r="B345" s="54" t="s">
        <v>576</v>
      </c>
      <c r="C345" s="54"/>
      <c r="D345" s="2" t="s">
        <v>507</v>
      </c>
      <c r="E345" s="1286">
        <v>0</v>
      </c>
      <c r="F345" s="1287">
        <v>0</v>
      </c>
      <c r="G345" s="1081"/>
      <c r="H345" s="1286">
        <v>0</v>
      </c>
      <c r="I345" s="1287">
        <v>0</v>
      </c>
      <c r="J345" s="1081"/>
      <c r="K345" s="1286">
        <v>0</v>
      </c>
      <c r="L345" s="1287">
        <v>0</v>
      </c>
      <c r="M345" s="1081"/>
      <c r="N345" s="1286">
        <v>0</v>
      </c>
      <c r="O345" s="1287">
        <v>0</v>
      </c>
      <c r="P345" s="1081"/>
      <c r="Q345" s="1286">
        <v>0</v>
      </c>
      <c r="R345" s="1287">
        <v>0</v>
      </c>
      <c r="S345" s="1081"/>
      <c r="T345" s="1286">
        <v>0</v>
      </c>
      <c r="U345" s="1287">
        <v>0</v>
      </c>
      <c r="V345" s="1081"/>
      <c r="W345" s="1286">
        <v>0</v>
      </c>
      <c r="X345" s="1287">
        <v>0</v>
      </c>
      <c r="Y345" s="1081"/>
      <c r="Z345" s="1286">
        <v>0</v>
      </c>
      <c r="AA345" s="1287">
        <v>0</v>
      </c>
      <c r="AB345" s="1081"/>
      <c r="AC345" s="1286">
        <v>0</v>
      </c>
      <c r="AD345" s="1287">
        <v>0</v>
      </c>
      <c r="AE345" s="1081"/>
      <c r="AF345" s="1286">
        <v>0</v>
      </c>
      <c r="AG345" s="1287">
        <v>0</v>
      </c>
      <c r="AH345" s="1081"/>
      <c r="AI345" s="1286">
        <v>0</v>
      </c>
      <c r="AJ345" s="1287">
        <v>0</v>
      </c>
      <c r="AK345" s="1081"/>
      <c r="AL345" s="1286">
        <v>0.39</v>
      </c>
      <c r="AM345" s="1287">
        <v>0.39</v>
      </c>
      <c r="AN345" s="1081"/>
      <c r="AO345" s="1286">
        <v>1</v>
      </c>
      <c r="AP345" s="1287">
        <v>0.38</v>
      </c>
      <c r="AQ345" s="1081">
        <f>+((((AO341)/(AO341+AP341))*AO345)+(((AP341)/(AO341+AP341))*AP345))</f>
        <v>0.6</v>
      </c>
      <c r="AR345" s="1286">
        <v>1</v>
      </c>
      <c r="AS345" s="1287">
        <v>1</v>
      </c>
      <c r="AT345" s="1081">
        <f>+((((AR341)/(AR341+AS341))*AR345)+(((AS341)/(AR341+AS341))*AS345))</f>
        <v>1</v>
      </c>
      <c r="AU345" s="1286">
        <v>1</v>
      </c>
      <c r="AV345" s="1287">
        <v>1</v>
      </c>
      <c r="AW345" s="1081">
        <f>+((((AU341)/(AU341+AV341))*AU345)+(((AV341)/(AU341+AV341))*AV345))</f>
        <v>1</v>
      </c>
      <c r="AX345" s="1286">
        <v>1</v>
      </c>
      <c r="AY345" s="1287">
        <v>1</v>
      </c>
      <c r="AZ345" s="1081">
        <f>+((((AX341)/(AX341+AY341))*AX345)+(((AY341)/(AX341+AY341))*AY345))</f>
        <v>1</v>
      </c>
      <c r="BA345" s="1286">
        <v>1</v>
      </c>
      <c r="BB345" s="1287">
        <v>1</v>
      </c>
      <c r="BC345" s="1081">
        <f>+((((BA341)/(BA341+BB341))*BA345)+(((BB341)/(BA341+BB341))*BB345))</f>
        <v>0.99999999999999989</v>
      </c>
      <c r="BD345" s="1288">
        <f>IF(Assumptions!BD201&lt;&gt;"",Assumptions!BD201,0)</f>
        <v>0.36</v>
      </c>
      <c r="BE345" s="1289">
        <f>IF(Assumptions!BE201&lt;&gt;"",Assumptions!BE201,0)</f>
        <v>0.36</v>
      </c>
      <c r="BF345" s="1081">
        <f>+((((BD341)/(BD341+BE341))*BD345)+(((BE341)/(BD341+BE341))*BE345))</f>
        <v>0.36</v>
      </c>
      <c r="BG345" s="1288">
        <f>IF(Assumptions!BG201&lt;&gt;"",Assumptions!BG201,0)</f>
        <v>0.36</v>
      </c>
      <c r="BH345" s="1289">
        <f>IF(Assumptions!BH201&lt;&gt;"",Assumptions!BH201,0)</f>
        <v>0.36</v>
      </c>
      <c r="BI345" s="1081">
        <f>+((((BG341)/(BG341+BH341))*BG345)+(((BH341)/(BG341+BH341))*BH345))</f>
        <v>0.36</v>
      </c>
      <c r="BJ345" s="1290">
        <f>IF(Assumptions!BJ201&lt;&gt;"",Assumptions!BJ201,0)</f>
        <v>0.36</v>
      </c>
      <c r="BK345" s="1289">
        <f>IF(Assumptions!BK201&lt;&gt;"",Assumptions!BK201,0)</f>
        <v>0.36</v>
      </c>
      <c r="BL345" s="1081">
        <f>+((((BJ341)/(BJ341+BK341))*BJ345)+(((BK341)/(BJ341+BK341))*BK345))</f>
        <v>0.36</v>
      </c>
      <c r="BM345" s="1288">
        <f>IF(Assumptions!BM201&lt;&gt;"",Assumptions!BM201,0)</f>
        <v>0.36</v>
      </c>
      <c r="BN345" s="1289">
        <f>IF(Assumptions!BN201&lt;&gt;"",Assumptions!BN201,0)</f>
        <v>0.36</v>
      </c>
      <c r="BO345" s="1081">
        <f>+((((BM341)/(BM341+BN341))*BM345)+(((BN341)/(BM341+BN341))*BN345))</f>
        <v>0.36</v>
      </c>
      <c r="BP345" s="1288">
        <f>IF(Assumptions!BP201&lt;&gt;"",Assumptions!BP201,0)</f>
        <v>0.36</v>
      </c>
      <c r="BQ345" s="1289">
        <f>IF(Assumptions!BQ201&lt;&gt;"",Assumptions!BQ201,0)</f>
        <v>0.36</v>
      </c>
      <c r="BR345" s="1081">
        <f>+((((BP341)/(BP341+BQ341))*BP345)+(((BQ341)/(BP341+BQ341))*BQ345))</f>
        <v>0.36</v>
      </c>
      <c r="BS345" s="1288">
        <f>IF(Assumptions!BS201&lt;&gt;"",Assumptions!BS201,0)</f>
        <v>0</v>
      </c>
      <c r="BT345" s="1289">
        <f>IF(Assumptions!BT201&lt;&gt;"",Assumptions!BT201,0)</f>
        <v>0</v>
      </c>
      <c r="BU345" s="1081">
        <f>+((((BS341)/(BS341+BT341))*BS345)+(((BT341)/(BS341+BT341))*BT345))</f>
        <v>0</v>
      </c>
      <c r="BV345" s="1288">
        <f>IF(Assumptions!BV201&lt;&gt;"",Assumptions!BV201,0)</f>
        <v>0.5</v>
      </c>
      <c r="BW345" s="1289">
        <f>IF(Assumptions!BW201&lt;&gt;"",Assumptions!BW201,0)</f>
        <v>0.5</v>
      </c>
      <c r="BX345" s="1081">
        <f>+((((BV341)/(BV341+BW341))*BV345)+(((BW341)/(BV341+BW341))*BW345))</f>
        <v>0.5</v>
      </c>
      <c r="BY345" s="1288">
        <f>IF(Assumptions!BY201&lt;&gt;"",Assumptions!BY201,0)</f>
        <v>0</v>
      </c>
      <c r="BZ345" s="1289">
        <f>IF(Assumptions!BZ201&lt;&gt;"",Assumptions!BZ201,0)</f>
        <v>0</v>
      </c>
      <c r="CA345" s="1081">
        <f>+((((BY341)/(BY341+BZ341))*BY345)+(((BZ341)/(BY341+BZ341))*BZ345))</f>
        <v>0</v>
      </c>
      <c r="CB345" s="1288">
        <f>IF(Assumptions!CB201&lt;&gt;"",Assumptions!CB201,0)</f>
        <v>0</v>
      </c>
      <c r="CC345" s="1287">
        <v>0.11</v>
      </c>
      <c r="CD345" s="1081">
        <f>+((((CB341)/(CB341+CC341))*CB345)+(((CC341)/(CB341+CC341))*CC345))</f>
        <v>6.1889591639024681E-2</v>
      </c>
      <c r="CE345" s="1288">
        <f>IF(Assumptions!CE201&lt;&gt;"",Assumptions!CE201,0)</f>
        <v>0</v>
      </c>
      <c r="CF345" s="1289">
        <f>IF(Assumptions!CF201&lt;&gt;"",Assumptions!CF201,0)</f>
        <v>0</v>
      </c>
      <c r="CG345" s="1081">
        <f>+((((CE341)/(CE341+CF341))*CE345)+(((CF341)/(CE341+CF341))*CF345))</f>
        <v>0</v>
      </c>
      <c r="CH345" s="1288">
        <f>IF(Assumptions!CH201&lt;&gt;"",Assumptions!CH201,0)</f>
        <v>0</v>
      </c>
      <c r="CI345" s="1289">
        <f>IF(Assumptions!CI201&lt;&gt;"",Assumptions!CI201,0)</f>
        <v>0</v>
      </c>
      <c r="CJ345" s="1081">
        <f>+((((CH341)/(CH341+CI341))*CH345)+(((CI341)/(CH341+CI341))*CI345))</f>
        <v>0</v>
      </c>
      <c r="CK345" s="1288">
        <f>IF(Assumptions!CK201&lt;&gt;"",Assumptions!CK201,0)</f>
        <v>0</v>
      </c>
      <c r="CL345" s="1289">
        <f>IF(Assumptions!CL201&lt;&gt;"",Assumptions!CL201,0)</f>
        <v>0</v>
      </c>
      <c r="CM345" s="1081">
        <f>+((((CK341)/(CK341+CL341))*CK345)+(((CL341)/(CK341+CL341))*CL345))</f>
        <v>0</v>
      </c>
      <c r="CN345" s="1288">
        <f>IF(Assumptions!CN201&lt;&gt;"",Assumptions!CN201,0)</f>
        <v>0</v>
      </c>
      <c r="CO345" s="1289">
        <f>IF(Assumptions!CO201&lt;&gt;"",Assumptions!CO201,0)</f>
        <v>0</v>
      </c>
      <c r="CP345" s="1081">
        <f>+((((CN341)/(CN341+CO341))*CN345)+(((CO341)/(CN341+CO341))*CO345))</f>
        <v>0</v>
      </c>
      <c r="CQ345" s="1288">
        <f>IF(Assumptions!CQ201&lt;&gt;"",Assumptions!CQ201,0)</f>
        <v>0</v>
      </c>
      <c r="CR345" s="1289">
        <f>IF(Assumptions!CR201&lt;&gt;"",Assumptions!CR201,0)</f>
        <v>0</v>
      </c>
      <c r="CS345" s="1081">
        <f>+((((CQ341)/(CQ341+CR341))*CQ345)+(((CR341)/(CQ341+CR341))*CR345))</f>
        <v>0</v>
      </c>
      <c r="CT345" s="1288">
        <f>IF(Assumptions!CT201&lt;&gt;"",Assumptions!CT201,0)</f>
        <v>0</v>
      </c>
      <c r="CU345" s="1289">
        <f>IF(Assumptions!CU201&lt;&gt;"",Assumptions!CU201,0)</f>
        <v>0</v>
      </c>
      <c r="CV345" s="1081">
        <f>+((((CT341)/(CT341+CU341))*CT345)+(((CU341)/(CT341+CU341))*CU345))</f>
        <v>0</v>
      </c>
      <c r="CW345" s="1288">
        <f>IF(Assumptions!CW201&lt;&gt;"",Assumptions!CW201,0)</f>
        <v>0</v>
      </c>
      <c r="CX345" s="1289">
        <f>IF(Assumptions!CX201&lt;&gt;"",Assumptions!CX201,0)</f>
        <v>0</v>
      </c>
      <c r="CY345" s="1081">
        <f>+((((CW341)/(CW341+CX341))*CW345)+(((CX341)/(CW341+CX341))*CX345))</f>
        <v>0</v>
      </c>
      <c r="CZ345" s="1288">
        <f>IF(Assumptions!CZ201&lt;&gt;"",Assumptions!CZ201,0)</f>
        <v>0</v>
      </c>
      <c r="DA345" s="1289">
        <f>IF(Assumptions!DA201&lt;&gt;"",Assumptions!DA201,0)</f>
        <v>0</v>
      </c>
      <c r="DB345" s="1081">
        <f>+((((CZ341)/(CZ341+DA341))*CZ345)+(((DA341)/(CZ341+DA341))*DA345))</f>
        <v>0</v>
      </c>
      <c r="DC345" s="1288">
        <f>IF(Assumptions!DC201&lt;&gt;"",Assumptions!DC201,0)</f>
        <v>0</v>
      </c>
      <c r="DD345" s="1289">
        <f>IF(Assumptions!DD201&lt;&gt;"",Assumptions!DD201,0)</f>
        <v>0</v>
      </c>
      <c r="DE345" s="1082">
        <f>+((((DC341)/(DC341+DD341))*DC345)+(((DD341)/(DC341+DD341))*DD345))</f>
        <v>0</v>
      </c>
      <c r="DF345" s="1291">
        <f>IF(Assumptions!DF201&lt;&gt;"",Assumptions!DF201,0)</f>
        <v>0</v>
      </c>
      <c r="DG345" s="1289">
        <f>IF(Assumptions!DG201&lt;&gt;"",Assumptions!DG201,0)</f>
        <v>0</v>
      </c>
      <c r="DH345" s="1082">
        <f>+((((DF341)/(DF341+DG341))*DF345)+(((DG341)/(DF341+DG341))*DG345))</f>
        <v>0</v>
      </c>
      <c r="DI345" s="1291">
        <f>IF(Assumptions!DI201&lt;&gt;"",Assumptions!DI201,0)</f>
        <v>0</v>
      </c>
      <c r="DJ345" s="1289">
        <f>IF(Assumptions!DJ201&lt;&gt;"",Assumptions!DJ201,0)</f>
        <v>0</v>
      </c>
      <c r="DK345" s="1082">
        <f>+((((DI341)/(DI341+DJ341))*DI345)+(((DJ341)/(DI341+DJ341))*DJ345))</f>
        <v>0</v>
      </c>
      <c r="DL345" s="1291">
        <f>IF(Assumptions!DL201&lt;&gt;"",Assumptions!DL201,0)</f>
        <v>0</v>
      </c>
      <c r="DM345" s="1289">
        <f>IF(Assumptions!DM201&lt;&gt;"",Assumptions!DM201,0)</f>
        <v>0</v>
      </c>
      <c r="DN345" s="1082">
        <f>+((((DL341)/(DL341+DM341))*DL345)+(((DM341)/(DL341+DM341))*DM345))</f>
        <v>0</v>
      </c>
      <c r="DO345" s="1291">
        <f>IF(Assumptions!DO201&lt;&gt;"",Assumptions!DO201,0)</f>
        <v>0</v>
      </c>
      <c r="DP345" s="1289">
        <f>IF(Assumptions!DP201&lt;&gt;"",Assumptions!DP201,0)</f>
        <v>0</v>
      </c>
      <c r="DQ345" s="1082">
        <f>+((((DO341)/(DO341+DP341))*DO345)+(((DP341)/(DO341+DP341))*DP345))</f>
        <v>0</v>
      </c>
      <c r="DR345" s="1291">
        <f>IF(Assumptions!DR201&lt;&gt;"",Assumptions!DR201,0)</f>
        <v>0</v>
      </c>
      <c r="DS345" s="1289">
        <f>IF(Assumptions!DS201&lt;&gt;"",Assumptions!DS201,0)</f>
        <v>0</v>
      </c>
      <c r="DT345" s="1082">
        <f>+((((DR341)/(DR341+DS341))*DR345)+(((DS341)/(DR341+DS341))*DS345))</f>
        <v>0</v>
      </c>
      <c r="DU345" s="1291">
        <f>IF(Assumptions!DU201&lt;&gt;"",Assumptions!DU201,0)</f>
        <v>0</v>
      </c>
      <c r="DV345" s="1289">
        <f>IF(Assumptions!DV201&lt;&gt;"",Assumptions!DV201,0)</f>
        <v>0</v>
      </c>
      <c r="DW345" s="1082">
        <f>+((((DU341)/(DU341+DV341))*DU345)+(((DV341)/(DU341+DV341))*DV345))</f>
        <v>0</v>
      </c>
      <c r="DX345" s="1291">
        <f>IF(Assumptions!DX201&lt;&gt;"",Assumptions!DX201,0)</f>
        <v>0</v>
      </c>
      <c r="DY345" s="1289">
        <f>IF(Assumptions!DY201&lt;&gt;"",Assumptions!DY201,0)</f>
        <v>0</v>
      </c>
      <c r="DZ345" s="1082">
        <f>+((((DX341)/(DX341+DY341))*DX345)+(((DY341)/(DX341+DY341))*DY345))</f>
        <v>0</v>
      </c>
      <c r="EA345" s="1291">
        <f>IF(Assumptions!EA201&lt;&gt;"",Assumptions!EA201,0)</f>
        <v>0</v>
      </c>
      <c r="EB345" s="1289">
        <f>IF(Assumptions!EB201&lt;&gt;"",Assumptions!EB201,0)</f>
        <v>0</v>
      </c>
      <c r="EC345" s="1082">
        <f>+((((EA341)/(EA341+EB341))*EA345)+(((EB341)/(EA341+EB341))*EB345))</f>
        <v>0</v>
      </c>
      <c r="ED345" s="1291">
        <f>IF(Assumptions!ED201&lt;&gt;"",Assumptions!ED201,0)</f>
        <v>0</v>
      </c>
      <c r="EE345" s="1289">
        <f>IF(Assumptions!EE201&lt;&gt;"",Assumptions!EE201,0)</f>
        <v>0</v>
      </c>
      <c r="EF345" s="1082">
        <f>+((((ED341)/(ED341+EE341))*ED345)+(((EE341)/(ED341+EE341))*EE345))</f>
        <v>0</v>
      </c>
      <c r="EG345" s="1291">
        <f>IF(Assumptions!EG201&lt;&gt;"",Assumptions!EG201,0)</f>
        <v>0</v>
      </c>
      <c r="EH345" s="1289">
        <f>IF(Assumptions!EH201&lt;&gt;"",Assumptions!EH201,0)</f>
        <v>0</v>
      </c>
      <c r="EI345" s="1082">
        <f>+((((EG341)/(EG341+EH341))*EG345)+(((EH341)/(EG341+EH341))*EH345))</f>
        <v>0</v>
      </c>
      <c r="EJ345" s="1291">
        <f>IF(Assumptions!EJ201&lt;&gt;"",Assumptions!EJ201,0)</f>
        <v>0</v>
      </c>
      <c r="EK345" s="1289">
        <f>IF(Assumptions!EK201&lt;&gt;"",Assumptions!EK201,0)</f>
        <v>0</v>
      </c>
      <c r="EL345" s="1082">
        <f>+((((EJ341)/(EJ341+EK341))*EJ345)+(((EK341)/(EJ341+EK341))*EK345))</f>
        <v>0</v>
      </c>
      <c r="EM345" s="1291">
        <f>IF(Assumptions!EM201&lt;&gt;"",Assumptions!EM201,0)</f>
        <v>0</v>
      </c>
      <c r="EN345" s="1289">
        <f>IF(Assumptions!EN201&lt;&gt;"",Assumptions!EN201,0)</f>
        <v>0</v>
      </c>
      <c r="EO345" s="1082">
        <f>+((((EM341)/(EM341+EN341))*EM345)+(((EN341)/(EM341+EN341))*EN345))</f>
        <v>0</v>
      </c>
      <c r="EP345" s="1291">
        <f>IF(Assumptions!EP201&lt;&gt;"",Assumptions!EP201,0)</f>
        <v>0</v>
      </c>
      <c r="EQ345" s="1289">
        <f>IF(Assumptions!EQ201&lt;&gt;"",Assumptions!EQ201,0)</f>
        <v>0</v>
      </c>
      <c r="ER345" s="1082">
        <f>+((((EP341)/(EP341+EQ341))*EP345)+(((EQ341)/(EP341+EQ341))*EQ345))</f>
        <v>0</v>
      </c>
      <c r="ES345" s="1291">
        <f>IF(Assumptions!ES201&lt;&gt;"",Assumptions!ES201,0)</f>
        <v>0</v>
      </c>
      <c r="ET345" s="1289">
        <f>IF(Assumptions!ET201&lt;&gt;"",Assumptions!ET201,0)</f>
        <v>0</v>
      </c>
      <c r="EU345" s="1082">
        <f>+((((ES341)/(ES341+ET341))*ES345)+(((ET341)/(ES341+ET341))*ET345))</f>
        <v>0</v>
      </c>
      <c r="EV345" s="1291">
        <f>IF(Assumptions!EV201&lt;&gt;"",Assumptions!EV201,0)</f>
        <v>0</v>
      </c>
      <c r="EW345" s="1289">
        <f>IF(Assumptions!EW201&lt;&gt;"",Assumptions!EW201,0)</f>
        <v>0</v>
      </c>
      <c r="EX345" s="1082">
        <f>+((((EV341)/(EV341+EW341))*EV345)+(((EW341)/(EV341+EW341))*EW345))</f>
        <v>0</v>
      </c>
      <c r="EY345" s="1291">
        <f>IF(Assumptions!EY201&lt;&gt;"",Assumptions!EY201,0)</f>
        <v>0</v>
      </c>
      <c r="EZ345" s="1289">
        <f>IF(Assumptions!EZ201&lt;&gt;"",Assumptions!EZ201,0)</f>
        <v>0</v>
      </c>
      <c r="FA345" s="1082">
        <f>+((((EY341)/(EY341+EZ341))*EY345)+(((EZ341)/(EY341+EZ341))*EZ345))</f>
        <v>0</v>
      </c>
      <c r="FD345"/>
      <c r="FE345"/>
      <c r="FF345"/>
      <c r="FG345"/>
      <c r="FH345"/>
      <c r="FI345"/>
    </row>
    <row r="346" spans="1:169" s="1078" customFormat="1" ht="13.5" thickBot="1">
      <c r="B346" s="1228" t="s">
        <v>731</v>
      </c>
      <c r="C346" s="1068"/>
      <c r="D346" s="1068"/>
      <c r="E346" s="1292"/>
      <c r="F346" s="1292"/>
      <c r="G346" s="1292"/>
      <c r="H346" s="1292"/>
      <c r="I346" s="1292"/>
      <c r="J346" s="1292"/>
      <c r="K346" s="1292"/>
      <c r="L346" s="1292"/>
      <c r="M346" s="1292"/>
      <c r="N346" s="1292"/>
      <c r="O346" s="1292"/>
      <c r="P346" s="1292"/>
      <c r="Q346" s="1292"/>
      <c r="R346" s="1292"/>
      <c r="S346" s="1292"/>
      <c r="T346" s="1292"/>
      <c r="U346" s="1292"/>
      <c r="V346" s="1292"/>
      <c r="W346" s="1292"/>
      <c r="X346" s="1292"/>
      <c r="Y346" s="1292"/>
      <c r="Z346" s="1292"/>
      <c r="AA346" s="1292"/>
      <c r="AB346" s="1292"/>
      <c r="AC346" s="1292"/>
      <c r="AD346" s="1292"/>
      <c r="AE346" s="1292"/>
      <c r="AF346" s="1292"/>
      <c r="AG346" s="1292"/>
      <c r="AH346" s="1292"/>
      <c r="AI346" s="1292"/>
      <c r="AJ346" s="1292"/>
      <c r="AK346" s="1292"/>
      <c r="AL346" s="1292"/>
      <c r="AM346" s="1292"/>
      <c r="AN346" s="1292"/>
      <c r="AO346" s="1292"/>
      <c r="AP346" s="1292"/>
      <c r="AQ346" s="1292"/>
      <c r="AR346" s="1292"/>
      <c r="AS346" s="1292"/>
      <c r="AT346" s="1292"/>
      <c r="AU346" s="1292"/>
      <c r="AV346" s="1292"/>
      <c r="AW346" s="1292"/>
      <c r="AX346" s="1292"/>
      <c r="AY346" s="1292"/>
      <c r="AZ346" s="1292"/>
      <c r="BA346" s="1292"/>
      <c r="BB346" s="1292"/>
      <c r="BC346" s="1292"/>
      <c r="BD346" s="1292"/>
      <c r="BE346" s="1292"/>
      <c r="BF346" s="1292"/>
      <c r="BG346" s="1292"/>
      <c r="BH346" s="1292"/>
      <c r="BI346" s="1292"/>
      <c r="BJ346" s="1292"/>
      <c r="BK346" s="1292"/>
      <c r="BL346" s="1292"/>
      <c r="BM346" s="1292"/>
      <c r="BN346" s="1292"/>
      <c r="BO346" s="1292"/>
      <c r="BP346" s="1292"/>
      <c r="BQ346" s="1292"/>
      <c r="BR346" s="1292"/>
      <c r="BS346" s="1292"/>
      <c r="BT346" s="1292"/>
      <c r="BU346" s="1292"/>
      <c r="BV346" s="1292"/>
      <c r="BW346" s="1292"/>
      <c r="BX346" s="1292"/>
      <c r="BY346" s="1292"/>
      <c r="BZ346" s="1292"/>
      <c r="CA346" s="1292"/>
      <c r="CB346" s="1292"/>
      <c r="CC346" s="1292"/>
      <c r="CD346" s="1292"/>
      <c r="CE346" s="1292"/>
      <c r="CF346" s="1292"/>
      <c r="CG346" s="1292"/>
      <c r="CH346" s="1292"/>
      <c r="CI346" s="1292"/>
      <c r="CJ346" s="1292"/>
      <c r="CK346" s="1292"/>
      <c r="CL346" s="1292"/>
      <c r="CM346" s="1292"/>
      <c r="CN346" s="1292"/>
      <c r="CO346" s="1292"/>
      <c r="CP346" s="1292"/>
      <c r="CQ346" s="1292"/>
      <c r="CR346" s="1292"/>
      <c r="CS346" s="1292"/>
      <c r="CT346" s="1292"/>
      <c r="CU346" s="1292"/>
      <c r="CV346" s="1292"/>
      <c r="CW346" s="1292"/>
      <c r="CX346" s="1292"/>
      <c r="CY346" s="1292"/>
      <c r="CZ346" s="1292"/>
      <c r="DA346" s="1292"/>
      <c r="DB346" s="1292"/>
      <c r="DC346" s="1292"/>
      <c r="DD346" s="1292"/>
      <c r="DE346" s="1293"/>
      <c r="DF346" s="1292"/>
      <c r="DG346" s="1292"/>
      <c r="DH346" s="1293"/>
      <c r="DI346" s="1292"/>
      <c r="DJ346" s="1292"/>
      <c r="DK346" s="1293"/>
      <c r="DL346" s="1292"/>
      <c r="DM346" s="1292"/>
      <c r="DN346" s="1293"/>
      <c r="DO346" s="1292"/>
      <c r="DP346" s="1292"/>
      <c r="DQ346" s="1293"/>
      <c r="DR346" s="1292"/>
      <c r="DS346" s="1292"/>
      <c r="DT346" s="1293"/>
      <c r="DU346" s="1292"/>
      <c r="DV346" s="1292"/>
      <c r="DW346" s="1293"/>
      <c r="DX346" s="1292"/>
      <c r="DY346" s="1292"/>
      <c r="DZ346" s="1293"/>
      <c r="EA346" s="1292"/>
      <c r="EB346" s="1292"/>
      <c r="EC346" s="1293"/>
      <c r="ED346" s="1292"/>
      <c r="EE346" s="1292"/>
      <c r="EF346" s="1293"/>
      <c r="EG346" s="1292"/>
      <c r="EH346" s="1292"/>
      <c r="EI346" s="1293"/>
      <c r="EJ346" s="1292"/>
      <c r="EK346" s="1292"/>
      <c r="EL346" s="1293"/>
      <c r="EM346" s="1292"/>
      <c r="EN346" s="1292"/>
      <c r="EO346" s="1293"/>
      <c r="EP346" s="1292"/>
      <c r="EQ346" s="1292"/>
      <c r="ER346" s="1293"/>
      <c r="ES346" s="1292"/>
      <c r="ET346" s="1292"/>
      <c r="EU346" s="1293"/>
      <c r="EV346" s="1292"/>
      <c r="EW346" s="1292"/>
      <c r="EX346" s="1293"/>
      <c r="EY346" s="1292"/>
      <c r="EZ346" s="1292"/>
      <c r="FA346" s="1293"/>
      <c r="FB346" s="1068"/>
      <c r="FC346" s="1068"/>
      <c r="FD346"/>
      <c r="FE346"/>
      <c r="FF346"/>
      <c r="FG346"/>
      <c r="FH346"/>
      <c r="FI346"/>
    </row>
    <row r="347" spans="1:169" s="33" customFormat="1" ht="13.5" thickBot="1">
      <c r="B347" s="54" t="s">
        <v>649</v>
      </c>
      <c r="C347" s="54"/>
      <c r="D347" s="2" t="s">
        <v>507</v>
      </c>
      <c r="E347" s="1294"/>
      <c r="F347" s="1295"/>
      <c r="G347" s="1296"/>
      <c r="H347" s="1294"/>
      <c r="I347" s="1295"/>
      <c r="J347" s="1296"/>
      <c r="K347" s="1294"/>
      <c r="L347" s="1295"/>
      <c r="M347" s="1296"/>
      <c r="N347" s="1294"/>
      <c r="O347" s="1295"/>
      <c r="P347" s="1296"/>
      <c r="Q347" s="1294"/>
      <c r="R347" s="1295"/>
      <c r="S347" s="1296"/>
      <c r="T347" s="1294"/>
      <c r="U347" s="1295"/>
      <c r="V347" s="1296"/>
      <c r="W347" s="1294"/>
      <c r="X347" s="1295"/>
      <c r="Y347" s="1296"/>
      <c r="Z347" s="1294"/>
      <c r="AA347" s="1295"/>
      <c r="AB347" s="1296"/>
      <c r="AC347" s="1294"/>
      <c r="AD347" s="1295"/>
      <c r="AE347" s="1296"/>
      <c r="AF347" s="1294"/>
      <c r="AG347" s="1295"/>
      <c r="AH347" s="1296"/>
      <c r="AI347" s="1294"/>
      <c r="AJ347" s="1295"/>
      <c r="AK347" s="1296"/>
      <c r="AL347" s="1294"/>
      <c r="AM347" s="1295"/>
      <c r="AN347" s="1296"/>
      <c r="AO347" s="1294"/>
      <c r="AP347" s="1295"/>
      <c r="AQ347" s="1296"/>
      <c r="AR347" s="1294"/>
      <c r="AS347" s="1295"/>
      <c r="AT347" s="1296"/>
      <c r="AU347" s="1294"/>
      <c r="AV347" s="1295"/>
      <c r="AW347" s="1296"/>
      <c r="AX347" s="1294"/>
      <c r="AY347" s="1295"/>
      <c r="AZ347" s="1296"/>
      <c r="BA347" s="1294"/>
      <c r="BB347" s="1295"/>
      <c r="BC347" s="1296"/>
      <c r="BD347" s="1294">
        <f>IF(Assumptions!BD202&lt;&gt;"",Assumptions!BD202,0)</f>
        <v>0</v>
      </c>
      <c r="BE347" s="1295">
        <f>IF(Assumptions!BE202&lt;&gt;"",Assumptions!BE202,0)</f>
        <v>0</v>
      </c>
      <c r="BF347" s="1296"/>
      <c r="BG347" s="1294">
        <f>IF(Assumptions!BG202&lt;&gt;"",Assumptions!BG202,0)</f>
        <v>0</v>
      </c>
      <c r="BH347" s="1295">
        <f>IF(Assumptions!BH202&lt;&gt;"",Assumptions!BH202,0)</f>
        <v>0</v>
      </c>
      <c r="BI347" s="1296"/>
      <c r="BJ347" s="1294">
        <f>IF(Assumptions!BJ202&lt;&gt;"",Assumptions!BJ202,0)</f>
        <v>0</v>
      </c>
      <c r="BK347" s="1295">
        <f>IF(Assumptions!BK202&lt;&gt;"",Assumptions!BK202,0)</f>
        <v>0</v>
      </c>
      <c r="BL347" s="1296"/>
      <c r="BM347" s="1294">
        <f>IF(Assumptions!BM202&lt;&gt;"",Assumptions!BM202,0)</f>
        <v>0</v>
      </c>
      <c r="BN347" s="1295">
        <f>IF(Assumptions!BN202&lt;&gt;"",Assumptions!BN202,0)</f>
        <v>0</v>
      </c>
      <c r="BO347" s="1296"/>
      <c r="BP347" s="1294">
        <f>IF(Assumptions!BP202&lt;&gt;"",Assumptions!BP202,0)</f>
        <v>0</v>
      </c>
      <c r="BQ347" s="1295">
        <f>IF(Assumptions!BQ202&lt;&gt;"",Assumptions!BQ202,0)</f>
        <v>0</v>
      </c>
      <c r="BR347" s="1296"/>
      <c r="BS347" s="1294">
        <f>IF(Assumptions!BS202&lt;&gt;"",Assumptions!BS202,0)</f>
        <v>0</v>
      </c>
      <c r="BT347" s="1295">
        <f>IF(Assumptions!BT202&lt;&gt;"",Assumptions!BT202,0)</f>
        <v>0</v>
      </c>
      <c r="BU347" s="1296"/>
      <c r="BV347" s="1294">
        <f>IF(Assumptions!BV202&lt;&gt;"",Assumptions!BV202,0)</f>
        <v>0</v>
      </c>
      <c r="BW347" s="1295">
        <f>IF(Assumptions!BW202&lt;&gt;"",Assumptions!BW202,0)</f>
        <v>0</v>
      </c>
      <c r="BX347" s="1296"/>
      <c r="BY347" s="1294">
        <f>IF(Assumptions!BY202&lt;&gt;"",Assumptions!BY202,0)</f>
        <v>0</v>
      </c>
      <c r="BZ347" s="1295">
        <f>IF(Assumptions!BZ202&lt;&gt;"",Assumptions!BZ202,0)</f>
        <v>0</v>
      </c>
      <c r="CA347" s="1296"/>
      <c r="CB347" s="1294">
        <f>IF(Assumptions!CB202&lt;&gt;"",Assumptions!CB202,0)</f>
        <v>0</v>
      </c>
      <c r="CC347" s="1295">
        <f>IF(Assumptions!CC202&lt;&gt;"",Assumptions!CC202,0)</f>
        <v>0</v>
      </c>
      <c r="CD347" s="1296"/>
      <c r="CE347" s="1294">
        <f>IF(Assumptions!CE202&lt;&gt;"",Assumptions!CE202,0)</f>
        <v>0</v>
      </c>
      <c r="CF347" s="1295">
        <f>IF(Assumptions!CF202&lt;&gt;"",Assumptions!CF202,0)</f>
        <v>0</v>
      </c>
      <c r="CG347" s="1296"/>
      <c r="CH347" s="1294">
        <f>IF(Assumptions!CH202&lt;&gt;"",Assumptions!CH202,0)</f>
        <v>0</v>
      </c>
      <c r="CI347" s="1295">
        <f>IF(Assumptions!CI202&lt;&gt;"",Assumptions!CI202,0)</f>
        <v>0</v>
      </c>
      <c r="CJ347" s="1296"/>
      <c r="CK347" s="1294">
        <f>IF(Assumptions!CK202&lt;&gt;"",Assumptions!CK202,0)</f>
        <v>0</v>
      </c>
      <c r="CL347" s="1295">
        <f>IF(Assumptions!CL202&lt;&gt;"",Assumptions!CL202,0)</f>
        <v>0</v>
      </c>
      <c r="CM347" s="1296"/>
      <c r="CN347" s="1294">
        <f>IF(Assumptions!CN202&lt;&gt;"",Assumptions!CN202,0)</f>
        <v>0</v>
      </c>
      <c r="CO347" s="1295">
        <f>IF(Assumptions!CO202&lt;&gt;"",Assumptions!CO202,0)</f>
        <v>0</v>
      </c>
      <c r="CP347" s="1296"/>
      <c r="CQ347" s="1294">
        <f>IF(Assumptions!CQ202&lt;&gt;"",Assumptions!CQ202,0)</f>
        <v>0</v>
      </c>
      <c r="CR347" s="1295">
        <f>IF(Assumptions!CR202&lt;&gt;"",Assumptions!CR202,0)</f>
        <v>0</v>
      </c>
      <c r="CS347" s="1296"/>
      <c r="CT347" s="1294">
        <f>IF(Assumptions!CT202&lt;&gt;"",Assumptions!CT202,0)</f>
        <v>0</v>
      </c>
      <c r="CU347" s="1295">
        <f>IF(Assumptions!CU202&lt;&gt;"",Assumptions!CU202,0)</f>
        <v>0</v>
      </c>
      <c r="CV347" s="1296"/>
      <c r="CW347" s="1294">
        <f>IF(Assumptions!CW202&lt;&gt;"",Assumptions!CW202,0)</f>
        <v>0</v>
      </c>
      <c r="CX347" s="1295">
        <f>IF(Assumptions!CX202&lt;&gt;"",Assumptions!CX202,0)</f>
        <v>0</v>
      </c>
      <c r="CY347" s="1296"/>
      <c r="CZ347" s="1294">
        <f>IF(Assumptions!CZ202&lt;&gt;"",Assumptions!CZ202,0)</f>
        <v>0</v>
      </c>
      <c r="DA347" s="1295">
        <f>IF(Assumptions!DA202&lt;&gt;"",Assumptions!DA202,0)</f>
        <v>0</v>
      </c>
      <c r="DB347" s="1296"/>
      <c r="DC347" s="1294">
        <f>IF(Assumptions!DC202&lt;&gt;"",Assumptions!DC202,0)</f>
        <v>0</v>
      </c>
      <c r="DD347" s="1295">
        <f>IF(Assumptions!DD202&lt;&gt;"",Assumptions!DD202,0)</f>
        <v>0</v>
      </c>
      <c r="DE347" s="1297"/>
      <c r="DF347" s="1298">
        <f>IF(Assumptions!DF202&lt;&gt;"",Assumptions!DF202,0)</f>
        <v>0</v>
      </c>
      <c r="DG347" s="1295">
        <f>IF(Assumptions!DG202&lt;&gt;"",Assumptions!DG202,0)</f>
        <v>0</v>
      </c>
      <c r="DH347" s="1297"/>
      <c r="DI347" s="1298">
        <f>IF(Assumptions!DI202&lt;&gt;"",Assumptions!DI202,0)</f>
        <v>0</v>
      </c>
      <c r="DJ347" s="1295">
        <f>IF(Assumptions!DJ202&lt;&gt;"",Assumptions!DJ202,0)</f>
        <v>0</v>
      </c>
      <c r="DK347" s="1297"/>
      <c r="DL347" s="1298">
        <f>IF(Assumptions!DL202&lt;&gt;"",Assumptions!DL202,0)</f>
        <v>0</v>
      </c>
      <c r="DM347" s="1295">
        <f>IF(Assumptions!DM202&lt;&gt;"",Assumptions!DM202,0)</f>
        <v>0</v>
      </c>
      <c r="DN347" s="1297"/>
      <c r="DO347" s="1298">
        <f>IF(Assumptions!DO202&lt;&gt;"",Assumptions!DO202,0)</f>
        <v>0</v>
      </c>
      <c r="DP347" s="1295">
        <f>IF(Assumptions!DP202&lt;&gt;"",Assumptions!DP202,0)</f>
        <v>0</v>
      </c>
      <c r="DQ347" s="1297"/>
      <c r="DR347" s="1298">
        <f>IF(Assumptions!DR202&lt;&gt;"",Assumptions!DR202,0)</f>
        <v>0</v>
      </c>
      <c r="DS347" s="1295">
        <f>IF(Assumptions!DS202&lt;&gt;"",Assumptions!DS202,0)</f>
        <v>0</v>
      </c>
      <c r="DT347" s="1297"/>
      <c r="DU347" s="1298">
        <f>IF(Assumptions!DU202&lt;&gt;"",Assumptions!DU202,0)</f>
        <v>0</v>
      </c>
      <c r="DV347" s="1295">
        <f>IF(Assumptions!DV202&lt;&gt;"",Assumptions!DV202,0)</f>
        <v>0</v>
      </c>
      <c r="DW347" s="1297"/>
      <c r="DX347" s="1298">
        <f>IF(Assumptions!DX202&lt;&gt;"",Assumptions!DX202,0)</f>
        <v>0</v>
      </c>
      <c r="DY347" s="1295">
        <f>IF(Assumptions!DY202&lt;&gt;"",Assumptions!DY202,0)</f>
        <v>0</v>
      </c>
      <c r="DZ347" s="1297"/>
      <c r="EA347" s="1298">
        <f>IF(Assumptions!EA202&lt;&gt;"",Assumptions!EA202,0)</f>
        <v>0</v>
      </c>
      <c r="EB347" s="1295">
        <f>IF(Assumptions!EB202&lt;&gt;"",Assumptions!EB202,0)</f>
        <v>0</v>
      </c>
      <c r="EC347" s="1297"/>
      <c r="ED347" s="1298">
        <f>IF(Assumptions!ED202&lt;&gt;"",Assumptions!ED202,0)</f>
        <v>0</v>
      </c>
      <c r="EE347" s="1295">
        <f>IF(Assumptions!EE202&lt;&gt;"",Assumptions!EE202,0)</f>
        <v>0</v>
      </c>
      <c r="EF347" s="1297"/>
      <c r="EG347" s="1298">
        <f>IF(Assumptions!EG202&lt;&gt;"",Assumptions!EG202,0)</f>
        <v>0</v>
      </c>
      <c r="EH347" s="1295">
        <f>IF(Assumptions!EH202&lt;&gt;"",Assumptions!EH202,0)</f>
        <v>0</v>
      </c>
      <c r="EI347" s="1297"/>
      <c r="EJ347" s="1298">
        <f>IF(Assumptions!EJ202&lt;&gt;"",Assumptions!EJ202,0)</f>
        <v>0</v>
      </c>
      <c r="EK347" s="1295">
        <f>IF(Assumptions!EK202&lt;&gt;"",Assumptions!EK202,0)</f>
        <v>0</v>
      </c>
      <c r="EL347" s="1297"/>
      <c r="EM347" s="1298">
        <f>IF(Assumptions!EM202&lt;&gt;"",Assumptions!EM202,0)</f>
        <v>0</v>
      </c>
      <c r="EN347" s="1295">
        <f>IF(Assumptions!EN202&lt;&gt;"",Assumptions!EN202,0)</f>
        <v>0</v>
      </c>
      <c r="EO347" s="1297"/>
      <c r="EP347" s="1298">
        <f>IF(Assumptions!EP202&lt;&gt;"",Assumptions!EP202,0)</f>
        <v>0</v>
      </c>
      <c r="EQ347" s="1295">
        <f>IF(Assumptions!EQ202&lt;&gt;"",Assumptions!EQ202,0)</f>
        <v>0</v>
      </c>
      <c r="ER347" s="1297"/>
      <c r="ES347" s="1298">
        <f>IF(Assumptions!ES202&lt;&gt;"",Assumptions!ES202,0)</f>
        <v>0</v>
      </c>
      <c r="ET347" s="1295">
        <f>IF(Assumptions!ET202&lt;&gt;"",Assumptions!ET202,0)</f>
        <v>0</v>
      </c>
      <c r="EU347" s="1297"/>
      <c r="EV347" s="1298">
        <f>IF(Assumptions!EV202&lt;&gt;"",Assumptions!EV202,0)</f>
        <v>0</v>
      </c>
      <c r="EW347" s="1295">
        <f>IF(Assumptions!EW202&lt;&gt;"",Assumptions!EW202,0)</f>
        <v>0</v>
      </c>
      <c r="EX347" s="1297"/>
      <c r="EY347" s="1298">
        <f>IF(Assumptions!EY202&lt;&gt;"",Assumptions!EY202,0)</f>
        <v>0</v>
      </c>
      <c r="EZ347" s="1295">
        <f>IF(Assumptions!EZ202&lt;&gt;"",Assumptions!EZ202,0)</f>
        <v>0</v>
      </c>
      <c r="FA347" s="1297"/>
      <c r="FD347"/>
      <c r="FE347"/>
      <c r="FF347"/>
      <c r="FG347"/>
      <c r="FH347"/>
      <c r="FI347"/>
    </row>
    <row r="348" spans="1:169" s="33" customFormat="1" ht="13.5" thickBot="1">
      <c r="B348" s="54" t="s">
        <v>650</v>
      </c>
      <c r="C348" s="54"/>
      <c r="D348" s="2" t="s">
        <v>506</v>
      </c>
      <c r="E348" s="1299" t="str">
        <f>IF(F5="A","",E342*E347)</f>
        <v/>
      </c>
      <c r="F348" s="1299" t="str">
        <f>IF(I5="A","",F342*F347)</f>
        <v/>
      </c>
      <c r="G348" s="1300">
        <f>+E348+F348</f>
        <v>0</v>
      </c>
      <c r="H348" s="1299" t="str">
        <f>IF(I5="A","",H342*H347)</f>
        <v/>
      </c>
      <c r="I348" s="1299" t="str">
        <f>IF(L5="A","",I342*I347)</f>
        <v/>
      </c>
      <c r="J348" s="1300">
        <f>+H348+I348</f>
        <v>0</v>
      </c>
      <c r="K348" s="1299" t="str">
        <f>IF(L5="A","",K342*K347)</f>
        <v/>
      </c>
      <c r="L348" s="1299" t="str">
        <f>IF(O5="A","",L342*L347)</f>
        <v/>
      </c>
      <c r="M348" s="1300">
        <f>+K348+L348</f>
        <v>0</v>
      </c>
      <c r="N348" s="1299" t="str">
        <f>IF(O5="A","",N342*N347)</f>
        <v/>
      </c>
      <c r="O348" s="1299" t="str">
        <f>IF(R5="A","",O342*O347)</f>
        <v/>
      </c>
      <c r="P348" s="1300">
        <f>+N348+O348</f>
        <v>0</v>
      </c>
      <c r="Q348" s="1299" t="str">
        <f>IF(R5="A","",Q342*Q347)</f>
        <v/>
      </c>
      <c r="R348" s="1299" t="str">
        <f>IF(U5="A","",R342*R347)</f>
        <v/>
      </c>
      <c r="S348" s="1300">
        <f>+Q348+R348</f>
        <v>0</v>
      </c>
      <c r="T348" s="1299" t="str">
        <f>IF(U5="A","",T342*T347)</f>
        <v/>
      </c>
      <c r="U348" s="1299" t="str">
        <f>IF(X5="A","",U342*U347)</f>
        <v/>
      </c>
      <c r="V348" s="1300">
        <f>+T348+U348</f>
        <v>0</v>
      </c>
      <c r="W348" s="1299" t="str">
        <f>IF(X5="A","",W342*W347)</f>
        <v/>
      </c>
      <c r="X348" s="1299" t="str">
        <f>IF(AA5="A","",X342*X347)</f>
        <v/>
      </c>
      <c r="Y348" s="1300">
        <f>+W348+X348</f>
        <v>0</v>
      </c>
      <c r="Z348" s="1299" t="str">
        <f>IF(AA5="A","",Z342*Z347)</f>
        <v/>
      </c>
      <c r="AA348" s="1299" t="str">
        <f>IF(AD5="A","",AA342*AA347)</f>
        <v/>
      </c>
      <c r="AB348" s="1300">
        <f>+Z348+AA348</f>
        <v>0</v>
      </c>
      <c r="AC348" s="1299" t="str">
        <f>IF(AD5="A","",AC342*AC347)</f>
        <v/>
      </c>
      <c r="AD348" s="1299" t="str">
        <f>IF(AG5="A","",AD342*AD347)</f>
        <v/>
      </c>
      <c r="AE348" s="1300">
        <f>+AC348+AD348</f>
        <v>0</v>
      </c>
      <c r="AF348" s="1299" t="str">
        <f>IF(AG5="A","",AF342*AF347)</f>
        <v/>
      </c>
      <c r="AG348" s="1299" t="str">
        <f>IF(AJ5="A","",AG342*AG347)</f>
        <v/>
      </c>
      <c r="AH348" s="1300">
        <f>+AF348+AG348</f>
        <v>0</v>
      </c>
      <c r="AI348" s="1299" t="str">
        <f>IF(AJ5="A","",AI342*AI347)</f>
        <v/>
      </c>
      <c r="AJ348" s="1299" t="str">
        <f>IF(AM5="A","",AJ342*AJ347)</f>
        <v/>
      </c>
      <c r="AK348" s="1300">
        <f>+AI348+AJ348</f>
        <v>0</v>
      </c>
      <c r="AL348" s="1299" t="str">
        <f>IF(AM5="A","",AL342*AL347)</f>
        <v/>
      </c>
      <c r="AM348" s="1299" t="str">
        <f>IF(AO5="A","",AM342*AM347)</f>
        <v/>
      </c>
      <c r="AN348" s="1300">
        <f>+AL348+AM348</f>
        <v>0</v>
      </c>
      <c r="AO348" s="1299" t="str">
        <f>IF(AP5="A","",AO342*AO347)</f>
        <v/>
      </c>
      <c r="AP348" s="1299" t="str">
        <f>IF(AR5="A","",AP342*AP347)</f>
        <v/>
      </c>
      <c r="AQ348" s="1300">
        <f>+AO348+AP348</f>
        <v>0</v>
      </c>
      <c r="AR348" s="1299" t="str">
        <f>IF(AS5="A","",AR342*AR347)</f>
        <v/>
      </c>
      <c r="AS348" s="1299" t="str">
        <f>IF(AU5="A","",AS342*AS347)</f>
        <v/>
      </c>
      <c r="AT348" s="1300">
        <f>+AR348+AS348</f>
        <v>0</v>
      </c>
      <c r="AU348" s="1299" t="str">
        <f>IF(AV5="A","",AU342*AU347)</f>
        <v/>
      </c>
      <c r="AV348" s="1299" t="str">
        <f>IF(AX5="A","",AV342*AV347)</f>
        <v/>
      </c>
      <c r="AW348" s="1300">
        <f>+AU348+AV348</f>
        <v>0</v>
      </c>
      <c r="AX348" s="1299" t="str">
        <f>IF(AY5="A","",AX342*AX347)</f>
        <v/>
      </c>
      <c r="AY348" s="1299" t="str">
        <f>IF(BA5="A","",AY342*AY347)</f>
        <v/>
      </c>
      <c r="AZ348" s="1300">
        <f>+AX348+AY348</f>
        <v>0</v>
      </c>
      <c r="BA348" s="1299" t="str">
        <f>IF(BB5="A","",BA342*BA347)</f>
        <v/>
      </c>
      <c r="BB348" s="1299" t="str">
        <f>IF(BD5="A","",BB342*BB347)</f>
        <v/>
      </c>
      <c r="BC348" s="1300">
        <f>+BA348+BB348</f>
        <v>0</v>
      </c>
      <c r="BD348" s="1299">
        <f>IF(BE5="A","",BD342*BD347)</f>
        <v>0</v>
      </c>
      <c r="BE348" s="1299" t="str">
        <f>IF(BG5="A","",BE342*BE347)</f>
        <v/>
      </c>
      <c r="BF348" s="1300">
        <f>+BD348+BE348</f>
        <v>0</v>
      </c>
      <c r="BG348" s="1301">
        <v>0</v>
      </c>
      <c r="BH348" s="1301">
        <v>0</v>
      </c>
      <c r="BI348" s="1300">
        <f>+BG348+BH348</f>
        <v>0</v>
      </c>
      <c r="BJ348" s="1299" t="str">
        <f>IF(BK5="A","",BJ342*BJ347)</f>
        <v/>
      </c>
      <c r="BK348" s="1299" t="str">
        <f>IF(BM5="A","",BK342*BK347)</f>
        <v/>
      </c>
      <c r="BL348" s="1300">
        <f>+BJ348+BK348</f>
        <v>0</v>
      </c>
      <c r="BM348" s="1299" t="str">
        <f>IF(BN5="A","",BM342*BM347)</f>
        <v/>
      </c>
      <c r="BN348" s="1299" t="str">
        <f>IF(BO5="A","",BN342*BN347)</f>
        <v/>
      </c>
      <c r="BO348" s="1300">
        <f>+BM348+BN348</f>
        <v>0</v>
      </c>
      <c r="BP348" s="1299" t="str">
        <f>IF(BQ5="A","",BP342*BP347)</f>
        <v/>
      </c>
      <c r="BQ348" s="1299" t="str">
        <f>IF(BR5="A","",BQ342*BQ347)</f>
        <v/>
      </c>
      <c r="BR348" s="1300">
        <f>+BP348+BQ348</f>
        <v>0</v>
      </c>
      <c r="BS348" s="1299" t="str">
        <f>IF(BT5="A","",BS342*BS347)</f>
        <v/>
      </c>
      <c r="BT348" s="1299" t="str">
        <f>IF(BU5="A","",BT342*BT347)</f>
        <v/>
      </c>
      <c r="BU348" s="1300">
        <f>+BS348+BT348</f>
        <v>0</v>
      </c>
      <c r="BV348" s="1299" t="str">
        <f>IF(BW5="A","",BV342*BV347)</f>
        <v/>
      </c>
      <c r="BW348" s="1299" t="str">
        <f>IF(BX5="A","",BW342*BW347)</f>
        <v/>
      </c>
      <c r="BX348" s="1300">
        <f>+BV348+BW348</f>
        <v>0</v>
      </c>
      <c r="BY348" s="1299" t="str">
        <f>IF(BZ5="A","",BY342*BY347)</f>
        <v/>
      </c>
      <c r="BZ348" s="1299" t="str">
        <f>IF(CA5="A","",BZ342*BZ347)</f>
        <v/>
      </c>
      <c r="CA348" s="1300">
        <f>+BY348+BZ348</f>
        <v>0</v>
      </c>
      <c r="CB348" s="1299" t="str">
        <f>IF(CC5="A","",CB342*CB347)</f>
        <v/>
      </c>
      <c r="CC348" s="1299" t="str">
        <f>IF(CD5="A","",CC342*CC347)</f>
        <v/>
      </c>
      <c r="CD348" s="1300">
        <f>+CB348+CC348</f>
        <v>0</v>
      </c>
      <c r="CE348" s="1299" t="str">
        <f>IF(CF5="A","",CE342*CE347)</f>
        <v/>
      </c>
      <c r="CF348" s="1299" t="str">
        <f>IF(CG5="A","",CF342*CF347)</f>
        <v/>
      </c>
      <c r="CG348" s="1300">
        <f>+CE348+CF348</f>
        <v>0</v>
      </c>
      <c r="CH348" s="1299" t="str">
        <f>IF(CI5="A","",CH342*CH347)</f>
        <v/>
      </c>
      <c r="CI348" s="1299" t="str">
        <f>IF(CJ5="A","",CI342*CI347)</f>
        <v/>
      </c>
      <c r="CJ348" s="1300">
        <f>+CH348+CI348</f>
        <v>0</v>
      </c>
      <c r="CK348" s="1299" t="str">
        <f>IF(CL5="A","",CK342*CK347)</f>
        <v/>
      </c>
      <c r="CL348" s="1299" t="str">
        <f>IF(CM5="A","",CL342*CL347)</f>
        <v/>
      </c>
      <c r="CM348" s="1300">
        <f>+CK348+CL348</f>
        <v>0</v>
      </c>
      <c r="CN348" s="1299" t="str">
        <f>IF(CO5="A","",CN342*CN347)</f>
        <v/>
      </c>
      <c r="CO348" s="1299" t="str">
        <f>IF(CP5="A","",CO342*CO347)</f>
        <v/>
      </c>
      <c r="CP348" s="1300">
        <f>+CN348+CO348</f>
        <v>0</v>
      </c>
      <c r="CQ348" s="1299" t="str">
        <f>IF(CR5="A","",CQ342*CQ347)</f>
        <v/>
      </c>
      <c r="CR348" s="1299" t="str">
        <f>IF(CS5="A","",CR342*CR347)</f>
        <v/>
      </c>
      <c r="CS348" s="1300">
        <f>+CQ348+CR348</f>
        <v>0</v>
      </c>
      <c r="CT348" s="1299" t="str">
        <f>IF(CU5="A","",CT342*CT347)</f>
        <v/>
      </c>
      <c r="CU348" s="1299" t="str">
        <f>IF(CV5="A","",CU342*CU347)</f>
        <v/>
      </c>
      <c r="CV348" s="1300">
        <f>+CT348+CU348</f>
        <v>0</v>
      </c>
      <c r="CW348" s="1299" t="str">
        <f>IF(CX5="A","",CW342*CW347)</f>
        <v/>
      </c>
      <c r="CX348" s="1299" t="str">
        <f>IF(CY5="A","",CX342*CX347)</f>
        <v/>
      </c>
      <c r="CY348" s="1300">
        <f>+CW348+CX348</f>
        <v>0</v>
      </c>
      <c r="CZ348" s="1299" t="str">
        <f>IF(DA5="A","",CZ342*CZ347)</f>
        <v/>
      </c>
      <c r="DA348" s="1299" t="str">
        <f>IF(DB5="A","",DA342*DA347)</f>
        <v/>
      </c>
      <c r="DB348" s="1300">
        <f>+CZ348+DA348</f>
        <v>0</v>
      </c>
      <c r="DC348" s="1299" t="str">
        <f>IF(DD5="A","",DC342*DC347)</f>
        <v/>
      </c>
      <c r="DD348" s="1299" t="str">
        <f>IF(DE5="A","",DD342*DD347)</f>
        <v/>
      </c>
      <c r="DE348" s="1302">
        <f>+DC348+DD348</f>
        <v>0</v>
      </c>
      <c r="DF348" s="1299" t="str">
        <f>IF(DG5="A","",DF342*DF347)</f>
        <v/>
      </c>
      <c r="DG348" s="1299" t="str">
        <f>IF(DH5="A","",DG342*DG347)</f>
        <v/>
      </c>
      <c r="DH348" s="1302">
        <f>+DF348+DG348</f>
        <v>0</v>
      </c>
      <c r="DI348" s="1299" t="str">
        <f>IF(DJ5="A","",DI342*DI347)</f>
        <v/>
      </c>
      <c r="DJ348" s="1299" t="str">
        <f>IF(DK5="A","",DJ342*DJ347)</f>
        <v/>
      </c>
      <c r="DK348" s="1302">
        <f>+DI348+DJ348</f>
        <v>0</v>
      </c>
      <c r="DL348" s="1299" t="str">
        <f>IF(DM5="A","",DL342*DL347)</f>
        <v/>
      </c>
      <c r="DM348" s="1299" t="str">
        <f>IF(DN5="A","",DM342*DM347)</f>
        <v/>
      </c>
      <c r="DN348" s="1302">
        <f>+DL348+DM348</f>
        <v>0</v>
      </c>
      <c r="DO348" s="1299" t="str">
        <f>IF(DP5="A","",DO342*DO347)</f>
        <v/>
      </c>
      <c r="DP348" s="1299" t="str">
        <f>IF(DQ5="A","",DP342*DP347)</f>
        <v/>
      </c>
      <c r="DQ348" s="1302">
        <f>+DO348+DP348</f>
        <v>0</v>
      </c>
      <c r="DR348" s="1299" t="str">
        <f>IF(DS5="A","",DR342*DR347)</f>
        <v/>
      </c>
      <c r="DS348" s="1299" t="str">
        <f>IF(DT5="A","",DS342*DS347)</f>
        <v/>
      </c>
      <c r="DT348" s="1302">
        <f>+DR348+DS348</f>
        <v>0</v>
      </c>
      <c r="DU348" s="1299" t="str">
        <f>IF(DV5="A","",DU342*DU347)</f>
        <v/>
      </c>
      <c r="DV348" s="1299">
        <f>IF(DW5="A","",DV342*DV347)</f>
        <v>0</v>
      </c>
      <c r="DW348" s="1302">
        <f>+DU348+DV348</f>
        <v>0</v>
      </c>
      <c r="DX348" s="1299">
        <f>IF(DY5="A","",DX342*DX347)</f>
        <v>0</v>
      </c>
      <c r="DY348" s="1299">
        <f>IF(DZ5="A","",DY342*DY347)</f>
        <v>0</v>
      </c>
      <c r="DZ348" s="1302">
        <f>+DX348+DY348</f>
        <v>0</v>
      </c>
      <c r="EA348" s="1299">
        <f>IF(EB5="A","",EA342*EA347)</f>
        <v>0</v>
      </c>
      <c r="EB348" s="1299">
        <f>IF(EC5="A","",EB342*EB347)</f>
        <v>0</v>
      </c>
      <c r="EC348" s="1302">
        <f>+EA348+EB348</f>
        <v>0</v>
      </c>
      <c r="ED348" s="1299">
        <f>IF(EE5="A","",ED342*ED347)</f>
        <v>0</v>
      </c>
      <c r="EE348" s="1299">
        <f>IF(EF5="A","",EE342*EE347)</f>
        <v>0</v>
      </c>
      <c r="EF348" s="1302">
        <f>+ED348+EE348</f>
        <v>0</v>
      </c>
      <c r="EG348" s="1299">
        <f>IF(EH5="A","",EG342*EG347)</f>
        <v>0</v>
      </c>
      <c r="EH348" s="1299">
        <f>IF(EI5="A","",EH342*EH347)</f>
        <v>0</v>
      </c>
      <c r="EI348" s="1302">
        <f>+EG348+EH348</f>
        <v>0</v>
      </c>
      <c r="EJ348" s="1299">
        <f>IF(EK5="A","",EJ342*EJ347)</f>
        <v>0</v>
      </c>
      <c r="EK348" s="1299">
        <f>IF(EL5="A","",EK342*EK347)</f>
        <v>0</v>
      </c>
      <c r="EL348" s="1302">
        <f>+EJ348+EK348</f>
        <v>0</v>
      </c>
      <c r="EM348" s="1299">
        <f>IF(EN5="A","",EM342*EM347)</f>
        <v>0</v>
      </c>
      <c r="EN348" s="1299">
        <f>IF(EO5="A","",EN342*EN347)</f>
        <v>0</v>
      </c>
      <c r="EO348" s="1302">
        <f>+EM348+EN348</f>
        <v>0</v>
      </c>
      <c r="EP348" s="1299">
        <f>IF(EQ5="A","",EP342*EP347)</f>
        <v>0</v>
      </c>
      <c r="EQ348" s="1299">
        <f>IF(ER5="A","",EQ342*EQ347)</f>
        <v>0</v>
      </c>
      <c r="ER348" s="1302">
        <f>+EP348+EQ348</f>
        <v>0</v>
      </c>
      <c r="ES348" s="1299">
        <f>IF(ET5="A","",ES342*ES347)</f>
        <v>0</v>
      </c>
      <c r="ET348" s="1299">
        <f>IF(EU5="A","",ET342*ET347)</f>
        <v>0</v>
      </c>
      <c r="EU348" s="1302">
        <f>+ES348+ET348</f>
        <v>0</v>
      </c>
      <c r="EV348" s="1299">
        <f>IF(EW5="A","",EV342*EV347)</f>
        <v>0</v>
      </c>
      <c r="EW348" s="1299">
        <f>IF(EX5="A","",EW342*EW347)</f>
        <v>0</v>
      </c>
      <c r="EX348" s="1302">
        <f>+EV348+EW348</f>
        <v>0</v>
      </c>
      <c r="EY348" s="1299">
        <f>IF(EZ5="A","",EY342*EY347)</f>
        <v>0</v>
      </c>
      <c r="EZ348" s="1299">
        <f>IF(FA5="A","",EZ342*EZ347)</f>
        <v>0</v>
      </c>
      <c r="FA348" s="1302">
        <f>+EY348+EZ348</f>
        <v>0</v>
      </c>
      <c r="FD348"/>
      <c r="FE348"/>
      <c r="FF348"/>
      <c r="FG348"/>
      <c r="FH348"/>
      <c r="FI348"/>
    </row>
    <row r="349" spans="1:169" s="33" customFormat="1">
      <c r="B349" s="54" t="s">
        <v>651</v>
      </c>
      <c r="C349" s="54"/>
      <c r="D349" s="2" t="s">
        <v>504</v>
      </c>
      <c r="E349" s="1303"/>
      <c r="F349" s="1304"/>
      <c r="G349" s="1305"/>
      <c r="H349" s="1303"/>
      <c r="I349" s="1304"/>
      <c r="J349" s="1305"/>
      <c r="K349" s="1303"/>
      <c r="L349" s="1304"/>
      <c r="M349" s="1305"/>
      <c r="N349" s="1303"/>
      <c r="O349" s="1304"/>
      <c r="P349" s="1305"/>
      <c r="Q349" s="1303"/>
      <c r="R349" s="1304"/>
      <c r="S349" s="1305"/>
      <c r="T349" s="1303"/>
      <c r="U349" s="1304"/>
      <c r="V349" s="1305"/>
      <c r="W349" s="1303"/>
      <c r="X349" s="1304"/>
      <c r="Y349" s="1305"/>
      <c r="Z349" s="1303"/>
      <c r="AA349" s="1304"/>
      <c r="AB349" s="1305"/>
      <c r="AC349" s="1303"/>
      <c r="AD349" s="1304"/>
      <c r="AE349" s="1305"/>
      <c r="AF349" s="1303"/>
      <c r="AG349" s="1304"/>
      <c r="AH349" s="1305"/>
      <c r="AI349" s="1303"/>
      <c r="AJ349" s="1304"/>
      <c r="AK349" s="1305"/>
      <c r="AL349" s="1303"/>
      <c r="AM349" s="1304"/>
      <c r="AN349" s="1305"/>
      <c r="AO349" s="1303"/>
      <c r="AP349" s="1304"/>
      <c r="AQ349" s="1305"/>
      <c r="AR349" s="1303"/>
      <c r="AS349" s="1304"/>
      <c r="AT349" s="1305"/>
      <c r="AU349" s="1303"/>
      <c r="AV349" s="1304"/>
      <c r="AW349" s="1305"/>
      <c r="AX349" s="1303"/>
      <c r="AY349" s="1304"/>
      <c r="AZ349" s="1305"/>
      <c r="BA349" s="1303"/>
      <c r="BB349" s="1304"/>
      <c r="BC349" s="1305"/>
      <c r="BD349" s="1303">
        <v>171.39</v>
      </c>
      <c r="BE349" s="1304"/>
      <c r="BF349" s="1305"/>
      <c r="BG349" s="1303"/>
      <c r="BH349" s="1304"/>
      <c r="BI349" s="1305"/>
      <c r="BJ349" s="1303"/>
      <c r="BK349" s="1304"/>
      <c r="BL349" s="1305"/>
      <c r="BM349" s="1303"/>
      <c r="BN349" s="1304"/>
      <c r="BO349" s="1305"/>
      <c r="BP349" s="1303"/>
      <c r="BQ349" s="1304"/>
      <c r="BR349" s="1305"/>
      <c r="BS349" s="1303"/>
      <c r="BT349" s="1304"/>
      <c r="BU349" s="1305"/>
      <c r="BV349" s="1303"/>
      <c r="BW349" s="1304"/>
      <c r="BX349" s="1305"/>
      <c r="BY349" s="1303"/>
      <c r="BZ349" s="1304"/>
      <c r="CA349" s="1305"/>
      <c r="CB349" s="1303"/>
      <c r="CC349" s="1304"/>
      <c r="CD349" s="1305"/>
      <c r="CE349" s="1303"/>
      <c r="CF349" s="1304"/>
      <c r="CG349" s="1305"/>
      <c r="CH349" s="1303"/>
      <c r="CI349" s="1304"/>
      <c r="CJ349" s="1305"/>
      <c r="CK349" s="1303"/>
      <c r="CL349" s="1304"/>
      <c r="CM349" s="1305"/>
      <c r="CN349" s="1303"/>
      <c r="CO349" s="1304"/>
      <c r="CP349" s="1305"/>
      <c r="CQ349" s="1303"/>
      <c r="CR349" s="1304"/>
      <c r="CS349" s="1305"/>
      <c r="CT349" s="1303"/>
      <c r="CU349" s="1304"/>
      <c r="CV349" s="1305"/>
      <c r="CW349" s="1303"/>
      <c r="CX349" s="1304"/>
      <c r="CY349" s="1305"/>
      <c r="CZ349" s="1303"/>
      <c r="DA349" s="1304"/>
      <c r="DB349" s="1305"/>
      <c r="DC349" s="1303"/>
      <c r="DD349" s="1304"/>
      <c r="DE349" s="1306"/>
      <c r="DF349" s="1307"/>
      <c r="DG349" s="1304"/>
      <c r="DH349" s="1306"/>
      <c r="DI349" s="1307"/>
      <c r="DJ349" s="1304"/>
      <c r="DK349" s="1306"/>
      <c r="DL349" s="1307"/>
      <c r="DM349" s="1304"/>
      <c r="DN349" s="1306"/>
      <c r="DO349" s="1307"/>
      <c r="DP349" s="1304"/>
      <c r="DQ349" s="1306"/>
      <c r="DR349" s="1307"/>
      <c r="DS349" s="1304"/>
      <c r="DT349" s="1306"/>
      <c r="DU349" s="1307"/>
      <c r="DV349" s="1304">
        <v>171.39</v>
      </c>
      <c r="DW349" s="1306"/>
      <c r="DX349" s="1307">
        <v>171.39</v>
      </c>
      <c r="DY349" s="1304">
        <v>171.39</v>
      </c>
      <c r="DZ349" s="1306"/>
      <c r="EA349" s="1307">
        <v>171.39</v>
      </c>
      <c r="EB349" s="1304">
        <v>171.39</v>
      </c>
      <c r="EC349" s="1306"/>
      <c r="ED349" s="1307">
        <v>171.39</v>
      </c>
      <c r="EE349" s="1304">
        <v>171.39</v>
      </c>
      <c r="EF349" s="1306"/>
      <c r="EG349" s="1307">
        <v>171.39</v>
      </c>
      <c r="EH349" s="1304">
        <v>171.39</v>
      </c>
      <c r="EI349" s="1306"/>
      <c r="EJ349" s="1307">
        <v>171.39</v>
      </c>
      <c r="EK349" s="1304">
        <v>171.39</v>
      </c>
      <c r="EL349" s="1306"/>
      <c r="EM349" s="1307">
        <v>171.39</v>
      </c>
      <c r="EN349" s="1304">
        <v>171.39</v>
      </c>
      <c r="EO349" s="1306"/>
      <c r="EP349" s="1307">
        <v>171.39</v>
      </c>
      <c r="EQ349" s="1304">
        <v>171.39</v>
      </c>
      <c r="ER349" s="1306"/>
      <c r="ES349" s="1307">
        <v>171.39</v>
      </c>
      <c r="ET349" s="1304">
        <v>171.39</v>
      </c>
      <c r="EU349" s="1306"/>
      <c r="EV349" s="1307">
        <v>171.39</v>
      </c>
      <c r="EW349" s="1304">
        <v>171.39</v>
      </c>
      <c r="EX349" s="1306"/>
      <c r="EY349" s="1307">
        <v>171.39</v>
      </c>
      <c r="EZ349" s="1304">
        <v>171.39</v>
      </c>
      <c r="FA349" s="1306"/>
      <c r="FD349"/>
      <c r="FE349"/>
      <c r="FF349"/>
      <c r="FG349"/>
      <c r="FH349"/>
      <c r="FI349"/>
    </row>
    <row r="350" spans="1:169" s="33" customFormat="1">
      <c r="B350" s="54" t="s">
        <v>652</v>
      </c>
      <c r="C350" s="54"/>
      <c r="D350" s="2" t="s">
        <v>507</v>
      </c>
      <c r="E350" s="1308"/>
      <c r="F350" s="56"/>
      <c r="G350" s="1296"/>
      <c r="H350" s="1308"/>
      <c r="I350" s="56"/>
      <c r="J350" s="1296"/>
      <c r="K350" s="1308"/>
      <c r="L350" s="56"/>
      <c r="M350" s="1296"/>
      <c r="N350" s="1308"/>
      <c r="O350" s="56"/>
      <c r="P350" s="1296"/>
      <c r="Q350" s="1308"/>
      <c r="R350" s="56"/>
      <c r="S350" s="1296"/>
      <c r="T350" s="1308"/>
      <c r="U350" s="56"/>
      <c r="V350" s="1296"/>
      <c r="W350" s="1308"/>
      <c r="X350" s="56"/>
      <c r="Y350" s="1296"/>
      <c r="Z350" s="1308"/>
      <c r="AA350" s="56"/>
      <c r="AB350" s="1296"/>
      <c r="AC350" s="1308"/>
      <c r="AD350" s="56"/>
      <c r="AE350" s="1296"/>
      <c r="AF350" s="1308"/>
      <c r="AG350" s="56"/>
      <c r="AH350" s="1296"/>
      <c r="AI350" s="1308"/>
      <c r="AJ350" s="56"/>
      <c r="AK350" s="1296"/>
      <c r="AL350" s="1308"/>
      <c r="AM350" s="56"/>
      <c r="AN350" s="1296"/>
      <c r="AO350" s="1308"/>
      <c r="AP350" s="56"/>
      <c r="AQ350" s="1296"/>
      <c r="AR350" s="1308"/>
      <c r="AS350" s="56"/>
      <c r="AT350" s="1296"/>
      <c r="AU350" s="1308"/>
      <c r="AV350" s="56"/>
      <c r="AW350" s="1296"/>
      <c r="AX350" s="1308"/>
      <c r="AY350" s="56"/>
      <c r="AZ350" s="1296"/>
      <c r="BA350" s="1308"/>
      <c r="BB350" s="56"/>
      <c r="BC350" s="1296"/>
      <c r="BD350" s="1308">
        <f>IF(Assumptions!BD203&lt;&gt;"",Assumptions!BD203,0)</f>
        <v>0</v>
      </c>
      <c r="BE350" s="56">
        <f>IF(Assumptions!BE203&lt;&gt;"",Assumptions!BE203,0)</f>
        <v>0</v>
      </c>
      <c r="BF350" s="1296"/>
      <c r="BG350" s="1308">
        <f>IF(Assumptions!BG203&lt;&gt;"",Assumptions!BG203,0)</f>
        <v>0</v>
      </c>
      <c r="BH350" s="56">
        <f>IF(Assumptions!BH203&lt;&gt;"",Assumptions!BH203,0)</f>
        <v>0</v>
      </c>
      <c r="BI350" s="1296"/>
      <c r="BJ350" s="1308">
        <f>IF(Assumptions!BJ203&lt;&gt;"",Assumptions!BJ203,0)</f>
        <v>0</v>
      </c>
      <c r="BK350" s="56">
        <f>IF(Assumptions!BK203&lt;&gt;"",Assumptions!BK203,0)</f>
        <v>0</v>
      </c>
      <c r="BL350" s="1296"/>
      <c r="BM350" s="1308">
        <f>IF(Assumptions!BM203&lt;&gt;"",Assumptions!BM203,0)</f>
        <v>0</v>
      </c>
      <c r="BN350" s="56">
        <f>IF(Assumptions!BN203&lt;&gt;"",Assumptions!BN203,0)</f>
        <v>0</v>
      </c>
      <c r="BO350" s="1296"/>
      <c r="BP350" s="1308">
        <f>IF(Assumptions!BP203&lt;&gt;"",Assumptions!BP203,0)</f>
        <v>0</v>
      </c>
      <c r="BQ350" s="56">
        <f>IF(Assumptions!BQ203&lt;&gt;"",Assumptions!BQ203,0)</f>
        <v>0</v>
      </c>
      <c r="BR350" s="1296"/>
      <c r="BS350" s="1308">
        <f>IF(Assumptions!BS203&lt;&gt;"",Assumptions!BS203,0)</f>
        <v>0</v>
      </c>
      <c r="BT350" s="56">
        <f>IF(Assumptions!BT203&lt;&gt;"",Assumptions!BT203,0)</f>
        <v>0</v>
      </c>
      <c r="BU350" s="1296"/>
      <c r="BV350" s="1308">
        <f>IF(Assumptions!BV203&lt;&gt;"",Assumptions!BV203,0)</f>
        <v>0</v>
      </c>
      <c r="BW350" s="56">
        <f>IF(Assumptions!BW203&lt;&gt;"",Assumptions!BW203,0)</f>
        <v>0</v>
      </c>
      <c r="BX350" s="1296"/>
      <c r="BY350" s="1308">
        <f>IF(Assumptions!BY203&lt;&gt;"",Assumptions!BY203,0)</f>
        <v>0</v>
      </c>
      <c r="BZ350" s="56">
        <f>IF(Assumptions!BZ203&lt;&gt;"",Assumptions!BZ203,0)</f>
        <v>0</v>
      </c>
      <c r="CA350" s="1296"/>
      <c r="CB350" s="1308">
        <f>IF(Assumptions!CB203&lt;&gt;"",Assumptions!CB203,0)</f>
        <v>0</v>
      </c>
      <c r="CC350" s="56">
        <f>IF(Assumptions!CC203&lt;&gt;"",Assumptions!CC203,0)</f>
        <v>0</v>
      </c>
      <c r="CD350" s="1296"/>
      <c r="CE350" s="1308">
        <f>IF(Assumptions!CE203&lt;&gt;"",Assumptions!CE203,0)</f>
        <v>0</v>
      </c>
      <c r="CF350" s="56">
        <f>IF(Assumptions!CF203&lt;&gt;"",Assumptions!CF203,0)</f>
        <v>0</v>
      </c>
      <c r="CG350" s="1296"/>
      <c r="CH350" s="1308">
        <f>IF(Assumptions!CH203&lt;&gt;"",Assumptions!CH203,0)</f>
        <v>0</v>
      </c>
      <c r="CI350" s="56">
        <f>IF(Assumptions!CI203&lt;&gt;"",Assumptions!CI203,0)</f>
        <v>0</v>
      </c>
      <c r="CJ350" s="1296"/>
      <c r="CK350" s="1308">
        <f>IF(Assumptions!CK203&lt;&gt;"",Assumptions!CK203,0)</f>
        <v>0</v>
      </c>
      <c r="CL350" s="56">
        <f>IF(Assumptions!CL203&lt;&gt;"",Assumptions!CL203,0)</f>
        <v>0</v>
      </c>
      <c r="CM350" s="1296"/>
      <c r="CN350" s="1308">
        <f>IF(Assumptions!CN203&lt;&gt;"",Assumptions!CN203,0)</f>
        <v>0</v>
      </c>
      <c r="CO350" s="56">
        <f>IF(Assumptions!CO203&lt;&gt;"",Assumptions!CO203,0)</f>
        <v>0</v>
      </c>
      <c r="CP350" s="1296"/>
      <c r="CQ350" s="1308">
        <f>IF(Assumptions!CQ203&lt;&gt;"",Assumptions!CQ203,0)</f>
        <v>0</v>
      </c>
      <c r="CR350" s="56">
        <f>IF(Assumptions!CR203&lt;&gt;"",Assumptions!CR203,0)</f>
        <v>0</v>
      </c>
      <c r="CS350" s="1296"/>
      <c r="CT350" s="1308">
        <f>IF(Assumptions!CT203&lt;&gt;"",Assumptions!CT203,0)</f>
        <v>0</v>
      </c>
      <c r="CU350" s="56">
        <f>IF(Assumptions!CU203&lt;&gt;"",Assumptions!CU203,0)</f>
        <v>0</v>
      </c>
      <c r="CV350" s="1296"/>
      <c r="CW350" s="1308">
        <f>IF(Assumptions!CW203&lt;&gt;"",Assumptions!CW203,0)</f>
        <v>0</v>
      </c>
      <c r="CX350" s="56">
        <f>IF(Assumptions!CX203&lt;&gt;"",Assumptions!CX203,0)</f>
        <v>0</v>
      </c>
      <c r="CY350" s="1296"/>
      <c r="CZ350" s="1308">
        <f>IF(Assumptions!CZ203&lt;&gt;"",Assumptions!CZ203,0)</f>
        <v>0</v>
      </c>
      <c r="DA350" s="56">
        <f>IF(Assumptions!DA203&lt;&gt;"",Assumptions!DA203,0)</f>
        <v>0</v>
      </c>
      <c r="DB350" s="1296"/>
      <c r="DC350" s="1308">
        <f>IF(Assumptions!DC203&lt;&gt;"",Assumptions!DC203,0)</f>
        <v>0</v>
      </c>
      <c r="DD350" s="56">
        <f>IF(Assumptions!DD203&lt;&gt;"",Assumptions!DD203,0)</f>
        <v>0</v>
      </c>
      <c r="DE350" s="1297"/>
      <c r="DF350" s="51">
        <f>IF(Assumptions!DF203&lt;&gt;"",Assumptions!DF203,0)</f>
        <v>0</v>
      </c>
      <c r="DG350" s="56">
        <f>IF(Assumptions!DG203&lt;&gt;"",Assumptions!DG203,0)</f>
        <v>0</v>
      </c>
      <c r="DH350" s="1297"/>
      <c r="DI350" s="51">
        <f>IF(Assumptions!DI203&lt;&gt;"",Assumptions!DI203,0)</f>
        <v>0</v>
      </c>
      <c r="DJ350" s="56">
        <f>IF(Assumptions!DJ203&lt;&gt;"",Assumptions!DJ203,0)</f>
        <v>0</v>
      </c>
      <c r="DK350" s="1297"/>
      <c r="DL350" s="51">
        <f>IF(Assumptions!DL203&lt;&gt;"",Assumptions!DL203,0)</f>
        <v>0</v>
      </c>
      <c r="DM350" s="56">
        <f>IF(Assumptions!DM203&lt;&gt;"",Assumptions!DM203,0)</f>
        <v>0</v>
      </c>
      <c r="DN350" s="1297"/>
      <c r="DO350" s="51">
        <f>IF(Assumptions!DO203&lt;&gt;"",Assumptions!DO203,0)</f>
        <v>0</v>
      </c>
      <c r="DP350" s="56">
        <f>IF(Assumptions!DP203&lt;&gt;"",Assumptions!DP203,0)</f>
        <v>0</v>
      </c>
      <c r="DQ350" s="1297"/>
      <c r="DR350" s="51">
        <f>IF(Assumptions!DR203&lt;&gt;"",Assumptions!DR203,0)</f>
        <v>0</v>
      </c>
      <c r="DS350" s="56">
        <f>IF(Assumptions!DS203&lt;&gt;"",Assumptions!DS203,0)</f>
        <v>0</v>
      </c>
      <c r="DT350" s="1297"/>
      <c r="DU350" s="51">
        <f>IF(Assumptions!DU203&lt;&gt;"",Assumptions!DU203,0)</f>
        <v>0</v>
      </c>
      <c r="DV350" s="56">
        <f>IF(Assumptions!DV203&lt;&gt;"",Assumptions!DV203,0)</f>
        <v>0</v>
      </c>
      <c r="DW350" s="1297"/>
      <c r="DX350" s="51">
        <f>IF(Assumptions!DX203&lt;&gt;"",Assumptions!DX203,0)</f>
        <v>0</v>
      </c>
      <c r="DY350" s="56">
        <f>IF(Assumptions!DY203&lt;&gt;"",Assumptions!DY203,0)</f>
        <v>0</v>
      </c>
      <c r="DZ350" s="1297"/>
      <c r="EA350" s="51">
        <f>IF(Assumptions!EA203&lt;&gt;"",Assumptions!EA203,0)</f>
        <v>0</v>
      </c>
      <c r="EB350" s="56">
        <f>IF(Assumptions!EB203&lt;&gt;"",Assumptions!EB203,0)</f>
        <v>0</v>
      </c>
      <c r="EC350" s="1297"/>
      <c r="ED350" s="51">
        <f>IF(Assumptions!ED203&lt;&gt;"",Assumptions!ED203,0)</f>
        <v>0</v>
      </c>
      <c r="EE350" s="56">
        <f>IF(Assumptions!EE203&lt;&gt;"",Assumptions!EE203,0)</f>
        <v>0</v>
      </c>
      <c r="EF350" s="1297"/>
      <c r="EG350" s="51">
        <f>IF(Assumptions!EG203&lt;&gt;"",Assumptions!EG203,0)</f>
        <v>0</v>
      </c>
      <c r="EH350" s="56">
        <f>IF(Assumptions!EH203&lt;&gt;"",Assumptions!EH203,0)</f>
        <v>0</v>
      </c>
      <c r="EI350" s="1297"/>
      <c r="EJ350" s="51">
        <f>IF(Assumptions!EJ203&lt;&gt;"",Assumptions!EJ203,0)</f>
        <v>0</v>
      </c>
      <c r="EK350" s="56">
        <f>IF(Assumptions!EK203&lt;&gt;"",Assumptions!EK203,0)</f>
        <v>0</v>
      </c>
      <c r="EL350" s="1297"/>
      <c r="EM350" s="51">
        <f>IF(Assumptions!EM203&lt;&gt;"",Assumptions!EM203,0)</f>
        <v>0</v>
      </c>
      <c r="EN350" s="56">
        <f>IF(Assumptions!EN203&lt;&gt;"",Assumptions!EN203,0)</f>
        <v>0</v>
      </c>
      <c r="EO350" s="1297"/>
      <c r="EP350" s="51">
        <f>IF(Assumptions!EP203&lt;&gt;"",Assumptions!EP203,0)</f>
        <v>0</v>
      </c>
      <c r="EQ350" s="56">
        <f>IF(Assumptions!EQ203&lt;&gt;"",Assumptions!EQ203,0)</f>
        <v>0</v>
      </c>
      <c r="ER350" s="1297"/>
      <c r="ES350" s="51">
        <f>IF(Assumptions!ES203&lt;&gt;"",Assumptions!ES203,0)</f>
        <v>0</v>
      </c>
      <c r="ET350" s="56">
        <f>IF(Assumptions!ET203&lt;&gt;"",Assumptions!ET203,0)</f>
        <v>0</v>
      </c>
      <c r="EU350" s="1297"/>
      <c r="EV350" s="51">
        <f>IF(Assumptions!EV203&lt;&gt;"",Assumptions!EV203,0)</f>
        <v>0</v>
      </c>
      <c r="EW350" s="56">
        <f>IF(Assumptions!EW203&lt;&gt;"",Assumptions!EW203,0)</f>
        <v>0</v>
      </c>
      <c r="EX350" s="1297"/>
      <c r="EY350" s="51">
        <f>IF(Assumptions!EY203&lt;&gt;"",Assumptions!EY203,0)</f>
        <v>0</v>
      </c>
      <c r="EZ350" s="56">
        <f>IF(Assumptions!EZ203&lt;&gt;"",Assumptions!EZ203,0)</f>
        <v>0</v>
      </c>
      <c r="FA350" s="1297"/>
      <c r="FD350"/>
      <c r="FE350"/>
      <c r="FF350"/>
      <c r="FG350"/>
      <c r="FH350"/>
      <c r="FI350"/>
    </row>
    <row r="351" spans="1:169" s="33" customFormat="1">
      <c r="B351" s="54" t="s">
        <v>653</v>
      </c>
      <c r="C351" s="54"/>
      <c r="D351" s="2" t="s">
        <v>504</v>
      </c>
      <c r="E351" s="1309" t="str">
        <f>IF(F5="A","",(1-E350)*E349)</f>
        <v/>
      </c>
      <c r="F351" s="1310" t="str">
        <f>IF(I5="A","",(1-F350)*F349)</f>
        <v/>
      </c>
      <c r="G351" s="1305"/>
      <c r="H351" s="1309" t="str">
        <f>IF(I5="A","",(1-H350)*H349)</f>
        <v/>
      </c>
      <c r="I351" s="1310" t="str">
        <f>IF(L5="A","",(1-I350)*I349)</f>
        <v/>
      </c>
      <c r="J351" s="1305"/>
      <c r="K351" s="1309" t="str">
        <f>IF(L5="A","",(1-K350)*K349)</f>
        <v/>
      </c>
      <c r="L351" s="1310" t="str">
        <f>IF(O5="A","",(1-L350)*L349)</f>
        <v/>
      </c>
      <c r="M351" s="1305"/>
      <c r="N351" s="1309" t="str">
        <f>IF(O5="A","",(1-N350)*N349)</f>
        <v/>
      </c>
      <c r="O351" s="1310" t="str">
        <f>IF(R5="A","",(1-O350)*O349)</f>
        <v/>
      </c>
      <c r="P351" s="1305"/>
      <c r="Q351" s="1309" t="str">
        <f>IF(R5="A","",(1-Q350)*Q349)</f>
        <v/>
      </c>
      <c r="R351" s="1310" t="str">
        <f>IF(U5="A","",(1-R350)*R349)</f>
        <v/>
      </c>
      <c r="S351" s="1305"/>
      <c r="T351" s="1309" t="str">
        <f>IF(U5="A","",(1-T350)*T349)</f>
        <v/>
      </c>
      <c r="U351" s="1310" t="str">
        <f>IF(X5="A","",(1-U350)*U349)</f>
        <v/>
      </c>
      <c r="V351" s="1305"/>
      <c r="W351" s="1309" t="str">
        <f>IF(X5="A","",(1-W350)*W349)</f>
        <v/>
      </c>
      <c r="X351" s="1310" t="str">
        <f>IF(AA5="A","",(1-X350)*X349)</f>
        <v/>
      </c>
      <c r="Y351" s="1305"/>
      <c r="Z351" s="1309" t="str">
        <f>IF(AA5="A","",(1-Z350)*Z349)</f>
        <v/>
      </c>
      <c r="AA351" s="1310" t="str">
        <f>IF(AD5="A","",(1-AA350)*AA349)</f>
        <v/>
      </c>
      <c r="AB351" s="1305"/>
      <c r="AC351" s="1309" t="str">
        <f>IF(AD5="A","",(1-AC350)*AC349)</f>
        <v/>
      </c>
      <c r="AD351" s="1310" t="str">
        <f>IF(AG5="A","",(1-AD350)*AD349)</f>
        <v/>
      </c>
      <c r="AE351" s="1305"/>
      <c r="AF351" s="1309" t="str">
        <f>IF(AG5="A","",(1-AF350)*AF349)</f>
        <v/>
      </c>
      <c r="AG351" s="1310" t="str">
        <f>IF(AJ5="A","",(1-AG350)*AG349)</f>
        <v/>
      </c>
      <c r="AH351" s="1305"/>
      <c r="AI351" s="1309" t="str">
        <f>IF(AJ5="A","",(1-AI350)*AI349)</f>
        <v/>
      </c>
      <c r="AJ351" s="1310" t="str">
        <f>IF(AM5="A","",(1-AJ350)*AJ349)</f>
        <v/>
      </c>
      <c r="AK351" s="1305"/>
      <c r="AL351" s="1309" t="str">
        <f>IF(AM5="A","",(1-AL350)*AL349)</f>
        <v/>
      </c>
      <c r="AM351" s="1310" t="str">
        <f>IF(AO5="A","",(1-AM350)*AM349)</f>
        <v/>
      </c>
      <c r="AN351" s="1305"/>
      <c r="AO351" s="1309" t="str">
        <f>IF(AP5="A","",(1-AO350)*AO349)</f>
        <v/>
      </c>
      <c r="AP351" s="1310" t="str">
        <f>IF(AR5="A","",(1-AP350)*AP349)</f>
        <v/>
      </c>
      <c r="AQ351" s="1305"/>
      <c r="AR351" s="1309" t="str">
        <f>IF(AS5="A","",(1-AR350)*AR349)</f>
        <v/>
      </c>
      <c r="AS351" s="1310" t="str">
        <f>IF(AU5="A","",(1-AS350)*AS349)</f>
        <v/>
      </c>
      <c r="AT351" s="1305"/>
      <c r="AU351" s="1309" t="str">
        <f>IF(AV5="A","",(1-AU350)*AU349)</f>
        <v/>
      </c>
      <c r="AV351" s="1310" t="str">
        <f>IF(AX5="A","",(1-AV350)*AV349)</f>
        <v/>
      </c>
      <c r="AW351" s="1305"/>
      <c r="AX351" s="1309" t="str">
        <f>IF(AY5="A","",(1-AX350)*AX349)</f>
        <v/>
      </c>
      <c r="AY351" s="1310"/>
      <c r="AZ351" s="1305"/>
      <c r="BA351" s="1309"/>
      <c r="BB351" s="1310"/>
      <c r="BC351" s="1305"/>
      <c r="BD351" s="1309">
        <f>IF(BE5="A","",(1-BD350)*BD349)</f>
        <v>171.39</v>
      </c>
      <c r="BE351" s="1310" t="str">
        <f>IF(BG5="A","",(1-BE350)*BE349)</f>
        <v/>
      </c>
      <c r="BF351" s="1305"/>
      <c r="BG351" s="1309" t="str">
        <f>IF(BH5="A","",(1-BG350)*BG349)</f>
        <v/>
      </c>
      <c r="BH351" s="1310" t="str">
        <f>IF(BJ5="A","",(1-BH350)*BH349)</f>
        <v/>
      </c>
      <c r="BI351" s="1305"/>
      <c r="BJ351" s="1309" t="str">
        <f>IF(BK5="A","",(1-BJ350)*BJ349)</f>
        <v/>
      </c>
      <c r="BK351" s="1310" t="str">
        <f>IF(BM5="A","",(1-BK350)*BK349)</f>
        <v/>
      </c>
      <c r="BL351" s="1305"/>
      <c r="BM351" s="1309" t="str">
        <f>IF(BN5="A","",(1-BM350)*BM349)</f>
        <v/>
      </c>
      <c r="BN351" s="1310" t="str">
        <f>IF(BO5="A","",(1-BN350)*BN349)</f>
        <v/>
      </c>
      <c r="BO351" s="1305"/>
      <c r="BP351" s="1309" t="str">
        <f>IF(BQ5="A","",(1-BP350)*BP349)</f>
        <v/>
      </c>
      <c r="BQ351" s="1310" t="str">
        <f>IF(BR5="A","",(1-BQ350)*BQ349)</f>
        <v/>
      </c>
      <c r="BR351" s="1305"/>
      <c r="BS351" s="1309" t="str">
        <f>IF(BT5="A","",(1-BS350)*BS349)</f>
        <v/>
      </c>
      <c r="BT351" s="1310" t="str">
        <f>IF(BU5="A","",(1-BT350)*BT349)</f>
        <v/>
      </c>
      <c r="BU351" s="1305"/>
      <c r="BV351" s="1309" t="str">
        <f>IF(BW5="A","",(1-BV350)*BV349)</f>
        <v/>
      </c>
      <c r="BW351" s="1310" t="str">
        <f>IF(BX5="A","",(1-BW350)*BW349)</f>
        <v/>
      </c>
      <c r="BX351" s="1305"/>
      <c r="BY351" s="1309" t="str">
        <f>IF(BZ5="A","",(1-BY350)*BY349)</f>
        <v/>
      </c>
      <c r="BZ351" s="1310" t="str">
        <f>IF(CA5="A","",(1-BZ350)*BZ349)</f>
        <v/>
      </c>
      <c r="CA351" s="1305"/>
      <c r="CB351" s="1309" t="str">
        <f>IF(CC5="A","",(1-CB350)*CB349)</f>
        <v/>
      </c>
      <c r="CC351" s="1310" t="str">
        <f>IF(CD5="A","",(1-CC350)*CC349)</f>
        <v/>
      </c>
      <c r="CD351" s="1305"/>
      <c r="CE351" s="1309" t="str">
        <f>IF(CF5="A","",(1-CE350)*CE349)</f>
        <v/>
      </c>
      <c r="CF351" s="1310" t="str">
        <f>IF(CG5="A","",(1-CF350)*CF349)</f>
        <v/>
      </c>
      <c r="CG351" s="1305"/>
      <c r="CH351" s="1309" t="str">
        <f>IF(CI5="A","",(1-CH350)*CH349)</f>
        <v/>
      </c>
      <c r="CI351" s="1310" t="str">
        <f>IF(CJ5="A","",(1-CI350)*CI349)</f>
        <v/>
      </c>
      <c r="CJ351" s="1305"/>
      <c r="CK351" s="1309" t="str">
        <f>IF(CL5="A","",(1-CK350)*CK349)</f>
        <v/>
      </c>
      <c r="CL351" s="1310" t="str">
        <f>IF(CM5="A","",(1-CL350)*CL349)</f>
        <v/>
      </c>
      <c r="CM351" s="1305"/>
      <c r="CN351" s="1309" t="str">
        <f>IF(CO5="A","",(1-CN350)*CN349)</f>
        <v/>
      </c>
      <c r="CO351" s="1310" t="str">
        <f>IF(CP5="A","",(1-CO350)*CO349)</f>
        <v/>
      </c>
      <c r="CP351" s="1305"/>
      <c r="CQ351" s="1309" t="str">
        <f>IF(CR5="A","",(1-CQ350)*CQ349)</f>
        <v/>
      </c>
      <c r="CR351" s="1310" t="str">
        <f>IF(CS5="A","",(1-CR350)*CR349)</f>
        <v/>
      </c>
      <c r="CS351" s="1305"/>
      <c r="CT351" s="1309" t="str">
        <f>IF(CU5="A","",(1-CT350)*CT349)</f>
        <v/>
      </c>
      <c r="CU351" s="1310" t="str">
        <f>IF(CV5="A","",(1-CU350)*CU349)</f>
        <v/>
      </c>
      <c r="CV351" s="1305"/>
      <c r="CW351" s="1309" t="str">
        <f>IF(CX5="A","",(1-CW350)*CW349)</f>
        <v/>
      </c>
      <c r="CX351" s="1310" t="str">
        <f>IF(CY5="A","",(1-CX350)*CX349)</f>
        <v/>
      </c>
      <c r="CY351" s="1305"/>
      <c r="CZ351" s="1309" t="str">
        <f>IF(DA5="A","",(1-CZ350)*CZ349)</f>
        <v/>
      </c>
      <c r="DA351" s="1310" t="str">
        <f>IF(DB5="A","",(1-DA350)*DA349)</f>
        <v/>
      </c>
      <c r="DB351" s="1305"/>
      <c r="DC351" s="1309" t="str">
        <f>IF(DD5="A","",(1-DC350)*DC349)</f>
        <v/>
      </c>
      <c r="DD351" s="1310" t="str">
        <f>IF(DE5="A","",(1-DD350)*DD349)</f>
        <v/>
      </c>
      <c r="DE351" s="1306"/>
      <c r="DF351" s="1083" t="str">
        <f>IF(DG5="A","",(1-DF350)*DF349)</f>
        <v/>
      </c>
      <c r="DG351" s="1310" t="str">
        <f>IF(DH5="A","",(1-DG350)*DG349)</f>
        <v/>
      </c>
      <c r="DH351" s="1306"/>
      <c r="DI351" s="1083" t="str">
        <f>IF(DJ5="A","",(1-DI350)*DI349)</f>
        <v/>
      </c>
      <c r="DJ351" s="1310" t="str">
        <f>IF(DK5="A","",(1-DJ350)*DJ349)</f>
        <v/>
      </c>
      <c r="DK351" s="1306"/>
      <c r="DL351" s="1083" t="str">
        <f>IF(DM5="A","",(1-DL350)*DL349)</f>
        <v/>
      </c>
      <c r="DM351" s="1310" t="str">
        <f>IF(DN5="A","",(1-DM350)*DM349)</f>
        <v/>
      </c>
      <c r="DN351" s="1306"/>
      <c r="DO351" s="1083" t="str">
        <f>IF(DP5="A","",(1-DO350)*DO349)</f>
        <v/>
      </c>
      <c r="DP351" s="1310" t="str">
        <f>IF(DQ5="A","",(1-DP350)*DP349)</f>
        <v/>
      </c>
      <c r="DQ351" s="1306"/>
      <c r="DR351" s="1083" t="str">
        <f>IF(DS5="A","",(1-DR350)*DR349)</f>
        <v/>
      </c>
      <c r="DS351" s="1310" t="str">
        <f>IF(DT5="A","",(1-DS350)*DS349)</f>
        <v/>
      </c>
      <c r="DT351" s="1306"/>
      <c r="DU351" s="1083" t="str">
        <f>IF(DV5="A","",(1-DU350)*DU349)</f>
        <v/>
      </c>
      <c r="DV351" s="1310">
        <f>IF(DW5="A","",(1-DV350)*DV349)</f>
        <v>171.39</v>
      </c>
      <c r="DW351" s="1306"/>
      <c r="DX351" s="1083">
        <f>IF(DY5="A","",(1-DX350)*DX349)</f>
        <v>171.39</v>
      </c>
      <c r="DY351" s="1310">
        <f>IF(DZ5="A","",(1-DY350)*DY349)</f>
        <v>171.39</v>
      </c>
      <c r="DZ351" s="1306"/>
      <c r="EA351" s="1083">
        <f>IF(EB5="A","",(1-EA350)*EA349)</f>
        <v>171.39</v>
      </c>
      <c r="EB351" s="1310">
        <f>IF(EC5="A","",(1-EB350)*EB349)</f>
        <v>171.39</v>
      </c>
      <c r="EC351" s="1306"/>
      <c r="ED351" s="1083">
        <f>IF(EE5="A","",(1-ED350)*ED349)</f>
        <v>171.39</v>
      </c>
      <c r="EE351" s="1310">
        <f>IF(EF5="A","",(1-EE350)*EE349)</f>
        <v>171.39</v>
      </c>
      <c r="EF351" s="1306"/>
      <c r="EG351" s="1083">
        <f>IF(EH5="A","",(1-EG350)*EG349)</f>
        <v>171.39</v>
      </c>
      <c r="EH351" s="1310">
        <f>IF(EI5="A","",(1-EH350)*EH349)</f>
        <v>171.39</v>
      </c>
      <c r="EI351" s="1306"/>
      <c r="EJ351" s="1083">
        <f>IF(EK5="A","",(1-EJ350)*EJ349)</f>
        <v>171.39</v>
      </c>
      <c r="EK351" s="1310">
        <f>IF(EL5="A","",(1-EK350)*EK349)</f>
        <v>171.39</v>
      </c>
      <c r="EL351" s="1306"/>
      <c r="EM351" s="1083">
        <f>IF(EN5="A","",(1-EM350)*EM349)</f>
        <v>171.39</v>
      </c>
      <c r="EN351" s="1310">
        <f>IF(EO5="A","",(1-EN350)*EN349)</f>
        <v>171.39</v>
      </c>
      <c r="EO351" s="1306"/>
      <c r="EP351" s="1083">
        <f>IF(EQ5="A","",(1-EP350)*EP349)</f>
        <v>171.39</v>
      </c>
      <c r="EQ351" s="1310">
        <f>IF(ER5="A","",(1-EQ350)*EQ349)</f>
        <v>171.39</v>
      </c>
      <c r="ER351" s="1306"/>
      <c r="ES351" s="1083">
        <f>IF(ET5="A","",(1-ES350)*ES349)</f>
        <v>171.39</v>
      </c>
      <c r="ET351" s="1310">
        <f>IF(EU5="A","",(1-ET350)*ET349)</f>
        <v>171.39</v>
      </c>
      <c r="EU351" s="1306"/>
      <c r="EV351" s="1083">
        <f>IF(EW5="A","",(1-EV350)*EV349)</f>
        <v>171.39</v>
      </c>
      <c r="EW351" s="1310">
        <f>IF(EX5="A","",(1-EW350)*EW349)</f>
        <v>171.39</v>
      </c>
      <c r="EX351" s="1306"/>
      <c r="EY351" s="1083">
        <f>IF(EZ5="A","",(1-EY350)*EY349)</f>
        <v>171.39</v>
      </c>
      <c r="EZ351" s="1310">
        <f>IF(FA5="A","",(1-EZ350)*EZ349)</f>
        <v>171.39</v>
      </c>
      <c r="FA351" s="1306"/>
      <c r="FD351"/>
      <c r="FE351"/>
      <c r="FF351"/>
      <c r="FG351"/>
      <c r="FH351"/>
      <c r="FI351"/>
    </row>
    <row r="352" spans="1:169" s="1078" customFormat="1" ht="13.5" thickBot="1">
      <c r="B352" s="54" t="s">
        <v>654</v>
      </c>
      <c r="D352" s="2" t="s">
        <v>505</v>
      </c>
      <c r="E352" s="1311" t="str">
        <f>IF(F5="A","",E348/E351)</f>
        <v/>
      </c>
      <c r="F352" s="1312" t="str">
        <f>IF(I5="A","",F348/F351)</f>
        <v/>
      </c>
      <c r="G352" s="1313"/>
      <c r="H352" s="1311" t="str">
        <f>IF(I5="A","",H348/H351)</f>
        <v/>
      </c>
      <c r="I352" s="1312" t="str">
        <f>IF(L5="A","",I348/I351)</f>
        <v/>
      </c>
      <c r="J352" s="1313"/>
      <c r="K352" s="1311" t="str">
        <f>IF(L5="A","",K348/K351)</f>
        <v/>
      </c>
      <c r="L352" s="1312" t="str">
        <f>IF(O5="A","",L348/L351)</f>
        <v/>
      </c>
      <c r="M352" s="1313"/>
      <c r="N352" s="1311" t="str">
        <f>IF(O5="A","",N348/N351)</f>
        <v/>
      </c>
      <c r="O352" s="1312" t="str">
        <f>IF(R5="A","",O348/O351)</f>
        <v/>
      </c>
      <c r="P352" s="1313"/>
      <c r="Q352" s="1311" t="str">
        <f>IF(R5="A","",Q348/Q351)</f>
        <v/>
      </c>
      <c r="R352" s="1312" t="str">
        <f>IF(U5="A","",R348/R351)</f>
        <v/>
      </c>
      <c r="S352" s="1313"/>
      <c r="T352" s="1311" t="str">
        <f>IF(U5="A","",T348/T351)</f>
        <v/>
      </c>
      <c r="U352" s="1312" t="str">
        <f>IF(X5="A","",U348/U351)</f>
        <v/>
      </c>
      <c r="V352" s="1313"/>
      <c r="W352" s="1311" t="str">
        <f>IF(X5="A","",W348/W351)</f>
        <v/>
      </c>
      <c r="X352" s="1312" t="str">
        <f>IF(AA5="A","",X348/X351)</f>
        <v/>
      </c>
      <c r="Y352" s="1313"/>
      <c r="Z352" s="1311" t="str">
        <f>IF(AA5="A","",Z348/Z351)</f>
        <v/>
      </c>
      <c r="AA352" s="1312" t="str">
        <f>IF(AD5="A","",AA348/AA351)</f>
        <v/>
      </c>
      <c r="AB352" s="1313"/>
      <c r="AC352" s="1311" t="str">
        <f>IF(AD5="A","",AC348/AC351)</f>
        <v/>
      </c>
      <c r="AD352" s="1312" t="str">
        <f>IF(AG5="A","",AD348/AD351)</f>
        <v/>
      </c>
      <c r="AE352" s="1313"/>
      <c r="AF352" s="1311" t="str">
        <f>IF(AG5="A","",AF348/AF351)</f>
        <v/>
      </c>
      <c r="AG352" s="1312" t="str">
        <f>IF(AJ5="A","",AG348/AG351)</f>
        <v/>
      </c>
      <c r="AH352" s="1313"/>
      <c r="AI352" s="1311" t="str">
        <f>IF(AJ5="A","",AI348/AI351)</f>
        <v/>
      </c>
      <c r="AJ352" s="1312" t="str">
        <f>IF(AM5="A","",AJ348/AJ351)</f>
        <v/>
      </c>
      <c r="AK352" s="1313"/>
      <c r="AL352" s="1311" t="str">
        <f>IF(AM5="A","",AL348/AL351)</f>
        <v/>
      </c>
      <c r="AM352" s="1312" t="str">
        <f>IF(AO5="A","",AM348/AM351)</f>
        <v/>
      </c>
      <c r="AN352" s="1313"/>
      <c r="AO352" s="1311" t="str">
        <f>IF(AP5="A","",AO348/AO351)</f>
        <v/>
      </c>
      <c r="AP352" s="1312" t="str">
        <f>IF(AR5="A","",AP348/AP351)</f>
        <v/>
      </c>
      <c r="AQ352" s="1313"/>
      <c r="AR352" s="1311" t="str">
        <f>IF(AS5="A","",AR348/AR351)</f>
        <v/>
      </c>
      <c r="AS352" s="1312" t="str">
        <f>IF(AU5="A","",AS348/AS351)</f>
        <v/>
      </c>
      <c r="AT352" s="1313"/>
      <c r="AU352" s="1311" t="str">
        <f>IF(AV5="A","",AU348/AU351)</f>
        <v/>
      </c>
      <c r="AV352" s="1312" t="str">
        <f>IF(AX5="A","",AV348/AV351)</f>
        <v/>
      </c>
      <c r="AW352" s="1313"/>
      <c r="AX352" s="1311" t="str">
        <f>IF(AY5="A","",AX348/AX351)</f>
        <v/>
      </c>
      <c r="AY352" s="1312"/>
      <c r="AZ352" s="1313"/>
      <c r="BA352" s="1311"/>
      <c r="BB352" s="1312"/>
      <c r="BC352" s="1313"/>
      <c r="BD352" s="1311">
        <f>IF(BE5="A","",BD348/BD351)</f>
        <v>0</v>
      </c>
      <c r="BE352" s="1312" t="str">
        <f>IF(BG5="A","",BE348/BE351)</f>
        <v/>
      </c>
      <c r="BF352" s="1313"/>
      <c r="BG352" s="1311" t="str">
        <f>IF(BH5="A","",BG348/BG351)</f>
        <v/>
      </c>
      <c r="BH352" s="1312" t="str">
        <f>IF(BJ5="A","",BH348/BH351)</f>
        <v/>
      </c>
      <c r="BI352" s="1313"/>
      <c r="BJ352" s="1311" t="str">
        <f>IF(BK5="A","",BJ348/BJ351)</f>
        <v/>
      </c>
      <c r="BK352" s="1312" t="str">
        <f>IF(BM5="A","",BK348/BK351)</f>
        <v/>
      </c>
      <c r="BL352" s="1313"/>
      <c r="BM352" s="1311" t="str">
        <f>IF(BN5="A","",BM348/BM351)</f>
        <v/>
      </c>
      <c r="BN352" s="1312" t="str">
        <f>IF(BO5="A","",BN348/BN351)</f>
        <v/>
      </c>
      <c r="BO352" s="1313"/>
      <c r="BP352" s="1311" t="str">
        <f>IF(BQ5="A","",BP348/BP351)</f>
        <v/>
      </c>
      <c r="BQ352" s="1312" t="str">
        <f>IF(BR5="A","",BQ348/BQ351)</f>
        <v/>
      </c>
      <c r="BR352" s="1313"/>
      <c r="BS352" s="1311" t="str">
        <f>IF(BT5="A","",BS348/BS351)</f>
        <v/>
      </c>
      <c r="BT352" s="1312" t="str">
        <f>IF(BU5="A","",BT348/BT351)</f>
        <v/>
      </c>
      <c r="BU352" s="1313"/>
      <c r="BV352" s="1311" t="str">
        <f>IF(BW5="A","",BV348/BV351)</f>
        <v/>
      </c>
      <c r="BW352" s="1312" t="str">
        <f>IF(BX5="A","",BW348/BW351)</f>
        <v/>
      </c>
      <c r="BX352" s="1313"/>
      <c r="BY352" s="1311" t="str">
        <f>IF(BZ5="A","",BY348/BY351)</f>
        <v/>
      </c>
      <c r="BZ352" s="1312" t="str">
        <f>IF(CA5="A","",BZ348/BZ351)</f>
        <v/>
      </c>
      <c r="CA352" s="1313"/>
      <c r="CB352" s="1311" t="str">
        <f>IF(CC5="A","",CB348/CB351)</f>
        <v/>
      </c>
      <c r="CC352" s="1312" t="str">
        <f>IF(CD5="A","",CC348/CC351)</f>
        <v/>
      </c>
      <c r="CD352" s="1313"/>
      <c r="CE352" s="1311" t="str">
        <f>IF(CF5="A","",CE348/CE351)</f>
        <v/>
      </c>
      <c r="CF352" s="1312" t="str">
        <f>IF(CG5="A","",CF348/CF351)</f>
        <v/>
      </c>
      <c r="CG352" s="1313"/>
      <c r="CH352" s="1311" t="str">
        <f>IF(CI5="A","",CH348/CH351)</f>
        <v/>
      </c>
      <c r="CI352" s="1312" t="str">
        <f>IF(CJ5="A","",CI348/CI351)</f>
        <v/>
      </c>
      <c r="CJ352" s="1313"/>
      <c r="CK352" s="1311" t="str">
        <f>IF(CL5="A","",CK348/CK351)</f>
        <v/>
      </c>
      <c r="CL352" s="1312" t="str">
        <f>IF(CM5="A","",CL348/CL351)</f>
        <v/>
      </c>
      <c r="CM352" s="1313"/>
      <c r="CN352" s="1311" t="str">
        <f>IF(CO5="A","",CN348/CN351)</f>
        <v/>
      </c>
      <c r="CO352" s="1312" t="str">
        <f>IF(CP5="A","",CO348/CO351)</f>
        <v/>
      </c>
      <c r="CP352" s="1313"/>
      <c r="CQ352" s="1311" t="str">
        <f>IF(CR5="A","",CQ348/CQ351)</f>
        <v/>
      </c>
      <c r="CR352" s="1312" t="str">
        <f>IF(CS5="A","",CR348/CR351)</f>
        <v/>
      </c>
      <c r="CS352" s="1313"/>
      <c r="CT352" s="1311" t="str">
        <f>IF(CU5="A","",CT348/CT351)</f>
        <v/>
      </c>
      <c r="CU352" s="1312" t="str">
        <f>IF(CV5="A","",CU348/CU351)</f>
        <v/>
      </c>
      <c r="CV352" s="1313"/>
      <c r="CW352" s="1311" t="str">
        <f>IF(CX5="A","",CW348/CW351)</f>
        <v/>
      </c>
      <c r="CX352" s="1312" t="str">
        <f>IF(CY5="A","",CX348/CX351)</f>
        <v/>
      </c>
      <c r="CY352" s="1313"/>
      <c r="CZ352" s="1311" t="str">
        <f>IF(DA5="A","",CZ348/CZ351)</f>
        <v/>
      </c>
      <c r="DA352" s="1312" t="str">
        <f>IF(DB5="A","",DA348/DA351)</f>
        <v/>
      </c>
      <c r="DB352" s="1313"/>
      <c r="DC352" s="1311" t="str">
        <f>IF(DD5="A","",DC348/DC351)</f>
        <v/>
      </c>
      <c r="DD352" s="1312" t="str">
        <f>IF(DE5="A","",DD348/DD351)</f>
        <v/>
      </c>
      <c r="DE352" s="1314"/>
      <c r="DF352" s="1315" t="str">
        <f>IF(DG5="A","",DF348/DF351)</f>
        <v/>
      </c>
      <c r="DG352" s="1312" t="str">
        <f>IF(DH5="A","",DG348/DG351)</f>
        <v/>
      </c>
      <c r="DH352" s="1314"/>
      <c r="DI352" s="1315" t="str">
        <f>IF(DJ5="A","",DI348/DI351)</f>
        <v/>
      </c>
      <c r="DJ352" s="1312" t="str">
        <f>IF(DK5="A","",DJ348/DJ351)</f>
        <v/>
      </c>
      <c r="DK352" s="1314"/>
      <c r="DL352" s="1315" t="str">
        <f>IF(DM5="A","",DL348/DL351)</f>
        <v/>
      </c>
      <c r="DM352" s="1312" t="str">
        <f>IF(DN5="A","",DM348/DM351)</f>
        <v/>
      </c>
      <c r="DN352" s="1314"/>
      <c r="DO352" s="1315" t="str">
        <f>IF(DP5="A","",DO348/DO351)</f>
        <v/>
      </c>
      <c r="DP352" s="1312" t="str">
        <f>IF(DQ5="A","",DP348/DP351)</f>
        <v/>
      </c>
      <c r="DQ352" s="1314"/>
      <c r="DR352" s="1315" t="str">
        <f>IF(DS5="A","",DR348/DR351)</f>
        <v/>
      </c>
      <c r="DS352" s="1312" t="str">
        <f>IF(DT5="A","",DS348/DS351)</f>
        <v/>
      </c>
      <c r="DT352" s="1314"/>
      <c r="DU352" s="1315" t="str">
        <f>IF(DV5="A","",DU348/DU351)</f>
        <v/>
      </c>
      <c r="DV352" s="1312">
        <f>IF(DW5="A","",DV348/DV351)</f>
        <v>0</v>
      </c>
      <c r="DW352" s="1314"/>
      <c r="DX352" s="1315">
        <f>IF(DY5="A","",DX348/DX351)</f>
        <v>0</v>
      </c>
      <c r="DY352" s="1312">
        <f>IF(DZ5="A","",DY348/DY351)</f>
        <v>0</v>
      </c>
      <c r="DZ352" s="1314"/>
      <c r="EA352" s="1315">
        <f>IF(EB5="A","",EA348/EA351)</f>
        <v>0</v>
      </c>
      <c r="EB352" s="1312">
        <f>IF(EC5="A","",EB348/EB351)</f>
        <v>0</v>
      </c>
      <c r="EC352" s="1314"/>
      <c r="ED352" s="1315">
        <f>IF(EE5="A","",ED348/ED351)</f>
        <v>0</v>
      </c>
      <c r="EE352" s="1312">
        <f>IF(EF5="A","",EE348/EE351)</f>
        <v>0</v>
      </c>
      <c r="EF352" s="1314"/>
      <c r="EG352" s="1315">
        <f>IF(EH5="A","",EG348/EG351)</f>
        <v>0</v>
      </c>
      <c r="EH352" s="1312">
        <f>IF(EI5="A","",EH348/EH351)</f>
        <v>0</v>
      </c>
      <c r="EI352" s="1314"/>
      <c r="EJ352" s="1315">
        <f>IF(EK5="A","",EJ348/EJ351)</f>
        <v>0</v>
      </c>
      <c r="EK352" s="1312">
        <f>IF(EL5="A","",EK348/EK351)</f>
        <v>0</v>
      </c>
      <c r="EL352" s="1314"/>
      <c r="EM352" s="1315">
        <f>IF(EN5="A","",EM348/EM351)</f>
        <v>0</v>
      </c>
      <c r="EN352" s="1312">
        <f>IF(EO5="A","",EN348/EN351)</f>
        <v>0</v>
      </c>
      <c r="EO352" s="1314"/>
      <c r="EP352" s="1315">
        <f>IF(EQ5="A","",EP348/EP351)</f>
        <v>0</v>
      </c>
      <c r="EQ352" s="1312">
        <f>IF(ER5="A","",EQ348/EQ351)</f>
        <v>0</v>
      </c>
      <c r="ER352" s="1314"/>
      <c r="ES352" s="1315">
        <f>IF(ET5="A","",ES348/ES351)</f>
        <v>0</v>
      </c>
      <c r="ET352" s="1312">
        <f>IF(EU5="A","",ET348/ET351)</f>
        <v>0</v>
      </c>
      <c r="EU352" s="1314"/>
      <c r="EV352" s="1315">
        <f>IF(EW5="A","",EV348/EV351)</f>
        <v>0</v>
      </c>
      <c r="EW352" s="1312">
        <f>IF(EX5="A","",EW348/EW351)</f>
        <v>0</v>
      </c>
      <c r="EX352" s="1314"/>
      <c r="EY352" s="1315">
        <f>IF(EZ5="A","",EY348/EY351)</f>
        <v>0</v>
      </c>
      <c r="EZ352" s="1312">
        <f>IF(FA5="A","",EZ348/EZ351)</f>
        <v>0</v>
      </c>
      <c r="FA352" s="1314"/>
      <c r="FB352" s="1068"/>
      <c r="FC352" s="1068"/>
      <c r="FD352"/>
      <c r="FE352"/>
      <c r="FF352"/>
      <c r="FG352"/>
      <c r="FH352"/>
      <c r="FI352"/>
    </row>
    <row r="353" spans="1:165" s="1078" customFormat="1" ht="13.5" thickBot="1">
      <c r="B353" s="54" t="s">
        <v>655</v>
      </c>
      <c r="D353" s="2" t="s">
        <v>504</v>
      </c>
      <c r="E353" s="1316"/>
      <c r="F353" s="1317"/>
      <c r="G353" s="1318"/>
      <c r="H353" s="1316"/>
      <c r="I353" s="1317"/>
      <c r="J353" s="1318"/>
      <c r="K353" s="1316"/>
      <c r="L353" s="1317"/>
      <c r="M353" s="1318"/>
      <c r="N353" s="1316"/>
      <c r="O353" s="1317"/>
      <c r="P353" s="1318"/>
      <c r="Q353" s="1316"/>
      <c r="R353" s="1317"/>
      <c r="S353" s="1318"/>
      <c r="T353" s="1316"/>
      <c r="U353" s="1317"/>
      <c r="V353" s="1318"/>
      <c r="W353" s="1316"/>
      <c r="X353" s="1317"/>
      <c r="Y353" s="1318"/>
      <c r="Z353" s="1316"/>
      <c r="AA353" s="1317"/>
      <c r="AB353" s="1318"/>
      <c r="AC353" s="1316"/>
      <c r="AD353" s="1317"/>
      <c r="AE353" s="1318"/>
      <c r="AF353" s="1316"/>
      <c r="AG353" s="1317"/>
      <c r="AH353" s="1318"/>
      <c r="AI353" s="1316"/>
      <c r="AJ353" s="1317"/>
      <c r="AK353" s="1318"/>
      <c r="AL353" s="1316"/>
      <c r="AM353" s="1317"/>
      <c r="AN353" s="1318"/>
      <c r="AO353" s="1316"/>
      <c r="AP353" s="1317"/>
      <c r="AQ353" s="1318"/>
      <c r="AR353" s="1316"/>
      <c r="AS353" s="1317"/>
      <c r="AT353" s="1318"/>
      <c r="AU353" s="1316"/>
      <c r="AV353" s="1317"/>
      <c r="AW353" s="1318"/>
      <c r="AX353" s="1316"/>
      <c r="AY353" s="1317"/>
      <c r="AZ353" s="1318"/>
      <c r="BA353" s="1316"/>
      <c r="BB353" s="1317"/>
      <c r="BC353" s="1318"/>
      <c r="BD353" s="1316">
        <f>IF(Assumptions!BD204&lt;&gt;"",Assumptions!BD204,0)</f>
        <v>0</v>
      </c>
      <c r="BE353" s="1317">
        <f>IF(Assumptions!BE204&lt;&gt;"",Assumptions!BE204,0)</f>
        <v>0</v>
      </c>
      <c r="BF353" s="1318"/>
      <c r="BG353" s="1316">
        <f>IF(Assumptions!BG204&lt;&gt;"",Assumptions!BG204,0)</f>
        <v>0</v>
      </c>
      <c r="BH353" s="1317">
        <f>IF(Assumptions!BH204&lt;&gt;"",Assumptions!BH204,0)</f>
        <v>0</v>
      </c>
      <c r="BI353" s="1318"/>
      <c r="BJ353" s="1316">
        <f>IF(Assumptions!BJ204&lt;&gt;"",Assumptions!BJ204,0)</f>
        <v>0</v>
      </c>
      <c r="BK353" s="1317">
        <f>IF(Assumptions!BK204&lt;&gt;"",Assumptions!BK204,0)</f>
        <v>0</v>
      </c>
      <c r="BL353" s="1318"/>
      <c r="BM353" s="1316">
        <f>IF(Assumptions!BM204&lt;&gt;"",Assumptions!BM204,0)</f>
        <v>0</v>
      </c>
      <c r="BN353" s="1317">
        <f>IF(Assumptions!BN204&lt;&gt;"",Assumptions!BN204,0)</f>
        <v>0</v>
      </c>
      <c r="BO353" s="1318"/>
      <c r="BP353" s="1316">
        <f>IF(Assumptions!BP204&lt;&gt;"",Assumptions!BP204,0)</f>
        <v>0</v>
      </c>
      <c r="BQ353" s="1317">
        <f>IF(Assumptions!BQ204&lt;&gt;"",Assumptions!BQ204,0)</f>
        <v>0</v>
      </c>
      <c r="BR353" s="1318"/>
      <c r="BS353" s="1316">
        <f>IF(Assumptions!BS204&lt;&gt;"",Assumptions!BS204,0)</f>
        <v>0</v>
      </c>
      <c r="BT353" s="1317">
        <f>IF(Assumptions!BT204&lt;&gt;"",Assumptions!BT204,0)</f>
        <v>0</v>
      </c>
      <c r="BU353" s="1318"/>
      <c r="BV353" s="1316">
        <f>IF(Assumptions!BV204&lt;&gt;"",Assumptions!BV204,0)</f>
        <v>0</v>
      </c>
      <c r="BW353" s="1317">
        <f>IF(Assumptions!BW204&lt;&gt;"",Assumptions!BW204,0)</f>
        <v>0</v>
      </c>
      <c r="BX353" s="1318"/>
      <c r="BY353" s="1316">
        <f>IF(Assumptions!BY204&lt;&gt;"",Assumptions!BY204,0)</f>
        <v>0</v>
      </c>
      <c r="BZ353" s="1317">
        <f>IF(Assumptions!BZ204&lt;&gt;"",Assumptions!BZ204,0)</f>
        <v>0</v>
      </c>
      <c r="CA353" s="1318"/>
      <c r="CB353" s="1316">
        <f>IF(Assumptions!CB204&lt;&gt;"",Assumptions!CB204,0)</f>
        <v>0</v>
      </c>
      <c r="CC353" s="1317">
        <f>IF(Assumptions!CC204&lt;&gt;"",Assumptions!CC204,0)</f>
        <v>0</v>
      </c>
      <c r="CD353" s="1318"/>
      <c r="CE353" s="1316">
        <f>IF(Assumptions!CE204&lt;&gt;"",Assumptions!CE204,0)</f>
        <v>0</v>
      </c>
      <c r="CF353" s="1317">
        <f>IF(Assumptions!CF204&lt;&gt;"",Assumptions!CF204,0)</f>
        <v>0</v>
      </c>
      <c r="CG353" s="1318"/>
      <c r="CH353" s="1316">
        <f>IF(Assumptions!CH204&lt;&gt;"",Assumptions!CH204,0)</f>
        <v>0</v>
      </c>
      <c r="CI353" s="1317">
        <f>IF(Assumptions!CI204&lt;&gt;"",Assumptions!CI204,0)</f>
        <v>0</v>
      </c>
      <c r="CJ353" s="1318"/>
      <c r="CK353" s="1316">
        <f>IF(Assumptions!CK204&lt;&gt;"",Assumptions!CK204,0)</f>
        <v>0</v>
      </c>
      <c r="CL353" s="1317">
        <f>IF(Assumptions!CL204&lt;&gt;"",Assumptions!CL204,0)</f>
        <v>0</v>
      </c>
      <c r="CM353" s="1318"/>
      <c r="CN353" s="1316">
        <f>IF(Assumptions!CN204&lt;&gt;"",Assumptions!CN204,0)</f>
        <v>0</v>
      </c>
      <c r="CO353" s="1317">
        <f>IF(Assumptions!CO204&lt;&gt;"",Assumptions!CO204,0)</f>
        <v>0</v>
      </c>
      <c r="CP353" s="1318"/>
      <c r="CQ353" s="1316">
        <f>IF(Assumptions!CQ204&lt;&gt;"",Assumptions!CQ204,0)</f>
        <v>0</v>
      </c>
      <c r="CR353" s="1317">
        <f>IF(Assumptions!CR204&lt;&gt;"",Assumptions!CR204,0)</f>
        <v>0</v>
      </c>
      <c r="CS353" s="1318"/>
      <c r="CT353" s="1316">
        <f>IF(Assumptions!CT204&lt;&gt;"",Assumptions!CT204,0)</f>
        <v>0</v>
      </c>
      <c r="CU353" s="1317">
        <f>IF(Assumptions!CU204&lt;&gt;"",Assumptions!CU204,0)</f>
        <v>0</v>
      </c>
      <c r="CV353" s="1318"/>
      <c r="CW353" s="1316">
        <f>IF(Assumptions!CW204&lt;&gt;"",Assumptions!CW204,0)</f>
        <v>0</v>
      </c>
      <c r="CX353" s="1317">
        <f>IF(Assumptions!CX204&lt;&gt;"",Assumptions!CX204,0)</f>
        <v>0</v>
      </c>
      <c r="CY353" s="1318"/>
      <c r="CZ353" s="1316">
        <f>IF(Assumptions!CZ204&lt;&gt;"",Assumptions!CZ204,0)</f>
        <v>0</v>
      </c>
      <c r="DA353" s="1317">
        <f>IF(Assumptions!DA204&lt;&gt;"",Assumptions!DA204,0)</f>
        <v>0</v>
      </c>
      <c r="DB353" s="1318"/>
      <c r="DC353" s="1316">
        <f>IF(Assumptions!DC204&lt;&gt;"",Assumptions!DC204,0)</f>
        <v>0</v>
      </c>
      <c r="DD353" s="1317">
        <f>IF(Assumptions!DD204&lt;&gt;"",Assumptions!DD204,0)</f>
        <v>0</v>
      </c>
      <c r="DE353" s="1319"/>
      <c r="DF353" s="1320">
        <f>IF(Assumptions!DF204&lt;&gt;"",Assumptions!DF204,0)</f>
        <v>0</v>
      </c>
      <c r="DG353" s="1317">
        <f>IF(Assumptions!DG204&lt;&gt;"",Assumptions!DG204,0)</f>
        <v>0</v>
      </c>
      <c r="DH353" s="1319"/>
      <c r="DI353" s="1320">
        <f>IF(Assumptions!DI204&lt;&gt;"",Assumptions!DI204,0)</f>
        <v>0</v>
      </c>
      <c r="DJ353" s="1317">
        <f>IF(Assumptions!DJ204&lt;&gt;"",Assumptions!DJ204,0)</f>
        <v>0</v>
      </c>
      <c r="DK353" s="1319"/>
      <c r="DL353" s="1320">
        <f>IF(Assumptions!DL204&lt;&gt;"",Assumptions!DL204,0)</f>
        <v>0</v>
      </c>
      <c r="DM353" s="1317">
        <f>IF(Assumptions!DM204&lt;&gt;"",Assumptions!DM204,0)</f>
        <v>0</v>
      </c>
      <c r="DN353" s="1319"/>
      <c r="DO353" s="1320">
        <f>IF(Assumptions!DO204&lt;&gt;"",Assumptions!DO204,0)</f>
        <v>0</v>
      </c>
      <c r="DP353" s="1317">
        <f>IF(Assumptions!DP204&lt;&gt;"",Assumptions!DP204,0)</f>
        <v>0</v>
      </c>
      <c r="DQ353" s="1319"/>
      <c r="DR353" s="1320">
        <f>IF(Assumptions!DR204&lt;&gt;"",Assumptions!DR204,0)</f>
        <v>0</v>
      </c>
      <c r="DS353" s="1317">
        <f>IF(Assumptions!DS204&lt;&gt;"",Assumptions!DS204,0)</f>
        <v>0</v>
      </c>
      <c r="DT353" s="1319"/>
      <c r="DU353" s="1320">
        <f>IF(Assumptions!DU204&lt;&gt;"",Assumptions!DU204,0)</f>
        <v>0</v>
      </c>
      <c r="DV353" s="1317">
        <f>IF(Assumptions!DV204&lt;&gt;"",Assumptions!DV204,0)</f>
        <v>0</v>
      </c>
      <c r="DW353" s="1319"/>
      <c r="DX353" s="1320">
        <f>IF(Assumptions!DX204&lt;&gt;"",Assumptions!DX204,0)</f>
        <v>0</v>
      </c>
      <c r="DY353" s="1317">
        <f>IF(Assumptions!DY204&lt;&gt;"",Assumptions!DY204,0)</f>
        <v>0</v>
      </c>
      <c r="DZ353" s="1319"/>
      <c r="EA353" s="1320">
        <f>IF(Assumptions!EA204&lt;&gt;"",Assumptions!EA204,0)</f>
        <v>0</v>
      </c>
      <c r="EB353" s="1317">
        <f>IF(Assumptions!EB204&lt;&gt;"",Assumptions!EB204,0)</f>
        <v>0</v>
      </c>
      <c r="EC353" s="1319"/>
      <c r="ED353" s="1320">
        <f>IF(Assumptions!ED204&lt;&gt;"",Assumptions!ED204,0)</f>
        <v>0</v>
      </c>
      <c r="EE353" s="1317">
        <f>IF(Assumptions!EE204&lt;&gt;"",Assumptions!EE204,0)</f>
        <v>0</v>
      </c>
      <c r="EF353" s="1319"/>
      <c r="EG353" s="1320">
        <f>IF(Assumptions!EG204&lt;&gt;"",Assumptions!EG204,0)</f>
        <v>0</v>
      </c>
      <c r="EH353" s="1317">
        <f>IF(Assumptions!EH204&lt;&gt;"",Assumptions!EH204,0)</f>
        <v>0</v>
      </c>
      <c r="EI353" s="1319"/>
      <c r="EJ353" s="1320">
        <f>IF(Assumptions!EJ204&lt;&gt;"",Assumptions!EJ204,0)</f>
        <v>0</v>
      </c>
      <c r="EK353" s="1317">
        <f>IF(Assumptions!EK204&lt;&gt;"",Assumptions!EK204,0)</f>
        <v>0</v>
      </c>
      <c r="EL353" s="1319"/>
      <c r="EM353" s="1320">
        <f>IF(Assumptions!EM204&lt;&gt;"",Assumptions!EM204,0)</f>
        <v>0</v>
      </c>
      <c r="EN353" s="1317">
        <f>IF(Assumptions!EN204&lt;&gt;"",Assumptions!EN204,0)</f>
        <v>0</v>
      </c>
      <c r="EO353" s="1319"/>
      <c r="EP353" s="1320">
        <f>IF(Assumptions!EP204&lt;&gt;"",Assumptions!EP204,0)</f>
        <v>0</v>
      </c>
      <c r="EQ353" s="1317">
        <f>IF(Assumptions!EQ204&lt;&gt;"",Assumptions!EQ204,0)</f>
        <v>0</v>
      </c>
      <c r="ER353" s="1319"/>
      <c r="ES353" s="1320">
        <f>IF(Assumptions!ES204&lt;&gt;"",Assumptions!ES204,0)</f>
        <v>0</v>
      </c>
      <c r="ET353" s="1317">
        <f>IF(Assumptions!ET204&lt;&gt;"",Assumptions!ET204,0)</f>
        <v>0</v>
      </c>
      <c r="EU353" s="1319"/>
      <c r="EV353" s="1320">
        <f>IF(Assumptions!EV204&lt;&gt;"",Assumptions!EV204,0)</f>
        <v>0</v>
      </c>
      <c r="EW353" s="1317">
        <f>IF(Assumptions!EW204&lt;&gt;"",Assumptions!EW204,0)</f>
        <v>0</v>
      </c>
      <c r="EX353" s="1319"/>
      <c r="EY353" s="1320">
        <f>IF(Assumptions!EY204&lt;&gt;"",Assumptions!EY204,0)</f>
        <v>0</v>
      </c>
      <c r="EZ353" s="1317">
        <f>IF(Assumptions!EZ204&lt;&gt;"",Assumptions!EZ204,0)</f>
        <v>0</v>
      </c>
      <c r="FA353" s="1319"/>
      <c r="FB353" s="1068"/>
      <c r="FC353" s="1068"/>
      <c r="FD353"/>
      <c r="FE353"/>
      <c r="FF353"/>
      <c r="FG353"/>
      <c r="FH353"/>
      <c r="FI353"/>
    </row>
    <row r="354" spans="1:165" s="1078" customFormat="1">
      <c r="B354" s="54" t="s">
        <v>656</v>
      </c>
      <c r="D354" s="2" t="s">
        <v>506</v>
      </c>
      <c r="E354" s="1321">
        <f>+C352*C353</f>
        <v>0</v>
      </c>
      <c r="F354" s="1321">
        <f>+E352*E353</f>
        <v>0</v>
      </c>
      <c r="G354" s="1321"/>
      <c r="H354" s="1321">
        <f>+F352*F353</f>
        <v>0</v>
      </c>
      <c r="I354" s="1321">
        <f>+H352*H353</f>
        <v>0</v>
      </c>
      <c r="J354" s="1321">
        <f>+H354+I354</f>
        <v>0</v>
      </c>
      <c r="K354" s="1321">
        <f>+I352*I353</f>
        <v>0</v>
      </c>
      <c r="L354" s="1321">
        <f>+K352*K353</f>
        <v>0</v>
      </c>
      <c r="M354" s="1321">
        <f>+K354+L354</f>
        <v>0</v>
      </c>
      <c r="N354" s="1321">
        <f>+L352*L353</f>
        <v>0</v>
      </c>
      <c r="O354" s="1321">
        <f>+N352*N353</f>
        <v>0</v>
      </c>
      <c r="P354" s="1321">
        <f>+N354+O354</f>
        <v>0</v>
      </c>
      <c r="Q354" s="1321">
        <f>+O352*O353</f>
        <v>0</v>
      </c>
      <c r="R354" s="1321">
        <f>+Q352*Q353</f>
        <v>0</v>
      </c>
      <c r="S354" s="1321">
        <f>+Q354+R354</f>
        <v>0</v>
      </c>
      <c r="T354" s="1321">
        <f>+R352*R353</f>
        <v>0</v>
      </c>
      <c r="U354" s="1321">
        <f>+T352*T353</f>
        <v>0</v>
      </c>
      <c r="V354" s="1321">
        <f>+T354+U354</f>
        <v>0</v>
      </c>
      <c r="W354" s="1321">
        <f>+U352*U353</f>
        <v>0</v>
      </c>
      <c r="X354" s="1321">
        <f>+W352*W353</f>
        <v>0</v>
      </c>
      <c r="Y354" s="1321">
        <f>+W354+X354</f>
        <v>0</v>
      </c>
      <c r="Z354" s="1321">
        <f>+X352*X353</f>
        <v>0</v>
      </c>
      <c r="AA354" s="1321">
        <f>+Z352*Z353</f>
        <v>0</v>
      </c>
      <c r="AB354" s="1321">
        <f>+Z354+AA354</f>
        <v>0</v>
      </c>
      <c r="AC354" s="1321">
        <f>+AA352*AA353</f>
        <v>0</v>
      </c>
      <c r="AD354" s="1321">
        <f>+AC352*AC353</f>
        <v>0</v>
      </c>
      <c r="AE354" s="1321">
        <f>+AC354+AD354</f>
        <v>0</v>
      </c>
      <c r="AF354" s="1321">
        <f>+AD352*AD353</f>
        <v>0</v>
      </c>
      <c r="AG354" s="1321">
        <f>+AF352*AF353</f>
        <v>0</v>
      </c>
      <c r="AH354" s="1321">
        <f>+AF354+AG354</f>
        <v>0</v>
      </c>
      <c r="AI354" s="1321">
        <f>+AG352*AG353</f>
        <v>0</v>
      </c>
      <c r="AJ354" s="1321">
        <f>+AI352*AI353</f>
        <v>0</v>
      </c>
      <c r="AK354" s="1321">
        <f>+AI354+AJ354</f>
        <v>0</v>
      </c>
      <c r="AL354" s="1321">
        <f>+AJ352*AJ353</f>
        <v>0</v>
      </c>
      <c r="AM354" s="1321">
        <f>+AL352*AL353</f>
        <v>0</v>
      </c>
      <c r="AN354" s="1321">
        <f>+AL354+AM354</f>
        <v>0</v>
      </c>
      <c r="AO354" s="1321">
        <f>+AM352*AM353</f>
        <v>0</v>
      </c>
      <c r="AP354" s="1321">
        <f>+AO352*AO353</f>
        <v>0</v>
      </c>
      <c r="AQ354" s="1321">
        <f>+AO354+AP354</f>
        <v>0</v>
      </c>
      <c r="AR354" s="1321">
        <f>+AP352*AP353</f>
        <v>0</v>
      </c>
      <c r="AS354" s="1321">
        <f>+AR352*AR353</f>
        <v>0</v>
      </c>
      <c r="AT354" s="1321">
        <f>+AR354+AS354</f>
        <v>0</v>
      </c>
      <c r="AU354" s="1321">
        <f>+AS352*AS353</f>
        <v>0</v>
      </c>
      <c r="AV354" s="1321">
        <f>+AU352*AU353</f>
        <v>0</v>
      </c>
      <c r="AW354" s="1321">
        <f>+AU354+AV354</f>
        <v>0</v>
      </c>
      <c r="AX354" s="1321">
        <f>+AV352*AV353</f>
        <v>0</v>
      </c>
      <c r="AY354" s="1321">
        <f>+AX352*AX353</f>
        <v>0</v>
      </c>
      <c r="AZ354" s="1321">
        <f>+AX354+AY354</f>
        <v>0</v>
      </c>
      <c r="BA354" s="1321">
        <f>+AY352*AY353</f>
        <v>0</v>
      </c>
      <c r="BB354" s="1321">
        <f>+BA352*BA353</f>
        <v>0</v>
      </c>
      <c r="BC354" s="1321">
        <f>+BA354+BB354</f>
        <v>0</v>
      </c>
      <c r="BD354" s="1321">
        <f>+BB352*BB353</f>
        <v>0</v>
      </c>
      <c r="BE354" s="1321">
        <f>+BD352*BD353</f>
        <v>0</v>
      </c>
      <c r="BF354" s="1321">
        <f>+BD354+BE354</f>
        <v>0</v>
      </c>
      <c r="BG354" s="1321">
        <f>+BE352*BE353</f>
        <v>0</v>
      </c>
      <c r="BH354" s="1321">
        <f>+BG352*BG353</f>
        <v>0</v>
      </c>
      <c r="BI354" s="1321">
        <f>+BG354+BH354</f>
        <v>0</v>
      </c>
      <c r="BJ354" s="1321">
        <f>+BH352*BH353</f>
        <v>0</v>
      </c>
      <c r="BK354" s="1321">
        <f>+BJ352*BJ353</f>
        <v>0</v>
      </c>
      <c r="BL354" s="1321">
        <f>+BJ354+BK354</f>
        <v>0</v>
      </c>
      <c r="BM354" s="1321">
        <f>+BK352*BK353</f>
        <v>0</v>
      </c>
      <c r="BN354" s="1321">
        <f>+BM352*BM353</f>
        <v>0</v>
      </c>
      <c r="BO354" s="1321">
        <f>+BM354+BN354</f>
        <v>0</v>
      </c>
      <c r="BP354" s="1321">
        <f>+BN352*BN353</f>
        <v>0</v>
      </c>
      <c r="BQ354" s="1321">
        <f>+BP352*BP353</f>
        <v>0</v>
      </c>
      <c r="BR354" s="1321">
        <f>+BP354+BQ354</f>
        <v>0</v>
      </c>
      <c r="BS354" s="1321">
        <f>+BQ352*BQ353</f>
        <v>0</v>
      </c>
      <c r="BT354" s="1321">
        <f>+BS352*BS353</f>
        <v>0</v>
      </c>
      <c r="BU354" s="1321">
        <f>+BS354+BT354</f>
        <v>0</v>
      </c>
      <c r="BV354" s="1321">
        <f>+BT352*BT353</f>
        <v>0</v>
      </c>
      <c r="BW354" s="1321">
        <f>+BV352*BV353</f>
        <v>0</v>
      </c>
      <c r="BX354" s="1321">
        <f>+BV354+BW354</f>
        <v>0</v>
      </c>
      <c r="BY354" s="1321">
        <f>+BW352*BW353</f>
        <v>0</v>
      </c>
      <c r="BZ354" s="1321">
        <f>+BY352*BY353</f>
        <v>0</v>
      </c>
      <c r="CA354" s="1321">
        <f>+BY354+BZ354</f>
        <v>0</v>
      </c>
      <c r="CB354" s="1321">
        <f>+BZ352*BZ353</f>
        <v>0</v>
      </c>
      <c r="CC354" s="1321">
        <f>+CB352*CB353</f>
        <v>0</v>
      </c>
      <c r="CD354" s="1321">
        <f>+CB354+CC354</f>
        <v>0</v>
      </c>
      <c r="CE354" s="1321">
        <f>+CC352*CC353</f>
        <v>0</v>
      </c>
      <c r="CF354" s="1321">
        <f>+CE352*CE353</f>
        <v>0</v>
      </c>
      <c r="CG354" s="1321">
        <f>+CE354+CF354</f>
        <v>0</v>
      </c>
      <c r="CH354" s="1321">
        <f>+CF352*CF353</f>
        <v>0</v>
      </c>
      <c r="CI354" s="1321">
        <f>+CH352*CH353</f>
        <v>0</v>
      </c>
      <c r="CJ354" s="1321">
        <f>+CH354+CI354</f>
        <v>0</v>
      </c>
      <c r="CK354" s="1321">
        <f>+CI352*CI353</f>
        <v>0</v>
      </c>
      <c r="CL354" s="1321">
        <f>+CK352*CK353</f>
        <v>0</v>
      </c>
      <c r="CM354" s="1321">
        <f>+CK354+CL354</f>
        <v>0</v>
      </c>
      <c r="CN354" s="1321">
        <f>+CL352*CL353</f>
        <v>0</v>
      </c>
      <c r="CO354" s="1321">
        <f>+CN352*CN353</f>
        <v>0</v>
      </c>
      <c r="CP354" s="1321">
        <f>+CN354+CO354</f>
        <v>0</v>
      </c>
      <c r="CQ354" s="1321">
        <f>+CO352*CO353</f>
        <v>0</v>
      </c>
      <c r="CR354" s="1321">
        <f>+CQ352*CQ353</f>
        <v>0</v>
      </c>
      <c r="CS354" s="1321">
        <f>+CQ354+CR354</f>
        <v>0</v>
      </c>
      <c r="CT354" s="1321">
        <f>+CR352*CR353</f>
        <v>0</v>
      </c>
      <c r="CU354" s="1321">
        <f>+CT352*CT353</f>
        <v>0</v>
      </c>
      <c r="CV354" s="1321">
        <f>+CT354+CU354</f>
        <v>0</v>
      </c>
      <c r="CW354" s="1321">
        <f>+CU352*CU353</f>
        <v>0</v>
      </c>
      <c r="CX354" s="1321">
        <f>+CW352*CW353</f>
        <v>0</v>
      </c>
      <c r="CY354" s="1321">
        <f>+CW354+CX354</f>
        <v>0</v>
      </c>
      <c r="CZ354" s="1321">
        <f>+CX352*CX353</f>
        <v>0</v>
      </c>
      <c r="DA354" s="1321">
        <f>+CZ352*CZ353</f>
        <v>0</v>
      </c>
      <c r="DB354" s="1321">
        <f>+CZ354+DA354</f>
        <v>0</v>
      </c>
      <c r="DC354" s="1321">
        <f>+DA352*DA353</f>
        <v>0</v>
      </c>
      <c r="DD354" s="1321">
        <f>+DC352*DC353</f>
        <v>0</v>
      </c>
      <c r="DE354" s="1322">
        <f>+DC354+DD354</f>
        <v>0</v>
      </c>
      <c r="DF354" s="1321">
        <f>+DD352*DD353</f>
        <v>0</v>
      </c>
      <c r="DG354" s="1321">
        <f>+DF352*DF353</f>
        <v>0</v>
      </c>
      <c r="DH354" s="1322">
        <f>+DF354+DG354</f>
        <v>0</v>
      </c>
      <c r="DI354" s="1321">
        <f>+DG352*DG353</f>
        <v>0</v>
      </c>
      <c r="DJ354" s="1321">
        <f>+DI352*DI353</f>
        <v>0</v>
      </c>
      <c r="DK354" s="1322">
        <f>+DI354+DJ354</f>
        <v>0</v>
      </c>
      <c r="DL354" s="1321">
        <f>+DJ352*DJ353</f>
        <v>0</v>
      </c>
      <c r="DM354" s="1321">
        <f>+DL352*DL353</f>
        <v>0</v>
      </c>
      <c r="DN354" s="1322">
        <f>+DL354+DM354</f>
        <v>0</v>
      </c>
      <c r="DO354" s="1321">
        <f>+DM352*DM353</f>
        <v>0</v>
      </c>
      <c r="DP354" s="1321">
        <f>+DO352*DO353</f>
        <v>0</v>
      </c>
      <c r="DQ354" s="1322">
        <f>+DO354+DP354</f>
        <v>0</v>
      </c>
      <c r="DR354" s="1321">
        <f>+DP352*DP353</f>
        <v>0</v>
      </c>
      <c r="DS354" s="1321">
        <f>+DR352*DR353</f>
        <v>0</v>
      </c>
      <c r="DT354" s="1322">
        <f>+DR354+DS354</f>
        <v>0</v>
      </c>
      <c r="DU354" s="1321">
        <f>+DS352*DS353</f>
        <v>0</v>
      </c>
      <c r="DV354" s="1321">
        <f>+DU352*DU353</f>
        <v>0</v>
      </c>
      <c r="DW354" s="1322">
        <f>+DU354+DV354</f>
        <v>0</v>
      </c>
      <c r="DX354" s="1321">
        <f>+DV352*DV353</f>
        <v>0</v>
      </c>
      <c r="DY354" s="1321">
        <f>+DX352*DX353</f>
        <v>0</v>
      </c>
      <c r="DZ354" s="1322">
        <f>+DX354+DY354</f>
        <v>0</v>
      </c>
      <c r="EA354" s="1321">
        <f>+DY352*DY353</f>
        <v>0</v>
      </c>
      <c r="EB354" s="1321">
        <f>+EA352*EA353</f>
        <v>0</v>
      </c>
      <c r="EC354" s="1322">
        <f>+EA354+EB354</f>
        <v>0</v>
      </c>
      <c r="ED354" s="1321">
        <f>+EB352*EB353</f>
        <v>0</v>
      </c>
      <c r="EE354" s="1321">
        <f>+ED352*ED353</f>
        <v>0</v>
      </c>
      <c r="EF354" s="1322">
        <f>+ED354+EE354</f>
        <v>0</v>
      </c>
      <c r="EG354" s="1321">
        <f>+EE352*EE353</f>
        <v>0</v>
      </c>
      <c r="EH354" s="1321">
        <f>+EG352*EG353</f>
        <v>0</v>
      </c>
      <c r="EI354" s="1322">
        <f>+EG354+EH354</f>
        <v>0</v>
      </c>
      <c r="EJ354" s="1321">
        <f>+EH352*EH353</f>
        <v>0</v>
      </c>
      <c r="EK354" s="1321">
        <f>+EJ352*EJ353</f>
        <v>0</v>
      </c>
      <c r="EL354" s="1322">
        <f>+EJ354+EK354</f>
        <v>0</v>
      </c>
      <c r="EM354" s="1321">
        <f>+EK352*EK353</f>
        <v>0</v>
      </c>
      <c r="EN354" s="1321">
        <f>+EM352*EM353</f>
        <v>0</v>
      </c>
      <c r="EO354" s="1322">
        <f>+EM354+EN354</f>
        <v>0</v>
      </c>
      <c r="EP354" s="1321">
        <f>+EN352*EN353</f>
        <v>0</v>
      </c>
      <c r="EQ354" s="1321">
        <f>+EP352*EP353</f>
        <v>0</v>
      </c>
      <c r="ER354" s="1322">
        <f>+EP354+EQ354</f>
        <v>0</v>
      </c>
      <c r="ES354" s="1321">
        <f>+EQ352*EQ353</f>
        <v>0</v>
      </c>
      <c r="ET354" s="1321">
        <f>+ES352*ES353</f>
        <v>0</v>
      </c>
      <c r="EU354" s="1322">
        <f>+ES354+ET354</f>
        <v>0</v>
      </c>
      <c r="EV354" s="1321">
        <f>+ET352*ET353</f>
        <v>0</v>
      </c>
      <c r="EW354" s="1321">
        <f>+EV352*EV353</f>
        <v>0</v>
      </c>
      <c r="EX354" s="1322">
        <f>+EV354+EW354</f>
        <v>0</v>
      </c>
      <c r="EY354" s="1321">
        <f>+EW352*EW353</f>
        <v>0</v>
      </c>
      <c r="EZ354" s="1321">
        <f>+EY352*EY353</f>
        <v>0</v>
      </c>
      <c r="FA354" s="1322">
        <f>+EY354+EZ354</f>
        <v>0</v>
      </c>
      <c r="FB354" s="1068"/>
      <c r="FC354" s="1068"/>
      <c r="FD354"/>
      <c r="FE354"/>
      <c r="FF354"/>
      <c r="FG354"/>
      <c r="FH354"/>
      <c r="FI354"/>
    </row>
    <row r="355" spans="1:165" s="1078" customFormat="1">
      <c r="B355" s="54" t="s">
        <v>336</v>
      </c>
      <c r="D355" s="2" t="s">
        <v>506</v>
      </c>
      <c r="E355" s="1313">
        <f>+C348-E354</f>
        <v>0</v>
      </c>
      <c r="F355" s="1313">
        <f>+E348-F354</f>
        <v>0</v>
      </c>
      <c r="G355" s="1313"/>
      <c r="H355" s="1313">
        <f>+F348-H354</f>
        <v>0</v>
      </c>
      <c r="I355" s="1313">
        <f>+H348-I354</f>
        <v>0</v>
      </c>
      <c r="J355" s="1313">
        <f>+H355+I355</f>
        <v>0</v>
      </c>
      <c r="K355" s="1313">
        <f>+I348-K354</f>
        <v>0</v>
      </c>
      <c r="L355" s="1313">
        <f>+K348-L354</f>
        <v>0</v>
      </c>
      <c r="M355" s="1313">
        <f>+K355+L355</f>
        <v>0</v>
      </c>
      <c r="N355" s="1313">
        <f>+L348-N354</f>
        <v>0</v>
      </c>
      <c r="O355" s="1313">
        <f>+N348-O354</f>
        <v>0</v>
      </c>
      <c r="P355" s="1313">
        <f>+N355+O355</f>
        <v>0</v>
      </c>
      <c r="Q355" s="1313">
        <f>+O348-Q354</f>
        <v>0</v>
      </c>
      <c r="R355" s="1313">
        <f>+Q348-R354</f>
        <v>0</v>
      </c>
      <c r="S355" s="1313">
        <f>+Q355+R355</f>
        <v>0</v>
      </c>
      <c r="T355" s="1313">
        <f>+R348-T354</f>
        <v>0</v>
      </c>
      <c r="U355" s="1313">
        <f>+T348-U354</f>
        <v>0</v>
      </c>
      <c r="V355" s="1313">
        <f>+T355+U355</f>
        <v>0</v>
      </c>
      <c r="W355" s="1313">
        <f>+U348-W354</f>
        <v>0</v>
      </c>
      <c r="X355" s="1313">
        <f>+W348-X354</f>
        <v>0</v>
      </c>
      <c r="Y355" s="1313">
        <f>+W355+X355</f>
        <v>0</v>
      </c>
      <c r="Z355" s="1313">
        <f>+X348-Z354</f>
        <v>0</v>
      </c>
      <c r="AA355" s="1313">
        <f>+Z348-AA354</f>
        <v>0</v>
      </c>
      <c r="AB355" s="1313">
        <f>+Z355+AA355</f>
        <v>0</v>
      </c>
      <c r="AC355" s="1313">
        <f>+AA348-AC354</f>
        <v>0</v>
      </c>
      <c r="AD355" s="1313">
        <f>+AC348-AD354</f>
        <v>0</v>
      </c>
      <c r="AE355" s="1313">
        <f>+AC355+AD355</f>
        <v>0</v>
      </c>
      <c r="AF355" s="1313">
        <f>+AD348-AF354</f>
        <v>0</v>
      </c>
      <c r="AG355" s="1313">
        <f>+AF348-AG354</f>
        <v>0</v>
      </c>
      <c r="AH355" s="1313">
        <f>+AF355+AG355</f>
        <v>0</v>
      </c>
      <c r="AI355" s="1313">
        <f>+AG348-AI354</f>
        <v>0</v>
      </c>
      <c r="AJ355" s="1313">
        <f>+AI348-AJ354</f>
        <v>0</v>
      </c>
      <c r="AK355" s="1313">
        <f>+AI355+AJ355</f>
        <v>0</v>
      </c>
      <c r="AL355" s="1313">
        <f>+AJ348-AL354</f>
        <v>0</v>
      </c>
      <c r="AM355" s="1313">
        <f>+AL348-AM354</f>
        <v>0</v>
      </c>
      <c r="AN355" s="1313">
        <f>+AL355+AM355</f>
        <v>0</v>
      </c>
      <c r="AO355" s="1313">
        <f>+AM348-AO354</f>
        <v>0</v>
      </c>
      <c r="AP355" s="1313">
        <f>+AO348-AP354</f>
        <v>0</v>
      </c>
      <c r="AQ355" s="1313">
        <f>+AO355+AP355</f>
        <v>0</v>
      </c>
      <c r="AR355" s="1313">
        <f>+AP348-AR354</f>
        <v>0</v>
      </c>
      <c r="AS355" s="1313">
        <f>+AR348-AS354</f>
        <v>0</v>
      </c>
      <c r="AT355" s="1313">
        <f>+AR355+AS355</f>
        <v>0</v>
      </c>
      <c r="AU355" s="1313">
        <f>+AS348-AU354</f>
        <v>0</v>
      </c>
      <c r="AV355" s="1313">
        <f>+AU348-AV354</f>
        <v>0</v>
      </c>
      <c r="AW355" s="1313">
        <f>+AU355+AV355</f>
        <v>0</v>
      </c>
      <c r="AX355" s="1313">
        <f>+AV348-AX354</f>
        <v>0</v>
      </c>
      <c r="AY355" s="1313">
        <f>+AX348-AY354</f>
        <v>0</v>
      </c>
      <c r="AZ355" s="1313">
        <f>+AX355+AY355</f>
        <v>0</v>
      </c>
      <c r="BA355" s="1313">
        <f>+AY348-BA354</f>
        <v>0</v>
      </c>
      <c r="BB355" s="1313">
        <f>+BA348-BB354</f>
        <v>0</v>
      </c>
      <c r="BC355" s="1313">
        <f>+BA355+BB355</f>
        <v>0</v>
      </c>
      <c r="BD355" s="1313">
        <f>+BB348-BD354</f>
        <v>0</v>
      </c>
      <c r="BE355" s="1313">
        <f>+BD348-BE354</f>
        <v>0</v>
      </c>
      <c r="BF355" s="1313">
        <f>+BD355+BE355</f>
        <v>0</v>
      </c>
      <c r="BG355" s="1313">
        <f>+BE348-BG354</f>
        <v>0</v>
      </c>
      <c r="BH355" s="1313">
        <f>+BG348-BH354</f>
        <v>0</v>
      </c>
      <c r="BI355" s="1313">
        <f>+BG355+BH355</f>
        <v>0</v>
      </c>
      <c r="BJ355" s="1313">
        <f>+BH348-BJ354</f>
        <v>0</v>
      </c>
      <c r="BK355" s="1313">
        <f>+BJ348-BK354</f>
        <v>0</v>
      </c>
      <c r="BL355" s="1313">
        <f>+BJ355+BK355</f>
        <v>0</v>
      </c>
      <c r="BM355" s="1313">
        <f>+BK348-BK354</f>
        <v>0</v>
      </c>
      <c r="BN355" s="1313">
        <f>+BM348-BM354</f>
        <v>0</v>
      </c>
      <c r="BO355" s="1313">
        <f>+BM355+BN355</f>
        <v>0</v>
      </c>
      <c r="BP355" s="1313">
        <f>+BN348-BN354</f>
        <v>0</v>
      </c>
      <c r="BQ355" s="1313">
        <f>+BP348-BP354</f>
        <v>0</v>
      </c>
      <c r="BR355" s="1313">
        <f>+BP355+BQ355</f>
        <v>0</v>
      </c>
      <c r="BS355" s="1313">
        <f>+BQ348-BQ354</f>
        <v>0</v>
      </c>
      <c r="BT355" s="1313">
        <f>+BS348-BS354</f>
        <v>0</v>
      </c>
      <c r="BU355" s="1313">
        <f>+BS355+BT355</f>
        <v>0</v>
      </c>
      <c r="BV355" s="1313">
        <f>+BT348-BT354</f>
        <v>0</v>
      </c>
      <c r="BW355" s="1313">
        <f>+BV348-BV354</f>
        <v>0</v>
      </c>
      <c r="BX355" s="1313">
        <f>+BV355+BW355</f>
        <v>0</v>
      </c>
      <c r="BY355" s="1313">
        <f>+BW348-BW354</f>
        <v>0</v>
      </c>
      <c r="BZ355" s="1313">
        <f>+BY348-BY354</f>
        <v>0</v>
      </c>
      <c r="CA355" s="1313">
        <f>+BY355+BZ355</f>
        <v>0</v>
      </c>
      <c r="CB355" s="1313">
        <f>+BZ348-BZ354</f>
        <v>0</v>
      </c>
      <c r="CC355" s="1313">
        <f>+CB348-CB354</f>
        <v>0</v>
      </c>
      <c r="CD355" s="1313">
        <f>+CB355+CC355</f>
        <v>0</v>
      </c>
      <c r="CE355" s="1313">
        <f>+CC348-CC354</f>
        <v>0</v>
      </c>
      <c r="CF355" s="1313">
        <f>+CE348-CE354</f>
        <v>0</v>
      </c>
      <c r="CG355" s="1313">
        <f>+CE355+CF355</f>
        <v>0</v>
      </c>
      <c r="CH355" s="1313">
        <f>+CF348-CF354</f>
        <v>0</v>
      </c>
      <c r="CI355" s="1313">
        <f>+CH348-CH354</f>
        <v>0</v>
      </c>
      <c r="CJ355" s="1313">
        <f>+CH355+CI355</f>
        <v>0</v>
      </c>
      <c r="CK355" s="1313">
        <f>+CI348-CI354</f>
        <v>0</v>
      </c>
      <c r="CL355" s="1313">
        <f>+CK348-CK354</f>
        <v>0</v>
      </c>
      <c r="CM355" s="1313">
        <f>+CK355+CL355</f>
        <v>0</v>
      </c>
      <c r="CN355" s="1313">
        <f>+CL348-CL354</f>
        <v>0</v>
      </c>
      <c r="CO355" s="1313">
        <f>+CN348-CN354</f>
        <v>0</v>
      </c>
      <c r="CP355" s="1313">
        <f>+CN355+CO355</f>
        <v>0</v>
      </c>
      <c r="CQ355" s="1313">
        <f>+CO348-CO354</f>
        <v>0</v>
      </c>
      <c r="CR355" s="1313">
        <f>+CQ348-CQ354</f>
        <v>0</v>
      </c>
      <c r="CS355" s="1313">
        <f>+CQ355+CR355</f>
        <v>0</v>
      </c>
      <c r="CT355" s="1313">
        <f>+CR348-CR354</f>
        <v>0</v>
      </c>
      <c r="CU355" s="1313">
        <f>+CT348-CT354</f>
        <v>0</v>
      </c>
      <c r="CV355" s="1313">
        <f>+CT355+CU355</f>
        <v>0</v>
      </c>
      <c r="CW355" s="1313">
        <f>+CU348-CU354</f>
        <v>0</v>
      </c>
      <c r="CX355" s="1313">
        <f>+CW348-CW354</f>
        <v>0</v>
      </c>
      <c r="CY355" s="1313">
        <f>+CW355+CX355</f>
        <v>0</v>
      </c>
      <c r="CZ355" s="1313">
        <f>+CX348-CX354</f>
        <v>0</v>
      </c>
      <c r="DA355" s="1313">
        <f>+CZ348-CZ354</f>
        <v>0</v>
      </c>
      <c r="DB355" s="1313">
        <f>+CZ355+DA355</f>
        <v>0</v>
      </c>
      <c r="DC355" s="1313">
        <f>+DA348-DA354</f>
        <v>0</v>
      </c>
      <c r="DD355" s="1313">
        <f>+DC348-DC354</f>
        <v>0</v>
      </c>
      <c r="DE355" s="1314">
        <f>+DC355+DD355</f>
        <v>0</v>
      </c>
      <c r="DF355" s="1313">
        <f>+DD348-DD354</f>
        <v>0</v>
      </c>
      <c r="DG355" s="1313">
        <f>+DF348-DF354</f>
        <v>0</v>
      </c>
      <c r="DH355" s="1314">
        <f>+DF355+DG355</f>
        <v>0</v>
      </c>
      <c r="DI355" s="1313">
        <f>+DG348-DG354</f>
        <v>0</v>
      </c>
      <c r="DJ355" s="1313">
        <f>+DI348-DI354</f>
        <v>0</v>
      </c>
      <c r="DK355" s="1314">
        <f>+DI355+DJ355</f>
        <v>0</v>
      </c>
      <c r="DL355" s="1313">
        <f>+DJ348-DJ354</f>
        <v>0</v>
      </c>
      <c r="DM355" s="1313">
        <f>+DL348-DL354</f>
        <v>0</v>
      </c>
      <c r="DN355" s="1314">
        <f>+DL355+DM355</f>
        <v>0</v>
      </c>
      <c r="DO355" s="1313">
        <f>+DM348-DM354</f>
        <v>0</v>
      </c>
      <c r="DP355" s="1313">
        <f>+DO348-DO354</f>
        <v>0</v>
      </c>
      <c r="DQ355" s="1314">
        <f>+DO355+DP355</f>
        <v>0</v>
      </c>
      <c r="DR355" s="1313">
        <f>+DP348-DP354</f>
        <v>0</v>
      </c>
      <c r="DS355" s="1313">
        <f>+DR348-DR354</f>
        <v>0</v>
      </c>
      <c r="DT355" s="1314">
        <f>+DR355+DS355</f>
        <v>0</v>
      </c>
      <c r="DU355" s="1313">
        <f>+DS348-DS354</f>
        <v>0</v>
      </c>
      <c r="DV355" s="1313">
        <f>+DU348-DU354</f>
        <v>0</v>
      </c>
      <c r="DW355" s="1314">
        <f>+DU355+DV355</f>
        <v>0</v>
      </c>
      <c r="DX355" s="1313">
        <f>+DV348-DV354</f>
        <v>0</v>
      </c>
      <c r="DY355" s="1313">
        <f>+DX348-DX354</f>
        <v>0</v>
      </c>
      <c r="DZ355" s="1314">
        <f>+DX355+DY355</f>
        <v>0</v>
      </c>
      <c r="EA355" s="1313">
        <f>+DY348-DY354</f>
        <v>0</v>
      </c>
      <c r="EB355" s="1313">
        <f>+EA348-EA354</f>
        <v>0</v>
      </c>
      <c r="EC355" s="1314">
        <f>+EA355+EB355</f>
        <v>0</v>
      </c>
      <c r="ED355" s="1313">
        <f>+EB348-EB354</f>
        <v>0</v>
      </c>
      <c r="EE355" s="1313">
        <f>+ED348-ED354</f>
        <v>0</v>
      </c>
      <c r="EF355" s="1314">
        <f>+ED355+EE355</f>
        <v>0</v>
      </c>
      <c r="EG355" s="1313">
        <f>+EE348-EE354</f>
        <v>0</v>
      </c>
      <c r="EH355" s="1313">
        <f>+EG348-EG354</f>
        <v>0</v>
      </c>
      <c r="EI355" s="1314">
        <f>+EG355+EH355</f>
        <v>0</v>
      </c>
      <c r="EJ355" s="1313">
        <f>+EH348-EH354</f>
        <v>0</v>
      </c>
      <c r="EK355" s="1313">
        <f>+EJ348-EJ354</f>
        <v>0</v>
      </c>
      <c r="EL355" s="1314">
        <f>+EJ355+EK355</f>
        <v>0</v>
      </c>
      <c r="EM355" s="1313">
        <f>+EK348-EK354</f>
        <v>0</v>
      </c>
      <c r="EN355" s="1313">
        <f>+EM348-EM354</f>
        <v>0</v>
      </c>
      <c r="EO355" s="1314">
        <f>+EM355+EN355</f>
        <v>0</v>
      </c>
      <c r="EP355" s="1313">
        <f>+EN348-EN354</f>
        <v>0</v>
      </c>
      <c r="EQ355" s="1313">
        <f>+EP348-EP354</f>
        <v>0</v>
      </c>
      <c r="ER355" s="1314">
        <f>+EP355+EQ355</f>
        <v>0</v>
      </c>
      <c r="ES355" s="1313">
        <f>+EQ348-EQ354</f>
        <v>0</v>
      </c>
      <c r="ET355" s="1313">
        <f>+ES348-ES354</f>
        <v>0</v>
      </c>
      <c r="EU355" s="1314">
        <f>+ES355+ET355</f>
        <v>0</v>
      </c>
      <c r="EV355" s="1313">
        <f>+ET348-ET354</f>
        <v>0</v>
      </c>
      <c r="EW355" s="1313">
        <f>+EV348-EV354</f>
        <v>0</v>
      </c>
      <c r="EX355" s="1314">
        <f>+EV355+EW355</f>
        <v>0</v>
      </c>
      <c r="EY355" s="1313">
        <f>+EW348-EW354</f>
        <v>0</v>
      </c>
      <c r="EZ355" s="1313">
        <f>+EY348-EY354</f>
        <v>0</v>
      </c>
      <c r="FA355" s="1314">
        <f>+EY355+EZ355</f>
        <v>0</v>
      </c>
      <c r="FB355" s="1068"/>
      <c r="FC355" s="1068"/>
      <c r="FD355"/>
      <c r="FE355"/>
      <c r="FF355"/>
      <c r="FG355"/>
      <c r="FH355"/>
      <c r="FI355"/>
    </row>
    <row r="356" spans="1:165" s="1078" customFormat="1">
      <c r="B356" s="54" t="s">
        <v>337</v>
      </c>
      <c r="D356" s="2" t="s">
        <v>365</v>
      </c>
      <c r="E356" s="1315"/>
      <c r="F356" s="1315"/>
      <c r="G356" s="1315"/>
      <c r="H356" s="1315"/>
      <c r="I356" s="1315"/>
      <c r="J356" s="1315"/>
      <c r="K356" s="1315"/>
      <c r="L356" s="1315"/>
      <c r="M356" s="1315"/>
      <c r="N356" s="1315"/>
      <c r="O356" s="1315"/>
      <c r="P356" s="1315"/>
      <c r="Q356" s="1315"/>
      <c r="R356" s="1315"/>
      <c r="S356" s="1315"/>
      <c r="T356" s="1315"/>
      <c r="U356" s="1315"/>
      <c r="V356" s="1315"/>
      <c r="W356" s="1315"/>
      <c r="X356" s="1315"/>
      <c r="Y356" s="1315"/>
      <c r="Z356" s="1315"/>
      <c r="AA356" s="1315"/>
      <c r="AB356" s="1315"/>
      <c r="AC356" s="1315"/>
      <c r="AD356" s="1315"/>
      <c r="AE356" s="1315"/>
      <c r="AF356" s="1315"/>
      <c r="AG356" s="1315"/>
      <c r="AH356" s="1315"/>
      <c r="AI356" s="1315"/>
      <c r="AJ356" s="1315"/>
      <c r="AK356" s="1315"/>
      <c r="AL356" s="1315"/>
      <c r="AM356" s="1315"/>
      <c r="AN356" s="1315"/>
      <c r="AO356" s="1315"/>
      <c r="AP356" s="1315"/>
      <c r="AQ356" s="1315"/>
      <c r="AR356" s="1315"/>
      <c r="AS356" s="1315"/>
      <c r="AT356" s="1315"/>
      <c r="AU356" s="1315"/>
      <c r="AV356" s="1315"/>
      <c r="AW356" s="1315"/>
      <c r="AX356" s="1315"/>
      <c r="AY356" s="1315"/>
      <c r="AZ356" s="1315"/>
      <c r="BA356" s="1315"/>
      <c r="BB356" s="1315"/>
      <c r="BC356" s="1315"/>
      <c r="BD356" s="1315"/>
      <c r="BE356" s="1315"/>
      <c r="BF356" s="1315"/>
      <c r="BG356" s="1315"/>
      <c r="BH356" s="1315"/>
      <c r="BI356" s="1315"/>
      <c r="BJ356" s="1315"/>
      <c r="BK356" s="1315"/>
      <c r="BL356" s="1315"/>
      <c r="BM356" s="1315"/>
      <c r="BN356" s="1315"/>
      <c r="BO356" s="1315"/>
      <c r="BP356" s="1315"/>
      <c r="BQ356" s="1315"/>
      <c r="BR356" s="1315"/>
      <c r="BS356" s="1315"/>
      <c r="BT356" s="1315"/>
      <c r="BU356" s="1315"/>
      <c r="BV356" s="1315"/>
      <c r="BW356" s="1315"/>
      <c r="BX356" s="1315"/>
      <c r="BY356" s="1315"/>
      <c r="BZ356" s="1315"/>
      <c r="CA356" s="1315"/>
      <c r="CB356" s="1315"/>
      <c r="CC356" s="1315"/>
      <c r="CD356" s="1315"/>
      <c r="CE356" s="1315"/>
      <c r="CF356" s="1315"/>
      <c r="CG356" s="1315"/>
      <c r="CH356" s="1315"/>
      <c r="CI356" s="1315"/>
      <c r="CJ356" s="1315"/>
      <c r="CK356" s="1315"/>
      <c r="CL356" s="1315"/>
      <c r="CM356" s="1315"/>
      <c r="CN356" s="1315"/>
      <c r="CO356" s="1315"/>
      <c r="CP356" s="1315"/>
      <c r="CQ356" s="1315"/>
      <c r="CR356" s="1315"/>
      <c r="CS356" s="1315"/>
      <c r="CT356" s="1315"/>
      <c r="CU356" s="1315"/>
      <c r="CV356" s="1315"/>
      <c r="CW356" s="1315"/>
      <c r="CX356" s="1315"/>
      <c r="CY356" s="1315"/>
      <c r="CZ356" s="1315"/>
      <c r="DA356" s="1315"/>
      <c r="DB356" s="1315"/>
      <c r="DC356" s="1315"/>
      <c r="DD356" s="1315"/>
      <c r="DE356" s="1314"/>
      <c r="DF356" s="1315"/>
      <c r="DG356" s="1315"/>
      <c r="DH356" s="1314"/>
      <c r="DI356" s="1315"/>
      <c r="DJ356" s="1315"/>
      <c r="DK356" s="1314"/>
      <c r="DL356" s="1315"/>
      <c r="DM356" s="1315"/>
      <c r="DN356" s="1314"/>
      <c r="DO356" s="1315"/>
      <c r="DP356" s="1315"/>
      <c r="DQ356" s="1314"/>
      <c r="DR356" s="1315"/>
      <c r="DS356" s="1315"/>
      <c r="DT356" s="1314"/>
      <c r="DU356" s="1315"/>
      <c r="DV356" s="1315"/>
      <c r="DW356" s="1314"/>
      <c r="DX356" s="1315"/>
      <c r="DY356" s="1315"/>
      <c r="DZ356" s="1314"/>
      <c r="EA356" s="1315"/>
      <c r="EB356" s="1315"/>
      <c r="EC356" s="1314"/>
      <c r="ED356" s="1315"/>
      <c r="EE356" s="1315"/>
      <c r="EF356" s="1314"/>
      <c r="EG356" s="1315"/>
      <c r="EH356" s="1315"/>
      <c r="EI356" s="1314"/>
      <c r="EJ356" s="1315"/>
      <c r="EK356" s="1315"/>
      <c r="EL356" s="1314"/>
      <c r="EM356" s="1315"/>
      <c r="EN356" s="1315"/>
      <c r="EO356" s="1314"/>
      <c r="EP356" s="1315"/>
      <c r="EQ356" s="1315"/>
      <c r="ER356" s="1314"/>
      <c r="ES356" s="1315"/>
      <c r="ET356" s="1315"/>
      <c r="EU356" s="1314"/>
      <c r="EV356" s="1315"/>
      <c r="EW356" s="1315"/>
      <c r="EX356" s="1314"/>
      <c r="EY356" s="1315"/>
      <c r="EZ356" s="1315"/>
      <c r="FA356" s="1314"/>
      <c r="FB356" s="1068"/>
      <c r="FC356" s="1068"/>
      <c r="FD356"/>
      <c r="FE356"/>
      <c r="FF356"/>
      <c r="FG356"/>
      <c r="FH356"/>
      <c r="FI356"/>
    </row>
    <row r="357" spans="1:165" s="1078" customFormat="1">
      <c r="B357" s="1323" t="s">
        <v>183</v>
      </c>
      <c r="C357" s="1068"/>
      <c r="D357" s="1068"/>
      <c r="E357" s="1292"/>
      <c r="F357" s="1292"/>
      <c r="G357" s="1292"/>
      <c r="H357" s="1292"/>
      <c r="I357" s="1292"/>
      <c r="J357" s="1292"/>
      <c r="K357" s="1292"/>
      <c r="L357" s="1292"/>
      <c r="M357" s="1292"/>
      <c r="N357" s="1292"/>
      <c r="O357" s="1292"/>
      <c r="P357" s="1292"/>
      <c r="Q357" s="1292"/>
      <c r="R357" s="1292"/>
      <c r="S357" s="1292"/>
      <c r="T357" s="1292"/>
      <c r="U357" s="1292"/>
      <c r="V357" s="1292"/>
      <c r="W357" s="1292"/>
      <c r="X357" s="1292"/>
      <c r="Y357" s="1292"/>
      <c r="Z357" s="1292"/>
      <c r="AA357" s="1292"/>
      <c r="AB357" s="1292"/>
      <c r="AC357" s="1292"/>
      <c r="AD357" s="1292"/>
      <c r="AE357" s="1292"/>
      <c r="AF357" s="1292"/>
      <c r="AG357" s="1292"/>
      <c r="AH357" s="1292"/>
      <c r="AI357" s="1292"/>
      <c r="AJ357" s="1292"/>
      <c r="AK357" s="1292"/>
      <c r="AL357" s="1292"/>
      <c r="AM357" s="1292"/>
      <c r="AN357" s="1292"/>
      <c r="AO357" s="1292"/>
      <c r="AP357" s="1292"/>
      <c r="AQ357" s="1292"/>
      <c r="AR357" s="1292"/>
      <c r="AS357" s="1292"/>
      <c r="AT357" s="1292"/>
      <c r="AU357" s="1292"/>
      <c r="AV357" s="1292"/>
      <c r="AW357" s="1292"/>
      <c r="AX357" s="1292"/>
      <c r="AY357" s="1292"/>
      <c r="AZ357" s="1292"/>
      <c r="BA357" s="1292"/>
      <c r="BB357" s="1292"/>
      <c r="BC357" s="1292"/>
      <c r="BD357" s="1292"/>
      <c r="BE357" s="1292"/>
      <c r="BF357" s="1292"/>
      <c r="BG357" s="1292"/>
      <c r="BH357" s="1292"/>
      <c r="BI357" s="1292"/>
      <c r="BJ357" s="1292"/>
      <c r="BK357" s="1292"/>
      <c r="BL357" s="1292"/>
      <c r="BM357" s="1292"/>
      <c r="BN357" s="1292"/>
      <c r="BO357" s="1292"/>
      <c r="BP357" s="1292"/>
      <c r="BQ357" s="1292"/>
      <c r="BR357" s="1292"/>
      <c r="BS357" s="1292"/>
      <c r="BT357" s="1292"/>
      <c r="BU357" s="1292"/>
      <c r="BV357" s="1292"/>
      <c r="BW357" s="1292"/>
      <c r="BX357" s="1292"/>
      <c r="BY357" s="1292"/>
      <c r="BZ357" s="1292"/>
      <c r="CA357" s="1292"/>
      <c r="CB357" s="1292"/>
      <c r="CC357" s="1292"/>
      <c r="CD357" s="1292"/>
      <c r="CE357" s="1292"/>
      <c r="CF357" s="1292"/>
      <c r="CG357" s="1292"/>
      <c r="CH357" s="1292"/>
      <c r="CI357" s="1292"/>
      <c r="CJ357" s="1292"/>
      <c r="CK357" s="1292"/>
      <c r="CL357" s="1292"/>
      <c r="CM357" s="1292"/>
      <c r="CN357" s="1292"/>
      <c r="CO357" s="1292"/>
      <c r="CP357" s="1292"/>
      <c r="CQ357" s="1292"/>
      <c r="CR357" s="1292"/>
      <c r="CS357" s="1292"/>
      <c r="CT357" s="1292"/>
      <c r="CU357" s="1292"/>
      <c r="CV357" s="1292"/>
      <c r="CW357" s="1292"/>
      <c r="CX357" s="1292"/>
      <c r="CY357" s="1292"/>
      <c r="CZ357" s="1292"/>
      <c r="DA357" s="1292"/>
      <c r="DB357" s="1292"/>
      <c r="DC357" s="1292"/>
      <c r="DD357" s="1292"/>
      <c r="DE357" s="1293"/>
      <c r="DF357" s="1292"/>
      <c r="DG357" s="1292"/>
      <c r="DH357" s="1293"/>
      <c r="DI357" s="1292"/>
      <c r="DJ357" s="1292"/>
      <c r="DK357" s="1293"/>
      <c r="DL357" s="1292"/>
      <c r="DM357" s="1292"/>
      <c r="DN357" s="1293"/>
      <c r="DO357" s="1292"/>
      <c r="DP357" s="1292"/>
      <c r="DQ357" s="1293"/>
      <c r="DR357" s="1292"/>
      <c r="DS357" s="1292"/>
      <c r="DT357" s="1293"/>
      <c r="DU357" s="1292"/>
      <c r="DV357" s="1292"/>
      <c r="DW357" s="1293"/>
      <c r="DX357" s="1292"/>
      <c r="DY357" s="1292"/>
      <c r="DZ357" s="1293"/>
      <c r="EA357" s="1292"/>
      <c r="EB357" s="1292"/>
      <c r="EC357" s="1293"/>
      <c r="ED357" s="1292"/>
      <c r="EE357" s="1292"/>
      <c r="EF357" s="1293"/>
      <c r="EG357" s="1292"/>
      <c r="EH357" s="1292"/>
      <c r="EI357" s="1293"/>
      <c r="EJ357" s="1292"/>
      <c r="EK357" s="1292"/>
      <c r="EL357" s="1293"/>
      <c r="EM357" s="1292"/>
      <c r="EN357" s="1292"/>
      <c r="EO357" s="1293"/>
      <c r="EP357" s="1292"/>
      <c r="EQ357" s="1292"/>
      <c r="ER357" s="1293"/>
      <c r="ES357" s="1292"/>
      <c r="ET357" s="1292"/>
      <c r="EU357" s="1293"/>
      <c r="EV357" s="1292"/>
      <c r="EW357" s="1292"/>
      <c r="EX357" s="1293"/>
      <c r="EY357" s="1292"/>
      <c r="EZ357" s="1292"/>
      <c r="FA357" s="1293"/>
      <c r="FB357" s="1068"/>
      <c r="FC357" s="1068"/>
      <c r="FD357"/>
      <c r="FE357"/>
      <c r="FF357"/>
      <c r="FG357"/>
      <c r="FH357"/>
      <c r="FI357"/>
    </row>
    <row r="358" spans="1:165" s="33" customFormat="1">
      <c r="B358" s="54" t="s">
        <v>338</v>
      </c>
      <c r="C358" s="54"/>
      <c r="D358" s="2" t="s">
        <v>507</v>
      </c>
      <c r="E358" s="51"/>
      <c r="F358" s="51"/>
      <c r="G358" s="51"/>
      <c r="H358" s="51"/>
      <c r="I358" s="5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c r="AJ358" s="51"/>
      <c r="AK358" s="51"/>
      <c r="AL358" s="51"/>
      <c r="AM358" s="51"/>
      <c r="AN358" s="51">
        <f>+(AN22/AN12)</f>
        <v>0</v>
      </c>
      <c r="AO358" s="51"/>
      <c r="AP358" s="51"/>
      <c r="AQ358" s="51">
        <f>+(AQ22/AQ12)</f>
        <v>1.7165297542043985</v>
      </c>
      <c r="AR358" s="51"/>
      <c r="AS358" s="51"/>
      <c r="AT358" s="51">
        <f t="shared" ref="AT358:BJ358" si="870">+(AT22/AT12)</f>
        <v>1.7328608449051437</v>
      </c>
      <c r="AU358" s="51">
        <f t="shared" si="870"/>
        <v>1.6969225560206846</v>
      </c>
      <c r="AV358" s="51">
        <f t="shared" si="870"/>
        <v>1.9106272223801042</v>
      </c>
      <c r="AW358" s="51">
        <f t="shared" si="870"/>
        <v>0.61367621274108708</v>
      </c>
      <c r="AX358" s="51">
        <f t="shared" si="870"/>
        <v>1.692770903604905</v>
      </c>
      <c r="AY358" s="51">
        <f t="shared" si="870"/>
        <v>1.6422689664289063</v>
      </c>
      <c r="AZ358" s="51">
        <f t="shared" si="870"/>
        <v>0.55542139579811645</v>
      </c>
      <c r="BA358" s="51">
        <f t="shared" si="870"/>
        <v>1.0788559637429844</v>
      </c>
      <c r="BB358" s="51">
        <f t="shared" si="870"/>
        <v>0.38876394689515303</v>
      </c>
      <c r="BC358" s="51">
        <f t="shared" si="870"/>
        <v>0.21433094646597495</v>
      </c>
      <c r="BD358" s="51">
        <f t="shared" si="870"/>
        <v>0.2446237357680853</v>
      </c>
      <c r="BE358" s="51">
        <f t="shared" si="870"/>
        <v>0.36498817106174414</v>
      </c>
      <c r="BF358" s="51">
        <f t="shared" si="870"/>
        <v>0.10438733842989162</v>
      </c>
      <c r="BG358" s="51">
        <f t="shared" si="870"/>
        <v>0.47311125463863923</v>
      </c>
      <c r="BH358" s="51">
        <f t="shared" si="870"/>
        <v>1.0096670053874577</v>
      </c>
      <c r="BI358" s="51">
        <f t="shared" si="870"/>
        <v>0.72105124891180594</v>
      </c>
      <c r="BJ358" s="51">
        <f t="shared" si="870"/>
        <v>2.0548576536002883</v>
      </c>
      <c r="BK358" s="51"/>
      <c r="BL358" s="51"/>
      <c r="BM358" s="51">
        <f t="shared" ref="BM358:CR358" si="871">+(BM22/BM12)</f>
        <v>0.20690384666887346</v>
      </c>
      <c r="BN358" s="51">
        <f t="shared" si="871"/>
        <v>0.19573967390485067</v>
      </c>
      <c r="BO358" s="51">
        <f t="shared" si="871"/>
        <v>0.19970803643343107</v>
      </c>
      <c r="BP358" s="51">
        <f t="shared" si="871"/>
        <v>0.86834696930253008</v>
      </c>
      <c r="BQ358" s="51">
        <f t="shared" si="871"/>
        <v>0.38446346686214478</v>
      </c>
      <c r="BR358" s="51">
        <f t="shared" si="871"/>
        <v>0.61785451801691316</v>
      </c>
      <c r="BS358" s="51">
        <f t="shared" si="871"/>
        <v>0.34449438934881804</v>
      </c>
      <c r="BT358" s="51">
        <f t="shared" si="871"/>
        <v>0.31519632013661381</v>
      </c>
      <c r="BU358" s="51">
        <f t="shared" si="871"/>
        <v>0.33141116651539487</v>
      </c>
      <c r="BV358" s="51">
        <f t="shared" si="871"/>
        <v>0.36264448395310966</v>
      </c>
      <c r="BW358" s="51">
        <f t="shared" si="871"/>
        <v>0.35678873542090322</v>
      </c>
      <c r="BX358" s="51">
        <f t="shared" si="871"/>
        <v>0.3605699619550814</v>
      </c>
      <c r="BY358" s="51">
        <f t="shared" si="871"/>
        <v>0.35112968389569921</v>
      </c>
      <c r="BZ358" s="51">
        <f t="shared" si="871"/>
        <v>0.46449278101757202</v>
      </c>
      <c r="CA358" s="51">
        <f t="shared" si="871"/>
        <v>0.40812562837269561</v>
      </c>
      <c r="CB358" s="51">
        <f t="shared" si="871"/>
        <v>0.32896680101346526</v>
      </c>
      <c r="CC358" s="51">
        <f t="shared" si="871"/>
        <v>0.57155924064224839</v>
      </c>
      <c r="CD358" s="51">
        <f t="shared" si="871"/>
        <v>0.43061545346819052</v>
      </c>
      <c r="CE358" s="51">
        <f t="shared" si="871"/>
        <v>0.38271250442309795</v>
      </c>
      <c r="CF358" s="51">
        <f t="shared" si="871"/>
        <v>0.57862878737984391</v>
      </c>
      <c r="CG358" s="51">
        <f t="shared" si="871"/>
        <v>0.47204455763821201</v>
      </c>
      <c r="CH358" s="51">
        <f t="shared" si="871"/>
        <v>0.37405682146354508</v>
      </c>
      <c r="CI358" s="51">
        <f t="shared" si="871"/>
        <v>0.47907230480448254</v>
      </c>
      <c r="CJ358" s="51">
        <f t="shared" si="871"/>
        <v>0.42790259581119561</v>
      </c>
      <c r="CK358" s="51">
        <f t="shared" si="871"/>
        <v>0.40102679055670781</v>
      </c>
      <c r="CL358" s="51">
        <f t="shared" si="871"/>
        <v>0.42861241825585333</v>
      </c>
      <c r="CM358" s="51">
        <f t="shared" si="871"/>
        <v>0.41821574569649128</v>
      </c>
      <c r="CN358" s="51">
        <f t="shared" si="871"/>
        <v>0.39871959640595783</v>
      </c>
      <c r="CO358" s="51">
        <f t="shared" si="871"/>
        <v>0.4401445055029044</v>
      </c>
      <c r="CP358" s="51">
        <f t="shared" si="871"/>
        <v>0.41835501788769613</v>
      </c>
      <c r="CQ358" s="51">
        <f t="shared" si="871"/>
        <v>0.39733995564865648</v>
      </c>
      <c r="CR358" s="51">
        <f t="shared" si="871"/>
        <v>0.43774764352822948</v>
      </c>
      <c r="CS358" s="51">
        <f t="shared" ref="CS358:DX358" si="872">+(CS22/CS12)</f>
        <v>0.41759698526766592</v>
      </c>
      <c r="CT358" s="51">
        <f t="shared" si="872"/>
        <v>0.44313136872631392</v>
      </c>
      <c r="CU358" s="51">
        <f t="shared" si="872"/>
        <v>0.57139834490039643</v>
      </c>
      <c r="CV358" s="51">
        <f t="shared" si="872"/>
        <v>0.50491756612021854</v>
      </c>
      <c r="CW358" s="51">
        <f t="shared" si="872"/>
        <v>0.44288267643330193</v>
      </c>
      <c r="CX358" s="51">
        <f t="shared" si="872"/>
        <v>0.49423501568468359</v>
      </c>
      <c r="CY358" s="51">
        <f t="shared" si="872"/>
        <v>0.46344974673806116</v>
      </c>
      <c r="CZ358" s="51">
        <f t="shared" si="872"/>
        <v>0.32984508302600768</v>
      </c>
      <c r="DA358" s="51">
        <f t="shared" si="872"/>
        <v>0.6576768551324238</v>
      </c>
      <c r="DB358" s="51">
        <f t="shared" si="872"/>
        <v>0.45126409243506588</v>
      </c>
      <c r="DC358" s="51">
        <f t="shared" si="872"/>
        <v>0.33109819247524408</v>
      </c>
      <c r="DD358" s="51">
        <f t="shared" si="872"/>
        <v>0.59842130134948857</v>
      </c>
      <c r="DE358" s="1080">
        <f t="shared" si="872"/>
        <v>0.43670248037733916</v>
      </c>
      <c r="DF358" s="51">
        <f t="shared" si="872"/>
        <v>0.3454027020833334</v>
      </c>
      <c r="DG358" s="51">
        <f t="shared" si="872"/>
        <v>0.56874825157578524</v>
      </c>
      <c r="DH358" s="1080">
        <f t="shared" si="872"/>
        <v>0.43617170371706271</v>
      </c>
      <c r="DI358" s="51">
        <f t="shared" si="872"/>
        <v>0.26096786799394944</v>
      </c>
      <c r="DJ358" s="51">
        <f t="shared" si="872"/>
        <v>0.94768760296367616</v>
      </c>
      <c r="DK358" s="1080">
        <f t="shared" si="872"/>
        <v>0.42807998769129402</v>
      </c>
      <c r="DL358" s="51">
        <f t="shared" si="872"/>
        <v>0.27144916879887848</v>
      </c>
      <c r="DM358" s="51">
        <f t="shared" si="872"/>
        <v>1.373878995825494</v>
      </c>
      <c r="DN358" s="1080">
        <f t="shared" si="872"/>
        <v>0.51515320317421964</v>
      </c>
      <c r="DO358" s="51">
        <f t="shared" si="872"/>
        <v>0.31768501774607799</v>
      </c>
      <c r="DP358" s="51">
        <f t="shared" si="872"/>
        <v>1.0896401036174044</v>
      </c>
      <c r="DQ358" s="1080">
        <f t="shared" si="872"/>
        <v>0.5185949536431681</v>
      </c>
      <c r="DR358" s="51">
        <f t="shared" si="872"/>
        <v>0.30212174614204851</v>
      </c>
      <c r="DS358" s="51">
        <f t="shared" si="872"/>
        <v>0.94278148391897376</v>
      </c>
      <c r="DT358" s="1080">
        <f t="shared" si="872"/>
        <v>0.48184235005434711</v>
      </c>
      <c r="DU358" s="51">
        <f>+(DU22/DU12)</f>
        <v>0.31342490687593427</v>
      </c>
      <c r="DV358" s="51">
        <f>+(DV22/DV12)</f>
        <v>0.78706308102512512</v>
      </c>
      <c r="DW358" s="1080">
        <f>+(DW22/DW12)</f>
        <v>0.47081941878747502</v>
      </c>
      <c r="DX358" s="51">
        <f t="shared" si="872"/>
        <v>1.6908579533374268</v>
      </c>
      <c r="DY358" s="51">
        <f t="shared" ref="DY358:EF358" si="873">+(DY22/DY12)</f>
        <v>0.58899005657931269</v>
      </c>
      <c r="DZ358" s="1080">
        <f t="shared" si="873"/>
        <v>0.83824243241444596</v>
      </c>
      <c r="EA358" s="51">
        <f t="shared" si="873"/>
        <v>0.37375105720675095</v>
      </c>
      <c r="EB358" s="51">
        <f t="shared" si="873"/>
        <v>0.53959281853903684</v>
      </c>
      <c r="EC358" s="1080">
        <f t="shared" si="873"/>
        <v>0.44253189563269596</v>
      </c>
      <c r="ED358" s="51">
        <f t="shared" si="873"/>
        <v>0.37154027812442519</v>
      </c>
      <c r="EE358" s="51">
        <f t="shared" si="873"/>
        <v>0.53594594560329167</v>
      </c>
      <c r="EF358" s="1080">
        <f t="shared" si="873"/>
        <v>0.43972117762105994</v>
      </c>
      <c r="EG358" s="51">
        <f t="shared" ref="EG358:EL358" si="874">+(EG22/EG12)</f>
        <v>0.36960931433105293</v>
      </c>
      <c r="EH358" s="51">
        <f t="shared" si="874"/>
        <v>0.53173699560079468</v>
      </c>
      <c r="EI358" s="1080">
        <f t="shared" si="874"/>
        <v>0.43800880822656468</v>
      </c>
      <c r="EJ358" s="51">
        <f t="shared" si="874"/>
        <v>0.36778437509103695</v>
      </c>
      <c r="EK358" s="51">
        <f t="shared" si="874"/>
        <v>0.52795663859936437</v>
      </c>
      <c r="EL358" s="1080">
        <f t="shared" si="874"/>
        <v>0.43644648697978505</v>
      </c>
      <c r="EM358" s="51">
        <f t="shared" ref="EM358:ER358" si="875">+(EM22/EM12)</f>
        <v>0.36600277855503299</v>
      </c>
      <c r="EN358" s="51">
        <f t="shared" si="875"/>
        <v>0.52501366114593018</v>
      </c>
      <c r="EO358" s="1080">
        <f t="shared" si="875"/>
        <v>0.43439933233181904</v>
      </c>
      <c r="EP358" s="51">
        <f t="shared" si="875"/>
        <v>0.36458000442637101</v>
      </c>
      <c r="EQ358" s="51">
        <f t="shared" si="875"/>
        <v>0.52230925904657211</v>
      </c>
      <c r="ER358" s="1080">
        <f t="shared" si="875"/>
        <v>0.43320035628342185</v>
      </c>
      <c r="ES358" s="51">
        <f t="shared" ref="ES358:FA358" si="876">+(ES22/ES12)</f>
        <v>0.36342166328436104</v>
      </c>
      <c r="ET358" s="51">
        <f t="shared" si="876"/>
        <v>0.52024671616658413</v>
      </c>
      <c r="EU358" s="1080">
        <f t="shared" si="876"/>
        <v>0.43216133122948625</v>
      </c>
      <c r="EV358" s="51">
        <f t="shared" si="876"/>
        <v>0.362497942006343</v>
      </c>
      <c r="EW358" s="51">
        <f t="shared" si="876"/>
        <v>0.51868152894394581</v>
      </c>
      <c r="EX358" s="1080">
        <f t="shared" si="876"/>
        <v>0.43128426352797455</v>
      </c>
      <c r="EY358" s="51">
        <f t="shared" si="876"/>
        <v>0.36163309015031492</v>
      </c>
      <c r="EZ358" s="51">
        <f t="shared" si="876"/>
        <v>0.51723550213543834</v>
      </c>
      <c r="FA358" s="1080">
        <f t="shared" si="876"/>
        <v>0.43047590382293804</v>
      </c>
      <c r="FD358"/>
      <c r="FE358"/>
      <c r="FF358"/>
      <c r="FG358"/>
      <c r="FH358"/>
      <c r="FI358"/>
    </row>
    <row r="359" spans="1:165" s="33" customFormat="1" ht="13.5" thickBot="1">
      <c r="B359" s="54" t="s">
        <v>329</v>
      </c>
      <c r="C359" s="54"/>
      <c r="D359" s="2" t="s">
        <v>367</v>
      </c>
      <c r="E359" s="32"/>
      <c r="F359" s="32"/>
      <c r="G359" s="32"/>
      <c r="H359" s="32"/>
      <c r="I359" s="32"/>
      <c r="J359" s="32"/>
      <c r="K359" s="32"/>
      <c r="L359" s="32"/>
      <c r="M359" s="32"/>
      <c r="N359" s="32"/>
      <c r="O359" s="32"/>
      <c r="P359" s="32"/>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c r="AP359" s="32"/>
      <c r="AQ359" s="32">
        <f>+AQ12/AQ22</f>
        <v>0.5825707346759591</v>
      </c>
      <c r="AR359" s="32"/>
      <c r="AS359" s="32"/>
      <c r="AT359" s="32">
        <f t="shared" ref="AT359:BJ359" si="877">+AT12/AT22</f>
        <v>0.57708038296331854</v>
      </c>
      <c r="AU359" s="32">
        <f t="shared" si="877"/>
        <v>0.58930208479579582</v>
      </c>
      <c r="AV359" s="32">
        <f t="shared" si="877"/>
        <v>0.52338833461939338</v>
      </c>
      <c r="AW359" s="32">
        <f t="shared" si="877"/>
        <v>1.6295238095238094</v>
      </c>
      <c r="AX359" s="32">
        <f t="shared" si="877"/>
        <v>0.59074739403330467</v>
      </c>
      <c r="AY359" s="32">
        <f t="shared" si="877"/>
        <v>0.60891365570554967</v>
      </c>
      <c r="AZ359" s="32">
        <f t="shared" si="877"/>
        <v>1.8004347826086955</v>
      </c>
      <c r="BA359" s="32">
        <f t="shared" si="877"/>
        <v>0.92690779270533818</v>
      </c>
      <c r="BB359" s="32">
        <f t="shared" si="877"/>
        <v>2.5722549839985369</v>
      </c>
      <c r="BC359" s="32">
        <f t="shared" si="877"/>
        <v>4.6656818181818185</v>
      </c>
      <c r="BD359" s="32">
        <f t="shared" si="877"/>
        <v>4.0879107534685293</v>
      </c>
      <c r="BE359" s="32">
        <f t="shared" si="877"/>
        <v>2.7398148194529641</v>
      </c>
      <c r="BF359" s="32">
        <f t="shared" si="877"/>
        <v>9.5797058823529415</v>
      </c>
      <c r="BG359" s="32">
        <f t="shared" si="877"/>
        <v>2.1136677476924461</v>
      </c>
      <c r="BH359" s="32">
        <f t="shared" si="877"/>
        <v>0.99042555086392281</v>
      </c>
      <c r="BI359" s="32">
        <f t="shared" si="877"/>
        <v>1.38686397327399</v>
      </c>
      <c r="BJ359" s="32">
        <f t="shared" si="877"/>
        <v>0.48665171441336263</v>
      </c>
      <c r="BK359" s="32"/>
      <c r="BL359" s="32"/>
      <c r="BM359" s="32">
        <f t="shared" ref="BM359:CR359" si="878">+BM12/BM22</f>
        <v>4.8331629213273573</v>
      </c>
      <c r="BN359" s="32">
        <f t="shared" si="878"/>
        <v>5.1088263306604942</v>
      </c>
      <c r="BO359" s="32">
        <f t="shared" si="878"/>
        <v>5.0073097600823449</v>
      </c>
      <c r="BP359" s="32">
        <f t="shared" si="878"/>
        <v>1.1516133934378969</v>
      </c>
      <c r="BQ359" s="32">
        <f t="shared" si="878"/>
        <v>2.6010273698087554</v>
      </c>
      <c r="BR359" s="32">
        <f t="shared" si="878"/>
        <v>1.6185039857111252</v>
      </c>
      <c r="BS359" s="32">
        <f t="shared" si="878"/>
        <v>2.90280489586566</v>
      </c>
      <c r="BT359" s="32">
        <f t="shared" si="878"/>
        <v>3.1726258719219045</v>
      </c>
      <c r="BU359" s="32">
        <f t="shared" si="878"/>
        <v>3.0173998375324738</v>
      </c>
      <c r="BV359" s="32">
        <f t="shared" si="878"/>
        <v>2.7575216065586186</v>
      </c>
      <c r="BW359" s="32">
        <f t="shared" si="878"/>
        <v>2.802779069861332</v>
      </c>
      <c r="BX359" s="32">
        <f t="shared" si="878"/>
        <v>2.7733868749848241</v>
      </c>
      <c r="BY359" s="32">
        <f t="shared" si="878"/>
        <v>2.8479506172911413</v>
      </c>
      <c r="BZ359" s="32">
        <f t="shared" si="878"/>
        <v>2.1528859884738862</v>
      </c>
      <c r="CA359" s="32">
        <f t="shared" si="878"/>
        <v>2.4502259365266119</v>
      </c>
      <c r="CB359" s="32">
        <f t="shared" si="878"/>
        <v>3.0398204223625229</v>
      </c>
      <c r="CC359" s="32">
        <f t="shared" si="878"/>
        <v>1.749599917020539</v>
      </c>
      <c r="CD359" s="32">
        <f t="shared" si="878"/>
        <v>2.3222575779525987</v>
      </c>
      <c r="CE359" s="32">
        <f t="shared" si="878"/>
        <v>2.6129274284032165</v>
      </c>
      <c r="CF359" s="32">
        <f t="shared" si="878"/>
        <v>1.7282237279071717</v>
      </c>
      <c r="CG359" s="32">
        <f t="shared" si="878"/>
        <v>2.1184440829130957</v>
      </c>
      <c r="CH359" s="32">
        <f t="shared" si="878"/>
        <v>2.6733906257540561</v>
      </c>
      <c r="CI359" s="32">
        <f t="shared" si="878"/>
        <v>2.0873675851667461</v>
      </c>
      <c r="CJ359" s="32">
        <f t="shared" si="878"/>
        <v>2.3369804478616256</v>
      </c>
      <c r="CK359" s="32">
        <f t="shared" si="878"/>
        <v>2.4935989902614586</v>
      </c>
      <c r="CL359" s="32">
        <f t="shared" si="878"/>
        <v>2.3331101886158279</v>
      </c>
      <c r="CM359" s="32">
        <f t="shared" si="878"/>
        <v>2.3911103546199883</v>
      </c>
      <c r="CN359" s="32">
        <f t="shared" si="878"/>
        <v>2.5080282208699023</v>
      </c>
      <c r="CO359" s="32">
        <f t="shared" si="878"/>
        <v>2.2719811050632353</v>
      </c>
      <c r="CP359" s="32">
        <f t="shared" si="878"/>
        <v>2.390314343662161</v>
      </c>
      <c r="CQ359" s="32">
        <f t="shared" si="878"/>
        <v>2.5167365772906036</v>
      </c>
      <c r="CR359" s="32">
        <f t="shared" si="878"/>
        <v>2.284421206565586</v>
      </c>
      <c r="CS359" s="32">
        <f t="shared" ref="CS359:DX359" si="879">+CS12/CS22</f>
        <v>2.3946533027747621</v>
      </c>
      <c r="CT359" s="32">
        <f t="shared" si="879"/>
        <v>2.2566671433671814</v>
      </c>
      <c r="CU359" s="32">
        <f t="shared" si="879"/>
        <v>1.7500925736393507</v>
      </c>
      <c r="CV359" s="32">
        <f t="shared" si="879"/>
        <v>1.9805213110012985</v>
      </c>
      <c r="CW359" s="32">
        <f t="shared" si="879"/>
        <v>2.2579343316233773</v>
      </c>
      <c r="CX359" s="32">
        <f t="shared" si="879"/>
        <v>2.0233289189651198</v>
      </c>
      <c r="CY359" s="32">
        <f t="shared" si="879"/>
        <v>2.157731247105835</v>
      </c>
      <c r="CZ359" s="32">
        <f t="shared" si="879"/>
        <v>3.0317262601763626</v>
      </c>
      <c r="DA359" s="32">
        <f t="shared" si="879"/>
        <v>1.5205035606713713</v>
      </c>
      <c r="DB359" s="32">
        <f t="shared" si="879"/>
        <v>2.2159972769025353</v>
      </c>
      <c r="DC359" s="32">
        <f t="shared" si="879"/>
        <v>3.0202520663859227</v>
      </c>
      <c r="DD359" s="32">
        <f t="shared" si="879"/>
        <v>1.6710635095123099</v>
      </c>
      <c r="DE359" s="1061">
        <f t="shared" si="879"/>
        <v>2.2898885280796559</v>
      </c>
      <c r="DF359" s="32">
        <f t="shared" si="879"/>
        <v>2.8951713289108421</v>
      </c>
      <c r="DG359" s="32">
        <f t="shared" si="879"/>
        <v>1.7582471633616106</v>
      </c>
      <c r="DH359" s="1061">
        <f t="shared" si="879"/>
        <v>2.2926750898281179</v>
      </c>
      <c r="DI359" s="32">
        <f t="shared" si="879"/>
        <v>3.8318893727682406</v>
      </c>
      <c r="DJ359" s="32">
        <f t="shared" si="879"/>
        <v>1.0552000436354014</v>
      </c>
      <c r="DK359" s="1061">
        <f t="shared" si="879"/>
        <v>2.3360120275492555</v>
      </c>
      <c r="DL359" s="32">
        <f t="shared" si="879"/>
        <v>3.6839309710353834</v>
      </c>
      <c r="DM359" s="32">
        <f t="shared" si="879"/>
        <v>0.72786613889467822</v>
      </c>
      <c r="DN359" s="1061">
        <f t="shared" si="879"/>
        <v>1.9411701098591636</v>
      </c>
      <c r="DO359" s="32">
        <f t="shared" si="879"/>
        <v>3.147771988414287</v>
      </c>
      <c r="DP359" s="32">
        <f t="shared" si="879"/>
        <v>0.91773421029584379</v>
      </c>
      <c r="DQ359" s="1061">
        <f t="shared" si="879"/>
        <v>1.9282871786062044</v>
      </c>
      <c r="DR359" s="32">
        <f t="shared" si="879"/>
        <v>3.3099239388409676</v>
      </c>
      <c r="DS359" s="32">
        <f t="shared" si="879"/>
        <v>1.0606911750570016</v>
      </c>
      <c r="DT359" s="1061">
        <f t="shared" si="879"/>
        <v>2.0753675966573089</v>
      </c>
      <c r="DU359" s="32">
        <f>+DU12/DU22</f>
        <v>3.1905569023454756</v>
      </c>
      <c r="DV359" s="32">
        <f>+DV12/DV22</f>
        <v>1.2705461914152181</v>
      </c>
      <c r="DW359" s="1061">
        <f>+DW12/DW22</f>
        <v>2.1239565746360896</v>
      </c>
      <c r="DX359" s="32">
        <f t="shared" si="879"/>
        <v>0.59141573544140313</v>
      </c>
      <c r="DY359" s="32">
        <f t="shared" ref="DY359:EF359" si="880">+DY12/DY22</f>
        <v>1.697821531670189</v>
      </c>
      <c r="DZ359" s="1061">
        <f t="shared" si="880"/>
        <v>1.1929722969518888</v>
      </c>
      <c r="EA359" s="32">
        <f t="shared" si="880"/>
        <v>2.6755777160165244</v>
      </c>
      <c r="EB359" s="32">
        <f t="shared" si="880"/>
        <v>1.8532492754583521</v>
      </c>
      <c r="EC359" s="1061">
        <f t="shared" si="880"/>
        <v>2.2597241235465786</v>
      </c>
      <c r="ED359" s="32">
        <f t="shared" si="880"/>
        <v>2.6914982274549244</v>
      </c>
      <c r="EE359" s="32">
        <f t="shared" si="880"/>
        <v>1.8658598095640828</v>
      </c>
      <c r="EF359" s="1061">
        <f t="shared" si="880"/>
        <v>2.2741683841795162</v>
      </c>
      <c r="EG359" s="32">
        <f t="shared" ref="EG359:EL359" si="881">+EG12/EG22</f>
        <v>2.7055595225187332</v>
      </c>
      <c r="EH359" s="32">
        <f t="shared" si="881"/>
        <v>1.8806289731075194</v>
      </c>
      <c r="EI359" s="1061">
        <f t="shared" si="881"/>
        <v>2.283059110269626</v>
      </c>
      <c r="EJ359" s="32">
        <f t="shared" si="881"/>
        <v>2.7189844586314251</v>
      </c>
      <c r="EK359" s="32">
        <f t="shared" si="881"/>
        <v>1.8940949443365973</v>
      </c>
      <c r="EL359" s="1061">
        <f t="shared" si="881"/>
        <v>2.2912316396908405</v>
      </c>
      <c r="EM359" s="32">
        <f t="shared" ref="EM359:ER359" si="882">+EM12/EM22</f>
        <v>2.7322196950197135</v>
      </c>
      <c r="EN359" s="32">
        <f t="shared" si="882"/>
        <v>1.9047123418033209</v>
      </c>
      <c r="EO359" s="1061">
        <f t="shared" si="882"/>
        <v>2.3020293208833547</v>
      </c>
      <c r="EP359" s="32">
        <f t="shared" si="882"/>
        <v>2.7428821873360736</v>
      </c>
      <c r="EQ359" s="32">
        <f t="shared" si="882"/>
        <v>1.9145745220473569</v>
      </c>
      <c r="ER359" s="1061">
        <f t="shared" si="882"/>
        <v>2.308400686876972</v>
      </c>
      <c r="ES359" s="32">
        <f t="shared" ref="ES359:FA359" si="883">+ES12/ES22</f>
        <v>2.7516246306361354</v>
      </c>
      <c r="ET359" s="32">
        <f t="shared" si="883"/>
        <v>1.9221649439105692</v>
      </c>
      <c r="EU359" s="1061">
        <f t="shared" si="883"/>
        <v>2.3139506654957525</v>
      </c>
      <c r="EV359" s="32">
        <f t="shared" si="883"/>
        <v>2.758636351051345</v>
      </c>
      <c r="EW359" s="32">
        <f t="shared" si="883"/>
        <v>1.9279653201378422</v>
      </c>
      <c r="EX359" s="1061">
        <f t="shared" si="883"/>
        <v>2.3186563586156366</v>
      </c>
      <c r="EY359" s="32">
        <f t="shared" si="883"/>
        <v>2.7652336781026983</v>
      </c>
      <c r="EZ359" s="32">
        <f t="shared" si="883"/>
        <v>1.9333553011567053</v>
      </c>
      <c r="FA359" s="1061">
        <f t="shared" si="883"/>
        <v>2.3230103964455973</v>
      </c>
      <c r="FD359"/>
      <c r="FE359"/>
      <c r="FF359"/>
      <c r="FG359"/>
      <c r="FH359"/>
      <c r="FI359"/>
    </row>
    <row r="360" spans="1:165" s="33" customFormat="1" ht="13.5" thickBot="1">
      <c r="B360" s="54" t="s">
        <v>330</v>
      </c>
      <c r="C360" s="54"/>
      <c r="D360" s="2" t="s">
        <v>506</v>
      </c>
      <c r="E360" s="1324"/>
      <c r="F360" s="53">
        <f>+G360</f>
        <v>0</v>
      </c>
      <c r="G360" s="1224"/>
      <c r="H360" s="1325"/>
      <c r="I360" s="53">
        <f>+J360</f>
        <v>0</v>
      </c>
      <c r="J360" s="1224"/>
      <c r="K360" s="1325"/>
      <c r="L360" s="53">
        <f>+M360</f>
        <v>0</v>
      </c>
      <c r="M360" s="1224"/>
      <c r="N360" s="1325"/>
      <c r="O360" s="53">
        <f>+P360</f>
        <v>0</v>
      </c>
      <c r="P360" s="1224"/>
      <c r="Q360" s="1325"/>
      <c r="R360" s="53">
        <f>+S360</f>
        <v>0</v>
      </c>
      <c r="S360" s="1224"/>
      <c r="T360" s="1325"/>
      <c r="U360" s="53">
        <f>+V360</f>
        <v>0</v>
      </c>
      <c r="V360" s="1224"/>
      <c r="W360" s="1325"/>
      <c r="X360" s="53">
        <f>+Y360</f>
        <v>0</v>
      </c>
      <c r="Y360" s="1224"/>
      <c r="Z360" s="1325"/>
      <c r="AA360" s="53">
        <f>+AB360</f>
        <v>0</v>
      </c>
      <c r="AB360" s="1224"/>
      <c r="AC360" s="1325"/>
      <c r="AD360" s="53">
        <f>+AE360</f>
        <v>0</v>
      </c>
      <c r="AE360" s="1224"/>
      <c r="AF360" s="1325"/>
      <c r="AG360" s="53">
        <f>+AH360</f>
        <v>0</v>
      </c>
      <c r="AH360" s="1224"/>
      <c r="AI360" s="1325"/>
      <c r="AJ360" s="53">
        <f>+AK360</f>
        <v>0</v>
      </c>
      <c r="AK360" s="1224"/>
      <c r="AL360" s="1325"/>
      <c r="AM360" s="53">
        <f>+AN360</f>
        <v>0</v>
      </c>
      <c r="AN360" s="1224"/>
      <c r="AO360" s="1325"/>
      <c r="AP360" s="53">
        <f>+AQ360</f>
        <v>0</v>
      </c>
      <c r="AQ360" s="1224"/>
      <c r="AR360" s="1325"/>
      <c r="AS360" s="53">
        <f>+AT360</f>
        <v>0</v>
      </c>
      <c r="AT360" s="1225">
        <v>0</v>
      </c>
      <c r="AU360" s="1325"/>
      <c r="AV360" s="53">
        <f>+AW360</f>
        <v>0</v>
      </c>
      <c r="AW360" s="1225">
        <v>0</v>
      </c>
      <c r="AX360" s="1325"/>
      <c r="AY360" s="53">
        <f>+AZ360</f>
        <v>0.55542139579811645</v>
      </c>
      <c r="AZ360" s="1224">
        <f>IF(Assumptions!AZ205&lt;&gt;"0",Assumptions!AZ205,0)</f>
        <v>0.55542139579811645</v>
      </c>
      <c r="BA360" s="1325">
        <f>IF(Assumptions!BA205&lt;&gt;"0",Assumptions!BA205,0)</f>
        <v>0</v>
      </c>
      <c r="BB360" s="53">
        <f>+BC360</f>
        <v>0</v>
      </c>
      <c r="BC360" s="1224">
        <f>IF(Assumptions!BC205&lt;&gt;"0",Assumptions!BC205,0)</f>
        <v>0</v>
      </c>
      <c r="BD360" s="1325">
        <f>Assumptions!BD205</f>
        <v>0</v>
      </c>
      <c r="BE360" s="53">
        <f>+BF360</f>
        <v>0</v>
      </c>
      <c r="BF360" s="1224">
        <f>IF(Assumptions!BF205&lt;&gt;"0",Assumptions!BF205,0)</f>
        <v>0</v>
      </c>
      <c r="BG360" s="1325">
        <f>IF(Assumptions!BG205&lt;&gt;"0",Assumptions!BG205,0)</f>
        <v>0</v>
      </c>
      <c r="BH360" s="53">
        <f>+BI360</f>
        <v>0</v>
      </c>
      <c r="BI360" s="1224">
        <f>IF(Assumptions!BI205&lt;&gt;"0",Assumptions!BI205,0)</f>
        <v>0</v>
      </c>
      <c r="BJ360" s="1325">
        <f>IF(Assumptions!BJ205&lt;&gt;"0",Assumptions!BJ205,0)</f>
        <v>0</v>
      </c>
      <c r="BK360" s="53">
        <f>+BL360</f>
        <v>0</v>
      </c>
      <c r="BL360" s="1224">
        <f>IF(Assumptions!BL205&lt;&gt;"0",Assumptions!BL205,0)</f>
        <v>0</v>
      </c>
      <c r="BM360" s="1325">
        <f>IF(Assumptions!BM205&lt;&gt;"0",Assumptions!BM205,0)</f>
        <v>0</v>
      </c>
      <c r="BN360" s="53">
        <f>+BO360</f>
        <v>0</v>
      </c>
      <c r="BO360" s="1227">
        <f>IF(Assumptions!BO205&lt;&gt;"0",Assumptions!BO205,0)</f>
        <v>0</v>
      </c>
      <c r="BP360" s="1325">
        <f>IF(Assumptions!BP205&lt;&gt;"0",Assumptions!BP205,0)</f>
        <v>0</v>
      </c>
      <c r="BQ360" s="53">
        <f>+BR360</f>
        <v>0</v>
      </c>
      <c r="BR360" s="1227">
        <f>IF(Assumptions!BR205&lt;&gt;"0",Assumptions!BR205,0)</f>
        <v>0</v>
      </c>
      <c r="BS360" s="1325">
        <f>IF(Assumptions!BS205&lt;&gt;"0",Assumptions!BS205,0)</f>
        <v>0</v>
      </c>
      <c r="BT360" s="53">
        <f>+BU360</f>
        <v>0</v>
      </c>
      <c r="BU360" s="1227">
        <f>IF(Assumptions!BU205&lt;&gt;"0",Assumptions!BU205,0)</f>
        <v>0</v>
      </c>
      <c r="BV360" s="1325">
        <f>IF(Assumptions!BV205&lt;&gt;"0",Assumptions!BV205,0)</f>
        <v>0</v>
      </c>
      <c r="BW360" s="53">
        <f>+BX360</f>
        <v>0</v>
      </c>
      <c r="BX360" s="1227">
        <f>IF(Assumptions!BX205&lt;&gt;"0",Assumptions!BX205,0)</f>
        <v>0</v>
      </c>
      <c r="BY360" s="1325">
        <f>IF(Assumptions!BY205&lt;&gt;"0",Assumptions!BY205,0)</f>
        <v>0</v>
      </c>
      <c r="BZ360" s="53">
        <f>+CA360</f>
        <v>0</v>
      </c>
      <c r="CA360" s="1227">
        <f>IF(Assumptions!CA205&lt;&gt;"0",Assumptions!CA205,0)</f>
        <v>0</v>
      </c>
      <c r="CB360" s="1325">
        <f>IF(Assumptions!CB205&lt;&gt;"0",Assumptions!CB205,0)</f>
        <v>0</v>
      </c>
      <c r="CC360" s="53">
        <f>+CD360</f>
        <v>0</v>
      </c>
      <c r="CD360" s="1227">
        <f>IF(Assumptions!CD205&lt;&gt;"0",Assumptions!CD205,0)</f>
        <v>0</v>
      </c>
      <c r="CE360" s="1325">
        <f>IF(Assumptions!CE205&lt;&gt;"0",Assumptions!CE205,0)</f>
        <v>0</v>
      </c>
      <c r="CF360" s="53">
        <f>+CG360</f>
        <v>0</v>
      </c>
      <c r="CG360" s="1227">
        <f>IF(Assumptions!CG205&lt;&gt;"0",Assumptions!CG205,0)</f>
        <v>0</v>
      </c>
      <c r="CH360" s="1325">
        <f>IF(Assumptions!CH205&lt;&gt;"0",Assumptions!CH205,0)</f>
        <v>0</v>
      </c>
      <c r="CI360" s="53">
        <f>+CJ360</f>
        <v>0</v>
      </c>
      <c r="CJ360" s="1227">
        <f>IF(Assumptions!CJ205&lt;&gt;"0",Assumptions!CJ205,0)</f>
        <v>0</v>
      </c>
      <c r="CK360" s="1325">
        <f>IF(Assumptions!CK205&lt;&gt;"0",Assumptions!CK205,0)</f>
        <v>0</v>
      </c>
      <c r="CL360" s="53">
        <f>+CM360</f>
        <v>0</v>
      </c>
      <c r="CM360" s="1227">
        <f>IF(Assumptions!CM205&lt;&gt;"0",Assumptions!CM205,0)</f>
        <v>0</v>
      </c>
      <c r="CN360" s="1325">
        <f>IF(Assumptions!CN205&lt;&gt;"0",Assumptions!CN205,0)</f>
        <v>0</v>
      </c>
      <c r="CO360" s="53">
        <f>+CP360</f>
        <v>0</v>
      </c>
      <c r="CP360" s="1227">
        <f>IF(Assumptions!CP205&lt;&gt;"0",Assumptions!CP205,0)</f>
        <v>0</v>
      </c>
      <c r="CQ360" s="1325">
        <f>IF(Assumptions!CQ205&lt;&gt;"0",Assumptions!CQ205,0)</f>
        <v>0</v>
      </c>
      <c r="CR360" s="53">
        <f>+CS360</f>
        <v>0</v>
      </c>
      <c r="CS360" s="1227">
        <f>IF(Assumptions!CS205&lt;&gt;"0",Assumptions!CS205,0)</f>
        <v>0</v>
      </c>
      <c r="CT360" s="1325">
        <f>IF(Assumptions!CT205&lt;&gt;"0",Assumptions!CT205,0)</f>
        <v>0</v>
      </c>
      <c r="CU360" s="53">
        <f>+CV360</f>
        <v>0</v>
      </c>
      <c r="CV360" s="1227">
        <f>IF(Assumptions!CV205&lt;&gt;"0",Assumptions!CV205,0)</f>
        <v>0</v>
      </c>
      <c r="CW360" s="1325">
        <f>IF(Assumptions!CW205&lt;&gt;"0",Assumptions!CW205,0)</f>
        <v>0</v>
      </c>
      <c r="CX360" s="53">
        <f>+CY360</f>
        <v>0</v>
      </c>
      <c r="CY360" s="1227">
        <f>IF(Assumptions!CY205&lt;&gt;"0",Assumptions!CY205,0)</f>
        <v>0</v>
      </c>
      <c r="CZ360" s="1325">
        <f>IF(Assumptions!CZ205&lt;&gt;"0",Assumptions!CZ205,0)</f>
        <v>0</v>
      </c>
      <c r="DA360" s="53">
        <f>+DB360</f>
        <v>0</v>
      </c>
      <c r="DB360" s="1227">
        <f>IF(Assumptions!DB205&lt;&gt;"0",Assumptions!DB205,0)</f>
        <v>0</v>
      </c>
      <c r="DC360" s="1325">
        <f>IF(Assumptions!DC205&lt;&gt;"0",Assumptions!DC205,0)</f>
        <v>0</v>
      </c>
      <c r="DD360" s="53">
        <f>+DE360</f>
        <v>0</v>
      </c>
      <c r="DE360" s="1326">
        <f>IF(Assumptions!DE205&lt;&gt;"0",Assumptions!DE205,0)</f>
        <v>0</v>
      </c>
      <c r="DF360" s="1325">
        <f>IF(Assumptions!DF205&lt;&gt;"0",Assumptions!DF205,0)</f>
        <v>0</v>
      </c>
      <c r="DG360" s="53">
        <f>+DH360</f>
        <v>0</v>
      </c>
      <c r="DH360" s="1326">
        <f>IF(Assumptions!DH205&lt;&gt;"0",Assumptions!DH205,0)</f>
        <v>0</v>
      </c>
      <c r="DI360" s="1325">
        <f>IF(Assumptions!DI205&lt;&gt;"0",Assumptions!DI205,0)</f>
        <v>0</v>
      </c>
      <c r="DJ360" s="53">
        <f>+DK360</f>
        <v>0</v>
      </c>
      <c r="DK360" s="1326">
        <f>IF(Assumptions!DK205&lt;&gt;"0",Assumptions!DK205,0)</f>
        <v>0</v>
      </c>
      <c r="DL360" s="1325">
        <f>IF(Assumptions!DL205&lt;&gt;"0",Assumptions!DL205,0)</f>
        <v>0</v>
      </c>
      <c r="DM360" s="53">
        <f>+DN360</f>
        <v>0</v>
      </c>
      <c r="DN360" s="1326">
        <f>IF(Assumptions!DN205&lt;&gt;"0",Assumptions!DN205,0)</f>
        <v>0</v>
      </c>
      <c r="DO360" s="1325">
        <f>IF(Assumptions!DO205&lt;&gt;"0",Assumptions!DO205,0)</f>
        <v>0</v>
      </c>
      <c r="DP360" s="53">
        <f>+DQ360</f>
        <v>0</v>
      </c>
      <c r="DQ360" s="1326">
        <f>IF(Assumptions!DQ205&lt;&gt;"0",Assumptions!DQ205,0)</f>
        <v>0</v>
      </c>
      <c r="DR360" s="1325">
        <f>IF(Assumptions!DR205&lt;&gt;"0",Assumptions!DR205,0)</f>
        <v>0</v>
      </c>
      <c r="DS360" s="53">
        <f>+DT360</f>
        <v>0</v>
      </c>
      <c r="DT360" s="1326">
        <f>IF(Assumptions!DT205&lt;&gt;"0",Assumptions!DT205,0)</f>
        <v>0</v>
      </c>
      <c r="DU360" s="1325">
        <f>IF(Assumptions!DU205&lt;&gt;"0",Assumptions!DU205,0)</f>
        <v>0</v>
      </c>
      <c r="DV360" s="53">
        <f>+DW360</f>
        <v>0</v>
      </c>
      <c r="DW360" s="1326">
        <f>IF(Assumptions!DW205&lt;&gt;"0",Assumptions!DW205,0)</f>
        <v>0</v>
      </c>
      <c r="DX360" s="1325">
        <f>IF(Assumptions!DX205&lt;&gt;"0",Assumptions!DX205,0)</f>
        <v>0</v>
      </c>
      <c r="DY360" s="53">
        <f>+DZ360</f>
        <v>0</v>
      </c>
      <c r="DZ360" s="1326">
        <f>IF(Assumptions!DZ205&lt;&gt;"0",Assumptions!DZ205,0)</f>
        <v>0</v>
      </c>
      <c r="EA360" s="1325">
        <f>IF(Assumptions!EA205&lt;&gt;"0",Assumptions!EA205,0)</f>
        <v>0</v>
      </c>
      <c r="EB360" s="53">
        <f>+EC360</f>
        <v>0</v>
      </c>
      <c r="EC360" s="1326">
        <f>IF(Assumptions!EC205&lt;&gt;"0",Assumptions!EC205,0)</f>
        <v>0</v>
      </c>
      <c r="ED360" s="1325">
        <f>IF(Assumptions!ED205&lt;&gt;"0",Assumptions!ED205,0)</f>
        <v>0</v>
      </c>
      <c r="EE360" s="53">
        <f>+EF360</f>
        <v>0</v>
      </c>
      <c r="EF360" s="1326">
        <f>IF(Assumptions!EF205&lt;&gt;"0",Assumptions!EF205,0)</f>
        <v>0</v>
      </c>
      <c r="EG360" s="1325">
        <f>IF(Assumptions!EG205&lt;&gt;"0",Assumptions!EG205,0)</f>
        <v>0</v>
      </c>
      <c r="EH360" s="53">
        <f>+EI360</f>
        <v>0</v>
      </c>
      <c r="EI360" s="1326">
        <f>IF(Assumptions!EI205&lt;&gt;"0",Assumptions!EI205,0)</f>
        <v>0</v>
      </c>
      <c r="EJ360" s="1325">
        <f>IF(Assumptions!EJ205&lt;&gt;"0",Assumptions!EJ205,0)</f>
        <v>0</v>
      </c>
      <c r="EK360" s="53">
        <f>+EL360</f>
        <v>0</v>
      </c>
      <c r="EL360" s="1326">
        <f>IF(Assumptions!EL205&lt;&gt;"0",Assumptions!EL205,0)</f>
        <v>0</v>
      </c>
      <c r="EM360" s="1325">
        <f>IF(Assumptions!EM205&lt;&gt;"0",Assumptions!EM205,0)</f>
        <v>0</v>
      </c>
      <c r="EN360" s="53">
        <f>+EO360</f>
        <v>0</v>
      </c>
      <c r="EO360" s="1326">
        <f>IF(Assumptions!EO205&lt;&gt;"0",Assumptions!EO205,0)</f>
        <v>0</v>
      </c>
      <c r="EP360" s="1325">
        <f>IF(Assumptions!EP205&lt;&gt;"0",Assumptions!EP205,0)</f>
        <v>0</v>
      </c>
      <c r="EQ360" s="53">
        <f>+ER360</f>
        <v>0</v>
      </c>
      <c r="ER360" s="1326">
        <f>IF(Assumptions!ER205&lt;&gt;"0",Assumptions!ER205,0)</f>
        <v>0</v>
      </c>
      <c r="ES360" s="1325">
        <f>IF(Assumptions!ES205&lt;&gt;"0",Assumptions!ES205,0)</f>
        <v>0</v>
      </c>
      <c r="ET360" s="53">
        <f>+EU360</f>
        <v>0</v>
      </c>
      <c r="EU360" s="1326">
        <f>IF(Assumptions!EU205&lt;&gt;"0",Assumptions!EU205,0)</f>
        <v>0</v>
      </c>
      <c r="EV360" s="1325">
        <f>IF(Assumptions!EV205&lt;&gt;"0",Assumptions!EV205,0)</f>
        <v>0</v>
      </c>
      <c r="EW360" s="53">
        <f>+EX360</f>
        <v>0</v>
      </c>
      <c r="EX360" s="1326">
        <f>IF(Assumptions!EX205&lt;&gt;"0",Assumptions!EX205,0)</f>
        <v>0</v>
      </c>
      <c r="EY360" s="1325">
        <f>IF(Assumptions!EY205&lt;&gt;"0",Assumptions!EY205,0)</f>
        <v>0</v>
      </c>
      <c r="EZ360" s="53">
        <f>+FA360</f>
        <v>0</v>
      </c>
      <c r="FA360" s="1326">
        <f>IF(Assumptions!FA205&lt;&gt;"0",Assumptions!FA205,0)</f>
        <v>0</v>
      </c>
      <c r="FD360"/>
      <c r="FE360"/>
      <c r="FF360"/>
      <c r="FG360"/>
      <c r="FH360"/>
      <c r="FI360"/>
    </row>
    <row r="361" spans="1:165" s="33" customFormat="1">
      <c r="B361" s="122" t="s">
        <v>16</v>
      </c>
      <c r="C361" s="54"/>
      <c r="D361" s="2"/>
      <c r="E361" s="1327"/>
      <c r="F361" s="1328"/>
      <c r="G361" s="1329"/>
      <c r="H361" s="1327"/>
      <c r="I361" s="1328"/>
      <c r="J361" s="1329"/>
      <c r="K361" s="1327"/>
      <c r="L361" s="1328"/>
      <c r="M361" s="1329"/>
      <c r="N361" s="1327"/>
      <c r="O361" s="1328"/>
      <c r="P361" s="1329"/>
      <c r="Q361" s="1327"/>
      <c r="R361" s="1328"/>
      <c r="S361" s="1329"/>
      <c r="T361" s="1327"/>
      <c r="U361" s="1328"/>
      <c r="V361" s="1329"/>
      <c r="W361" s="1327"/>
      <c r="X361" s="1328"/>
      <c r="Y361" s="1329"/>
      <c r="Z361" s="1327"/>
      <c r="AA361" s="1328"/>
      <c r="AB361" s="1329"/>
      <c r="AC361" s="1327"/>
      <c r="AD361" s="1328"/>
      <c r="AE361" s="1329"/>
      <c r="AF361" s="1327"/>
      <c r="AG361" s="1328"/>
      <c r="AH361" s="1329"/>
      <c r="AI361" s="1327"/>
      <c r="AJ361" s="1328"/>
      <c r="AK361" s="1329"/>
      <c r="AL361" s="1327"/>
      <c r="AM361" s="1328"/>
      <c r="AN361" s="1329"/>
      <c r="AO361" s="1327"/>
      <c r="AP361" s="1328"/>
      <c r="AQ361" s="1329"/>
      <c r="AR361" s="1327"/>
      <c r="AS361" s="1328"/>
      <c r="AT361" s="1329"/>
      <c r="AU361" s="1330">
        <v>36213</v>
      </c>
      <c r="AV361" s="1331">
        <v>36420</v>
      </c>
      <c r="AW361" s="1329"/>
      <c r="AX361" s="1330">
        <v>36588</v>
      </c>
      <c r="AY361" s="1328"/>
      <c r="AZ361" s="1329"/>
      <c r="BA361" s="1327" t="str">
        <f>IF(Assumptions!BA206&lt;&gt;"",Assumptions!BA206,"")</f>
        <v/>
      </c>
      <c r="BB361" s="1328" t="str">
        <f>IF(Assumptions!BB206&lt;&gt;"",Assumptions!BB206,"")</f>
        <v/>
      </c>
      <c r="BC361" s="1329"/>
      <c r="BD361" s="1327" t="str">
        <f>IF(Assumptions!BD206&lt;&gt;"",Assumptions!BD206,"")</f>
        <v/>
      </c>
      <c r="BE361" s="1328" t="str">
        <f>IF(Assumptions!BE206&lt;&gt;"",Assumptions!BE206,"")</f>
        <v/>
      </c>
      <c r="BF361" s="1329"/>
      <c r="BG361" s="1327" t="str">
        <f>IF(Assumptions!BG206&lt;&gt;"",Assumptions!BG206,"")</f>
        <v/>
      </c>
      <c r="BH361" s="1328" t="str">
        <f>IF(Assumptions!BH206&lt;&gt;"",Assumptions!BH206,"")</f>
        <v/>
      </c>
      <c r="BI361" s="1329"/>
      <c r="BJ361" s="1327" t="str">
        <f>IF(Assumptions!BJ206&lt;&gt;"",Assumptions!BJ206,"")</f>
        <v/>
      </c>
      <c r="BK361" s="1328" t="str">
        <f>IF(Assumptions!BK206&lt;&gt;"",Assumptions!BK206,"")</f>
        <v/>
      </c>
      <c r="BL361" s="1329"/>
      <c r="BM361" s="1327" t="str">
        <f>IF(Assumptions!BM206&lt;&gt;"",Assumptions!BM206,"")</f>
        <v/>
      </c>
      <c r="BN361" s="1328" t="str">
        <f>IF(Assumptions!BN206&lt;&gt;"",Assumptions!BN206,"")</f>
        <v/>
      </c>
      <c r="BO361" s="1329"/>
      <c r="BP361" s="1327" t="str">
        <f>IF(Assumptions!BP206&lt;&gt;"",Assumptions!BP206,"")</f>
        <v/>
      </c>
      <c r="BQ361" s="1328" t="str">
        <f>IF(Assumptions!BQ206&lt;&gt;"",Assumptions!BQ206,"")</f>
        <v/>
      </c>
      <c r="BR361" s="1329"/>
      <c r="BS361" s="1327" t="str">
        <f>IF(Assumptions!BS206&lt;&gt;"",Assumptions!BS206,"")</f>
        <v/>
      </c>
      <c r="BT361" s="1328" t="str">
        <f>IF(Assumptions!BT206&lt;&gt;"",Assumptions!BT206,"")</f>
        <v/>
      </c>
      <c r="BU361" s="1329"/>
      <c r="BV361" s="1327" t="str">
        <f>IF(Assumptions!BV206&lt;&gt;"",Assumptions!BV206,"")</f>
        <v/>
      </c>
      <c r="BW361" s="1328" t="str">
        <f>IF(Assumptions!BW206&lt;&gt;"",Assumptions!BW206,"")</f>
        <v/>
      </c>
      <c r="BX361" s="1329"/>
      <c r="BY361" s="1327" t="str">
        <f>IF(Assumptions!BY206&lt;&gt;"",Assumptions!BY206,"")</f>
        <v/>
      </c>
      <c r="BZ361" s="1328" t="str">
        <f>IF(Assumptions!BZ206&lt;&gt;"",Assumptions!BZ206,"")</f>
        <v/>
      </c>
      <c r="CA361" s="1329"/>
      <c r="CB361" s="1327" t="str">
        <f>IF(Assumptions!CB206&lt;&gt;"",Assumptions!CB206,"")</f>
        <v/>
      </c>
      <c r="CC361" s="1328" t="str">
        <f>IF(Assumptions!CC206&lt;&gt;"",Assumptions!CC206,"")</f>
        <v/>
      </c>
      <c r="CD361" s="1329"/>
      <c r="CE361" s="1327" t="str">
        <f>IF(Assumptions!CE206&lt;&gt;"",Assumptions!CE206,"")</f>
        <v/>
      </c>
      <c r="CF361" s="1328" t="str">
        <f>IF(Assumptions!CF206&lt;&gt;"",Assumptions!CF206,"")</f>
        <v/>
      </c>
      <c r="CG361" s="1329"/>
      <c r="CH361" s="1327" t="str">
        <f>IF(Assumptions!CH206&lt;&gt;"",Assumptions!CH206,"")</f>
        <v/>
      </c>
      <c r="CI361" s="1328" t="str">
        <f>IF(Assumptions!CI206&lt;&gt;"",Assumptions!CI206,"")</f>
        <v/>
      </c>
      <c r="CJ361" s="1329"/>
      <c r="CK361" s="1327" t="str">
        <f>IF(Assumptions!CK206&lt;&gt;"",Assumptions!CK206,"")</f>
        <v/>
      </c>
      <c r="CL361" s="1328" t="str">
        <f>IF(Assumptions!CL206&lt;&gt;"",Assumptions!CL206,"")</f>
        <v/>
      </c>
      <c r="CM361" s="1329"/>
      <c r="CN361" s="1327" t="str">
        <f>IF(Assumptions!CN206&lt;&gt;"",Assumptions!CN206,"")</f>
        <v/>
      </c>
      <c r="CO361" s="1328" t="str">
        <f>IF(Assumptions!CO206&lt;&gt;"",Assumptions!CO206,"")</f>
        <v/>
      </c>
      <c r="CP361" s="1329"/>
      <c r="CQ361" s="1327" t="str">
        <f>IF(Assumptions!CQ206&lt;&gt;"",Assumptions!CQ206,"")</f>
        <v/>
      </c>
      <c r="CR361" s="1328" t="str">
        <f>IF(Assumptions!CR206&lt;&gt;"",Assumptions!CR206,"")</f>
        <v/>
      </c>
      <c r="CS361" s="1329"/>
      <c r="CT361" s="1327" t="str">
        <f>IF(Assumptions!CT206&lt;&gt;"",Assumptions!CT206,"")</f>
        <v/>
      </c>
      <c r="CU361" s="1328" t="str">
        <f>IF(Assumptions!CU206&lt;&gt;"",Assumptions!CU206,"")</f>
        <v/>
      </c>
      <c r="CV361" s="1329"/>
      <c r="CW361" s="1327" t="str">
        <f>IF(Assumptions!CW206&lt;&gt;"",Assumptions!CW206,"")</f>
        <v/>
      </c>
      <c r="CX361" s="1328" t="str">
        <f>IF(Assumptions!CX206&lt;&gt;"",Assumptions!CX206,"")</f>
        <v/>
      </c>
      <c r="CY361" s="1329"/>
      <c r="CZ361" s="1327" t="str">
        <f>IF(Assumptions!CZ206&lt;&gt;"",Assumptions!CZ206,"")</f>
        <v/>
      </c>
      <c r="DA361" s="1328" t="str">
        <f>IF(Assumptions!DA206&lt;&gt;"",Assumptions!DA206,"")</f>
        <v/>
      </c>
      <c r="DB361" s="1329"/>
      <c r="DC361" s="1327" t="str">
        <f>IF(Assumptions!DC206&lt;&gt;"",Assumptions!DC206,"")</f>
        <v/>
      </c>
      <c r="DD361" s="1328" t="str">
        <f>IF(Assumptions!DD206&lt;&gt;"",Assumptions!DD206,"")</f>
        <v/>
      </c>
      <c r="DE361" s="1332"/>
      <c r="DF361" s="1329" t="str">
        <f>IF(Assumptions!DF206&lt;&gt;"",Assumptions!DF206,"")</f>
        <v/>
      </c>
      <c r="DG361" s="1328" t="str">
        <f>IF(Assumptions!DG206&lt;&gt;"",Assumptions!DG206,"")</f>
        <v/>
      </c>
      <c r="DH361" s="1332"/>
      <c r="DI361" s="1329" t="str">
        <f>IF(Assumptions!DI206&lt;&gt;"",Assumptions!DI206,"")</f>
        <v/>
      </c>
      <c r="DJ361" s="1328" t="str">
        <f>IF(Assumptions!DJ206&lt;&gt;"",Assumptions!DJ206,"")</f>
        <v/>
      </c>
      <c r="DK361" s="1332"/>
      <c r="DL361" s="1329" t="str">
        <f>IF(Assumptions!DL206&lt;&gt;"",Assumptions!DL206,"")</f>
        <v/>
      </c>
      <c r="DM361" s="1328" t="str">
        <f>IF(Assumptions!DM206&lt;&gt;"",Assumptions!DM206,"")</f>
        <v/>
      </c>
      <c r="DN361" s="1332"/>
      <c r="DO361" s="1329" t="str">
        <f>IF(Assumptions!DO206&lt;&gt;"",Assumptions!DO206,"")</f>
        <v/>
      </c>
      <c r="DP361" s="1328" t="str">
        <f>IF(Assumptions!DP206&lt;&gt;"",Assumptions!DP206,"")</f>
        <v/>
      </c>
      <c r="DQ361" s="1332"/>
      <c r="DR361" s="1329" t="str">
        <f>IF(Assumptions!DR206&lt;&gt;"",Assumptions!DR206,"")</f>
        <v/>
      </c>
      <c r="DS361" s="1328" t="str">
        <f>IF(Assumptions!DS206&lt;&gt;"",Assumptions!DS206,"")</f>
        <v/>
      </c>
      <c r="DT361" s="1332"/>
      <c r="DU361" s="1329" t="str">
        <f>IF(Assumptions!DU206&lt;&gt;"",Assumptions!DU206,"")</f>
        <v/>
      </c>
      <c r="DV361" s="1328" t="str">
        <f>IF(Assumptions!DV206&lt;&gt;"",Assumptions!DV206,"")</f>
        <v/>
      </c>
      <c r="DW361" s="1332"/>
      <c r="DX361" s="1329" t="str">
        <f>IF(Assumptions!DX206&lt;&gt;"",Assumptions!DX206,"")</f>
        <v/>
      </c>
      <c r="DY361" s="1328" t="str">
        <f>IF(Assumptions!DY206&lt;&gt;"",Assumptions!DY206,"")</f>
        <v/>
      </c>
      <c r="DZ361" s="1332"/>
      <c r="EA361" s="1329" t="str">
        <f>IF(Assumptions!EA206&lt;&gt;"",Assumptions!EA206,"")</f>
        <v/>
      </c>
      <c r="EB361" s="1328" t="str">
        <f>IF(Assumptions!EB206&lt;&gt;"",Assumptions!EB206,"")</f>
        <v/>
      </c>
      <c r="EC361" s="1332"/>
      <c r="ED361" s="1329" t="str">
        <f>IF(Assumptions!ED206&lt;&gt;"",Assumptions!ED206,"")</f>
        <v/>
      </c>
      <c r="EE361" s="1328" t="str">
        <f>IF(Assumptions!EE206&lt;&gt;"",Assumptions!EE206,"")</f>
        <v/>
      </c>
      <c r="EF361" s="1332"/>
      <c r="EG361" s="1329" t="str">
        <f>IF(Assumptions!EG206&lt;&gt;"",Assumptions!EG206,"")</f>
        <v/>
      </c>
      <c r="EH361" s="1328" t="str">
        <f>IF(Assumptions!EH206&lt;&gt;"",Assumptions!EH206,"")</f>
        <v/>
      </c>
      <c r="EI361" s="1332"/>
      <c r="EJ361" s="1329" t="str">
        <f>IF(Assumptions!EJ206&lt;&gt;"",Assumptions!EJ206,"")</f>
        <v/>
      </c>
      <c r="EK361" s="1328" t="str">
        <f>IF(Assumptions!EK206&lt;&gt;"",Assumptions!EK206,"")</f>
        <v/>
      </c>
      <c r="EL361" s="1332"/>
      <c r="EM361" s="1329" t="str">
        <f>IF(Assumptions!EM206&lt;&gt;"",Assumptions!EM206,"")</f>
        <v/>
      </c>
      <c r="EN361" s="1328" t="str">
        <f>IF(Assumptions!EN206&lt;&gt;"",Assumptions!EN206,"")</f>
        <v/>
      </c>
      <c r="EO361" s="1332"/>
      <c r="EP361" s="1329" t="str">
        <f>IF(Assumptions!EP206&lt;&gt;"",Assumptions!EP206,"")</f>
        <v/>
      </c>
      <c r="EQ361" s="1328" t="str">
        <f>IF(Assumptions!EQ206&lt;&gt;"",Assumptions!EQ206,"")</f>
        <v/>
      </c>
      <c r="ER361" s="1332"/>
      <c r="ES361" s="1329" t="str">
        <f>IF(Assumptions!ES206&lt;&gt;"",Assumptions!ES206,"")</f>
        <v/>
      </c>
      <c r="ET361" s="1328" t="str">
        <f>IF(Assumptions!ET206&lt;&gt;"",Assumptions!ET206,"")</f>
        <v/>
      </c>
      <c r="EU361" s="1332"/>
      <c r="EV361" s="1329" t="str">
        <f>IF(Assumptions!EV206&lt;&gt;"",Assumptions!EV206,"")</f>
        <v/>
      </c>
      <c r="EW361" s="1328" t="str">
        <f>IF(Assumptions!EW206&lt;&gt;"",Assumptions!EW206,"")</f>
        <v/>
      </c>
      <c r="EX361" s="1332"/>
      <c r="EY361" s="1329" t="str">
        <f>IF(Assumptions!EY206&lt;&gt;"",Assumptions!EY206,"")</f>
        <v/>
      </c>
      <c r="EZ361" s="1328" t="str">
        <f>IF(Assumptions!EZ206&lt;&gt;"",Assumptions!EZ206,"")</f>
        <v/>
      </c>
      <c r="FA361" s="1332"/>
      <c r="FD361"/>
      <c r="FE361"/>
      <c r="FF361"/>
      <c r="FG361"/>
      <c r="FH361"/>
      <c r="FI361"/>
    </row>
    <row r="362" spans="1:165" s="33" customFormat="1" ht="13.5" thickBot="1">
      <c r="B362" s="122" t="s">
        <v>17</v>
      </c>
      <c r="C362" s="54"/>
      <c r="D362" s="2"/>
      <c r="E362" s="1333"/>
      <c r="F362" s="1334"/>
      <c r="G362" s="1329"/>
      <c r="H362" s="1333"/>
      <c r="I362" s="1334"/>
      <c r="J362" s="1329"/>
      <c r="K362" s="1333"/>
      <c r="L362" s="1334"/>
      <c r="M362" s="1329"/>
      <c r="N362" s="1333"/>
      <c r="O362" s="1334"/>
      <c r="P362" s="1329"/>
      <c r="Q362" s="1333"/>
      <c r="R362" s="1334"/>
      <c r="S362" s="1329"/>
      <c r="T362" s="1333"/>
      <c r="U362" s="1334"/>
      <c r="V362" s="1329"/>
      <c r="W362" s="1333"/>
      <c r="X362" s="1334"/>
      <c r="Y362" s="1329"/>
      <c r="Z362" s="1333"/>
      <c r="AA362" s="1334"/>
      <c r="AB362" s="1329"/>
      <c r="AC362" s="1333"/>
      <c r="AD362" s="1334"/>
      <c r="AE362" s="1329"/>
      <c r="AF362" s="1333"/>
      <c r="AG362" s="1334"/>
      <c r="AH362" s="1329"/>
      <c r="AI362" s="1333"/>
      <c r="AJ362" s="1334"/>
      <c r="AK362" s="1329"/>
      <c r="AL362" s="1333"/>
      <c r="AM362" s="1334"/>
      <c r="AN362" s="1329"/>
      <c r="AO362" s="1333"/>
      <c r="AP362" s="1334"/>
      <c r="AQ362" s="1329"/>
      <c r="AR362" s="1333"/>
      <c r="AS362" s="1334"/>
      <c r="AT362" s="1329"/>
      <c r="AU362" s="1335">
        <v>36245</v>
      </c>
      <c r="AV362" s="1336">
        <v>36448</v>
      </c>
      <c r="AW362" s="1329"/>
      <c r="AX362" s="1335">
        <v>36616</v>
      </c>
      <c r="AY362" s="1334"/>
      <c r="AZ362" s="1329"/>
      <c r="BA362" s="1333" t="str">
        <f>IF(Assumptions!BA207&lt;&gt;"",Assumptions!BA207,"")</f>
        <v/>
      </c>
      <c r="BB362" s="1334" t="str">
        <f>IF(Assumptions!BB207&lt;&gt;"",Assumptions!BB207,"")</f>
        <v/>
      </c>
      <c r="BC362" s="1329"/>
      <c r="BD362" s="1333">
        <f>Assumptions!BD207</f>
        <v>0</v>
      </c>
      <c r="BE362" s="1334" t="str">
        <f>IF(Assumptions!BE207&lt;&gt;"",Assumptions!BE207,"")</f>
        <v/>
      </c>
      <c r="BF362" s="1329"/>
      <c r="BG362" s="1333" t="str">
        <f>IF(Assumptions!BG207&lt;&gt;"",Assumptions!BG207,"")</f>
        <v/>
      </c>
      <c r="BH362" s="1334" t="str">
        <f>IF(Assumptions!BH207&lt;&gt;"",Assumptions!BH207,"")</f>
        <v/>
      </c>
      <c r="BI362" s="1329"/>
      <c r="BJ362" s="1333" t="str">
        <f>IF(Assumptions!BJ207&lt;&gt;"",Assumptions!BJ207,"")</f>
        <v/>
      </c>
      <c r="BK362" s="1334" t="str">
        <f>IF(Assumptions!BK207&lt;&gt;"",Assumptions!BK207,"")</f>
        <v/>
      </c>
      <c r="BL362" s="1329"/>
      <c r="BM362" s="1333" t="str">
        <f>IF(Assumptions!BM207&lt;&gt;"",Assumptions!BM207,"")</f>
        <v/>
      </c>
      <c r="BN362" s="1334" t="str">
        <f>IF(Assumptions!BN207&lt;&gt;"",Assumptions!BN207,"")</f>
        <v/>
      </c>
      <c r="BO362" s="1329"/>
      <c r="BP362" s="1333" t="str">
        <f>IF(Assumptions!BP207&lt;&gt;"",Assumptions!BP207,"")</f>
        <v/>
      </c>
      <c r="BQ362" s="1334" t="str">
        <f>IF(Assumptions!BQ207&lt;&gt;"",Assumptions!BQ207,"")</f>
        <v/>
      </c>
      <c r="BR362" s="1329"/>
      <c r="BS362" s="1333" t="str">
        <f>IF(Assumptions!BS207&lt;&gt;"",Assumptions!BS207,"")</f>
        <v/>
      </c>
      <c r="BT362" s="1334" t="str">
        <f>IF(Assumptions!BT207&lt;&gt;"",Assumptions!BT207,"")</f>
        <v/>
      </c>
      <c r="BU362" s="1329"/>
      <c r="BV362" s="1333" t="str">
        <f>IF(Assumptions!BV207&lt;&gt;"",Assumptions!BV207,"")</f>
        <v/>
      </c>
      <c r="BW362" s="1334" t="str">
        <f>IF(Assumptions!BW207&lt;&gt;"",Assumptions!BW207,"")</f>
        <v/>
      </c>
      <c r="BX362" s="1329"/>
      <c r="BY362" s="1333" t="str">
        <f>IF(Assumptions!BY207&lt;&gt;"",Assumptions!BY207,"")</f>
        <v/>
      </c>
      <c r="BZ362" s="1334" t="str">
        <f>IF(Assumptions!BZ207&lt;&gt;"",Assumptions!BZ207,"")</f>
        <v/>
      </c>
      <c r="CA362" s="1329"/>
      <c r="CB362" s="1333" t="str">
        <f>IF(Assumptions!CB207&lt;&gt;"",Assumptions!CB207,"")</f>
        <v/>
      </c>
      <c r="CC362" s="1334" t="str">
        <f>IF(Assumptions!CC207&lt;&gt;"",Assumptions!CC207,"")</f>
        <v/>
      </c>
      <c r="CD362" s="1329"/>
      <c r="CE362" s="1333" t="str">
        <f>IF(Assumptions!CE207&lt;&gt;"",Assumptions!CE207,"")</f>
        <v/>
      </c>
      <c r="CF362" s="1334" t="str">
        <f>IF(Assumptions!CF207&lt;&gt;"",Assumptions!CF207,"")</f>
        <v/>
      </c>
      <c r="CG362" s="1329"/>
      <c r="CH362" s="1333" t="str">
        <f>IF(Assumptions!CH207&lt;&gt;"",Assumptions!CH207,"")</f>
        <v/>
      </c>
      <c r="CI362" s="1334" t="str">
        <f>IF(Assumptions!CI207&lt;&gt;"",Assumptions!CI207,"")</f>
        <v/>
      </c>
      <c r="CJ362" s="1329"/>
      <c r="CK362" s="1333" t="str">
        <f>IF(Assumptions!CK207&lt;&gt;"",Assumptions!CK207,"")</f>
        <v/>
      </c>
      <c r="CL362" s="1334" t="str">
        <f>IF(Assumptions!CL207&lt;&gt;"",Assumptions!CL207,"")</f>
        <v/>
      </c>
      <c r="CM362" s="1329"/>
      <c r="CN362" s="1333" t="str">
        <f>IF(Assumptions!CN207&lt;&gt;"",Assumptions!CN207,"")</f>
        <v/>
      </c>
      <c r="CO362" s="1334" t="str">
        <f>IF(Assumptions!CO207&lt;&gt;"",Assumptions!CO207,"")</f>
        <v/>
      </c>
      <c r="CP362" s="1329"/>
      <c r="CQ362" s="1333" t="str">
        <f>IF(Assumptions!CQ207&lt;&gt;"",Assumptions!CQ207,"")</f>
        <v/>
      </c>
      <c r="CR362" s="1334" t="str">
        <f>IF(Assumptions!CR207&lt;&gt;"",Assumptions!CR207,"")</f>
        <v/>
      </c>
      <c r="CS362" s="1329"/>
      <c r="CT362" s="1333" t="str">
        <f>IF(Assumptions!CT207&lt;&gt;"",Assumptions!CT207,"")</f>
        <v/>
      </c>
      <c r="CU362" s="1334" t="str">
        <f>IF(Assumptions!CU207&lt;&gt;"",Assumptions!CU207,"")</f>
        <v/>
      </c>
      <c r="CV362" s="1329"/>
      <c r="CW362" s="1333" t="str">
        <f>IF(Assumptions!CW207&lt;&gt;"",Assumptions!CW207,"")</f>
        <v/>
      </c>
      <c r="CX362" s="1334" t="str">
        <f>IF(Assumptions!CX207&lt;&gt;"",Assumptions!CX207,"")</f>
        <v/>
      </c>
      <c r="CY362" s="1329"/>
      <c r="CZ362" s="1333" t="str">
        <f>IF(Assumptions!CZ207&lt;&gt;"",Assumptions!CZ207,"")</f>
        <v/>
      </c>
      <c r="DA362" s="1334" t="str">
        <f>IF(Assumptions!DA207&lt;&gt;"",Assumptions!DA207,"")</f>
        <v/>
      </c>
      <c r="DB362" s="1329"/>
      <c r="DC362" s="1333" t="str">
        <f>IF(Assumptions!DC207&lt;&gt;"",Assumptions!DC207,"")</f>
        <v/>
      </c>
      <c r="DD362" s="1334" t="str">
        <f>IF(Assumptions!DD207&lt;&gt;"",Assumptions!DD207,"")</f>
        <v/>
      </c>
      <c r="DE362" s="1332"/>
      <c r="DF362" s="1337" t="str">
        <f>IF(Assumptions!DF207&lt;&gt;"",Assumptions!DF207,"")</f>
        <v/>
      </c>
      <c r="DG362" s="1334" t="str">
        <f>IF(Assumptions!DG207&lt;&gt;"",Assumptions!DG207,"")</f>
        <v/>
      </c>
      <c r="DH362" s="1332"/>
      <c r="DI362" s="1337" t="str">
        <f>IF(Assumptions!DI207&lt;&gt;"",Assumptions!DI207,"")</f>
        <v/>
      </c>
      <c r="DJ362" s="1334" t="str">
        <f>IF(Assumptions!DJ207&lt;&gt;"",Assumptions!DJ207,"")</f>
        <v/>
      </c>
      <c r="DK362" s="1332"/>
      <c r="DL362" s="1337" t="str">
        <f>IF(Assumptions!DL207&lt;&gt;"",Assumptions!DL207,"")</f>
        <v/>
      </c>
      <c r="DM362" s="1334" t="str">
        <f>IF(Assumptions!DM207&lt;&gt;"",Assumptions!DM207,"")</f>
        <v/>
      </c>
      <c r="DN362" s="1332"/>
      <c r="DO362" s="1337" t="str">
        <f>IF(Assumptions!DO207&lt;&gt;"",Assumptions!DO207,"")</f>
        <v/>
      </c>
      <c r="DP362" s="1334" t="str">
        <f>IF(Assumptions!DP207&lt;&gt;"",Assumptions!DP207,"")</f>
        <v/>
      </c>
      <c r="DQ362" s="1332"/>
      <c r="DR362" s="1337" t="str">
        <f>IF(Assumptions!DR207&lt;&gt;"",Assumptions!DR207,"")</f>
        <v/>
      </c>
      <c r="DS362" s="1334" t="str">
        <f>IF(Assumptions!DS207&lt;&gt;"",Assumptions!DS207,"")</f>
        <v/>
      </c>
      <c r="DT362" s="1332"/>
      <c r="DU362" s="1337" t="str">
        <f>IF(Assumptions!DU207&lt;&gt;"",Assumptions!DU207,"")</f>
        <v/>
      </c>
      <c r="DV362" s="1334" t="str">
        <f>IF(Assumptions!DV207&lt;&gt;"",Assumptions!DV207,"")</f>
        <v/>
      </c>
      <c r="DW362" s="1332"/>
      <c r="DX362" s="1337" t="str">
        <f>IF(Assumptions!DX207&lt;&gt;"",Assumptions!DX207,"")</f>
        <v/>
      </c>
      <c r="DY362" s="1334" t="str">
        <f>IF(Assumptions!DY207&lt;&gt;"",Assumptions!DY207,"")</f>
        <v/>
      </c>
      <c r="DZ362" s="1332"/>
      <c r="EA362" s="1337" t="str">
        <f>IF(Assumptions!EA207&lt;&gt;"",Assumptions!EA207,"")</f>
        <v/>
      </c>
      <c r="EB362" s="1334" t="str">
        <f>IF(Assumptions!EB207&lt;&gt;"",Assumptions!EB207,"")</f>
        <v/>
      </c>
      <c r="EC362" s="1332"/>
      <c r="ED362" s="1337" t="str">
        <f>IF(Assumptions!ED207&lt;&gt;"",Assumptions!ED207,"")</f>
        <v/>
      </c>
      <c r="EE362" s="1334" t="str">
        <f>IF(Assumptions!EE207&lt;&gt;"",Assumptions!EE207,"")</f>
        <v/>
      </c>
      <c r="EF362" s="1332"/>
      <c r="EG362" s="1337" t="str">
        <f>IF(Assumptions!EG207&lt;&gt;"",Assumptions!EG207,"")</f>
        <v/>
      </c>
      <c r="EH362" s="1334" t="str">
        <f>IF(Assumptions!EH207&lt;&gt;"",Assumptions!EH207,"")</f>
        <v/>
      </c>
      <c r="EI362" s="1332"/>
      <c r="EJ362" s="1337" t="str">
        <f>IF(Assumptions!EJ207&lt;&gt;"",Assumptions!EJ207,"")</f>
        <v/>
      </c>
      <c r="EK362" s="1334" t="str">
        <f>IF(Assumptions!EK207&lt;&gt;"",Assumptions!EK207,"")</f>
        <v/>
      </c>
      <c r="EL362" s="1332"/>
      <c r="EM362" s="1337" t="str">
        <f>IF(Assumptions!EM207&lt;&gt;"",Assumptions!EM207,"")</f>
        <v/>
      </c>
      <c r="EN362" s="1334" t="str">
        <f>IF(Assumptions!EN207&lt;&gt;"",Assumptions!EN207,"")</f>
        <v/>
      </c>
      <c r="EO362" s="1332"/>
      <c r="EP362" s="1337" t="str">
        <f>IF(Assumptions!EP207&lt;&gt;"",Assumptions!EP207,"")</f>
        <v/>
      </c>
      <c r="EQ362" s="1334" t="str">
        <f>IF(Assumptions!EQ207&lt;&gt;"",Assumptions!EQ207,"")</f>
        <v/>
      </c>
      <c r="ER362" s="1332"/>
      <c r="ES362" s="1337" t="str">
        <f>IF(Assumptions!ES207&lt;&gt;"",Assumptions!ES207,"")</f>
        <v/>
      </c>
      <c r="ET362" s="1334" t="str">
        <f>IF(Assumptions!ET207&lt;&gt;"",Assumptions!ET207,"")</f>
        <v/>
      </c>
      <c r="EU362" s="1332"/>
      <c r="EV362" s="1337" t="str">
        <f>IF(Assumptions!EV207&lt;&gt;"",Assumptions!EV207,"")</f>
        <v/>
      </c>
      <c r="EW362" s="1334" t="str">
        <f>IF(Assumptions!EW207&lt;&gt;"",Assumptions!EW207,"")</f>
        <v/>
      </c>
      <c r="EX362" s="1332"/>
      <c r="EY362" s="1337" t="str">
        <f>IF(Assumptions!EY207&lt;&gt;"",Assumptions!EY207,"")</f>
        <v/>
      </c>
      <c r="EZ362" s="1334" t="str">
        <f>IF(Assumptions!EZ207&lt;&gt;"",Assumptions!EZ207,"")</f>
        <v/>
      </c>
      <c r="FA362" s="1332"/>
      <c r="FD362"/>
      <c r="FE362"/>
      <c r="FF362"/>
      <c r="FG362"/>
      <c r="FH362"/>
      <c r="FI362"/>
    </row>
    <row r="363" spans="1:165" s="33" customFormat="1">
      <c r="B363" s="122"/>
      <c r="C363" s="54"/>
      <c r="D363" s="2"/>
      <c r="E363" s="1039"/>
      <c r="F363" s="1039"/>
      <c r="G363" s="1039"/>
      <c r="H363" s="1039"/>
      <c r="I363" s="1039"/>
      <c r="J363" s="1039"/>
      <c r="K363" s="1039"/>
      <c r="L363" s="1039"/>
      <c r="M363" s="1039"/>
      <c r="N363" s="1039"/>
      <c r="O363" s="1039"/>
      <c r="P363" s="1039"/>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c r="AP363" s="32"/>
      <c r="AQ363" s="32"/>
      <c r="AR363" s="32"/>
      <c r="AS363" s="32"/>
      <c r="AT363" s="32"/>
      <c r="AU363" s="32"/>
      <c r="AV363" s="32"/>
      <c r="AW363" s="32"/>
      <c r="AX363" s="32"/>
      <c r="AY363" s="32"/>
      <c r="AZ363" s="32"/>
      <c r="BA363" s="32"/>
      <c r="BB363" s="32"/>
      <c r="BC363" s="32"/>
      <c r="BD363" s="32"/>
      <c r="BE363" s="32"/>
      <c r="BF363" s="32"/>
      <c r="BG363" s="32"/>
      <c r="BH363" s="32"/>
      <c r="BI363" s="32"/>
      <c r="BJ363" s="32"/>
      <c r="BK363" s="32"/>
      <c r="BL363" s="32"/>
      <c r="BM363" s="32"/>
      <c r="BN363" s="32"/>
      <c r="BO363" s="32"/>
      <c r="BP363" s="32"/>
      <c r="BQ363" s="32"/>
      <c r="BR363" s="32"/>
      <c r="BS363" s="32"/>
      <c r="BT363" s="32"/>
      <c r="BU363" s="32"/>
      <c r="BV363" s="32"/>
      <c r="BW363" s="32"/>
      <c r="BX363" s="32"/>
      <c r="BY363" s="32"/>
      <c r="BZ363" s="32"/>
      <c r="CA363" s="32"/>
      <c r="CB363" s="32"/>
      <c r="CC363" s="32"/>
      <c r="CD363" s="32"/>
      <c r="CE363" s="32"/>
      <c r="CF363" s="32"/>
      <c r="CG363" s="32"/>
      <c r="CH363" s="32"/>
      <c r="CI363" s="32"/>
      <c r="CJ363" s="32"/>
      <c r="CK363" s="32"/>
      <c r="CL363" s="32"/>
      <c r="CM363" s="32"/>
      <c r="CN363" s="32"/>
      <c r="CO363" s="32"/>
      <c r="CP363" s="32"/>
      <c r="CQ363" s="32"/>
      <c r="CR363" s="32"/>
      <c r="CS363" s="32"/>
      <c r="CT363" s="32"/>
      <c r="CU363" s="32"/>
      <c r="CV363" s="32"/>
      <c r="CW363" s="32"/>
      <c r="CX363" s="32"/>
      <c r="CY363" s="32"/>
      <c r="CZ363" s="32"/>
      <c r="DA363" s="32"/>
      <c r="DB363" s="32"/>
      <c r="DC363" s="32"/>
      <c r="DD363" s="32"/>
      <c r="DE363" s="1061"/>
      <c r="DF363" s="32"/>
      <c r="DG363" s="32"/>
      <c r="DH363" s="1061"/>
      <c r="DI363" s="32"/>
      <c r="DJ363" s="32"/>
      <c r="DK363" s="1061"/>
      <c r="DL363" s="32"/>
      <c r="DM363" s="32"/>
      <c r="DN363" s="1061"/>
      <c r="DO363" s="32"/>
      <c r="DP363" s="32"/>
      <c r="DQ363" s="1061"/>
      <c r="DR363" s="32"/>
      <c r="DS363" s="32"/>
      <c r="DT363" s="1061"/>
      <c r="DU363" s="32"/>
      <c r="DV363" s="32"/>
      <c r="DW363" s="1061"/>
      <c r="DX363" s="32"/>
      <c r="DY363" s="32"/>
      <c r="DZ363" s="1061"/>
      <c r="EA363" s="32"/>
      <c r="EB363" s="32"/>
      <c r="EC363" s="1061"/>
      <c r="ED363" s="32"/>
      <c r="EE363" s="32"/>
      <c r="EF363" s="1061"/>
      <c r="EG363" s="32"/>
      <c r="EH363" s="32"/>
      <c r="EI363" s="1061"/>
      <c r="EJ363" s="32"/>
      <c r="EK363" s="32"/>
      <c r="EL363" s="1061"/>
      <c r="EM363" s="32"/>
      <c r="EN363" s="32"/>
      <c r="EO363" s="1061"/>
      <c r="EP363" s="32"/>
      <c r="EQ363" s="32"/>
      <c r="ER363" s="1061"/>
      <c r="ES363" s="32"/>
      <c r="ET363" s="32"/>
      <c r="EU363" s="1061"/>
      <c r="EV363" s="32"/>
      <c r="EW363" s="32"/>
      <c r="EX363" s="1061"/>
      <c r="EY363" s="32"/>
      <c r="EZ363" s="32"/>
      <c r="FA363" s="1061"/>
      <c r="FD363"/>
      <c r="FE363"/>
      <c r="FF363"/>
      <c r="FG363"/>
      <c r="FH363"/>
      <c r="FI363"/>
    </row>
    <row r="364" spans="1:165" s="35" customFormat="1">
      <c r="B364" s="1338"/>
      <c r="C364" s="1338"/>
      <c r="D364" s="1339"/>
      <c r="E364" s="1021"/>
      <c r="F364" s="1021"/>
      <c r="G364" s="1340"/>
      <c r="H364" s="1340"/>
      <c r="I364" s="1340"/>
      <c r="J364" s="1340"/>
      <c r="K364" s="1340"/>
      <c r="L364" s="1340"/>
      <c r="M364" s="1340"/>
      <c r="N364" s="1340"/>
      <c r="O364" s="1340"/>
      <c r="P364" s="1340"/>
      <c r="Q364" s="1341"/>
      <c r="R364" s="1341"/>
      <c r="S364" s="1341"/>
      <c r="T364" s="1341"/>
      <c r="U364" s="1341"/>
      <c r="V364" s="1341"/>
      <c r="W364" s="1341"/>
      <c r="X364" s="1341"/>
      <c r="Y364" s="1341"/>
      <c r="Z364" s="1341"/>
      <c r="AA364" s="1341"/>
      <c r="AB364" s="1341"/>
      <c r="AC364" s="1341"/>
      <c r="AD364" s="1341"/>
      <c r="AE364" s="1341"/>
      <c r="AF364" s="1341"/>
      <c r="AG364" s="1341"/>
      <c r="AH364" s="1341"/>
      <c r="AI364" s="1342"/>
      <c r="AJ364" s="1342"/>
      <c r="AK364" s="1343"/>
      <c r="AL364" s="1342"/>
      <c r="AM364" s="1342"/>
      <c r="AN364" s="1343"/>
      <c r="AO364" s="1342"/>
      <c r="AP364" s="1342"/>
      <c r="AQ364" s="1343"/>
      <c r="AR364" s="1342"/>
      <c r="AS364" s="1342"/>
      <c r="AT364" s="1343"/>
      <c r="AU364" s="1342"/>
      <c r="AV364" s="1342"/>
      <c r="AW364" s="1343"/>
      <c r="AX364" s="1342"/>
      <c r="AY364" s="1342"/>
      <c r="AZ364" s="1343"/>
      <c r="BA364" s="1342"/>
      <c r="BB364" s="1342"/>
      <c r="BC364" s="1343"/>
      <c r="BD364" s="1342"/>
      <c r="BE364" s="1342"/>
      <c r="BF364" s="1343"/>
      <c r="BG364" s="1342"/>
      <c r="BH364" s="1342"/>
      <c r="BI364" s="1343"/>
      <c r="BJ364" s="1342"/>
      <c r="BK364" s="1342"/>
      <c r="BL364" s="1343"/>
      <c r="BM364" s="1342"/>
      <c r="BN364" s="1342"/>
      <c r="BO364" s="1343"/>
      <c r="BP364" s="1342"/>
      <c r="BQ364" s="1342"/>
      <c r="BR364" s="1343"/>
      <c r="BS364" s="1342"/>
      <c r="BT364" s="1342"/>
      <c r="BU364" s="1343"/>
      <c r="BV364" s="1342"/>
      <c r="BW364" s="1342"/>
      <c r="BX364" s="1343"/>
      <c r="BY364" s="1342"/>
      <c r="BZ364" s="1342"/>
      <c r="CA364" s="1343"/>
      <c r="CB364" s="1342"/>
      <c r="CC364" s="1342"/>
      <c r="CD364" s="1343"/>
      <c r="CE364" s="1342"/>
      <c r="CF364" s="1342"/>
      <c r="CG364" s="1343"/>
      <c r="CH364" s="1342"/>
      <c r="CI364" s="1342"/>
      <c r="CJ364" s="1343"/>
      <c r="CK364" s="1342"/>
      <c r="CL364" s="1342"/>
      <c r="CM364" s="1343"/>
      <c r="CN364" s="1342"/>
      <c r="CO364" s="1342"/>
      <c r="CP364" s="1343"/>
      <c r="CQ364" s="1342"/>
      <c r="CR364" s="1342"/>
      <c r="CS364" s="1343"/>
      <c r="CT364" s="1342"/>
      <c r="CU364" s="1342"/>
      <c r="CV364" s="1343"/>
      <c r="CW364" s="1342"/>
      <c r="CX364" s="1342"/>
      <c r="CY364" s="1343"/>
      <c r="CZ364" s="1342"/>
      <c r="DA364" s="1342"/>
      <c r="DB364" s="1343"/>
      <c r="DC364" s="1342"/>
      <c r="DD364" s="1342"/>
      <c r="DE364" s="1344"/>
      <c r="DF364" s="1342"/>
      <c r="DG364" s="1342"/>
      <c r="DH364" s="1344"/>
      <c r="DI364" s="1342"/>
      <c r="DJ364" s="1342"/>
      <c r="DK364" s="1344"/>
      <c r="DL364" s="1342"/>
      <c r="DM364" s="1342"/>
      <c r="DN364" s="1344"/>
      <c r="DO364" s="1342"/>
      <c r="DP364" s="1342"/>
      <c r="DQ364" s="1344"/>
      <c r="DR364" s="1342"/>
      <c r="DS364" s="1342"/>
      <c r="DT364" s="1344"/>
      <c r="DU364" s="1342"/>
      <c r="DV364" s="1342"/>
      <c r="DW364" s="1344"/>
      <c r="DX364" s="1342"/>
      <c r="DY364" s="1342"/>
      <c r="DZ364" s="1344"/>
      <c r="EA364" s="1342"/>
      <c r="EB364" s="1342"/>
      <c r="EC364" s="1344"/>
      <c r="ED364" s="1342"/>
      <c r="EE364" s="1342"/>
      <c r="EF364" s="1344"/>
      <c r="EG364" s="1342"/>
      <c r="EH364" s="1342"/>
      <c r="EI364" s="1344"/>
      <c r="EJ364" s="1342"/>
      <c r="EK364" s="1342"/>
      <c r="EL364" s="1344"/>
      <c r="EM364" s="1342"/>
      <c r="EN364" s="1342"/>
      <c r="EO364" s="1344"/>
      <c r="EP364" s="1342"/>
      <c r="EQ364" s="1342"/>
      <c r="ER364" s="1344"/>
      <c r="ES364" s="1342"/>
      <c r="ET364" s="1342"/>
      <c r="EU364" s="1344"/>
      <c r="EV364" s="1342"/>
      <c r="EW364" s="1342"/>
      <c r="EX364" s="1344"/>
      <c r="EY364" s="1342"/>
      <c r="EZ364" s="1342"/>
      <c r="FA364" s="1344"/>
      <c r="FD364"/>
      <c r="FE364"/>
      <c r="FF364"/>
      <c r="FG364"/>
      <c r="FH364"/>
      <c r="FI364"/>
    </row>
    <row r="365" spans="1:165" s="1171" customFormat="1">
      <c r="A365" s="48" t="s">
        <v>18</v>
      </c>
      <c r="B365" s="48"/>
      <c r="C365" s="1036"/>
      <c r="D365" s="49" t="str">
        <f t="shared" ref="D365:AI365" si="884">+D4</f>
        <v xml:space="preserve">Year ending Jun </v>
      </c>
      <c r="E365" s="49" t="str">
        <f t="shared" si="884"/>
        <v>1h85</v>
      </c>
      <c r="F365" s="49" t="str">
        <f t="shared" si="884"/>
        <v>2h85</v>
      </c>
      <c r="G365" s="49" t="str">
        <f t="shared" si="884"/>
        <v>1985</v>
      </c>
      <c r="H365" s="49" t="str">
        <f t="shared" si="884"/>
        <v>1h86</v>
      </c>
      <c r="I365" s="49" t="str">
        <f t="shared" si="884"/>
        <v>2h86</v>
      </c>
      <c r="J365" s="49" t="str">
        <f t="shared" si="884"/>
        <v>1986</v>
      </c>
      <c r="K365" s="49" t="str">
        <f t="shared" si="884"/>
        <v>1h87</v>
      </c>
      <c r="L365" s="49" t="str">
        <f t="shared" si="884"/>
        <v>2h87</v>
      </c>
      <c r="M365" s="49" t="str">
        <f t="shared" si="884"/>
        <v>1987</v>
      </c>
      <c r="N365" s="49" t="str">
        <f t="shared" si="884"/>
        <v>1h88</v>
      </c>
      <c r="O365" s="49" t="str">
        <f t="shared" si="884"/>
        <v>2h88</v>
      </c>
      <c r="P365" s="49" t="str">
        <f t="shared" si="884"/>
        <v>1988</v>
      </c>
      <c r="Q365" s="49" t="str">
        <f t="shared" si="884"/>
        <v>1h89</v>
      </c>
      <c r="R365" s="49" t="str">
        <f t="shared" si="884"/>
        <v>2h89</v>
      </c>
      <c r="S365" s="49" t="str">
        <f t="shared" si="884"/>
        <v>1989</v>
      </c>
      <c r="T365" s="49" t="str">
        <f t="shared" si="884"/>
        <v>1h90</v>
      </c>
      <c r="U365" s="49" t="str">
        <f t="shared" si="884"/>
        <v>2h90</v>
      </c>
      <c r="V365" s="49" t="str">
        <f t="shared" si="884"/>
        <v>1990</v>
      </c>
      <c r="W365" s="49" t="str">
        <f t="shared" si="884"/>
        <v>1h91</v>
      </c>
      <c r="X365" s="49" t="str">
        <f t="shared" si="884"/>
        <v>2h91</v>
      </c>
      <c r="Y365" s="49" t="str">
        <f t="shared" si="884"/>
        <v>1991</v>
      </c>
      <c r="Z365" s="49" t="str">
        <f t="shared" si="884"/>
        <v>1h92</v>
      </c>
      <c r="AA365" s="49" t="str">
        <f t="shared" si="884"/>
        <v>2h92</v>
      </c>
      <c r="AB365" s="49" t="str">
        <f t="shared" si="884"/>
        <v>1992</v>
      </c>
      <c r="AC365" s="49" t="str">
        <f t="shared" si="884"/>
        <v>1h93</v>
      </c>
      <c r="AD365" s="49" t="str">
        <f t="shared" si="884"/>
        <v>2h93</v>
      </c>
      <c r="AE365" s="49" t="str">
        <f t="shared" si="884"/>
        <v>1993</v>
      </c>
      <c r="AF365" s="49" t="str">
        <f t="shared" si="884"/>
        <v>1h94</v>
      </c>
      <c r="AG365" s="49" t="str">
        <f t="shared" si="884"/>
        <v>2h94</v>
      </c>
      <c r="AH365" s="49" t="str">
        <f t="shared" si="884"/>
        <v>1994</v>
      </c>
      <c r="AI365" s="49" t="str">
        <f t="shared" si="884"/>
        <v>1h95</v>
      </c>
      <c r="AJ365" s="49" t="str">
        <f t="shared" ref="AJ365:BO365" si="885">+AJ4</f>
        <v>2h95</v>
      </c>
      <c r="AK365" s="49" t="str">
        <f t="shared" si="885"/>
        <v>1995</v>
      </c>
      <c r="AL365" s="49" t="str">
        <f t="shared" si="885"/>
        <v>1h96</v>
      </c>
      <c r="AM365" s="49" t="str">
        <f t="shared" si="885"/>
        <v>2h96</v>
      </c>
      <c r="AN365" s="49" t="str">
        <f t="shared" si="885"/>
        <v>1996</v>
      </c>
      <c r="AO365" s="49" t="str">
        <f t="shared" si="885"/>
        <v>1h97</v>
      </c>
      <c r="AP365" s="49" t="str">
        <f t="shared" si="885"/>
        <v>2h97</v>
      </c>
      <c r="AQ365" s="49" t="str">
        <f t="shared" si="885"/>
        <v>1997</v>
      </c>
      <c r="AR365" s="49" t="str">
        <f t="shared" si="885"/>
        <v>1h98</v>
      </c>
      <c r="AS365" s="49" t="str">
        <f t="shared" si="885"/>
        <v>2h98</v>
      </c>
      <c r="AT365" s="49" t="str">
        <f t="shared" si="885"/>
        <v>1998a</v>
      </c>
      <c r="AU365" s="49" t="str">
        <f t="shared" si="885"/>
        <v>1h99</v>
      </c>
      <c r="AV365" s="49" t="str">
        <f t="shared" si="885"/>
        <v>2h99</v>
      </c>
      <c r="AW365" s="49" t="str">
        <f t="shared" si="885"/>
        <v>1999a</v>
      </c>
      <c r="AX365" s="49" t="str">
        <f t="shared" si="885"/>
        <v>1h00</v>
      </c>
      <c r="AY365" s="49" t="str">
        <f t="shared" si="885"/>
        <v>2h00</v>
      </c>
      <c r="AZ365" s="49" t="str">
        <f t="shared" si="885"/>
        <v>2000a</v>
      </c>
      <c r="BA365" s="49" t="str">
        <f t="shared" si="885"/>
        <v>1h01</v>
      </c>
      <c r="BB365" s="49" t="str">
        <f t="shared" si="885"/>
        <v>2h01</v>
      </c>
      <c r="BC365" s="49" t="str">
        <f t="shared" si="885"/>
        <v>2001a</v>
      </c>
      <c r="BD365" s="49" t="str">
        <f t="shared" si="885"/>
        <v>1h02</v>
      </c>
      <c r="BE365" s="49" t="str">
        <f t="shared" si="885"/>
        <v>2h02f</v>
      </c>
      <c r="BF365" s="49" t="str">
        <f t="shared" si="885"/>
        <v>2002</v>
      </c>
      <c r="BG365" s="49" t="str">
        <f t="shared" si="885"/>
        <v>1h03</v>
      </c>
      <c r="BH365" s="49" t="str">
        <f t="shared" si="885"/>
        <v>2h03</v>
      </c>
      <c r="BI365" s="49" t="str">
        <f t="shared" si="885"/>
        <v>2003</v>
      </c>
      <c r="BJ365" s="49" t="str">
        <f t="shared" si="885"/>
        <v>1h04</v>
      </c>
      <c r="BK365" s="49" t="str">
        <f t="shared" si="885"/>
        <v>2h04</v>
      </c>
      <c r="BL365" s="49" t="str">
        <f t="shared" si="885"/>
        <v>2004</v>
      </c>
      <c r="BM365" s="49" t="str">
        <f t="shared" si="885"/>
        <v>1h05</v>
      </c>
      <c r="BN365" s="49" t="str">
        <f t="shared" si="885"/>
        <v>2h05</v>
      </c>
      <c r="BO365" s="49" t="str">
        <f t="shared" si="885"/>
        <v>2005</v>
      </c>
      <c r="BP365" s="49" t="str">
        <f t="shared" ref="BP365:CU365" si="886">+BP4</f>
        <v>1h06</v>
      </c>
      <c r="BQ365" s="49" t="str">
        <f t="shared" si="886"/>
        <v>2h06</v>
      </c>
      <c r="BR365" s="49" t="str">
        <f t="shared" si="886"/>
        <v>2006</v>
      </c>
      <c r="BS365" s="49" t="str">
        <f t="shared" si="886"/>
        <v>1h07</v>
      </c>
      <c r="BT365" s="49" t="str">
        <f t="shared" si="886"/>
        <v>2h07</v>
      </c>
      <c r="BU365" s="49" t="str">
        <f t="shared" si="886"/>
        <v>2007</v>
      </c>
      <c r="BV365" s="49" t="str">
        <f t="shared" si="886"/>
        <v>1h08</v>
      </c>
      <c r="BW365" s="49" t="str">
        <f t="shared" si="886"/>
        <v>2h08</v>
      </c>
      <c r="BX365" s="49" t="str">
        <f t="shared" si="886"/>
        <v>2008</v>
      </c>
      <c r="BY365" s="49" t="str">
        <f t="shared" si="886"/>
        <v>1h09</v>
      </c>
      <c r="BZ365" s="49" t="str">
        <f t="shared" si="886"/>
        <v>2h09</v>
      </c>
      <c r="CA365" s="49" t="str">
        <f t="shared" si="886"/>
        <v>2009</v>
      </c>
      <c r="CB365" s="49" t="str">
        <f t="shared" si="886"/>
        <v>1h10</v>
      </c>
      <c r="CC365" s="49" t="str">
        <f t="shared" si="886"/>
        <v>2h10</v>
      </c>
      <c r="CD365" s="49" t="str">
        <f t="shared" si="886"/>
        <v>2010</v>
      </c>
      <c r="CE365" s="49" t="str">
        <f t="shared" si="886"/>
        <v>1h11</v>
      </c>
      <c r="CF365" s="49" t="str">
        <f t="shared" si="886"/>
        <v>2h11</v>
      </c>
      <c r="CG365" s="49" t="str">
        <f t="shared" si="886"/>
        <v>2011</v>
      </c>
      <c r="CH365" s="49" t="str">
        <f t="shared" si="886"/>
        <v>1h12</v>
      </c>
      <c r="CI365" s="49" t="str">
        <f t="shared" si="886"/>
        <v>2h12</v>
      </c>
      <c r="CJ365" s="49" t="str">
        <f t="shared" si="886"/>
        <v>2012</v>
      </c>
      <c r="CK365" s="49" t="str">
        <f t="shared" si="886"/>
        <v>1h13</v>
      </c>
      <c r="CL365" s="49" t="str">
        <f t="shared" si="886"/>
        <v>2h13</v>
      </c>
      <c r="CM365" s="49" t="str">
        <f t="shared" si="886"/>
        <v>2013</v>
      </c>
      <c r="CN365" s="49" t="str">
        <f t="shared" si="886"/>
        <v>1h14</v>
      </c>
      <c r="CO365" s="49" t="str">
        <f t="shared" si="886"/>
        <v>2h14</v>
      </c>
      <c r="CP365" s="49" t="str">
        <f t="shared" si="886"/>
        <v>2014</v>
      </c>
      <c r="CQ365" s="49" t="str">
        <f t="shared" si="886"/>
        <v>1h15</v>
      </c>
      <c r="CR365" s="49" t="str">
        <f t="shared" si="886"/>
        <v>2h15</v>
      </c>
      <c r="CS365" s="49" t="str">
        <f t="shared" si="886"/>
        <v>2015</v>
      </c>
      <c r="CT365" s="49" t="str">
        <f t="shared" si="886"/>
        <v>1h16</v>
      </c>
      <c r="CU365" s="49" t="str">
        <f t="shared" si="886"/>
        <v>2h16</v>
      </c>
      <c r="CV365" s="49" t="str">
        <f t="shared" ref="CV365:EC365" si="887">+CV4</f>
        <v>2016</v>
      </c>
      <c r="CW365" s="49" t="str">
        <f t="shared" si="887"/>
        <v>1h17</v>
      </c>
      <c r="CX365" s="49" t="str">
        <f t="shared" si="887"/>
        <v>2h17</v>
      </c>
      <c r="CY365" s="49" t="str">
        <f t="shared" si="887"/>
        <v>2017</v>
      </c>
      <c r="CZ365" s="49" t="str">
        <f t="shared" si="887"/>
        <v>1h18</v>
      </c>
      <c r="DA365" s="49" t="str">
        <f t="shared" si="887"/>
        <v>2h18</v>
      </c>
      <c r="DB365" s="49" t="str">
        <f t="shared" si="887"/>
        <v>2018</v>
      </c>
      <c r="DC365" s="49" t="str">
        <f t="shared" si="887"/>
        <v>1h19</v>
      </c>
      <c r="DD365" s="49" t="str">
        <f t="shared" si="887"/>
        <v>2h19</v>
      </c>
      <c r="DE365" s="63" t="str">
        <f t="shared" si="887"/>
        <v>2019</v>
      </c>
      <c r="DF365" s="49" t="str">
        <f t="shared" si="887"/>
        <v>1h20</v>
      </c>
      <c r="DG365" s="49" t="str">
        <f t="shared" si="887"/>
        <v>2h20</v>
      </c>
      <c r="DH365" s="63" t="str">
        <f t="shared" si="887"/>
        <v>2020</v>
      </c>
      <c r="DI365" s="49" t="str">
        <f t="shared" si="887"/>
        <v>1h21</v>
      </c>
      <c r="DJ365" s="49" t="str">
        <f t="shared" si="887"/>
        <v>2h21</v>
      </c>
      <c r="DK365" s="63" t="str">
        <f t="shared" si="887"/>
        <v>2021</v>
      </c>
      <c r="DL365" s="49" t="str">
        <f t="shared" si="887"/>
        <v>1h22</v>
      </c>
      <c r="DM365" s="49" t="str">
        <f t="shared" si="887"/>
        <v>2h22</v>
      </c>
      <c r="DN365" s="63" t="str">
        <f t="shared" si="887"/>
        <v>2022</v>
      </c>
      <c r="DO365" s="49" t="str">
        <f t="shared" si="887"/>
        <v>1h23</v>
      </c>
      <c r="DP365" s="49" t="str">
        <f t="shared" si="887"/>
        <v>2h23</v>
      </c>
      <c r="DQ365" s="63" t="str">
        <f t="shared" si="887"/>
        <v>2023</v>
      </c>
      <c r="DR365" s="49" t="str">
        <f t="shared" si="887"/>
        <v>1h24</v>
      </c>
      <c r="DS365" s="49" t="str">
        <f t="shared" si="887"/>
        <v>2h24</v>
      </c>
      <c r="DT365" s="63" t="str">
        <f t="shared" si="887"/>
        <v>2024</v>
      </c>
      <c r="DU365" s="49" t="str">
        <f>+DU4</f>
        <v>1h25</v>
      </c>
      <c r="DV365" s="49" t="str">
        <f t="shared" si="887"/>
        <v>2h25</v>
      </c>
      <c r="DW365" s="63" t="str">
        <f t="shared" si="887"/>
        <v>2025</v>
      </c>
      <c r="DX365" s="49" t="str">
        <f t="shared" si="887"/>
        <v>1h26</v>
      </c>
      <c r="DY365" s="49" t="str">
        <f t="shared" si="887"/>
        <v>2h26E</v>
      </c>
      <c r="DZ365" s="63" t="str">
        <f t="shared" si="887"/>
        <v>2026E</v>
      </c>
      <c r="EA365" s="49" t="str">
        <f t="shared" si="887"/>
        <v>1h27E</v>
      </c>
      <c r="EB365" s="49" t="str">
        <f t="shared" si="887"/>
        <v>2h27E</v>
      </c>
      <c r="EC365" s="63" t="str">
        <f t="shared" si="887"/>
        <v>2027E</v>
      </c>
      <c r="ED365" s="49" t="str">
        <f t="shared" ref="ED365:EL365" si="888">+ED4</f>
        <v>1h28E</v>
      </c>
      <c r="EE365" s="49" t="str">
        <f t="shared" si="888"/>
        <v>2h28E</v>
      </c>
      <c r="EF365" s="63" t="str">
        <f t="shared" si="888"/>
        <v>2028E</v>
      </c>
      <c r="EG365" s="49" t="str">
        <f t="shared" si="888"/>
        <v>1h29E</v>
      </c>
      <c r="EH365" s="49" t="str">
        <f t="shared" si="888"/>
        <v>2h29E</v>
      </c>
      <c r="EI365" s="63" t="str">
        <f t="shared" si="888"/>
        <v>2029E</v>
      </c>
      <c r="EJ365" s="49" t="str">
        <f t="shared" si="888"/>
        <v>1h30E</v>
      </c>
      <c r="EK365" s="49" t="str">
        <f t="shared" si="888"/>
        <v>2h30E</v>
      </c>
      <c r="EL365" s="63" t="str">
        <f t="shared" si="888"/>
        <v>2030E</v>
      </c>
      <c r="EM365" s="49" t="str">
        <f t="shared" ref="EM365:ER365" si="889">+EM4</f>
        <v>1h31E</v>
      </c>
      <c r="EN365" s="49" t="str">
        <f t="shared" si="889"/>
        <v>2h31E</v>
      </c>
      <c r="EO365" s="63" t="str">
        <f t="shared" si="889"/>
        <v>2031E</v>
      </c>
      <c r="EP365" s="49" t="str">
        <f t="shared" si="889"/>
        <v>1h32E</v>
      </c>
      <c r="EQ365" s="49" t="str">
        <f t="shared" si="889"/>
        <v>2h32E</v>
      </c>
      <c r="ER365" s="63" t="str">
        <f t="shared" si="889"/>
        <v>2032E</v>
      </c>
      <c r="ES365" s="49" t="str">
        <f t="shared" ref="ES365:FA365" si="890">+ES4</f>
        <v>1h33E</v>
      </c>
      <c r="ET365" s="49" t="str">
        <f t="shared" si="890"/>
        <v>2h33E</v>
      </c>
      <c r="EU365" s="63" t="str">
        <f t="shared" si="890"/>
        <v>2033E</v>
      </c>
      <c r="EV365" s="49" t="str">
        <f t="shared" si="890"/>
        <v>1h34E</v>
      </c>
      <c r="EW365" s="49" t="str">
        <f t="shared" si="890"/>
        <v>2h34E</v>
      </c>
      <c r="EX365" s="63" t="str">
        <f t="shared" si="890"/>
        <v>2034E</v>
      </c>
      <c r="EY365" s="49" t="str">
        <f t="shared" si="890"/>
        <v>1h35E</v>
      </c>
      <c r="EZ365" s="49" t="str">
        <f t="shared" si="890"/>
        <v>2h35E</v>
      </c>
      <c r="FA365" s="63" t="str">
        <f t="shared" si="890"/>
        <v>2035E</v>
      </c>
      <c r="FB365" s="1058"/>
      <c r="FC365" s="1058"/>
      <c r="FD365"/>
      <c r="FE365"/>
      <c r="FF365"/>
      <c r="FG365"/>
      <c r="FH365"/>
      <c r="FI365"/>
    </row>
    <row r="366" spans="1:165" s="35" customFormat="1" ht="13.5" outlineLevel="1" thickBot="1">
      <c r="B366" s="1338"/>
      <c r="C366" s="1338"/>
      <c r="D366" s="1339"/>
      <c r="E366" s="1345"/>
      <c r="F366" s="1345"/>
      <c r="G366" s="1339"/>
      <c r="H366" s="1345"/>
      <c r="I366" s="1345"/>
      <c r="J366" s="1339"/>
      <c r="K366" s="1345"/>
      <c r="L366" s="1345"/>
      <c r="M366" s="1339"/>
      <c r="N366" s="1345"/>
      <c r="O366" s="1345"/>
      <c r="P366" s="1339"/>
      <c r="Q366" s="1342"/>
      <c r="R366" s="1342"/>
      <c r="S366" s="1343"/>
      <c r="T366" s="1342"/>
      <c r="U366" s="1342"/>
      <c r="V366" s="1343"/>
      <c r="W366" s="1342"/>
      <c r="X366" s="1342"/>
      <c r="Y366" s="1343"/>
      <c r="Z366" s="1342"/>
      <c r="AA366" s="1342"/>
      <c r="AB366" s="1343"/>
      <c r="AC366" s="1342"/>
      <c r="AD366" s="1342"/>
      <c r="AE366" s="1343"/>
      <c r="AF366" s="1342"/>
      <c r="AG366" s="1342"/>
      <c r="AH366" s="1343"/>
      <c r="AI366" s="1342"/>
      <c r="AJ366" s="1342"/>
      <c r="AK366" s="1343"/>
      <c r="AL366" s="1342"/>
      <c r="AM366" s="1342"/>
      <c r="AN366" s="1343"/>
      <c r="AO366" s="1342"/>
      <c r="AP366" s="1342"/>
      <c r="AQ366" s="1343"/>
      <c r="AR366" s="1342"/>
      <c r="AS366" s="1342"/>
      <c r="AT366" s="1343"/>
      <c r="AU366" s="1346"/>
      <c r="AV366" s="1346"/>
      <c r="AW366" s="1347"/>
      <c r="AX366" s="1346"/>
      <c r="AY366" s="1346"/>
      <c r="AZ366" s="1347"/>
      <c r="BA366" s="1346"/>
      <c r="BB366" s="1346"/>
      <c r="BC366" s="1347"/>
      <c r="BD366" s="1346"/>
      <c r="BE366" s="1346"/>
      <c r="BF366" s="1347"/>
      <c r="BG366" s="1346"/>
      <c r="BH366" s="1346"/>
      <c r="BI366" s="1347"/>
      <c r="BJ366" s="1346"/>
      <c r="BK366" s="1346"/>
      <c r="BL366" s="1347"/>
      <c r="BM366" s="1346"/>
      <c r="BN366" s="1346"/>
      <c r="BO366" s="1347"/>
      <c r="BP366" s="1346"/>
      <c r="BQ366" s="1346"/>
      <c r="BR366" s="1347"/>
      <c r="BS366" s="1346"/>
      <c r="BT366" s="1346"/>
      <c r="BU366" s="1347"/>
      <c r="BV366" s="1346"/>
      <c r="BW366" s="1346"/>
      <c r="BX366" s="1347"/>
      <c r="BY366" s="1346"/>
      <c r="BZ366" s="1346"/>
      <c r="CA366" s="1347"/>
      <c r="CB366" s="1346"/>
      <c r="CC366" s="1346"/>
      <c r="CD366" s="1347"/>
      <c r="CE366" s="1346"/>
      <c r="CF366" s="1346"/>
      <c r="CG366" s="1347"/>
      <c r="CH366" s="1346"/>
      <c r="CI366" s="1346"/>
      <c r="CJ366" s="1347"/>
      <c r="CK366" s="1346"/>
      <c r="CL366" s="1346"/>
      <c r="CM366" s="1347"/>
      <c r="CN366" s="1346"/>
      <c r="CO366" s="1346"/>
      <c r="CP366" s="1347"/>
      <c r="CQ366" s="1346"/>
      <c r="CR366" s="1348"/>
      <c r="CS366" s="1347"/>
      <c r="CT366" s="1346"/>
      <c r="CU366" s="1346"/>
      <c r="CV366" s="1347"/>
      <c r="CW366" s="1346"/>
      <c r="CX366" s="1346"/>
      <c r="CY366" s="1347"/>
      <c r="CZ366" s="1346"/>
      <c r="DA366" s="1346"/>
      <c r="DB366" s="1347"/>
      <c r="DC366" s="1346"/>
      <c r="DD366" s="1346"/>
      <c r="DE366" s="1349"/>
      <c r="DF366" s="1346"/>
      <c r="DG366" s="1346"/>
      <c r="DH366" s="1349"/>
      <c r="DI366" s="1346"/>
      <c r="DJ366" s="1346"/>
      <c r="DK366" s="1349"/>
      <c r="DL366" s="1346"/>
      <c r="DM366" s="1346"/>
      <c r="DN366" s="1349"/>
      <c r="DO366" s="1346"/>
      <c r="DP366" s="1346"/>
      <c r="DQ366" s="1349"/>
      <c r="DR366" s="1346"/>
      <c r="DS366" s="1346"/>
      <c r="DT366" s="1349"/>
      <c r="DU366" s="1346"/>
      <c r="DV366" s="1346"/>
      <c r="DW366" s="1349"/>
      <c r="DX366" s="1346"/>
      <c r="DY366" s="1346"/>
      <c r="DZ366" s="1349"/>
      <c r="EA366" s="1346"/>
      <c r="EB366" s="1346"/>
      <c r="EC366" s="1349"/>
      <c r="ED366" s="1346"/>
      <c r="EE366" s="1346"/>
      <c r="EF366" s="1349"/>
      <c r="EG366" s="1346"/>
      <c r="EH366" s="1346"/>
      <c r="EI366" s="1349"/>
      <c r="EJ366" s="1346"/>
      <c r="EK366" s="1346"/>
      <c r="EL366" s="1349"/>
      <c r="EM366" s="1346"/>
      <c r="EN366" s="1346"/>
      <c r="EO366" s="1349"/>
      <c r="EP366" s="1346"/>
      <c r="EQ366" s="1346"/>
      <c r="ER366" s="1349"/>
      <c r="ES366" s="1346"/>
      <c r="ET366" s="1346"/>
      <c r="EU366" s="1349"/>
      <c r="EV366" s="1346"/>
      <c r="EW366" s="1346"/>
      <c r="EX366" s="1349"/>
      <c r="EY366" s="1346"/>
      <c r="EZ366" s="1346"/>
      <c r="FA366" s="1349"/>
      <c r="FD366"/>
      <c r="FE366"/>
      <c r="FF366"/>
      <c r="FG366"/>
      <c r="FH366"/>
      <c r="FI366"/>
    </row>
    <row r="367" spans="1:165" s="35" customFormat="1" ht="13.5" outlineLevel="1" thickBot="1">
      <c r="B367" s="1338" t="s">
        <v>271</v>
      </c>
      <c r="C367" s="1338"/>
      <c r="D367" s="1339" t="s">
        <v>505</v>
      </c>
      <c r="E367" s="1350">
        <v>0</v>
      </c>
      <c r="F367" s="1351">
        <f>+E378</f>
        <v>0</v>
      </c>
      <c r="G367" s="1352">
        <f>+E367</f>
        <v>0</v>
      </c>
      <c r="H367" s="1353">
        <v>0</v>
      </c>
      <c r="I367" s="1351">
        <f>+H378</f>
        <v>0</v>
      </c>
      <c r="J367" s="1352">
        <f>+H367</f>
        <v>0</v>
      </c>
      <c r="K367" s="1353">
        <v>0</v>
      </c>
      <c r="L367" s="1351">
        <f>+K378</f>
        <v>0</v>
      </c>
      <c r="M367" s="1352">
        <f>+K367</f>
        <v>0</v>
      </c>
      <c r="N367" s="1353">
        <v>0</v>
      </c>
      <c r="O367" s="1351">
        <f>+N378</f>
        <v>0</v>
      </c>
      <c r="P367" s="1352">
        <f>+N367</f>
        <v>0</v>
      </c>
      <c r="Q367" s="1353">
        <v>0</v>
      </c>
      <c r="R367" s="1351">
        <f>+Q378</f>
        <v>0</v>
      </c>
      <c r="S367" s="1352">
        <f>+Q367</f>
        <v>0</v>
      </c>
      <c r="T367" s="1351">
        <f>+S378</f>
        <v>0</v>
      </c>
      <c r="U367" s="1351">
        <f>+T378</f>
        <v>0</v>
      </c>
      <c r="V367" s="1352">
        <f>+S378</f>
        <v>0</v>
      </c>
      <c r="W367" s="1351">
        <f>+V378</f>
        <v>0</v>
      </c>
      <c r="X367" s="1351">
        <f>+W378</f>
        <v>0</v>
      </c>
      <c r="Y367" s="1352">
        <f>+V378</f>
        <v>0</v>
      </c>
      <c r="Z367" s="1351">
        <f>+Y378</f>
        <v>0</v>
      </c>
      <c r="AA367" s="1351">
        <f>+Z378</f>
        <v>0</v>
      </c>
      <c r="AB367" s="1352">
        <f>+Y378</f>
        <v>0</v>
      </c>
      <c r="AC367" s="1354">
        <f>+AB378</f>
        <v>0</v>
      </c>
      <c r="AD367" s="1355">
        <f>+AC378</f>
        <v>0</v>
      </c>
      <c r="AE367" s="1356">
        <f>+AB378</f>
        <v>0</v>
      </c>
      <c r="AF367" s="1355">
        <f>+AE378</f>
        <v>0</v>
      </c>
      <c r="AG367" s="1355">
        <f>+AF378</f>
        <v>0</v>
      </c>
      <c r="AH367" s="1356">
        <f>+AE378</f>
        <v>0</v>
      </c>
      <c r="AI367" s="1355">
        <f>+AH378</f>
        <v>0</v>
      </c>
      <c r="AJ367" s="1355">
        <f>+AI378</f>
        <v>0</v>
      </c>
      <c r="AK367" s="1356"/>
      <c r="AL367" s="1355">
        <f>+AK378</f>
        <v>0</v>
      </c>
      <c r="AM367" s="1355">
        <f>+AL378</f>
        <v>0</v>
      </c>
      <c r="AN367" s="1356">
        <f>+AK378</f>
        <v>0</v>
      </c>
      <c r="AO367" s="1355">
        <f>+AN378</f>
        <v>0</v>
      </c>
      <c r="AP367" s="1355">
        <f>+AO378</f>
        <v>0</v>
      </c>
      <c r="AQ367" s="1356">
        <f>+AN378</f>
        <v>0</v>
      </c>
      <c r="AR367" s="1355">
        <f>+AQ378</f>
        <v>0</v>
      </c>
      <c r="AS367" s="1355">
        <f>+AR378</f>
        <v>0</v>
      </c>
      <c r="AT367" s="1356">
        <f>+AQ378</f>
        <v>0</v>
      </c>
      <c r="AU367" s="1355">
        <f>+AT378</f>
        <v>131.261</v>
      </c>
      <c r="AV367" s="1355">
        <f>+AU378*3</f>
        <v>393.78300000000002</v>
      </c>
      <c r="AW367" s="1357">
        <f>+AT378*3</f>
        <v>393.78300000000002</v>
      </c>
      <c r="AX367" s="1355">
        <f>+AW378</f>
        <v>394.959</v>
      </c>
      <c r="AY367" s="1355">
        <f>+AX378</f>
        <v>395.89280200000002</v>
      </c>
      <c r="AZ367" s="1356">
        <f>+AW378</f>
        <v>394.959</v>
      </c>
      <c r="BA367" s="1355">
        <f>+AZ378</f>
        <v>448.16180200000002</v>
      </c>
      <c r="BB367" s="1355">
        <f>+BA378</f>
        <v>449.86222600000002</v>
      </c>
      <c r="BC367" s="1356">
        <f>+AZ378</f>
        <v>448.16180200000002</v>
      </c>
      <c r="BD367" s="1355">
        <f>+BC378</f>
        <v>450.42873400000002</v>
      </c>
      <c r="BE367" s="1355">
        <f>+BD378</f>
        <v>475.03492500000004</v>
      </c>
      <c r="BF367" s="1356">
        <f>+BC378</f>
        <v>450.42873400000002</v>
      </c>
      <c r="BG367" s="1355">
        <f>+BF378</f>
        <v>475.03492500000004</v>
      </c>
      <c r="BH367" s="1355">
        <f>+BG378</f>
        <v>475.03492500000004</v>
      </c>
      <c r="BI367" s="1356">
        <f>+BF378</f>
        <v>475.03492500000004</v>
      </c>
      <c r="BJ367" s="1355">
        <f>+BI378</f>
        <v>479.60438460000006</v>
      </c>
      <c r="BK367" s="1355">
        <f>+BJ378</f>
        <v>563.30438460000005</v>
      </c>
      <c r="BL367" s="1356">
        <f>+BI378</f>
        <v>479.60438460000006</v>
      </c>
      <c r="BM367" s="1355">
        <f>+BL378</f>
        <v>584.6043846</v>
      </c>
      <c r="BN367" s="1355">
        <f>+BM378</f>
        <v>588.96553559999995</v>
      </c>
      <c r="BO367" s="1356">
        <f>+BL378</f>
        <v>584.6043846</v>
      </c>
      <c r="BP367" s="1355">
        <f>+BO378</f>
        <v>558.96553559999995</v>
      </c>
      <c r="BQ367" s="1355">
        <f>+BP378</f>
        <v>534.96553559999995</v>
      </c>
      <c r="BR367" s="1356">
        <f>+BO378</f>
        <v>558.96553559999995</v>
      </c>
      <c r="BS367" s="1355">
        <f>+BR378</f>
        <v>542.65459259999989</v>
      </c>
      <c r="BT367" s="1355">
        <f>+BS378</f>
        <v>542.65459259999989</v>
      </c>
      <c r="BU367" s="1356">
        <f>182.569313*3</f>
        <v>547.70793900000001</v>
      </c>
      <c r="BV367" s="1355">
        <f>+BU378</f>
        <v>547.70793900000001</v>
      </c>
      <c r="BW367" s="1355">
        <f>+BV378</f>
        <v>547.70793900000001</v>
      </c>
      <c r="BX367" s="1358">
        <v>550.10591399999998</v>
      </c>
      <c r="BY367" s="1355">
        <f>+BX378</f>
        <v>550.10591399999998</v>
      </c>
      <c r="BZ367" s="1355">
        <f>+BY378</f>
        <v>601.56111699999997</v>
      </c>
      <c r="CA367" s="1356">
        <f>+BX378</f>
        <v>550.10591399999998</v>
      </c>
      <c r="CB367" s="1358">
        <v>599.23942799999998</v>
      </c>
      <c r="CC367" s="1355">
        <f>+CB378</f>
        <v>557.05226900000002</v>
      </c>
      <c r="CD367" s="1358">
        <v>599.23942799999998</v>
      </c>
      <c r="CE367" s="1355">
        <f>+CD378</f>
        <v>549.69288599999993</v>
      </c>
      <c r="CF367" s="1355">
        <f>+CE378</f>
        <v>541.52549999999997</v>
      </c>
      <c r="CG367" s="1356">
        <f>+CD378</f>
        <v>549.69288599999993</v>
      </c>
      <c r="CH367" s="1358">
        <v>524.84053200000005</v>
      </c>
      <c r="CI367" s="1355">
        <f>+CH378</f>
        <v>519.07877000000008</v>
      </c>
      <c r="CJ367" s="1356">
        <f>+CG378</f>
        <v>524.79629399999999</v>
      </c>
      <c r="CK367" s="1359">
        <f>+CJ378</f>
        <v>510.04202099999998</v>
      </c>
      <c r="CL367" s="1355">
        <f>+CK378</f>
        <v>498.75602400000002</v>
      </c>
      <c r="CM367" s="1356">
        <f>+CJ378</f>
        <v>510.04202099999998</v>
      </c>
      <c r="CN367" s="1355">
        <f>+CM378</f>
        <v>485.63596415277772</v>
      </c>
      <c r="CO367" s="1355">
        <f>CN389</f>
        <v>485.354422</v>
      </c>
      <c r="CP367" s="1356">
        <f>CO378</f>
        <v>485.354422</v>
      </c>
      <c r="CQ367" s="1358">
        <v>474.78826900000001</v>
      </c>
      <c r="CR367" s="1355">
        <f>+CQ378</f>
        <v>474.78826900000001</v>
      </c>
      <c r="CS367" s="1356">
        <f>CQ367</f>
        <v>474.78826900000001</v>
      </c>
      <c r="CT367" s="1358">
        <v>463.68349599999999</v>
      </c>
      <c r="CU367" s="1355">
        <f>+CT378</f>
        <v>463.68349599999999</v>
      </c>
      <c r="CV367" s="1356">
        <f>+CS378</f>
        <v>465.45601400000004</v>
      </c>
      <c r="CW367" s="1355">
        <f>+CV378</f>
        <v>456.54228200000006</v>
      </c>
      <c r="CX367" s="1355">
        <f>+CW378</f>
        <v>456.54228200000006</v>
      </c>
      <c r="CY367" s="1356">
        <f>+CV378</f>
        <v>456.54228200000006</v>
      </c>
      <c r="CZ367" s="1355">
        <f>+CY378</f>
        <v>453.18529900000004</v>
      </c>
      <c r="DA367" s="1355">
        <f>+CZ378</f>
        <v>453.18529900000004</v>
      </c>
      <c r="DB367" s="1356">
        <f>+CY378</f>
        <v>453.18529900000004</v>
      </c>
      <c r="DC367" s="1355">
        <f>+DB378</f>
        <v>452.40080300000005</v>
      </c>
      <c r="DD367" s="1355">
        <f>+DC378</f>
        <v>452.8738065</v>
      </c>
      <c r="DE367" s="1360">
        <f>+DB378</f>
        <v>452.40080300000005</v>
      </c>
      <c r="DF367" s="1355">
        <f>+DE378</f>
        <v>453.13865100000004</v>
      </c>
      <c r="DG367" s="1355">
        <f>+DF378</f>
        <v>453.75856801388892</v>
      </c>
      <c r="DH367" s="1360">
        <f>+DE378</f>
        <v>453.13865100000004</v>
      </c>
      <c r="DI367" s="1355">
        <f>+DH378</f>
        <v>454.04870699999998</v>
      </c>
      <c r="DJ367" s="1355">
        <f>+DI378</f>
        <v>454.97436599999997</v>
      </c>
      <c r="DK367" s="1360">
        <f>+DH378</f>
        <v>454.04870699999998</v>
      </c>
      <c r="DL367" s="1355">
        <f>+DK378</f>
        <v>455.12599399999999</v>
      </c>
      <c r="DM367" s="1355">
        <f>+DL378</f>
        <v>478.74839100000003</v>
      </c>
      <c r="DN367" s="1360">
        <f>+DK378</f>
        <v>455.12599399999999</v>
      </c>
      <c r="DO367" s="1355">
        <f>+DN378</f>
        <v>481.70626600000003</v>
      </c>
      <c r="DP367" s="1355">
        <f>+DO378</f>
        <v>482.21619299999998</v>
      </c>
      <c r="DQ367" s="1360">
        <f>+DN378</f>
        <v>481.70626600000003</v>
      </c>
      <c r="DR367" s="1355">
        <f>+DQ378</f>
        <v>482.36926099999999</v>
      </c>
      <c r="DS367" s="1355">
        <f>+DR378</f>
        <v>483.09325699999999</v>
      </c>
      <c r="DT367" s="1360">
        <f>+DQ378</f>
        <v>482.36926099999999</v>
      </c>
      <c r="DU367" s="1355">
        <f>+DT378</f>
        <v>483.25272899999999</v>
      </c>
      <c r="DV367" s="1355">
        <f>+DU378</f>
        <v>483.41220099999998</v>
      </c>
      <c r="DW367" s="1360">
        <f>+DT378</f>
        <v>483.25272899999999</v>
      </c>
      <c r="DX367" s="1355">
        <f>+DW378</f>
        <v>484.21212300000002</v>
      </c>
      <c r="DY367" s="1355">
        <f>+DX378</f>
        <v>482.1069796153846</v>
      </c>
      <c r="DZ367" s="1360">
        <f>+DW378</f>
        <v>484.21212300000002</v>
      </c>
      <c r="EA367" s="1355">
        <f>+DZ378</f>
        <v>480.02762377655677</v>
      </c>
      <c r="EB367" s="1355">
        <f>+EA378</f>
        <v>478.09395082626895</v>
      </c>
      <c r="EC367" s="1360">
        <f>+DZ378</f>
        <v>480.02762377655677</v>
      </c>
      <c r="ED367" s="1355">
        <f>+EC378</f>
        <v>476.25995144504247</v>
      </c>
      <c r="EE367" s="1355">
        <f>+ED378</f>
        <v>474.52087927244582</v>
      </c>
      <c r="EF367" s="1360">
        <f>+EC378</f>
        <v>476.25995144504247</v>
      </c>
      <c r="EG367" s="1355">
        <f>+EF378</f>
        <v>472.8722139652109</v>
      </c>
      <c r="EH367" s="1355">
        <f>+EG378</f>
        <v>473.0316859652109</v>
      </c>
      <c r="EI367" s="1360">
        <f>+EF378</f>
        <v>472.8722139652109</v>
      </c>
      <c r="EJ367" s="1355">
        <f>+EI378</f>
        <v>473.19115796521089</v>
      </c>
      <c r="EK367" s="1355">
        <f>+EJ378</f>
        <v>473.35062996521089</v>
      </c>
      <c r="EL367" s="1360">
        <f>+EI378</f>
        <v>473.19115796521089</v>
      </c>
      <c r="EM367" s="1355">
        <f>+EL378</f>
        <v>473.51010196521088</v>
      </c>
      <c r="EN367" s="1355">
        <f>+EM378</f>
        <v>473.66957396521087</v>
      </c>
      <c r="EO367" s="1360">
        <f>+EL378</f>
        <v>473.51010196521088</v>
      </c>
      <c r="EP367" s="1355">
        <f>+EO378</f>
        <v>473.82904596521087</v>
      </c>
      <c r="EQ367" s="1355">
        <f>+EP378</f>
        <v>473.98851796521086</v>
      </c>
      <c r="ER367" s="1360">
        <f>+EO378</f>
        <v>473.82904596521087</v>
      </c>
      <c r="ES367" s="1355">
        <f>+ER378</f>
        <v>474.14798996521085</v>
      </c>
      <c r="ET367" s="1355">
        <f>+ES378</f>
        <v>474.30746196521085</v>
      </c>
      <c r="EU367" s="1360">
        <f>+ER378</f>
        <v>474.14798996521085</v>
      </c>
      <c r="EV367" s="1355">
        <f>+EU378</f>
        <v>474.46693396521084</v>
      </c>
      <c r="EW367" s="1355">
        <f>+EV378</f>
        <v>474.62640596521084</v>
      </c>
      <c r="EX367" s="1360">
        <f>+EU378</f>
        <v>474.46693396521084</v>
      </c>
      <c r="EY367" s="1355">
        <f>+EX378</f>
        <v>474.78587796521083</v>
      </c>
      <c r="EZ367" s="1355">
        <f>+EY378</f>
        <v>474.94534996521082</v>
      </c>
      <c r="FA367" s="1360">
        <f>+EX378</f>
        <v>474.78587796521083</v>
      </c>
      <c r="FD367"/>
      <c r="FE367"/>
      <c r="FF367"/>
      <c r="FG367"/>
      <c r="FH367"/>
      <c r="FI367"/>
    </row>
    <row r="368" spans="1:165" s="35" customFormat="1" outlineLevel="1">
      <c r="B368" s="1338"/>
      <c r="C368" s="1338"/>
      <c r="D368" s="1339"/>
      <c r="E368" s="1355"/>
      <c r="F368" s="1355"/>
      <c r="G368" s="1356"/>
      <c r="H368" s="1355"/>
      <c r="I368" s="1355"/>
      <c r="J368" s="1356"/>
      <c r="K368" s="1355"/>
      <c r="L368" s="1355"/>
      <c r="M368" s="1356"/>
      <c r="N368" s="1355"/>
      <c r="O368" s="1355"/>
      <c r="P368" s="1356"/>
      <c r="Q368" s="1355"/>
      <c r="R368" s="1355"/>
      <c r="S368" s="1356"/>
      <c r="T368" s="1355"/>
      <c r="U368" s="1355"/>
      <c r="V368" s="1356"/>
      <c r="W368" s="1355"/>
      <c r="X368" s="1355"/>
      <c r="Y368" s="1356"/>
      <c r="Z368" s="1355"/>
      <c r="AA368" s="1355"/>
      <c r="AB368" s="1356"/>
      <c r="AC368" s="1355"/>
      <c r="AD368" s="1355"/>
      <c r="AE368" s="1356"/>
      <c r="AF368" s="1355"/>
      <c r="AG368" s="1355"/>
      <c r="AH368" s="1356"/>
      <c r="AI368" s="1355"/>
      <c r="AJ368" s="1355"/>
      <c r="AK368" s="1356"/>
      <c r="AL368" s="1355"/>
      <c r="AM368" s="1355"/>
      <c r="AN368" s="1356"/>
      <c r="AO368" s="1355"/>
      <c r="AP368" s="1355"/>
      <c r="AQ368" s="1356"/>
      <c r="AR368" s="1355"/>
      <c r="AS368" s="1355"/>
      <c r="AT368" s="1356"/>
      <c r="AU368" s="1355"/>
      <c r="AV368" s="1355"/>
      <c r="AW368" s="1356"/>
      <c r="AX368" s="1355"/>
      <c r="AY368" s="1355"/>
      <c r="AZ368" s="1356"/>
      <c r="BA368" s="1355"/>
      <c r="BB368" s="1355"/>
      <c r="BC368" s="1356"/>
      <c r="BD368" s="1355"/>
      <c r="BE368" s="1355"/>
      <c r="BF368" s="1356" t="s">
        <v>309</v>
      </c>
      <c r="BG368" s="1355"/>
      <c r="BH368" s="1355"/>
      <c r="BI368" s="1356"/>
      <c r="BJ368" s="1355"/>
      <c r="BK368" s="1355"/>
      <c r="BL368" s="1356"/>
      <c r="BM368" s="1355"/>
      <c r="BN368" s="1355"/>
      <c r="BO368" s="1356"/>
      <c r="BP368" s="1355"/>
      <c r="BQ368" s="1355"/>
      <c r="BR368" s="1356"/>
      <c r="BS368" s="1355"/>
      <c r="BT368" s="1355"/>
      <c r="BU368" s="1356"/>
      <c r="BV368" s="1355"/>
      <c r="BW368" s="1355"/>
      <c r="BX368" s="1356"/>
      <c r="BY368" s="1355"/>
      <c r="BZ368" s="1355"/>
      <c r="CA368" s="1356"/>
      <c r="CB368" s="1355"/>
      <c r="CC368" s="1355"/>
      <c r="CD368" s="1356"/>
      <c r="CE368" s="1355"/>
      <c r="CF368" s="1355"/>
      <c r="CG368" s="1356"/>
      <c r="CH368" s="1355"/>
      <c r="CI368" s="1355"/>
      <c r="CJ368" s="1356"/>
      <c r="CK368" s="1355"/>
      <c r="CL368" s="1355"/>
      <c r="CM368" s="1356"/>
      <c r="CN368" s="1355"/>
      <c r="CO368" s="1355"/>
      <c r="CP368" s="1356"/>
      <c r="CQ368" s="1355"/>
      <c r="CR368" s="1355"/>
      <c r="CS368" s="1356"/>
      <c r="CT368" s="1355"/>
      <c r="CU368" s="1355"/>
      <c r="CV368" s="1356"/>
      <c r="CW368" s="1355"/>
      <c r="CX368" s="1355"/>
      <c r="CY368" s="1356"/>
      <c r="CZ368" s="1355"/>
      <c r="DA368" s="1355"/>
      <c r="DB368" s="1356"/>
      <c r="DC368" s="1355"/>
      <c r="DD368" s="1355"/>
      <c r="DE368" s="1360"/>
      <c r="DF368" s="1355"/>
      <c r="DG368" s="1355"/>
      <c r="DH368" s="1360"/>
      <c r="DI368" s="1355"/>
      <c r="DJ368" s="1355"/>
      <c r="DK368" s="1360"/>
      <c r="DL368" s="1355"/>
      <c r="DM368" s="1355"/>
      <c r="DN368" s="1360"/>
      <c r="DO368" s="1355"/>
      <c r="DP368" s="1355"/>
      <c r="DQ368" s="1360"/>
      <c r="DR368" s="1355"/>
      <c r="DS368" s="1355"/>
      <c r="DT368" s="1360"/>
      <c r="DU368" s="1355"/>
      <c r="DV368" s="1355"/>
      <c r="DW368" s="1360"/>
      <c r="DX368" s="1355"/>
      <c r="DY368" s="1355"/>
      <c r="DZ368" s="1360"/>
      <c r="EA368" s="1355"/>
      <c r="EB368" s="1355"/>
      <c r="EC368" s="1360"/>
      <c r="ED368" s="1355"/>
      <c r="EE368" s="1355"/>
      <c r="EF368" s="1360"/>
      <c r="EG368" s="1355"/>
      <c r="EH368" s="1355"/>
      <c r="EI368" s="1360"/>
      <c r="EJ368" s="1355"/>
      <c r="EK368" s="1355"/>
      <c r="EL368" s="1360"/>
      <c r="EM368" s="1355"/>
      <c r="EN368" s="1355"/>
      <c r="EO368" s="1360"/>
      <c r="EP368" s="1355"/>
      <c r="EQ368" s="1355"/>
      <c r="ER368" s="1360"/>
      <c r="ES368" s="1355"/>
      <c r="ET368" s="1355"/>
      <c r="EU368" s="1360"/>
      <c r="EV368" s="1355"/>
      <c r="EW368" s="1355"/>
      <c r="EX368" s="1360"/>
      <c r="EY368" s="1355"/>
      <c r="EZ368" s="1355"/>
      <c r="FA368" s="1360"/>
      <c r="FD368"/>
      <c r="FE368"/>
      <c r="FF368"/>
      <c r="FG368"/>
      <c r="FH368"/>
      <c r="FI368"/>
    </row>
    <row r="369" spans="2:165" s="35" customFormat="1" ht="13.5" outlineLevel="1" thickBot="1">
      <c r="B369" s="1338" t="s">
        <v>14</v>
      </c>
      <c r="C369" s="1338"/>
      <c r="D369" s="1339"/>
      <c r="E369" s="1361"/>
      <c r="F369" s="1361"/>
      <c r="G369" s="1356"/>
      <c r="H369" s="1361"/>
      <c r="I369" s="1361"/>
      <c r="J369" s="1356"/>
      <c r="K369" s="1361"/>
      <c r="L369" s="1361"/>
      <c r="M369" s="1356"/>
      <c r="N369" s="1361"/>
      <c r="O369" s="1361"/>
      <c r="P369" s="1356"/>
      <c r="Q369" s="1361"/>
      <c r="R369" s="1361"/>
      <c r="S369" s="1356"/>
      <c r="T369" s="1361"/>
      <c r="U369" s="1361"/>
      <c r="V369" s="1356"/>
      <c r="W369" s="1361"/>
      <c r="X369" s="1361"/>
      <c r="Y369" s="1356"/>
      <c r="Z369" s="1361"/>
      <c r="AA369" s="1361"/>
      <c r="AB369" s="1356"/>
      <c r="AC369" s="1361"/>
      <c r="AD369" s="1361"/>
      <c r="AE369" s="1356"/>
      <c r="AF369" s="1361"/>
      <c r="AG369" s="1361"/>
      <c r="AH369" s="1356"/>
      <c r="AI369" s="1361"/>
      <c r="AJ369" s="1361"/>
      <c r="AK369" s="1356"/>
      <c r="AL369" s="1361"/>
      <c r="AM369" s="1361"/>
      <c r="AN369" s="1356"/>
      <c r="AO369" s="1361"/>
      <c r="AP369" s="1361"/>
      <c r="AQ369" s="1356"/>
      <c r="AR369" s="1361"/>
      <c r="AS369" s="1361"/>
      <c r="AT369" s="1356"/>
      <c r="AU369" s="1361"/>
      <c r="AV369" s="1361"/>
      <c r="AW369" s="1356"/>
      <c r="AX369" s="1361"/>
      <c r="AY369" s="1361"/>
      <c r="AZ369" s="1356"/>
      <c r="BA369" s="1361"/>
      <c r="BB369" s="1361"/>
      <c r="BC369" s="1356"/>
      <c r="BD369" s="1361"/>
      <c r="BE369" s="1361"/>
      <c r="BF369" s="1356"/>
      <c r="BG369" s="1361"/>
      <c r="BH369" s="1361"/>
      <c r="BI369" s="1356"/>
      <c r="BJ369" s="1361"/>
      <c r="BK369" s="1361"/>
      <c r="BL369" s="1356"/>
      <c r="BM369" s="1361"/>
      <c r="BN369" s="1361"/>
      <c r="BO369" s="1356"/>
      <c r="BP369" s="1361"/>
      <c r="BQ369" s="1361"/>
      <c r="BR369" s="1356"/>
      <c r="BS369" s="1361"/>
      <c r="BT369" s="1361"/>
      <c r="BU369" s="1356"/>
      <c r="BV369" s="1361"/>
      <c r="BW369" s="1361"/>
      <c r="BX369" s="1356"/>
      <c r="BY369" s="1361"/>
      <c r="BZ369" s="1361"/>
      <c r="CA369" s="1356"/>
      <c r="CB369" s="1355"/>
      <c r="CC369" s="1355"/>
      <c r="CD369" s="1356"/>
      <c r="CE369" s="1361"/>
      <c r="CF369" s="1361"/>
      <c r="CG369" s="1356"/>
      <c r="CH369" s="1355"/>
      <c r="CI369" s="1355"/>
      <c r="CJ369" s="1356"/>
      <c r="CK369" s="1361"/>
      <c r="CL369" s="1361"/>
      <c r="CM369" s="1356"/>
      <c r="CN369" s="1361"/>
      <c r="CO369" s="1361"/>
      <c r="CP369" s="1356"/>
      <c r="CQ369" s="1361"/>
      <c r="CR369" s="1361"/>
      <c r="CS369" s="1356"/>
      <c r="CT369" s="1361"/>
      <c r="CU369" s="1361"/>
      <c r="CV369" s="1356"/>
      <c r="CW369" s="1361"/>
      <c r="CX369" s="1361"/>
      <c r="CY369" s="1356"/>
      <c r="CZ369" s="1361"/>
      <c r="DA369" s="1361"/>
      <c r="DB369" s="1356"/>
      <c r="DC369" s="1361"/>
      <c r="DD369" s="1361"/>
      <c r="DE369" s="1360"/>
      <c r="DF369" s="1362"/>
      <c r="DG369" s="1361"/>
      <c r="DH369" s="1360"/>
      <c r="DI369" s="1362"/>
      <c r="DJ369" s="1361"/>
      <c r="DK369" s="1360"/>
      <c r="DL369" s="1362"/>
      <c r="DM369" s="1361"/>
      <c r="DN369" s="1360"/>
      <c r="DO369" s="1362"/>
      <c r="DP369" s="1361"/>
      <c r="DQ369" s="1360"/>
      <c r="DR369" s="1362"/>
      <c r="DS369" s="1361"/>
      <c r="DT369" s="1360"/>
      <c r="DU369" s="1362"/>
      <c r="DV369" s="1361"/>
      <c r="DW369" s="1360"/>
      <c r="DX369" s="1362">
        <f>250*0.65</f>
        <v>162.5</v>
      </c>
      <c r="DY369" s="1361">
        <f>+DX369*1.05</f>
        <v>170.625</v>
      </c>
      <c r="DZ369" s="1360"/>
      <c r="EA369" s="1362">
        <f>+DY369*1.05</f>
        <v>179.15625</v>
      </c>
      <c r="EB369" s="1361">
        <f>+EA369*1.05</f>
        <v>188.11406250000002</v>
      </c>
      <c r="EC369" s="1360"/>
      <c r="ED369" s="1362">
        <f>+EB369*1.05</f>
        <v>197.51976562500002</v>
      </c>
      <c r="EE369" s="1361">
        <f>+ED369*1.05</f>
        <v>207.39575390625004</v>
      </c>
      <c r="EF369" s="1360"/>
      <c r="EG369" s="1362"/>
      <c r="EH369" s="1361"/>
      <c r="EI369" s="1360"/>
      <c r="EJ369" s="1362"/>
      <c r="EK369" s="1361"/>
      <c r="EL369" s="1360"/>
      <c r="EM369" s="1362"/>
      <c r="EN369" s="1361"/>
      <c r="EO369" s="1360"/>
      <c r="EP369" s="1362"/>
      <c r="EQ369" s="1361"/>
      <c r="ER369" s="1360"/>
      <c r="ES369" s="1362"/>
      <c r="ET369" s="1361"/>
      <c r="EU369" s="1360"/>
      <c r="EV369" s="1362"/>
      <c r="EW369" s="1361"/>
      <c r="EX369" s="1360"/>
      <c r="EY369" s="1362"/>
      <c r="EZ369" s="1361"/>
      <c r="FA369" s="1360"/>
      <c r="FD369"/>
      <c r="FE369"/>
      <c r="FF369"/>
      <c r="FG369"/>
      <c r="FH369"/>
      <c r="FI369"/>
    </row>
    <row r="370" spans="2:165" s="35" customFormat="1" outlineLevel="1">
      <c r="B370" s="1338" t="s">
        <v>15</v>
      </c>
      <c r="C370" s="1338"/>
      <c r="D370" s="1339"/>
      <c r="E370" s="1363"/>
      <c r="F370" s="1364"/>
      <c r="G370" s="1365">
        <f t="shared" ref="G370:G376" si="891">+E370+F370</f>
        <v>0</v>
      </c>
      <c r="H370" s="1364"/>
      <c r="I370" s="1364"/>
      <c r="J370" s="1365">
        <f t="shared" ref="J370:J376" si="892">+H370+I370</f>
        <v>0</v>
      </c>
      <c r="K370" s="1364"/>
      <c r="L370" s="1364"/>
      <c r="M370" s="1365">
        <f t="shared" ref="M370:M376" si="893">+K370+L370</f>
        <v>0</v>
      </c>
      <c r="N370" s="1364"/>
      <c r="O370" s="1364"/>
      <c r="P370" s="1365">
        <f t="shared" ref="P370:P376" si="894">+N370+O370</f>
        <v>0</v>
      </c>
      <c r="Q370" s="1364"/>
      <c r="R370" s="1364"/>
      <c r="S370" s="1365">
        <f t="shared" ref="S370:S376" si="895">+Q370+R370</f>
        <v>0</v>
      </c>
      <c r="T370" s="1364"/>
      <c r="U370" s="1364"/>
      <c r="V370" s="1365">
        <f t="shared" ref="V370:V376" si="896">+T370+U370</f>
        <v>0</v>
      </c>
      <c r="W370" s="1364"/>
      <c r="X370" s="1364"/>
      <c r="Y370" s="1365">
        <f t="shared" ref="Y370:Y376" si="897">+W370+X370</f>
        <v>0</v>
      </c>
      <c r="Z370" s="1364"/>
      <c r="AA370" s="1364"/>
      <c r="AB370" s="1365">
        <f t="shared" ref="AB370:AB376" si="898">+Z370+AA370</f>
        <v>0</v>
      </c>
      <c r="AC370" s="1364"/>
      <c r="AD370" s="1364"/>
      <c r="AE370" s="1365">
        <f t="shared" ref="AE370:AE376" si="899">+AC370+AD370</f>
        <v>0</v>
      </c>
      <c r="AF370" s="1364"/>
      <c r="AG370" s="1364"/>
      <c r="AH370" s="1365">
        <f t="shared" ref="AH370:AH376" si="900">+AF370+AG370</f>
        <v>0</v>
      </c>
      <c r="AI370" s="1364"/>
      <c r="AJ370" s="1364"/>
      <c r="AK370" s="1365">
        <f t="shared" ref="AK370:AK376" si="901">+AI370+AJ370</f>
        <v>0</v>
      </c>
      <c r="AL370" s="1364"/>
      <c r="AM370" s="1364"/>
      <c r="AN370" s="1365">
        <f t="shared" ref="AN370:AN376" si="902">+AL370+AM370</f>
        <v>0</v>
      </c>
      <c r="AO370" s="1364"/>
      <c r="AP370" s="1364"/>
      <c r="AQ370" s="1365">
        <f t="shared" ref="AQ370:AQ376" si="903">+AO370+AP370</f>
        <v>0</v>
      </c>
      <c r="AR370" s="1364"/>
      <c r="AS370" s="1364"/>
      <c r="AT370" s="1365">
        <f t="shared" ref="AT370:AT376" si="904">+AR370+AS370</f>
        <v>0</v>
      </c>
      <c r="AU370" s="1364"/>
      <c r="AV370" s="1364"/>
      <c r="AW370" s="1365">
        <f t="shared" ref="AW370:AW376" si="905">+AU370+AV370</f>
        <v>0</v>
      </c>
      <c r="AX370" s="1364"/>
      <c r="AY370" s="1364">
        <f>16.5*3</f>
        <v>49.5</v>
      </c>
      <c r="AZ370" s="1365">
        <f t="shared" ref="AZ370:AZ376" si="906">+AX370+AY370</f>
        <v>49.5</v>
      </c>
      <c r="BA370" s="1364">
        <f>0.21*3</f>
        <v>0.63</v>
      </c>
      <c r="BB370" s="1364"/>
      <c r="BC370" s="1365">
        <f t="shared" ref="BC370:BC376" si="907">+BA370+BB370</f>
        <v>0.63</v>
      </c>
      <c r="BD370" s="1364">
        <f>8.2*3</f>
        <v>24.599999999999998</v>
      </c>
      <c r="BE370" s="1364"/>
      <c r="BF370" s="1365">
        <f t="shared" ref="BF370:BF376" si="908">+BD370+BE370</f>
        <v>24.599999999999998</v>
      </c>
      <c r="BG370" s="1364"/>
      <c r="BH370" s="1364"/>
      <c r="BI370" s="1365">
        <f t="shared" ref="BI370:BI376" si="909">+BG370+BH370</f>
        <v>0</v>
      </c>
      <c r="BJ370" s="1364">
        <f>27.9*3</f>
        <v>83.699999999999989</v>
      </c>
      <c r="BK370" s="1364">
        <f>7.1*3</f>
        <v>21.299999999999997</v>
      </c>
      <c r="BL370" s="1365">
        <f t="shared" ref="BL370:BL376" si="910">+BJ370+BK370</f>
        <v>104.99999999999999</v>
      </c>
      <c r="BM370" s="1364"/>
      <c r="BN370" s="1364">
        <f>-10*3</f>
        <v>-30</v>
      </c>
      <c r="BO370" s="1366">
        <f t="shared" ref="BO370:BO376" si="911">+BM370+BN370</f>
        <v>-30</v>
      </c>
      <c r="BP370" s="1363">
        <f>-8*3</f>
        <v>-24</v>
      </c>
      <c r="BQ370" s="1367">
        <f>(181.889019-179.326)*3</f>
        <v>7.6890569999999911</v>
      </c>
      <c r="BR370" s="1356">
        <f t="shared" ref="BR370:BR376" si="912">+BP370+BQ370</f>
        <v>-16.310943000000009</v>
      </c>
      <c r="BS370" s="1364"/>
      <c r="BT370" s="1364"/>
      <c r="BU370" s="1366">
        <f t="shared" ref="BU370:BU376" si="913">+BS370+BT370</f>
        <v>0</v>
      </c>
      <c r="BV370" s="1364"/>
      <c r="BW370" s="1364"/>
      <c r="BX370" s="1366">
        <f t="shared" ref="BX370:BX376" si="914">+BV370+BW370</f>
        <v>0</v>
      </c>
      <c r="BY370" s="1364">
        <f>47.5+3.955203</f>
        <v>51.455202999999997</v>
      </c>
      <c r="BZ370" s="1364"/>
      <c r="CA370" s="1366">
        <f t="shared" ref="CA370:CA376" si="915">+BY370+BZ370</f>
        <v>51.455202999999997</v>
      </c>
      <c r="CB370" s="1368">
        <v>-42.691411000000002</v>
      </c>
      <c r="CC370" s="1369">
        <f>-50.601866-CB370</f>
        <v>-7.9104549999999989</v>
      </c>
      <c r="CD370" s="1356">
        <f t="shared" ref="CD370:CD376" si="916">+CB370+CC370</f>
        <v>-50.601866000000001</v>
      </c>
      <c r="CE370" s="1368">
        <v>-8.9212699999999998</v>
      </c>
      <c r="CF370" s="1369">
        <f>(-(3595672+4106409+5069946+2920428+1449444))/1000000</f>
        <v>-17.141898999999999</v>
      </c>
      <c r="CG370" s="1366">
        <f>+CE370+CF370</f>
        <v>-26.063168999999998</v>
      </c>
      <c r="CH370" s="1370">
        <v>-5.7617620000000001</v>
      </c>
      <c r="CI370" s="1371">
        <f>-(2.741872+2.133708+2.272647+1.844284)</f>
        <v>-8.9925110000000004</v>
      </c>
      <c r="CJ370" s="1356">
        <f t="shared" ref="CJ370:CJ376" si="917">+CH370+CI370</f>
        <v>-14.754273000000001</v>
      </c>
      <c r="CK370" s="1368">
        <v>-11.285996999999965</v>
      </c>
      <c r="CL370" s="1372">
        <v>-13.120059847222274</v>
      </c>
      <c r="CM370" s="1366">
        <f t="shared" ref="CM370:CM376" si="918">+CK370+CL370</f>
        <v>-24.406056847222239</v>
      </c>
      <c r="CN370" s="1364"/>
      <c r="CO370" s="1364"/>
      <c r="CP370" s="1366">
        <f t="shared" ref="CP370:CP376" si="919">+CN370+CO370</f>
        <v>0</v>
      </c>
      <c r="CQ370" s="1364"/>
      <c r="CR370" s="1364">
        <f>-9.332255</f>
        <v>-9.332255</v>
      </c>
      <c r="CS370" s="1366">
        <f t="shared" ref="CS370:CS376" si="920">+CQ370+CR370</f>
        <v>-9.332255</v>
      </c>
      <c r="CT370" s="1364"/>
      <c r="CU370" s="1373">
        <v>-8.9137319999999995</v>
      </c>
      <c r="CV370" s="1366">
        <f t="shared" ref="CV370:CV376" si="921">+CT370+CU370</f>
        <v>-8.9137319999999995</v>
      </c>
      <c r="CW370" s="1364"/>
      <c r="CX370" s="1373">
        <f>(453.251764-456.608747)</f>
        <v>-3.3569830000000138</v>
      </c>
      <c r="CY370" s="1366">
        <f t="shared" ref="CY370:CY376" si="922">+CW370+CX370</f>
        <v>-3.3569830000000138</v>
      </c>
      <c r="CZ370" s="1364"/>
      <c r="DA370" s="1364">
        <f>452.400784-453.251764</f>
        <v>-0.85097999999999274</v>
      </c>
      <c r="DB370" s="1366">
        <f t="shared" ref="DB370:DB376" si="923">+CZ370+DA370</f>
        <v>-0.85097999999999274</v>
      </c>
      <c r="DC370" s="1364">
        <v>0.47300349999992441</v>
      </c>
      <c r="DD370" s="1364">
        <f>453.138632-452.400784-DC370</f>
        <v>0.26484450000006099</v>
      </c>
      <c r="DE370" s="1374">
        <f t="shared" ref="DE370:DE376" si="924">+DC370+DD370</f>
        <v>0.7378479999999854</v>
      </c>
      <c r="DF370" s="1364">
        <v>0.61991701388889431</v>
      </c>
      <c r="DG370" s="1364">
        <f>DG378-DG367</f>
        <v>0.29013898611106015</v>
      </c>
      <c r="DH370" s="1374">
        <f t="shared" ref="DH370:DH376" si="925">+DF370+DG370</f>
        <v>0.91005599999995446</v>
      </c>
      <c r="DI370" s="1364"/>
      <c r="DJ370" s="1364"/>
      <c r="DK370" s="1374">
        <f t="shared" ref="DK370:DK376" si="926">+DI370+DJ370</f>
        <v>0</v>
      </c>
      <c r="DL370" s="1364"/>
      <c r="DM370" s="1364"/>
      <c r="DN370" s="1374">
        <f t="shared" ref="DN370:DN376" si="927">+DL370+DM370</f>
        <v>0</v>
      </c>
      <c r="DO370" s="1364"/>
      <c r="DP370" s="1364"/>
      <c r="DQ370" s="1374">
        <f t="shared" ref="DQ370:DQ376" si="928">+DO370+DP370</f>
        <v>0</v>
      </c>
      <c r="DR370" s="1364"/>
      <c r="DS370" s="1364"/>
      <c r="DT370" s="1374">
        <f t="shared" ref="DT370:DT376" si="929">+DR370+DS370</f>
        <v>0</v>
      </c>
      <c r="DU370" s="1364"/>
      <c r="DV370" s="1364"/>
      <c r="DW370" s="1374">
        <f t="shared" ref="DW370:DW376" si="930">+DU370+DV370</f>
        <v>0</v>
      </c>
      <c r="DX370" s="1364">
        <f>+DX206/DX369</f>
        <v>-2.2646153846153845</v>
      </c>
      <c r="DY370" s="1364">
        <f>+DY206/DY369</f>
        <v>-2.2388278388278389</v>
      </c>
      <c r="DZ370" s="1374">
        <f t="shared" ref="DZ370:DZ376" si="931">+DX370+DY370</f>
        <v>-4.5034432234432238</v>
      </c>
      <c r="EA370" s="1364">
        <f>+EA206/EA369</f>
        <v>-2.0931449502878072</v>
      </c>
      <c r="EB370" s="1364">
        <f>+EB206/EB369</f>
        <v>-1.993471381226483</v>
      </c>
      <c r="EC370" s="1374">
        <f t="shared" ref="EC370:EC376" si="932">+EA370+EB370</f>
        <v>-4.08661633151429</v>
      </c>
      <c r="ED370" s="1364">
        <f>+ED206/ED369</f>
        <v>-1.8985441725966505</v>
      </c>
      <c r="EE370" s="1364">
        <f>+EE206/EE369</f>
        <v>-1.8081373072349052</v>
      </c>
      <c r="EF370" s="1374">
        <f t="shared" ref="EF370:EF376" si="933">+ED370+EE370</f>
        <v>-3.7066814798315555</v>
      </c>
      <c r="EG370" s="1364"/>
      <c r="EH370" s="1364"/>
      <c r="EI370" s="1374">
        <f t="shared" ref="EI370:EI376" si="934">+EG370+EH370</f>
        <v>0</v>
      </c>
      <c r="EJ370" s="1364"/>
      <c r="EK370" s="1364"/>
      <c r="EL370" s="1374">
        <f t="shared" ref="EL370:EL376" si="935">+EJ370+EK370</f>
        <v>0</v>
      </c>
      <c r="EM370" s="1364"/>
      <c r="EN370" s="1364"/>
      <c r="EO370" s="1374">
        <f t="shared" ref="EO370:EO376" si="936">+EM370+EN370</f>
        <v>0</v>
      </c>
      <c r="EP370" s="1364"/>
      <c r="EQ370" s="1364"/>
      <c r="ER370" s="1374">
        <f t="shared" ref="ER370:ER376" si="937">+EP370+EQ370</f>
        <v>0</v>
      </c>
      <c r="ES370" s="1364"/>
      <c r="ET370" s="1364"/>
      <c r="EU370" s="1374">
        <f t="shared" ref="EU370:EU376" si="938">+ES370+ET370</f>
        <v>0</v>
      </c>
      <c r="EV370" s="1364"/>
      <c r="EW370" s="1364"/>
      <c r="EX370" s="1374">
        <f t="shared" ref="EX370:EX376" si="939">+EV370+EW370</f>
        <v>0</v>
      </c>
      <c r="EY370" s="1364"/>
      <c r="EZ370" s="1364"/>
      <c r="FA370" s="1374">
        <f t="shared" ref="FA370:FA376" si="940">+EY370+EZ370</f>
        <v>0</v>
      </c>
      <c r="FD370"/>
      <c r="FE370"/>
      <c r="FF370"/>
      <c r="FG370"/>
      <c r="FH370"/>
      <c r="FI370"/>
    </row>
    <row r="371" spans="2:165" s="35" customFormat="1" outlineLevel="1">
      <c r="B371" s="1338" t="s">
        <v>457</v>
      </c>
      <c r="C371" s="1338"/>
      <c r="D371" s="1339"/>
      <c r="E371" s="1363"/>
      <c r="F371" s="1364"/>
      <c r="G371" s="1365">
        <f t="shared" si="891"/>
        <v>0</v>
      </c>
      <c r="H371" s="1364"/>
      <c r="I371" s="1364"/>
      <c r="J371" s="1365">
        <f t="shared" si="892"/>
        <v>0</v>
      </c>
      <c r="K371" s="1364"/>
      <c r="L371" s="1364"/>
      <c r="M371" s="1365">
        <f t="shared" si="893"/>
        <v>0</v>
      </c>
      <c r="N371" s="1364"/>
      <c r="O371" s="1364"/>
      <c r="P371" s="1365">
        <f t="shared" si="894"/>
        <v>0</v>
      </c>
      <c r="Q371" s="1364"/>
      <c r="R371" s="1364"/>
      <c r="S371" s="1365">
        <f t="shared" si="895"/>
        <v>0</v>
      </c>
      <c r="T371" s="1364"/>
      <c r="U371" s="1364"/>
      <c r="V371" s="1365">
        <f t="shared" si="896"/>
        <v>0</v>
      </c>
      <c r="W371" s="1364"/>
      <c r="X371" s="1364"/>
      <c r="Y371" s="1365">
        <f t="shared" si="897"/>
        <v>0</v>
      </c>
      <c r="Z371" s="1364"/>
      <c r="AA371" s="1364"/>
      <c r="AB371" s="1365">
        <f t="shared" si="898"/>
        <v>0</v>
      </c>
      <c r="AC371" s="1364"/>
      <c r="AD371" s="1364"/>
      <c r="AE371" s="1365">
        <f t="shared" si="899"/>
        <v>0</v>
      </c>
      <c r="AF371" s="1364"/>
      <c r="AG371" s="1364"/>
      <c r="AH371" s="1365">
        <f t="shared" si="900"/>
        <v>0</v>
      </c>
      <c r="AI371" s="1364"/>
      <c r="AJ371" s="1364"/>
      <c r="AK371" s="1365">
        <f t="shared" si="901"/>
        <v>0</v>
      </c>
      <c r="AL371" s="1364"/>
      <c r="AM371" s="1364"/>
      <c r="AN371" s="1365">
        <f t="shared" si="902"/>
        <v>0</v>
      </c>
      <c r="AO371" s="1364"/>
      <c r="AP371" s="1364"/>
      <c r="AQ371" s="1365">
        <f t="shared" si="903"/>
        <v>0</v>
      </c>
      <c r="AR371" s="1364"/>
      <c r="AS371" s="1364"/>
      <c r="AT371" s="1365">
        <f t="shared" si="904"/>
        <v>0</v>
      </c>
      <c r="AU371" s="1364"/>
      <c r="AV371" s="1364"/>
      <c r="AW371" s="1365">
        <f t="shared" si="905"/>
        <v>0</v>
      </c>
      <c r="AX371" s="1364"/>
      <c r="AY371" s="1364"/>
      <c r="AZ371" s="1365">
        <f t="shared" si="906"/>
        <v>0</v>
      </c>
      <c r="BA371" s="1364">
        <f>0.2775*3</f>
        <v>0.83250000000000002</v>
      </c>
      <c r="BB371" s="1364"/>
      <c r="BC371" s="1365">
        <f t="shared" si="907"/>
        <v>0.83250000000000002</v>
      </c>
      <c r="BD371" s="1373">
        <v>6.1910000000000003E-3</v>
      </c>
      <c r="BE371" s="1364"/>
      <c r="BF371" s="1365">
        <f t="shared" si="908"/>
        <v>6.1910000000000003E-3</v>
      </c>
      <c r="BG371" s="1364"/>
      <c r="BH371" s="1364"/>
      <c r="BI371" s="1365">
        <f t="shared" si="909"/>
        <v>0</v>
      </c>
      <c r="BJ371" s="1364"/>
      <c r="BK371" s="1364"/>
      <c r="BL371" s="1365">
        <f t="shared" si="910"/>
        <v>0</v>
      </c>
      <c r="BM371" s="1364"/>
      <c r="BN371" s="1364"/>
      <c r="BO371" s="1366">
        <f t="shared" si="911"/>
        <v>0</v>
      </c>
      <c r="BP371" s="1363"/>
      <c r="BQ371" s="1367"/>
      <c r="BR371" s="1356">
        <f t="shared" si="912"/>
        <v>0</v>
      </c>
      <c r="BS371" s="1364"/>
      <c r="BT371" s="1364"/>
      <c r="BU371" s="1366">
        <f t="shared" si="913"/>
        <v>0</v>
      </c>
      <c r="BV371" s="1364"/>
      <c r="BW371" s="1364"/>
      <c r="BX371" s="1366">
        <f t="shared" si="914"/>
        <v>0</v>
      </c>
      <c r="BY371" s="1364"/>
      <c r="BZ371" s="1364"/>
      <c r="CA371" s="1366">
        <f t="shared" si="915"/>
        <v>0</v>
      </c>
      <c r="CB371" s="1363"/>
      <c r="CC371" s="1367"/>
      <c r="CD371" s="1356">
        <f t="shared" si="916"/>
        <v>0</v>
      </c>
      <c r="CE371" s="1363"/>
      <c r="CF371" s="1375"/>
      <c r="CG371" s="1366">
        <f t="shared" ref="CG371:CG376" si="941">+CE371+CF371</f>
        <v>0</v>
      </c>
      <c r="CH371" s="1363"/>
      <c r="CI371" s="1367"/>
      <c r="CJ371" s="1356">
        <f t="shared" si="917"/>
        <v>0</v>
      </c>
      <c r="CK371" s="1363"/>
      <c r="CL371" s="1367"/>
      <c r="CM371" s="1366">
        <f t="shared" si="918"/>
        <v>0</v>
      </c>
      <c r="CN371" s="1364"/>
      <c r="CO371" s="1364"/>
      <c r="CP371" s="1366">
        <f t="shared" si="919"/>
        <v>0</v>
      </c>
      <c r="CQ371" s="1364"/>
      <c r="CR371" s="1364"/>
      <c r="CS371" s="1366">
        <f t="shared" si="920"/>
        <v>0</v>
      </c>
      <c r="CT371" s="1364"/>
      <c r="CU371" s="1364"/>
      <c r="CV371" s="1366">
        <f t="shared" si="921"/>
        <v>0</v>
      </c>
      <c r="CW371" s="1364"/>
      <c r="CX371" s="1364"/>
      <c r="CY371" s="1366">
        <f t="shared" si="922"/>
        <v>0</v>
      </c>
      <c r="CZ371" s="1364"/>
      <c r="DA371" s="1364">
        <v>6.6484000000000015E-2</v>
      </c>
      <c r="DB371" s="1366">
        <f t="shared" si="923"/>
        <v>6.6484000000000015E-2</v>
      </c>
      <c r="DC371" s="1364"/>
      <c r="DD371" s="1364"/>
      <c r="DE371" s="1374">
        <f t="shared" si="924"/>
        <v>0</v>
      </c>
      <c r="DF371" s="1364"/>
      <c r="DG371" s="1364"/>
      <c r="DH371" s="1374">
        <f t="shared" si="925"/>
        <v>0</v>
      </c>
      <c r="DI371" s="1364"/>
      <c r="DJ371" s="1364"/>
      <c r="DK371" s="1374">
        <f t="shared" si="926"/>
        <v>0</v>
      </c>
      <c r="DL371" s="1364"/>
      <c r="DM371" s="1364"/>
      <c r="DN371" s="1374">
        <f t="shared" si="927"/>
        <v>0</v>
      </c>
      <c r="DO371" s="1364"/>
      <c r="DP371" s="1364"/>
      <c r="DQ371" s="1374">
        <f t="shared" si="928"/>
        <v>0</v>
      </c>
      <c r="DR371" s="1364"/>
      <c r="DS371" s="1364"/>
      <c r="DT371" s="1374">
        <f t="shared" si="929"/>
        <v>0</v>
      </c>
      <c r="DU371" s="1364"/>
      <c r="DV371" s="1364"/>
      <c r="DW371" s="1374">
        <f t="shared" si="930"/>
        <v>0</v>
      </c>
      <c r="DX371" s="1364"/>
      <c r="DY371" s="1364"/>
      <c r="DZ371" s="1374">
        <f t="shared" si="931"/>
        <v>0</v>
      </c>
      <c r="EA371" s="1364"/>
      <c r="EB371" s="1364"/>
      <c r="EC371" s="1374">
        <f t="shared" si="932"/>
        <v>0</v>
      </c>
      <c r="ED371" s="1364"/>
      <c r="EE371" s="1364"/>
      <c r="EF371" s="1374">
        <f t="shared" si="933"/>
        <v>0</v>
      </c>
      <c r="EG371" s="1364"/>
      <c r="EH371" s="1364"/>
      <c r="EI371" s="1374">
        <f t="shared" si="934"/>
        <v>0</v>
      </c>
      <c r="EJ371" s="1364"/>
      <c r="EK371" s="1364"/>
      <c r="EL371" s="1374">
        <f t="shared" si="935"/>
        <v>0</v>
      </c>
      <c r="EM371" s="1364"/>
      <c r="EN371" s="1364"/>
      <c r="EO371" s="1374">
        <f t="shared" si="936"/>
        <v>0</v>
      </c>
      <c r="EP371" s="1364"/>
      <c r="EQ371" s="1364"/>
      <c r="ER371" s="1374">
        <f t="shared" si="937"/>
        <v>0</v>
      </c>
      <c r="ES371" s="1364"/>
      <c r="ET371" s="1364"/>
      <c r="EU371" s="1374">
        <f t="shared" si="938"/>
        <v>0</v>
      </c>
      <c r="EV371" s="1364"/>
      <c r="EW371" s="1364"/>
      <c r="EX371" s="1374">
        <f t="shared" si="939"/>
        <v>0</v>
      </c>
      <c r="EY371" s="1364"/>
      <c r="EZ371" s="1364"/>
      <c r="FA371" s="1374">
        <f t="shared" si="940"/>
        <v>0</v>
      </c>
      <c r="FD371"/>
      <c r="FE371"/>
      <c r="FF371"/>
      <c r="FG371"/>
      <c r="FH371"/>
      <c r="FI371"/>
    </row>
    <row r="372" spans="2:165" s="35" customFormat="1" outlineLevel="1">
      <c r="B372" s="1338" t="s">
        <v>458</v>
      </c>
      <c r="C372" s="1338"/>
      <c r="D372" s="1339"/>
      <c r="E372" s="1363"/>
      <c r="F372" s="1364"/>
      <c r="G372" s="1365">
        <f t="shared" si="891"/>
        <v>0</v>
      </c>
      <c r="H372" s="1364"/>
      <c r="I372" s="1364"/>
      <c r="J372" s="1365">
        <f t="shared" si="892"/>
        <v>0</v>
      </c>
      <c r="K372" s="1364"/>
      <c r="L372" s="1364"/>
      <c r="M372" s="1365">
        <f t="shared" si="893"/>
        <v>0</v>
      </c>
      <c r="N372" s="1364"/>
      <c r="O372" s="1364"/>
      <c r="P372" s="1365">
        <f t="shared" si="894"/>
        <v>0</v>
      </c>
      <c r="Q372" s="1364"/>
      <c r="R372" s="1364"/>
      <c r="S372" s="1365">
        <f t="shared" si="895"/>
        <v>0</v>
      </c>
      <c r="T372" s="1364"/>
      <c r="U372" s="1364"/>
      <c r="V372" s="1365">
        <f t="shared" si="896"/>
        <v>0</v>
      </c>
      <c r="W372" s="1364"/>
      <c r="X372" s="1364"/>
      <c r="Y372" s="1365">
        <f t="shared" si="897"/>
        <v>0</v>
      </c>
      <c r="Z372" s="1364"/>
      <c r="AA372" s="1364"/>
      <c r="AB372" s="1365">
        <f t="shared" si="898"/>
        <v>0</v>
      </c>
      <c r="AC372" s="1364"/>
      <c r="AD372" s="1364"/>
      <c r="AE372" s="1365">
        <f t="shared" si="899"/>
        <v>0</v>
      </c>
      <c r="AF372" s="1364"/>
      <c r="AG372" s="1364"/>
      <c r="AH372" s="1365">
        <f t="shared" si="900"/>
        <v>0</v>
      </c>
      <c r="AI372" s="1364"/>
      <c r="AJ372" s="1364"/>
      <c r="AK372" s="1365">
        <f t="shared" si="901"/>
        <v>0</v>
      </c>
      <c r="AL372" s="1364"/>
      <c r="AM372" s="1364"/>
      <c r="AN372" s="1365">
        <f t="shared" si="902"/>
        <v>0</v>
      </c>
      <c r="AO372" s="1364"/>
      <c r="AP372" s="1364"/>
      <c r="AQ372" s="1365">
        <f t="shared" si="903"/>
        <v>0</v>
      </c>
      <c r="AR372" s="1364"/>
      <c r="AS372" s="1364"/>
      <c r="AT372" s="1365">
        <f t="shared" si="904"/>
        <v>0</v>
      </c>
      <c r="AU372" s="1364"/>
      <c r="AV372" s="1364"/>
      <c r="AW372" s="1365">
        <f t="shared" si="905"/>
        <v>0</v>
      </c>
      <c r="AX372" s="1364"/>
      <c r="AY372" s="1364"/>
      <c r="AZ372" s="1365">
        <f t="shared" si="906"/>
        <v>0</v>
      </c>
      <c r="BA372" s="1364">
        <f>0.079308*3</f>
        <v>0.23792400000000002</v>
      </c>
      <c r="BB372" s="1364"/>
      <c r="BC372" s="1365">
        <f t="shared" si="907"/>
        <v>0.23792400000000002</v>
      </c>
      <c r="BD372" s="1364"/>
      <c r="BE372" s="1364"/>
      <c r="BF372" s="1365">
        <f t="shared" si="908"/>
        <v>0</v>
      </c>
      <c r="BG372" s="1364"/>
      <c r="BH372" s="1364"/>
      <c r="BI372" s="1365">
        <f t="shared" si="909"/>
        <v>0</v>
      </c>
      <c r="BJ372" s="1364"/>
      <c r="BK372" s="1364"/>
      <c r="BL372" s="1365">
        <f t="shared" si="910"/>
        <v>0</v>
      </c>
      <c r="BM372" s="1364"/>
      <c r="BN372" s="1364"/>
      <c r="BO372" s="1366">
        <f t="shared" si="911"/>
        <v>0</v>
      </c>
      <c r="BP372" s="1363"/>
      <c r="BQ372" s="1367"/>
      <c r="BR372" s="1356">
        <f t="shared" si="912"/>
        <v>0</v>
      </c>
      <c r="BS372" s="1364"/>
      <c r="BT372" s="1364"/>
      <c r="BU372" s="1366">
        <f t="shared" si="913"/>
        <v>0</v>
      </c>
      <c r="BV372" s="1364"/>
      <c r="BW372" s="1364"/>
      <c r="BX372" s="1366">
        <f t="shared" si="914"/>
        <v>0</v>
      </c>
      <c r="BY372" s="1364"/>
      <c r="BZ372" s="1364"/>
      <c r="CA372" s="1366">
        <f t="shared" si="915"/>
        <v>0</v>
      </c>
      <c r="CB372" s="1363"/>
      <c r="CC372" s="1367"/>
      <c r="CD372" s="1356">
        <f t="shared" si="916"/>
        <v>0</v>
      </c>
      <c r="CE372" s="1363"/>
      <c r="CF372" s="1367"/>
      <c r="CG372" s="1366">
        <f t="shared" si="941"/>
        <v>0</v>
      </c>
      <c r="CH372" s="1363"/>
      <c r="CI372" s="1367"/>
      <c r="CJ372" s="1356">
        <f t="shared" si="917"/>
        <v>0</v>
      </c>
      <c r="CK372" s="1363"/>
      <c r="CL372" s="1367"/>
      <c r="CM372" s="1366">
        <f t="shared" si="918"/>
        <v>0</v>
      </c>
      <c r="CN372" s="1364"/>
      <c r="CO372" s="1364"/>
      <c r="CP372" s="1366">
        <f t="shared" si="919"/>
        <v>0</v>
      </c>
      <c r="CQ372" s="1364"/>
      <c r="CR372" s="1364"/>
      <c r="CS372" s="1366">
        <f t="shared" si="920"/>
        <v>0</v>
      </c>
      <c r="CT372" s="1364"/>
      <c r="CU372" s="1364"/>
      <c r="CV372" s="1366">
        <f t="shared" si="921"/>
        <v>0</v>
      </c>
      <c r="CW372" s="1364"/>
      <c r="CX372" s="1364"/>
      <c r="CY372" s="1366">
        <f t="shared" si="922"/>
        <v>0</v>
      </c>
      <c r="CZ372" s="1364"/>
      <c r="DA372" s="1364"/>
      <c r="DB372" s="1366">
        <f t="shared" si="923"/>
        <v>0</v>
      </c>
      <c r="DC372" s="1364"/>
      <c r="DD372" s="1364"/>
      <c r="DE372" s="1374">
        <f t="shared" si="924"/>
        <v>0</v>
      </c>
      <c r="DF372" s="1364"/>
      <c r="DG372" s="1364"/>
      <c r="DH372" s="1374">
        <f t="shared" si="925"/>
        <v>0</v>
      </c>
      <c r="DI372" s="1364"/>
      <c r="DJ372" s="1364"/>
      <c r="DK372" s="1374">
        <f t="shared" si="926"/>
        <v>0</v>
      </c>
      <c r="DL372" s="1364"/>
      <c r="DM372" s="1364"/>
      <c r="DN372" s="1374">
        <f t="shared" si="927"/>
        <v>0</v>
      </c>
      <c r="DO372" s="1364"/>
      <c r="DP372" s="1364"/>
      <c r="DQ372" s="1374">
        <f t="shared" si="928"/>
        <v>0</v>
      </c>
      <c r="DR372" s="1364"/>
      <c r="DS372" s="1364"/>
      <c r="DT372" s="1374">
        <f t="shared" si="929"/>
        <v>0</v>
      </c>
      <c r="DU372" s="1364"/>
      <c r="DV372" s="1364"/>
      <c r="DW372" s="1374">
        <f t="shared" si="930"/>
        <v>0</v>
      </c>
      <c r="DX372" s="1364"/>
      <c r="DY372" s="1364"/>
      <c r="DZ372" s="1374">
        <f t="shared" si="931"/>
        <v>0</v>
      </c>
      <c r="EA372" s="1364"/>
      <c r="EB372" s="1364"/>
      <c r="EC372" s="1374">
        <f t="shared" si="932"/>
        <v>0</v>
      </c>
      <c r="ED372" s="1364"/>
      <c r="EE372" s="1364"/>
      <c r="EF372" s="1374">
        <f t="shared" si="933"/>
        <v>0</v>
      </c>
      <c r="EG372" s="1364"/>
      <c r="EH372" s="1364"/>
      <c r="EI372" s="1374">
        <f t="shared" si="934"/>
        <v>0</v>
      </c>
      <c r="EJ372" s="1364"/>
      <c r="EK372" s="1364"/>
      <c r="EL372" s="1374">
        <f t="shared" si="935"/>
        <v>0</v>
      </c>
      <c r="EM372" s="1364"/>
      <c r="EN372" s="1364"/>
      <c r="EO372" s="1374">
        <f t="shared" si="936"/>
        <v>0</v>
      </c>
      <c r="EP372" s="1364"/>
      <c r="EQ372" s="1364"/>
      <c r="ER372" s="1374">
        <f t="shared" si="937"/>
        <v>0</v>
      </c>
      <c r="ES372" s="1364"/>
      <c r="ET372" s="1364"/>
      <c r="EU372" s="1374">
        <f t="shared" si="938"/>
        <v>0</v>
      </c>
      <c r="EV372" s="1364"/>
      <c r="EW372" s="1364"/>
      <c r="EX372" s="1374">
        <f t="shared" si="939"/>
        <v>0</v>
      </c>
      <c r="EY372" s="1364"/>
      <c r="EZ372" s="1364"/>
      <c r="FA372" s="1374">
        <f t="shared" si="940"/>
        <v>0</v>
      </c>
      <c r="FD372"/>
      <c r="FE372"/>
      <c r="FF372"/>
      <c r="FG372"/>
      <c r="FH372"/>
      <c r="FI372"/>
    </row>
    <row r="373" spans="2:165" s="35" customFormat="1" outlineLevel="1">
      <c r="B373" s="1338" t="s">
        <v>160</v>
      </c>
      <c r="C373" s="1338"/>
      <c r="D373" s="1339"/>
      <c r="E373" s="1363"/>
      <c r="F373" s="1364"/>
      <c r="G373" s="1365">
        <f t="shared" si="891"/>
        <v>0</v>
      </c>
      <c r="H373" s="1364"/>
      <c r="I373" s="1364"/>
      <c r="J373" s="1365">
        <f t="shared" si="892"/>
        <v>0</v>
      </c>
      <c r="K373" s="1364"/>
      <c r="L373" s="1364"/>
      <c r="M373" s="1365">
        <f t="shared" si="893"/>
        <v>0</v>
      </c>
      <c r="N373" s="1364"/>
      <c r="O373" s="1364"/>
      <c r="P373" s="1365">
        <f t="shared" si="894"/>
        <v>0</v>
      </c>
      <c r="Q373" s="1364"/>
      <c r="R373" s="1364"/>
      <c r="S373" s="1365">
        <f t="shared" si="895"/>
        <v>0</v>
      </c>
      <c r="T373" s="1364"/>
      <c r="U373" s="1364"/>
      <c r="V373" s="1365">
        <f t="shared" si="896"/>
        <v>0</v>
      </c>
      <c r="W373" s="1364"/>
      <c r="X373" s="1364"/>
      <c r="Y373" s="1365">
        <f t="shared" si="897"/>
        <v>0</v>
      </c>
      <c r="Z373" s="1364"/>
      <c r="AA373" s="1364"/>
      <c r="AB373" s="1365">
        <f t="shared" si="898"/>
        <v>0</v>
      </c>
      <c r="AC373" s="1364"/>
      <c r="AD373" s="1364"/>
      <c r="AE373" s="1365">
        <f t="shared" si="899"/>
        <v>0</v>
      </c>
      <c r="AF373" s="1364"/>
      <c r="AG373" s="1364"/>
      <c r="AH373" s="1365">
        <f t="shared" si="900"/>
        <v>0</v>
      </c>
      <c r="AI373" s="1364"/>
      <c r="AJ373" s="1364"/>
      <c r="AK373" s="1365">
        <f t="shared" si="901"/>
        <v>0</v>
      </c>
      <c r="AL373" s="1364"/>
      <c r="AM373" s="1364"/>
      <c r="AN373" s="1365">
        <f t="shared" si="902"/>
        <v>0</v>
      </c>
      <c r="AO373" s="1364"/>
      <c r="AP373" s="1364"/>
      <c r="AQ373" s="1365">
        <f t="shared" si="903"/>
        <v>0</v>
      </c>
      <c r="AR373" s="1364"/>
      <c r="AS373" s="1364"/>
      <c r="AT373" s="1365">
        <f t="shared" si="904"/>
        <v>0</v>
      </c>
      <c r="AU373" s="1364"/>
      <c r="AV373" s="1364">
        <f>0.392*3</f>
        <v>1.1760000000000002</v>
      </c>
      <c r="AW373" s="1376">
        <f t="shared" si="905"/>
        <v>1.1760000000000002</v>
      </c>
      <c r="AX373" s="1364">
        <f>0.799202+0.1346</f>
        <v>0.93380200000000002</v>
      </c>
      <c r="AY373" s="1364">
        <f>0.923*3</f>
        <v>2.7690000000000001</v>
      </c>
      <c r="AZ373" s="1365">
        <f t="shared" si="906"/>
        <v>3.7028020000000001</v>
      </c>
      <c r="BA373" s="1364"/>
      <c r="BB373" s="1373">
        <v>0.56650800000000001</v>
      </c>
      <c r="BC373" s="1365">
        <f t="shared" si="907"/>
        <v>0.56650800000000001</v>
      </c>
      <c r="BD373" s="1364"/>
      <c r="BE373" s="1364"/>
      <c r="BF373" s="1365">
        <f t="shared" si="908"/>
        <v>0</v>
      </c>
      <c r="BG373" s="1364"/>
      <c r="BH373" s="1364">
        <f>1.5231532*3</f>
        <v>4.5694596000000001</v>
      </c>
      <c r="BI373" s="1365">
        <f t="shared" si="909"/>
        <v>4.5694596000000001</v>
      </c>
      <c r="BJ373" s="1364"/>
      <c r="BK373" s="1364"/>
      <c r="BL373" s="1365">
        <f t="shared" si="910"/>
        <v>0</v>
      </c>
      <c r="BM373" s="1364"/>
      <c r="BN373" s="1364"/>
      <c r="BO373" s="1366">
        <f t="shared" si="911"/>
        <v>0</v>
      </c>
      <c r="BP373" s="1363"/>
      <c r="BQ373" s="1367"/>
      <c r="BR373" s="1356">
        <f t="shared" si="912"/>
        <v>0</v>
      </c>
      <c r="BS373" s="1364"/>
      <c r="BT373" s="1364"/>
      <c r="BU373" s="1366">
        <f t="shared" si="913"/>
        <v>0</v>
      </c>
      <c r="BV373" s="1364"/>
      <c r="BW373" s="1364"/>
      <c r="BX373" s="1366">
        <f t="shared" si="914"/>
        <v>0</v>
      </c>
      <c r="BY373" s="1364"/>
      <c r="BZ373" s="1364"/>
      <c r="CA373" s="1366">
        <f t="shared" si="915"/>
        <v>0</v>
      </c>
      <c r="CB373" s="1363">
        <f>0.214695+0.195861+0.093696</f>
        <v>0.50425200000000003</v>
      </c>
      <c r="CC373" s="1367">
        <f>(0.07704+0.253154+0.539006+0.186124)-CB373</f>
        <v>0.5510719999999999</v>
      </c>
      <c r="CD373" s="1356">
        <f t="shared" si="916"/>
        <v>1.0553239999999999</v>
      </c>
      <c r="CE373" s="1363">
        <f>0.306722+0.351645+0.095517</f>
        <v>0.75388399999999989</v>
      </c>
      <c r="CF373" s="1367"/>
      <c r="CG373" s="1366">
        <f t="shared" si="941"/>
        <v>0.75388399999999989</v>
      </c>
      <c r="CH373" s="1363"/>
      <c r="CI373" s="1367"/>
      <c r="CJ373" s="1356">
        <f t="shared" si="917"/>
        <v>0</v>
      </c>
      <c r="CK373" s="1363"/>
      <c r="CL373" s="1367"/>
      <c r="CM373" s="1366">
        <f t="shared" si="918"/>
        <v>0</v>
      </c>
      <c r="CN373" s="1364"/>
      <c r="CO373" s="1364"/>
      <c r="CP373" s="1366">
        <f t="shared" si="919"/>
        <v>0</v>
      </c>
      <c r="CQ373" s="1364"/>
      <c r="CR373" s="1364"/>
      <c r="CS373" s="1366">
        <f t="shared" si="920"/>
        <v>0</v>
      </c>
      <c r="CT373" s="1364"/>
      <c r="CU373" s="1364"/>
      <c r="CV373" s="1366">
        <f t="shared" si="921"/>
        <v>0</v>
      </c>
      <c r="CW373" s="1364"/>
      <c r="CX373" s="1364"/>
      <c r="CY373" s="1366">
        <f t="shared" si="922"/>
        <v>0</v>
      </c>
      <c r="CZ373" s="1364"/>
      <c r="DA373" s="1364"/>
      <c r="DB373" s="1366">
        <f t="shared" si="923"/>
        <v>0</v>
      </c>
      <c r="DC373" s="1364"/>
      <c r="DD373" s="1364"/>
      <c r="DE373" s="1374">
        <f t="shared" si="924"/>
        <v>0</v>
      </c>
      <c r="DF373" s="1364"/>
      <c r="DG373" s="1364"/>
      <c r="DH373" s="1374">
        <f t="shared" si="925"/>
        <v>0</v>
      </c>
      <c r="DI373" s="1364"/>
      <c r="DJ373" s="1364"/>
      <c r="DK373" s="1374">
        <f t="shared" si="926"/>
        <v>0</v>
      </c>
      <c r="DL373" s="1364"/>
      <c r="DM373" s="1364"/>
      <c r="DN373" s="1374">
        <f t="shared" si="927"/>
        <v>0</v>
      </c>
      <c r="DO373" s="1364"/>
      <c r="DP373" s="1364"/>
      <c r="DQ373" s="1374">
        <f t="shared" si="928"/>
        <v>0</v>
      </c>
      <c r="DR373" s="1364"/>
      <c r="DS373" s="1364"/>
      <c r="DT373" s="1374">
        <f t="shared" si="929"/>
        <v>0</v>
      </c>
      <c r="DU373" s="1364"/>
      <c r="DV373" s="1364"/>
      <c r="DW373" s="1374">
        <f t="shared" si="930"/>
        <v>0</v>
      </c>
      <c r="DX373" s="1364"/>
      <c r="DY373" s="1364"/>
      <c r="DZ373" s="1374">
        <f t="shared" si="931"/>
        <v>0</v>
      </c>
      <c r="EA373" s="1364"/>
      <c r="EB373" s="1364"/>
      <c r="EC373" s="1374">
        <f t="shared" si="932"/>
        <v>0</v>
      </c>
      <c r="ED373" s="1364"/>
      <c r="EE373" s="1364"/>
      <c r="EF373" s="1374">
        <f t="shared" si="933"/>
        <v>0</v>
      </c>
      <c r="EG373" s="1364"/>
      <c r="EH373" s="1364"/>
      <c r="EI373" s="1374">
        <f t="shared" si="934"/>
        <v>0</v>
      </c>
      <c r="EJ373" s="1364"/>
      <c r="EK373" s="1364"/>
      <c r="EL373" s="1374">
        <f t="shared" si="935"/>
        <v>0</v>
      </c>
      <c r="EM373" s="1364"/>
      <c r="EN373" s="1364"/>
      <c r="EO373" s="1374">
        <f t="shared" si="936"/>
        <v>0</v>
      </c>
      <c r="EP373" s="1364"/>
      <c r="EQ373" s="1364"/>
      <c r="ER373" s="1374">
        <f t="shared" si="937"/>
        <v>0</v>
      </c>
      <c r="ES373" s="1364"/>
      <c r="ET373" s="1364"/>
      <c r="EU373" s="1374">
        <f t="shared" si="938"/>
        <v>0</v>
      </c>
      <c r="EV373" s="1364"/>
      <c r="EW373" s="1364"/>
      <c r="EX373" s="1374">
        <f t="shared" si="939"/>
        <v>0</v>
      </c>
      <c r="EY373" s="1364"/>
      <c r="EZ373" s="1364"/>
      <c r="FA373" s="1374">
        <f t="shared" si="940"/>
        <v>0</v>
      </c>
      <c r="FD373"/>
      <c r="FE373"/>
      <c r="FF373"/>
      <c r="FG373"/>
      <c r="FH373"/>
      <c r="FI373"/>
    </row>
    <row r="374" spans="2:165" s="35" customFormat="1" outlineLevel="1">
      <c r="B374" s="1338" t="s">
        <v>161</v>
      </c>
      <c r="C374" s="1338"/>
      <c r="D374" s="1339"/>
      <c r="E374" s="1363"/>
      <c r="F374" s="1364"/>
      <c r="G374" s="1365">
        <f t="shared" si="891"/>
        <v>0</v>
      </c>
      <c r="H374" s="1364"/>
      <c r="I374" s="1364"/>
      <c r="J374" s="1365">
        <f t="shared" si="892"/>
        <v>0</v>
      </c>
      <c r="K374" s="1364"/>
      <c r="L374" s="1364"/>
      <c r="M374" s="1365">
        <f t="shared" si="893"/>
        <v>0</v>
      </c>
      <c r="N374" s="1364"/>
      <c r="O374" s="1364"/>
      <c r="P374" s="1365">
        <f t="shared" si="894"/>
        <v>0</v>
      </c>
      <c r="Q374" s="1364"/>
      <c r="R374" s="1364"/>
      <c r="S374" s="1365">
        <f t="shared" si="895"/>
        <v>0</v>
      </c>
      <c r="T374" s="1364"/>
      <c r="U374" s="1364"/>
      <c r="V374" s="1365">
        <f t="shared" si="896"/>
        <v>0</v>
      </c>
      <c r="W374" s="1364"/>
      <c r="X374" s="1364"/>
      <c r="Y374" s="1365">
        <f t="shared" si="897"/>
        <v>0</v>
      </c>
      <c r="Z374" s="1364"/>
      <c r="AA374" s="1364"/>
      <c r="AB374" s="1365">
        <f t="shared" si="898"/>
        <v>0</v>
      </c>
      <c r="AC374" s="1364"/>
      <c r="AD374" s="1364"/>
      <c r="AE374" s="1365">
        <f t="shared" si="899"/>
        <v>0</v>
      </c>
      <c r="AF374" s="1364"/>
      <c r="AG374" s="1364"/>
      <c r="AH374" s="1365">
        <f t="shared" si="900"/>
        <v>0</v>
      </c>
      <c r="AI374" s="1364"/>
      <c r="AJ374" s="1364"/>
      <c r="AK374" s="1365">
        <f t="shared" si="901"/>
        <v>0</v>
      </c>
      <c r="AL374" s="1364"/>
      <c r="AM374" s="1364"/>
      <c r="AN374" s="1365">
        <f t="shared" si="902"/>
        <v>0</v>
      </c>
      <c r="AO374" s="1364"/>
      <c r="AP374" s="1364"/>
      <c r="AQ374" s="1365">
        <f t="shared" si="903"/>
        <v>0</v>
      </c>
      <c r="AR374" s="1364"/>
      <c r="AS374" s="1364"/>
      <c r="AT374" s="1365">
        <f t="shared" si="904"/>
        <v>0</v>
      </c>
      <c r="AU374" s="1364"/>
      <c r="AV374" s="1364"/>
      <c r="AW374" s="1365">
        <f t="shared" si="905"/>
        <v>0</v>
      </c>
      <c r="AX374" s="1364"/>
      <c r="AY374" s="1364"/>
      <c r="AZ374" s="1365">
        <f t="shared" si="906"/>
        <v>0</v>
      </c>
      <c r="BA374" s="1364"/>
      <c r="BB374" s="1364"/>
      <c r="BC374" s="1365">
        <f t="shared" si="907"/>
        <v>0</v>
      </c>
      <c r="BD374" s="1364"/>
      <c r="BE374" s="1364"/>
      <c r="BF374" s="1365">
        <f t="shared" si="908"/>
        <v>0</v>
      </c>
      <c r="BG374" s="1364"/>
      <c r="BH374" s="1364"/>
      <c r="BI374" s="1365">
        <f t="shared" si="909"/>
        <v>0</v>
      </c>
      <c r="BJ374" s="1364"/>
      <c r="BK374" s="1364"/>
      <c r="BL374" s="1365">
        <f t="shared" si="910"/>
        <v>0</v>
      </c>
      <c r="BM374" s="1364"/>
      <c r="BN374" s="1364"/>
      <c r="BO374" s="1366">
        <f t="shared" si="911"/>
        <v>0</v>
      </c>
      <c r="BP374" s="1363"/>
      <c r="BQ374" s="1367"/>
      <c r="BR374" s="1356">
        <f t="shared" si="912"/>
        <v>0</v>
      </c>
      <c r="BS374" s="1364"/>
      <c r="BT374" s="1364"/>
      <c r="BU374" s="1366">
        <f t="shared" si="913"/>
        <v>0</v>
      </c>
      <c r="BV374" s="1364"/>
      <c r="BW374" s="1364"/>
      <c r="BX374" s="1366">
        <f t="shared" si="914"/>
        <v>0</v>
      </c>
      <c r="BY374" s="1364"/>
      <c r="BZ374" s="1364"/>
      <c r="CA374" s="1366">
        <f t="shared" si="915"/>
        <v>0</v>
      </c>
      <c r="CB374" s="1363"/>
      <c r="CC374" s="1367"/>
      <c r="CD374" s="1356">
        <f t="shared" si="916"/>
        <v>0</v>
      </c>
      <c r="CE374" s="1363"/>
      <c r="CF374" s="1367"/>
      <c r="CG374" s="1366">
        <f t="shared" si="941"/>
        <v>0</v>
      </c>
      <c r="CH374" s="1363"/>
      <c r="CI374" s="1367"/>
      <c r="CJ374" s="1356">
        <f t="shared" si="917"/>
        <v>0</v>
      </c>
      <c r="CK374" s="1363"/>
      <c r="CL374" s="1367"/>
      <c r="CM374" s="1366">
        <f t="shared" si="918"/>
        <v>0</v>
      </c>
      <c r="CN374" s="1364"/>
      <c r="CO374" s="1364"/>
      <c r="CP374" s="1366">
        <f t="shared" si="919"/>
        <v>0</v>
      </c>
      <c r="CQ374" s="1364"/>
      <c r="CR374" s="1364"/>
      <c r="CS374" s="1366">
        <f t="shared" si="920"/>
        <v>0</v>
      </c>
      <c r="CT374" s="1364"/>
      <c r="CU374" s="1364"/>
      <c r="CV374" s="1366">
        <f t="shared" si="921"/>
        <v>0</v>
      </c>
      <c r="CW374" s="1364"/>
      <c r="CX374" s="1364"/>
      <c r="CY374" s="1366">
        <f t="shared" si="922"/>
        <v>0</v>
      </c>
      <c r="CZ374" s="1364"/>
      <c r="DA374" s="1364"/>
      <c r="DB374" s="1366">
        <f t="shared" si="923"/>
        <v>0</v>
      </c>
      <c r="DC374" s="1364"/>
      <c r="DD374" s="1364"/>
      <c r="DE374" s="1374">
        <f t="shared" si="924"/>
        <v>0</v>
      </c>
      <c r="DF374" s="1364"/>
      <c r="DG374" s="1364"/>
      <c r="DH374" s="1374">
        <f t="shared" si="925"/>
        <v>0</v>
      </c>
      <c r="DI374" s="1364"/>
      <c r="DJ374" s="1364"/>
      <c r="DK374" s="1374">
        <f t="shared" si="926"/>
        <v>0</v>
      </c>
      <c r="DL374" s="1364"/>
      <c r="DM374" s="1364"/>
      <c r="DN374" s="1374">
        <f t="shared" si="927"/>
        <v>0</v>
      </c>
      <c r="DO374" s="1364"/>
      <c r="DP374" s="1364"/>
      <c r="DQ374" s="1374">
        <f t="shared" si="928"/>
        <v>0</v>
      </c>
      <c r="DR374" s="1364"/>
      <c r="DS374" s="1364"/>
      <c r="DT374" s="1374">
        <f t="shared" si="929"/>
        <v>0</v>
      </c>
      <c r="DU374" s="1364"/>
      <c r="DV374" s="1364"/>
      <c r="DW374" s="1374">
        <f t="shared" si="930"/>
        <v>0</v>
      </c>
      <c r="DX374" s="1364"/>
      <c r="DY374" s="1364"/>
      <c r="DZ374" s="1374">
        <f t="shared" si="931"/>
        <v>0</v>
      </c>
      <c r="EA374" s="1364"/>
      <c r="EB374" s="1364"/>
      <c r="EC374" s="1374">
        <f t="shared" si="932"/>
        <v>0</v>
      </c>
      <c r="ED374" s="1364"/>
      <c r="EE374" s="1364"/>
      <c r="EF374" s="1374">
        <f t="shared" si="933"/>
        <v>0</v>
      </c>
      <c r="EG374" s="1364"/>
      <c r="EH374" s="1364"/>
      <c r="EI374" s="1374">
        <f t="shared" si="934"/>
        <v>0</v>
      </c>
      <c r="EJ374" s="1364"/>
      <c r="EK374" s="1364"/>
      <c r="EL374" s="1374">
        <f t="shared" si="935"/>
        <v>0</v>
      </c>
      <c r="EM374" s="1364"/>
      <c r="EN374" s="1364"/>
      <c r="EO374" s="1374">
        <f t="shared" si="936"/>
        <v>0</v>
      </c>
      <c r="EP374" s="1364"/>
      <c r="EQ374" s="1364"/>
      <c r="ER374" s="1374">
        <f t="shared" si="937"/>
        <v>0</v>
      </c>
      <c r="ES374" s="1364"/>
      <c r="ET374" s="1364"/>
      <c r="EU374" s="1374">
        <f t="shared" si="938"/>
        <v>0</v>
      </c>
      <c r="EV374" s="1364"/>
      <c r="EW374" s="1364"/>
      <c r="EX374" s="1374">
        <f t="shared" si="939"/>
        <v>0</v>
      </c>
      <c r="EY374" s="1364"/>
      <c r="EZ374" s="1364"/>
      <c r="FA374" s="1374">
        <f t="shared" si="940"/>
        <v>0</v>
      </c>
      <c r="FD374"/>
      <c r="FE374"/>
      <c r="FF374"/>
      <c r="FG374"/>
      <c r="FH374"/>
      <c r="FI374"/>
    </row>
    <row r="375" spans="2:165" s="35" customFormat="1" outlineLevel="1">
      <c r="B375" s="1338" t="s">
        <v>41</v>
      </c>
      <c r="C375" s="1338"/>
      <c r="D375" s="1339"/>
      <c r="E375" s="1363"/>
      <c r="F375" s="1364"/>
      <c r="G375" s="1365">
        <f t="shared" si="891"/>
        <v>0</v>
      </c>
      <c r="H375" s="1364"/>
      <c r="I375" s="1364"/>
      <c r="J375" s="1365">
        <f t="shared" si="892"/>
        <v>0</v>
      </c>
      <c r="K375" s="1364"/>
      <c r="L375" s="1364"/>
      <c r="M375" s="1365">
        <f t="shared" si="893"/>
        <v>0</v>
      </c>
      <c r="N375" s="1364"/>
      <c r="O375" s="1364"/>
      <c r="P375" s="1365">
        <f t="shared" si="894"/>
        <v>0</v>
      </c>
      <c r="Q375" s="1364"/>
      <c r="R375" s="1364"/>
      <c r="S375" s="1365">
        <f t="shared" si="895"/>
        <v>0</v>
      </c>
      <c r="T375" s="1364"/>
      <c r="U375" s="1364"/>
      <c r="V375" s="1365">
        <f t="shared" si="896"/>
        <v>0</v>
      </c>
      <c r="W375" s="1364"/>
      <c r="X375" s="1364"/>
      <c r="Y375" s="1365">
        <f t="shared" si="897"/>
        <v>0</v>
      </c>
      <c r="Z375" s="1364"/>
      <c r="AA375" s="1364"/>
      <c r="AB375" s="1365">
        <f t="shared" si="898"/>
        <v>0</v>
      </c>
      <c r="AC375" s="1364"/>
      <c r="AD375" s="1364"/>
      <c r="AE375" s="1365">
        <f t="shared" si="899"/>
        <v>0</v>
      </c>
      <c r="AF375" s="1364"/>
      <c r="AG375" s="1364"/>
      <c r="AH375" s="1365">
        <f t="shared" si="900"/>
        <v>0</v>
      </c>
      <c r="AI375" s="1364"/>
      <c r="AJ375" s="1364"/>
      <c r="AK375" s="1365">
        <f t="shared" si="901"/>
        <v>0</v>
      </c>
      <c r="AL375" s="1364"/>
      <c r="AM375" s="1364"/>
      <c r="AN375" s="1365">
        <f t="shared" si="902"/>
        <v>0</v>
      </c>
      <c r="AO375" s="1364"/>
      <c r="AP375" s="1364"/>
      <c r="AQ375" s="1365">
        <f t="shared" si="903"/>
        <v>0</v>
      </c>
      <c r="AR375" s="1364"/>
      <c r="AS375" s="1364"/>
      <c r="AT375" s="1365">
        <f t="shared" si="904"/>
        <v>0</v>
      </c>
      <c r="AU375" s="1364"/>
      <c r="AV375" s="1364"/>
      <c r="AW375" s="1365">
        <f t="shared" si="905"/>
        <v>0</v>
      </c>
      <c r="AX375" s="1364"/>
      <c r="AY375" s="1364"/>
      <c r="AZ375" s="1365">
        <f t="shared" si="906"/>
        <v>0</v>
      </c>
      <c r="BA375" s="1364">
        <f>Assumptions!BA209</f>
        <v>0</v>
      </c>
      <c r="BB375" s="1364">
        <f>Assumptions!BB209</f>
        <v>0</v>
      </c>
      <c r="BC375" s="1365">
        <f t="shared" si="907"/>
        <v>0</v>
      </c>
      <c r="BD375" s="1364">
        <f>Assumptions!BD209</f>
        <v>0</v>
      </c>
      <c r="BE375" s="1364">
        <f>Assumptions!BE209</f>
        <v>0</v>
      </c>
      <c r="BF375" s="1365">
        <f t="shared" si="908"/>
        <v>0</v>
      </c>
      <c r="BG375" s="1364">
        <f>Assumptions!BG209</f>
        <v>0</v>
      </c>
      <c r="BH375" s="1364">
        <f>Assumptions!BH209</f>
        <v>0</v>
      </c>
      <c r="BI375" s="1365">
        <f t="shared" si="909"/>
        <v>0</v>
      </c>
      <c r="BJ375" s="1364">
        <f>Assumptions!BJ209</f>
        <v>0</v>
      </c>
      <c r="BK375" s="1364">
        <f>Assumptions!BK209</f>
        <v>0</v>
      </c>
      <c r="BL375" s="1365">
        <f t="shared" si="910"/>
        <v>0</v>
      </c>
      <c r="BM375" s="1377">
        <f>0.68326*3</f>
        <v>2.0497800000000002</v>
      </c>
      <c r="BN375" s="1364"/>
      <c r="BO375" s="1366">
        <f t="shared" si="911"/>
        <v>2.0497800000000002</v>
      </c>
      <c r="BP375" s="1363"/>
      <c r="BQ375" s="1367"/>
      <c r="BR375" s="1356">
        <f t="shared" si="912"/>
        <v>0</v>
      </c>
      <c r="BS375" s="1364"/>
      <c r="BT375" s="1364"/>
      <c r="BU375" s="1366">
        <f t="shared" si="913"/>
        <v>0</v>
      </c>
      <c r="BV375" s="1364"/>
      <c r="BW375" s="1364"/>
      <c r="BX375" s="1366">
        <f t="shared" si="914"/>
        <v>0</v>
      </c>
      <c r="BY375" s="1364"/>
      <c r="BZ375" s="1364"/>
      <c r="CA375" s="1366">
        <f t="shared" si="915"/>
        <v>0</v>
      </c>
      <c r="CB375" s="1363"/>
      <c r="CC375" s="1367"/>
      <c r="CD375" s="1356">
        <f t="shared" si="916"/>
        <v>0</v>
      </c>
      <c r="CE375" s="1363"/>
      <c r="CF375" s="1367"/>
      <c r="CG375" s="1366">
        <f t="shared" si="941"/>
        <v>0</v>
      </c>
      <c r="CH375" s="1363"/>
      <c r="CI375" s="1367"/>
      <c r="CJ375" s="1356">
        <f t="shared" si="917"/>
        <v>0</v>
      </c>
      <c r="CK375" s="1363"/>
      <c r="CL375" s="1367"/>
      <c r="CM375" s="1366">
        <f t="shared" si="918"/>
        <v>0</v>
      </c>
      <c r="CN375" s="1364"/>
      <c r="CO375" s="1364"/>
      <c r="CP375" s="1366">
        <f t="shared" si="919"/>
        <v>0</v>
      </c>
      <c r="CQ375" s="1364"/>
      <c r="CR375" s="1364"/>
      <c r="CS375" s="1366">
        <f t="shared" si="920"/>
        <v>0</v>
      </c>
      <c r="CT375" s="1364"/>
      <c r="CU375" s="1364"/>
      <c r="CV375" s="1366">
        <f t="shared" si="921"/>
        <v>0</v>
      </c>
      <c r="CW375" s="1364"/>
      <c r="CX375" s="1364"/>
      <c r="CY375" s="1366">
        <f t="shared" si="922"/>
        <v>0</v>
      </c>
      <c r="CZ375" s="1364"/>
      <c r="DA375" s="1364"/>
      <c r="DB375" s="1366">
        <f t="shared" si="923"/>
        <v>0</v>
      </c>
      <c r="DC375" s="1364"/>
      <c r="DD375" s="1364"/>
      <c r="DE375" s="1374">
        <f t="shared" si="924"/>
        <v>0</v>
      </c>
      <c r="DF375" s="1364"/>
      <c r="DG375" s="1364"/>
      <c r="DH375" s="1374">
        <f t="shared" si="925"/>
        <v>0</v>
      </c>
      <c r="DI375" s="1364"/>
      <c r="DJ375" s="1364"/>
      <c r="DK375" s="1374">
        <f t="shared" si="926"/>
        <v>0</v>
      </c>
      <c r="DL375" s="1364"/>
      <c r="DM375" s="1364"/>
      <c r="DN375" s="1374">
        <f t="shared" si="927"/>
        <v>0</v>
      </c>
      <c r="DO375" s="1364"/>
      <c r="DP375" s="1364"/>
      <c r="DQ375" s="1374">
        <f t="shared" si="928"/>
        <v>0</v>
      </c>
      <c r="DR375" s="1364"/>
      <c r="DS375" s="1364"/>
      <c r="DT375" s="1374">
        <f t="shared" si="929"/>
        <v>0</v>
      </c>
      <c r="DU375" s="1364"/>
      <c r="DV375" s="1364"/>
      <c r="DW375" s="1374">
        <f t="shared" si="930"/>
        <v>0</v>
      </c>
      <c r="DX375" s="1364"/>
      <c r="DY375" s="1364"/>
      <c r="DZ375" s="1374">
        <f t="shared" si="931"/>
        <v>0</v>
      </c>
      <c r="EA375" s="1364"/>
      <c r="EB375" s="1364"/>
      <c r="EC375" s="1374">
        <f t="shared" si="932"/>
        <v>0</v>
      </c>
      <c r="ED375" s="1364"/>
      <c r="EE375" s="1364"/>
      <c r="EF375" s="1374">
        <f t="shared" si="933"/>
        <v>0</v>
      </c>
      <c r="EG375" s="1364"/>
      <c r="EH375" s="1364"/>
      <c r="EI375" s="1374">
        <f t="shared" si="934"/>
        <v>0</v>
      </c>
      <c r="EJ375" s="1364"/>
      <c r="EK375" s="1364"/>
      <c r="EL375" s="1374">
        <f t="shared" si="935"/>
        <v>0</v>
      </c>
      <c r="EM375" s="1364"/>
      <c r="EN375" s="1364"/>
      <c r="EO375" s="1374">
        <f t="shared" si="936"/>
        <v>0</v>
      </c>
      <c r="EP375" s="1364"/>
      <c r="EQ375" s="1364"/>
      <c r="ER375" s="1374">
        <f t="shared" si="937"/>
        <v>0</v>
      </c>
      <c r="ES375" s="1364"/>
      <c r="ET375" s="1364"/>
      <c r="EU375" s="1374">
        <f t="shared" si="938"/>
        <v>0</v>
      </c>
      <c r="EV375" s="1364"/>
      <c r="EW375" s="1364"/>
      <c r="EX375" s="1374">
        <f t="shared" si="939"/>
        <v>0</v>
      </c>
      <c r="EY375" s="1364"/>
      <c r="EZ375" s="1364"/>
      <c r="FA375" s="1374">
        <f t="shared" si="940"/>
        <v>0</v>
      </c>
      <c r="FD375"/>
      <c r="FE375"/>
      <c r="FF375"/>
      <c r="FG375"/>
      <c r="FH375"/>
      <c r="FI375"/>
    </row>
    <row r="376" spans="2:165" s="35" customFormat="1" ht="13.5" outlineLevel="1" thickBot="1">
      <c r="B376" s="1338" t="s">
        <v>93</v>
      </c>
      <c r="C376" s="1338"/>
      <c r="D376" s="1339"/>
      <c r="E376" s="1363"/>
      <c r="F376" s="1364"/>
      <c r="G376" s="1365">
        <f t="shared" si="891"/>
        <v>0</v>
      </c>
      <c r="H376" s="1364"/>
      <c r="I376" s="1364"/>
      <c r="J376" s="1365">
        <f t="shared" si="892"/>
        <v>0</v>
      </c>
      <c r="K376" s="1364"/>
      <c r="L376" s="1364"/>
      <c r="M376" s="1365">
        <f t="shared" si="893"/>
        <v>0</v>
      </c>
      <c r="N376" s="1364"/>
      <c r="O376" s="1364"/>
      <c r="P376" s="1365">
        <f t="shared" si="894"/>
        <v>0</v>
      </c>
      <c r="Q376" s="1364"/>
      <c r="R376" s="1364"/>
      <c r="S376" s="1365">
        <f t="shared" si="895"/>
        <v>0</v>
      </c>
      <c r="T376" s="1364"/>
      <c r="U376" s="1364"/>
      <c r="V376" s="1365">
        <f t="shared" si="896"/>
        <v>0</v>
      </c>
      <c r="W376" s="1364"/>
      <c r="X376" s="1364"/>
      <c r="Y376" s="1365">
        <f t="shared" si="897"/>
        <v>0</v>
      </c>
      <c r="Z376" s="1364"/>
      <c r="AA376" s="1364"/>
      <c r="AB376" s="1365">
        <f t="shared" si="898"/>
        <v>0</v>
      </c>
      <c r="AC376" s="1364"/>
      <c r="AD376" s="1364"/>
      <c r="AE376" s="1365">
        <f t="shared" si="899"/>
        <v>0</v>
      </c>
      <c r="AF376" s="1364"/>
      <c r="AG376" s="1364"/>
      <c r="AH376" s="1365">
        <f t="shared" si="900"/>
        <v>0</v>
      </c>
      <c r="AI376" s="1364"/>
      <c r="AJ376" s="1364"/>
      <c r="AK376" s="1365">
        <f t="shared" si="901"/>
        <v>0</v>
      </c>
      <c r="AL376" s="1364"/>
      <c r="AM376" s="1364"/>
      <c r="AN376" s="1365">
        <f t="shared" si="902"/>
        <v>0</v>
      </c>
      <c r="AO376" s="1364"/>
      <c r="AP376" s="1364"/>
      <c r="AQ376" s="1365">
        <f t="shared" si="903"/>
        <v>0</v>
      </c>
      <c r="AR376" s="1364"/>
      <c r="AS376" s="1364"/>
      <c r="AT376" s="1365">
        <f t="shared" si="904"/>
        <v>0</v>
      </c>
      <c r="AU376" s="1364"/>
      <c r="AV376" s="1364"/>
      <c r="AW376" s="1365">
        <f t="shared" si="905"/>
        <v>0</v>
      </c>
      <c r="AX376" s="1364"/>
      <c r="AY376" s="1364"/>
      <c r="AZ376" s="1365">
        <f t="shared" si="906"/>
        <v>0</v>
      </c>
      <c r="BA376" s="1364"/>
      <c r="BB376" s="1364"/>
      <c r="BC376" s="1365">
        <f t="shared" si="907"/>
        <v>0</v>
      </c>
      <c r="BD376" s="1364"/>
      <c r="BE376" s="1364"/>
      <c r="BF376" s="1365">
        <f t="shared" si="908"/>
        <v>0</v>
      </c>
      <c r="BG376" s="1364"/>
      <c r="BH376" s="1378"/>
      <c r="BI376" s="1365">
        <f t="shared" si="909"/>
        <v>0</v>
      </c>
      <c r="BJ376" s="1364"/>
      <c r="BK376" s="1364"/>
      <c r="BL376" s="1365">
        <f t="shared" si="910"/>
        <v>0</v>
      </c>
      <c r="BM376" s="1377">
        <f>0.770457*3</f>
        <v>2.3113709999999998</v>
      </c>
      <c r="BN376" s="1364"/>
      <c r="BO376" s="1366">
        <f t="shared" si="911"/>
        <v>2.3113709999999998</v>
      </c>
      <c r="BP376" s="1379"/>
      <c r="BQ376" s="1380"/>
      <c r="BR376" s="1356">
        <f t="shared" si="912"/>
        <v>0</v>
      </c>
      <c r="BS376" s="1364"/>
      <c r="BT376" s="1364"/>
      <c r="BU376" s="1366">
        <f t="shared" si="913"/>
        <v>0</v>
      </c>
      <c r="BV376" s="1364"/>
      <c r="BW376" s="1364"/>
      <c r="BX376" s="1366">
        <f t="shared" si="914"/>
        <v>0</v>
      </c>
      <c r="BY376" s="1364"/>
      <c r="BZ376" s="1364"/>
      <c r="CA376" s="1366">
        <f t="shared" si="915"/>
        <v>0</v>
      </c>
      <c r="CB376" s="1379"/>
      <c r="CC376" s="1380"/>
      <c r="CD376" s="1356">
        <f t="shared" si="916"/>
        <v>0</v>
      </c>
      <c r="CE376" s="1379"/>
      <c r="CF376" s="1380">
        <f>0.108343+0.264262+0.01311+0.012758+0.01422</f>
        <v>0.41269299999999998</v>
      </c>
      <c r="CG376" s="1366">
        <f t="shared" si="941"/>
        <v>0.41269299999999998</v>
      </c>
      <c r="CH376" s="1379"/>
      <c r="CI376" s="1380"/>
      <c r="CJ376" s="1356">
        <f t="shared" si="917"/>
        <v>0</v>
      </c>
      <c r="CK376" s="1379"/>
      <c r="CL376" s="1380"/>
      <c r="CM376" s="1366">
        <f t="shared" si="918"/>
        <v>0</v>
      </c>
      <c r="CN376" s="1364"/>
      <c r="CO376" s="1364"/>
      <c r="CP376" s="1366">
        <f t="shared" si="919"/>
        <v>0</v>
      </c>
      <c r="CQ376" s="1364"/>
      <c r="CR376" s="1364"/>
      <c r="CS376" s="1366">
        <f t="shared" si="920"/>
        <v>0</v>
      </c>
      <c r="CT376" s="1364"/>
      <c r="CU376" s="1364"/>
      <c r="CV376" s="1366">
        <f t="shared" si="921"/>
        <v>0</v>
      </c>
      <c r="CW376" s="1364"/>
      <c r="CX376" s="1364"/>
      <c r="CY376" s="1366">
        <f t="shared" si="922"/>
        <v>0</v>
      </c>
      <c r="CZ376" s="1364"/>
      <c r="DA376" s="1364"/>
      <c r="DB376" s="1366">
        <f t="shared" si="923"/>
        <v>0</v>
      </c>
      <c r="DC376" s="1364"/>
      <c r="DD376" s="1364"/>
      <c r="DE376" s="1374">
        <f t="shared" si="924"/>
        <v>0</v>
      </c>
      <c r="DF376" s="1364"/>
      <c r="DG376" s="1364"/>
      <c r="DH376" s="1374">
        <f t="shared" si="925"/>
        <v>0</v>
      </c>
      <c r="DI376" s="1364">
        <f>DI378-DI367</f>
        <v>0.92565899999999601</v>
      </c>
      <c r="DJ376" s="1364">
        <f>455.125994-DJ367</f>
        <v>0.15162800000001653</v>
      </c>
      <c r="DK376" s="1374">
        <f t="shared" si="926"/>
        <v>1.0772870000000125</v>
      </c>
      <c r="DL376" s="1364">
        <f>DL378-DL367</f>
        <v>23.622397000000035</v>
      </c>
      <c r="DM376" s="1364">
        <f>481.706266-DM367</f>
        <v>2.9578750000000014</v>
      </c>
      <c r="DN376" s="1374">
        <f t="shared" si="927"/>
        <v>26.580272000000036</v>
      </c>
      <c r="DO376" s="1364">
        <f>DO378-DO367</f>
        <v>0.50992699999994784</v>
      </c>
      <c r="DP376" s="1364">
        <f>482.369261-DP367</f>
        <v>0.15306800000001886</v>
      </c>
      <c r="DQ376" s="1374">
        <f t="shared" si="928"/>
        <v>0.66299499999996669</v>
      </c>
      <c r="DR376" s="1364">
        <f>DR378-DR367</f>
        <v>0.72399599999999964</v>
      </c>
      <c r="DS376" s="1364">
        <f>DS378-DS367</f>
        <v>0.15947199999999384</v>
      </c>
      <c r="DT376" s="1374">
        <f t="shared" si="929"/>
        <v>0.88346799999999348</v>
      </c>
      <c r="DU376" s="1364">
        <f>+DS376</f>
        <v>0.15947199999999384</v>
      </c>
      <c r="DV376" s="1364">
        <f>+DU376</f>
        <v>0.15947199999999384</v>
      </c>
      <c r="DW376" s="1374">
        <f t="shared" si="930"/>
        <v>0.31894399999998768</v>
      </c>
      <c r="DX376" s="1364">
        <f>+DV376</f>
        <v>0.15947199999999384</v>
      </c>
      <c r="DY376" s="1364">
        <f>+DX376</f>
        <v>0.15947199999999384</v>
      </c>
      <c r="DZ376" s="1374">
        <f t="shared" si="931"/>
        <v>0.31894399999998768</v>
      </c>
      <c r="EA376" s="1364">
        <f>+DY376</f>
        <v>0.15947199999999384</v>
      </c>
      <c r="EB376" s="1364">
        <f>+EA376</f>
        <v>0.15947199999999384</v>
      </c>
      <c r="EC376" s="1374">
        <f t="shared" si="932"/>
        <v>0.31894399999998768</v>
      </c>
      <c r="ED376" s="1364">
        <f>+EB376</f>
        <v>0.15947199999999384</v>
      </c>
      <c r="EE376" s="1364">
        <f>+ED376</f>
        <v>0.15947199999999384</v>
      </c>
      <c r="EF376" s="1374">
        <f t="shared" si="933"/>
        <v>0.31894399999998768</v>
      </c>
      <c r="EG376" s="1364">
        <f>+EE376</f>
        <v>0.15947199999999384</v>
      </c>
      <c r="EH376" s="1364">
        <f>+EG376</f>
        <v>0.15947199999999384</v>
      </c>
      <c r="EI376" s="1374">
        <f t="shared" si="934"/>
        <v>0.31894399999998768</v>
      </c>
      <c r="EJ376" s="1364">
        <f>+EH376</f>
        <v>0.15947199999999384</v>
      </c>
      <c r="EK376" s="1364">
        <f>+EJ376</f>
        <v>0.15947199999999384</v>
      </c>
      <c r="EL376" s="1374">
        <f t="shared" si="935"/>
        <v>0.31894399999998768</v>
      </c>
      <c r="EM376" s="1364">
        <f>+EK376</f>
        <v>0.15947199999999384</v>
      </c>
      <c r="EN376" s="1364">
        <f>+EM376</f>
        <v>0.15947199999999384</v>
      </c>
      <c r="EO376" s="1374">
        <f t="shared" si="936"/>
        <v>0.31894399999998768</v>
      </c>
      <c r="EP376" s="1364">
        <f>+EN376</f>
        <v>0.15947199999999384</v>
      </c>
      <c r="EQ376" s="1364">
        <f>+EP376</f>
        <v>0.15947199999999384</v>
      </c>
      <c r="ER376" s="1374">
        <f t="shared" si="937"/>
        <v>0.31894399999998768</v>
      </c>
      <c r="ES376" s="1364">
        <f>+EQ376</f>
        <v>0.15947199999999384</v>
      </c>
      <c r="ET376" s="1364">
        <f>+ES376</f>
        <v>0.15947199999999384</v>
      </c>
      <c r="EU376" s="1374">
        <f t="shared" si="938"/>
        <v>0.31894399999998768</v>
      </c>
      <c r="EV376" s="1364">
        <f>+ET376</f>
        <v>0.15947199999999384</v>
      </c>
      <c r="EW376" s="1364">
        <f>+EV376</f>
        <v>0.15947199999999384</v>
      </c>
      <c r="EX376" s="1374">
        <f t="shared" si="939"/>
        <v>0.31894399999998768</v>
      </c>
      <c r="EY376" s="1364">
        <f>+EW376</f>
        <v>0.15947199999999384</v>
      </c>
      <c r="EZ376" s="1364">
        <f>+EY376</f>
        <v>0.15947199999999384</v>
      </c>
      <c r="FA376" s="1374">
        <f t="shared" si="940"/>
        <v>0.31894399999998768</v>
      </c>
      <c r="FD376"/>
      <c r="FE376"/>
      <c r="FF376"/>
      <c r="FG376"/>
      <c r="FH376"/>
      <c r="FI376"/>
    </row>
    <row r="377" spans="2:165" s="35" customFormat="1" outlineLevel="1">
      <c r="B377" s="1338"/>
      <c r="C377" s="1338"/>
      <c r="D377" s="1339"/>
      <c r="E377" s="1381"/>
      <c r="F377" s="1381"/>
      <c r="G377" s="1356"/>
      <c r="H377" s="1381"/>
      <c r="I377" s="1381"/>
      <c r="J377" s="1356"/>
      <c r="K377" s="1381"/>
      <c r="L377" s="1381"/>
      <c r="M377" s="1356"/>
      <c r="N377" s="1381"/>
      <c r="O377" s="1381"/>
      <c r="P377" s="1356"/>
      <c r="Q377" s="1381"/>
      <c r="R377" s="1381"/>
      <c r="S377" s="1356"/>
      <c r="T377" s="1381"/>
      <c r="U377" s="1381"/>
      <c r="V377" s="1356"/>
      <c r="W377" s="1381"/>
      <c r="X377" s="1381"/>
      <c r="Y377" s="1356"/>
      <c r="Z377" s="1381"/>
      <c r="AA377" s="1381"/>
      <c r="AB377" s="1356"/>
      <c r="AC377" s="1381"/>
      <c r="AD377" s="1381"/>
      <c r="AE377" s="1356"/>
      <c r="AF377" s="1381"/>
      <c r="AG377" s="1381"/>
      <c r="AH377" s="1356"/>
      <c r="AI377" s="1381"/>
      <c r="AJ377" s="1381"/>
      <c r="AK377" s="1356"/>
      <c r="AL377" s="1381"/>
      <c r="AM377" s="1381"/>
      <c r="AN377" s="1356"/>
      <c r="AO377" s="1381"/>
      <c r="AP377" s="1381"/>
      <c r="AQ377" s="1356"/>
      <c r="AR377" s="1381"/>
      <c r="AS377" s="1381"/>
      <c r="AT377" s="1356"/>
      <c r="AU377" s="1381"/>
      <c r="AV377" s="1381"/>
      <c r="AW377" s="1356"/>
      <c r="AX377" s="1381"/>
      <c r="AY377" s="1381"/>
      <c r="AZ377" s="1356"/>
      <c r="BA377" s="1381"/>
      <c r="BB377" s="1381"/>
      <c r="BC377" s="1356"/>
      <c r="BD377" s="1381"/>
      <c r="BE377" s="1381"/>
      <c r="BF377" s="1356"/>
      <c r="BG377" s="1381"/>
      <c r="BH377" s="1381"/>
      <c r="BI377" s="1356"/>
      <c r="BJ377" s="1381"/>
      <c r="BK377" s="1381"/>
      <c r="BL377" s="1356"/>
      <c r="BM377" s="1381"/>
      <c r="BN377" s="1381"/>
      <c r="BO377" s="1356"/>
      <c r="BP377" s="1355"/>
      <c r="BQ377" s="1355"/>
      <c r="BR377" s="1356"/>
      <c r="BS377" s="1381"/>
      <c r="BT377" s="1381"/>
      <c r="BU377" s="1356"/>
      <c r="BV377" s="1381"/>
      <c r="BW377" s="1381"/>
      <c r="BX377" s="1356"/>
      <c r="BY377" s="1381"/>
      <c r="BZ377" s="1381"/>
      <c r="CA377" s="1356"/>
      <c r="CB377" s="1355"/>
      <c r="CC377" s="1355"/>
      <c r="CD377" s="1356"/>
      <c r="CE377" s="1381"/>
      <c r="CF377" s="1381"/>
      <c r="CG377" s="1356"/>
      <c r="CH377" s="1355"/>
      <c r="CI377" s="1355"/>
      <c r="CJ377" s="1356"/>
      <c r="CK377" s="1381"/>
      <c r="CL377" s="1381"/>
      <c r="CM377" s="1356"/>
      <c r="CN377" s="1381"/>
      <c r="CO377" s="1381"/>
      <c r="CP377" s="1356"/>
      <c r="CQ377" s="1381"/>
      <c r="CR377" s="1381"/>
      <c r="CS377" s="1356"/>
      <c r="CT377" s="1381"/>
      <c r="CU377" s="1381"/>
      <c r="CV377" s="1356"/>
      <c r="CW377" s="1381"/>
      <c r="CX377" s="1381"/>
      <c r="CY377" s="1356"/>
      <c r="CZ377" s="1381"/>
      <c r="DA377" s="1381"/>
      <c r="DB377" s="1356"/>
      <c r="DC377" s="1381"/>
      <c r="DD377" s="1381"/>
      <c r="DE377" s="1360"/>
      <c r="DF377" s="1381"/>
      <c r="DG377" s="1381"/>
      <c r="DH377" s="1360"/>
      <c r="DI377" s="1381"/>
      <c r="DJ377" s="1381"/>
      <c r="DK377" s="1360"/>
      <c r="DL377" s="1381"/>
      <c r="DM377" s="1381"/>
      <c r="DN377" s="1360"/>
      <c r="DO377" s="1381"/>
      <c r="DP377" s="1381"/>
      <c r="DQ377" s="1360"/>
      <c r="DR377" s="1381"/>
      <c r="DS377" s="1381"/>
      <c r="DT377" s="1360"/>
      <c r="DU377" s="1381"/>
      <c r="DV377" s="1381"/>
      <c r="DW377" s="1360"/>
      <c r="DX377" s="1381"/>
      <c r="DY377" s="1381"/>
      <c r="DZ377" s="1360"/>
      <c r="EA377" s="1381"/>
      <c r="EB377" s="1381"/>
      <c r="EC377" s="1360"/>
      <c r="ED377" s="1381"/>
      <c r="EE377" s="1381"/>
      <c r="EF377" s="1360"/>
      <c r="EG377" s="1381"/>
      <c r="EH377" s="1381"/>
      <c r="EI377" s="1360"/>
      <c r="EJ377" s="1381"/>
      <c r="EK377" s="1381"/>
      <c r="EL377" s="1360"/>
      <c r="EM377" s="1381"/>
      <c r="EN377" s="1381"/>
      <c r="EO377" s="1360"/>
      <c r="EP377" s="1381"/>
      <c r="EQ377" s="1381"/>
      <c r="ER377" s="1360"/>
      <c r="ES377" s="1381"/>
      <c r="ET377" s="1381"/>
      <c r="EU377" s="1360"/>
      <c r="EV377" s="1381"/>
      <c r="EW377" s="1381"/>
      <c r="EX377" s="1360"/>
      <c r="EY377" s="1381"/>
      <c r="EZ377" s="1381"/>
      <c r="FA377" s="1360"/>
      <c r="FD377"/>
      <c r="FE377"/>
      <c r="FF377"/>
      <c r="FG377"/>
      <c r="FH377"/>
      <c r="FI377"/>
    </row>
    <row r="378" spans="2:165" s="33" customFormat="1">
      <c r="B378" s="54" t="s">
        <v>372</v>
      </c>
      <c r="C378" s="54"/>
      <c r="D378" s="2"/>
      <c r="E378" s="1261">
        <f t="shared" ref="E378:AS378" si="942">+E367+SUM(E370:E376)</f>
        <v>0</v>
      </c>
      <c r="F378" s="1261">
        <f t="shared" si="942"/>
        <v>0</v>
      </c>
      <c r="G378" s="1261">
        <f t="shared" si="942"/>
        <v>0</v>
      </c>
      <c r="H378" s="1261">
        <f t="shared" si="942"/>
        <v>0</v>
      </c>
      <c r="I378" s="1261">
        <f t="shared" si="942"/>
        <v>0</v>
      </c>
      <c r="J378" s="1261">
        <f t="shared" si="942"/>
        <v>0</v>
      </c>
      <c r="K378" s="1261">
        <f t="shared" si="942"/>
        <v>0</v>
      </c>
      <c r="L378" s="1261">
        <f t="shared" si="942"/>
        <v>0</v>
      </c>
      <c r="M378" s="1261">
        <f t="shared" si="942"/>
        <v>0</v>
      </c>
      <c r="N378" s="1261">
        <f t="shared" si="942"/>
        <v>0</v>
      </c>
      <c r="O378" s="1261">
        <f t="shared" si="942"/>
        <v>0</v>
      </c>
      <c r="P378" s="1261">
        <f t="shared" si="942"/>
        <v>0</v>
      </c>
      <c r="Q378" s="1261">
        <f t="shared" si="942"/>
        <v>0</v>
      </c>
      <c r="R378" s="1261">
        <f t="shared" si="942"/>
        <v>0</v>
      </c>
      <c r="S378" s="1261">
        <f t="shared" si="942"/>
        <v>0</v>
      </c>
      <c r="T378" s="1261">
        <f t="shared" si="942"/>
        <v>0</v>
      </c>
      <c r="U378" s="1261">
        <f t="shared" si="942"/>
        <v>0</v>
      </c>
      <c r="V378" s="1261">
        <f t="shared" si="942"/>
        <v>0</v>
      </c>
      <c r="W378" s="1261">
        <f t="shared" si="942"/>
        <v>0</v>
      </c>
      <c r="X378" s="1261">
        <f t="shared" si="942"/>
        <v>0</v>
      </c>
      <c r="Y378" s="1261">
        <f t="shared" si="942"/>
        <v>0</v>
      </c>
      <c r="Z378" s="1261">
        <f t="shared" si="942"/>
        <v>0</v>
      </c>
      <c r="AA378" s="1261">
        <f t="shared" si="942"/>
        <v>0</v>
      </c>
      <c r="AB378" s="1261">
        <f t="shared" si="942"/>
        <v>0</v>
      </c>
      <c r="AC378" s="1261">
        <f t="shared" si="942"/>
        <v>0</v>
      </c>
      <c r="AD378" s="1261">
        <f t="shared" si="942"/>
        <v>0</v>
      </c>
      <c r="AE378" s="1261">
        <f t="shared" si="942"/>
        <v>0</v>
      </c>
      <c r="AF378" s="1261">
        <f t="shared" si="942"/>
        <v>0</v>
      </c>
      <c r="AG378" s="1261">
        <f t="shared" si="942"/>
        <v>0</v>
      </c>
      <c r="AH378" s="1261">
        <f t="shared" si="942"/>
        <v>0</v>
      </c>
      <c r="AI378" s="1261">
        <f t="shared" si="942"/>
        <v>0</v>
      </c>
      <c r="AJ378" s="1261">
        <f t="shared" si="942"/>
        <v>0</v>
      </c>
      <c r="AK378" s="1261">
        <f t="shared" si="942"/>
        <v>0</v>
      </c>
      <c r="AL378" s="1261">
        <f t="shared" si="942"/>
        <v>0</v>
      </c>
      <c r="AM378" s="1261">
        <f t="shared" si="942"/>
        <v>0</v>
      </c>
      <c r="AN378" s="1261">
        <f t="shared" si="942"/>
        <v>0</v>
      </c>
      <c r="AO378" s="1261">
        <f t="shared" si="942"/>
        <v>0</v>
      </c>
      <c r="AP378" s="1261">
        <f t="shared" si="942"/>
        <v>0</v>
      </c>
      <c r="AQ378" s="1261">
        <f t="shared" si="942"/>
        <v>0</v>
      </c>
      <c r="AR378" s="1261">
        <f t="shared" si="942"/>
        <v>0</v>
      </c>
      <c r="AS378" s="1261">
        <f t="shared" si="942"/>
        <v>0</v>
      </c>
      <c r="AT378" s="1382">
        <v>131.261</v>
      </c>
      <c r="AU378" s="1261">
        <f t="shared" ref="AU378:BZ378" si="943">+AU367+SUM(AU370:AU376)</f>
        <v>131.261</v>
      </c>
      <c r="AV378" s="1261">
        <f t="shared" si="943"/>
        <v>394.959</v>
      </c>
      <c r="AW378" s="1261">
        <f t="shared" si="943"/>
        <v>394.959</v>
      </c>
      <c r="AX378" s="1261">
        <f t="shared" si="943"/>
        <v>395.89280200000002</v>
      </c>
      <c r="AY378" s="1261">
        <f t="shared" si="943"/>
        <v>448.16180200000002</v>
      </c>
      <c r="AZ378" s="1261">
        <f t="shared" si="943"/>
        <v>448.16180200000002</v>
      </c>
      <c r="BA378" s="1261">
        <f t="shared" si="943"/>
        <v>449.86222600000002</v>
      </c>
      <c r="BB378" s="1261">
        <f t="shared" si="943"/>
        <v>450.42873400000002</v>
      </c>
      <c r="BC378" s="1261">
        <f t="shared" si="943"/>
        <v>450.42873400000002</v>
      </c>
      <c r="BD378" s="1383">
        <f t="shared" si="943"/>
        <v>475.03492500000004</v>
      </c>
      <c r="BE378" s="1261">
        <f t="shared" si="943"/>
        <v>475.03492500000004</v>
      </c>
      <c r="BF378" s="1261">
        <f t="shared" si="943"/>
        <v>475.03492500000004</v>
      </c>
      <c r="BG378" s="1261">
        <f t="shared" si="943"/>
        <v>475.03492500000004</v>
      </c>
      <c r="BH378" s="1266">
        <f t="shared" si="943"/>
        <v>479.60438460000006</v>
      </c>
      <c r="BI378" s="1261">
        <f t="shared" si="943"/>
        <v>479.60438460000006</v>
      </c>
      <c r="BJ378" s="1261">
        <f t="shared" si="943"/>
        <v>563.30438460000005</v>
      </c>
      <c r="BK378" s="1261">
        <f t="shared" si="943"/>
        <v>584.6043846</v>
      </c>
      <c r="BL378" s="1261">
        <f t="shared" si="943"/>
        <v>584.6043846</v>
      </c>
      <c r="BM378" s="1261">
        <f t="shared" si="943"/>
        <v>588.96553559999995</v>
      </c>
      <c r="BN378" s="1261">
        <f t="shared" si="943"/>
        <v>558.96553559999995</v>
      </c>
      <c r="BO378" s="1261">
        <f t="shared" si="943"/>
        <v>558.96553559999995</v>
      </c>
      <c r="BP378" s="1261">
        <f t="shared" si="943"/>
        <v>534.96553559999995</v>
      </c>
      <c r="BQ378" s="1261">
        <f t="shared" si="943"/>
        <v>542.65459259999989</v>
      </c>
      <c r="BR378" s="1266">
        <f t="shared" si="943"/>
        <v>542.65459259999989</v>
      </c>
      <c r="BS378" s="1261">
        <f t="shared" si="943"/>
        <v>542.65459259999989</v>
      </c>
      <c r="BT378" s="1261">
        <f t="shared" si="943"/>
        <v>542.65459259999989</v>
      </c>
      <c r="BU378" s="1261">
        <f t="shared" si="943"/>
        <v>547.70793900000001</v>
      </c>
      <c r="BV378" s="1261">
        <f t="shared" si="943"/>
        <v>547.70793900000001</v>
      </c>
      <c r="BW378" s="1261">
        <f t="shared" si="943"/>
        <v>547.70793900000001</v>
      </c>
      <c r="BX378" s="1261">
        <f t="shared" si="943"/>
        <v>550.10591399999998</v>
      </c>
      <c r="BY378" s="1261">
        <f t="shared" si="943"/>
        <v>601.56111699999997</v>
      </c>
      <c r="BZ378" s="1261">
        <f t="shared" si="943"/>
        <v>601.56111699999997</v>
      </c>
      <c r="CA378" s="1261">
        <f t="shared" ref="CA378:DF378" si="944">+CA367+SUM(CA370:CA376)</f>
        <v>601.56111699999997</v>
      </c>
      <c r="CB378" s="1261">
        <f t="shared" si="944"/>
        <v>557.05226900000002</v>
      </c>
      <c r="CC378" s="1261">
        <f t="shared" si="944"/>
        <v>549.69288600000004</v>
      </c>
      <c r="CD378" s="1261">
        <f t="shared" si="944"/>
        <v>549.69288599999993</v>
      </c>
      <c r="CE378" s="1261">
        <f t="shared" si="944"/>
        <v>541.52549999999997</v>
      </c>
      <c r="CF378" s="1261">
        <f t="shared" si="944"/>
        <v>524.79629399999999</v>
      </c>
      <c r="CG378" s="1261">
        <f t="shared" si="944"/>
        <v>524.79629399999999</v>
      </c>
      <c r="CH378" s="1261">
        <f t="shared" si="944"/>
        <v>519.07877000000008</v>
      </c>
      <c r="CI378" s="1261">
        <f t="shared" si="944"/>
        <v>510.0862590000001</v>
      </c>
      <c r="CJ378" s="1261">
        <f t="shared" si="944"/>
        <v>510.04202099999998</v>
      </c>
      <c r="CK378" s="1261">
        <f t="shared" si="944"/>
        <v>498.75602400000002</v>
      </c>
      <c r="CL378" s="1261">
        <f t="shared" si="944"/>
        <v>485.63596415277777</v>
      </c>
      <c r="CM378" s="1261">
        <f t="shared" si="944"/>
        <v>485.63596415277772</v>
      </c>
      <c r="CN378" s="1261">
        <f t="shared" si="944"/>
        <v>485.63596415277772</v>
      </c>
      <c r="CO378" s="1261">
        <f t="shared" si="944"/>
        <v>485.354422</v>
      </c>
      <c r="CP378" s="1261">
        <f t="shared" si="944"/>
        <v>485.354422</v>
      </c>
      <c r="CQ378" s="1261">
        <f t="shared" si="944"/>
        <v>474.78826900000001</v>
      </c>
      <c r="CR378" s="1261">
        <f t="shared" si="944"/>
        <v>465.45601400000004</v>
      </c>
      <c r="CS378" s="1261">
        <f t="shared" si="944"/>
        <v>465.45601400000004</v>
      </c>
      <c r="CT378" s="1261">
        <f t="shared" si="944"/>
        <v>463.68349599999999</v>
      </c>
      <c r="CU378" s="1261">
        <f t="shared" si="944"/>
        <v>454.76976400000001</v>
      </c>
      <c r="CV378" s="1261">
        <f t="shared" si="944"/>
        <v>456.54228200000006</v>
      </c>
      <c r="CW378" s="1261">
        <f t="shared" si="944"/>
        <v>456.54228200000006</v>
      </c>
      <c r="CX378" s="1383">
        <f t="shared" si="944"/>
        <v>453.18529900000004</v>
      </c>
      <c r="CY378" s="1266">
        <f t="shared" si="944"/>
        <v>453.18529900000004</v>
      </c>
      <c r="CZ378" s="1261">
        <f t="shared" si="944"/>
        <v>453.18529900000004</v>
      </c>
      <c r="DA378" s="1383">
        <f t="shared" si="944"/>
        <v>452.40080300000005</v>
      </c>
      <c r="DB378" s="1261">
        <f t="shared" si="944"/>
        <v>452.40080300000005</v>
      </c>
      <c r="DC378" s="1261">
        <f t="shared" si="944"/>
        <v>452.8738065</v>
      </c>
      <c r="DD378" s="1261">
        <f t="shared" si="944"/>
        <v>453.13865100000004</v>
      </c>
      <c r="DE378" s="1384">
        <f t="shared" si="944"/>
        <v>453.13865100000004</v>
      </c>
      <c r="DF378" s="1261">
        <f t="shared" si="944"/>
        <v>453.75856801388892</v>
      </c>
      <c r="DG378" s="1261">
        <v>454.04870699999998</v>
      </c>
      <c r="DH378" s="1384">
        <f t="shared" ref="DH378:DQ378" si="945">+DH367+SUM(DH370:DH376)</f>
        <v>454.04870699999998</v>
      </c>
      <c r="DI378" s="1261">
        <v>454.97436599999997</v>
      </c>
      <c r="DJ378" s="1261">
        <f t="shared" si="945"/>
        <v>455.12599399999999</v>
      </c>
      <c r="DK378" s="1384">
        <f t="shared" si="945"/>
        <v>455.12599399999999</v>
      </c>
      <c r="DL378" s="1261">
        <v>478.74839100000003</v>
      </c>
      <c r="DM378" s="1261">
        <f>+DM367+SUM(DM370:DM376)</f>
        <v>481.70626600000003</v>
      </c>
      <c r="DN378" s="1384">
        <f t="shared" si="945"/>
        <v>481.70626600000003</v>
      </c>
      <c r="DO378" s="1261">
        <v>482.21619299999998</v>
      </c>
      <c r="DP378" s="1261">
        <f t="shared" si="945"/>
        <v>482.36926099999999</v>
      </c>
      <c r="DQ378" s="1384">
        <f t="shared" si="945"/>
        <v>482.36926099999999</v>
      </c>
      <c r="DR378" s="1385">
        <v>483.09325699999999</v>
      </c>
      <c r="DS378" s="1261">
        <f>+DT378</f>
        <v>483.25272899999999</v>
      </c>
      <c r="DT378" s="1386">
        <v>483.25272899999999</v>
      </c>
      <c r="DU378" s="1261">
        <f t="shared" ref="DU378:DZ378" si="946">+DU367+SUM(DU370:DU376)</f>
        <v>483.41220099999998</v>
      </c>
      <c r="DV378" s="1261">
        <f>+DW378</f>
        <v>484.21212300000002</v>
      </c>
      <c r="DW378" s="1386">
        <v>484.21212300000002</v>
      </c>
      <c r="DX378" s="1261">
        <f t="shared" si="946"/>
        <v>482.1069796153846</v>
      </c>
      <c r="DY378" s="1261">
        <f t="shared" si="946"/>
        <v>480.02762377655677</v>
      </c>
      <c r="DZ378" s="1384">
        <f t="shared" si="946"/>
        <v>480.02762377655677</v>
      </c>
      <c r="EA378" s="1261">
        <f t="shared" ref="EA378:EF378" si="947">+EA367+SUM(EA370:EA376)</f>
        <v>478.09395082626895</v>
      </c>
      <c r="EB378" s="1261">
        <f t="shared" si="947"/>
        <v>476.25995144504247</v>
      </c>
      <c r="EC378" s="1384">
        <f t="shared" si="947"/>
        <v>476.25995144504247</v>
      </c>
      <c r="ED378" s="1261">
        <f t="shared" si="947"/>
        <v>474.52087927244582</v>
      </c>
      <c r="EE378" s="1261">
        <f t="shared" si="947"/>
        <v>472.8722139652109</v>
      </c>
      <c r="EF378" s="1384">
        <f t="shared" si="947"/>
        <v>472.8722139652109</v>
      </c>
      <c r="EG378" s="1261">
        <f t="shared" ref="EG378:EL378" si="948">+EG367+SUM(EG370:EG376)</f>
        <v>473.0316859652109</v>
      </c>
      <c r="EH378" s="1261">
        <f t="shared" si="948"/>
        <v>473.19115796521089</v>
      </c>
      <c r="EI378" s="1384">
        <f t="shared" si="948"/>
        <v>473.19115796521089</v>
      </c>
      <c r="EJ378" s="1261">
        <f t="shared" si="948"/>
        <v>473.35062996521089</v>
      </c>
      <c r="EK378" s="1261">
        <f t="shared" si="948"/>
        <v>473.51010196521088</v>
      </c>
      <c r="EL378" s="1384">
        <f t="shared" si="948"/>
        <v>473.51010196521088</v>
      </c>
      <c r="EM378" s="1261">
        <f t="shared" ref="EM378:ER378" si="949">+EM367+SUM(EM370:EM376)</f>
        <v>473.66957396521087</v>
      </c>
      <c r="EN378" s="1261">
        <f t="shared" si="949"/>
        <v>473.82904596521087</v>
      </c>
      <c r="EO378" s="1384">
        <f t="shared" si="949"/>
        <v>473.82904596521087</v>
      </c>
      <c r="EP378" s="1261">
        <f t="shared" si="949"/>
        <v>473.98851796521086</v>
      </c>
      <c r="EQ378" s="1261">
        <f t="shared" si="949"/>
        <v>474.14798996521085</v>
      </c>
      <c r="ER378" s="1384">
        <f t="shared" si="949"/>
        <v>474.14798996521085</v>
      </c>
      <c r="ES378" s="1261">
        <f t="shared" ref="ES378:FA378" si="950">+ES367+SUM(ES370:ES376)</f>
        <v>474.30746196521085</v>
      </c>
      <c r="ET378" s="1261">
        <f t="shared" si="950"/>
        <v>474.46693396521084</v>
      </c>
      <c r="EU378" s="1384">
        <f t="shared" si="950"/>
        <v>474.46693396521084</v>
      </c>
      <c r="EV378" s="1261">
        <f t="shared" si="950"/>
        <v>474.62640596521084</v>
      </c>
      <c r="EW378" s="1261">
        <f t="shared" si="950"/>
        <v>474.78587796521083</v>
      </c>
      <c r="EX378" s="1384">
        <f t="shared" si="950"/>
        <v>474.78587796521083</v>
      </c>
      <c r="EY378" s="1261">
        <f t="shared" si="950"/>
        <v>474.94534996521082</v>
      </c>
      <c r="EZ378" s="1261">
        <f t="shared" si="950"/>
        <v>475.10482196521082</v>
      </c>
      <c r="FA378" s="1384">
        <f t="shared" si="950"/>
        <v>475.10482196521082</v>
      </c>
      <c r="FD378"/>
      <c r="FE378"/>
      <c r="FF378"/>
      <c r="FG378"/>
      <c r="FH378"/>
      <c r="FI378"/>
    </row>
    <row r="379" spans="2:165" s="33" customFormat="1" outlineLevel="1">
      <c r="B379" s="54"/>
      <c r="C379" s="54"/>
      <c r="D379" s="2"/>
      <c r="E379" s="1254"/>
      <c r="F379" s="1254"/>
      <c r="G379" s="1254"/>
      <c r="H379" s="1254"/>
      <c r="I379" s="1254"/>
      <c r="J379" s="1254"/>
      <c r="K379" s="1254"/>
      <c r="L379" s="1254"/>
      <c r="M379" s="1254"/>
      <c r="N379" s="1254"/>
      <c r="O379" s="1254"/>
      <c r="P379" s="1254"/>
      <c r="Q379" s="1254"/>
      <c r="R379" s="1254"/>
      <c r="S379" s="1254"/>
      <c r="T379" s="1254"/>
      <c r="U379" s="1254"/>
      <c r="V379" s="1254"/>
      <c r="W379" s="1254"/>
      <c r="X379" s="1254"/>
      <c r="Y379" s="1254"/>
      <c r="Z379" s="1254"/>
      <c r="AA379" s="1254"/>
      <c r="AB379" s="1254"/>
      <c r="AC379" s="1254"/>
      <c r="AD379" s="1254"/>
      <c r="AE379" s="1254"/>
      <c r="AF379" s="1254"/>
      <c r="AG379" s="1254"/>
      <c r="AH379" s="1254"/>
      <c r="AI379" s="1254"/>
      <c r="AJ379" s="1254"/>
      <c r="AK379" s="1254"/>
      <c r="AL379" s="1254"/>
      <c r="AM379" s="1254"/>
      <c r="AN379" s="1254"/>
      <c r="AO379" s="1254"/>
      <c r="AP379" s="1254"/>
      <c r="AQ379" s="1254"/>
      <c r="AR379" s="1254"/>
      <c r="AS379" s="1254"/>
      <c r="AT379" s="1254"/>
      <c r="AU379" s="1243"/>
      <c r="AV379" s="1243"/>
      <c r="AW379" s="1243"/>
      <c r="AX379" s="1243"/>
      <c r="AY379" s="1243"/>
      <c r="AZ379" s="1243"/>
      <c r="BA379" s="1243"/>
      <c r="BB379" s="1243"/>
      <c r="BC379" s="1243"/>
      <c r="BD379" s="1243"/>
      <c r="BE379" s="1243"/>
      <c r="BF379" s="1243"/>
      <c r="BG379" s="1243"/>
      <c r="BH379" s="1243"/>
      <c r="BI379" s="1243"/>
      <c r="BJ379" s="1243"/>
      <c r="BK379" s="1243"/>
      <c r="BL379" s="1243"/>
      <c r="BM379" s="1377"/>
      <c r="BN379" s="1364"/>
      <c r="BO379" s="1366"/>
      <c r="BP379" s="1243"/>
      <c r="BQ379" s="1243"/>
      <c r="BR379" s="1243" t="s">
        <v>309</v>
      </c>
      <c r="BS379" s="1243"/>
      <c r="BT379" s="1243"/>
      <c r="BU379" s="1243"/>
      <c r="BV379" s="1243"/>
      <c r="BW379" s="1243"/>
      <c r="BX379" s="1243"/>
      <c r="BY379" s="1243"/>
      <c r="BZ379" s="1243"/>
      <c r="CA379" s="1243"/>
      <c r="CB379" s="1243"/>
      <c r="CC379" s="1243"/>
      <c r="CD379" s="1243"/>
      <c r="CE379" s="1243"/>
      <c r="CF379" s="1243"/>
      <c r="CG379" s="1243"/>
      <c r="CH379" s="1243"/>
      <c r="CI379" s="1243"/>
      <c r="CJ379" s="1243"/>
      <c r="CK379" s="1243"/>
      <c r="CL379" s="1243"/>
      <c r="CM379" s="1243"/>
      <c r="CN379" s="1243"/>
      <c r="CO379" s="1243"/>
      <c r="CP379" s="1243"/>
      <c r="CQ379" s="1243"/>
      <c r="CR379" s="1387"/>
      <c r="CS379" s="1243"/>
      <c r="CT379" s="1243"/>
      <c r="CU379" s="1243"/>
      <c r="CV379" s="1243"/>
      <c r="CW379" s="1243"/>
      <c r="CX379" s="1243"/>
      <c r="CY379" s="1243"/>
      <c r="CZ379" s="1243"/>
      <c r="DA379" s="1243"/>
      <c r="DB379" s="1243"/>
      <c r="DC379" s="1243"/>
      <c r="DD379" s="1243"/>
      <c r="DE379" s="1388"/>
      <c r="DF379" s="1243"/>
      <c r="DG379" s="1243"/>
      <c r="DH379" s="1388"/>
      <c r="DI379" s="1243"/>
      <c r="DJ379" s="1243"/>
      <c r="DK379" s="1388"/>
      <c r="DL379" s="1243"/>
      <c r="DM379" s="1243"/>
      <c r="DN379" s="1388"/>
      <c r="DO379" s="1243"/>
      <c r="DP379" s="1243"/>
      <c r="DQ379" s="1388"/>
      <c r="DR379" s="1243"/>
      <c r="DS379" s="1243"/>
      <c r="DT379" s="1388"/>
      <c r="DU379" s="1243"/>
      <c r="DV379" s="1243"/>
      <c r="DW379" s="1388"/>
      <c r="DX379" s="1243"/>
      <c r="DY379" s="1243"/>
      <c r="DZ379" s="1388"/>
      <c r="EA379" s="1243"/>
      <c r="EB379" s="1243"/>
      <c r="EC379" s="1388"/>
      <c r="ED379" s="1243"/>
      <c r="EE379" s="1243"/>
      <c r="EF379" s="1388"/>
      <c r="EG379" s="1243"/>
      <c r="EH379" s="1243"/>
      <c r="EI379" s="1388"/>
      <c r="EJ379" s="1243"/>
      <c r="EK379" s="1243"/>
      <c r="EL379" s="1388"/>
      <c r="EM379" s="1243"/>
      <c r="EN379" s="1243"/>
      <c r="EO379" s="1388"/>
      <c r="EP379" s="1243"/>
      <c r="EQ379" s="1243"/>
      <c r="ER379" s="1388"/>
      <c r="ES379" s="1243"/>
      <c r="ET379" s="1243"/>
      <c r="EU379" s="1388"/>
      <c r="EV379" s="1243"/>
      <c r="EW379" s="1243"/>
      <c r="EX379" s="1388"/>
      <c r="EY379" s="1243"/>
      <c r="EZ379" s="1243"/>
      <c r="FA379" s="1388"/>
      <c r="FD379"/>
      <c r="FE379"/>
      <c r="FF379"/>
      <c r="FG379"/>
      <c r="FH379"/>
      <c r="FI379"/>
    </row>
    <row r="380" spans="2:165" s="33" customFormat="1" ht="13.5" outlineLevel="1" thickBot="1">
      <c r="B380" s="54" t="s">
        <v>373</v>
      </c>
      <c r="C380" s="54"/>
      <c r="D380" s="2"/>
      <c r="E380" s="1389"/>
      <c r="F380" s="1389"/>
      <c r="G380" s="2"/>
      <c r="H380" s="1389"/>
      <c r="I380" s="1389"/>
      <c r="J380" s="2"/>
      <c r="K380" s="1389"/>
      <c r="L380" s="1389"/>
      <c r="M380" s="2"/>
      <c r="N380" s="1389"/>
      <c r="O380" s="1389"/>
      <c r="P380" s="2"/>
      <c r="Q380" s="1389"/>
      <c r="R380" s="1389"/>
      <c r="S380" s="2"/>
      <c r="T380" s="1389"/>
      <c r="U380" s="1389"/>
      <c r="V380" s="2"/>
      <c r="W380" s="1389"/>
      <c r="X380" s="1389"/>
      <c r="Y380" s="2"/>
      <c r="Z380" s="1389"/>
      <c r="AA380" s="1389"/>
      <c r="AB380" s="2"/>
      <c r="AC380" s="1389"/>
      <c r="AD380" s="1389"/>
      <c r="AE380" s="2"/>
      <c r="AF380" s="1389"/>
      <c r="AG380" s="1389"/>
      <c r="AH380" s="2"/>
      <c r="AI380" s="1389"/>
      <c r="AJ380" s="1389"/>
      <c r="AK380" s="2"/>
      <c r="AL380" s="1389"/>
      <c r="AM380" s="1389"/>
      <c r="AN380" s="2"/>
      <c r="AO380" s="1389"/>
      <c r="AP380" s="1389"/>
      <c r="AQ380" s="2"/>
      <c r="AR380" s="1389"/>
      <c r="AS380" s="1389"/>
      <c r="AT380" s="2"/>
      <c r="AU380" s="1389"/>
      <c r="AV380" s="1389"/>
      <c r="AW380" s="2"/>
      <c r="AX380" s="1389"/>
      <c r="AY380" s="1389"/>
      <c r="AZ380" s="2"/>
      <c r="BA380" s="1389"/>
      <c r="BB380" s="1389"/>
      <c r="BC380" s="2"/>
      <c r="BD380" s="1389"/>
      <c r="BE380" s="1389"/>
      <c r="BF380" s="2"/>
      <c r="BG380" s="1389"/>
      <c r="BH380" s="1389"/>
      <c r="BI380" s="2"/>
      <c r="BJ380" s="1389"/>
      <c r="BK380" s="1389"/>
      <c r="BL380" s="2"/>
      <c r="BM380" s="1389"/>
      <c r="BN380" s="1389"/>
      <c r="BO380" s="32"/>
      <c r="BP380" s="1389"/>
      <c r="BQ380" s="1389"/>
      <c r="BR380" s="32"/>
      <c r="BS380" s="1389"/>
      <c r="BT380" s="1389"/>
      <c r="BU380" s="32"/>
      <c r="BV380" s="1389"/>
      <c r="BW380" s="1389"/>
      <c r="BX380" s="32"/>
      <c r="BY380" s="1389"/>
      <c r="BZ380" s="1389"/>
      <c r="CA380" s="32"/>
      <c r="CB380" s="1389"/>
      <c r="CC380" s="1389"/>
      <c r="CD380" s="32"/>
      <c r="CE380" s="1389"/>
      <c r="CF380" s="1389"/>
      <c r="CG380" s="32"/>
      <c r="CH380" s="1389"/>
      <c r="CI380" s="1389"/>
      <c r="CJ380" s="32"/>
      <c r="CK380" s="1389"/>
      <c r="CL380" s="1389"/>
      <c r="CM380" s="32"/>
      <c r="CN380" s="1389"/>
      <c r="CO380" s="1389"/>
      <c r="CP380" s="32"/>
      <c r="CQ380" s="1389"/>
      <c r="CR380" s="1389"/>
      <c r="CS380" s="32"/>
      <c r="CT380" s="1389"/>
      <c r="CU380" s="1389"/>
      <c r="CV380" s="32"/>
      <c r="CW380" s="1389"/>
      <c r="CX380" s="1389"/>
      <c r="CY380" s="32"/>
      <c r="CZ380" s="1389"/>
      <c r="DA380" s="1389"/>
      <c r="DB380" s="32"/>
      <c r="DC380" s="1389"/>
      <c r="DD380" s="1389"/>
      <c r="DE380" s="1061"/>
      <c r="DF380" s="1390"/>
      <c r="DG380" s="1389"/>
      <c r="DH380" s="1061"/>
      <c r="DI380" s="1390"/>
      <c r="DJ380" s="1389"/>
      <c r="DK380" s="1061"/>
      <c r="DL380" s="1390"/>
      <c r="DM380" s="1389"/>
      <c r="DN380" s="1061"/>
      <c r="DO380" s="1390"/>
      <c r="DP380" s="1389"/>
      <c r="DQ380" s="1061"/>
      <c r="DR380" s="1390"/>
      <c r="DS380" s="1389"/>
      <c r="DT380" s="1061"/>
      <c r="DU380" s="1390"/>
      <c r="DV380" s="1389"/>
      <c r="DW380" s="1061"/>
      <c r="DX380" s="1390"/>
      <c r="DY380" s="1389"/>
      <c r="DZ380" s="1061"/>
      <c r="EA380" s="1390"/>
      <c r="EB380" s="1389"/>
      <c r="EC380" s="1061"/>
      <c r="ED380" s="1390"/>
      <c r="EE380" s="1389"/>
      <c r="EF380" s="1061"/>
      <c r="EG380" s="1390"/>
      <c r="EH380" s="1389"/>
      <c r="EI380" s="1061"/>
      <c r="EJ380" s="1390"/>
      <c r="EK380" s="1389"/>
      <c r="EL380" s="1061"/>
      <c r="EM380" s="1390"/>
      <c r="EN380" s="1389"/>
      <c r="EO380" s="1061"/>
      <c r="EP380" s="1390"/>
      <c r="EQ380" s="1389"/>
      <c r="ER380" s="1061"/>
      <c r="ES380" s="1390"/>
      <c r="ET380" s="1389"/>
      <c r="EU380" s="1061"/>
      <c r="EV380" s="1390"/>
      <c r="EW380" s="1389"/>
      <c r="EX380" s="1061"/>
      <c r="EY380" s="1390"/>
      <c r="EZ380" s="1389"/>
      <c r="FA380" s="1061"/>
      <c r="FD380"/>
      <c r="FE380"/>
      <c r="FF380"/>
      <c r="FG380"/>
      <c r="FH380"/>
      <c r="FI380"/>
    </row>
    <row r="381" spans="2:165" s="33" customFormat="1" outlineLevel="1">
      <c r="B381" s="54" t="s">
        <v>15</v>
      </c>
      <c r="C381" s="54"/>
      <c r="D381" s="2"/>
      <c r="E381" s="1391"/>
      <c r="F381" s="1392"/>
      <c r="G381" s="1393"/>
      <c r="H381" s="1392"/>
      <c r="I381" s="1392"/>
      <c r="J381" s="1393"/>
      <c r="K381" s="1392"/>
      <c r="L381" s="1392"/>
      <c r="M381" s="1393"/>
      <c r="N381" s="1392"/>
      <c r="O381" s="1392"/>
      <c r="P381" s="1393"/>
      <c r="Q381" s="1392"/>
      <c r="R381" s="1392"/>
      <c r="S381" s="1393"/>
      <c r="T381" s="1392"/>
      <c r="U381" s="1392"/>
      <c r="V381" s="1393"/>
      <c r="W381" s="1392"/>
      <c r="X381" s="1392"/>
      <c r="Y381" s="1393"/>
      <c r="Z381" s="1392"/>
      <c r="AA381" s="1392"/>
      <c r="AB381" s="1393"/>
      <c r="AC381" s="1392"/>
      <c r="AD381" s="1392"/>
      <c r="AE381" s="1393"/>
      <c r="AF381" s="1392"/>
      <c r="AG381" s="1392"/>
      <c r="AH381" s="1393"/>
      <c r="AI381" s="1392"/>
      <c r="AJ381" s="1392"/>
      <c r="AK381" s="1393"/>
      <c r="AL381" s="1392"/>
      <c r="AM381" s="1392"/>
      <c r="AN381" s="1393"/>
      <c r="AO381" s="1392"/>
      <c r="AP381" s="1392"/>
      <c r="AQ381" s="1393"/>
      <c r="AR381" s="1392"/>
      <c r="AS381" s="1392"/>
      <c r="AT381" s="1393"/>
      <c r="AU381" s="1392"/>
      <c r="AV381" s="1392"/>
      <c r="AW381" s="1393"/>
      <c r="AX381" s="1392"/>
      <c r="AY381" s="1392"/>
      <c r="AZ381" s="1393"/>
      <c r="BA381" s="1392"/>
      <c r="BB381" s="1392"/>
      <c r="BC381" s="1393"/>
      <c r="BD381" s="1394">
        <v>180</v>
      </c>
      <c r="BE381" s="1392"/>
      <c r="BF381" s="1393"/>
      <c r="BG381" s="1392"/>
      <c r="BH381" s="1392"/>
      <c r="BI381" s="1393"/>
      <c r="BJ381" s="1394">
        <v>14</v>
      </c>
      <c r="BK381" s="1394">
        <v>180</v>
      </c>
      <c r="BL381" s="1393"/>
      <c r="BM381" s="1392"/>
      <c r="BN381" s="1394">
        <v>90</v>
      </c>
      <c r="BO381" s="1395"/>
      <c r="BP381" s="1394">
        <v>90</v>
      </c>
      <c r="BQ381" s="1392"/>
      <c r="BR381" s="1395"/>
      <c r="BS381" s="1392"/>
      <c r="BT381" s="1392"/>
      <c r="BU381" s="1395"/>
      <c r="BV381" s="1392"/>
      <c r="BW381" s="1392"/>
      <c r="BX381" s="1395"/>
      <c r="BY381" s="1394">
        <v>140.69725</v>
      </c>
      <c r="BZ381" s="1392"/>
      <c r="CA381" s="1395"/>
      <c r="CB381" s="1394">
        <v>79.661000000000001</v>
      </c>
      <c r="CC381" s="1394">
        <v>90</v>
      </c>
      <c r="CD381" s="1395"/>
      <c r="CE381" s="1394">
        <v>55.757718912214351</v>
      </c>
      <c r="CF381" s="1394">
        <v>62</v>
      </c>
      <c r="CG381" s="1395"/>
      <c r="CH381" s="1394">
        <v>26.9</v>
      </c>
      <c r="CI381" s="1392">
        <f>(0.304*126)+(0.237*107)+(0.253*89)+(0.206*57)</f>
        <v>97.921999999999997</v>
      </c>
      <c r="CJ381" s="1395"/>
      <c r="CK381" s="1394">
        <v>116.98746309253745</v>
      </c>
      <c r="CL381" s="1394">
        <v>180</v>
      </c>
      <c r="CM381" s="1395"/>
      <c r="CN381" s="1392"/>
      <c r="CO381" s="1392"/>
      <c r="CP381" s="1395"/>
      <c r="CQ381" s="1392"/>
      <c r="CR381" s="1394">
        <v>91.400628999999995</v>
      </c>
      <c r="CS381" s="1395"/>
      <c r="CT381" s="1392"/>
      <c r="CU381" s="1394">
        <v>100</v>
      </c>
      <c r="CV381" s="1395"/>
      <c r="CW381" s="1392"/>
      <c r="CX381" s="1394">
        <v>90</v>
      </c>
      <c r="CY381" s="1395"/>
      <c r="CZ381" s="1392"/>
      <c r="DA381" s="1392"/>
      <c r="DB381" s="1395"/>
      <c r="DC381" s="1392">
        <f>6*30</f>
        <v>180</v>
      </c>
      <c r="DD381" s="1392">
        <v>67.418905244495903</v>
      </c>
      <c r="DE381" s="1396"/>
      <c r="DF381" s="1392">
        <f>DC381</f>
        <v>180</v>
      </c>
      <c r="DG381" s="1392">
        <v>67</v>
      </c>
      <c r="DH381" s="1396"/>
      <c r="DI381" s="1392"/>
      <c r="DJ381" s="1392"/>
      <c r="DK381" s="1396"/>
      <c r="DL381" s="1392"/>
      <c r="DM381" s="1392"/>
      <c r="DN381" s="1396"/>
      <c r="DO381" s="1392"/>
      <c r="DP381" s="1392"/>
      <c r="DQ381" s="1396"/>
      <c r="DR381" s="1392"/>
      <c r="DS381" s="1392"/>
      <c r="DT381" s="1396"/>
      <c r="DU381" s="1392"/>
      <c r="DV381" s="1392"/>
      <c r="DW381" s="1396"/>
      <c r="DX381" s="1392">
        <v>182.5</v>
      </c>
      <c r="DY381" s="1392">
        <v>182.5</v>
      </c>
      <c r="DZ381" s="1396"/>
      <c r="EA381" s="1392">
        <v>182.5</v>
      </c>
      <c r="EB381" s="1392">
        <v>182.5</v>
      </c>
      <c r="EC381" s="1396"/>
      <c r="ED381" s="1392">
        <v>182.5</v>
      </c>
      <c r="EE381" s="1392">
        <v>182.5</v>
      </c>
      <c r="EF381" s="1396"/>
      <c r="EG381" s="1392"/>
      <c r="EH381" s="1392"/>
      <c r="EI381" s="1396"/>
      <c r="EJ381" s="1392"/>
      <c r="EK381" s="1392"/>
      <c r="EL381" s="1396"/>
      <c r="EM381" s="1392"/>
      <c r="EN381" s="1392"/>
      <c r="EO381" s="1396"/>
      <c r="EP381" s="1392"/>
      <c r="EQ381" s="1392"/>
      <c r="ER381" s="1396"/>
      <c r="ES381" s="1392"/>
      <c r="ET381" s="1392"/>
      <c r="EU381" s="1396"/>
      <c r="EV381" s="1392"/>
      <c r="EW381" s="1392"/>
      <c r="EX381" s="1396"/>
      <c r="EY381" s="1392"/>
      <c r="EZ381" s="1392"/>
      <c r="FA381" s="1396"/>
      <c r="FD381"/>
      <c r="FE381"/>
      <c r="FF381"/>
      <c r="FG381"/>
      <c r="FH381"/>
      <c r="FI381"/>
    </row>
    <row r="382" spans="2:165" s="33" customFormat="1" outlineLevel="1">
      <c r="B382" s="54" t="s">
        <v>457</v>
      </c>
      <c r="C382" s="54"/>
      <c r="D382" s="2"/>
      <c r="E382" s="1391"/>
      <c r="F382" s="1392"/>
      <c r="G382" s="1393"/>
      <c r="H382" s="1392"/>
      <c r="I382" s="1392"/>
      <c r="J382" s="1393"/>
      <c r="K382" s="1392"/>
      <c r="L382" s="1392"/>
      <c r="M382" s="1393"/>
      <c r="N382" s="1392"/>
      <c r="O382" s="1392"/>
      <c r="P382" s="1393"/>
      <c r="Q382" s="1392"/>
      <c r="R382" s="1392"/>
      <c r="S382" s="1393"/>
      <c r="T382" s="1392"/>
      <c r="U382" s="1392"/>
      <c r="V382" s="1393"/>
      <c r="W382" s="1392"/>
      <c r="X382" s="1392"/>
      <c r="Y382" s="1393"/>
      <c r="Z382" s="1392"/>
      <c r="AA382" s="1392"/>
      <c r="AB382" s="1393"/>
      <c r="AC382" s="1392"/>
      <c r="AD382" s="1392"/>
      <c r="AE382" s="1393"/>
      <c r="AF382" s="1392"/>
      <c r="AG382" s="1392"/>
      <c r="AH382" s="1393"/>
      <c r="AI382" s="1392"/>
      <c r="AJ382" s="1392"/>
      <c r="AK382" s="1393"/>
      <c r="AL382" s="1392"/>
      <c r="AM382" s="1392"/>
      <c r="AN382" s="1393"/>
      <c r="AO382" s="1392"/>
      <c r="AP382" s="1392"/>
      <c r="AQ382" s="1393"/>
      <c r="AR382" s="1392"/>
      <c r="AS382" s="1392"/>
      <c r="AT382" s="1393"/>
      <c r="AU382" s="1392"/>
      <c r="AV382" s="1392"/>
      <c r="AW382" s="1393"/>
      <c r="AX382" s="1392"/>
      <c r="AY382" s="1392"/>
      <c r="AZ382" s="1393"/>
      <c r="BA382" s="1392"/>
      <c r="BB382" s="1392"/>
      <c r="BC382" s="1393"/>
      <c r="BD382" s="1392"/>
      <c r="BE382" s="1392"/>
      <c r="BF382" s="1393"/>
      <c r="BG382" s="1392"/>
      <c r="BH382" s="1392"/>
      <c r="BI382" s="1393"/>
      <c r="BJ382" s="1392"/>
      <c r="BK382" s="1392"/>
      <c r="BL382" s="1393"/>
      <c r="BM382" s="1392"/>
      <c r="BN382" s="1392"/>
      <c r="BO382" s="1395"/>
      <c r="BP382" s="1392"/>
      <c r="BQ382" s="1392"/>
      <c r="BR382" s="1395"/>
      <c r="BS382" s="1392"/>
      <c r="BT382" s="1392"/>
      <c r="BU382" s="1395"/>
      <c r="BV382" s="1392"/>
      <c r="BW382" s="1392"/>
      <c r="BX382" s="1395"/>
      <c r="BY382" s="1392"/>
      <c r="BZ382" s="1392"/>
      <c r="CA382" s="1395"/>
      <c r="CB382" s="1392"/>
      <c r="CC382" s="1392"/>
      <c r="CD382" s="1395"/>
      <c r="CE382" s="1392"/>
      <c r="CF382" s="1392"/>
      <c r="CG382" s="1395"/>
      <c r="CH382" s="1392"/>
      <c r="CI382" s="1392"/>
      <c r="CJ382" s="1395"/>
      <c r="CK382" s="1392"/>
      <c r="CL382" s="1392"/>
      <c r="CM382" s="1395"/>
      <c r="CN382" s="1392"/>
      <c r="CO382" s="1392"/>
      <c r="CP382" s="1395"/>
      <c r="CQ382" s="1392"/>
      <c r="CR382" s="1392"/>
      <c r="CS382" s="1395"/>
      <c r="CT382" s="1392"/>
      <c r="CU382" s="1392"/>
      <c r="CV382" s="1395"/>
      <c r="CW382" s="1392"/>
      <c r="CX382" s="1392"/>
      <c r="CY382" s="1395"/>
      <c r="CZ382" s="1392"/>
      <c r="DA382" s="1392"/>
      <c r="DB382" s="1395"/>
      <c r="DC382" s="1392"/>
      <c r="DD382" s="1392"/>
      <c r="DE382" s="1396"/>
      <c r="DF382" s="1392"/>
      <c r="DG382" s="1392"/>
      <c r="DH382" s="1396"/>
      <c r="DI382" s="1392"/>
      <c r="DJ382" s="1392"/>
      <c r="DK382" s="1396"/>
      <c r="DL382" s="1392"/>
      <c r="DM382" s="1392"/>
      <c r="DN382" s="1396"/>
      <c r="DO382" s="1392"/>
      <c r="DP382" s="1392"/>
      <c r="DQ382" s="1396"/>
      <c r="DR382" s="1392"/>
      <c r="DS382" s="1392"/>
      <c r="DT382" s="1396"/>
      <c r="DU382" s="1392"/>
      <c r="DV382" s="1392"/>
      <c r="DW382" s="1396"/>
      <c r="DX382" s="1392"/>
      <c r="DY382" s="1392"/>
      <c r="DZ382" s="1396"/>
      <c r="EA382" s="1392"/>
      <c r="EB382" s="1392"/>
      <c r="EC382" s="1396"/>
      <c r="ED382" s="1392"/>
      <c r="EE382" s="1392"/>
      <c r="EF382" s="1396"/>
      <c r="EG382" s="1392"/>
      <c r="EH382" s="1392"/>
      <c r="EI382" s="1396"/>
      <c r="EJ382" s="1392"/>
      <c r="EK382" s="1392"/>
      <c r="EL382" s="1396"/>
      <c r="EM382" s="1392"/>
      <c r="EN382" s="1392"/>
      <c r="EO382" s="1396"/>
      <c r="EP382" s="1392"/>
      <c r="EQ382" s="1392"/>
      <c r="ER382" s="1396"/>
      <c r="ES382" s="1392"/>
      <c r="ET382" s="1392"/>
      <c r="EU382" s="1396"/>
      <c r="EV382" s="1392"/>
      <c r="EW382" s="1392"/>
      <c r="EX382" s="1396"/>
      <c r="EY382" s="1392"/>
      <c r="EZ382" s="1392"/>
      <c r="FA382" s="1396"/>
      <c r="FD382"/>
      <c r="FE382"/>
      <c r="FF382"/>
      <c r="FG382"/>
      <c r="FH382"/>
      <c r="FI382"/>
    </row>
    <row r="383" spans="2:165" s="33" customFormat="1" outlineLevel="1">
      <c r="B383" s="54" t="s">
        <v>458</v>
      </c>
      <c r="C383" s="54"/>
      <c r="D383" s="2"/>
      <c r="E383" s="1391"/>
      <c r="F383" s="1392"/>
      <c r="G383" s="1393"/>
      <c r="H383" s="1392"/>
      <c r="I383" s="1392"/>
      <c r="J383" s="1393"/>
      <c r="K383" s="1392"/>
      <c r="L383" s="1392"/>
      <c r="M383" s="1393"/>
      <c r="N383" s="1392"/>
      <c r="O383" s="1392"/>
      <c r="P383" s="1393"/>
      <c r="Q383" s="1392"/>
      <c r="R383" s="1392"/>
      <c r="S383" s="1393"/>
      <c r="T383" s="1392"/>
      <c r="U383" s="1392"/>
      <c r="V383" s="1393"/>
      <c r="W383" s="1392"/>
      <c r="X383" s="1392"/>
      <c r="Y383" s="1393"/>
      <c r="Z383" s="1392"/>
      <c r="AA383" s="1392"/>
      <c r="AB383" s="1393"/>
      <c r="AC383" s="1392"/>
      <c r="AD383" s="1392"/>
      <c r="AE383" s="1393"/>
      <c r="AF383" s="1392"/>
      <c r="AG383" s="1392"/>
      <c r="AH383" s="1393"/>
      <c r="AI383" s="1392"/>
      <c r="AJ383" s="1392"/>
      <c r="AK383" s="1393"/>
      <c r="AL383" s="1392"/>
      <c r="AM383" s="1392"/>
      <c r="AN383" s="1393"/>
      <c r="AO383" s="1392"/>
      <c r="AP383" s="1392"/>
      <c r="AQ383" s="1393"/>
      <c r="AR383" s="1392"/>
      <c r="AS383" s="1392"/>
      <c r="AT383" s="1393"/>
      <c r="AU383" s="1392"/>
      <c r="AV383" s="1392"/>
      <c r="AW383" s="1393"/>
      <c r="AX383" s="1392"/>
      <c r="AY383" s="1392"/>
      <c r="AZ383" s="1393"/>
      <c r="BA383" s="1392"/>
      <c r="BB383" s="1392"/>
      <c r="BC383" s="1393"/>
      <c r="BD383" s="1392"/>
      <c r="BE383" s="1392"/>
      <c r="BF383" s="1393"/>
      <c r="BG383" s="1392"/>
      <c r="BH383" s="1392"/>
      <c r="BI383" s="1393"/>
      <c r="BJ383" s="1392"/>
      <c r="BK383" s="1392"/>
      <c r="BL383" s="1393"/>
      <c r="BM383" s="1392"/>
      <c r="BN383" s="1392"/>
      <c r="BO383" s="1395"/>
      <c r="BP383" s="1392"/>
      <c r="BQ383" s="1392"/>
      <c r="BR383" s="1395"/>
      <c r="BS383" s="1392"/>
      <c r="BT383" s="1392"/>
      <c r="BU383" s="1395"/>
      <c r="BV383" s="1392"/>
      <c r="BW383" s="1392"/>
      <c r="BX383" s="1395"/>
      <c r="BY383" s="1392"/>
      <c r="BZ383" s="1392"/>
      <c r="CA383" s="1395"/>
      <c r="CB383" s="1392"/>
      <c r="CC383" s="1392"/>
      <c r="CD383" s="1395"/>
      <c r="CE383" s="1392"/>
      <c r="CF383" s="1392"/>
      <c r="CG383" s="1395"/>
      <c r="CH383" s="1392"/>
      <c r="CI383" s="1392"/>
      <c r="CJ383" s="1395"/>
      <c r="CK383" s="1392"/>
      <c r="CL383" s="1392"/>
      <c r="CM383" s="1395"/>
      <c r="CN383" s="1392"/>
      <c r="CO383" s="1392"/>
      <c r="CP383" s="1395"/>
      <c r="CQ383" s="1392"/>
      <c r="CR383" s="1392"/>
      <c r="CS383" s="1395"/>
      <c r="CT383" s="1392"/>
      <c r="CU383" s="1392"/>
      <c r="CV383" s="1395"/>
      <c r="CW383" s="1392"/>
      <c r="CX383" s="1392"/>
      <c r="CY383" s="1395"/>
      <c r="CZ383" s="1392"/>
      <c r="DA383" s="1392"/>
      <c r="DB383" s="1395"/>
      <c r="DC383" s="1392"/>
      <c r="DD383" s="1392"/>
      <c r="DE383" s="1396"/>
      <c r="DF383" s="1392"/>
      <c r="DG383" s="1392"/>
      <c r="DH383" s="1396"/>
      <c r="DI383" s="1392"/>
      <c r="DJ383" s="1392"/>
      <c r="DK383" s="1396"/>
      <c r="DL383" s="1392"/>
      <c r="DM383" s="1392"/>
      <c r="DN383" s="1396"/>
      <c r="DO383" s="1392"/>
      <c r="DP383" s="1392"/>
      <c r="DQ383" s="1396"/>
      <c r="DR383" s="1392"/>
      <c r="DS383" s="1392"/>
      <c r="DT383" s="1396"/>
      <c r="DU383" s="1392"/>
      <c r="DV383" s="1392"/>
      <c r="DW383" s="1396"/>
      <c r="DX383" s="1392"/>
      <c r="DY383" s="1392"/>
      <c r="DZ383" s="1396"/>
      <c r="EA383" s="1392"/>
      <c r="EB383" s="1392"/>
      <c r="EC383" s="1396"/>
      <c r="ED383" s="1392"/>
      <c r="EE383" s="1392"/>
      <c r="EF383" s="1396"/>
      <c r="EG383" s="1392"/>
      <c r="EH383" s="1392"/>
      <c r="EI383" s="1396"/>
      <c r="EJ383" s="1392"/>
      <c r="EK383" s="1392"/>
      <c r="EL383" s="1396"/>
      <c r="EM383" s="1392"/>
      <c r="EN383" s="1392"/>
      <c r="EO383" s="1396"/>
      <c r="EP383" s="1392"/>
      <c r="EQ383" s="1392"/>
      <c r="ER383" s="1396"/>
      <c r="ES383" s="1392"/>
      <c r="ET383" s="1392"/>
      <c r="EU383" s="1396"/>
      <c r="EV383" s="1392"/>
      <c r="EW383" s="1392"/>
      <c r="EX383" s="1396"/>
      <c r="EY383" s="1392"/>
      <c r="EZ383" s="1392"/>
      <c r="FA383" s="1396"/>
      <c r="FD383"/>
      <c r="FE383"/>
      <c r="FF383"/>
      <c r="FG383"/>
      <c r="FH383"/>
      <c r="FI383"/>
    </row>
    <row r="384" spans="2:165" s="33" customFormat="1" outlineLevel="1">
      <c r="B384" s="54" t="s">
        <v>160</v>
      </c>
      <c r="C384" s="54"/>
      <c r="D384" s="2"/>
      <c r="E384" s="1391"/>
      <c r="F384" s="1392"/>
      <c r="G384" s="1393"/>
      <c r="H384" s="1392"/>
      <c r="I384" s="1392"/>
      <c r="J384" s="1393"/>
      <c r="K384" s="1392"/>
      <c r="L384" s="1392"/>
      <c r="M384" s="1393"/>
      <c r="N384" s="1392"/>
      <c r="O384" s="1392"/>
      <c r="P384" s="1393"/>
      <c r="Q384" s="1392"/>
      <c r="R384" s="1392"/>
      <c r="S384" s="1393"/>
      <c r="T384" s="1392"/>
      <c r="U384" s="1392"/>
      <c r="V384" s="1393"/>
      <c r="W384" s="1392"/>
      <c r="X384" s="1392"/>
      <c r="Y384" s="1393"/>
      <c r="Z384" s="1392"/>
      <c r="AA384" s="1392"/>
      <c r="AB384" s="1393"/>
      <c r="AC384" s="1392"/>
      <c r="AD384" s="1392"/>
      <c r="AE384" s="1393"/>
      <c r="AF384" s="1392"/>
      <c r="AG384" s="1392"/>
      <c r="AH384" s="1393"/>
      <c r="AI384" s="1392"/>
      <c r="AJ384" s="1392"/>
      <c r="AK384" s="1393"/>
      <c r="AL384" s="1392"/>
      <c r="AM384" s="1392"/>
      <c r="AN384" s="1393"/>
      <c r="AO384" s="1392"/>
      <c r="AP384" s="1392"/>
      <c r="AQ384" s="1393"/>
      <c r="AR384" s="1392"/>
      <c r="AS384" s="1392"/>
      <c r="AT384" s="1393"/>
      <c r="AU384" s="1392"/>
      <c r="AV384" s="1392"/>
      <c r="AW384" s="1393"/>
      <c r="AX384" s="1392"/>
      <c r="AY384" s="1392"/>
      <c r="AZ384" s="1393"/>
      <c r="BA384" s="1392"/>
      <c r="BB384" s="1392"/>
      <c r="BC384" s="1393"/>
      <c r="BD384" s="1392"/>
      <c r="BE384" s="1392"/>
      <c r="BF384" s="1393"/>
      <c r="BG384" s="1392"/>
      <c r="BH384" s="1392"/>
      <c r="BI384" s="1393"/>
      <c r="BJ384" s="1392"/>
      <c r="BK384" s="1392"/>
      <c r="BL384" s="1393"/>
      <c r="BM384" s="1392"/>
      <c r="BN384" s="1392"/>
      <c r="BO384" s="1395"/>
      <c r="BP384" s="1392"/>
      <c r="BQ384" s="1392"/>
      <c r="BR384" s="1395"/>
      <c r="BS384" s="1392"/>
      <c r="BT384" s="1392"/>
      <c r="BU384" s="1395"/>
      <c r="BV384" s="1392"/>
      <c r="BW384" s="1392"/>
      <c r="BX384" s="1395"/>
      <c r="BY384" s="1392"/>
      <c r="BZ384" s="1392"/>
      <c r="CA384" s="1395"/>
      <c r="CB384" s="1392"/>
      <c r="CC384" s="1392"/>
      <c r="CD384" s="1395"/>
      <c r="CE384" s="1392"/>
      <c r="CF384" s="1392"/>
      <c r="CG384" s="1395"/>
      <c r="CH384" s="1392"/>
      <c r="CI384" s="1392"/>
      <c r="CJ384" s="1395"/>
      <c r="CK384" s="1392"/>
      <c r="CL384" s="1392"/>
      <c r="CM384" s="1395"/>
      <c r="CN384" s="1392"/>
      <c r="CO384" s="1392"/>
      <c r="CP384" s="1395"/>
      <c r="CQ384" s="1392"/>
      <c r="CR384" s="1392"/>
      <c r="CS384" s="1395"/>
      <c r="CT384" s="1392"/>
      <c r="CU384" s="1392"/>
      <c r="CV384" s="1395"/>
      <c r="CW384" s="1392"/>
      <c r="CX384" s="1392"/>
      <c r="CY384" s="1395"/>
      <c r="CZ384" s="1392"/>
      <c r="DA384" s="1392"/>
      <c r="DB384" s="1395"/>
      <c r="DC384" s="1392"/>
      <c r="DD384" s="1392"/>
      <c r="DE384" s="1396"/>
      <c r="DF384" s="1392"/>
      <c r="DG384" s="1392"/>
      <c r="DH384" s="1396"/>
      <c r="DI384" s="1392"/>
      <c r="DJ384" s="1392"/>
      <c r="DK384" s="1396"/>
      <c r="DL384" s="1392"/>
      <c r="DM384" s="1392"/>
      <c r="DN384" s="1396"/>
      <c r="DO384" s="1392"/>
      <c r="DP384" s="1392"/>
      <c r="DQ384" s="1396"/>
      <c r="DR384" s="1392"/>
      <c r="DS384" s="1392"/>
      <c r="DT384" s="1396"/>
      <c r="DU384" s="1392"/>
      <c r="DV384" s="1392"/>
      <c r="DW384" s="1396"/>
      <c r="DX384" s="1392"/>
      <c r="DY384" s="1392"/>
      <c r="DZ384" s="1396"/>
      <c r="EA384" s="1392"/>
      <c r="EB384" s="1392"/>
      <c r="EC384" s="1396"/>
      <c r="ED384" s="1392"/>
      <c r="EE384" s="1392"/>
      <c r="EF384" s="1396"/>
      <c r="EG384" s="1392"/>
      <c r="EH384" s="1392"/>
      <c r="EI384" s="1396"/>
      <c r="EJ384" s="1392"/>
      <c r="EK384" s="1392"/>
      <c r="EL384" s="1396"/>
      <c r="EM384" s="1392"/>
      <c r="EN384" s="1392"/>
      <c r="EO384" s="1396"/>
      <c r="EP384" s="1392"/>
      <c r="EQ384" s="1392"/>
      <c r="ER384" s="1396"/>
      <c r="ES384" s="1392"/>
      <c r="ET384" s="1392"/>
      <c r="EU384" s="1396"/>
      <c r="EV384" s="1392"/>
      <c r="EW384" s="1392"/>
      <c r="EX384" s="1396"/>
      <c r="EY384" s="1392"/>
      <c r="EZ384" s="1392"/>
      <c r="FA384" s="1396"/>
      <c r="FD384"/>
      <c r="FE384"/>
      <c r="FF384"/>
      <c r="FG384"/>
      <c r="FH384"/>
      <c r="FI384"/>
    </row>
    <row r="385" spans="2:165" s="33" customFormat="1" outlineLevel="1">
      <c r="B385" s="54" t="s">
        <v>161</v>
      </c>
      <c r="C385" s="54"/>
      <c r="D385" s="2"/>
      <c r="E385" s="1391"/>
      <c r="F385" s="1392"/>
      <c r="G385" s="1393"/>
      <c r="H385" s="1392"/>
      <c r="I385" s="1392"/>
      <c r="J385" s="1393"/>
      <c r="K385" s="1392"/>
      <c r="L385" s="1392"/>
      <c r="M385" s="1393"/>
      <c r="N385" s="1392"/>
      <c r="O385" s="1392"/>
      <c r="P385" s="1393"/>
      <c r="Q385" s="1392"/>
      <c r="R385" s="1392"/>
      <c r="S385" s="1393"/>
      <c r="T385" s="1392"/>
      <c r="U385" s="1392"/>
      <c r="V385" s="1393"/>
      <c r="W385" s="1392"/>
      <c r="X385" s="1392"/>
      <c r="Y385" s="1393"/>
      <c r="Z385" s="1392"/>
      <c r="AA385" s="1392"/>
      <c r="AB385" s="1393"/>
      <c r="AC385" s="1392"/>
      <c r="AD385" s="1392"/>
      <c r="AE385" s="1393"/>
      <c r="AF385" s="1392"/>
      <c r="AG385" s="1392"/>
      <c r="AH385" s="1393"/>
      <c r="AI385" s="1392"/>
      <c r="AJ385" s="1392"/>
      <c r="AK385" s="1393"/>
      <c r="AL385" s="1392"/>
      <c r="AM385" s="1392"/>
      <c r="AN385" s="1393"/>
      <c r="AO385" s="1392"/>
      <c r="AP385" s="1392"/>
      <c r="AQ385" s="1393"/>
      <c r="AR385" s="1392"/>
      <c r="AS385" s="1392"/>
      <c r="AT385" s="1393"/>
      <c r="AU385" s="1392"/>
      <c r="AV385" s="1392"/>
      <c r="AW385" s="1393"/>
      <c r="AX385" s="1392"/>
      <c r="AY385" s="1392"/>
      <c r="AZ385" s="1393"/>
      <c r="BA385" s="1392"/>
      <c r="BB385" s="1392"/>
      <c r="BC385" s="1393"/>
      <c r="BD385" s="1392"/>
      <c r="BE385" s="1392"/>
      <c r="BF385" s="1393"/>
      <c r="BG385" s="1392"/>
      <c r="BH385" s="1392"/>
      <c r="BI385" s="1393"/>
      <c r="BJ385" s="1392"/>
      <c r="BK385" s="1392"/>
      <c r="BL385" s="1393"/>
      <c r="BM385" s="1392"/>
      <c r="BN385" s="1392"/>
      <c r="BO385" s="1395"/>
      <c r="BP385" s="1392"/>
      <c r="BQ385" s="1392"/>
      <c r="BR385" s="1395"/>
      <c r="BS385" s="1392"/>
      <c r="BT385" s="1392"/>
      <c r="BU385" s="1395"/>
      <c r="BV385" s="1392"/>
      <c r="BW385" s="1392"/>
      <c r="BX385" s="1395"/>
      <c r="BY385" s="1392"/>
      <c r="BZ385" s="1392"/>
      <c r="CA385" s="1395"/>
      <c r="CB385" s="1392"/>
      <c r="CC385" s="1392"/>
      <c r="CD385" s="1395"/>
      <c r="CE385" s="1392"/>
      <c r="CF385" s="1392"/>
      <c r="CG385" s="1395"/>
      <c r="CH385" s="1392"/>
      <c r="CI385" s="1392"/>
      <c r="CJ385" s="1395"/>
      <c r="CK385" s="1392"/>
      <c r="CL385" s="1392"/>
      <c r="CM385" s="1395"/>
      <c r="CN385" s="1392"/>
      <c r="CO385" s="1392"/>
      <c r="CP385" s="1395"/>
      <c r="CQ385" s="1392"/>
      <c r="CR385" s="1392"/>
      <c r="CS385" s="1395"/>
      <c r="CT385" s="1392"/>
      <c r="CU385" s="1392"/>
      <c r="CV385" s="1395"/>
      <c r="CW385" s="1392"/>
      <c r="CX385" s="1392"/>
      <c r="CY385" s="1395"/>
      <c r="CZ385" s="1392"/>
      <c r="DA385" s="1392"/>
      <c r="DB385" s="1395"/>
      <c r="DC385" s="1392"/>
      <c r="DD385" s="1392"/>
      <c r="DE385" s="1396"/>
      <c r="DF385" s="1392"/>
      <c r="DG385" s="1392"/>
      <c r="DH385" s="1396"/>
      <c r="DI385" s="1392"/>
      <c r="DJ385" s="1392"/>
      <c r="DK385" s="1396"/>
      <c r="DL385" s="1392"/>
      <c r="DM385" s="1392"/>
      <c r="DN385" s="1396"/>
      <c r="DO385" s="1392"/>
      <c r="DP385" s="1392"/>
      <c r="DQ385" s="1396"/>
      <c r="DR385" s="1392"/>
      <c r="DS385" s="1392"/>
      <c r="DT385" s="1396"/>
      <c r="DU385" s="1392"/>
      <c r="DV385" s="1392"/>
      <c r="DW385" s="1396"/>
      <c r="DX385" s="1392"/>
      <c r="DY385" s="1392"/>
      <c r="DZ385" s="1396"/>
      <c r="EA385" s="1392"/>
      <c r="EB385" s="1392"/>
      <c r="EC385" s="1396"/>
      <c r="ED385" s="1392"/>
      <c r="EE385" s="1392"/>
      <c r="EF385" s="1396"/>
      <c r="EG385" s="1392"/>
      <c r="EH385" s="1392"/>
      <c r="EI385" s="1396"/>
      <c r="EJ385" s="1392"/>
      <c r="EK385" s="1392"/>
      <c r="EL385" s="1396"/>
      <c r="EM385" s="1392"/>
      <c r="EN385" s="1392"/>
      <c r="EO385" s="1396"/>
      <c r="EP385" s="1392"/>
      <c r="EQ385" s="1392"/>
      <c r="ER385" s="1396"/>
      <c r="ES385" s="1392"/>
      <c r="ET385" s="1392"/>
      <c r="EU385" s="1396"/>
      <c r="EV385" s="1392"/>
      <c r="EW385" s="1392"/>
      <c r="EX385" s="1396"/>
      <c r="EY385" s="1392"/>
      <c r="EZ385" s="1392"/>
      <c r="FA385" s="1396"/>
      <c r="FD385"/>
      <c r="FE385"/>
      <c r="FF385"/>
      <c r="FG385"/>
      <c r="FH385"/>
      <c r="FI385"/>
    </row>
    <row r="386" spans="2:165" s="33" customFormat="1" outlineLevel="1">
      <c r="B386" s="54" t="s">
        <v>41</v>
      </c>
      <c r="C386" s="54"/>
      <c r="D386" s="2"/>
      <c r="E386" s="1391"/>
      <c r="F386" s="1392"/>
      <c r="G386" s="1393"/>
      <c r="H386" s="1392"/>
      <c r="I386" s="1392"/>
      <c r="J386" s="1393"/>
      <c r="K386" s="1392"/>
      <c r="L386" s="1392"/>
      <c r="M386" s="1393"/>
      <c r="N386" s="1392"/>
      <c r="O386" s="1392"/>
      <c r="P386" s="1393"/>
      <c r="Q386" s="1392"/>
      <c r="R386" s="1392"/>
      <c r="S386" s="1393"/>
      <c r="T386" s="1392"/>
      <c r="U386" s="1392"/>
      <c r="V386" s="1393"/>
      <c r="W386" s="1392"/>
      <c r="X386" s="1392"/>
      <c r="Y386" s="1393"/>
      <c r="Z386" s="1392"/>
      <c r="AA386" s="1392"/>
      <c r="AB386" s="1393"/>
      <c r="AC386" s="1392"/>
      <c r="AD386" s="1392"/>
      <c r="AE386" s="1393"/>
      <c r="AF386" s="1392"/>
      <c r="AG386" s="1392"/>
      <c r="AH386" s="1393"/>
      <c r="AI386" s="1392"/>
      <c r="AJ386" s="1392"/>
      <c r="AK386" s="1393"/>
      <c r="AL386" s="1392"/>
      <c r="AM386" s="1392"/>
      <c r="AN386" s="1393"/>
      <c r="AO386" s="1392"/>
      <c r="AP386" s="1392"/>
      <c r="AQ386" s="1393"/>
      <c r="AR386" s="1392"/>
      <c r="AS386" s="1392"/>
      <c r="AT386" s="1393"/>
      <c r="AU386" s="1392"/>
      <c r="AV386" s="1397"/>
      <c r="AW386" s="1398"/>
      <c r="AX386" s="1392"/>
      <c r="AY386" s="1392"/>
      <c r="AZ386" s="1393"/>
      <c r="BA386" s="1392"/>
      <c r="BB386" s="1392"/>
      <c r="BC386" s="1393"/>
      <c r="BD386" s="1392">
        <f>BB386</f>
        <v>0</v>
      </c>
      <c r="BE386" s="1392">
        <f>BD386</f>
        <v>0</v>
      </c>
      <c r="BF386" s="1393"/>
      <c r="BG386" s="1392">
        <f>BE386</f>
        <v>0</v>
      </c>
      <c r="BH386" s="1392">
        <f>BG386</f>
        <v>0</v>
      </c>
      <c r="BI386" s="1393"/>
      <c r="BJ386" s="1392">
        <f>BH386</f>
        <v>0</v>
      </c>
      <c r="BK386" s="1392">
        <f>BJ386</f>
        <v>0</v>
      </c>
      <c r="BL386" s="1393"/>
      <c r="BM386" s="1392"/>
      <c r="BN386" s="1392"/>
      <c r="BO386" s="1395"/>
      <c r="BP386" s="1392"/>
      <c r="BQ386" s="1392"/>
      <c r="BR386" s="1395"/>
      <c r="BS386" s="1392"/>
      <c r="BT386" s="1392"/>
      <c r="BU386" s="1395"/>
      <c r="BV386" s="1392"/>
      <c r="BW386" s="1392"/>
      <c r="BX386" s="1395"/>
      <c r="BY386" s="1392"/>
      <c r="BZ386" s="1392"/>
      <c r="CA386" s="1395"/>
      <c r="CB386" s="1392"/>
      <c r="CC386" s="1392"/>
      <c r="CD386" s="1395"/>
      <c r="CE386" s="1392"/>
      <c r="CF386" s="1392"/>
      <c r="CG386" s="1395"/>
      <c r="CH386" s="1392"/>
      <c r="CI386" s="1392"/>
      <c r="CJ386" s="1395"/>
      <c r="CK386" s="1392"/>
      <c r="CL386" s="1392"/>
      <c r="CM386" s="1395"/>
      <c r="CN386" s="1392"/>
      <c r="CO386" s="1392"/>
      <c r="CP386" s="1395"/>
      <c r="CQ386" s="1392"/>
      <c r="CR386" s="1392"/>
      <c r="CS386" s="1395"/>
      <c r="CT386" s="1392"/>
      <c r="CU386" s="1392"/>
      <c r="CV386" s="1395"/>
      <c r="CW386" s="1392"/>
      <c r="CX386" s="1392"/>
      <c r="CY386" s="1395"/>
      <c r="CZ386" s="1392"/>
      <c r="DA386" s="1392"/>
      <c r="DB386" s="1395"/>
      <c r="DC386" s="1392"/>
      <c r="DD386" s="1392"/>
      <c r="DE386" s="1396"/>
      <c r="DF386" s="1392"/>
      <c r="DG386" s="1392"/>
      <c r="DH386" s="1396"/>
      <c r="DI386" s="1392"/>
      <c r="DJ386" s="1392"/>
      <c r="DK386" s="1396"/>
      <c r="DL386" s="1392"/>
      <c r="DM386" s="1392"/>
      <c r="DN386" s="1396"/>
      <c r="DO386" s="1392"/>
      <c r="DP386" s="1392"/>
      <c r="DQ386" s="1396"/>
      <c r="DR386" s="1392"/>
      <c r="DS386" s="1392"/>
      <c r="DT386" s="1396"/>
      <c r="DU386" s="1392"/>
      <c r="DV386" s="1392"/>
      <c r="DW386" s="1396"/>
      <c r="DX386" s="1392"/>
      <c r="DY386" s="1392"/>
      <c r="DZ386" s="1396"/>
      <c r="EA386" s="1392"/>
      <c r="EB386" s="1392"/>
      <c r="EC386" s="1396"/>
      <c r="ED386" s="1392"/>
      <c r="EE386" s="1392"/>
      <c r="EF386" s="1396"/>
      <c r="EG386" s="1392"/>
      <c r="EH386" s="1392"/>
      <c r="EI386" s="1396"/>
      <c r="EJ386" s="1392"/>
      <c r="EK386" s="1392"/>
      <c r="EL386" s="1396"/>
      <c r="EM386" s="1392"/>
      <c r="EN386" s="1392"/>
      <c r="EO386" s="1396"/>
      <c r="EP386" s="1392"/>
      <c r="EQ386" s="1392"/>
      <c r="ER386" s="1396"/>
      <c r="ES386" s="1392"/>
      <c r="ET386" s="1392"/>
      <c r="EU386" s="1396"/>
      <c r="EV386" s="1392"/>
      <c r="EW386" s="1392"/>
      <c r="EX386" s="1396"/>
      <c r="EY386" s="1392"/>
      <c r="EZ386" s="1392"/>
      <c r="FA386" s="1396"/>
      <c r="FD386"/>
      <c r="FE386"/>
      <c r="FF386"/>
      <c r="FG386"/>
      <c r="FH386"/>
      <c r="FI386"/>
    </row>
    <row r="387" spans="2:165" s="33" customFormat="1" ht="13.5" outlineLevel="1" thickBot="1">
      <c r="B387" s="54" t="s">
        <v>93</v>
      </c>
      <c r="C387" s="54"/>
      <c r="D387" s="2"/>
      <c r="E387" s="1391"/>
      <c r="F387" s="1392"/>
      <c r="G387" s="1393"/>
      <c r="H387" s="1392"/>
      <c r="I387" s="1392"/>
      <c r="J387" s="1393"/>
      <c r="K387" s="1392"/>
      <c r="L387" s="1392"/>
      <c r="M387" s="1393"/>
      <c r="N387" s="1392"/>
      <c r="O387" s="1392"/>
      <c r="P387" s="1393"/>
      <c r="Q387" s="1392"/>
      <c r="R387" s="1392"/>
      <c r="S387" s="1393"/>
      <c r="T387" s="1392"/>
      <c r="U387" s="1392"/>
      <c r="V387" s="1393"/>
      <c r="W387" s="1392"/>
      <c r="X387" s="1392"/>
      <c r="Y387" s="1393"/>
      <c r="Z387" s="1392"/>
      <c r="AA387" s="1392"/>
      <c r="AB387" s="1393"/>
      <c r="AC387" s="1392"/>
      <c r="AD387" s="1392"/>
      <c r="AE387" s="1393"/>
      <c r="AF387" s="1392"/>
      <c r="AG387" s="1392"/>
      <c r="AH387" s="1393"/>
      <c r="AI387" s="1392"/>
      <c r="AJ387" s="1392"/>
      <c r="AK387" s="1393"/>
      <c r="AL387" s="1392"/>
      <c r="AM387" s="1392"/>
      <c r="AN387" s="1393"/>
      <c r="AO387" s="1392"/>
      <c r="AP387" s="1392"/>
      <c r="AQ387" s="1393"/>
      <c r="AR387" s="1392"/>
      <c r="AS387" s="1392"/>
      <c r="AT387" s="1393"/>
      <c r="AU387" s="1392"/>
      <c r="AV387" s="1392"/>
      <c r="AW387" s="1393"/>
      <c r="AX387" s="1392"/>
      <c r="AY387" s="1392"/>
      <c r="AZ387" s="1393"/>
      <c r="BA387" s="1392"/>
      <c r="BB387" s="1392"/>
      <c r="BC387" s="1393"/>
      <c r="BD387" s="1392"/>
      <c r="BE387" s="1392"/>
      <c r="BF387" s="1393"/>
      <c r="BG387" s="1392"/>
      <c r="BH387" s="1394">
        <v>180</v>
      </c>
      <c r="BI387" s="1393"/>
      <c r="BJ387" s="1392"/>
      <c r="BK387" s="1392"/>
      <c r="BL387" s="1393"/>
      <c r="BM387" s="1392"/>
      <c r="BN387" s="1392"/>
      <c r="BO387" s="1395"/>
      <c r="BP387" s="1392"/>
      <c r="BQ387" s="1392"/>
      <c r="BR387" s="1395"/>
      <c r="BS387" s="1392"/>
      <c r="BT387" s="1392"/>
      <c r="BU387" s="1395"/>
      <c r="BV387" s="1392"/>
      <c r="BW387" s="1392"/>
      <c r="BX387" s="1395"/>
      <c r="BY387" s="1392"/>
      <c r="BZ387" s="1392"/>
      <c r="CA387" s="1395"/>
      <c r="CB387" s="1392"/>
      <c r="CC387" s="1392"/>
      <c r="CD387" s="1395"/>
      <c r="CE387" s="1392"/>
      <c r="CF387" s="1392">
        <f>CF381</f>
        <v>62</v>
      </c>
      <c r="CG387" s="1395"/>
      <c r="CH387" s="1392"/>
      <c r="CI387" s="1392"/>
      <c r="CJ387" s="1395"/>
      <c r="CK387" s="1392"/>
      <c r="CL387" s="1392"/>
      <c r="CM387" s="1395"/>
      <c r="CN387" s="1392"/>
      <c r="CO387" s="1392"/>
      <c r="CP387" s="1395"/>
      <c r="CQ387" s="1392"/>
      <c r="CR387" s="1392"/>
      <c r="CS387" s="1395"/>
      <c r="CT387" s="1392"/>
      <c r="CU387" s="1392"/>
      <c r="CV387" s="1395"/>
      <c r="CW387" s="1392"/>
      <c r="CX387" s="1392"/>
      <c r="CY387" s="1395"/>
      <c r="CZ387" s="1392"/>
      <c r="DA387" s="1392"/>
      <c r="DB387" s="1395"/>
      <c r="DC387" s="1392"/>
      <c r="DD387" s="1392"/>
      <c r="DE387" s="1396"/>
      <c r="DF387" s="1392"/>
      <c r="DG387" s="1392"/>
      <c r="DH387" s="1396"/>
      <c r="DI387" s="1392">
        <v>120</v>
      </c>
      <c r="DJ387" s="1392">
        <f>DI387</f>
        <v>120</v>
      </c>
      <c r="DK387" s="1396"/>
      <c r="DL387" s="1392"/>
      <c r="DM387" s="1392"/>
      <c r="DN387" s="1396"/>
      <c r="DO387" s="1392">
        <v>118.8</v>
      </c>
      <c r="DP387" s="1392">
        <v>-51.321716491935305</v>
      </c>
      <c r="DQ387" s="1396"/>
      <c r="DR387" s="1399">
        <v>116.08374908148932</v>
      </c>
      <c r="DS387" s="1392"/>
      <c r="DT387" s="1396"/>
      <c r="DU387" s="1392"/>
      <c r="DV387" s="1392"/>
      <c r="DW387" s="1396"/>
      <c r="DX387" s="1392"/>
      <c r="DY387" s="1392"/>
      <c r="DZ387" s="1396"/>
      <c r="EA387" s="1392"/>
      <c r="EB387" s="1392"/>
      <c r="EC387" s="1396"/>
      <c r="ED387" s="1392"/>
      <c r="EE387" s="1392"/>
      <c r="EF387" s="1396"/>
      <c r="EG387" s="1392"/>
      <c r="EH387" s="1392"/>
      <c r="EI387" s="1396"/>
      <c r="EJ387" s="1392"/>
      <c r="EK387" s="1392"/>
      <c r="EL387" s="1396"/>
      <c r="EM387" s="1392"/>
      <c r="EN387" s="1392"/>
      <c r="EO387" s="1396"/>
      <c r="EP387" s="1392"/>
      <c r="EQ387" s="1392"/>
      <c r="ER387" s="1396"/>
      <c r="ES387" s="1392"/>
      <c r="ET387" s="1392"/>
      <c r="EU387" s="1396"/>
      <c r="EV387" s="1392"/>
      <c r="EW387" s="1392"/>
      <c r="EX387" s="1396"/>
      <c r="EY387" s="1392"/>
      <c r="EZ387" s="1392"/>
      <c r="FA387" s="1396"/>
      <c r="FD387"/>
      <c r="FE387"/>
      <c r="FF387"/>
      <c r="FG387"/>
      <c r="FH387"/>
      <c r="FI387"/>
    </row>
    <row r="388" spans="2:165" s="33" customFormat="1" outlineLevel="1">
      <c r="B388" s="54"/>
      <c r="C388" s="54"/>
      <c r="D388" s="2"/>
      <c r="E388" s="1400"/>
      <c r="F388" s="1400"/>
      <c r="G388" s="1401"/>
      <c r="H388" s="1400"/>
      <c r="I388" s="1400"/>
      <c r="J388" s="1401"/>
      <c r="K388" s="1400"/>
      <c r="L388" s="1400"/>
      <c r="M388" s="1401"/>
      <c r="N388" s="1400"/>
      <c r="O388" s="1400"/>
      <c r="P388" s="1401"/>
      <c r="Q388" s="1400"/>
      <c r="R388" s="1400"/>
      <c r="S388" s="1401"/>
      <c r="T388" s="1400"/>
      <c r="U388" s="1400"/>
      <c r="V388" s="1401"/>
      <c r="W388" s="1400"/>
      <c r="X388" s="1400"/>
      <c r="Y388" s="1401"/>
      <c r="Z388" s="1400"/>
      <c r="AA388" s="1400"/>
      <c r="AB388" s="1401"/>
      <c r="AC388" s="1400"/>
      <c r="AD388" s="1400"/>
      <c r="AE388" s="1401"/>
      <c r="AF388" s="1400"/>
      <c r="AG388" s="1400"/>
      <c r="AH388" s="1401"/>
      <c r="AI388" s="1400"/>
      <c r="AJ388" s="1400"/>
      <c r="AK388" s="1401"/>
      <c r="AL388" s="1400"/>
      <c r="AM388" s="1400"/>
      <c r="AN388" s="1401"/>
      <c r="AO388" s="1400"/>
      <c r="AP388" s="1400"/>
      <c r="AQ388" s="1401"/>
      <c r="AR388" s="1400"/>
      <c r="AS388" s="1400"/>
      <c r="AT388" s="1401"/>
      <c r="AU388" s="1400"/>
      <c r="AV388" s="1400"/>
      <c r="AW388" s="1401"/>
      <c r="AX388" s="1400"/>
      <c r="AY388" s="1400"/>
      <c r="AZ388" s="1401"/>
      <c r="BA388" s="1400"/>
      <c r="BB388" s="1400"/>
      <c r="BC388" s="1401"/>
      <c r="BD388" s="1400"/>
      <c r="BE388" s="1400"/>
      <c r="BF388" s="1401"/>
      <c r="BG388" s="1400"/>
      <c r="BH388" s="1400"/>
      <c r="BI388" s="1401"/>
      <c r="BJ388" s="1400"/>
      <c r="BK388" s="1400"/>
      <c r="BL388" s="1401"/>
      <c r="BM388" s="1400"/>
      <c r="BN388" s="1400"/>
      <c r="BO388" s="1402"/>
      <c r="BP388" s="1400"/>
      <c r="BQ388" s="1400"/>
      <c r="BR388" s="1402"/>
      <c r="BS388" s="1400"/>
      <c r="BT388" s="1400"/>
      <c r="BU388" s="1402"/>
      <c r="BV388" s="1400"/>
      <c r="BW388" s="1400"/>
      <c r="BX388" s="1402"/>
      <c r="BY388" s="1400"/>
      <c r="BZ388" s="1400"/>
      <c r="CA388" s="1402"/>
      <c r="CB388" s="1400"/>
      <c r="CC388" s="1400"/>
      <c r="CD388" s="1402"/>
      <c r="CE388" s="1400"/>
      <c r="CF388" s="1400"/>
      <c r="CG388" s="1402"/>
      <c r="CH388" s="1400"/>
      <c r="CI388" s="1400"/>
      <c r="CJ388" s="1402"/>
      <c r="CK388" s="1400"/>
      <c r="CL388" s="1400"/>
      <c r="CM388" s="1402"/>
      <c r="CN388" s="1400"/>
      <c r="CO388" s="1400"/>
      <c r="CP388" s="1402"/>
      <c r="CQ388" s="1400"/>
      <c r="CR388" s="1400"/>
      <c r="CS388" s="1402"/>
      <c r="CT388" s="1400"/>
      <c r="CU388" s="1400"/>
      <c r="CV388" s="1402"/>
      <c r="CW388" s="1400"/>
      <c r="CX388" s="1400"/>
      <c r="CY388" s="1402"/>
      <c r="CZ388" s="1400"/>
      <c r="DA388" s="1400"/>
      <c r="DB388" s="1402"/>
      <c r="DC388" s="1400"/>
      <c r="DD388" s="1400"/>
      <c r="DE388" s="1403"/>
      <c r="DF388" s="1400"/>
      <c r="DG388" s="1400"/>
      <c r="DH388" s="1403"/>
      <c r="DI388" s="1400"/>
      <c r="DJ388" s="1400"/>
      <c r="DK388" s="1403"/>
      <c r="DL388" s="1400"/>
      <c r="DM388" s="1400"/>
      <c r="DN388" s="1403"/>
      <c r="DO388" s="1400"/>
      <c r="DP388" s="1400"/>
      <c r="DQ388" s="1403"/>
      <c r="DR388" s="1400"/>
      <c r="DS388" s="1400"/>
      <c r="DT388" s="1403"/>
      <c r="DU388" s="1400"/>
      <c r="DV388" s="1400"/>
      <c r="DW388" s="1403"/>
      <c r="DX388" s="1400"/>
      <c r="DY388" s="1400"/>
      <c r="DZ388" s="1403"/>
      <c r="EA388" s="1400"/>
      <c r="EB388" s="1400"/>
      <c r="EC388" s="1403"/>
      <c r="ED388" s="1400"/>
      <c r="EE388" s="1400"/>
      <c r="EF388" s="1403"/>
      <c r="EG388" s="1400"/>
      <c r="EH388" s="1400"/>
      <c r="EI388" s="1403"/>
      <c r="EJ388" s="1400"/>
      <c r="EK388" s="1400"/>
      <c r="EL388" s="1403"/>
      <c r="EM388" s="1400"/>
      <c r="EN388" s="1400"/>
      <c r="EO388" s="1403"/>
      <c r="EP388" s="1400"/>
      <c r="EQ388" s="1400"/>
      <c r="ER388" s="1403"/>
      <c r="ES388" s="1400"/>
      <c r="ET388" s="1400"/>
      <c r="EU388" s="1403"/>
      <c r="EV388" s="1400"/>
      <c r="EW388" s="1400"/>
      <c r="EX388" s="1403"/>
      <c r="EY388" s="1400"/>
      <c r="EZ388" s="1400"/>
      <c r="FA388" s="1403"/>
      <c r="FD388"/>
      <c r="FE388"/>
      <c r="FF388"/>
      <c r="FG388"/>
      <c r="FH388"/>
      <c r="FI388"/>
    </row>
    <row r="389" spans="2:165" s="33" customFormat="1" ht="13.5" thickBot="1">
      <c r="B389" s="54" t="s">
        <v>374</v>
      </c>
      <c r="C389" s="54"/>
      <c r="D389" s="2"/>
      <c r="E389" s="1404">
        <f>+(E367*1)+(E370*(E381/182.5))+(E371*(E382/182.5))+(E372*(E383/182.5))+(E373*(E384/182.5))+(E374*(E385/182.5))+(E375*(E386/182.5))+(E376*(E387/182.5))</f>
        <v>0</v>
      </c>
      <c r="F389" s="1404">
        <f>+(F367*1)+(F370*(F381/182.5))+(F371*(F382/182.5))+(F372*(F383/182.5))+(F373*(F384/182.5))+(F374*(F385/182.5))+(F375*(F386/182.5))+(F376*(F387/182.5))</f>
        <v>0</v>
      </c>
      <c r="G389" s="1404">
        <f>+(G367*1)+(E370*((182.5+E381)/365))+(E371*((182.5+E382)/365))+(E372*((182.5+E383)/365))+(E373*((182.5+E384)/365))+(E374*((182.5+E385)/365))+(E375*((182.5+E386)/365))+(E376*((182.5+E387)/365))+(F370*(F381/365))+(F371*(F382/365))+(F372*(F383/365))+(F373*(F384/365))+(F374*(F385/365))+(F375*(F386/365))+(F376*(F387/365))</f>
        <v>0</v>
      </c>
      <c r="H389" s="1404">
        <f>+(H367*1)+(H370*(H381/182.5))+(H371*(H382/182.5))+(H372*(H383/182.5))+(H373*(H384/182.5))+(H374*(H385/182.5))+(H375*(H386/182.5))+(H376*(H387/182.5))</f>
        <v>0</v>
      </c>
      <c r="I389" s="1404">
        <f>+(I367*1)+(I370*(I381/182.5))+(I371*(I382/182.5))+(I372*(I383/182.5))+(I373*(I384/182.5))+(I374*(I385/182.5))+(I375*(I386/182.5))+(I376*(I387/182.5))</f>
        <v>0</v>
      </c>
      <c r="J389" s="1404">
        <f>+(J367*1)+(H370*((182.5+H381)/365))+(H371*((182.5+H382)/365))+(H372*((182.5+H383)/365))+(H373*((182.5+H384)/365))+(H374*((182.5+H385)/365))+(H375*((182.5+H386)/365))+(H376*((182.5+H387)/365))+(I370*(I381/365))+(I371*(I382/365))+(I372*(I383/365))+(I373*(I384/365))+(I374*(I385/365))+(I375*(I386/365))+(I376*(I387/365))</f>
        <v>0</v>
      </c>
      <c r="K389" s="1404">
        <f>+(K367*1)+(K370*(K381/182.5))+(K371*(K382/182.5))+(K372*(K383/182.5))+(K373*(K384/182.5))+(K374*(K385/182.5))+(K375*(K386/182.5))+(K376*(K387/182.5))</f>
        <v>0</v>
      </c>
      <c r="L389" s="1404">
        <f>+(L367*1)+(L370*(L381/182.5))+(L371*(L382/182.5))+(L372*(L383/182.5))+(L373*(L384/182.5))+(L374*(L385/182.5))+(L375*(L386/182.5))+(L376*(L387/182.5))</f>
        <v>0</v>
      </c>
      <c r="M389" s="1404">
        <f>+(M367*1)+(K370*((182.5+K381)/365))+(K371*((182.5+K382)/365))+(K372*((182.5+K383)/365))+(K373*((182.5+K384)/365))+(K374*((182.5+K385)/365))+(K375*((182.5+K386)/365))+(K376*((182.5+K387)/365))+(L370*(L381/365))+(L371*(L382/365))+(L372*(L383/365))+(L373*(L384/365))+(L374*(L385/365))+(L375*(L386/365))+(L376*(L387/365))</f>
        <v>0</v>
      </c>
      <c r="N389" s="1404">
        <f>+(N367*1)+(N370*(N381/182.5))+(N371*(N382/182.5))+(N372*(N383/182.5))+(N373*(N384/182.5))+(N374*(N385/182.5))+(N375*(N386/182.5))+(N376*(N387/182.5))</f>
        <v>0</v>
      </c>
      <c r="O389" s="1404">
        <f>+(O367*1)+(O370*(O381/182.5))+(O371*(O382/182.5))+(O372*(O383/182.5))+(O373*(O384/182.5))+(O374*(O385/182.5))+(O375*(O386/182.5))+(O376*(O387/182.5))</f>
        <v>0</v>
      </c>
      <c r="P389" s="1404">
        <f>+(P367*1)+(N370*((182.5+N381)/365))+(N371*((182.5+N382)/365))+(N372*((182.5+N383)/365))+(N373*((182.5+N384)/365))+(N374*((182.5+N385)/365))+(N375*((182.5+N386)/365))+(N376*((182.5+N387)/365))+(O370*(O381/365))+(O371*(O382/365))+(O372*(O383/365))+(O373*(O384/365))+(O374*(O385/365))+(O375*(O386/365))+(O376*(O387/365))</f>
        <v>0</v>
      </c>
      <c r="Q389" s="1404">
        <f>+(Q367*1)+(Q370*(Q381/182.5))+(Q371*(Q382/182.5))+(Q372*(Q383/182.5))+(Q373*(Q384/182.5))+(Q374*(Q385/182.5))+(Q375*(Q386/182.5))+(Q376*(Q387/182.5))</f>
        <v>0</v>
      </c>
      <c r="R389" s="1404">
        <f>+(R367*1)+(R370*(R381/182.5))+(R371*(R382/182.5))+(R372*(R383/182.5))+(R373*(R384/182.5))+(R374*(R385/182.5))+(R375*(R386/182.5))+(R376*(R387/182.5))</f>
        <v>0</v>
      </c>
      <c r="S389" s="1404">
        <f>+(S367*1)+(Q370*((182.5+Q381)/365))+(Q371*((182.5+Q382)/365))+(Q372*((182.5+Q383)/365))+(Q373*((182.5+Q384)/365))+(Q374*((182.5+Q385)/365))+(Q375*((182.5+Q386)/365))+(Q376*((182.5+Q387)/365))+(R370*(R381/365))+(R371*(R382/365))+(R372*(R383/365))+(R373*(R384/365))+(R374*(R385/365))+(R375*(R386/365))+(R376*(R387/365))</f>
        <v>0</v>
      </c>
      <c r="T389" s="1404">
        <f>+(T367*1)+(T370*(T381/182.5))+(T371*(T382/182.5))+(T372*(T383/182.5))+(T373*(T384/182.5))+(T374*(T385/182.5))+(T375*(T386/182.5))+(T376*(T387/182.5))</f>
        <v>0</v>
      </c>
      <c r="U389" s="1404">
        <f>+(U367*1)+(U370*(U381/182.5))+(U371*(U382/182.5))+(U372*(U383/182.5))+(U373*(U384/182.5))+(U374*(U385/182.5))+(U375*(U386/182.5))+(U376*(U387/182.5))</f>
        <v>0</v>
      </c>
      <c r="V389" s="1404">
        <f>+(V367*1)+(T370*((182.5+T381)/365))+(T371*((182.5+T382)/365))+(T372*((182.5+T383)/365))+(T373*((182.5+T384)/365))+(T374*((182.5+T385)/365))+(T375*((182.5+T386)/365))+(T376*((182.5+T387)/365))+(U370*(U381/365))+(U371*(U382/365))+(U372*(U383/365))+(U373*(U384/365))+(U374*(U385/365))+(U375*(U386/365))+(U376*(U387/365))</f>
        <v>0</v>
      </c>
      <c r="W389" s="1404">
        <f>+(W367*1)+(W370*(W381/182.5))+(W371*(W382/182.5))+(W372*(W383/182.5))+(W373*(W384/182.5))+(W374*(W385/182.5))+(W375*(W386/182.5))+(W376*(W387/182.5))</f>
        <v>0</v>
      </c>
      <c r="X389" s="1404">
        <f>+(X367*1)+(X370*(X381/182.5))+(X371*(X382/182.5))+(X372*(X383/182.5))+(X373*(X384/182.5))+(X374*(X385/182.5))+(X375*(X386/182.5))+(X376*(X387/182.5))</f>
        <v>0</v>
      </c>
      <c r="Y389" s="1404">
        <f>+(Y367*1)+(W370*((182.5+W381)/365))+(W371*((182.5+W382)/365))+(W372*((182.5+W383)/365))+(W373*((182.5+W384)/365))+(W374*((182.5+W385)/365))+(W375*((182.5+W386)/365))+(W376*((182.5+W387)/365))+(X370*(X381/365))+(X371*(X382/365))+(X372*(X383/365))+(X373*(X384/365))+(X374*(X385/365))+(X375*(X386/365))+(X376*(X387/365))</f>
        <v>0</v>
      </c>
      <c r="Z389" s="1404">
        <f>+(Z367*1)+(Z370*(Z381/182.5))+(Z371*(Z382/182.5))+(Z372*(Z383/182.5))+(Z373*(Z384/182.5))+(Z374*(Z385/182.5))+(Z375*(Z386/182.5))+(Z376*(Z387/182.5))</f>
        <v>0</v>
      </c>
      <c r="AA389" s="1404">
        <f>+(AA367*1)+(AA370*(AA381/182.5))+(AA371*(AA382/182.5))+(AA372*(AA383/182.5))+(AA373*(AA384/182.5))+(AA374*(AA385/182.5))+(AA375*(AA386/182.5))+(AA376*(AA387/182.5))</f>
        <v>0</v>
      </c>
      <c r="AB389" s="1404">
        <f>+(AB367*1)+(Z370*((182.5+Z381)/365))+(Z371*((182.5+Z382)/365))+(Z372*((182.5+Z383)/365))+(Z373*((182.5+Z384)/365))+(Z374*((182.5+Z385)/365))+(Z375*((182.5+Z386)/365))+(Z376*((182.5+Z387)/365))+(AA370*(AA381/365))+(AA371*(AA382/365))+(AA372*(AA383/365))+(AA373*(AA384/365))+(AA374*(AA385/365))+(AA375*(AA386/365))+(AA376*(AA387/365))</f>
        <v>0</v>
      </c>
      <c r="AC389" s="1404">
        <f>+(AC367*1)+(AC370*(AC381/182.5))+(AC371*(AC382/182.5))+(AC372*(AC383/182.5))+(AC373*(AC384/182.5))+(AC374*(AC385/182.5))+(AC375*(AC386/182.5))+(AC376*(AC387/182.5))</f>
        <v>0</v>
      </c>
      <c r="AD389" s="1404">
        <f>+(AD367*1)+(AD370*(AD381/182.5))+(AD371*(AD382/182.5))+(AD372*(AD383/182.5))+(AD373*(AD384/182.5))+(AD374*(AD385/182.5))+(AD375*(AD386/182.5))+(AD376*(AD387/182.5))</f>
        <v>0</v>
      </c>
      <c r="AE389" s="1404">
        <f>+(AE367*1)+(AC370*((182.5+AC381)/365))+(AC371*((182.5+AC382)/365))+(AC372*((182.5+AC383)/365))+(AC373*((182.5+AC384)/365))+(AC374*((182.5+AC385)/365))+(AC375*((182.5+AC386)/365))+(AC376*((182.5+AC387)/365))+(AD370*(AD381/365))+(AD371*(AD382/365))+(AD372*(AD383/365))+(AD373*(AD384/365))+(AD374*(AD385/365))+(AD375*(AD386/365))+(AD376*(AD387/365))</f>
        <v>0</v>
      </c>
      <c r="AF389" s="1404">
        <f>+(AF367*1)+(AF370*(AF381/182.5))+(AF371*(AF382/182.5))+(AF372*(AF383/182.5))+(AF373*(AF384/182.5))+(AF374*(AF385/182.5))+(AF375*(AF386/182.5))+(AF376*(AF387/182.5))</f>
        <v>0</v>
      </c>
      <c r="AG389" s="1404">
        <f>+(AG367*1)+(AG370*(AG381/182.5))+(AG371*(AG382/182.5))+(AG372*(AG383/182.5))+(AG373*(AG384/182.5))+(AG374*(AG385/182.5))+(AG375*(AG386/182.5))+(AG376*(AG387/182.5))</f>
        <v>0</v>
      </c>
      <c r="AH389" s="1404">
        <f>+(AH367*1)+(AF370*((182.5+AF381)/365))+(AF371*((182.5+AF382)/365))+(AF372*((182.5+AF383)/365))+(AF373*((182.5+AF384)/365))+(AF374*((182.5+AF385)/365))+(AF375*((182.5+AF386)/365))+(AF376*((182.5+AF387)/365))+(AG370*(AG381/365))+(AG371*(AG382/365))+(AG372*(AG383/365))+(AG373*(AG384/365))+(AG374*(AG385/365))+(AG375*(AG386/365))+(AG376*(AG387/365))</f>
        <v>0</v>
      </c>
      <c r="AI389" s="1404">
        <f>+(AI367*1)+(AI370*(AI381/182.5))+(AI371*(AI382/182.5))+(AI372*(AI383/182.5))+(AI373*(AI384/182.5))+(AI374*(AI385/182.5))+(AI375*(AI386/182.5))+(AI376*(AI387/182.5))</f>
        <v>0</v>
      </c>
      <c r="AJ389" s="1404">
        <f>+(AJ367*1)+(AJ370*(AJ381/182.5))+(AJ371*(AJ382/182.5))+(AJ372*(AJ383/182.5))+(AJ373*(AJ384/182.5))+(AJ374*(AJ385/182.5))+(AJ375*(AJ386/182.5))+(AJ376*(AJ387/182.5))</f>
        <v>0</v>
      </c>
      <c r="AK389" s="1404">
        <f>+(AK367*1)+(AI370*((182.5+AI381)/365))+(AI371*((182.5+AI382)/365))+(AI372*((182.5+AI383)/365))+(AI373*((182.5+AI384)/365))+(AI374*((182.5+AI385)/365))+(AI375*((182.5+AI386)/365))+(AI376*((182.5+AI387)/365))+(AJ370*(AJ381/365))+(AJ371*(AJ382/365))+(AJ372*(AJ383/365))+(AJ373*(AJ384/365))+(AJ374*(AJ385/365))+(AJ375*(AJ386/365))+(AJ376*(AJ387/365))</f>
        <v>0</v>
      </c>
      <c r="AL389" s="1404">
        <f>+(AL367*1)+(AL370*(AL381/182.5))+(AL371*(AL382/182.5))+(AL372*(AL383/182.5))+(AL373*(AL384/182.5))+(AL374*(AL385/182.5))+(AL375*(AL386/182.5))+(AL376*(AL387/182.5))</f>
        <v>0</v>
      </c>
      <c r="AM389" s="1404">
        <f>+(AM367*1)+(AM370*(AM381/182.5))+(AM371*(AM382/182.5))+(AM372*(AM383/182.5))+(AM373*(AM384/182.5))+(AM374*(AM385/182.5))+(AM375*(AM386/182.5))+(AM376*(AM387/182.5))</f>
        <v>0</v>
      </c>
      <c r="AN389" s="1404">
        <f>+((AN367*1))+(((AL370*((182.5+AL381)/365))+(AL371*((182.5+AL382)/365))+(AL372*((182.5+AL383)/365))+(AL373*((182.5+AL384)/365))+(AL374*((182.5+AL385)/365))+(AL375*((182.5+AL386)/365))+(AL376*((182.5+AL387)/365))))+(AM370*(AM381/365))+(AM371*(AM382/365))+(AM372*(AM383/365))+(AM373*(AM384/365))+(AM374*(AM385/365))+(AM375*(AM386/365))+(AM376*(AM387/365))</f>
        <v>0</v>
      </c>
      <c r="AO389" s="1404">
        <f>+(AO367*1)+(AO370*(AO381/182.5))+(AO371*(AO382/182.5))+(AO372*(AO383/182.5))+(AO373*(AO384/182.5))+(AO374*(AO385/182.5))+(AO375*(AO386/182.5))+(AO376*(AO387/182.5))</f>
        <v>0</v>
      </c>
      <c r="AP389" s="1404">
        <f>+(AP367*1)+(AP370*(AP381/182.5))+(AP371*(AP382/182.5))+(AP372*(AP383/182.5))+(AP373*(AP384/182.5))+(AP374*(AP385/182.5))+(AP375*(AP386/182.5))+(AP376*(AP387/182.5))</f>
        <v>0</v>
      </c>
      <c r="AQ389" s="1404">
        <f>+(AQ367*1)+(AO370*((182.5+AO381)/365))+(AO371*((182.5+AO382)/365))+(AO372*((182.5+AO383)/365))+(AO373*((182.5+AO384)/365))+(AO374*((182.5+AO385)/365))+(AO375*((182.5+AO386)/365))+(AO376*((182.5+AO387)/365))+(AP370*(AP381/365))+(AP371*(AP382/365))+(AP372*(AP383/365))+(AP373*(AP384/365))+(AP374*(AP385/365))+(AP375*(AP386/365))+(AP376*(AP387/365))</f>
        <v>0</v>
      </c>
      <c r="AR389" s="1404">
        <f>+(AR367*1)+(AR370*(AR381/182.5))+(AR371*(AR382/182.5))+(AR372*(AR383/182.5))+(AR373*(AR384/182.5))+(AR374*(AR385/182.5))+(AR375*(AR386/182.5))+(AR376*(AR387/182.5))</f>
        <v>0</v>
      </c>
      <c r="AS389" s="1404">
        <f>+(AS367*1)+(AS370*(AS381/182.5))+(AS371*(AS382/182.5))+(AS372*(AS383/182.5))+(AS373*(AS384/182.5))+(AS374*(AS385/182.5))+(AS375*(AS386/182.5))+(AS376*(AS387/182.5))</f>
        <v>0</v>
      </c>
      <c r="AT389" s="1404">
        <f>+(AT367*1)+(AR370*((182.5+AR381)/365))+(AR371*((182.5+AR382)/365))+(AR372*((182.5+AR383)/365))+(AR373*((182.5+AR384)/365))+(AR374*((182.5+AR385)/365))+(AR375*((182.5+AR386)/365))+(AR376*((182.5+AR387)/365))+(AS370*(AS381/365))+(AS371*(AS382/365))+(AS372*(AS383/365))+(AS373*(AS384/365))+(AS374*(AS385/365))+(AS375*(AS386/365))+(AS376*(AS387/365))</f>
        <v>0</v>
      </c>
      <c r="AU389" s="1404">
        <f>(+(AU367*1)+(AU370*(AU381/182.5))+(AU371*(AU382/182.5))+(AU372*(AU383/182.5))+(AU373*(AU384/182.5))+(AU374*(AU385/182.5))+(AU375*(AU386/182.5))+(AU376*(AU387/182.5)))*3</f>
        <v>393.78300000000002</v>
      </c>
      <c r="AV389" s="1404">
        <f>+(AV367*1)+(AV370*(AV381/182.5))+(AV371*(AV382/182.5))+(AV372*(AV383/182.5))+(AV373*(AV384/182.5))+(AV374*(AV385/182.5))+(AV375*(AV386/182.5))+(AV376*(AV387/182.5))</f>
        <v>393.78300000000002</v>
      </c>
      <c r="AW389" s="1404">
        <f>+(AW367*1)+(AU370*((182.5+AU381)/365))+(AU371*((182.5+AU382)/365))+(AU372*((182.5+AU383)/365))+(AU373*((182.5+AU384)/365))+(AU374*((182.5+AU385)/365))+(AU375*((182.5+AU386)/365))+(AU376*((182.5+AU387)/365))+(AV370*(AV381/365))+(AV371*(AV382/365))+(AV372*(AV383/365))+(AV373*(AV384/365))+(AV374*(AV385/365))+(AV375*(AV386/365))+(AV376*(AV387/365))</f>
        <v>393.78300000000002</v>
      </c>
      <c r="AX389" s="1404">
        <f>+(AX367*1)+(AX370*(AX381/182.5))+(AX371*(AX382/182.5))+(AX372*(AX383/182.5))+(AX373*(AX384/182.5))+(AX374*(AX385/182.5))+(AX375*(AX386/182.5))+(AX376*(AX387/182.5))</f>
        <v>394.959</v>
      </c>
      <c r="AY389" s="1404">
        <f>+(AY367*1)+(AY370*(AY381/182.5))+(AY371*(AY382/182.5))+(AY372*(AY383/182.5))+(AY373*(AY384/182.5))+(AY374*(AY385/182.5))+(AY375*(AY386/182.5))+(AY376*(AY387/182.5))</f>
        <v>395.89280200000002</v>
      </c>
      <c r="AZ389" s="1404">
        <f>+(AZ367*1)+(AX370*((182.5+AX381)/365))+(AX371*((182.5+AX382)/365))+(AX372*((182.5+AX383)/365))+(AX373*((182.5+AX384)/365))+(AX374*((182.5+AX385)/365))+(AX375*((182.5+AX386)/365))+(AX376*((182.5+AX387)/365))+(AY370*(AY381/365))+(AY371*(AY382/365))+(AY372*(AY383/365))+(AY373*(AY384/365))+(AY374*(AY385/365))+(AY375*(AY386/365))+(AY376*(AY387/365))</f>
        <v>395.42590100000001</v>
      </c>
      <c r="BA389" s="1404">
        <f>+(BA367*1)+(BA370*(BA381/182.5))+(BA371*(BA382/182.5))+(BA372*(BA383/182.5))+(BA373*(BA384/182.5))+(BA374*(BA385/182.5))+(BA375*(BA386/182.5))+(BA376*(BA387/182.5))</f>
        <v>448.16180200000002</v>
      </c>
      <c r="BB389" s="1404">
        <f>+(BB367*1)+(BB370*(BB381/182.5))+(BB371*(BB382/182.5))+(BB372*(BB383/182.5))+(BB373*(BB384/182.5))+(BB374*(BB385/182.5))+(BB375*(BB386/182.5))+(BB376*(BB387/182.5))</f>
        <v>449.86222600000002</v>
      </c>
      <c r="BC389" s="1404">
        <f>+(BC367*1)+(BA370*((182.5+BA381)/365))+(BA371*((182.5+BA382)/365))+(BA372*((182.5+BA383)/365))+(BA373*((182.5+BA384)/365))+(BA374*((182.5+BA385)/365))+(BA375*((182.5+BA386)/365))+(BA376*((182.5+BA387)/365))+(BB370*(BB381/365))+(BB371*(BB382/365))+(BB372*(BB383/365))+(BB373*(BB384/365))+(BB374*(BB385/365))+(BB375*(BB386/365))+(BB376*(BB387/365))</f>
        <v>449.01201400000002</v>
      </c>
      <c r="BD389" s="1404">
        <f>+(BD367*1)+(BD370*(BD381/182.5))+(BD371*(BD382/182.5))+(BD372*(BD383/182.5))+(BD373*(BD384/182.5))+(BD374*(BD385/182.5))+(BD375*(BD386/182.5))+(BD376*(BD387/182.5))</f>
        <v>474.69174769863014</v>
      </c>
      <c r="BE389" s="1404">
        <f>+(BE367*1)+(BE370*(BE381/182.5))+(BE371*(BE382/182.5))+(BE372*(BE383/182.5))+(BE373*(BE384/182.5))+(BE374*(BE385/182.5))+(BE375*(BE386/182.5))+(BE376*(BE387/182.5))</f>
        <v>475.03492500000004</v>
      </c>
      <c r="BF389" s="1404">
        <f>+(BF367*1)+(BD370*((182.5+BD381)/365))+(BD371*((182.5+BD382)/365))+(BD372*((182.5+BD383)/365))+(BD373*((182.5+BD384)/365))+(BD374*((182.5+BD385)/365))+(BD375*((182.5+BD386)/365))+(BD376*((182.5+BD387)/365))+(BE370*(BE381/365))+(BE371*(BE382/365))+(BE372*(BE383/365))+(BE373*(BE384/365))+(BE374*(BE385/365))+(BE375*(BE386/365))+(BE376*(BE387/365))</f>
        <v>474.86333634931503</v>
      </c>
      <c r="BG389" s="1404">
        <f>+(BG367*1)+(BG370*(BG381/182.5))+(BG371*(BG382/182.5))+(BG372*(BG383/182.5))+(BG373*(BG384/182.5))+(BG374*(BG385/182.5))+(BG375*(BG386/182.5))+(BG376*(BG387/182.5))</f>
        <v>475.03492500000004</v>
      </c>
      <c r="BH389" s="1404">
        <f>+(BH367*1)+(BH370*(BH381/182.5))+(BH371*(BH382/182.5))+(BH372*(BH383/182.5))+(BH373*(BH384/182.5))+(BH374*(BH385/182.5))+(BH375*(BH386/182.5))+(BH376*(BH387/182.5))</f>
        <v>475.03492500000004</v>
      </c>
      <c r="BI389" s="1404">
        <f>+(BI367*1)+(BG370*((182.5+BG381)/365))+(BG371*((182.5+BG382)/365))+(BG372*((182.5+BG383)/365))+(BG373*((182.5+BG384)/365))+(BG374*((182.5+BG385)/365))+(BG375*((182.5+BG386)/365))+(BG376*((182.5+BG387)/365))+(BH370*(BH381/365))+(BH371*(BH382/365))+(BH372*(BH383/365))+(BH373*(BH384/365))+(BH374*(BH385/365))+(BH375*(BH386/365))+(BH376*(BH387/365))</f>
        <v>475.03492500000004</v>
      </c>
      <c r="BJ389" s="1404">
        <f>+(BJ367*1)+(BJ370*(BJ381/182.5))+(BJ371*(BJ382/182.5))+(BJ372*(BJ383/182.5))+(BJ373*(BJ384/182.5))+(BJ374*(BJ385/182.5))+(BJ375*(BJ386/182.5))+(BJ376*(BJ387/182.5))</f>
        <v>486.02520651780827</v>
      </c>
      <c r="BK389" s="1404">
        <f>+(BK367*1)+(BK370*(BK381/182.5))+(BK371*(BK382/182.5))+(BK372*(BK383/182.5))+(BK373*(BK384/182.5))+(BK374*(BK385/182.5))+(BK375*(BK386/182.5))+(BK376*(BK387/182.5))</f>
        <v>584.31260377808223</v>
      </c>
      <c r="BL389" s="1404">
        <f>+(BL367*1)+(BJ370*((182.5+BJ381)/365))+(BJ371*((182.5+BJ382)/365))+(BJ372*((182.5+BJ383)/365))+(BJ373*((182.5+BJ384)/365))+(BJ374*((182.5+BJ385)/365))+(BJ375*((182.5+BJ386)/365))+(BJ376*((182.5+BJ387)/365))+(BK370*(BK381/365))+(BK371*(BK382/365))+(BK372*(BK383/365))+(BK373*(BK384/365))+(BK374*(BK385/365))+(BK375*(BK386/365))+(BK376*(BK387/365))</f>
        <v>535.16890514794534</v>
      </c>
      <c r="BM389" s="1404">
        <f>+(BM367*1)+(BM370*(BM381/182.5))+(BM371*(BM382/182.5))+(BM372*(BM383/182.5))+(BM373*(BM384/182.5))+(BM374*(BM385/182.5))+(BM375*(BM386/182.5))+(BM376*(BM387/182.5))</f>
        <v>584.6043846</v>
      </c>
      <c r="BN389" s="1404">
        <f>+(BN367*1)+(BN370*(BN381/182.5))+(BN371*(BN382/182.5))+(BN372*(BN383/182.5))+(BN373*(BN384/182.5))+(BN374*(BN385/182.5))+(BN375*(BN386/182.5))+(BN376*(BN387/182.5))</f>
        <v>574.17101505205471</v>
      </c>
      <c r="BO389" s="1404">
        <f>+(BO367*1)+(BM370*((182.5+BM381)/365))+(BM371*((182.5+BM382)/365))+(BM372*((182.5+BM383)/365))+(BM373*((182.5+BM384)/365))+(BM374*((182.5+BM385)/365))+(BM375*((182.5+BM386)/365))+(BM376*((182.5+BM387)/365))+(BN370*(BN381/365))+(BN371*(BN382/365))+(BN372*(BN383/365))+(BN373*(BN384/365))+(BN374*(BN385/365))+(BN375*(BN386/365))+(BN376*(BN387/365))</f>
        <v>579.38769982602741</v>
      </c>
      <c r="BP389" s="1404">
        <f>+(BP367*1)+(BP370*(BP381/182.5))+(BP371*(BP382/182.5))+(BP372*(BP383/182.5))+(BP373*(BP384/182.5))+(BP374*(BP385/182.5))+(BP375*(BP386/182.5))+(BP376*(BP387/182.5))</f>
        <v>547.12991916164378</v>
      </c>
      <c r="BQ389" s="1404">
        <f>+(BQ367*1)+(BQ370*(BQ381/182.5))+(BQ371*(BQ382/182.5))+(BQ372*(BQ383/182.5))+(BQ373*(BQ384/182.5))+(BQ374*(BQ385/182.5))+(BQ375*(BQ386/182.5))+(BQ376*(BQ387/182.5))</f>
        <v>534.96553559999995</v>
      </c>
      <c r="BR389" s="1404">
        <f>+(BR367*1)+(BP370*((182.5+BP381)/365))+(BP371*((182.5+BP382)/365))+(BP372*((182.5+BP383)/365))+(BP373*((182.5+BP384)/365))+(BP374*((182.5+BP385)/365))+(BP375*((182.5+BP386)/365))+(BP376*((182.5+BP387)/365))+(BQ370*(BQ381/365))+(BQ371*(BQ382/365))+(BQ372*(BQ383/365))+(BQ373*(BQ384/365))+(BQ374*(BQ385/365))+(BQ375*(BQ386/365))+(BQ376*(BQ387/365))</f>
        <v>541.04772738082193</v>
      </c>
      <c r="BS389" s="1404">
        <f>+(BS367*1)+(BS370*(BS381/182.5))+(BS371*(BS382/182.5))+(BS372*(BS383/182.5))+(BS373*(BS384/182.5))+(BS374*(BS385/182.5))+(BS375*(BS386/182.5))+(BS376*(BS387/182.5))</f>
        <v>542.65459259999989</v>
      </c>
      <c r="BT389" s="1404">
        <f>+(BT367*1)+(BT370*(BT381/182.5))+(BT371*(BT382/182.5))+(BT372*(BT383/182.5))+(BT373*(BT384/182.5))+(BT374*(BT385/182.5))+(BT375*(BT386/182.5))+(BT376*(BT387/182.5))</f>
        <v>542.65459259999989</v>
      </c>
      <c r="BU389" s="1404">
        <f>+(BU367*1)+(BS370*((182.5+BS381)/365))+(BS371*((182.5+BS382)/365))+(BS372*((182.5+BS383)/365))+(BS373*((182.5+BS384)/365))+(BS374*((182.5+BS385)/365))+(BS375*((182.5+BS386)/365))+(BS376*((182.5+BS387)/365))+(BT370*(BT381/365))+(BT371*(BT382/365))+(BT372*(BT383/365))+(BT373*(BT384/365))+(BT374*(BT385/365))+(BT375*(BT386/365))+(BT376*(BT387/365))</f>
        <v>547.70793900000001</v>
      </c>
      <c r="BV389" s="1405">
        <v>549.84472000000005</v>
      </c>
      <c r="BW389" s="1404">
        <f>+(BW367*1)+(BW370*(BW381/182.5))+(BW371*(BW382/182.5))+(BW372*(BW383/182.5))+(BW373*(BW384/182.5))+(BW374*(BW385/182.5))+(BW375*(BW386/182.5))+(BW376*(BW387/182.5))</f>
        <v>547.70793900000001</v>
      </c>
      <c r="BX389" s="1405">
        <v>550.10591399999998</v>
      </c>
      <c r="BY389" s="1404">
        <f>+(BY367*1)+(BY370*(BY381/182.5))+(BY371*(BY382/182.5))+(BY372*(BY383/182.5))+(BY373*(BY384/182.5))+(BY374*(BY385/182.5))+(BY375*(BY386/182.5))+(BY376*(BY387/182.5))</f>
        <v>589.77498556324247</v>
      </c>
      <c r="BZ389" s="1404">
        <f>+(BZ367*1)+(BZ370*(BZ381/182.5))+(BZ371*(BZ382/182.5))+(BZ372*(BZ383/182.5))+(BZ373*(BZ384/182.5))+(BZ374*(BZ385/182.5))+(BZ375*(BZ386/182.5))+(BZ376*(BZ387/182.5))</f>
        <v>601.56111699999997</v>
      </c>
      <c r="CA389" s="1404">
        <f>+(CA367*1)+(BY370*((182.5+BY381)/365))+(BY371*((182.5+BY382)/365))+(BY372*((182.5+BY383)/365))+(BY373*((182.5+BY384)/365))+(BY374*((182.5+BY385)/365))+(BY375*((182.5+BY386)/365))+(BY376*((182.5+BY387)/365))+(BZ370*(BZ381/365))+(BZ371*(BZ382/365))+(BZ372*(BZ383/365))+(BZ373*(BZ384/365))+(BZ374*(BZ385/365))+(BZ375*(BZ386/365))+(BZ376*(BZ387/365))</f>
        <v>595.66805128162127</v>
      </c>
      <c r="CB389" s="1404">
        <f>+(CB367*1)+(CB370*(CB381/182.5))+(CB371*(CB382/182.5))+(CB372*(CB383/182.5))+(CB373*(CB384/182.5))+(CB374*(CB385/182.5))+(CB375*(CB386/182.5))+(CB376*(CB387/182.5))</f>
        <v>580.60468557988486</v>
      </c>
      <c r="CC389" s="1404">
        <f>+(CC367*1)+(CC370*(CC381/182.5))+(CC371*(CC382/182.5))+(CC372*(CC383/182.5))+(CC373*(CC384/182.5))+(CC374*(CC385/182.5))+(CC375*(CC386/182.5))+(CC376*(CC387/182.5))</f>
        <v>553.15122269863014</v>
      </c>
      <c r="CD389" s="1404">
        <f>+(CD367*1)+(CB370*((182.5+CB381)/365))+(CB371*((182.5+CB382)/365))+(CB372*((182.5+CB383)/365))+(CB373*((182.5+CB384)/365))+(CB374*((182.5+CB385)/365))+(CB375*((182.5+CB386)/365))+(CB376*((182.5+CB387)/365))+(CC370*(CC381/365))+(CC371*(CC382/365))+(CC372*(CC383/365))+(CC373*(CC384/365))+(CC374*(CC385/365))+(CC375*(CC386/365))+(CC376*(CC387/365))</f>
        <v>566.87795413925744</v>
      </c>
      <c r="CE389" s="1404">
        <f>+(CE367*1)+(CE370*(CE381/182.5))+(CE371*(CE382/182.5))+(CE372*(CE383/182.5))+(CE373*(CE384/182.5))+(CE374*(CE385/182.5))+(CE375*(CE386/182.5))+(CE376*(CE387/182.5))</f>
        <v>546.96724400000005</v>
      </c>
      <c r="CF389" s="1404">
        <f>CG389</f>
        <v>540.53018799999995</v>
      </c>
      <c r="CG389" s="1405">
        <v>540.53018799999995</v>
      </c>
      <c r="CH389" s="1406">
        <f>+(CH367*1)+(CH370*(CH381/182.5))+(CH371*(CH382/182.5))+(CH372*(CH383/182.5))+(CH373*(CH384/182.5))+(CH374*(CH385/182.5))+(CH375*(CH386/182.5))+(CH376*(CH387/182.5))</f>
        <v>523.99126406684934</v>
      </c>
      <c r="CI389" s="1404">
        <f>+(CI367*1)+(CI370*(CI381/182.5))+(CI371*(CI382/182.5))+(CI372*(CI383/182.5))+(CI373*(CI384/182.5))+(CI374*(CI385/182.5))+(CI375*(CI386/182.5))+(CI376*(CI387/182.5))</f>
        <v>514.2537581526467</v>
      </c>
      <c r="CJ389" s="1404">
        <f>+(CJ367*1)+(CH370*((182.5+CH381)/365))+(CH371*((182.5+CH382)/365))+(CH372*((182.5+CH383)/365))+(CH373*((182.5+CH384)/365))+(CH374*((182.5+CH385)/365))+(CH375*((182.5+CH386)/365))+(CH376*((182.5+CH387)/365))+(CI370*(CI381/365))+(CI371*(CI382/365))+(CI372*(CI383/365))+(CI373*(CI384/365))+(CI374*(CI385/365))+(CI375*(CI386/365))+(CI376*(CI387/365))</f>
        <v>519.07827310974801</v>
      </c>
      <c r="CK389" s="1404">
        <f>+(CK367*1)+(CK370*(CK381/182.5))+(CK371*(CK382/182.5))+(CK372*(CK383/182.5))+(CK373*(CK384/182.5))+(CK374*(CK385/182.5))+(CK375*(CK386/182.5))+(CK376*(CK387/182.5))</f>
        <v>502.80739000000005</v>
      </c>
      <c r="CL389" s="1404">
        <f>+(CL367*1)+(CL370*(CL381/182.5))+(CL371*(CL382/182.5))+(CL372*(CL383/182.5))+(CL373*(CL384/182.5))+(CL374*(CL385/182.5))+(CL375*(CL386/182.5))+(CL376*(CL387/182.5))</f>
        <v>485.81569099999996</v>
      </c>
      <c r="CM389" s="1405">
        <v>498.60657200000003</v>
      </c>
      <c r="CN389" s="1405">
        <v>485.354422</v>
      </c>
      <c r="CO389" s="1404">
        <f>CN389</f>
        <v>485.354422</v>
      </c>
      <c r="CP389" s="1405">
        <v>483.82294000000002</v>
      </c>
      <c r="CQ389" s="1405">
        <v>474.20468499999998</v>
      </c>
      <c r="CR389" s="1404">
        <f>+(CR367*1)+(CR370*(CR381/182.5))+(CR371*(CR382/182.5))+(CR372*(CR383/182.5))+(CR373*(CR384/182.5))+(CR374*(CR385/182.5))+(CR375*(CR386/182.5))+(CR376*(CR387/182.5))</f>
        <v>470.11443898910471</v>
      </c>
      <c r="CS389" s="1405">
        <v>471.81723899999997</v>
      </c>
      <c r="CT389" s="1405">
        <v>463.68349599999999</v>
      </c>
      <c r="CU389" s="1404">
        <f>+(CU367*1)+(CU370*(CU381/182.5))+(CU371*(CU382/182.5))+(CU372*(CU383/182.5))+(CU373*(CU384/182.5))+(CU374*(CU385/182.5))+(CU375*(CU386/182.5))+(CU376*(CU387/182.5))</f>
        <v>458.79925928767125</v>
      </c>
      <c r="CV389" s="1405">
        <v>461.999573</v>
      </c>
      <c r="CW389" s="1405">
        <v>455.73004100000003</v>
      </c>
      <c r="CX389" s="1404">
        <f>+(CX367*1)+(CX370*(CX381/182.5))+(CX371*(CX382/182.5))+(CX372*(CX383/182.5))+(CX373*(CX384/182.5))+(CX374*(CX385/182.5))+(CX375*(CX386/182.5))+(CX376*(CX387/182.5))</f>
        <v>454.8867835342466</v>
      </c>
      <c r="CY389" s="1405">
        <v>455.33119599999998</v>
      </c>
      <c r="CZ389" s="1405">
        <v>452.31207799999999</v>
      </c>
      <c r="DA389" s="1404">
        <f>+(DA367*1)+(DA370*(DA381/182.5))+(DA371*(DA382/182.5))+(DA372*(DA383/182.5))+(DA373*(DA384/182.5))+(DA374*(DA385/182.5))+(DA375*(DA386/182.5))+(DA376*(DA387/182.5))</f>
        <v>453.18529900000004</v>
      </c>
      <c r="DB389" s="1405">
        <v>452.35322100000002</v>
      </c>
      <c r="DC389" s="1404">
        <f>+(DC367*1)+(DC370*(DC381/182.5))+(DC371*(DC382/182.5))+(DC372*(DC383/182.5))+(DC373*(DC384/182.5))+(DC374*(DC385/182.5))+(DC375*(DC386/182.5))+(DC376*(DC387/182.5))</f>
        <v>452.86732699999999</v>
      </c>
      <c r="DD389" s="1404">
        <f>+(DD367*1)+(DD370*(DD381/182.5))+(DD371*(DD382/182.5))+(DD372*(DD383/182.5))+(DD373*(DD384/182.5))+(DD374*(DD385/182.5))+(DD375*(DD386/182.5))+(DD376*(DD387/182.5))</f>
        <v>452.97164500000014</v>
      </c>
      <c r="DE389" s="1569">
        <f>+(DE367*1)+(DC370*((182.5+DC381)/365))+(DC371*((182.5+DC382)/365))+(DC372*((182.5+DC383)/365))+(DC373*((182.5+DC384)/365))+(DC374*((182.5+DC385)/365))+(DC375*((182.5+DC386)/365))+(DC376*((182.5+DC387)/365))+(DD370*(DD381/365))+(DD371*(DD382/365))+(DD372*(DD383/365))+(DD373*(DD384/365))+(DD374*(DD385/365))+(DD375*(DD386/365))+(DD376*(DD387/365))</f>
        <v>452.91948600000006</v>
      </c>
      <c r="DF389" s="1570">
        <f>+(DF367*1)+(DF370*(DF381/182.5))+(DF371*(DF382/182.5))+(DF372*(DF383/182.5))+(DF373*(DF384/182.5))+(DF374*(DF385/182.5))+(DF375*(DF386/182.5))+(DF376*(DF387/182.5))</f>
        <v>453.75007600000004</v>
      </c>
      <c r="DG389" s="1570">
        <f>+(DG367*1)+(DG370*(DG381/182.5))+(DG371*(DG382/182.5))+(DG372*(DG383/182.5))+(DG373*(DG384/182.5))+(DG374*(DG385/182.5))+(DG375*(DG386/182.5))+(DG376*(DG387/182.5))</f>
        <v>453.86508479235158</v>
      </c>
      <c r="DH389" s="1569">
        <f>+(DH367*1)+(DF370*((182.5+DF381)/365))+(DF371*((182.5+DF382)/365))+(DF372*((182.5+DF383)/365))+(DF373*((182.5+DF384)/365))+(DF374*((182.5+DF385)/365))+(DF375*((182.5+DF386)/365))+(DF376*((182.5+DF387)/365))+(DG370*(DG381/365))+(DG371*(DG382/365))+(DG372*(DG383/365))+(DG373*(DG384/365))+(DG374*(DG385/365))+(DG375*(DG386/365))+(DG376*(DG387/365))</f>
        <v>453.80758039617587</v>
      </c>
      <c r="DI389" s="1570">
        <v>454.79082799999998</v>
      </c>
      <c r="DJ389" s="1570">
        <f>+(DJ367*1)+(DJ370*(DJ381/182.5))+(DJ371*(DJ382/182.5))+(DJ372*(DJ383/182.5))+(DJ373*(DJ384/182.5))+(DJ374*(DJ385/182.5))+(DJ375*(DJ386/182.5))+(DJ376*(DJ387/182.5))</f>
        <v>455.07406660273972</v>
      </c>
      <c r="DK389" s="1569">
        <f>+(DK367*1)+(DI370*((182.5+DI381)/365))+(DI371*((182.5+DI382)/365))+(DI372*((182.5+DI383)/365))+(DI373*((182.5+DI384)/365))+(DI374*((182.5+DI385)/365))+(DI375*((182.5+DI386)/365))+(DI376*((182.5+DI387)/365))+(DJ370*(DJ381/365))+(DJ371*(DJ382/365))+(DJ372*(DJ383/365))+(DJ373*(DJ384/365))+(DJ374*(DJ385/365))+(DJ375*(DJ386/365))+(DJ376*(DJ387/365))</f>
        <v>454.86571304794518</v>
      </c>
      <c r="DL389" s="1570">
        <f>456.751255</f>
        <v>456.75125500000001</v>
      </c>
      <c r="DM389" s="1570">
        <f>+(DM367*1)+(DM370*(DM381/182.5))+(DM371*(DM382/182.5))+(DM372*(DM383/182.5))+(DM373*(DM384/182.5))+(DM374*(DM385/182.5))+(DM375*(DM386/182.5))+(DM376*(DM387/182.5))</f>
        <v>478.74839100000003</v>
      </c>
      <c r="DN389" s="1569">
        <v>468.75485700000002</v>
      </c>
      <c r="DO389" s="1570">
        <f>+(DO367*1)+(DO370*(DO381/182.5))+(DO371*(DO382/182.5))+(DO372*(DO383/182.5))+(DO373*(DO384/182.5))+(DO374*(DO385/182.5))+(DO375*(DO386/182.5))+(DO376*(DO387/182.5))</f>
        <v>482.0382075210959</v>
      </c>
      <c r="DP389" s="1570">
        <f>+(DP367*1)+(DP370*(DP381/182.5))+(DP371*(DP382/182.5))+(DP372*(DP383/182.5))+(DP373*(DP384/182.5))+(DP374*(DP385/182.5))+(DP375*(DP386/182.5))+(DP376*(DP387/182.5))</f>
        <v>482.17314800000003</v>
      </c>
      <c r="DQ389" s="1569">
        <f>DP389</f>
        <v>482.17314800000003</v>
      </c>
      <c r="DR389" s="1570">
        <f>+(DR367*1)+(DR370*(DR381/182.5))+(DR371*(DR382/182.5))+(DR372*(DR383/182.5))+(DR373*(DR384/182.5))+(DR374*(DR385/182.5))+(DR375*(DR386/182.5))+(DR376*(DR387/182.5))</f>
        <v>482.82977699999998</v>
      </c>
      <c r="DS389" s="1570">
        <f>+(DS367*1)+(DS370*(DS381/182.5))+(DS371*(DS382/182.5))+(DS372*(DS383/182.5))+(DS373*(DS384/182.5))+(DS374*(DS385/182.5))+(DS375*(DS386/182.5))+(DS376*(DS387/182.5))</f>
        <v>483.09325699999999</v>
      </c>
      <c r="DT389" s="1571">
        <v>483.010851</v>
      </c>
      <c r="DU389" s="1789">
        <v>483.87983700000001</v>
      </c>
      <c r="DV389" s="1404">
        <f>+(DV367*1)+(DV370*(DV381/182.5))+(DV371*(DV382/182.5))+(DV372*(DV383/182.5))+(DV373*(DV384/182.5))+(DV374*(DV385/182.5))+(DV375*(DV386/182.5))+(DV376*(DV387/182.5))</f>
        <v>483.41220099999998</v>
      </c>
      <c r="DW389" s="1859">
        <v>484.04106000000002</v>
      </c>
      <c r="DX389" s="1404">
        <f>+(DX367*1)+(DX370*(DX381/182.5))+(DX371*(DX382/182.5))+(DX372*(DX383/182.5))+(DX373*(DX384/182.5))+(DX374*(DX385/182.5))+(DX375*(DX386/182.5))+(DX376*(DX387/182.5))</f>
        <v>481.94750761538461</v>
      </c>
      <c r="DY389" s="1404">
        <f>+(DY367*1)+(DY370*(DY381/182.5))+(DY371*(DY382/182.5))+(DY372*(DY383/182.5))+(DY373*(DY384/182.5))+(DY374*(DY385/182.5))+(DY375*(DY386/182.5))+(DY376*(DY387/182.5))</f>
        <v>479.86815177655677</v>
      </c>
      <c r="DZ389" s="1407">
        <f>+(DZ367*1)+(DX370*((182.5+DX381)/365))+(DX371*((182.5+DX382)/365))+(DX372*((182.5+DX383)/365))+(DX373*((182.5+DX384)/365))+(DX374*((182.5+DX385)/365))+(DX375*((182.5+DX386)/365))+(DX376*((182.5+DX387)/365))+(DY370*(DY381/365))+(DY371*(DY382/365))+(DY372*(DY383/365))+(DY373*(DY384/365))+(DY374*(DY385/365))+(DY375*(DY386/365))+(DY376*(DY387/365))</f>
        <v>480.90782969597063</v>
      </c>
      <c r="EA389" s="1404">
        <f>+(EA367*1)+(EA370*(EA381/182.5))+(EA371*(EA382/182.5))+(EA372*(EA383/182.5))+(EA373*(EA384/182.5))+(EA374*(EA385/182.5))+(EA375*(EA386/182.5))+(EA376*(EA387/182.5))</f>
        <v>477.93447882626896</v>
      </c>
      <c r="EB389" s="1404">
        <f>+(EB367*1)+(EB370*(EB381/182.5))+(EB371*(EB382/182.5))+(EB372*(EB383/182.5))+(EB373*(EB384/182.5))+(EB374*(EB385/182.5))+(EB375*(EB386/182.5))+(EB376*(EB387/182.5))</f>
        <v>476.10047944504248</v>
      </c>
      <c r="EC389" s="1407">
        <f>+(EC367*1)+(EA370*((182.5+EA381)/365))+(EA371*((182.5+EA382)/365))+(EA372*((182.5+EA383)/365))+(EA373*((182.5+EA384)/365))+(EA374*((182.5+EA385)/365))+(EA375*((182.5+EA386)/365))+(EA376*((182.5+EA387)/365))+(EB370*(EB381/365))+(EB371*(EB382/365))+(EB372*(EB383/365))+(EB373*(EB384/365))+(EB374*(EB385/365))+(EB375*(EB386/365))+(EB376*(EB387/365))</f>
        <v>477.01747913565566</v>
      </c>
      <c r="ED389" s="1404">
        <f>+(ED367*1)+(ED370*(ED381/182.5))+(ED371*(ED382/182.5))+(ED372*(ED383/182.5))+(ED373*(ED384/182.5))+(ED374*(ED385/182.5))+(ED375*(ED386/182.5))+(ED376*(ED387/182.5))</f>
        <v>474.36140727244583</v>
      </c>
      <c r="EE389" s="1404">
        <f>+(EE367*1)+(EE370*(EE381/182.5))+(EE371*(EE382/182.5))+(EE372*(EE383/182.5))+(EE373*(EE384/182.5))+(EE374*(EE385/182.5))+(EE375*(EE386/182.5))+(EE376*(EE387/182.5))</f>
        <v>472.71274196521091</v>
      </c>
      <c r="EF389" s="1407">
        <f>+(EF367*1)+(ED370*((182.5+ED381)/365))+(ED371*((182.5+ED382)/365))+(ED372*((182.5+ED383)/365))+(ED373*((182.5+ED384)/365))+(ED374*((182.5+ED385)/365))+(ED375*((182.5+ED386)/365))+(ED376*((182.5+ED387)/365))+(EE370*(EE381/365))+(EE371*(EE382/365))+(EE372*(EE383/365))+(EE373*(EE384/365))+(EE374*(EE385/365))+(EE375*(EE386/365))+(EE376*(EE387/365))</f>
        <v>473.5370746188284</v>
      </c>
      <c r="EG389" s="1404">
        <f>+(EG367*1)+(EG370*(EG381/182.5))+(EG371*(EG382/182.5))+(EG372*(EG383/182.5))+(EG373*(EG384/182.5))+(EG374*(EG385/182.5))+(EG375*(EG386/182.5))+(EG376*(EG387/182.5))</f>
        <v>472.8722139652109</v>
      </c>
      <c r="EH389" s="1404">
        <f>+(EH367*1)+(EH370*(EH381/182.5))+(EH371*(EH382/182.5))+(EH372*(EH383/182.5))+(EH373*(EH384/182.5))+(EH374*(EH385/182.5))+(EH375*(EH386/182.5))+(EH376*(EH387/182.5))</f>
        <v>473.0316859652109</v>
      </c>
      <c r="EI389" s="1407">
        <f>+(EI367*1)+(EG370*((182.5+EG381)/365))+(EG371*((182.5+EG382)/365))+(EG372*((182.5+EG383)/365))+(EG373*((182.5+EG384)/365))+(EG374*((182.5+EG385)/365))+(EG375*((182.5+EG386)/365))+(EG376*((182.5+EG387)/365))+(EH370*(EH381/365))+(EH371*(EH382/365))+(EH372*(EH383/365))+(EH373*(EH384/365))+(EH374*(EH385/365))+(EH375*(EH386/365))+(EH376*(EH387/365))</f>
        <v>472.95194996521093</v>
      </c>
      <c r="EJ389" s="1404">
        <f>+(EJ367*1)+(EJ370*(EJ381/182.5))+(EJ371*(EJ382/182.5))+(EJ372*(EJ383/182.5))+(EJ373*(EJ384/182.5))+(EJ374*(EJ385/182.5))+(EJ375*(EJ386/182.5))+(EJ376*(EJ387/182.5))</f>
        <v>473.19115796521089</v>
      </c>
      <c r="EK389" s="1404">
        <f>+(EK367*1)+(EK370*(EK381/182.5))+(EK371*(EK382/182.5))+(EK372*(EK383/182.5))+(EK373*(EK384/182.5))+(EK374*(EK385/182.5))+(EK375*(EK386/182.5))+(EK376*(EK387/182.5))</f>
        <v>473.35062996521089</v>
      </c>
      <c r="EL389" s="1407">
        <f>+(EL367*1)+(EJ370*((182.5+EJ381)/365))+(EJ371*((182.5+EJ382)/365))+(EJ372*((182.5+EJ383)/365))+(EJ373*((182.5+EJ384)/365))+(EJ374*((182.5+EJ385)/365))+(EJ375*((182.5+EJ386)/365))+(EJ376*((182.5+EJ387)/365))+(EK370*(EK381/365))+(EK371*(EK382/365))+(EK372*(EK383/365))+(EK373*(EK384/365))+(EK374*(EK385/365))+(EK375*(EK386/365))+(EK376*(EK387/365))</f>
        <v>473.27089396521092</v>
      </c>
      <c r="EM389" s="1404">
        <f>+(EM367*1)+(EM370*(EM381/182.5))+(EM371*(EM382/182.5))+(EM372*(EM383/182.5))+(EM373*(EM384/182.5))+(EM374*(EM385/182.5))+(EM375*(EM386/182.5))+(EM376*(EM387/182.5))</f>
        <v>473.51010196521088</v>
      </c>
      <c r="EN389" s="1404">
        <f>+(EN367*1)+(EN370*(EN381/182.5))+(EN371*(EN382/182.5))+(EN372*(EN383/182.5))+(EN373*(EN384/182.5))+(EN374*(EN385/182.5))+(EN375*(EN386/182.5))+(EN376*(EN387/182.5))</f>
        <v>473.66957396521087</v>
      </c>
      <c r="EO389" s="1407">
        <f>+(EO367*1)+(EM370*((182.5+EM381)/365))+(EM371*((182.5+EM382)/365))+(EM372*((182.5+EM383)/365))+(EM373*((182.5+EM384)/365))+(EM374*((182.5+EM385)/365))+(EM375*((182.5+EM386)/365))+(EM376*((182.5+EM387)/365))+(EN370*(EN381/365))+(EN371*(EN382/365))+(EN372*(EN383/365))+(EN373*(EN384/365))+(EN374*(EN385/365))+(EN375*(EN386/365))+(EN376*(EN387/365))</f>
        <v>473.5898379652109</v>
      </c>
      <c r="EP389" s="1404">
        <f>+(EP367*1)+(EP370*(EP381/182.5))+(EP371*(EP382/182.5))+(EP372*(EP383/182.5))+(EP373*(EP384/182.5))+(EP374*(EP385/182.5))+(EP375*(EP386/182.5))+(EP376*(EP387/182.5))</f>
        <v>473.82904596521087</v>
      </c>
      <c r="EQ389" s="1404">
        <f>+(EQ367*1)+(EQ370*(EQ381/182.5))+(EQ371*(EQ382/182.5))+(EQ372*(EQ383/182.5))+(EQ373*(EQ384/182.5))+(EQ374*(EQ385/182.5))+(EQ375*(EQ386/182.5))+(EQ376*(EQ387/182.5))</f>
        <v>473.98851796521086</v>
      </c>
      <c r="ER389" s="1407">
        <f>+(ER367*1)+(EP370*((182.5+EP381)/365))+(EP371*((182.5+EP382)/365))+(EP372*((182.5+EP383)/365))+(EP373*((182.5+EP384)/365))+(EP374*((182.5+EP385)/365))+(EP375*((182.5+EP386)/365))+(EP376*((182.5+EP387)/365))+(EQ370*(EQ381/365))+(EQ371*(EQ382/365))+(EQ372*(EQ383/365))+(EQ373*(EQ384/365))+(EQ374*(EQ385/365))+(EQ375*(EQ386/365))+(EQ376*(EQ387/365))</f>
        <v>473.90878196521089</v>
      </c>
      <c r="ES389" s="1404">
        <f>+(ES367*1)+(ES370*(ES381/182.5))+(ES371*(ES382/182.5))+(ES372*(ES383/182.5))+(ES373*(ES384/182.5))+(ES374*(ES385/182.5))+(ES375*(ES386/182.5))+(ES376*(ES387/182.5))</f>
        <v>474.14798996521085</v>
      </c>
      <c r="ET389" s="1404">
        <f>+(ET367*1)+(ET370*(ET381/182.5))+(ET371*(ET382/182.5))+(ET372*(ET383/182.5))+(ET373*(ET384/182.5))+(ET374*(ET385/182.5))+(ET375*(ET386/182.5))+(ET376*(ET387/182.5))</f>
        <v>474.30746196521085</v>
      </c>
      <c r="EU389" s="1407">
        <f>+(EU367*1)+(ES370*((182.5+ES381)/365))+(ES371*((182.5+ES382)/365))+(ES372*((182.5+ES383)/365))+(ES373*((182.5+ES384)/365))+(ES374*((182.5+ES385)/365))+(ES375*((182.5+ES386)/365))+(ES376*((182.5+ES387)/365))+(ET370*(ET381/365))+(ET371*(ET382/365))+(ET372*(ET383/365))+(ET373*(ET384/365))+(ET374*(ET385/365))+(ET375*(ET386/365))+(ET376*(ET387/365))</f>
        <v>474.22772596521088</v>
      </c>
      <c r="EV389" s="1404">
        <f>+(EV367*1)+(EV370*(EV381/182.5))+(EV371*(EV382/182.5))+(EV372*(EV383/182.5))+(EV373*(EV384/182.5))+(EV374*(EV385/182.5))+(EV375*(EV386/182.5))+(EV376*(EV387/182.5))</f>
        <v>474.46693396521084</v>
      </c>
      <c r="EW389" s="1404">
        <f>+(EW367*1)+(EW370*(EW381/182.5))+(EW371*(EW382/182.5))+(EW372*(EW383/182.5))+(EW373*(EW384/182.5))+(EW374*(EW385/182.5))+(EW375*(EW386/182.5))+(EW376*(EW387/182.5))</f>
        <v>474.62640596521084</v>
      </c>
      <c r="EX389" s="1407">
        <f>+(EX367*1)+(EV370*((182.5+EV381)/365))+(EV371*((182.5+EV382)/365))+(EV372*((182.5+EV383)/365))+(EV373*((182.5+EV384)/365))+(EV374*((182.5+EV385)/365))+(EV375*((182.5+EV386)/365))+(EV376*((182.5+EV387)/365))+(EW370*(EW381/365))+(EW371*(EW382/365))+(EW372*(EW383/365))+(EW373*(EW384/365))+(EW374*(EW385/365))+(EW375*(EW386/365))+(EW376*(EW387/365))</f>
        <v>474.54666996521087</v>
      </c>
      <c r="EY389" s="1404">
        <f>+(EY367*1)+(EY370*(EY381/182.5))+(EY371*(EY382/182.5))+(EY372*(EY383/182.5))+(EY373*(EY384/182.5))+(EY374*(EY385/182.5))+(EY375*(EY386/182.5))+(EY376*(EY387/182.5))</f>
        <v>474.78587796521083</v>
      </c>
      <c r="EZ389" s="1404">
        <f>+(EZ367*1)+(EZ370*(EZ381/182.5))+(EZ371*(EZ382/182.5))+(EZ372*(EZ383/182.5))+(EZ373*(EZ384/182.5))+(EZ374*(EZ385/182.5))+(EZ375*(EZ386/182.5))+(EZ376*(EZ387/182.5))</f>
        <v>474.94534996521082</v>
      </c>
      <c r="FA389" s="1407">
        <f>+(FA367*1)+(EY370*((182.5+EY381)/365))+(EY371*((182.5+EY382)/365))+(EY372*((182.5+EY383)/365))+(EY373*((182.5+EY384)/365))+(EY374*((182.5+EY385)/365))+(EY375*((182.5+EY386)/365))+(EY376*((182.5+EY387)/365))+(EZ370*(EZ381/365))+(EZ371*(EZ382/365))+(EZ372*(EZ383/365))+(EZ373*(EZ384/365))+(EZ374*(EZ385/365))+(EZ375*(EZ386/365))+(EZ376*(EZ387/365))</f>
        <v>474.86561396521085</v>
      </c>
      <c r="FD389"/>
      <c r="FE389"/>
      <c r="FF389"/>
      <c r="FG389"/>
      <c r="FH389"/>
      <c r="FI389"/>
    </row>
    <row r="390" spans="2:165" s="33" customFormat="1" ht="13.5" thickBot="1">
      <c r="B390" s="54" t="s">
        <v>375</v>
      </c>
      <c r="C390" s="54"/>
      <c r="D390" s="2"/>
      <c r="E390" s="1408">
        <f t="shared" ref="E390:AJ390" si="951">+E398</f>
        <v>0</v>
      </c>
      <c r="F390" s="1408">
        <f t="shared" si="951"/>
        <v>0</v>
      </c>
      <c r="G390" s="1408">
        <f t="shared" si="951"/>
        <v>0</v>
      </c>
      <c r="H390" s="1408">
        <f t="shared" si="951"/>
        <v>0</v>
      </c>
      <c r="I390" s="1408">
        <f t="shared" si="951"/>
        <v>0</v>
      </c>
      <c r="J390" s="1408">
        <f t="shared" si="951"/>
        <v>0</v>
      </c>
      <c r="K390" s="1408">
        <f t="shared" si="951"/>
        <v>0</v>
      </c>
      <c r="L390" s="1408">
        <f t="shared" si="951"/>
        <v>0</v>
      </c>
      <c r="M390" s="1408">
        <f t="shared" si="951"/>
        <v>0</v>
      </c>
      <c r="N390" s="1408">
        <f t="shared" si="951"/>
        <v>0</v>
      </c>
      <c r="O390" s="1408">
        <f t="shared" si="951"/>
        <v>0</v>
      </c>
      <c r="P390" s="1408">
        <f t="shared" si="951"/>
        <v>0</v>
      </c>
      <c r="Q390" s="1408">
        <f t="shared" si="951"/>
        <v>0</v>
      </c>
      <c r="R390" s="1408">
        <f t="shared" si="951"/>
        <v>0</v>
      </c>
      <c r="S390" s="1408">
        <f t="shared" si="951"/>
        <v>0</v>
      </c>
      <c r="T390" s="1408">
        <f t="shared" si="951"/>
        <v>0</v>
      </c>
      <c r="U390" s="1408">
        <f t="shared" si="951"/>
        <v>0</v>
      </c>
      <c r="V390" s="1408">
        <f t="shared" si="951"/>
        <v>0</v>
      </c>
      <c r="W390" s="1408">
        <f t="shared" si="951"/>
        <v>0</v>
      </c>
      <c r="X390" s="1408">
        <f t="shared" si="951"/>
        <v>0</v>
      </c>
      <c r="Y390" s="1408">
        <f t="shared" si="951"/>
        <v>0</v>
      </c>
      <c r="Z390" s="1408">
        <f t="shared" si="951"/>
        <v>0</v>
      </c>
      <c r="AA390" s="1408">
        <f t="shared" si="951"/>
        <v>0</v>
      </c>
      <c r="AB390" s="1408">
        <f t="shared" si="951"/>
        <v>0</v>
      </c>
      <c r="AC390" s="1408">
        <f t="shared" si="951"/>
        <v>0</v>
      </c>
      <c r="AD390" s="1408">
        <f t="shared" si="951"/>
        <v>0</v>
      </c>
      <c r="AE390" s="1408">
        <f t="shared" si="951"/>
        <v>0</v>
      </c>
      <c r="AF390" s="1408">
        <f t="shared" si="951"/>
        <v>0</v>
      </c>
      <c r="AG390" s="1408">
        <f t="shared" si="951"/>
        <v>0</v>
      </c>
      <c r="AH390" s="1408">
        <f t="shared" si="951"/>
        <v>0</v>
      </c>
      <c r="AI390" s="1408">
        <f t="shared" si="951"/>
        <v>0</v>
      </c>
      <c r="AJ390" s="1408">
        <f t="shared" si="951"/>
        <v>0</v>
      </c>
      <c r="AK390" s="1408">
        <f t="shared" ref="AK390:BP390" si="952">+AK398</f>
        <v>0</v>
      </c>
      <c r="AL390" s="1408">
        <f t="shared" si="952"/>
        <v>0</v>
      </c>
      <c r="AM390" s="1408">
        <f t="shared" si="952"/>
        <v>0</v>
      </c>
      <c r="AN390" s="1408">
        <f t="shared" si="952"/>
        <v>0</v>
      </c>
      <c r="AO390" s="1408">
        <f t="shared" si="952"/>
        <v>0</v>
      </c>
      <c r="AP390" s="1408">
        <f t="shared" si="952"/>
        <v>0</v>
      </c>
      <c r="AQ390" s="1408">
        <f t="shared" si="952"/>
        <v>0</v>
      </c>
      <c r="AR390" s="1408">
        <f t="shared" si="952"/>
        <v>0</v>
      </c>
      <c r="AS390" s="1408">
        <f t="shared" si="952"/>
        <v>0</v>
      </c>
      <c r="AT390" s="1408">
        <f t="shared" si="952"/>
        <v>0</v>
      </c>
      <c r="AU390" s="1408">
        <f>+AU398</f>
        <v>2.25</v>
      </c>
      <c r="AV390" s="1408">
        <f t="shared" si="952"/>
        <v>1.9500000000000002</v>
      </c>
      <c r="AW390" s="1408">
        <f t="shared" si="952"/>
        <v>1.9500000000000002</v>
      </c>
      <c r="AX390" s="1408">
        <f t="shared" si="952"/>
        <v>2.94</v>
      </c>
      <c r="AY390" s="1408">
        <f t="shared" si="952"/>
        <v>2.94</v>
      </c>
      <c r="AZ390" s="1408">
        <f t="shared" si="952"/>
        <v>2.94</v>
      </c>
      <c r="BA390" s="1408">
        <f t="shared" si="952"/>
        <v>2.94</v>
      </c>
      <c r="BB390" s="1408">
        <f t="shared" si="952"/>
        <v>2.94</v>
      </c>
      <c r="BC390" s="1408">
        <f t="shared" si="952"/>
        <v>2.94</v>
      </c>
      <c r="BD390" s="1408">
        <f t="shared" si="952"/>
        <v>2.94</v>
      </c>
      <c r="BE390" s="1408">
        <f t="shared" si="952"/>
        <v>2.94</v>
      </c>
      <c r="BF390" s="1408">
        <f t="shared" si="952"/>
        <v>2.94</v>
      </c>
      <c r="BG390" s="1408">
        <f t="shared" si="952"/>
        <v>2.94</v>
      </c>
      <c r="BH390" s="1408">
        <f t="shared" si="952"/>
        <v>2.94</v>
      </c>
      <c r="BI390" s="1408">
        <f t="shared" si="952"/>
        <v>2.94</v>
      </c>
      <c r="BJ390" s="1408">
        <f t="shared" si="952"/>
        <v>2.94</v>
      </c>
      <c r="BK390" s="1408">
        <f t="shared" si="952"/>
        <v>2.94</v>
      </c>
      <c r="BL390" s="1408">
        <f t="shared" si="952"/>
        <v>2.94</v>
      </c>
      <c r="BM390" s="1408">
        <f t="shared" si="952"/>
        <v>2.94</v>
      </c>
      <c r="BN390" s="1408">
        <f t="shared" si="952"/>
        <v>0</v>
      </c>
      <c r="BO390" s="1408">
        <f t="shared" si="952"/>
        <v>0</v>
      </c>
      <c r="BP390" s="1408">
        <f t="shared" si="952"/>
        <v>0</v>
      </c>
      <c r="BQ390" s="1408">
        <f t="shared" ref="BQ390:CV390" si="953">+BQ398</f>
        <v>25.240043999999997</v>
      </c>
      <c r="BR390" s="1408">
        <f t="shared" si="953"/>
        <v>25.240043999999997</v>
      </c>
      <c r="BS390" s="1408">
        <f t="shared" si="953"/>
        <v>4.6920000000000002</v>
      </c>
      <c r="BT390" s="1408">
        <f t="shared" si="953"/>
        <v>4.6920000000000002</v>
      </c>
      <c r="BU390" s="1408">
        <f t="shared" si="953"/>
        <v>3.7148790000000003</v>
      </c>
      <c r="BV390" s="1408">
        <f t="shared" si="953"/>
        <v>4.0901540000000001</v>
      </c>
      <c r="BW390" s="1408">
        <f t="shared" si="953"/>
        <v>3.1596549999999999</v>
      </c>
      <c r="BX390" s="1408">
        <f t="shared" si="953"/>
        <v>3.1596549999999999</v>
      </c>
      <c r="BY390" s="1408">
        <f t="shared" si="953"/>
        <v>2.7215639999999999</v>
      </c>
      <c r="BZ390" s="1408">
        <f t="shared" si="953"/>
        <v>2.7215639999999999</v>
      </c>
      <c r="CA390" s="1408">
        <f t="shared" si="953"/>
        <v>2.7215639999999999</v>
      </c>
      <c r="CB390" s="1408">
        <f t="shared" si="953"/>
        <v>1.8235279999999998</v>
      </c>
      <c r="CC390" s="1408">
        <f t="shared" si="953"/>
        <v>1.7813369999999999</v>
      </c>
      <c r="CD390" s="1408">
        <f t="shared" si="953"/>
        <v>1.7813369999999999</v>
      </c>
      <c r="CE390" s="1408">
        <f t="shared" si="953"/>
        <v>1.3402910000000001</v>
      </c>
      <c r="CF390" s="1408">
        <f t="shared" si="953"/>
        <v>1.2809280000000001</v>
      </c>
      <c r="CG390" s="1408">
        <f t="shared" si="953"/>
        <v>1.2809280000000001</v>
      </c>
      <c r="CH390" s="1408">
        <f t="shared" si="953"/>
        <v>0.99582199999999998</v>
      </c>
      <c r="CI390" s="1408">
        <f>CH390</f>
        <v>0.99582199999999998</v>
      </c>
      <c r="CJ390" s="1408">
        <f>+CJ398</f>
        <v>1.1846220000000001</v>
      </c>
      <c r="CK390" s="1408">
        <f t="shared" si="953"/>
        <v>1.5364910000000001</v>
      </c>
      <c r="CL390" s="1408">
        <f t="shared" si="953"/>
        <v>1.5364910000000001</v>
      </c>
      <c r="CM390" s="1408">
        <f t="shared" si="953"/>
        <v>1.5364910000000001</v>
      </c>
      <c r="CN390" s="1408">
        <f t="shared" si="953"/>
        <v>1.558613</v>
      </c>
      <c r="CO390" s="1408">
        <f t="shared" si="953"/>
        <v>1.8013300000000001</v>
      </c>
      <c r="CP390" s="1408">
        <f t="shared" si="953"/>
        <v>1.8013300000000001</v>
      </c>
      <c r="CQ390" s="1408">
        <f t="shared" si="953"/>
        <v>1.5630799999999998</v>
      </c>
      <c r="CR390" s="1408">
        <f t="shared" si="953"/>
        <v>1.5630799999999998</v>
      </c>
      <c r="CS390" s="1408">
        <f t="shared" si="953"/>
        <v>1.5630799999999998</v>
      </c>
      <c r="CT390" s="1408">
        <f t="shared" si="953"/>
        <v>1.5630799999999998</v>
      </c>
      <c r="CU390" s="1408">
        <f t="shared" si="953"/>
        <v>1.117491</v>
      </c>
      <c r="CV390" s="1408">
        <f t="shared" si="953"/>
        <v>1.117491</v>
      </c>
      <c r="CW390" s="1408">
        <f>+CW391-CW389</f>
        <v>0.98079699999999548</v>
      </c>
      <c r="CX390" s="1408">
        <f t="shared" ref="CX390:DH390" si="954">+CX398</f>
        <v>1.043452</v>
      </c>
      <c r="CY390" s="1408">
        <f t="shared" si="954"/>
        <v>1.043452</v>
      </c>
      <c r="CZ390" s="1408">
        <f>+CZ391-CZ389</f>
        <v>1.3762240000000361</v>
      </c>
      <c r="DA390" s="1408">
        <f t="shared" si="954"/>
        <v>1.3762240000000376</v>
      </c>
      <c r="DB390" s="1408">
        <f t="shared" si="954"/>
        <v>1.3762240000000376</v>
      </c>
      <c r="DC390" s="1408">
        <f t="shared" si="954"/>
        <v>1.6554230000000949</v>
      </c>
      <c r="DD390" s="1408">
        <f t="shared" si="954"/>
        <v>1.1083220000000016</v>
      </c>
      <c r="DE390" s="1409">
        <f t="shared" si="954"/>
        <v>1.1083220000000016</v>
      </c>
      <c r="DF390" s="1408">
        <f t="shared" si="954"/>
        <v>1.6612860000000158</v>
      </c>
      <c r="DG390" s="1408">
        <f t="shared" si="954"/>
        <v>1.7969109999999999</v>
      </c>
      <c r="DH390" s="1409">
        <f t="shared" si="954"/>
        <v>1.7969109999999999</v>
      </c>
      <c r="DI390" s="1408">
        <f>DI391-DI389</f>
        <v>1.4045770000000175</v>
      </c>
      <c r="DJ390" s="1408">
        <f>DK390</f>
        <v>1.3382869520548297</v>
      </c>
      <c r="DK390" s="1409">
        <f>456.204-DK389</f>
        <v>1.3382869520548297</v>
      </c>
      <c r="DL390" s="1408">
        <f>DL391-DL389</f>
        <v>1.3620639999999753</v>
      </c>
      <c r="DM390" s="1408">
        <f>DN390</f>
        <v>1.362331</v>
      </c>
      <c r="DN390" s="1410">
        <v>1.362331</v>
      </c>
      <c r="DO390" s="1411">
        <f>DO391-DO389</f>
        <v>1.5894674789041119</v>
      </c>
      <c r="DP390" s="1408">
        <f>DQ390</f>
        <v>1.7133020000000001</v>
      </c>
      <c r="DQ390" s="1410">
        <v>1.7133020000000001</v>
      </c>
      <c r="DR390" s="1411">
        <v>2.125632</v>
      </c>
      <c r="DS390" s="1408">
        <f>+DT390</f>
        <v>2.188456</v>
      </c>
      <c r="DT390" s="1410">
        <v>2.188456</v>
      </c>
      <c r="DU390" s="1408">
        <f>+DU391-DU389</f>
        <v>2.2071109999999976</v>
      </c>
      <c r="DV390" s="1408">
        <f>DU390</f>
        <v>2.2071109999999976</v>
      </c>
      <c r="DW390" s="1408">
        <f>+DW391-DW389</f>
        <v>2.1792889999999829</v>
      </c>
      <c r="DX390" s="1408">
        <f t="shared" ref="DX390:EL390" si="955">DW390</f>
        <v>2.1792889999999829</v>
      </c>
      <c r="DY390" s="1408">
        <f t="shared" si="955"/>
        <v>2.1792889999999829</v>
      </c>
      <c r="DZ390" s="1409">
        <f t="shared" si="955"/>
        <v>2.1792889999999829</v>
      </c>
      <c r="EA390" s="1408">
        <f t="shared" si="955"/>
        <v>2.1792889999999829</v>
      </c>
      <c r="EB390" s="1408">
        <f t="shared" si="955"/>
        <v>2.1792889999999829</v>
      </c>
      <c r="EC390" s="1409">
        <f t="shared" si="955"/>
        <v>2.1792889999999829</v>
      </c>
      <c r="ED390" s="1408">
        <f t="shared" si="955"/>
        <v>2.1792889999999829</v>
      </c>
      <c r="EE390" s="1408">
        <f t="shared" si="955"/>
        <v>2.1792889999999829</v>
      </c>
      <c r="EF390" s="1409">
        <f t="shared" si="955"/>
        <v>2.1792889999999829</v>
      </c>
      <c r="EG390" s="1408">
        <f t="shared" si="955"/>
        <v>2.1792889999999829</v>
      </c>
      <c r="EH390" s="1408">
        <f t="shared" si="955"/>
        <v>2.1792889999999829</v>
      </c>
      <c r="EI390" s="1409">
        <f t="shared" si="955"/>
        <v>2.1792889999999829</v>
      </c>
      <c r="EJ390" s="1408">
        <f t="shared" si="955"/>
        <v>2.1792889999999829</v>
      </c>
      <c r="EK390" s="1408">
        <f t="shared" si="955"/>
        <v>2.1792889999999829</v>
      </c>
      <c r="EL390" s="1409">
        <f t="shared" si="955"/>
        <v>2.1792889999999829</v>
      </c>
      <c r="EM390" s="1408">
        <f t="shared" ref="EM390:FA390" si="956">EL390</f>
        <v>2.1792889999999829</v>
      </c>
      <c r="EN390" s="1408">
        <f t="shared" si="956"/>
        <v>2.1792889999999829</v>
      </c>
      <c r="EO390" s="1409">
        <f t="shared" si="956"/>
        <v>2.1792889999999829</v>
      </c>
      <c r="EP390" s="1408">
        <f t="shared" si="956"/>
        <v>2.1792889999999829</v>
      </c>
      <c r="EQ390" s="1408">
        <f t="shared" si="956"/>
        <v>2.1792889999999829</v>
      </c>
      <c r="ER390" s="1409">
        <f t="shared" si="956"/>
        <v>2.1792889999999829</v>
      </c>
      <c r="ES390" s="1408">
        <f t="shared" si="956"/>
        <v>2.1792889999999829</v>
      </c>
      <c r="ET390" s="1408">
        <f t="shared" si="956"/>
        <v>2.1792889999999829</v>
      </c>
      <c r="EU390" s="1409">
        <f t="shared" si="956"/>
        <v>2.1792889999999829</v>
      </c>
      <c r="EV390" s="1408">
        <f t="shared" si="956"/>
        <v>2.1792889999999829</v>
      </c>
      <c r="EW390" s="1408">
        <f t="shared" si="956"/>
        <v>2.1792889999999829</v>
      </c>
      <c r="EX390" s="1409">
        <f t="shared" si="956"/>
        <v>2.1792889999999829</v>
      </c>
      <c r="EY390" s="1408">
        <f t="shared" si="956"/>
        <v>2.1792889999999829</v>
      </c>
      <c r="EZ390" s="1408">
        <f t="shared" si="956"/>
        <v>2.1792889999999829</v>
      </c>
      <c r="FA390" s="1409">
        <f t="shared" si="956"/>
        <v>2.1792889999999829</v>
      </c>
      <c r="FD390"/>
      <c r="FE390"/>
      <c r="FF390"/>
      <c r="FG390"/>
      <c r="FH390"/>
      <c r="FI390"/>
    </row>
    <row r="391" spans="2:165" s="33" customFormat="1" ht="13.5" thickBot="1">
      <c r="B391" s="54" t="s">
        <v>376</v>
      </c>
      <c r="C391" s="54"/>
      <c r="D391" s="2"/>
      <c r="E391" s="1412">
        <f t="shared" ref="E391:AJ391" si="957">+E389+E390</f>
        <v>0</v>
      </c>
      <c r="F391" s="1412">
        <f t="shared" si="957"/>
        <v>0</v>
      </c>
      <c r="G391" s="1412">
        <f t="shared" si="957"/>
        <v>0</v>
      </c>
      <c r="H391" s="1412">
        <f t="shared" si="957"/>
        <v>0</v>
      </c>
      <c r="I391" s="1412">
        <f t="shared" si="957"/>
        <v>0</v>
      </c>
      <c r="J391" s="1412">
        <f t="shared" si="957"/>
        <v>0</v>
      </c>
      <c r="K391" s="1412">
        <f t="shared" si="957"/>
        <v>0</v>
      </c>
      <c r="L391" s="1412">
        <f t="shared" si="957"/>
        <v>0</v>
      </c>
      <c r="M391" s="1412">
        <f t="shared" si="957"/>
        <v>0</v>
      </c>
      <c r="N391" s="1412">
        <f t="shared" si="957"/>
        <v>0</v>
      </c>
      <c r="O391" s="1412">
        <f t="shared" si="957"/>
        <v>0</v>
      </c>
      <c r="P391" s="1412">
        <f t="shared" si="957"/>
        <v>0</v>
      </c>
      <c r="Q391" s="1412">
        <f t="shared" si="957"/>
        <v>0</v>
      </c>
      <c r="R391" s="1412">
        <f t="shared" si="957"/>
        <v>0</v>
      </c>
      <c r="S391" s="1412">
        <f t="shared" si="957"/>
        <v>0</v>
      </c>
      <c r="T391" s="1412">
        <f t="shared" si="957"/>
        <v>0</v>
      </c>
      <c r="U391" s="1412">
        <f t="shared" si="957"/>
        <v>0</v>
      </c>
      <c r="V391" s="1412">
        <f t="shared" si="957"/>
        <v>0</v>
      </c>
      <c r="W391" s="1412">
        <f t="shared" si="957"/>
        <v>0</v>
      </c>
      <c r="X391" s="1412">
        <f t="shared" si="957"/>
        <v>0</v>
      </c>
      <c r="Y391" s="1412">
        <f t="shared" si="957"/>
        <v>0</v>
      </c>
      <c r="Z391" s="1412">
        <f t="shared" si="957"/>
        <v>0</v>
      </c>
      <c r="AA391" s="1412">
        <f t="shared" si="957"/>
        <v>0</v>
      </c>
      <c r="AB391" s="1412">
        <f t="shared" si="957"/>
        <v>0</v>
      </c>
      <c r="AC391" s="1412">
        <f t="shared" si="957"/>
        <v>0</v>
      </c>
      <c r="AD391" s="1412">
        <f t="shared" si="957"/>
        <v>0</v>
      </c>
      <c r="AE391" s="1412">
        <f t="shared" si="957"/>
        <v>0</v>
      </c>
      <c r="AF391" s="1412">
        <f t="shared" si="957"/>
        <v>0</v>
      </c>
      <c r="AG391" s="1412">
        <f t="shared" si="957"/>
        <v>0</v>
      </c>
      <c r="AH391" s="1412">
        <f t="shared" si="957"/>
        <v>0</v>
      </c>
      <c r="AI391" s="1412">
        <f t="shared" si="957"/>
        <v>0</v>
      </c>
      <c r="AJ391" s="1412">
        <f t="shared" si="957"/>
        <v>0</v>
      </c>
      <c r="AK391" s="1412">
        <f t="shared" ref="AK391:BP391" si="958">+AK389+AK390</f>
        <v>0</v>
      </c>
      <c r="AL391" s="1412">
        <f t="shared" si="958"/>
        <v>0</v>
      </c>
      <c r="AM391" s="1412">
        <f t="shared" si="958"/>
        <v>0</v>
      </c>
      <c r="AN391" s="1412">
        <f t="shared" si="958"/>
        <v>0</v>
      </c>
      <c r="AO391" s="1412">
        <f t="shared" si="958"/>
        <v>0</v>
      </c>
      <c r="AP391" s="1412">
        <f t="shared" si="958"/>
        <v>0</v>
      </c>
      <c r="AQ391" s="1412">
        <f t="shared" si="958"/>
        <v>0</v>
      </c>
      <c r="AR391" s="1412">
        <f t="shared" si="958"/>
        <v>0</v>
      </c>
      <c r="AS391" s="1412">
        <f t="shared" si="958"/>
        <v>0</v>
      </c>
      <c r="AT391" s="1412">
        <f t="shared" si="958"/>
        <v>0</v>
      </c>
      <c r="AU391" s="1412">
        <f t="shared" si="958"/>
        <v>396.03300000000002</v>
      </c>
      <c r="AV391" s="1412">
        <f t="shared" si="958"/>
        <v>395.733</v>
      </c>
      <c r="AW391" s="1412">
        <f t="shared" si="958"/>
        <v>395.733</v>
      </c>
      <c r="AX391" s="1412">
        <f t="shared" si="958"/>
        <v>397.899</v>
      </c>
      <c r="AY391" s="1412">
        <f t="shared" si="958"/>
        <v>398.83280200000002</v>
      </c>
      <c r="AZ391" s="1412">
        <f t="shared" si="958"/>
        <v>398.36590100000001</v>
      </c>
      <c r="BA391" s="1412">
        <f t="shared" si="958"/>
        <v>451.10180200000002</v>
      </c>
      <c r="BB391" s="1412">
        <f t="shared" si="958"/>
        <v>452.80222600000002</v>
      </c>
      <c r="BC391" s="1412">
        <f t="shared" si="958"/>
        <v>451.95201400000002</v>
      </c>
      <c r="BD391" s="1412">
        <f t="shared" si="958"/>
        <v>477.63174769863014</v>
      </c>
      <c r="BE391" s="1412">
        <f t="shared" si="958"/>
        <v>477.97492500000004</v>
      </c>
      <c r="BF391" s="1412">
        <f t="shared" si="958"/>
        <v>477.80333634931503</v>
      </c>
      <c r="BG391" s="1412">
        <f t="shared" si="958"/>
        <v>477.97492500000004</v>
      </c>
      <c r="BH391" s="1412">
        <f t="shared" si="958"/>
        <v>477.97492500000004</v>
      </c>
      <c r="BI391" s="1412">
        <f t="shared" si="958"/>
        <v>477.97492500000004</v>
      </c>
      <c r="BJ391" s="1412">
        <f t="shared" si="958"/>
        <v>488.96520651780827</v>
      </c>
      <c r="BK391" s="1412">
        <f t="shared" si="958"/>
        <v>587.25260377808229</v>
      </c>
      <c r="BL391" s="1412">
        <f t="shared" si="958"/>
        <v>538.10890514794539</v>
      </c>
      <c r="BM391" s="1412">
        <f t="shared" si="958"/>
        <v>587.54438460000006</v>
      </c>
      <c r="BN391" s="1412">
        <f t="shared" si="958"/>
        <v>574.17101505205471</v>
      </c>
      <c r="BO391" s="1412">
        <f t="shared" si="958"/>
        <v>579.38769982602741</v>
      </c>
      <c r="BP391" s="1412">
        <f t="shared" si="958"/>
        <v>547.12991916164378</v>
      </c>
      <c r="BQ391" s="1412">
        <f t="shared" ref="BQ391:CV391" si="959">+BQ389+BQ390</f>
        <v>560.20557959999996</v>
      </c>
      <c r="BR391" s="1412">
        <f t="shared" si="959"/>
        <v>566.28777138082194</v>
      </c>
      <c r="BS391" s="1412">
        <f t="shared" si="959"/>
        <v>547.34659259999989</v>
      </c>
      <c r="BT391" s="1412">
        <f t="shared" si="959"/>
        <v>547.34659259999989</v>
      </c>
      <c r="BU391" s="1412">
        <f t="shared" si="959"/>
        <v>551.42281800000001</v>
      </c>
      <c r="BV391" s="1412">
        <f t="shared" si="959"/>
        <v>553.93487400000004</v>
      </c>
      <c r="BW391" s="1412">
        <f t="shared" si="959"/>
        <v>550.86759400000005</v>
      </c>
      <c r="BX391" s="1412">
        <f t="shared" si="959"/>
        <v>553.26556900000003</v>
      </c>
      <c r="BY391" s="1412">
        <f t="shared" si="959"/>
        <v>592.49654956324241</v>
      </c>
      <c r="BZ391" s="1412">
        <f t="shared" si="959"/>
        <v>604.28268099999991</v>
      </c>
      <c r="CA391" s="1412">
        <f t="shared" si="959"/>
        <v>598.38961528162122</v>
      </c>
      <c r="CB391" s="1412">
        <f t="shared" si="959"/>
        <v>582.42821357988487</v>
      </c>
      <c r="CC391" s="1412">
        <f t="shared" si="959"/>
        <v>554.93255969863014</v>
      </c>
      <c r="CD391" s="1412">
        <f t="shared" si="959"/>
        <v>568.65929113925745</v>
      </c>
      <c r="CE391" s="1412">
        <f t="shared" si="959"/>
        <v>548.30753500000003</v>
      </c>
      <c r="CF391" s="1412">
        <f t="shared" si="959"/>
        <v>541.81111599999997</v>
      </c>
      <c r="CG391" s="1412">
        <f t="shared" si="959"/>
        <v>541.81111599999997</v>
      </c>
      <c r="CH391" s="1412">
        <f t="shared" si="959"/>
        <v>524.98708606684932</v>
      </c>
      <c r="CI391" s="1412">
        <f t="shared" si="959"/>
        <v>515.24958015264667</v>
      </c>
      <c r="CJ391" s="1412">
        <f t="shared" si="959"/>
        <v>520.262895109748</v>
      </c>
      <c r="CK391" s="1412">
        <f t="shared" si="959"/>
        <v>504.34388100000007</v>
      </c>
      <c r="CL391" s="1412">
        <f t="shared" si="959"/>
        <v>487.35218199999997</v>
      </c>
      <c r="CM391" s="1412">
        <f t="shared" si="959"/>
        <v>500.14306300000004</v>
      </c>
      <c r="CN391" s="1412">
        <f t="shared" si="959"/>
        <v>486.91303499999998</v>
      </c>
      <c r="CO391" s="1412">
        <f t="shared" si="959"/>
        <v>487.15575200000001</v>
      </c>
      <c r="CP391" s="1412">
        <f t="shared" si="959"/>
        <v>485.62427000000002</v>
      </c>
      <c r="CQ391" s="1412">
        <f t="shared" si="959"/>
        <v>475.767765</v>
      </c>
      <c r="CR391" s="1412">
        <f t="shared" si="959"/>
        <v>471.67751898910473</v>
      </c>
      <c r="CS391" s="1412">
        <f t="shared" si="959"/>
        <v>473.38031899999999</v>
      </c>
      <c r="CT391" s="1412">
        <f t="shared" si="959"/>
        <v>465.246576</v>
      </c>
      <c r="CU391" s="1412">
        <f t="shared" si="959"/>
        <v>459.91675028767122</v>
      </c>
      <c r="CV391" s="1412">
        <f t="shared" si="959"/>
        <v>463.11706399999997</v>
      </c>
      <c r="CW391" s="1413">
        <v>456.71083800000002</v>
      </c>
      <c r="CX391" s="1412">
        <f t="shared" ref="CX391:DQ391" si="960">+CX389+CX390</f>
        <v>455.93023553424661</v>
      </c>
      <c r="CY391" s="1413">
        <v>456.37464799999998</v>
      </c>
      <c r="CZ391" s="1413">
        <v>453.68830200000002</v>
      </c>
      <c r="DA391" s="1412">
        <f t="shared" si="960"/>
        <v>454.56152300000008</v>
      </c>
      <c r="DB391" s="1413">
        <v>453.87661300000002</v>
      </c>
      <c r="DC391" s="1412">
        <f t="shared" si="960"/>
        <v>454.52275000000009</v>
      </c>
      <c r="DD391" s="1412">
        <f t="shared" si="960"/>
        <v>454.07996700000012</v>
      </c>
      <c r="DE391" s="1572">
        <f t="shared" si="960"/>
        <v>454.02780800000005</v>
      </c>
      <c r="DF391" s="1573">
        <f t="shared" si="960"/>
        <v>455.41136200000005</v>
      </c>
      <c r="DG391" s="1573">
        <f t="shared" si="960"/>
        <v>455.6619957923516</v>
      </c>
      <c r="DH391" s="1572">
        <f t="shared" si="960"/>
        <v>455.60449139617589</v>
      </c>
      <c r="DI391" s="1573">
        <f>456.195405</f>
        <v>456.19540499999999</v>
      </c>
      <c r="DJ391" s="1573">
        <f t="shared" si="960"/>
        <v>456.41235355479455</v>
      </c>
      <c r="DK391" s="1572">
        <f t="shared" si="960"/>
        <v>456.20400000000001</v>
      </c>
      <c r="DL391" s="1573">
        <v>458.11331899999999</v>
      </c>
      <c r="DM391" s="1573">
        <f t="shared" si="960"/>
        <v>480.11072200000001</v>
      </c>
      <c r="DN391" s="1572">
        <f>DN389+DN390</f>
        <v>470.117188</v>
      </c>
      <c r="DO391" s="1573">
        <v>483.62767500000001</v>
      </c>
      <c r="DP391" s="1573">
        <f t="shared" si="960"/>
        <v>483.88645000000002</v>
      </c>
      <c r="DQ391" s="1572">
        <f t="shared" si="960"/>
        <v>483.88645000000002</v>
      </c>
      <c r="DR391" s="1574">
        <v>484.98433299999999</v>
      </c>
      <c r="DS391" s="1573">
        <f t="shared" ref="DS391:DZ391" si="961">+DS389+DS390</f>
        <v>485.28171299999997</v>
      </c>
      <c r="DT391" s="1572">
        <f t="shared" si="961"/>
        <v>485.19930699999998</v>
      </c>
      <c r="DU391" s="1788">
        <v>486.08694800000001</v>
      </c>
      <c r="DV391" s="1412">
        <f t="shared" si="961"/>
        <v>485.61931199999998</v>
      </c>
      <c r="DW391" s="1858">
        <v>486.220349</v>
      </c>
      <c r="DX391" s="1412">
        <f t="shared" si="961"/>
        <v>484.12679661538459</v>
      </c>
      <c r="DY391" s="1412">
        <f t="shared" si="961"/>
        <v>482.04744077655675</v>
      </c>
      <c r="DZ391" s="1414">
        <f t="shared" si="961"/>
        <v>483.08711869597062</v>
      </c>
      <c r="EA391" s="1412">
        <f t="shared" ref="EA391:EF391" si="962">+EA389+EA390</f>
        <v>480.11376782626894</v>
      </c>
      <c r="EB391" s="1412">
        <f t="shared" si="962"/>
        <v>478.27976844504246</v>
      </c>
      <c r="EC391" s="1414">
        <f t="shared" si="962"/>
        <v>479.19676813565565</v>
      </c>
      <c r="ED391" s="1412">
        <f t="shared" si="962"/>
        <v>476.54069627244581</v>
      </c>
      <c r="EE391" s="1412">
        <f t="shared" si="962"/>
        <v>474.89203096521089</v>
      </c>
      <c r="EF391" s="1414">
        <f t="shared" si="962"/>
        <v>475.71636361882838</v>
      </c>
      <c r="EG391" s="1412">
        <f t="shared" ref="EG391:EL391" si="963">+EG389+EG390</f>
        <v>475.05150296521089</v>
      </c>
      <c r="EH391" s="1412">
        <f t="shared" si="963"/>
        <v>475.21097496521088</v>
      </c>
      <c r="EI391" s="1414">
        <f t="shared" si="963"/>
        <v>475.13123896521091</v>
      </c>
      <c r="EJ391" s="1412">
        <f t="shared" si="963"/>
        <v>475.37044696521087</v>
      </c>
      <c r="EK391" s="1412">
        <f t="shared" si="963"/>
        <v>475.52991896521087</v>
      </c>
      <c r="EL391" s="1414">
        <f t="shared" si="963"/>
        <v>475.4501829652109</v>
      </c>
      <c r="EM391" s="1412">
        <f t="shared" ref="EM391:ER391" si="964">+EM389+EM390</f>
        <v>475.68939096521086</v>
      </c>
      <c r="EN391" s="1412">
        <f t="shared" si="964"/>
        <v>475.84886296521086</v>
      </c>
      <c r="EO391" s="1414">
        <f t="shared" si="964"/>
        <v>475.76912696521089</v>
      </c>
      <c r="EP391" s="1412">
        <f t="shared" si="964"/>
        <v>476.00833496521085</v>
      </c>
      <c r="EQ391" s="1412">
        <f t="shared" si="964"/>
        <v>476.16780696521084</v>
      </c>
      <c r="ER391" s="1414">
        <f t="shared" si="964"/>
        <v>476.08807096521087</v>
      </c>
      <c r="ES391" s="1412">
        <f t="shared" ref="ES391:FA391" si="965">+ES389+ES390</f>
        <v>476.32727896521084</v>
      </c>
      <c r="ET391" s="1412">
        <f t="shared" si="965"/>
        <v>476.48675096521083</v>
      </c>
      <c r="EU391" s="1414">
        <f t="shared" si="965"/>
        <v>476.40701496521086</v>
      </c>
      <c r="EV391" s="1412">
        <f t="shared" si="965"/>
        <v>476.64622296521082</v>
      </c>
      <c r="EW391" s="1412">
        <f t="shared" si="965"/>
        <v>476.80569496521082</v>
      </c>
      <c r="EX391" s="1414">
        <f t="shared" si="965"/>
        <v>476.72595896521085</v>
      </c>
      <c r="EY391" s="1412">
        <f t="shared" si="965"/>
        <v>476.96516696521081</v>
      </c>
      <c r="EZ391" s="1412">
        <f t="shared" si="965"/>
        <v>477.12463896521081</v>
      </c>
      <c r="FA391" s="1414">
        <f t="shared" si="965"/>
        <v>477.04490296521084</v>
      </c>
      <c r="FD391"/>
      <c r="FE391"/>
      <c r="FF391"/>
      <c r="FG391"/>
      <c r="FH391"/>
      <c r="FI391"/>
    </row>
    <row r="392" spans="2:165" s="33" customFormat="1">
      <c r="B392" s="54" t="s">
        <v>377</v>
      </c>
      <c r="C392" s="54"/>
      <c r="D392" s="2"/>
      <c r="E392" s="1408">
        <f t="shared" ref="E392:AJ392" si="966">F392</f>
        <v>1</v>
      </c>
      <c r="F392" s="1408">
        <f t="shared" si="966"/>
        <v>1</v>
      </c>
      <c r="G392" s="1408">
        <f t="shared" si="966"/>
        <v>1</v>
      </c>
      <c r="H392" s="1408">
        <f t="shared" si="966"/>
        <v>1</v>
      </c>
      <c r="I392" s="1408">
        <f t="shared" si="966"/>
        <v>1</v>
      </c>
      <c r="J392" s="1408">
        <f t="shared" si="966"/>
        <v>1</v>
      </c>
      <c r="K392" s="1408">
        <f t="shared" si="966"/>
        <v>1</v>
      </c>
      <c r="L392" s="1408">
        <f t="shared" si="966"/>
        <v>1</v>
      </c>
      <c r="M392" s="1408">
        <f t="shared" si="966"/>
        <v>1</v>
      </c>
      <c r="N392" s="1408">
        <f t="shared" si="966"/>
        <v>1</v>
      </c>
      <c r="O392" s="1408">
        <f t="shared" si="966"/>
        <v>1</v>
      </c>
      <c r="P392" s="1408">
        <f t="shared" si="966"/>
        <v>1</v>
      </c>
      <c r="Q392" s="1408">
        <f t="shared" si="966"/>
        <v>1</v>
      </c>
      <c r="R392" s="1408">
        <f t="shared" si="966"/>
        <v>1</v>
      </c>
      <c r="S392" s="1408">
        <f t="shared" si="966"/>
        <v>1</v>
      </c>
      <c r="T392" s="1408">
        <f t="shared" si="966"/>
        <v>1</v>
      </c>
      <c r="U392" s="1408">
        <f t="shared" si="966"/>
        <v>1</v>
      </c>
      <c r="V392" s="1408">
        <f t="shared" si="966"/>
        <v>1</v>
      </c>
      <c r="W392" s="1408">
        <f t="shared" si="966"/>
        <v>1</v>
      </c>
      <c r="X392" s="1408">
        <f t="shared" si="966"/>
        <v>1</v>
      </c>
      <c r="Y392" s="1408">
        <f t="shared" si="966"/>
        <v>1</v>
      </c>
      <c r="Z392" s="1408">
        <f t="shared" si="966"/>
        <v>1</v>
      </c>
      <c r="AA392" s="1408">
        <f t="shared" si="966"/>
        <v>1</v>
      </c>
      <c r="AB392" s="1408">
        <f t="shared" si="966"/>
        <v>1</v>
      </c>
      <c r="AC392" s="1408">
        <f t="shared" si="966"/>
        <v>1</v>
      </c>
      <c r="AD392" s="1408">
        <f t="shared" si="966"/>
        <v>1</v>
      </c>
      <c r="AE392" s="1408">
        <f t="shared" si="966"/>
        <v>1</v>
      </c>
      <c r="AF392" s="1408">
        <f t="shared" si="966"/>
        <v>1</v>
      </c>
      <c r="AG392" s="1408">
        <f t="shared" si="966"/>
        <v>1</v>
      </c>
      <c r="AH392" s="1408">
        <f t="shared" si="966"/>
        <v>1</v>
      </c>
      <c r="AI392" s="1408">
        <f t="shared" si="966"/>
        <v>1</v>
      </c>
      <c r="AJ392" s="1408">
        <f t="shared" si="966"/>
        <v>1</v>
      </c>
      <c r="AK392" s="1415">
        <v>1</v>
      </c>
      <c r="AL392" s="1415">
        <v>1</v>
      </c>
      <c r="AM392" s="1408">
        <f>AN392</f>
        <v>1</v>
      </c>
      <c r="AN392" s="1415">
        <v>1</v>
      </c>
      <c r="AO392" s="1408">
        <f>AP392</f>
        <v>1</v>
      </c>
      <c r="AP392" s="1408">
        <f>AQ392</f>
        <v>1</v>
      </c>
      <c r="AQ392" s="1415">
        <v>1</v>
      </c>
      <c r="AR392" s="1408">
        <f>AS392</f>
        <v>1</v>
      </c>
      <c r="AS392" s="1408">
        <f>AT392</f>
        <v>1</v>
      </c>
      <c r="AT392" s="1415">
        <v>1</v>
      </c>
      <c r="AU392" s="1408">
        <f>AV392</f>
        <v>1</v>
      </c>
      <c r="AV392" s="1408">
        <f>AW392</f>
        <v>1</v>
      </c>
      <c r="AW392" s="1415">
        <v>1</v>
      </c>
      <c r="AX392" s="1408">
        <f>AY392</f>
        <v>1</v>
      </c>
      <c r="AY392" s="1408">
        <f>AZ392</f>
        <v>1</v>
      </c>
      <c r="AZ392" s="1415">
        <v>1</v>
      </c>
      <c r="BA392" s="1415">
        <v>1</v>
      </c>
      <c r="BB392" s="1415">
        <v>1</v>
      </c>
      <c r="BC392" s="1415">
        <v>1</v>
      </c>
      <c r="BD392" s="1415">
        <v>1</v>
      </c>
      <c r="BE392" s="1415">
        <v>1</v>
      </c>
      <c r="BF392" s="1415">
        <v>1</v>
      </c>
      <c r="BG392" s="1415">
        <v>1</v>
      </c>
      <c r="BH392" s="1415">
        <v>1</v>
      </c>
      <c r="BI392" s="1415">
        <v>1</v>
      </c>
      <c r="BJ392" s="1415">
        <v>1</v>
      </c>
      <c r="BK392" s="1415">
        <v>1</v>
      </c>
      <c r="BL392" s="1415">
        <v>1</v>
      </c>
      <c r="BM392" s="1415">
        <v>1</v>
      </c>
      <c r="BN392" s="1415">
        <v>1</v>
      </c>
      <c r="BO392" s="1415">
        <v>1</v>
      </c>
      <c r="BP392" s="1415">
        <v>1</v>
      </c>
      <c r="BQ392" s="1415">
        <v>1</v>
      </c>
      <c r="BR392" s="1415">
        <v>1</v>
      </c>
      <c r="BS392" s="1415">
        <v>1</v>
      </c>
      <c r="BT392" s="1415">
        <v>1</v>
      </c>
      <c r="BU392" s="1415">
        <v>1</v>
      </c>
      <c r="BV392" s="1415">
        <v>1</v>
      </c>
      <c r="BW392" s="1415">
        <v>1</v>
      </c>
      <c r="BX392" s="1415">
        <v>1</v>
      </c>
      <c r="BY392" s="1415">
        <v>1</v>
      </c>
      <c r="BZ392" s="1415">
        <v>1</v>
      </c>
      <c r="CA392" s="1415">
        <v>1</v>
      </c>
      <c r="CB392" s="1415">
        <v>1</v>
      </c>
      <c r="CC392" s="1415">
        <v>1</v>
      </c>
      <c r="CD392" s="1415">
        <v>1</v>
      </c>
      <c r="CE392" s="1415">
        <v>1</v>
      </c>
      <c r="CF392" s="1415">
        <v>1</v>
      </c>
      <c r="CG392" s="1415">
        <v>1</v>
      </c>
      <c r="CH392" s="1415">
        <v>1</v>
      </c>
      <c r="CI392" s="1415">
        <v>1</v>
      </c>
      <c r="CJ392" s="1415">
        <v>1</v>
      </c>
      <c r="CK392" s="1415">
        <v>1</v>
      </c>
      <c r="CL392" s="1415">
        <v>1</v>
      </c>
      <c r="CM392" s="1415">
        <v>1</v>
      </c>
      <c r="CN392" s="1415">
        <v>1</v>
      </c>
      <c r="CO392" s="1415">
        <v>1</v>
      </c>
      <c r="CP392" s="1415">
        <v>1</v>
      </c>
      <c r="CQ392" s="1415">
        <v>1</v>
      </c>
      <c r="CR392" s="1415">
        <v>1</v>
      </c>
      <c r="CS392" s="1415">
        <v>1</v>
      </c>
      <c r="CT392" s="1415">
        <v>1</v>
      </c>
      <c r="CU392" s="1415">
        <v>1</v>
      </c>
      <c r="CV392" s="1415">
        <v>1</v>
      </c>
      <c r="CW392" s="1415">
        <v>1</v>
      </c>
      <c r="CX392" s="1415">
        <v>1</v>
      </c>
      <c r="CY392" s="1415">
        <v>1</v>
      </c>
      <c r="CZ392" s="1415">
        <v>1</v>
      </c>
      <c r="DA392" s="1415">
        <v>1</v>
      </c>
      <c r="DB392" s="1415">
        <v>1</v>
      </c>
      <c r="DC392" s="1415">
        <v>1</v>
      </c>
      <c r="DD392" s="1415">
        <v>1</v>
      </c>
      <c r="DE392" s="1416">
        <v>1</v>
      </c>
      <c r="DF392" s="1415">
        <v>1</v>
      </c>
      <c r="DG392" s="1415">
        <v>1</v>
      </c>
      <c r="DH392" s="1416">
        <v>1</v>
      </c>
      <c r="DI392" s="1415">
        <v>1</v>
      </c>
      <c r="DJ392" s="1415">
        <v>1</v>
      </c>
      <c r="DK392" s="1416">
        <v>1</v>
      </c>
      <c r="DL392" s="1415">
        <v>1</v>
      </c>
      <c r="DM392" s="1415">
        <v>1</v>
      </c>
      <c r="DN392" s="1416">
        <v>1</v>
      </c>
      <c r="DO392" s="1415">
        <v>1</v>
      </c>
      <c r="DP392" s="1415">
        <v>1</v>
      </c>
      <c r="DQ392" s="1416">
        <v>1</v>
      </c>
      <c r="DR392" s="1411">
        <v>1</v>
      </c>
      <c r="DS392" s="1415">
        <v>1</v>
      </c>
      <c r="DT392" s="1416">
        <v>1</v>
      </c>
      <c r="DU392" s="1415">
        <v>1</v>
      </c>
      <c r="DV392" s="1415">
        <v>1</v>
      </c>
      <c r="DW392" s="1416">
        <v>1</v>
      </c>
      <c r="DX392" s="1415">
        <v>1</v>
      </c>
      <c r="DY392" s="1415">
        <v>1</v>
      </c>
      <c r="DZ392" s="1416">
        <v>1</v>
      </c>
      <c r="EA392" s="1415">
        <v>1</v>
      </c>
      <c r="EB392" s="1415">
        <v>1</v>
      </c>
      <c r="EC392" s="1416">
        <v>1</v>
      </c>
      <c r="ED392" s="1415">
        <v>1</v>
      </c>
      <c r="EE392" s="1415">
        <v>1</v>
      </c>
      <c r="EF392" s="1416">
        <v>1</v>
      </c>
      <c r="EG392" s="1415">
        <v>1</v>
      </c>
      <c r="EH392" s="1415">
        <v>1</v>
      </c>
      <c r="EI392" s="1416">
        <v>1</v>
      </c>
      <c r="EJ392" s="1415">
        <v>1</v>
      </c>
      <c r="EK392" s="1415">
        <v>1</v>
      </c>
      <c r="EL392" s="1416">
        <v>1</v>
      </c>
      <c r="EM392" s="1415">
        <v>1</v>
      </c>
      <c r="EN392" s="1415">
        <v>1</v>
      </c>
      <c r="EO392" s="1416">
        <v>1</v>
      </c>
      <c r="EP392" s="1415">
        <v>1</v>
      </c>
      <c r="EQ392" s="1415">
        <v>1</v>
      </c>
      <c r="ER392" s="1416">
        <v>1</v>
      </c>
      <c r="ES392" s="1415">
        <v>1</v>
      </c>
      <c r="ET392" s="1415">
        <v>1</v>
      </c>
      <c r="EU392" s="1416">
        <v>1</v>
      </c>
      <c r="EV392" s="1415">
        <v>1</v>
      </c>
      <c r="EW392" s="1415">
        <v>1</v>
      </c>
      <c r="EX392" s="1416">
        <v>1</v>
      </c>
      <c r="EY392" s="1415">
        <v>1</v>
      </c>
      <c r="EZ392" s="1415">
        <v>1</v>
      </c>
      <c r="FA392" s="1416">
        <v>1</v>
      </c>
      <c r="FD392"/>
      <c r="FE392"/>
      <c r="FF392"/>
      <c r="FG392"/>
      <c r="FH392"/>
      <c r="FI392"/>
    </row>
    <row r="393" spans="2:165" s="33" customFormat="1" ht="13.5" thickBot="1">
      <c r="B393" s="54" t="s">
        <v>378</v>
      </c>
      <c r="C393" s="54"/>
      <c r="D393" s="2"/>
      <c r="E393" s="1404">
        <f>+((E367*1)/E392)+(((E370*(E381/182.5))+(E371*(E382/182.5))+(E372*(E383/182.5))+(E373*(E384/182.5))+(E374*(E385/182.5))+(E375*(E386/182.5))+(E376*(E387/182.5)))/E392)+(E390/E392)</f>
        <v>0</v>
      </c>
      <c r="F393" s="1404">
        <f>+((F367*1)/E392)+(((F370*(F381/182.5))+(F371*(F382/182.5))+(F372*(F383/182.5))+(F373*(F384/182.5))+(F374*(F385/182.5))+(F375*(F386/182.5))+(F376*(F387/182.5)))/F392)+(F390/F392)</f>
        <v>0</v>
      </c>
      <c r="G393" s="1404">
        <f>+((E393+F393)/2)</f>
        <v>0</v>
      </c>
      <c r="H393" s="1404">
        <f>+((H367*1)/H392)+(((H370*(H381/182.5))+(H371*(H382/182.5))+(H372*(H383/182.5))+(H373*(H384/182.5))+(H374*(H385/182.5))+(H375*(H386/182.5))+(H376*(H387/182.5)))/H392)+(H390/H392)</f>
        <v>0</v>
      </c>
      <c r="I393" s="1404">
        <f>+((I367*1)/H392)+(((I370*(I381/182.5))+(I371*(I382/182.5))+(I372*(I383/182.5))+(I373*(I384/182.5))+(I374*(I385/182.5))+(I375*(I386/182.5))+(I376*(I387/182.5)))/I392)+(I390/I392)</f>
        <v>0</v>
      </c>
      <c r="J393" s="1404">
        <f>+((H393+I393)/2)</f>
        <v>0</v>
      </c>
      <c r="K393" s="1404">
        <f>+((K367*1)/K392)+(((K370*(K381/182.5))+(K371*(K382/182.5))+(K372*(K383/182.5))+(K373*(K384/182.5))+(K374*(K385/182.5))+(K375*(K386/182.5))+(K376*(K387/182.5)))/K392)+(K390/K392)</f>
        <v>0</v>
      </c>
      <c r="L393" s="1404">
        <f>+((L367*1)/K392)+(((L370*(L381/182.5))+(L371*(L382/182.5))+(L372*(L383/182.5))+(L373*(L384/182.5))+(L374*(L385/182.5))+(L375*(L386/182.5))+(L376*(L387/182.5)))/L392)+(L390/L392)</f>
        <v>0</v>
      </c>
      <c r="M393" s="1404">
        <f>+((K393+L393)/2)</f>
        <v>0</v>
      </c>
      <c r="N393" s="1404">
        <f>+((N367*1)/N392)+(((N370*(N381/182.5))+(N371*(N382/182.5))+(N372*(N383/182.5))+(N373*(N384/182.5))+(N374*(N385/182.5))+(N375*(N386/182.5))+(N376*(N387/182.5)))/N392)+(N390/N392)</f>
        <v>0</v>
      </c>
      <c r="O393" s="1404">
        <f>+((O367*1)/N392)+(((O370*(O381/182.5))+(O371*(O382/182.5))+(O372*(O383/182.5))+(O373*(O384/182.5))+(O374*(O385/182.5))+(O375*(O386/182.5))+(O376*(O387/182.5)))/O392)+(O390/O392)</f>
        <v>0</v>
      </c>
      <c r="P393" s="1404">
        <f>+((N393+O393)/2)</f>
        <v>0</v>
      </c>
      <c r="Q393" s="1404">
        <f>+((Q367*1)/Q392)+(((Q370*(Q381/182.5))+(Q371*(Q382/182.5))+(Q372*(Q383/182.5))+(Q373*(Q384/182.5))+(Q374*(Q385/182.5))+(Q375*(Q386/182.5))+(Q376*(Q387/182.5)))/Q392)+(Q390/Q392)</f>
        <v>0</v>
      </c>
      <c r="R393" s="1404">
        <f>+((R367*1)/Q392)+(((R370*(R381/182.5))+(R371*(R382/182.5))+(R372*(R383/182.5))+(R373*(R384/182.5))+(R374*(R385/182.5))+(R375*(R386/182.5))+(R376*(R387/182.5)))/R392)+(R390/R392)</f>
        <v>0</v>
      </c>
      <c r="S393" s="1404">
        <f>+((Q393+R393)/2)</f>
        <v>0</v>
      </c>
      <c r="T393" s="1404">
        <f>+((T367*1)/T392)+(((T370*(T381/182.5))+(T371*(T382/182.5))+(T372*(T383/182.5))+(T373*(T384/182.5))+(T374*(T385/182.5))+(T375*(T386/182.5))+(T376*(T387/182.5)))/T392)+(T390/T392)</f>
        <v>0</v>
      </c>
      <c r="U393" s="1404">
        <f>+((U367*1)/T392)+(((U370*(U381/182.5))+(U371*(U382/182.5))+(U372*(U383/182.5))+(U373*(U384/182.5))+(U374*(U385/182.5))+(U375*(U386/182.5))+(U376*(U387/182.5)))/U392)+(U390/U392)</f>
        <v>0</v>
      </c>
      <c r="V393" s="1404">
        <f>+((T393+U393)/2)</f>
        <v>0</v>
      </c>
      <c r="W393" s="1404">
        <f>+((W367*1)/W392)+(((W370*(W381/182.5))+(W371*(W382/182.5))+(W372*(W383/182.5))+(W373*(W384/182.5))+(W374*(W385/182.5))+(W375*(W386/182.5))+(W376*(W387/182.5)))/W392)+(W390/W392)</f>
        <v>0</v>
      </c>
      <c r="X393" s="1404">
        <f>+((X367*1)/W392)+(((X370*(X381/182.5))+(X371*(X382/182.5))+(X372*(X383/182.5))+(X373*(X384/182.5))+(X374*(X385/182.5))+(X375*(X386/182.5))+(X376*(X387/182.5)))/X392)+(X390/X392)</f>
        <v>0</v>
      </c>
      <c r="Y393" s="1404">
        <f>+((W393+X393)/2)</f>
        <v>0</v>
      </c>
      <c r="Z393" s="1404">
        <f>+((Z367*1)/Z392)+(((Z370*(Z381/182.5))+(Z371*(Z382/182.5))+(Z372*(Z383/182.5))+(Z373*(Z384/182.5))+(Z374*(Z385/182.5))+(Z375*(Z386/182.5))+(Z376*(Z387/182.5)))/Z392)+(Z390/Z392)</f>
        <v>0</v>
      </c>
      <c r="AA393" s="1404">
        <f>+((AA367*1)/Z392)+(((AA370*(AA381/182.5))+(AA371*(AA382/182.5))+(AA372*(AA383/182.5))+(AA373*(AA384/182.5))+(AA374*(AA385/182.5))+(AA375*(AA386/182.5))+(AA376*(AA387/182.5)))/AA392)+(AA390/AA392)</f>
        <v>0</v>
      </c>
      <c r="AB393" s="1404">
        <f>+((Z393+AA393)/2)</f>
        <v>0</v>
      </c>
      <c r="AC393" s="1404">
        <f>+((AC367*1)/AC392)+(((AC370*(AC381/182.5))+(AC371*(AC382/182.5))+(AC372*(AC383/182.5))+(AC373*(AC384/182.5))+(AC374*(AC385/182.5))+(AC375*(AC386/182.5))+(AC376*(AC387/182.5)))/AC392)+(AC390/AC392)</f>
        <v>0</v>
      </c>
      <c r="AD393" s="1404">
        <f>+((AD367*1)/AC392)+(((AD370*(AD381/182.5))+(AD371*(AD382/182.5))+(AD372*(AD383/182.5))+(AD373*(AD384/182.5))+(AD374*(AD385/182.5))+(AD375*(AD386/182.5))+(AD376*(AD387/182.5)))/AD392)+(AD390/AD392)</f>
        <v>0</v>
      </c>
      <c r="AE393" s="1404">
        <f>+((AC393+AD393)/2)</f>
        <v>0</v>
      </c>
      <c r="AF393" s="1404">
        <f>+((AF367*1)/AF392)+(((AF370*(AF381/182.5))+(AF371*(AF382/182.5))+(AF372*(AF383/182.5))+(AF373*(AF384/182.5))+(AF374*(AF385/182.5))+(AF375*(AF386/182.5))+(AF376*(AF387/182.5)))/AF392)+(AF390/AF392)</f>
        <v>0</v>
      </c>
      <c r="AG393" s="1404">
        <f>+((AG367*1)/AF392)+(((AG370*(AG381/182.5))+(AG371*(AG382/182.5))+(AG372*(AG383/182.5))+(AG373*(AG384/182.5))+(AG374*(AG385/182.5))+(AG375*(AG386/182.5))+(AG376*(AG387/182.5)))/AG392)+(AG390/AG392)</f>
        <v>0</v>
      </c>
      <c r="AH393" s="1404">
        <f>+((AF393+AG393)/2)</f>
        <v>0</v>
      </c>
      <c r="AI393" s="1404">
        <f>+((AI367*1)/AI392)+(((AI370*(AI381/182.5))+(AI371*(AI382/182.5))+(AI372*(AI383/182.5))+(AI373*(AI384/182.5))+(AI374*(AI385/182.5))+(AI375*(AI386/182.5))+(AI376*(AI387/182.5)))/AI392)+(AI390/AI392)</f>
        <v>0</v>
      </c>
      <c r="AJ393" s="1404">
        <f>+((AJ367*1)/AI392)+(((AJ370*(AJ381/182.5))+(AJ371*(AJ382/182.5))+(AJ372*(AJ383/182.5))+(AJ373*(AJ384/182.5))+(AJ374*(AJ385/182.5))+(AJ375*(AJ386/182.5))+(AJ376*(AJ387/182.5)))/AJ392)+(AJ390/AJ392)</f>
        <v>0</v>
      </c>
      <c r="AK393" s="1404">
        <f>AQ393</f>
        <v>393.78300000000002</v>
      </c>
      <c r="AL393" s="1404">
        <f>+((AL367*1)/AL392)+(((AL370*(AL381/182.5))+(AL371*(AL382/182.5))+(AL372*(AL383/182.5))+(AL373*(AL384/182.5))+(AL374*(AL385/182.5))+(AL375*(AL386/182.5))+(AL376*(AL387/182.5)))/AL392)+(AL390/AL392)</f>
        <v>0</v>
      </c>
      <c r="AM393" s="1404">
        <f>+((AM367*1)/AL392)+(((AM370*(AM381/182.5))+(AM371*(AM382/182.5))+(AM372*(AM383/182.5))+(AM373*(AM384/182.5))+(AM374*(AM385/182.5))+(AM375*(AM386/182.5))+(AM376*(AM387/182.5)))/AM392)+(AM390/AM392)</f>
        <v>0</v>
      </c>
      <c r="AN393" s="1404">
        <f>AQ393</f>
        <v>393.78300000000002</v>
      </c>
      <c r="AO393" s="1404">
        <f>+((AO367*1)/AO392)+(((AO370*(AO381/182.5))+(AO371*(AO382/182.5))+(AO372*(AO383/182.5))+(AO373*(AO384/182.5))+(AO374*(AO385/182.5))+(AO375*(AO386/182.5))+(AO376*(AO387/182.5)))/AO392)+(AO390/AO392)</f>
        <v>0</v>
      </c>
      <c r="AP393" s="1404">
        <f>+((AP367*1)/AO392)+(((AP370*(AP381/182.5))+(AP371*(AP382/182.5))+(AP372*(AP383/182.5))+(AP373*(AP384/182.5))+(AP374*(AP385/182.5))+(AP375*(AP386/182.5))+(AP376*(AP387/182.5)))/AP392)+(AP390/AP392)</f>
        <v>0</v>
      </c>
      <c r="AQ393" s="1404">
        <f>AT393</f>
        <v>393.78300000000002</v>
      </c>
      <c r="AR393" s="1404">
        <f>+((AR367*1)/AR392)+(((AR370*(AR381/182.5))+(AR371*(AR382/182.5))+(AR372*(AR383/182.5))+(AR373*(AR384/182.5))+(AR374*(AR385/182.5))+(AR375*(AR386/182.5))+(AR376*(AR387/182.5)))/AR392)+(AR390/AR392)</f>
        <v>0</v>
      </c>
      <c r="AS393" s="1404">
        <f>+((AS367*1)/AR392)+(((AS370*(AS381/182.5))+(AS371*(AS382/182.5))+(AS372*(AS383/182.5))+(AS373*(AS384/182.5))+(AS374*(AS385/182.5))+(AS375*(AS386/182.5))+(AS376*(AS387/182.5)))/AS392)+(AS390/AS392)</f>
        <v>0</v>
      </c>
      <c r="AT393" s="1404">
        <f>AW389</f>
        <v>393.78300000000002</v>
      </c>
      <c r="AU393" s="1404">
        <f>(+((AU367*1)/AU392)+(((AU370*(AU381/182.5))+(AU371*(AU382/182.5))+(AU372*(AU383/182.5))+(AU373*(AU384/182.5))+(AU374*(AU385/182.5))+(AU375*(AU386/182.5))+(AU376*(AU387/182.5)))/AU392)+(AU390/AU392))*3</f>
        <v>400.53300000000002</v>
      </c>
      <c r="AV393" s="1404">
        <f>+((AV367*1)/AU392)+(((AV370*(AV381/182.5))+(AV371*(AV382/182.5))+(AV372*(AV383/182.5))+(AV373*(AV384/182.5))+(AV374*(AV385/182.5))+(AV375*(AV386/182.5))+(AV376*(AV387/182.5)))/AV392)+(AV390/AV392)</f>
        <v>395.733</v>
      </c>
      <c r="AW393" s="1404">
        <f>+((AU393+AV393)/2)</f>
        <v>398.13300000000004</v>
      </c>
      <c r="AX393" s="1404">
        <f>+((AX367*1)/AX392)+(((AX370*(AX381/182.5))+(AX371*(AX382/182.5))+(AX372*(AX383/182.5))+(AX373*(AX384/182.5))+(AX374*(AX385/182.5))+(AX375*(AX386/182.5))+(AX376*(AX387/182.5)))/AX392)+(AX390/AX392)</f>
        <v>397.899</v>
      </c>
      <c r="AY393" s="1404">
        <f>+((AY367*1)/AX392)+(((AY370*(AY381/182.5))+(AY371*(AY382/182.5))+(AY372*(AY383/182.5))+(AY373*(AY384/182.5))+(AY374*(AY385/182.5))+(AY375*(AY386/182.5))+(AY376*(AY387/182.5)))/AY392)+(AY390/AY392)</f>
        <v>398.83280200000002</v>
      </c>
      <c r="AZ393" s="1404">
        <f>+((AX393+AY393)/2)</f>
        <v>398.36590100000001</v>
      </c>
      <c r="BA393" s="1404">
        <f>+((BA367*1)/BA392)+(((BA370*(BA381/182.5))+(BA371*(BA382/182.5))+(BA372*(BA383/182.5))+(BA373*(BA384/182.5))+(BA374*(BA385/182.5))+(BA375*(BA386/182.5))+(BA376*(BA387/182.5)))/BA392)+(BA390/BA392)</f>
        <v>451.10180200000002</v>
      </c>
      <c r="BB393" s="1404">
        <f>+((BB367*1)/BA392)+(((BB370*(BB381/182.5))+(BB371*(BB382/182.5))+(BB372*(BB383/182.5))+(BB373*(BB384/182.5))+(BB374*(BB385/182.5))+(BB375*(BB386/182.5))+(BB376*(BB387/182.5)))/BB392)+(BB390/BB392)</f>
        <v>452.80222600000002</v>
      </c>
      <c r="BC393" s="1404">
        <f>+((BA393+BB393)/2)</f>
        <v>451.95201400000002</v>
      </c>
      <c r="BD393" s="1404">
        <f>+((BD367*1)/BD392)+(((BD370*(BD381/182.5))+(BD371*(BD382/182.5))+(BD372*(BD383/182.5))+(BD373*(BD384/182.5))+(BD374*(BD385/182.5))+(BD375*(BD386/182.5))+(BD376*(BD387/182.5)))/BD392)+(BD390/BD392)</f>
        <v>477.63174769863014</v>
      </c>
      <c r="BE393" s="1404">
        <f>+((BE367*1)/BD392)+(((BE370*(BE381/182.5))+(BE371*(BE382/182.5))+(BE372*(BE383/182.5))+(BE373*(BE384/182.5))+(BE374*(BE385/182.5))+(BE375*(BE386/182.5))+(BE376*(BE387/182.5)))/BE392)+(BE390/BE392)</f>
        <v>477.97492500000004</v>
      </c>
      <c r="BF393" s="1404">
        <f>+((BD393+BE393)/2)</f>
        <v>477.80333634931509</v>
      </c>
      <c r="BG393" s="1404">
        <f>+((BG367*1)/BG392)+(((BG370*(BG381/182.5))+(BG371*(BG382/182.5))+(BG372*(BG383/182.5))+(BG373*(BG384/182.5))+(BG374*(BG385/182.5))+(BG375*(BG386/182.5))+(BG376*(BG387/182.5)))/BG392)+(BG390/BG392)</f>
        <v>477.97492500000004</v>
      </c>
      <c r="BH393" s="1404">
        <f>+((BH367*1)/BG392)+(((BH370*(BH381/182.5))+(BH371*(BH382/182.5))+(BH372*(BH383/182.5))+(BH373*(BH384/182.5))+(BH374*(BH385/182.5))+(BH375*(BH386/182.5))+(BH376*(BH387/182.5)))/BH392)+(BH390/BH392)</f>
        <v>477.97492500000004</v>
      </c>
      <c r="BI393" s="1404">
        <f>+((BG393+BH393)/2)</f>
        <v>477.97492500000004</v>
      </c>
      <c r="BJ393" s="1404">
        <f>+((BJ367*1)/BJ392)+(((BJ370*(BJ381/182.5))+(BJ371*(BJ382/182.5))+(BJ372*(BJ383/182.5))+(BJ373*(BJ384/182.5))+(BJ374*(BJ385/182.5))+(BJ375*(BJ386/182.5))+(BJ376*(BJ387/182.5)))/BJ392)+(BJ390/BJ392)</f>
        <v>488.96520651780827</v>
      </c>
      <c r="BK393" s="1404">
        <f>+((BK367*1)/BJ392)+(((BK370*(BK381/182.5))+(BK371*(BK382/182.5))+(BK372*(BK383/182.5))+(BK373*(BK384/182.5))+(BK374*(BK385/182.5))+(BK375*(BK386/182.5))+(BK376*(BK387/182.5)))/BK392)+(BK390/BK392)</f>
        <v>587.25260377808229</v>
      </c>
      <c r="BL393" s="1404">
        <f>+((BJ393+BK393)/2)</f>
        <v>538.10890514794528</v>
      </c>
      <c r="BM393" s="1404">
        <f>+((BM367*1)/BM392)+(((BM370*(BM381/182.5))+(BM371*(BM382/182.5))+(BM372*(BM383/182.5))+(BM373*(BM384/182.5))+(BM374*(BM385/182.5))+(BM375*(BM386/182.5))+(BM376*(BM387/182.5)))/BM392)+(BM390/BM392)</f>
        <v>587.54438460000006</v>
      </c>
      <c r="BN393" s="1404">
        <f>+((BN367*1)/BM392)+(((BN370*(BN381/182.5))+(BN371*(BN382/182.5))+(BN372*(BN383/182.5))+(BN373*(BN384/182.5))+(BN374*(BN385/182.5))+(BN375*(BN386/182.5))+(BN376*(BN387/182.5)))/BN392)+(BN390/BN392)</f>
        <v>574.17101505205471</v>
      </c>
      <c r="BO393" s="1404">
        <f>+((BM393+BN393)/2)</f>
        <v>580.85769982602733</v>
      </c>
      <c r="BP393" s="1404">
        <f>+((BP367*1)/BP392)+(((BP370*(BP381/182.5))+(BP371*(BP382/182.5))+(BP372*(BP383/182.5))+(BP373*(BP384/182.5))+(BP374*(BP385/182.5))+(BP375*(BP386/182.5))+(BP376*(BP387/182.5)))/BP392)+(BP390/BP392)</f>
        <v>547.12991916164378</v>
      </c>
      <c r="BQ393" s="1404">
        <f>+((BQ367*1)/BP392)+(((BQ370*(BQ381/182.5))+(BQ371*(BQ382/182.5))+(BQ372*(BQ383/182.5))+(BQ373*(BQ384/182.5))+(BQ374*(BQ385/182.5))+(BQ375*(BQ386/182.5))+(BQ376*(BQ387/182.5)))/BQ392)+(BQ390/BQ392)</f>
        <v>560.20557959999996</v>
      </c>
      <c r="BR393" s="1404">
        <f>+((BP393+BQ393)/2)</f>
        <v>553.66774938082187</v>
      </c>
      <c r="BS393" s="1404">
        <f>+((BS367*1)/BS392)+(((BS370*(BS381/182.5))+(BS371*(BS382/182.5))+(BS372*(BS383/182.5))+(BS373*(BS384/182.5))+(BS374*(BS385/182.5))+(BS375*(BS386/182.5))+(BS376*(BS387/182.5)))/BS392)+(BS390/BS392)</f>
        <v>547.34659259999989</v>
      </c>
      <c r="BT393" s="1404">
        <f>+((BT367*1)/BS392)+(((BT370*(BT381/182.5))+(BT371*(BT382/182.5))+(BT372*(BT383/182.5))+(BT373*(BT384/182.5))+(BT374*(BT385/182.5))+(BT375*(BT386/182.5))+(BT376*(BT387/182.5)))/BT392)+(BT390/BT392)</f>
        <v>547.34659259999989</v>
      </c>
      <c r="BU393" s="1404">
        <f>+((BS393+BT393)/2)</f>
        <v>547.34659259999989</v>
      </c>
      <c r="BV393" s="1404">
        <f>+((BV367*1)/BV392)+(((BV370*(BV381/182.5))+(BV371*(BV382/182.5))+(BV372*(BV383/182.5))+(BV373*(BV384/182.5))+(BV374*(BV385/182.5))+(BV375*(BV386/182.5))+(BV376*(BV387/182.5)))/BV392)+(BV390/BV392)</f>
        <v>551.79809299999999</v>
      </c>
      <c r="BW393" s="1404">
        <f>+((BW367*1)/BV392)+(((BW370*(BW381/182.5))+(BW371*(BW382/182.5))+(BW372*(BW383/182.5))+(BW373*(BW384/182.5))+(BW374*(BW385/182.5))+(BW375*(BW386/182.5))+(BW376*(BW387/182.5)))/BW392)+(BW390/BW392)</f>
        <v>550.86759400000005</v>
      </c>
      <c r="BX393" s="1404">
        <f>+((BV393+BW393)/2)</f>
        <v>551.33284350000008</v>
      </c>
      <c r="BY393" s="1404">
        <f>+((BY367*1)/BY392)+(((BY370*(BY381/182.5))+(BY371*(BY382/182.5))+(BY372*(BY383/182.5))+(BY373*(BY384/182.5))+(BY374*(BY385/182.5))+(BY375*(BY386/182.5))+(BY376*(BY387/182.5)))/BY392)+(BY390/BY392)</f>
        <v>592.49654956324241</v>
      </c>
      <c r="BZ393" s="1404">
        <f>+((BZ367*1)/BY392)+(((BZ370*(BZ381/182.5))+(BZ371*(BZ382/182.5))+(BZ372*(BZ383/182.5))+(BZ373*(BZ384/182.5))+(BZ374*(BZ385/182.5))+(BZ375*(BZ386/182.5))+(BZ376*(BZ387/182.5)))/BZ392)+(BZ390/BZ392)</f>
        <v>604.28268099999991</v>
      </c>
      <c r="CA393" s="1404">
        <f>+((BY393+BZ393)/2)</f>
        <v>598.38961528162122</v>
      </c>
      <c r="CB393" s="1417">
        <f>+((CB367*1)/CB392)+(((CB370*(CB381/182.5))+(CB371*(CB382/182.5))+(CB372*(CB383/182.5))+(CB373*(CB384/182.5))+(CB374*(CB385/182.5))+(CB375*(CB386/182.5))+(CB376*(CB387/182.5)))/CB392)+(CB390/CB392)</f>
        <v>582.42821357988487</v>
      </c>
      <c r="CC393" s="1404">
        <f>+((CC367*1)/CB392)+(((CC370*(CC381/182.5))+(CC371*(CC382/182.5))+(CC372*(CC383/182.5))+(CC373*(CC384/182.5))+(CC374*(CC385/182.5))+(CC375*(CC386/182.5))+(CC376*(CC387/182.5)))/CC392)+(CC390/CC392)</f>
        <v>554.93255969863014</v>
      </c>
      <c r="CD393" s="1404">
        <f>+((CB393+CC393)/2)</f>
        <v>568.68038663925745</v>
      </c>
      <c r="CE393" s="1404">
        <f>+((CE367*1)/CE392)+(((CE370*(CE381/182.5))+(CE371*(CE382/182.5))+(CE372*(CE383/182.5))+(CE373*(CE384/182.5))+(CE374*(CE385/182.5))+(CE375*(CE386/182.5))+(CE376*(CE387/182.5)))/CE392)+(CE390/CE392)</f>
        <v>548.30753500000003</v>
      </c>
      <c r="CF393" s="1404">
        <f>CF391</f>
        <v>541.81111599999997</v>
      </c>
      <c r="CG393" s="1404">
        <f>CF393</f>
        <v>541.81111599999997</v>
      </c>
      <c r="CH393" s="1406">
        <f>524.986956</f>
        <v>524.98695599999996</v>
      </c>
      <c r="CI393" s="1404">
        <f>+((CI367*1)/CH392)+(((CI370*(CI381/182.5))+(CI371*(CI382/182.5))+(CI372*(CI383/182.5))+(CI373*(CI384/182.5))+(CI374*(CI385/182.5))+(CI375*(CI386/182.5))+(CI376*(CI387/182.5)))/CI392)+(CI390/CI392)</f>
        <v>515.24958015264667</v>
      </c>
      <c r="CJ393" s="1418">
        <f>+((CH393+CI393)/2)</f>
        <v>520.11826807632337</v>
      </c>
      <c r="CK393" s="1404">
        <f>+((CK367*1)/CK392)+(((CK370*(CK381/182.5))+(CK371*(CK382/182.5))+(CK372*(CK383/182.5))+(CK373*(CK384/182.5))+(CK374*(CK385/182.5))+(CK375*(CK386/182.5))+(CK376*(CK387/182.5)))/CK392)+(CK390/CK392)</f>
        <v>504.34388100000007</v>
      </c>
      <c r="CL393" s="1404">
        <f>+((CL367*1)/CK392)+(((CL370*(CL381/182.5))+(CL371*(CL382/182.5))+(CL372*(CL383/182.5))+(CL373*(CL384/182.5))+(CL374*(CL385/182.5))+(CL375*(CL386/182.5))+(CL376*(CL387/182.5)))/CL392)+(CL390/CL392)</f>
        <v>487.35218199999997</v>
      </c>
      <c r="CM393" s="1405">
        <v>500.31552399999998</v>
      </c>
      <c r="CN393" s="1404">
        <f>CN391</f>
        <v>486.91303499999998</v>
      </c>
      <c r="CO393" s="1404">
        <f>CO391</f>
        <v>487.15575200000001</v>
      </c>
      <c r="CP393" s="1404">
        <f>CP391</f>
        <v>485.62427000000002</v>
      </c>
      <c r="CQ393" s="1405">
        <v>475.767765</v>
      </c>
      <c r="CR393" s="1404">
        <f>+((CR367*1)/CQ392)+(((CR370*(CR381/182.5))+(CR371*(CR382/182.5))+(CR372*(CR383/182.5))+(CR373*(CR384/182.5))+(CR374*(CR385/182.5))+(CR375*(CR386/182.5))+(CR376*(CR387/182.5)))/CR392)+(CR390/CR392)</f>
        <v>471.67751898910473</v>
      </c>
      <c r="CS393" s="1405">
        <v>473.16522500000002</v>
      </c>
      <c r="CT393" s="1404">
        <f>+((CT367*1)/CT392)+(((CT370*(CT381/182.5))+(CT371*(CT382/182.5))+(CT372*(CT383/182.5))+(CT373*(CT384/182.5))+(CT374*(CT385/182.5))+(CT375*(CT386/182.5))+(CT376*(CT387/182.5)))/CT392)+(CT390/CT392)</f>
        <v>465.246576</v>
      </c>
      <c r="CU393" s="1404">
        <f>+((CU367*1)/CT392)+(((CU370*(CU381/182.5))+(CU371*(CU382/182.5))+(CU372*(CU383/182.5))+(CU373*(CU384/182.5))+(CU374*(CU385/182.5))+(CU375*(CU386/182.5))+(CU376*(CU387/182.5)))/CU392)+(CU390/CU392)</f>
        <v>459.91675028767122</v>
      </c>
      <c r="CV393" s="1404">
        <f>+((CT393+CU393)/2)</f>
        <v>462.58166314383561</v>
      </c>
      <c r="CW393" s="1404">
        <f>+((CW367*1)/CW392)+(((CW370*(CW381/182.5))+(CW371*(CW382/182.5))+(CW372*(CW383/182.5))+(CW373*(CW384/182.5))+(CW374*(CW385/182.5))+(CW375*(CW386/182.5))+(CW376*(CW387/182.5)))/CW392)+(CW390/CW392)</f>
        <v>457.52307900000005</v>
      </c>
      <c r="CX393" s="1404">
        <f>+((CX367*1)/CW392)+(((CX370*(CX381/182.5))+(CX371*(CX382/182.5))+(CX372*(CX383/182.5))+(CX373*(CX384/182.5))+(CX374*(CX385/182.5))+(CX375*(CX386/182.5))+(CX376*(CX387/182.5)))/CX392)+(CX390/CX392)</f>
        <v>455.93023553424661</v>
      </c>
      <c r="CY393" s="1404">
        <f>+CY391</f>
        <v>456.37464799999998</v>
      </c>
      <c r="CZ393" s="1404">
        <f>+((CZ367*1)/CZ392)+(((CZ370*(CZ381/182.5))+(CZ371*(CZ382/182.5))+(CZ372*(CZ383/182.5))+(CZ373*(CZ384/182.5))+(CZ374*(CZ385/182.5))+(CZ375*(CZ386/182.5))+(CZ376*(CZ387/182.5)))/CZ392)+(CZ390/CZ392)</f>
        <v>454.56152300000008</v>
      </c>
      <c r="DA393" s="1404">
        <f>+((DA367*1)/CZ392)+(((DA370*(DA381/182.5))+(DA371*(DA382/182.5))+(DA372*(DA383/182.5))+(DA373*(DA384/182.5))+(DA374*(DA385/182.5))+(DA375*(DA386/182.5))+(DA376*(DA387/182.5)))/DA392)+(DA390/DA392)</f>
        <v>454.56152300000008</v>
      </c>
      <c r="DB393" s="1404">
        <f>+((CZ393+DA393)/2)</f>
        <v>454.56152300000008</v>
      </c>
      <c r="DC393" s="1404">
        <f>+((DC367*1)/DC392)+(((DC370*(DC381/182.5))+(DC371*(DC382/182.5))+(DC372*(DC383/182.5))+(DC373*(DC384/182.5))+(DC374*(DC385/182.5))+(DC375*(DC386/182.5))+(DC376*(DC387/182.5)))/DC392)+(DC390/DC392)</f>
        <v>454.52275000000009</v>
      </c>
      <c r="DD393" s="1404">
        <f>+((DD367*1)/DC392)+(((DD370*(DD381/182.5))+(DD371*(DD382/182.5))+(DD372*(DD383/182.5))+(DD373*(DD384/182.5))+(DD374*(DD385/182.5))+(DD375*(DD386/182.5))+(DD376*(DD387/182.5)))/DD392)+(DD390/DD392)</f>
        <v>454.07996700000012</v>
      </c>
      <c r="DE393" s="1407">
        <f>+((DC393+DD393)/2)</f>
        <v>454.30135850000011</v>
      </c>
      <c r="DF393" s="1404">
        <f>+((DF367*1)/DF392)+(((DF370*(DF381/182.5))+(DF371*(DF382/182.5))+(DF372*(DF383/182.5))+(DF373*(DF384/182.5))+(DF374*(DF385/182.5))+(DF375*(DF386/182.5))+(DF376*(DF387/182.5)))/DF392)+(DF390/DF392)</f>
        <v>455.41136200000005</v>
      </c>
      <c r="DG393" s="1404">
        <f>+((DG367*1)/DF392)+(((DG370*(DG381/182.5))+(DG371*(DG382/182.5))+(DG372*(DG383/182.5))+(DG373*(DG384/182.5))+(DG374*(DG385/182.5))+(DG375*(DG386/182.5))+(DG376*(DG387/182.5)))/DG392)+(DG390/DG392)</f>
        <v>455.6619957923516</v>
      </c>
      <c r="DH393" s="1407">
        <f>+((DF393+DG393)/2)</f>
        <v>455.53667889617583</v>
      </c>
      <c r="DI393" s="1404">
        <f>+((DI367*1)/DI392)+(((DI370*(DI381/182.5))+(DI371*(DI382/182.5))+(DI372*(DI383/182.5))+(DI373*(DI384/182.5))+(DI374*(DI385/182.5))+(DI375*(DI386/182.5))+(DI376*(DI387/182.5)))/DI392)+(DI390/DI392)</f>
        <v>456.06193649315065</v>
      </c>
      <c r="DJ393" s="1404">
        <f>+((DJ367*1)/DI392)+(((DJ370*(DJ381/182.5))+(DJ371*(DJ382/182.5))+(DJ372*(DJ383/182.5))+(DJ373*(DJ384/182.5))+(DJ374*(DJ385/182.5))+(DJ375*(DJ386/182.5))+(DJ376*(DJ387/182.5)))/DJ392)+(DJ390/DJ392)</f>
        <v>456.41235355479455</v>
      </c>
      <c r="DK393" s="1407">
        <f>+((DI393+DJ393)/2)</f>
        <v>456.23714502397263</v>
      </c>
      <c r="DL393" s="1404">
        <f>DL391</f>
        <v>458.11331899999999</v>
      </c>
      <c r="DM393" s="1404">
        <f>+((DM367*1)/DL392)+(((DM370*(DM381/182.5))+(DM371*(DM382/182.5))+(DM372*(DM383/182.5))+(DM373*(DM384/182.5))+(DM374*(DM385/182.5))+(DM375*(DM386/182.5))+(DM376*(DM387/182.5)))/DM392)+(DM390/DM392)</f>
        <v>480.11072200000001</v>
      </c>
      <c r="DN393" s="1407">
        <f>+((DL393+DM393)/2)</f>
        <v>469.11202049999997</v>
      </c>
      <c r="DO393" s="1404">
        <f>+((DO367*1)/DO392)+(((DO370*(DO381/182.5))+(DO371*(DO382/182.5))+(DO372*(DO383/182.5))+(DO373*(DO384/182.5))+(DO374*(DO385/182.5))+(DO375*(DO386/182.5))+(DO376*(DO387/182.5)))/DO392)+(DO390/DO392)</f>
        <v>483.62767500000001</v>
      </c>
      <c r="DP393" s="1404">
        <f>+((DP367*1)/DO392)+(((DP370*(DP381/182.5))+(DP371*(DP382/182.5))+(DP372*(DP383/182.5))+(DP373*(DP384/182.5))+(DP374*(DP385/182.5))+(DP375*(DP386/182.5))+(DP376*(DP387/182.5)))/DP392)+(DP390/DP392)</f>
        <v>483.88645000000002</v>
      </c>
      <c r="DQ393" s="1407">
        <f>+((DO393+DP393)/2)</f>
        <v>483.75706250000002</v>
      </c>
      <c r="DR393" s="1404">
        <f>+((DR367*1)/DR392)+(((DR370*(DR381/182.5))+(DR371*(DR382/182.5))+(DR372*(DR383/182.5))+(DR373*(DR384/182.5))+(DR374*(DR385/182.5))+(DR375*(DR386/182.5))+(DR376*(DR387/182.5)))/DR392)+(DR390/DR392)</f>
        <v>484.95540899999997</v>
      </c>
      <c r="DS393" s="1404">
        <f>+((DS367*1)/DR392)+(((DS370*(DS381/182.5))+(DS371*(DS382/182.5))+(DS372*(DS383/182.5))+(DS373*(DS384/182.5))+(DS374*(DS385/182.5))+(DS375*(DS386/182.5))+(DS376*(DS387/182.5)))/DS392)+(DS390/DS392)</f>
        <v>485.28171299999997</v>
      </c>
      <c r="DT393" s="1407">
        <f>+((DR393+DS393)/2)</f>
        <v>485.118561</v>
      </c>
      <c r="DU393" s="1404">
        <f>+((DU367*1)/DU392)+(((DU370*(DU381/182.5))+(DU371*(DU382/182.5))+(DU372*(DU383/182.5))+(DU373*(DU384/182.5))+(DU374*(DU385/182.5))+(DU375*(DU386/182.5))+(DU376*(DU387/182.5)))/DU392)+(DU390/DU392)</f>
        <v>485.45983999999999</v>
      </c>
      <c r="DV393" s="1404">
        <f>+((DV367*1)/DU392)+(((DV370*(DV381/182.5))+(DV371*(DV382/182.5))+(DV372*(DV383/182.5))+(DV373*(DV384/182.5))+(DV374*(DV385/182.5))+(DV375*(DV386/182.5))+(DV376*(DV387/182.5)))/DV392)+(DV390/DV392)</f>
        <v>485.61931199999998</v>
      </c>
      <c r="DW393" s="1407">
        <f>+((DU393+DV393)/2)</f>
        <v>485.53957600000001</v>
      </c>
      <c r="DX393" s="1404">
        <f>+((DX367*1)/DX392)+(((DX370*(DX381/182.5))+(DX371*(DX382/182.5))+(DX372*(DX383/182.5))+(DX373*(DX384/182.5))+(DX374*(DX385/182.5))+(DX375*(DX386/182.5))+(DX376*(DX387/182.5)))/DX392)+(DX390/DX392)</f>
        <v>484.12679661538459</v>
      </c>
      <c r="DY393" s="1404">
        <f>+((DY367*1)/DX392)+(((DY370*(DY381/182.5))+(DY371*(DY382/182.5))+(DY372*(DY383/182.5))+(DY373*(DY384/182.5))+(DY374*(DY385/182.5))+(DY375*(DY386/182.5))+(DY376*(DY387/182.5)))/DY392)+(DY390/DY392)</f>
        <v>482.04744077655675</v>
      </c>
      <c r="DZ393" s="1407">
        <f>+((DX393+DY393)/2)</f>
        <v>483.08711869597067</v>
      </c>
      <c r="EA393" s="1404">
        <f>+((EA367*1)/EA392)+(((EA370*(EA381/182.5))+(EA371*(EA382/182.5))+(EA372*(EA383/182.5))+(EA373*(EA384/182.5))+(EA374*(EA385/182.5))+(EA375*(EA386/182.5))+(EA376*(EA387/182.5)))/EA392)+(EA390/EA392)</f>
        <v>480.11376782626894</v>
      </c>
      <c r="EB393" s="1404">
        <f>+((EB367*1)/EA392)+(((EB370*(EB381/182.5))+(EB371*(EB382/182.5))+(EB372*(EB383/182.5))+(EB373*(EB384/182.5))+(EB374*(EB385/182.5))+(EB375*(EB386/182.5))+(EB376*(EB387/182.5)))/EB392)+(EB390/EB392)</f>
        <v>478.27976844504246</v>
      </c>
      <c r="EC393" s="1407">
        <f>+((EA393+EB393)/2)</f>
        <v>479.1967681356557</v>
      </c>
      <c r="ED393" s="1404">
        <f>+((ED367*1)/ED392)+(((ED370*(ED381/182.5))+(ED371*(ED382/182.5))+(ED372*(ED383/182.5))+(ED373*(ED384/182.5))+(ED374*(ED385/182.5))+(ED375*(ED386/182.5))+(ED376*(ED387/182.5)))/ED392)+(ED390/ED392)</f>
        <v>476.54069627244581</v>
      </c>
      <c r="EE393" s="1404">
        <f>+((EE367*1)/ED392)+(((EE370*(EE381/182.5))+(EE371*(EE382/182.5))+(EE372*(EE383/182.5))+(EE373*(EE384/182.5))+(EE374*(EE385/182.5))+(EE375*(EE386/182.5))+(EE376*(EE387/182.5)))/EE392)+(EE390/EE392)</f>
        <v>474.89203096521089</v>
      </c>
      <c r="EF393" s="1407">
        <f>+((ED393+EE393)/2)</f>
        <v>475.71636361882838</v>
      </c>
      <c r="EG393" s="1404">
        <f>+((EG367*1)/EG392)+(((EG370*(EG381/182.5))+(EG371*(EG382/182.5))+(EG372*(EG383/182.5))+(EG373*(EG384/182.5))+(EG374*(EG385/182.5))+(EG375*(EG386/182.5))+(EG376*(EG387/182.5)))/EG392)+(EG390/EG392)</f>
        <v>475.05150296521089</v>
      </c>
      <c r="EH393" s="1404">
        <f>+((EH367*1)/EG392)+(((EH370*(EH381/182.5))+(EH371*(EH382/182.5))+(EH372*(EH383/182.5))+(EH373*(EH384/182.5))+(EH374*(EH385/182.5))+(EH375*(EH386/182.5))+(EH376*(EH387/182.5)))/EH392)+(EH390/EH392)</f>
        <v>475.21097496521088</v>
      </c>
      <c r="EI393" s="1407">
        <f>+((EG393+EH393)/2)</f>
        <v>475.13123896521085</v>
      </c>
      <c r="EJ393" s="1404">
        <f>+((EJ367*1)/EJ392)+(((EJ370*(EJ381/182.5))+(EJ371*(EJ382/182.5))+(EJ372*(EJ383/182.5))+(EJ373*(EJ384/182.5))+(EJ374*(EJ385/182.5))+(EJ375*(EJ386/182.5))+(EJ376*(EJ387/182.5)))/EJ392)+(EJ390/EJ392)</f>
        <v>475.37044696521087</v>
      </c>
      <c r="EK393" s="1404">
        <f>+((EK367*1)/EJ392)+(((EK370*(EK381/182.5))+(EK371*(EK382/182.5))+(EK372*(EK383/182.5))+(EK373*(EK384/182.5))+(EK374*(EK385/182.5))+(EK375*(EK386/182.5))+(EK376*(EK387/182.5)))/EK392)+(EK390/EK392)</f>
        <v>475.52991896521087</v>
      </c>
      <c r="EL393" s="1407">
        <f>+((EJ393+EK393)/2)</f>
        <v>475.45018296521084</v>
      </c>
      <c r="EM393" s="1404">
        <f>+((EM367*1)/EM392)+(((EM370*(EM381/182.5))+(EM371*(EM382/182.5))+(EM372*(EM383/182.5))+(EM373*(EM384/182.5))+(EM374*(EM385/182.5))+(EM375*(EM386/182.5))+(EM376*(EM387/182.5)))/EM392)+(EM390/EM392)</f>
        <v>475.68939096521086</v>
      </c>
      <c r="EN393" s="1404">
        <f>+((EN367*1)/EM392)+(((EN370*(EN381/182.5))+(EN371*(EN382/182.5))+(EN372*(EN383/182.5))+(EN373*(EN384/182.5))+(EN374*(EN385/182.5))+(EN375*(EN386/182.5))+(EN376*(EN387/182.5)))/EN392)+(EN390/EN392)</f>
        <v>475.84886296521086</v>
      </c>
      <c r="EO393" s="1407">
        <f>+((EM393+EN393)/2)</f>
        <v>475.76912696521083</v>
      </c>
      <c r="EP393" s="1404">
        <f>+((EP367*1)/EP392)+(((EP370*(EP381/182.5))+(EP371*(EP382/182.5))+(EP372*(EP383/182.5))+(EP373*(EP384/182.5))+(EP374*(EP385/182.5))+(EP375*(EP386/182.5))+(EP376*(EP387/182.5)))/EP392)+(EP390/EP392)</f>
        <v>476.00833496521085</v>
      </c>
      <c r="EQ393" s="1404">
        <f>+((EQ367*1)/EP392)+(((EQ370*(EQ381/182.5))+(EQ371*(EQ382/182.5))+(EQ372*(EQ383/182.5))+(EQ373*(EQ384/182.5))+(EQ374*(EQ385/182.5))+(EQ375*(EQ386/182.5))+(EQ376*(EQ387/182.5)))/EQ392)+(EQ390/EQ392)</f>
        <v>476.16780696521084</v>
      </c>
      <c r="ER393" s="1407">
        <f>+((EP393+EQ393)/2)</f>
        <v>476.08807096521082</v>
      </c>
      <c r="ES393" s="1404">
        <f>+((ES367*1)/ES392)+(((ES370*(ES381/182.5))+(ES371*(ES382/182.5))+(ES372*(ES383/182.5))+(ES373*(ES384/182.5))+(ES374*(ES385/182.5))+(ES375*(ES386/182.5))+(ES376*(ES387/182.5)))/ES392)+(ES390/ES392)</f>
        <v>476.32727896521084</v>
      </c>
      <c r="ET393" s="1404">
        <f>+((ET367*1)/ES392)+(((ET370*(ET381/182.5))+(ET371*(ET382/182.5))+(ET372*(ET383/182.5))+(ET373*(ET384/182.5))+(ET374*(ET385/182.5))+(ET375*(ET386/182.5))+(ET376*(ET387/182.5)))/ET392)+(ET390/ET392)</f>
        <v>476.48675096521083</v>
      </c>
      <c r="EU393" s="1407">
        <f>+((ES393+ET393)/2)</f>
        <v>476.40701496521081</v>
      </c>
      <c r="EV393" s="1404">
        <f>+((EV367*1)/EV392)+(((EV370*(EV381/182.5))+(EV371*(EV382/182.5))+(EV372*(EV383/182.5))+(EV373*(EV384/182.5))+(EV374*(EV385/182.5))+(EV375*(EV386/182.5))+(EV376*(EV387/182.5)))/EV392)+(EV390/EV392)</f>
        <v>476.64622296521082</v>
      </c>
      <c r="EW393" s="1404">
        <f>+((EW367*1)/EV392)+(((EW370*(EW381/182.5))+(EW371*(EW382/182.5))+(EW372*(EW383/182.5))+(EW373*(EW384/182.5))+(EW374*(EW385/182.5))+(EW375*(EW386/182.5))+(EW376*(EW387/182.5)))/EW392)+(EW390/EW392)</f>
        <v>476.80569496521082</v>
      </c>
      <c r="EX393" s="1407">
        <f>+((EV393+EW393)/2)</f>
        <v>476.72595896521079</v>
      </c>
      <c r="EY393" s="1404">
        <f>+((EY367*1)/EY392)+(((EY370*(EY381/182.5))+(EY371*(EY382/182.5))+(EY372*(EY383/182.5))+(EY373*(EY384/182.5))+(EY374*(EY385/182.5))+(EY375*(EY386/182.5))+(EY376*(EY387/182.5)))/EY392)+(EY390/EY392)</f>
        <v>476.96516696521081</v>
      </c>
      <c r="EZ393" s="1404">
        <f>+((EZ367*1)/EY392)+(((EZ370*(EZ381/182.5))+(EZ371*(EZ382/182.5))+(EZ372*(EZ383/182.5))+(EZ373*(EZ384/182.5))+(EZ374*(EZ385/182.5))+(EZ375*(EZ386/182.5))+(EZ376*(EZ387/182.5)))/EZ392)+(EZ390/EZ392)</f>
        <v>477.12463896521081</v>
      </c>
      <c r="FA393" s="1407">
        <f>+((EY393+EZ393)/2)</f>
        <v>477.04490296521078</v>
      </c>
      <c r="FD393"/>
      <c r="FE393"/>
      <c r="FF393"/>
      <c r="FG393"/>
      <c r="FH393"/>
      <c r="FI393"/>
    </row>
    <row r="394" spans="2:165" s="33" customFormat="1">
      <c r="B394" s="54"/>
      <c r="C394" s="54"/>
      <c r="D394" s="2"/>
      <c r="E394" s="1402"/>
      <c r="F394" s="1402"/>
      <c r="G394" s="1402"/>
      <c r="H394" s="1402"/>
      <c r="I394" s="1402"/>
      <c r="J394" s="1402"/>
      <c r="K394" s="1402"/>
      <c r="L394" s="1402"/>
      <c r="M394" s="1402"/>
      <c r="N394" s="1402"/>
      <c r="O394" s="1402"/>
      <c r="P394" s="1402"/>
      <c r="Q394" s="1402"/>
      <c r="R394" s="1402"/>
      <c r="S394" s="1402"/>
      <c r="T394" s="1402"/>
      <c r="U394" s="1402"/>
      <c r="V394" s="1402"/>
      <c r="W394" s="1402"/>
      <c r="X394" s="1402"/>
      <c r="Y394" s="1402"/>
      <c r="Z394" s="1402"/>
      <c r="AA394" s="1402"/>
      <c r="AB394" s="1402"/>
      <c r="AC394" s="1402"/>
      <c r="AD394" s="1402"/>
      <c r="AE394" s="1402"/>
      <c r="AF394" s="1402"/>
      <c r="AG394" s="1402"/>
      <c r="AH394" s="1402"/>
      <c r="AI394" s="1402"/>
      <c r="AJ394" s="1402"/>
      <c r="AK394" s="1402"/>
      <c r="AL394" s="1402"/>
      <c r="AM394" s="1402"/>
      <c r="AN394" s="1402"/>
      <c r="AO394" s="1402"/>
      <c r="AP394" s="1402"/>
      <c r="AQ394" s="1402"/>
      <c r="AR394" s="1402"/>
      <c r="AS394" s="1402"/>
      <c r="AT394" s="1402"/>
      <c r="AU394" s="1402"/>
      <c r="AV394" s="1402"/>
      <c r="AW394" s="1402"/>
      <c r="AX394" s="1402"/>
      <c r="AY394" s="1402"/>
      <c r="AZ394" s="1402"/>
      <c r="BA394" s="1402"/>
      <c r="BB394" s="1402"/>
      <c r="BC394" s="1402"/>
      <c r="BD394" s="1402"/>
      <c r="BE394" s="1402"/>
      <c r="BF394" s="1402"/>
      <c r="BG394" s="1402"/>
      <c r="BH394" s="1402"/>
      <c r="BI394" s="1402"/>
      <c r="BJ394" s="1402"/>
      <c r="BK394" s="1402"/>
      <c r="BL394" s="1402"/>
      <c r="BM394" s="1402"/>
      <c r="BN394" s="1402"/>
      <c r="BO394" s="1402"/>
      <c r="BP394" s="1402"/>
      <c r="BQ394" s="1402"/>
      <c r="BR394" s="1402"/>
      <c r="BS394" s="1402"/>
      <c r="BT394" s="1402"/>
      <c r="BU394" s="1402"/>
      <c r="BV394" s="1402"/>
      <c r="BW394" s="1402"/>
      <c r="BX394" s="1402"/>
      <c r="BY394" s="1402"/>
      <c r="BZ394" s="1402"/>
      <c r="CA394" s="1402"/>
      <c r="CB394" s="1402"/>
      <c r="CC394" s="1402"/>
      <c r="CD394" s="1402"/>
      <c r="CE394" s="1402"/>
      <c r="CF394" s="1402"/>
      <c r="CG394" s="57"/>
      <c r="CH394" s="1402"/>
      <c r="CI394" s="1402"/>
      <c r="CJ394" s="1402"/>
      <c r="CK394" s="1402"/>
      <c r="CL394" s="1402"/>
      <c r="CM394" s="1402"/>
      <c r="CN394" s="1402"/>
      <c r="CO394" s="1402"/>
      <c r="CP394" s="1402"/>
      <c r="CQ394" s="1402"/>
      <c r="CR394" s="1402"/>
      <c r="CS394" s="1402"/>
      <c r="CT394" s="1402"/>
      <c r="CU394" s="1402"/>
      <c r="CV394" s="1402"/>
      <c r="CW394" s="1402"/>
      <c r="CX394" s="1402"/>
      <c r="CY394" s="1402"/>
      <c r="CZ394" s="1402"/>
      <c r="DA394" s="1402"/>
      <c r="DB394" s="1402"/>
      <c r="DC394" s="1402"/>
      <c r="DD394" s="1402"/>
      <c r="DE394" s="1403"/>
      <c r="DF394" s="1402"/>
      <c r="DG394" s="1402"/>
      <c r="DH394" s="1403"/>
      <c r="DI394" s="1402"/>
      <c r="DJ394" s="1402"/>
      <c r="DK394" s="1403"/>
      <c r="DL394" s="1402"/>
      <c r="DM394" s="1402"/>
      <c r="DN394" s="1403"/>
      <c r="DO394" s="1402"/>
      <c r="DP394" s="1402"/>
      <c r="DQ394" s="1403"/>
      <c r="DR394" s="1402"/>
      <c r="DS394" s="1402"/>
      <c r="DT394" s="1403"/>
      <c r="DU394" s="1402"/>
      <c r="DV394" s="1402"/>
      <c r="DW394" s="1403"/>
      <c r="DX394" s="1402"/>
      <c r="DY394" s="1402"/>
      <c r="DZ394" s="1403"/>
      <c r="EA394" s="1402"/>
      <c r="EB394" s="1402"/>
      <c r="EC394" s="1403"/>
      <c r="ED394" s="1402"/>
      <c r="EE394" s="1402"/>
      <c r="EF394" s="1403"/>
      <c r="EG394" s="1402"/>
      <c r="EH394" s="1402"/>
      <c r="EI394" s="1403"/>
      <c r="EJ394" s="1402"/>
      <c r="EK394" s="1402"/>
      <c r="EL394" s="1403"/>
      <c r="EM394" s="1402"/>
      <c r="EN394" s="1402"/>
      <c r="EO394" s="1403"/>
      <c r="EP394" s="1402"/>
      <c r="EQ394" s="1402"/>
      <c r="ER394" s="1403"/>
      <c r="ES394" s="1402"/>
      <c r="ET394" s="1402"/>
      <c r="EU394" s="1403"/>
      <c r="EV394" s="1402"/>
      <c r="EW394" s="1402"/>
      <c r="EX394" s="1403"/>
      <c r="EY394" s="1402"/>
      <c r="EZ394" s="1402"/>
      <c r="FA394" s="1403"/>
      <c r="FD394"/>
      <c r="FE394"/>
      <c r="FF394"/>
      <c r="FG394"/>
      <c r="FH394"/>
      <c r="FI394"/>
    </row>
    <row r="395" spans="2:165" s="33" customFormat="1" ht="13.5" thickBot="1">
      <c r="B395" s="54" t="s">
        <v>42</v>
      </c>
      <c r="C395" s="54"/>
      <c r="D395" s="2"/>
      <c r="E395" s="1402"/>
      <c r="F395" s="1402"/>
      <c r="G395" s="1402"/>
      <c r="H395" s="1402"/>
      <c r="I395" s="1402"/>
      <c r="J395" s="1402"/>
      <c r="K395" s="1402"/>
      <c r="L395" s="1402"/>
      <c r="M395" s="1402"/>
      <c r="N395" s="1402"/>
      <c r="O395" s="1402"/>
      <c r="P395" s="1402"/>
      <c r="Q395" s="1402"/>
      <c r="R395" s="1402"/>
      <c r="S395" s="1402"/>
      <c r="T395" s="1402"/>
      <c r="U395" s="1402"/>
      <c r="V395" s="1402"/>
      <c r="W395" s="1402"/>
      <c r="X395" s="1402"/>
      <c r="Y395" s="1402"/>
      <c r="Z395" s="1402"/>
      <c r="AA395" s="1402"/>
      <c r="AB395" s="1402"/>
      <c r="AC395" s="1402"/>
      <c r="AD395" s="1402"/>
      <c r="AE395" s="1402"/>
      <c r="AF395" s="1402"/>
      <c r="AG395" s="1402"/>
      <c r="AH395" s="1402"/>
      <c r="AI395" s="1402"/>
      <c r="AJ395" s="1402"/>
      <c r="AK395" s="1402"/>
      <c r="AL395" s="1402"/>
      <c r="AM395" s="1402"/>
      <c r="AN395" s="1402"/>
      <c r="AO395" s="1402"/>
      <c r="AP395" s="1402"/>
      <c r="AQ395" s="1402"/>
      <c r="AR395" s="1402"/>
      <c r="AS395" s="1402"/>
      <c r="AT395" s="1402"/>
      <c r="AU395" s="1402"/>
      <c r="AV395" s="1402"/>
      <c r="AW395" s="1402"/>
      <c r="AX395" s="1402"/>
      <c r="AY395" s="1402"/>
      <c r="AZ395" s="1402"/>
      <c r="BA395" s="1402"/>
      <c r="BB395" s="1402"/>
      <c r="BC395" s="1402"/>
      <c r="BD395" s="1402"/>
      <c r="BE395" s="1402"/>
      <c r="BF395" s="1402"/>
      <c r="BG395" s="1402"/>
      <c r="BH395" s="1402"/>
      <c r="BI395" s="1402"/>
      <c r="BJ395" s="1402"/>
      <c r="BK395" s="1402"/>
      <c r="BL395" s="1402"/>
      <c r="BM395" s="1402"/>
      <c r="BN395" s="1402"/>
      <c r="BO395" s="1402"/>
      <c r="BP395" s="1402"/>
      <c r="BQ395" s="1402"/>
      <c r="BR395" s="1402"/>
      <c r="BS395" s="1402"/>
      <c r="BT395" s="1402"/>
      <c r="BU395" s="1402"/>
      <c r="BV395" s="1402"/>
      <c r="BW395" s="1402"/>
      <c r="BX395" s="1402"/>
      <c r="BY395" s="1402"/>
      <c r="BZ395" s="1402"/>
      <c r="CA395" s="1402"/>
      <c r="CB395" s="1402"/>
      <c r="CC395" s="1402"/>
      <c r="CD395" s="1402"/>
      <c r="CE395" s="1402"/>
      <c r="CF395" s="1402"/>
      <c r="CG395" s="1402"/>
      <c r="CH395" s="1402"/>
      <c r="CI395" s="1402"/>
      <c r="CJ395" s="1402"/>
      <c r="CK395" s="1402"/>
      <c r="CL395" s="1402"/>
      <c r="CM395" s="1402"/>
      <c r="CN395" s="1402"/>
      <c r="CO395" s="1402"/>
      <c r="CP395" s="1402"/>
      <c r="CQ395" s="1402"/>
      <c r="CR395" s="1402"/>
      <c r="CS395" s="1402"/>
      <c r="CT395" s="1402"/>
      <c r="CU395" s="1402"/>
      <c r="CV395" s="1402"/>
      <c r="CW395" s="1402"/>
      <c r="CX395" s="1402"/>
      <c r="CY395" s="1402"/>
      <c r="CZ395" s="1402"/>
      <c r="DA395" s="1402"/>
      <c r="DB395" s="1402"/>
      <c r="DC395" s="1402"/>
      <c r="DD395" s="1402"/>
      <c r="DE395" s="1403"/>
      <c r="DF395" s="1402"/>
      <c r="DG395" s="1402"/>
      <c r="DH395" s="1403"/>
      <c r="DI395" s="1402"/>
      <c r="DJ395" s="1402"/>
      <c r="DK395" s="1403"/>
      <c r="DL395" s="1402"/>
      <c r="DM395" s="1402"/>
      <c r="DN395" s="1403"/>
      <c r="DO395" s="1402"/>
      <c r="DP395" s="1402"/>
      <c r="DQ395" s="1403"/>
      <c r="DR395" s="1402"/>
      <c r="DS395" s="1402"/>
      <c r="DT395" s="1403"/>
      <c r="DU395" s="1402"/>
      <c r="DV395" s="1402"/>
      <c r="DW395" s="1403"/>
      <c r="DX395" s="1402"/>
      <c r="DY395" s="1402"/>
      <c r="DZ395" s="1403"/>
      <c r="EA395" s="1402"/>
      <c r="EB395" s="1402"/>
      <c r="EC395" s="1403"/>
      <c r="ED395" s="1402"/>
      <c r="EE395" s="1402"/>
      <c r="EF395" s="1403"/>
      <c r="EG395" s="1402"/>
      <c r="EH395" s="1402"/>
      <c r="EI395" s="1403"/>
      <c r="EJ395" s="1402"/>
      <c r="EK395" s="1402"/>
      <c r="EL395" s="1403"/>
      <c r="EM395" s="1402"/>
      <c r="EN395" s="1402"/>
      <c r="EO395" s="1403"/>
      <c r="EP395" s="1402"/>
      <c r="EQ395" s="1402"/>
      <c r="ER395" s="1403"/>
      <c r="ES395" s="1402"/>
      <c r="ET395" s="1402"/>
      <c r="EU395" s="1403"/>
      <c r="EV395" s="1402"/>
      <c r="EW395" s="1402"/>
      <c r="EX395" s="1403"/>
      <c r="EY395" s="1402"/>
      <c r="EZ395" s="1402"/>
      <c r="FA395" s="1403"/>
      <c r="FD395"/>
      <c r="FE395"/>
      <c r="FF395"/>
      <c r="FG395"/>
      <c r="FH395"/>
      <c r="FI395"/>
    </row>
    <row r="396" spans="2:165" s="33" customFormat="1" ht="13.5" thickBot="1">
      <c r="B396" s="54" t="s">
        <v>43</v>
      </c>
      <c r="C396" s="54"/>
      <c r="D396" s="2"/>
      <c r="E396" s="1419"/>
      <c r="F396" s="51">
        <f>+G396</f>
        <v>0</v>
      </c>
      <c r="G396" s="1294">
        <f>IF(Assumptions!G224&lt;&gt;"0",Assumptions!G224,0)</f>
        <v>0</v>
      </c>
      <c r="H396" s="1295">
        <f>IF(Assumptions!H224&lt;&gt;"0",Assumptions!H224,0)</f>
        <v>0</v>
      </c>
      <c r="I396" s="51">
        <f>+J396</f>
        <v>0</v>
      </c>
      <c r="J396" s="1294">
        <f>IF(Assumptions!J224&lt;&gt;"0",Assumptions!J224,0)</f>
        <v>0</v>
      </c>
      <c r="K396" s="1295">
        <f>IF(Assumptions!K224&lt;&gt;"0",Assumptions!K224,0)</f>
        <v>0</v>
      </c>
      <c r="L396" s="51">
        <f>+M396</f>
        <v>0</v>
      </c>
      <c r="M396" s="1294">
        <f>IF(Assumptions!M224&lt;&gt;"0",Assumptions!M224,0)</f>
        <v>0</v>
      </c>
      <c r="N396" s="1295">
        <f>IF(Assumptions!N224&lt;&gt;"0",Assumptions!N224,0)</f>
        <v>0</v>
      </c>
      <c r="O396" s="51">
        <f>+P396</f>
        <v>0</v>
      </c>
      <c r="P396" s="1294">
        <f>IF(Assumptions!P224&lt;&gt;"0",Assumptions!P224,0)</f>
        <v>0</v>
      </c>
      <c r="Q396" s="1295">
        <f>IF(Assumptions!Q224&lt;&gt;"0",Assumptions!Q224,0)</f>
        <v>0</v>
      </c>
      <c r="R396" s="51">
        <f>+S396</f>
        <v>0</v>
      </c>
      <c r="S396" s="1294">
        <f>IF(Assumptions!S224&lt;&gt;"0",Assumptions!S224,0)</f>
        <v>0</v>
      </c>
      <c r="T396" s="1295">
        <f>IF(Assumptions!T224&lt;&gt;"0",Assumptions!T224,0)</f>
        <v>0</v>
      </c>
      <c r="U396" s="51">
        <f>+V396</f>
        <v>0</v>
      </c>
      <c r="V396" s="1294">
        <f>IF(Assumptions!V224&lt;&gt;"0",Assumptions!V224,0)</f>
        <v>0</v>
      </c>
      <c r="W396" s="1295">
        <f>IF(Assumptions!W224&lt;&gt;"0",Assumptions!W224,0)</f>
        <v>0</v>
      </c>
      <c r="X396" s="51">
        <f>+Y396</f>
        <v>0</v>
      </c>
      <c r="Y396" s="1294">
        <f>IF(Assumptions!Y224&lt;&gt;"0",Assumptions!Y224,0)</f>
        <v>0</v>
      </c>
      <c r="Z396" s="1295">
        <f>IF(Assumptions!Z224&lt;&gt;"0",Assumptions!Z224,0)</f>
        <v>0</v>
      </c>
      <c r="AA396" s="51">
        <f>+AB396</f>
        <v>0</v>
      </c>
      <c r="AB396" s="1294">
        <f>IF(Assumptions!AB224&lt;&gt;"0",Assumptions!AB224,0)</f>
        <v>0</v>
      </c>
      <c r="AC396" s="1295">
        <f>IF(Assumptions!AC224&lt;&gt;"0",Assumptions!AC224,0)</f>
        <v>0</v>
      </c>
      <c r="AD396" s="51">
        <f>+AE396</f>
        <v>0</v>
      </c>
      <c r="AE396" s="1294">
        <f>IF(Assumptions!AE224&lt;&gt;"0",Assumptions!AE224,0)</f>
        <v>0</v>
      </c>
      <c r="AF396" s="1295">
        <f>IF(Assumptions!AF224&lt;&gt;"0",Assumptions!AF224,0)</f>
        <v>0</v>
      </c>
      <c r="AG396" s="51">
        <f>+AH396</f>
        <v>0</v>
      </c>
      <c r="AH396" s="1294">
        <f>IF(Assumptions!AH224&lt;&gt;"0",Assumptions!AH224,0)</f>
        <v>0</v>
      </c>
      <c r="AI396" s="1295">
        <f>IF(Assumptions!AI224&lt;&gt;"0",Assumptions!AI224,0)</f>
        <v>0</v>
      </c>
      <c r="AJ396" s="51">
        <f>+AK396</f>
        <v>0.06</v>
      </c>
      <c r="AK396" s="1294">
        <f>IF(Assumptions!AK224&lt;&gt;"0",Assumptions!AK224,0)</f>
        <v>0.06</v>
      </c>
      <c r="AL396" s="1295">
        <f>IF(Assumptions!AL224&lt;&gt;"0",Assumptions!AL224,0)</f>
        <v>0.06</v>
      </c>
      <c r="AM396" s="51">
        <f>+AN396</f>
        <v>0.06</v>
      </c>
      <c r="AN396" s="1294">
        <f>IF(Assumptions!AN224&lt;&gt;"0",Assumptions!AN224,0)</f>
        <v>0.06</v>
      </c>
      <c r="AO396" s="1295">
        <f>IF(Assumptions!AO224&lt;&gt;"0",Assumptions!AO224,0)</f>
        <v>0.06</v>
      </c>
      <c r="AP396" s="51">
        <f>+AQ396</f>
        <v>0.06</v>
      </c>
      <c r="AQ396" s="1294">
        <f>IF(Assumptions!AQ224&lt;&gt;"0",Assumptions!AQ224,0)</f>
        <v>0.06</v>
      </c>
      <c r="AR396" s="1295">
        <f>IF(Assumptions!AR224&lt;&gt;"0",Assumptions!AR224,0)</f>
        <v>0.06</v>
      </c>
      <c r="AS396" s="51">
        <f>+AT396</f>
        <v>0.06</v>
      </c>
      <c r="AT396" s="1294">
        <f>IF(Assumptions!AT224&lt;&gt;"0",Assumptions!AT224,0)</f>
        <v>0.06</v>
      </c>
      <c r="AU396" s="1295">
        <f>IF(Assumptions!AU224&lt;&gt;"0",Assumptions!AU224,0)</f>
        <v>0.05</v>
      </c>
      <c r="AV396" s="51">
        <f>+AW396</f>
        <v>0.05</v>
      </c>
      <c r="AW396" s="1294">
        <f>IF(Assumptions!AW224&lt;&gt;"0",Assumptions!AW224,0)</f>
        <v>0.05</v>
      </c>
      <c r="AX396" s="1295">
        <f>IF(Assumptions!AX224&lt;&gt;"0",Assumptions!AX224,0)</f>
        <v>0.05</v>
      </c>
      <c r="AY396" s="51">
        <f>+AZ396</f>
        <v>0.05</v>
      </c>
      <c r="AZ396" s="1294">
        <f>IF(Assumptions!AZ224&lt;&gt;"0",Assumptions!AZ224,0)</f>
        <v>0.05</v>
      </c>
      <c r="BA396" s="1295">
        <f>IF(Assumptions!BA224&lt;&gt;"0",Assumptions!BA224,0)</f>
        <v>0.05</v>
      </c>
      <c r="BB396" s="51">
        <f>+BC396</f>
        <v>0.05</v>
      </c>
      <c r="BC396" s="1294">
        <f>IF(Assumptions!BC224&lt;&gt;"0",Assumptions!BC224,0)</f>
        <v>0.05</v>
      </c>
      <c r="BD396" s="1295">
        <f>Assumptions!BD224</f>
        <v>0.05</v>
      </c>
      <c r="BE396" s="51">
        <f>+BF396</f>
        <v>0.05</v>
      </c>
      <c r="BF396" s="1294">
        <f>IF(Assumptions!BF224&lt;&gt;"0",Assumptions!BF224,0)</f>
        <v>0.05</v>
      </c>
      <c r="BG396" s="1295">
        <f>IF(Assumptions!BG224&lt;&gt;"0",Assumptions!BG224,0)</f>
        <v>0.05</v>
      </c>
      <c r="BH396" s="51">
        <f>+BI396</f>
        <v>0</v>
      </c>
      <c r="BI396" s="1294">
        <f>IF(Assumptions!BI224&lt;&gt;"0",Assumptions!BI224,0)</f>
        <v>0</v>
      </c>
      <c r="BJ396" s="1295">
        <f>IF(Assumptions!BJ224&lt;&gt;"0",Assumptions!BJ224,0)</f>
        <v>0</v>
      </c>
      <c r="BK396" s="51">
        <f>+BL396</f>
        <v>0</v>
      </c>
      <c r="BL396" s="1294">
        <f>IF(Assumptions!BL224&lt;&gt;"0",Assumptions!BL224,0)</f>
        <v>0</v>
      </c>
      <c r="BM396" s="1295">
        <f>IF(Assumptions!BM224&lt;&gt;"0",Assumptions!BM224,0)</f>
        <v>0</v>
      </c>
      <c r="BN396" s="51">
        <f>+BO396</f>
        <v>0</v>
      </c>
      <c r="BO396" s="1419">
        <f>IF(Assumptions!BO224&lt;&gt;"0",Assumptions!BO224,0)</f>
        <v>0</v>
      </c>
      <c r="BP396" s="1295">
        <f>IF(Assumptions!BP224&lt;&gt;"0",Assumptions!BP224,0)</f>
        <v>0</v>
      </c>
      <c r="BQ396" s="51">
        <f>+BR396</f>
        <v>0</v>
      </c>
      <c r="BR396" s="1419">
        <f>IF(Assumptions!BR224&lt;&gt;"0",Assumptions!BR224,0)</f>
        <v>0</v>
      </c>
      <c r="BS396" s="1295">
        <f>IF(Assumptions!BS224&lt;&gt;"0",Assumptions!BS224,0)</f>
        <v>0</v>
      </c>
      <c r="BT396" s="51">
        <f>+BU396</f>
        <v>0</v>
      </c>
      <c r="BU396" s="1419">
        <f>IF(Assumptions!BU224&lt;&gt;"0",Assumptions!BU224,0)</f>
        <v>0</v>
      </c>
      <c r="BV396" s="1295">
        <f>IF(Assumptions!BV224&lt;&gt;"0",Assumptions!BV224,0)</f>
        <v>0</v>
      </c>
      <c r="BW396" s="51">
        <f>+BX396</f>
        <v>0</v>
      </c>
      <c r="BX396" s="1419">
        <f>IF(Assumptions!BX224&lt;&gt;"0",Assumptions!BX224,0)</f>
        <v>0</v>
      </c>
      <c r="BY396" s="1295">
        <f>IF(Assumptions!BY224&lt;&gt;"0",Assumptions!BY224,0)</f>
        <v>0</v>
      </c>
      <c r="BZ396" s="51">
        <f>+CA396</f>
        <v>0</v>
      </c>
      <c r="CA396" s="1419">
        <f>IF(Assumptions!CA224&lt;&gt;"0",Assumptions!CA224,0)</f>
        <v>0</v>
      </c>
      <c r="CB396" s="1295">
        <f>IF(Assumptions!CB224&lt;&gt;"0",Assumptions!CB224,0)</f>
        <v>0</v>
      </c>
      <c r="CC396" s="51">
        <f>+CD396</f>
        <v>0</v>
      </c>
      <c r="CD396" s="1419">
        <f>IF(Assumptions!CD224&lt;&gt;"0",Assumptions!CD224,0)</f>
        <v>0</v>
      </c>
      <c r="CE396" s="1295">
        <f>IF(Assumptions!CE224&lt;&gt;"0",Assumptions!CE224,0)</f>
        <v>0</v>
      </c>
      <c r="CF396" s="51">
        <f>+CG396</f>
        <v>0</v>
      </c>
      <c r="CG396" s="1419">
        <f>IF(Assumptions!CG224&lt;&gt;"0",Assumptions!CG224,0)</f>
        <v>0</v>
      </c>
      <c r="CH396" s="1295">
        <f>IF(Assumptions!CH224&lt;&gt;"0",Assumptions!CH224,0)</f>
        <v>0</v>
      </c>
      <c r="CI396" s="51">
        <f>+CJ396</f>
        <v>0</v>
      </c>
      <c r="CJ396" s="1419">
        <f>IF(Assumptions!CJ224&lt;&gt;"0",Assumptions!CJ224,0)</f>
        <v>0</v>
      </c>
      <c r="CK396" s="1295">
        <f>IF(Assumptions!CK224&lt;&gt;"0",Assumptions!CK224,0)</f>
        <v>0</v>
      </c>
      <c r="CL396" s="51">
        <f>+CM396</f>
        <v>0</v>
      </c>
      <c r="CM396" s="1419">
        <f>IF(Assumptions!CM224&lt;&gt;"0",Assumptions!CM224,0)</f>
        <v>0</v>
      </c>
      <c r="CN396" s="1295">
        <f>IF(Assumptions!CN224&lt;&gt;"0",Assumptions!CN224,0)</f>
        <v>0</v>
      </c>
      <c r="CO396" s="51">
        <f>+CP396</f>
        <v>0</v>
      </c>
      <c r="CP396" s="1419">
        <f>IF(Assumptions!CP224&lt;&gt;"0",Assumptions!CP224,0)</f>
        <v>0</v>
      </c>
      <c r="CQ396" s="1295">
        <f>IF(Assumptions!CQ224&lt;&gt;"0",Assumptions!CQ224,0)</f>
        <v>0</v>
      </c>
      <c r="CR396" s="51">
        <f>+CS396</f>
        <v>0</v>
      </c>
      <c r="CS396" s="1419">
        <f>IF(Assumptions!CS224&lt;&gt;"0",Assumptions!CS224,0)</f>
        <v>0</v>
      </c>
      <c r="CT396" s="1295">
        <f>IF(Assumptions!CT224&lt;&gt;"0",Assumptions!CT224,0)</f>
        <v>0</v>
      </c>
      <c r="CU396" s="51">
        <f>+CV396</f>
        <v>0</v>
      </c>
      <c r="CV396" s="1419">
        <f>IF(Assumptions!CV224&lt;&gt;"0",Assumptions!CV224,0)</f>
        <v>0</v>
      </c>
      <c r="CW396" s="1295">
        <f>IF(Assumptions!CW224&lt;&gt;"0",Assumptions!CW224,0)</f>
        <v>0</v>
      </c>
      <c r="CX396" s="51">
        <f>+CY396</f>
        <v>0</v>
      </c>
      <c r="CY396" s="1419">
        <f>IF(Assumptions!CY224&lt;&gt;"0",Assumptions!CY224,0)</f>
        <v>0</v>
      </c>
      <c r="CZ396" s="1295">
        <f>IF(Assumptions!CZ224&lt;&gt;"0",Assumptions!CZ224,0)</f>
        <v>0</v>
      </c>
      <c r="DA396" s="51">
        <f>+DB396</f>
        <v>0</v>
      </c>
      <c r="DB396" s="1419">
        <f>IF(Assumptions!DB224&lt;&gt;"0",Assumptions!DB224,0)</f>
        <v>0</v>
      </c>
      <c r="DC396" s="1295">
        <f>IF(Assumptions!DC224&lt;&gt;"0",Assumptions!DC224,0)</f>
        <v>0</v>
      </c>
      <c r="DD396" s="51">
        <f>+DE396</f>
        <v>0</v>
      </c>
      <c r="DE396" s="1420">
        <f>IF(Assumptions!DE224&lt;&gt;"0",Assumptions!DE224,0)</f>
        <v>0</v>
      </c>
      <c r="DF396" s="1295">
        <f>IF(Assumptions!DF224&lt;&gt;"0",Assumptions!DF224,0)</f>
        <v>0</v>
      </c>
      <c r="DG396" s="51">
        <f>+DH396</f>
        <v>0</v>
      </c>
      <c r="DH396" s="1420">
        <f>IF(Assumptions!DH224&lt;&gt;"0",Assumptions!DH224,0)</f>
        <v>0</v>
      </c>
      <c r="DI396" s="1295">
        <f>IF(Assumptions!DI224&lt;&gt;"0",Assumptions!DI224,0)</f>
        <v>0</v>
      </c>
      <c r="DJ396" s="51">
        <f>+DK396</f>
        <v>0</v>
      </c>
      <c r="DK396" s="1420">
        <f>IF(Assumptions!DK224&lt;&gt;"0",Assumptions!DK224,0)</f>
        <v>0</v>
      </c>
      <c r="DL396" s="1295">
        <f>IF(Assumptions!DL224&lt;&gt;"0",Assumptions!DL224,0)</f>
        <v>0</v>
      </c>
      <c r="DM396" s="51">
        <f>+DN396</f>
        <v>0</v>
      </c>
      <c r="DN396" s="1420">
        <f>IF(Assumptions!DN224&lt;&gt;"0",Assumptions!DN224,0)</f>
        <v>0</v>
      </c>
      <c r="DO396" s="1295">
        <f>IF(Assumptions!DO224&lt;&gt;"0",Assumptions!DO224,0)</f>
        <v>0</v>
      </c>
      <c r="DP396" s="51">
        <f>+DQ396</f>
        <v>0</v>
      </c>
      <c r="DQ396" s="1420">
        <f>IF(Assumptions!DQ224&lt;&gt;"0",Assumptions!DQ224,0)</f>
        <v>0</v>
      </c>
      <c r="DR396" s="1295">
        <f>IF(Assumptions!DR224&lt;&gt;"0",Assumptions!DR224,0)</f>
        <v>0</v>
      </c>
      <c r="DS396" s="51">
        <f>+DT396</f>
        <v>0</v>
      </c>
      <c r="DT396" s="1420">
        <f>IF(Assumptions!DT224&lt;&gt;"0",Assumptions!DT224,0)</f>
        <v>0</v>
      </c>
      <c r="DU396" s="1295">
        <f>IF(Assumptions!DU224&lt;&gt;"0",Assumptions!DU224,0)</f>
        <v>0</v>
      </c>
      <c r="DV396" s="51">
        <f>+DW396</f>
        <v>0</v>
      </c>
      <c r="DW396" s="1420">
        <f>IF(Assumptions!DW224&lt;&gt;"0",Assumptions!DW224,0)</f>
        <v>0</v>
      </c>
      <c r="DX396" s="1295">
        <f>IF(Assumptions!DX224&lt;&gt;"0",Assumptions!DX224,0)</f>
        <v>0</v>
      </c>
      <c r="DY396" s="51">
        <f>+DZ396</f>
        <v>0</v>
      </c>
      <c r="DZ396" s="1420">
        <f>IF(Assumptions!DZ224&lt;&gt;"0",Assumptions!DZ224,0)</f>
        <v>0</v>
      </c>
      <c r="EA396" s="1295">
        <f>IF(Assumptions!EA224&lt;&gt;"0",Assumptions!EA224,0)</f>
        <v>0</v>
      </c>
      <c r="EB396" s="51">
        <f>+EC396</f>
        <v>0</v>
      </c>
      <c r="EC396" s="1420">
        <f>IF(Assumptions!EC224&lt;&gt;"0",Assumptions!EC224,0)</f>
        <v>0</v>
      </c>
      <c r="ED396" s="1295">
        <f>IF(Assumptions!ED224&lt;&gt;"0",Assumptions!ED224,0)</f>
        <v>0</v>
      </c>
      <c r="EE396" s="51">
        <f>+EF396</f>
        <v>0</v>
      </c>
      <c r="EF396" s="1420">
        <f>IF(Assumptions!EF224&lt;&gt;"0",Assumptions!EF224,0)</f>
        <v>0</v>
      </c>
      <c r="EG396" s="1295">
        <f>IF(Assumptions!ES224&lt;&gt;"0",Assumptions!ES224,0)</f>
        <v>0</v>
      </c>
      <c r="EH396" s="51">
        <f>+EI396</f>
        <v>0</v>
      </c>
      <c r="EI396" s="1420">
        <f>IF(Assumptions!EU224&lt;&gt;"0",Assumptions!EU224,0)</f>
        <v>0</v>
      </c>
      <c r="EJ396" s="1295">
        <f>IF(Assumptions!EV224&lt;&gt;"0",Assumptions!EV224,0)</f>
        <v>0</v>
      </c>
      <c r="EK396" s="51">
        <f>+EL396</f>
        <v>0</v>
      </c>
      <c r="EL396" s="1420">
        <f>IF(Assumptions!EX224&lt;&gt;"0",Assumptions!EX224,0)</f>
        <v>0</v>
      </c>
      <c r="EM396" s="1295">
        <f>IF(Assumptions!EY224&lt;&gt;"0",Assumptions!EY224,0)</f>
        <v>0</v>
      </c>
      <c r="EN396" s="51">
        <f>+EO396</f>
        <v>0</v>
      </c>
      <c r="EO396" s="1420">
        <f>IF(Assumptions!FA224&lt;&gt;"0",Assumptions!FA224,0)</f>
        <v>0</v>
      </c>
      <c r="EP396" s="1295">
        <f>IF(Assumptions!FB224&lt;&gt;"0",Assumptions!FB224,0)</f>
        <v>0</v>
      </c>
      <c r="EQ396" s="51">
        <f>+ER396</f>
        <v>0</v>
      </c>
      <c r="ER396" s="1420">
        <f>IF(Assumptions!FD224&lt;&gt;"0",Assumptions!FD224,0)</f>
        <v>0</v>
      </c>
      <c r="ES396" s="1295">
        <f>IF(Assumptions!FE224&lt;&gt;"0",Assumptions!FE224,0)</f>
        <v>0</v>
      </c>
      <c r="ET396" s="51">
        <f>+EU396</f>
        <v>0</v>
      </c>
      <c r="EU396" s="1420">
        <f>IF(Assumptions!FG224&lt;&gt;"0",Assumptions!FG224,0)</f>
        <v>0</v>
      </c>
      <c r="EV396" s="1295">
        <f>IF(Assumptions!FH224&lt;&gt;"0",Assumptions!FH224,0)</f>
        <v>0</v>
      </c>
      <c r="EW396" s="51">
        <f>+EX396</f>
        <v>0</v>
      </c>
      <c r="EX396" s="1420">
        <f>IF(Assumptions!FJ224&lt;&gt;"0",Assumptions!FJ224,0)</f>
        <v>0</v>
      </c>
      <c r="EY396" s="1295">
        <f>IF(Assumptions!FK224&lt;&gt;"0",Assumptions!FK224,0)</f>
        <v>0</v>
      </c>
      <c r="EZ396" s="51">
        <f>+FA396</f>
        <v>0</v>
      </c>
      <c r="FA396" s="1420">
        <f>IF(Assumptions!FM224&lt;&gt;"0",Assumptions!FM224,0)</f>
        <v>0</v>
      </c>
      <c r="FD396"/>
      <c r="FE396"/>
      <c r="FF396"/>
      <c r="FG396"/>
      <c r="FH396"/>
      <c r="FI396"/>
    </row>
    <row r="397" spans="2:165" s="33" customFormat="1">
      <c r="B397" s="54" t="s">
        <v>44</v>
      </c>
      <c r="C397" s="54"/>
      <c r="D397" s="2"/>
      <c r="E397" s="32"/>
      <c r="F397" s="32"/>
      <c r="G397" s="32"/>
      <c r="H397" s="32"/>
      <c r="I397" s="32"/>
      <c r="J397" s="32"/>
      <c r="K397" s="32"/>
      <c r="L397" s="32"/>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32"/>
      <c r="BD397" s="32"/>
      <c r="BE397" s="32"/>
      <c r="BF397" s="32"/>
      <c r="BG397" s="32"/>
      <c r="BH397" s="32"/>
      <c r="BI397" s="32"/>
      <c r="BJ397" s="32"/>
      <c r="BK397" s="32"/>
      <c r="BL397" s="32"/>
      <c r="BM397" s="32"/>
      <c r="BN397" s="32"/>
      <c r="BO397" s="32"/>
      <c r="BP397" s="32"/>
      <c r="BQ397" s="32"/>
      <c r="BR397" s="32"/>
      <c r="BS397" s="32"/>
      <c r="BT397" s="32"/>
      <c r="BU397" s="32"/>
      <c r="BV397" s="32"/>
      <c r="BW397" s="32"/>
      <c r="BX397" s="32"/>
      <c r="BY397" s="32"/>
      <c r="BZ397" s="32"/>
      <c r="CA397" s="32"/>
      <c r="CB397" s="32"/>
      <c r="CC397" s="32"/>
      <c r="CD397" s="32"/>
      <c r="CE397" s="32"/>
      <c r="CF397" s="32"/>
      <c r="CG397" s="32"/>
      <c r="CH397" s="32"/>
      <c r="CI397" s="32"/>
      <c r="CJ397" s="32"/>
      <c r="CK397" s="32"/>
      <c r="CL397" s="32"/>
      <c r="CM397" s="32"/>
      <c r="CN397" s="32"/>
      <c r="CO397" s="32"/>
      <c r="CP397" s="32"/>
      <c r="CQ397" s="32"/>
      <c r="CR397" s="32"/>
      <c r="CS397" s="32"/>
      <c r="CT397" s="32"/>
      <c r="CU397" s="32"/>
      <c r="CV397" s="32"/>
      <c r="CW397" s="32"/>
      <c r="CX397" s="32"/>
      <c r="CY397" s="32"/>
      <c r="CZ397" s="32"/>
      <c r="DA397" s="32"/>
      <c r="DB397" s="32"/>
      <c r="DC397" s="32"/>
      <c r="DD397" s="32"/>
      <c r="DE397" s="1061"/>
      <c r="DF397" s="32"/>
      <c r="DG397" s="32"/>
      <c r="DH397" s="1061"/>
      <c r="DI397" s="32"/>
      <c r="DJ397" s="32"/>
      <c r="DK397" s="1061"/>
      <c r="DL397" s="32"/>
      <c r="DM397" s="32"/>
      <c r="DN397" s="1061"/>
      <c r="DO397" s="32"/>
      <c r="DP397" s="32"/>
      <c r="DQ397" s="1061"/>
      <c r="DR397" s="32"/>
      <c r="DS397" s="32"/>
      <c r="DT397" s="1061"/>
      <c r="DU397" s="32"/>
      <c r="DV397" s="32"/>
      <c r="DW397" s="1061"/>
      <c r="DX397" s="32"/>
      <c r="DY397" s="32"/>
      <c r="DZ397" s="1061"/>
      <c r="EA397" s="32"/>
      <c r="EB397" s="32"/>
      <c r="EC397" s="1061"/>
      <c r="ED397" s="32"/>
      <c r="EE397" s="32"/>
      <c r="EF397" s="1061"/>
      <c r="EG397" s="32"/>
      <c r="EH397" s="32"/>
      <c r="EI397" s="1061"/>
      <c r="EJ397" s="32"/>
      <c r="EK397" s="32"/>
      <c r="EL397" s="1061"/>
      <c r="EM397" s="32"/>
      <c r="EN397" s="32"/>
      <c r="EO397" s="1061"/>
      <c r="EP397" s="32"/>
      <c r="EQ397" s="32"/>
      <c r="ER397" s="1061"/>
      <c r="ES397" s="32"/>
      <c r="ET397" s="32"/>
      <c r="EU397" s="1061"/>
      <c r="EV397" s="32"/>
      <c r="EW397" s="32"/>
      <c r="EX397" s="1061"/>
      <c r="EY397" s="32"/>
      <c r="EZ397" s="32"/>
      <c r="FA397" s="1061"/>
      <c r="FD397"/>
      <c r="FE397"/>
      <c r="FF397"/>
      <c r="FG397"/>
      <c r="FH397"/>
      <c r="FI397"/>
    </row>
    <row r="398" spans="2:165" s="33" customFormat="1">
      <c r="B398" s="54" t="s">
        <v>45</v>
      </c>
      <c r="C398" s="54"/>
      <c r="D398" s="2"/>
      <c r="E398" s="1182">
        <f>IF(E405="Y",E402)+IF(E410="Y",E407)+IF(E415="Y",E412)+IF(E420="Y",E417)+IF(E425="Y",E422)+IF(E430="Y",E427)+IF(E435="Y",E432)+IF(E440="Y",E437)</f>
        <v>0</v>
      </c>
      <c r="F398" s="1182">
        <f>+G398</f>
        <v>0</v>
      </c>
      <c r="G398" s="1182">
        <f>IF(G405="Y",G402)+IF(G410="Y",G407)+IF(G415="Y",G412)+IF(G420="Y",G417)+IF(G425="Y",G422)+IF(G430="Y",G427)+IF(G435="Y",G432)+IF(G440="Y",G437)</f>
        <v>0</v>
      </c>
      <c r="H398" s="1182">
        <f>IF(H405="Y",H402)+IF(H410="Y",H407)+IF(H415="Y",H412)+IF(H420="Y",H417)+IF(H425="Y",H422)+IF(H430="Y",H427)+IF(H435="Y",H432)+IF(H440="Y",H437)</f>
        <v>0</v>
      </c>
      <c r="I398" s="1182">
        <f>+J398</f>
        <v>0</v>
      </c>
      <c r="J398" s="1182">
        <f>IF(J405="Y",J402)+IF(J410="Y",J407)+IF(J415="Y",J412)+IF(J420="Y",J417)+IF(J425="Y",J422)+IF(J430="Y",J427)+IF(J435="Y",J432)+IF(J440="Y",J437)</f>
        <v>0</v>
      </c>
      <c r="K398" s="1182">
        <f>IF(K405="Y",K402)+IF(K410="Y",K407)+IF(K415="Y",K412)+IF(K420="Y",K417)+IF(K425="Y",K422)+IF(K430="Y",K427)+IF(K435="Y",K432)+IF(K440="Y",K437)</f>
        <v>0</v>
      </c>
      <c r="L398" s="1182">
        <f>+M398</f>
        <v>0</v>
      </c>
      <c r="M398" s="1182">
        <f>IF(M405="Y",M402)+IF(M410="Y",M407)+IF(M415="Y",M412)+IF(M420="Y",M417)+IF(M425="Y",M422)+IF(M430="Y",M427)+IF(M435="Y",M432)+IF(M440="Y",M437)</f>
        <v>0</v>
      </c>
      <c r="N398" s="1182">
        <f>IF(N405="Y",N402)+IF(N410="Y",N407)+IF(N415="Y",N412)+IF(N420="Y",N417)+IF(N425="Y",N422)+IF(N430="Y",N427)+IF(N435="Y",N432)+IF(N440="Y",N437)</f>
        <v>0</v>
      </c>
      <c r="O398" s="1182">
        <f>+P398</f>
        <v>0</v>
      </c>
      <c r="P398" s="1182">
        <f>IF(P405="Y",P402)+IF(P410="Y",P407)+IF(P415="Y",P412)+IF(P420="Y",P417)+IF(P425="Y",P422)+IF(P430="Y",P427)+IF(P435="Y",P432)+IF(P440="Y",P437)</f>
        <v>0</v>
      </c>
      <c r="Q398" s="1182">
        <f>IF(Q405="Y",Q402)+IF(Q410="Y",Q407)+IF(Q415="Y",Q412)+IF(Q420="Y",Q417)+IF(Q425="Y",Q422)+IF(Q430="Y",Q427)+IF(Q435="Y",Q432)+IF(Q440="Y",Q437)</f>
        <v>0</v>
      </c>
      <c r="R398" s="1182">
        <f>+S398</f>
        <v>0</v>
      </c>
      <c r="S398" s="1182">
        <f>IF(S405="Y",S402)+IF(S410="Y",S407)+IF(S415="Y",S412)+IF(S420="Y",S417)+IF(S425="Y",S422)+IF(S430="Y",S427)+IF(S435="Y",S432)+IF(S440="Y",S437)</f>
        <v>0</v>
      </c>
      <c r="T398" s="1182">
        <f>IF(T405="Y",T402)+IF(T410="Y",T407)+IF(T415="Y",T412)+IF(T420="Y",T417)+IF(T425="Y",T422)+IF(T430="Y",T427)+IF(T435="Y",T432)+IF(T440="Y",T437)</f>
        <v>0</v>
      </c>
      <c r="U398" s="1182">
        <f>+V398</f>
        <v>0</v>
      </c>
      <c r="V398" s="1182">
        <f>IF(V405="Y",V402)+IF(V410="Y",V407)+IF(V415="Y",V412)+IF(V420="Y",V417)+IF(V425="Y",V422)+IF(V430="Y",V427)+IF(V435="Y",V432)+IF(V440="Y",V437)</f>
        <v>0</v>
      </c>
      <c r="W398" s="1182">
        <f>IF(W405="Y",W402)+IF(W410="Y",W407)+IF(W415="Y",W412)+IF(W420="Y",W417)+IF(W425="Y",W422)+IF(W430="Y",W427)+IF(W435="Y",W432)+IF(W440="Y",W437)</f>
        <v>0</v>
      </c>
      <c r="X398" s="1182">
        <f>+Y398</f>
        <v>0</v>
      </c>
      <c r="Y398" s="1182">
        <f>IF(Y405="Y",Y402)+IF(Y410="Y",Y407)+IF(Y415="Y",Y412)+IF(Y420="Y",Y417)+IF(Y425="Y",Y422)+IF(Y430="Y",Y427)+IF(Y435="Y",Y432)+IF(Y440="Y",Y437)</f>
        <v>0</v>
      </c>
      <c r="Z398" s="1182">
        <f>IF(Z405="Y",Z402)+IF(Z410="Y",Z407)+IF(Z415="Y",Z412)+IF(Z420="Y",Z417)+IF(Z425="Y",Z422)+IF(Z430="Y",Z427)+IF(Z435="Y",Z432)+IF(Z440="Y",Z437)</f>
        <v>0</v>
      </c>
      <c r="AA398" s="1182">
        <f>+AB398</f>
        <v>0</v>
      </c>
      <c r="AB398" s="1182">
        <f>IF(AB405="Y",AB402)+IF(AB410="Y",AB407)+IF(AB415="Y",AB412)+IF(AB420="Y",AB417)+IF(AB425="Y",AB422)+IF(AB430="Y",AB427)+IF(AB435="Y",AB432)+IF(AB440="Y",AB437)</f>
        <v>0</v>
      </c>
      <c r="AC398" s="1182">
        <f>IF(AC405="Y",AC402)+IF(AC410="Y",AC407)+IF(AC415="Y",AC412)+IF(AC420="Y",AC417)+IF(AC425="Y",AC422)+IF(AC430="Y",AC427)+IF(AC435="Y",AC432)+IF(AC440="Y",AC437)</f>
        <v>0</v>
      </c>
      <c r="AD398" s="1182">
        <f>+AE398</f>
        <v>0</v>
      </c>
      <c r="AE398" s="1182">
        <f>IF(AE405="Y",AE402)+IF(AE410="Y",AE407)+IF(AE415="Y",AE412)+IF(AE420="Y",AE417)+IF(AE425="Y",AE422)+IF(AE430="Y",AE427)+IF(AE435="Y",AE432)+IF(AE440="Y",AE437)</f>
        <v>0</v>
      </c>
      <c r="AF398" s="1182">
        <f>IF(AF405="Y",AF402)+IF(AF410="Y",AF407)+IF(AF415="Y",AF412)+IF(AF420="Y",AF417)+IF(AF425="Y",AF422)+IF(AF430="Y",AF427)+IF(AF435="Y",AF432)+IF(AF440="Y",AF437)</f>
        <v>0</v>
      </c>
      <c r="AG398" s="1182">
        <f>+AH398</f>
        <v>0</v>
      </c>
      <c r="AH398" s="1182">
        <f>IF(AH405="Y",AH402)+IF(AH410="Y",AH407)+IF(AH415="Y",AH412)+IF(AH420="Y",AH417)+IF(AH425="Y",AH422)+IF(AH430="Y",AH427)+IF(AH435="Y",AH432)+IF(AH440="Y",AH437)</f>
        <v>0</v>
      </c>
      <c r="AI398" s="1182">
        <f>IF(AI405="Y",AI402)+IF(AI410="Y",AI407)+IF(AI415="Y",AI412)+IF(AI420="Y",AI417)+IF(AI425="Y",AI422)+IF(AI430="Y",AI427)+IF(AI435="Y",AI432)+IF(AI440="Y",AI437)</f>
        <v>0</v>
      </c>
      <c r="AJ398" s="1182">
        <f>+AK398</f>
        <v>0</v>
      </c>
      <c r="AK398" s="1182">
        <f>IF(AK405="Y",AK402)+IF(AK410="Y",AK407)+IF(AK415="Y",AK412)+IF(AK420="Y",AK417)+IF(AK425="Y",AK422)+IF(AK430="Y",AK427)+IF(AK435="Y",AK432)+IF(AK440="Y",AK437)</f>
        <v>0</v>
      </c>
      <c r="AL398" s="1182">
        <f>IF(AL405="Y",AL402)+IF(AL410="Y",AL407)+IF(AL415="Y",AL412)+IF(AL420="Y",AL417)+IF(AL425="Y",AL422)+IF(AL430="Y",AL427)+IF(AL435="Y",AL432)+IF(AL440="Y",AL437)</f>
        <v>0</v>
      </c>
      <c r="AM398" s="1182">
        <f>+AN398</f>
        <v>0</v>
      </c>
      <c r="AN398" s="1182">
        <f>IF(AN405="Y",AN402)+IF(AN410="Y",AN407)+IF(AN415="Y",AN412)+IF(AN420="Y",AN417)+IF(AN425="Y",AN422)+IF(AN430="Y",AN427)+IF(AN435="Y",AN432)+IF(AN440="Y",AN437)</f>
        <v>0</v>
      </c>
      <c r="AO398" s="1182">
        <f>IF(AO405="Y",AO402)+IF(AO410="Y",AO407)+IF(AO415="Y",AO412)+IF(AO420="Y",AO417)+IF(AO425="Y",AO422)+IF(AO430="Y",AO427)+IF(AO435="Y",AO432)+IF(AO440="Y",AO437)</f>
        <v>0</v>
      </c>
      <c r="AP398" s="1182">
        <f>+AQ398</f>
        <v>0</v>
      </c>
      <c r="AQ398" s="1182">
        <f>IF(AQ405="Y",AQ402)+IF(AQ410="Y",AQ407)+IF(AQ415="Y",AQ412)+IF(AQ420="Y",AQ417)+IF(AQ425="Y",AQ422)+IF(AQ430="Y",AQ427)+IF(AQ435="Y",AQ432)+IF(AQ440="Y",AQ437)</f>
        <v>0</v>
      </c>
      <c r="AR398" s="1182">
        <f>IF(AR405="Y",AR402)+IF(AR410="Y",AR407)+IF(AR415="Y",AR412)+IF(AR420="Y",AR417)+IF(AR425="Y",AR422)+IF(AR430="Y",AR427)+IF(AR435="Y",AR432)+IF(AR440="Y",AR437)</f>
        <v>0</v>
      </c>
      <c r="AS398" s="1182">
        <f>+AT398</f>
        <v>0</v>
      </c>
      <c r="AT398" s="1182">
        <f>IF(AT405="Y",AT402)+IF(AT410="Y",AT407)+IF(AT415="Y",AT412)+IF(AT420="Y",AT417)+IF(AT425="Y",AT422)+IF(AT430="Y",AT427)+IF(AT435="Y",AT432)+IF(AT440="Y",AT437)</f>
        <v>0</v>
      </c>
      <c r="AU398" s="1182">
        <f>IF(AU405="Y",AU402)+IF(AU410="Y",AU407)+IF(AU415="Y",AU412)+IF(AU420="Y",AU417)+IF(AU425="Y",AU422)+IF(AU430="Y",AU427)+IF(AU435="Y",AU432)+IF(AU440="Y",AU437)</f>
        <v>2.25</v>
      </c>
      <c r="AV398" s="1182">
        <f>+AW398</f>
        <v>1.9500000000000002</v>
      </c>
      <c r="AW398" s="1182">
        <f>IF(AW405="Y",AW402)+IF(AW410="Y",AW407)+IF(AW415="Y",AW412)+IF(AW420="Y",AW417)+IF(AW425="Y",AW422)+IF(AW430="Y",AW427)+IF(AW435="Y",AW432)+IF(AW440="Y",AW437)</f>
        <v>1.9500000000000002</v>
      </c>
      <c r="AX398" s="1182">
        <f>IF(AX405="Y",AX402)+IF(AX410="Y",AX407)+IF(AX415="Y",AX412)+IF(AX420="Y",AX417)+IF(AX425="Y",AX422)+IF(AX430="Y",AX427)+IF(AX435="Y",AX432)+IF(AX440="Y",AX437)</f>
        <v>2.94</v>
      </c>
      <c r="AY398" s="1182">
        <f>+AZ398</f>
        <v>2.94</v>
      </c>
      <c r="AZ398" s="1182">
        <f>IF(AZ405="Y",AZ402)+IF(AZ410="Y",AZ407)+IF(AZ415="Y",AZ412)+IF(AZ420="Y",AZ417)+IF(AZ425="Y",AZ422)+IF(AZ430="Y",AZ427)+IF(AZ435="Y",AZ432)+IF(AZ440="Y",AZ437)</f>
        <v>2.94</v>
      </c>
      <c r="BA398" s="1182">
        <f>IF(BA405="Y",BA402)+IF(BA410="Y",BA407)+IF(BA415="Y",BA412)+IF(BA420="Y",BA417)+IF(BA425="Y",BA422)+IF(BA430="Y",BA427)+IF(BA435="Y",BA432)+IF(BA440="Y",BA437)</f>
        <v>2.94</v>
      </c>
      <c r="BB398" s="1182">
        <f>+BC398</f>
        <v>2.94</v>
      </c>
      <c r="BC398" s="1182">
        <f>IF(BC405="Y",BC402)+IF(BC410="Y",BC407)+IF(BC415="Y",BC412)+IF(BC420="Y",BC417)+IF(BC425="Y",BC422)+IF(BC430="Y",BC427)+IF(BC435="Y",BC432)+IF(BC440="Y",BC437)</f>
        <v>2.94</v>
      </c>
      <c r="BD398" s="1182">
        <f>IF(BD405="Y",BD402)+IF(BD410="Y",BD407)+IF(BD415="Y",BD412)+IF(BD420="Y",BD417)+IF(BD425="Y",BD422)+IF(BD430="Y",BD427)+IF(BD435="Y",BD432)+IF(BD440="Y",BD437)</f>
        <v>2.94</v>
      </c>
      <c r="BE398" s="1182">
        <f>+BF398</f>
        <v>2.94</v>
      </c>
      <c r="BF398" s="1182">
        <f>IF(BF405="Y",BF402)+IF(BF410="Y",BF407)+IF(BF415="Y",BF412)+IF(BF420="Y",BF417)+IF(BF425="Y",BF422)+IF(BF430="Y",BF427)+IF(BF435="Y",BF432)+IF(BF440="Y",BF437)</f>
        <v>2.94</v>
      </c>
      <c r="BG398" s="1182">
        <f>IF(BG405="Y",BG402)+IF(BG410="Y",BG407)+IF(BG415="Y",BG412)+IF(BG420="Y",BG417)+IF(BG425="Y",BG422)+IF(BG430="Y",BG427)+IF(BG435="Y",BG432)+IF(BG440="Y",BG437)</f>
        <v>2.94</v>
      </c>
      <c r="BH398" s="1182">
        <f>+BI398</f>
        <v>2.94</v>
      </c>
      <c r="BI398" s="1182">
        <f>IF(BI405="Y",BI402)+IF(BI410="Y",BI407)+IF(BI415="Y",BI412)+IF(BI420="Y",BI417)+IF(BI425="Y",BI422)+IF(BI430="Y",BI427)+IF(BI435="Y",BI432)+IF(BI440="Y",BI437)</f>
        <v>2.94</v>
      </c>
      <c r="BJ398" s="1182">
        <f>IF(BJ405="Y",BJ402)+IF(BJ410="Y",BJ407)+IF(BJ415="Y",BJ412)+IF(BJ420="Y",BJ417)+IF(BJ425="Y",BJ422)+IF(BJ430="Y",BJ427)+IF(BJ435="Y",BJ432)+IF(BJ440="Y",BJ437)</f>
        <v>2.94</v>
      </c>
      <c r="BK398" s="1182">
        <f>+BL398</f>
        <v>2.94</v>
      </c>
      <c r="BL398" s="1182">
        <f>IF(BL405="Y",BL402)+IF(BL410="Y",BL407)+IF(BL415="Y",BL412)+IF(BL420="Y",BL417)+IF(BL425="Y",BL422)+IF(BL430="Y",BL427)+IF(BL435="Y",BL432)+IF(BL440="Y",BL437)</f>
        <v>2.94</v>
      </c>
      <c r="BM398" s="1182">
        <f>IF(BM405="Y",BM402)+IF(BM410="Y",BM407)+IF(BM415="Y",BM412)+IF(BM420="Y",BM417)+IF(BM425="Y",BM422)+IF(BM430="Y",BM427)+IF(BM435="Y",BM432)+IF(BM440="Y",BM437)</f>
        <v>2.94</v>
      </c>
      <c r="BN398" s="1182">
        <f>+BO398</f>
        <v>0</v>
      </c>
      <c r="BO398" s="1182">
        <f>IF(BO405="Y",BO402)+IF(BO410="Y",BO407)+IF(BO415="Y",BO412)+IF(BO420="Y",BO417)+IF(BO425="Y",BO422)+IF(BO430="Y",BO427)+IF(BO435="Y",BO432)+IF(BO440="Y",BO437)</f>
        <v>0</v>
      </c>
      <c r="BP398" s="1182">
        <f>IF(BP405="Y",BP402)+IF(BP410="Y",BP407)+IF(BP415="Y",BP412)+IF(BP420="Y",BP417)+IF(BP425="Y",BP422)+IF(BP430="Y",BP427)+IF(BP435="Y",BP432)+IF(BP440="Y",BP437)</f>
        <v>0</v>
      </c>
      <c r="BQ398" s="1182">
        <f>+BR398</f>
        <v>25.240043999999997</v>
      </c>
      <c r="BR398" s="1182">
        <f>IF(BR405="Y",BR402)+IF(BR410="Y",BR407)+IF(BR415="Y",BR412)+IF(BR420="Y",BR417)+IF(BR425="Y",BR422)+IF(BR430="Y",BR427)+IF(BR435="Y",BR432)+IF(BR440="Y",BR437)</f>
        <v>25.240043999999997</v>
      </c>
      <c r="BS398" s="1182">
        <f>1.564*3</f>
        <v>4.6920000000000002</v>
      </c>
      <c r="BT398" s="1182">
        <f>BS398</f>
        <v>4.6920000000000002</v>
      </c>
      <c r="BU398" s="1182">
        <f>1.338681+2.326707+0.049491</f>
        <v>3.7148790000000003</v>
      </c>
      <c r="BV398" s="1182">
        <f>IF(BV405="Y",BV402)+IF(BV410="Y",BV407)+IF(BV415="Y",BV412)+IF(BV420="Y",BV417)+IF(BV425="Y",BV422)+IF(BV430="Y",BV427)+IF(BV435="Y",BV432)+IF(BV440="Y",BV437)</f>
        <v>4.0901540000000001</v>
      </c>
      <c r="BW398" s="1182">
        <f>+BX398</f>
        <v>3.1596549999999999</v>
      </c>
      <c r="BX398" s="1182">
        <f>IF(BX405="Y",BX402)+IF(BX410="Y",BX407)+IF(BX415="Y",BX412)+IF(BX420="Y",BX417)+IF(BX425="Y",BX422)+IF(BX430="Y",BX427)+IF(BX435="Y",BX432)+IF(BX440="Y",BX437)</f>
        <v>3.1596549999999999</v>
      </c>
      <c r="BY398" s="1182">
        <f>IF(BY405="Y",BY402)+IF(BY410="Y",BY407)+IF(BY415="Y",BY412)+IF(BY420="Y",BY417)+IF(BY425="Y",BY422)+IF(BY430="Y",BY427)+IF(BY435="Y",BY432)+IF(BY440="Y",BY437)</f>
        <v>2.7215639999999999</v>
      </c>
      <c r="BZ398" s="1182">
        <f>+CA398</f>
        <v>2.7215639999999999</v>
      </c>
      <c r="CA398" s="1182">
        <f>IF(CA405="Y",CA402)+IF(CA410="Y",CA407)+IF(CA415="Y",CA412)+IF(CA420="Y",CA417)+IF(CA425="Y",CA422)+IF(CA430="Y",CA427)+IF(CA435="Y",CA432)+IF(CA440="Y",CA437)</f>
        <v>2.7215639999999999</v>
      </c>
      <c r="CB398" s="1182">
        <f>IF(CB405="Y",CB402)+IF(CB410="Y",CB407)+IF(CB415="Y",CB412)+IF(CB420="Y",CB417)+IF(CB425="Y",CB422)+IF(CB430="Y",CB427)+IF(CB435="Y",CB432)+IF(CB440="Y",CB437)</f>
        <v>1.8235279999999998</v>
      </c>
      <c r="CC398" s="1182">
        <f>+CD398</f>
        <v>1.7813369999999999</v>
      </c>
      <c r="CD398" s="1182">
        <f>IF(CD405="Y",CD402)+IF(CD410="Y",CD407)+IF(CD415="Y",CD412)+IF(CD420="Y",CD417)+IF(CD425="Y",CD422)+IF(CD430="Y",CD427)+IF(CD435="Y",CD432)+IF(CD440="Y",CD437)</f>
        <v>1.7813369999999999</v>
      </c>
      <c r="CE398" s="1182">
        <f>IF(CE405="Y",CE402)+IF(CE410="Y",CE407)+IF(CE415="Y",CE412)+IF(CE420="Y",CE417)+IF(CE425="Y",CE422)+IF(CE430="Y",CE427)+IF(CE435="Y",CE432)+IF(CE440="Y",CE437)</f>
        <v>1.3402910000000001</v>
      </c>
      <c r="CF398" s="1182">
        <f>+CG398</f>
        <v>1.2809280000000001</v>
      </c>
      <c r="CG398" s="1182">
        <f>IF(CG405="Y",CG402)+IF(CG410="Y",CG407)+IF(CG415="Y",CG412)+IF(CG420="Y",CG417)+IF(CG425="Y",CG422)+IF(CG430="Y",CG427)+IF(CG435="Y",CG432)+IF(CG440="Y",CG437)</f>
        <v>1.2809280000000001</v>
      </c>
      <c r="CH398" s="1182">
        <f>IF(CH405="Y",CH402)+IF(CH410="Y",CH407)+IF(CH415="Y",CH412)+IF(CH420="Y",CH417)+IF(CH425="Y",CH422)+IF(CH430="Y",CH427)+IF(CH435="Y",CH432)+IF(CH440="Y",CH437)</f>
        <v>0.99582199999999998</v>
      </c>
      <c r="CI398" s="1182">
        <f>+CJ398</f>
        <v>1.1846220000000001</v>
      </c>
      <c r="CJ398" s="1182">
        <f>IF(CJ405="Y",CJ402)+IF(CJ410="Y",CJ407)+IF(CJ415="Y",CJ412)+IF(CJ420="Y",CJ417)+IF(CJ425="Y",CJ422)+IF(CJ430="Y",CJ427)+IF(CJ435="Y",CJ432)+IF(CJ440="Y",CJ437)</f>
        <v>1.1846220000000001</v>
      </c>
      <c r="CK398" s="1182">
        <f>IF(CK405="Y",CK402)+IF(CK410="Y",CK407)+IF(CK415="Y",CK412)+IF(CK420="Y",CK417)+IF(CK425="Y",CK422)+IF(CK430="Y",CK427)+IF(CK435="Y",CK432)+IF(CK440="Y",CK437)</f>
        <v>1.5364910000000001</v>
      </c>
      <c r="CL398" s="1182">
        <f>+CM398</f>
        <v>1.5364910000000001</v>
      </c>
      <c r="CM398" s="1182">
        <f>IF(CM405="Y",CM402)+IF(CM410="Y",CM407)+IF(CM415="Y",CM412)+IF(CM420="Y",CM417)+IF(CM425="Y",CM422)+IF(CM430="Y",CM427)+IF(CM435="Y",CM432)+IF(CM440="Y",CM437)</f>
        <v>1.5364910000000001</v>
      </c>
      <c r="CN398" s="1182">
        <f>IF(CN405="Y",CN402)+IF(CN410="Y",CN407)+IF(CN415="Y",CN412)+IF(CN420="Y",CN417)+IF(CN425="Y",CN422)+IF(CN430="Y",CN427)+IF(CN435="Y",CN432)+IF(CN440="Y",CN437)</f>
        <v>1.558613</v>
      </c>
      <c r="CO398" s="1182">
        <f>+CP398</f>
        <v>1.8013300000000001</v>
      </c>
      <c r="CP398" s="1182">
        <f>IF(CP405="Y",CP402)+IF(CP410="Y",CP407)+IF(CP415="Y",CP412)+IF(CP420="Y",CP417)+IF(CP425="Y",CP422)+IF(CP430="Y",CP427)+IF(CP435="Y",CP432)+IF(CP440="Y",CP437)</f>
        <v>1.8013300000000001</v>
      </c>
      <c r="CQ398" s="1182">
        <f>IF(CQ405="Y",CQ402)+IF(CQ410="Y",CQ407)+IF(CQ415="Y",CQ412)+IF(CQ420="Y",CQ417)+IF(CQ425="Y",CQ422)+IF(CQ430="Y",CQ427)+IF(CQ435="Y",CQ432)+IF(CQ440="Y",CQ437)</f>
        <v>1.5630799999999998</v>
      </c>
      <c r="CR398" s="1182">
        <f>+CS398</f>
        <v>1.5630799999999998</v>
      </c>
      <c r="CS398" s="1182">
        <f>IF(CS405="Y",CS402)+IF(CS410="Y",CS407)+IF(CS415="Y",CS412)+IF(CS420="Y",CS417)+IF(CS425="Y",CS422)+IF(CS430="Y",CS427)+IF(CS435="Y",CS432)+IF(CS440="Y",CS437)</f>
        <v>1.5630799999999998</v>
      </c>
      <c r="CT398" s="1182">
        <f>IF(CT405="Y",CT402)+IF(CT410="Y",CT407)+IF(CT415="Y",CT412)+IF(CT420="Y",CT417)+IF(CT425="Y",CT422)+IF(CT430="Y",CT427)+IF(CT435="Y",CT432)+IF(CT440="Y",CT437)</f>
        <v>1.5630799999999998</v>
      </c>
      <c r="CU398" s="1182">
        <f>+CV398</f>
        <v>1.117491</v>
      </c>
      <c r="CV398" s="1182">
        <f>IF(CV405="Y",CV402)+IF(CV410="Y",CV407)+IF(CV415="Y",CV412)+IF(CV420="Y",CV417)+IF(CV425="Y",CV422)+IF(CV430="Y",CV427)+IF(CV435="Y",CV432)+IF(CV440="Y",CV437)</f>
        <v>1.117491</v>
      </c>
      <c r="CW398" s="1182">
        <f>IF(CW405="Y",CW402)+IF(CW410="Y",CW407)+IF(CW415="Y",CW412)+IF(CW420="Y",CW417)+IF(CW425="Y",CW422)+IF(CW430="Y",CW427)+IF(CW435="Y",CW432)+IF(CW440="Y",CW437)</f>
        <v>0.98079700000000003</v>
      </c>
      <c r="CX398" s="1182">
        <f>+CY398</f>
        <v>1.043452</v>
      </c>
      <c r="CY398" s="1182">
        <f>IF(CY405="Y",CY402)+IF(CY410="Y",CY407)+IF(CY415="Y",CY412)+IF(CY420="Y",CY417)+IF(CY425="Y",CY422)+IF(CY430="Y",CY427)+IF(CY435="Y",CY432)+IF(CY440="Y",CY437)</f>
        <v>1.043452</v>
      </c>
      <c r="CZ398" s="1182">
        <f>IF(CZ405="Y",CZ402)+IF(CZ410="Y",CZ407)+IF(CZ415="Y",CZ412)+IF(CZ420="Y",CZ417)+IF(CZ425="Y",CZ422)+IF(CZ430="Y",CZ427)+IF(CZ435="Y",CZ432)+IF(CZ440="Y",CZ437)</f>
        <v>1.3762240000000376</v>
      </c>
      <c r="DA398" s="1182">
        <f>+DB398</f>
        <v>1.3762240000000376</v>
      </c>
      <c r="DB398" s="1182">
        <f>IF(DB405="Y",DB402)+IF(DB410="Y",DB407)+IF(DB415="Y",DB412)+IF(DB420="Y",DB417)+IF(DB425="Y",DB422)+IF(DB430="Y",DB427)+IF(DB435="Y",DB432)+IF(DB440="Y",DB437)</f>
        <v>1.3762240000000376</v>
      </c>
      <c r="DC398" s="1182">
        <f>IF(DC405="Y",DC402)+IF(DC410="Y",DC407)+IF(DC415="Y",DC412)+IF(DC420="Y",DC417)+IF(DC425="Y",DC422)+IF(DC430="Y",DC427)+IF(DC435="Y",DC432)+IF(DC440="Y",DC437)</f>
        <v>1.6554230000000949</v>
      </c>
      <c r="DD398" s="1182">
        <f>+DE398</f>
        <v>1.1083220000000016</v>
      </c>
      <c r="DE398" s="1091">
        <v>1.1083220000000016</v>
      </c>
      <c r="DF398" s="1182">
        <f>IF(DF405="Y",DF402)+IF(DF410="Y",DF407)+IF(DF415="Y",DF412)+IF(DF420="Y",DF417)+IF(DF425="Y",DF422)+IF(DF430="Y",DF427)+IF(DF435="Y",DF432)+IF(DF440="Y",DF437)</f>
        <v>1.6612860000000158</v>
      </c>
      <c r="DG398" s="1182">
        <f>+DH398</f>
        <v>1.7969109999999999</v>
      </c>
      <c r="DH398" s="1091">
        <v>1.7969109999999999</v>
      </c>
      <c r="DI398" s="1182">
        <f>IF(DI405="Y",DI402)+IF(DI410="Y",DI407)+IF(DI415="Y",DI412)+IF(DI420="Y",DI417)+IF(DI425="Y",DI422)+IF(DI430="Y",DI427)+IF(DI435="Y",DI432)+IF(DI440="Y",DI437)</f>
        <v>1.6612860000000158</v>
      </c>
      <c r="DJ398" s="1182">
        <f>+DK398</f>
        <v>1.6612860000000158</v>
      </c>
      <c r="DK398" s="1091">
        <f>IF(DK405="Y",DK402)+IF(DK410="Y",DK407)+IF(DK415="Y",DK412)+IF(DK420="Y",DK417)+IF(DK425="Y",DK422)+IF(DK430="Y",DK427)+IF(DK435="Y",DK432)+IF(DK440="Y",DK437)</f>
        <v>1.6612860000000158</v>
      </c>
      <c r="DL398" s="1182">
        <f>IF(DL405="Y",DL402)+IF(DL410="Y",DL407)+IF(DL415="Y",DL412)+IF(DL420="Y",DL417)+IF(DL425="Y",DL422)+IF(DL430="Y",DL427)+IF(DL435="Y",DL432)+IF(DL440="Y",DL437)</f>
        <v>1.6612860000000158</v>
      </c>
      <c r="DM398" s="1182">
        <f>+DN398</f>
        <v>1.6612860000000158</v>
      </c>
      <c r="DN398" s="1091">
        <f>IF(DN405="Y",DN402)+IF(DN410="Y",DN407)+IF(DN415="Y",DN412)+IF(DN420="Y",DN417)+IF(DN425="Y",DN422)+IF(DN430="Y",DN427)+IF(DN435="Y",DN432)+IF(DN440="Y",DN437)</f>
        <v>1.6612860000000158</v>
      </c>
      <c r="DO398" s="1182">
        <f>IF(DO405="Y",DO402)+IF(DO410="Y",DO407)+IF(DO415="Y",DO412)+IF(DO420="Y",DO417)+IF(DO425="Y",DO422)+IF(DO430="Y",DO427)+IF(DO435="Y",DO432)+IF(DO440="Y",DO437)</f>
        <v>1.6612860000000158</v>
      </c>
      <c r="DP398" s="1182">
        <f>+DQ398</f>
        <v>1.6612860000000158</v>
      </c>
      <c r="DQ398" s="1091">
        <f>IF(DQ405="Y",DQ402)+IF(DQ410="Y",DQ407)+IF(DQ415="Y",DQ412)+IF(DQ420="Y",DQ417)+IF(DQ425="Y",DQ422)+IF(DQ430="Y",DQ427)+IF(DQ435="Y",DQ432)+IF(DQ440="Y",DQ437)</f>
        <v>1.6612860000000158</v>
      </c>
      <c r="DR398" s="1182">
        <f>IF(DR405="Y",DR402)+IF(DR410="Y",DR407)+IF(DR415="Y",DR412)+IF(DR420="Y",DR417)+IF(DR425="Y",DR422)+IF(DR430="Y",DR427)+IF(DR435="Y",DR432)+IF(DR440="Y",DR437)</f>
        <v>1.6612860000000158</v>
      </c>
      <c r="DS398" s="1182">
        <f>+DT398</f>
        <v>1.6612860000000158</v>
      </c>
      <c r="DT398" s="1091">
        <f>IF(DT405="Y",DT402)+IF(DT410="Y",DT407)+IF(DT415="Y",DT412)+IF(DT420="Y",DT417)+IF(DT425="Y",DT422)+IF(DT430="Y",DT427)+IF(DT435="Y",DT432)+IF(DT440="Y",DT437)</f>
        <v>1.6612860000000158</v>
      </c>
      <c r="DU398" s="1182">
        <f>IF(DU405="Y",DU402)+IF(DU410="Y",DU407)+IF(DU415="Y",DU412)+IF(DU420="Y",DU417)+IF(DU425="Y",DU422)+IF(DU430="Y",DU427)+IF(DU435="Y",DU432)+IF(DU440="Y",DU437)</f>
        <v>1.6612860000000158</v>
      </c>
      <c r="DV398" s="1182">
        <f>+DW398</f>
        <v>1.6612860000000158</v>
      </c>
      <c r="DW398" s="1091">
        <f>IF(DW405="Y",DW402)+IF(DW410="Y",DW407)+IF(DW415="Y",DW412)+IF(DW420="Y",DW417)+IF(DW425="Y",DW422)+IF(DW430="Y",DW427)+IF(DW435="Y",DW432)+IF(DW440="Y",DW437)</f>
        <v>1.6612860000000158</v>
      </c>
      <c r="DX398" s="1182">
        <f>IF(DX405="Y",DX402)+IF(DX410="Y",DX407)+IF(DX415="Y",DX412)+IF(DX420="Y",DX417)+IF(DX425="Y",DX422)+IF(DX430="Y",DX427)+IF(DX435="Y",DX432)+IF(DX440="Y",DX437)</f>
        <v>1.6612860000000158</v>
      </c>
      <c r="DY398" s="1182">
        <f>+DZ398</f>
        <v>1.6612860000000158</v>
      </c>
      <c r="DZ398" s="1091">
        <f>IF(DZ405="Y",DZ402)+IF(DZ410="Y",DZ407)+IF(DZ415="Y",DZ412)+IF(DZ420="Y",DZ417)+IF(DZ425="Y",DZ422)+IF(DZ430="Y",DZ427)+IF(DZ435="Y",DZ432)+IF(DZ440="Y",DZ437)</f>
        <v>1.6612860000000158</v>
      </c>
      <c r="EA398" s="1182">
        <f>IF(EA405="Y",EA402)+IF(EA410="Y",EA407)+IF(EA415="Y",EA412)+IF(EA420="Y",EA417)+IF(EA425="Y",EA422)+IF(EA430="Y",EA427)+IF(EA435="Y",EA432)+IF(EA440="Y",EA437)</f>
        <v>1.6612860000000158</v>
      </c>
      <c r="EB398" s="1182">
        <f>+EC398</f>
        <v>1.6612860000000158</v>
      </c>
      <c r="EC398" s="1091">
        <f>IF(EC405="Y",EC402)+IF(EC410="Y",EC407)+IF(EC415="Y",EC412)+IF(EC420="Y",EC417)+IF(EC425="Y",EC422)+IF(EC430="Y",EC427)+IF(EC435="Y",EC432)+IF(EC440="Y",EC437)</f>
        <v>1.6612860000000158</v>
      </c>
      <c r="ED398" s="1182">
        <f>IF(ED405="Y",ED402)+IF(ED410="Y",ED407)+IF(ED415="Y",ED412)+IF(ED420="Y",ED417)+IF(ED425="Y",ED422)+IF(ED430="Y",ED427)+IF(ED435="Y",ED432)+IF(ED440="Y",ED437)</f>
        <v>1.6612860000000158</v>
      </c>
      <c r="EE398" s="1182">
        <f>+EF398</f>
        <v>1.6612860000000158</v>
      </c>
      <c r="EF398" s="1091">
        <f>IF(EF405="Y",EF402)+IF(EF410="Y",EF407)+IF(EF415="Y",EF412)+IF(EF420="Y",EF417)+IF(EF425="Y",EF422)+IF(EF430="Y",EF427)+IF(EF435="Y",EF432)+IF(EF440="Y",EF437)</f>
        <v>1.6612860000000158</v>
      </c>
      <c r="EG398" s="1182">
        <f>IF(EG405="Y",EG402)+IF(EG410="Y",EG407)+IF(EG415="Y",EG412)+IF(EG420="Y",EG417)+IF(EG425="Y",EG422)+IF(EG430="Y",EG427)+IF(EG435="Y",EG432)+IF(EG440="Y",EG437)</f>
        <v>1.6612860000000158</v>
      </c>
      <c r="EH398" s="1182">
        <f>+EI398</f>
        <v>1.6612860000000158</v>
      </c>
      <c r="EI398" s="1091">
        <f>IF(EI405="Y",EI402)+IF(EI410="Y",EI407)+IF(EI415="Y",EI412)+IF(EI420="Y",EI417)+IF(EI425="Y",EI422)+IF(EI430="Y",EI427)+IF(EI435="Y",EI432)+IF(EI440="Y",EI437)</f>
        <v>1.6612860000000158</v>
      </c>
      <c r="EJ398" s="1182">
        <f>IF(EJ405="Y",EJ402)+IF(EJ410="Y",EJ407)+IF(EJ415="Y",EJ412)+IF(EJ420="Y",EJ417)+IF(EJ425="Y",EJ422)+IF(EJ430="Y",EJ427)+IF(EJ435="Y",EJ432)+IF(EJ440="Y",EJ437)</f>
        <v>1.6612860000000158</v>
      </c>
      <c r="EK398" s="1182">
        <f>+EL398</f>
        <v>1.6612860000000158</v>
      </c>
      <c r="EL398" s="1091">
        <f>IF(EL405="Y",EL402)+IF(EL410="Y",EL407)+IF(EL415="Y",EL412)+IF(EL420="Y",EL417)+IF(EL425="Y",EL422)+IF(EL430="Y",EL427)+IF(EL435="Y",EL432)+IF(EL440="Y",EL437)</f>
        <v>1.6612860000000158</v>
      </c>
      <c r="EM398" s="1182">
        <f>IF(EM405="Y",EM402)+IF(EM410="Y",EM407)+IF(EM415="Y",EM412)+IF(EM420="Y",EM417)+IF(EM425="Y",EM422)+IF(EM430="Y",EM427)+IF(EM435="Y",EM432)+IF(EM440="Y",EM437)</f>
        <v>1.6612860000000158</v>
      </c>
      <c r="EN398" s="1182">
        <f>+EO398</f>
        <v>1.6612860000000158</v>
      </c>
      <c r="EO398" s="1091">
        <f>IF(EO405="Y",EO402)+IF(EO410="Y",EO407)+IF(EO415="Y",EO412)+IF(EO420="Y",EO417)+IF(EO425="Y",EO422)+IF(EO430="Y",EO427)+IF(EO435="Y",EO432)+IF(EO440="Y",EO437)</f>
        <v>1.6612860000000158</v>
      </c>
      <c r="EP398" s="1182">
        <f>IF(EP405="Y",EP402)+IF(EP410="Y",EP407)+IF(EP415="Y",EP412)+IF(EP420="Y",EP417)+IF(EP425="Y",EP422)+IF(EP430="Y",EP427)+IF(EP435="Y",EP432)+IF(EP440="Y",EP437)</f>
        <v>1.6612860000000158</v>
      </c>
      <c r="EQ398" s="1182">
        <f>+ER398</f>
        <v>1.6612860000000158</v>
      </c>
      <c r="ER398" s="1091">
        <f>IF(ER405="Y",ER402)+IF(ER410="Y",ER407)+IF(ER415="Y",ER412)+IF(ER420="Y",ER417)+IF(ER425="Y",ER422)+IF(ER430="Y",ER427)+IF(ER435="Y",ER432)+IF(ER440="Y",ER437)</f>
        <v>1.6612860000000158</v>
      </c>
      <c r="ES398" s="1182">
        <f>IF(ES405="Y",ES402)+IF(ES410="Y",ES407)+IF(ES415="Y",ES412)+IF(ES420="Y",ES417)+IF(ES425="Y",ES422)+IF(ES430="Y",ES427)+IF(ES435="Y",ES432)+IF(ES440="Y",ES437)</f>
        <v>1.6612860000000158</v>
      </c>
      <c r="ET398" s="1182">
        <f>+EU398</f>
        <v>1.6612860000000158</v>
      </c>
      <c r="EU398" s="1091">
        <f>IF(EU405="Y",EU402)+IF(EU410="Y",EU407)+IF(EU415="Y",EU412)+IF(EU420="Y",EU417)+IF(EU425="Y",EU422)+IF(EU430="Y",EU427)+IF(EU435="Y",EU432)+IF(EU440="Y",EU437)</f>
        <v>1.6612860000000158</v>
      </c>
      <c r="EV398" s="1182">
        <f>IF(EV405="Y",EV402)+IF(EV410="Y",EV407)+IF(EV415="Y",EV412)+IF(EV420="Y",EV417)+IF(EV425="Y",EV422)+IF(EV430="Y",EV427)+IF(EV435="Y",EV432)+IF(EV440="Y",EV437)</f>
        <v>1.6612860000000158</v>
      </c>
      <c r="EW398" s="1182">
        <f>+EX398</f>
        <v>1.6612860000000158</v>
      </c>
      <c r="EX398" s="1091">
        <f>IF(EX405="Y",EX402)+IF(EX410="Y",EX407)+IF(EX415="Y",EX412)+IF(EX420="Y",EX417)+IF(EX425="Y",EX422)+IF(EX430="Y",EX427)+IF(EX435="Y",EX432)+IF(EX440="Y",EX437)</f>
        <v>1.6612860000000158</v>
      </c>
      <c r="EY398" s="1182">
        <f>IF(EY405="Y",EY402)+IF(EY410="Y",EY407)+IF(EY415="Y",EY412)+IF(EY420="Y",EY417)+IF(EY425="Y",EY422)+IF(EY430="Y",EY427)+IF(EY435="Y",EY432)+IF(EY440="Y",EY437)</f>
        <v>1.6612860000000158</v>
      </c>
      <c r="EZ398" s="1182">
        <f>+FA398</f>
        <v>1.6612860000000158</v>
      </c>
      <c r="FA398" s="1091">
        <f>IF(FA405="Y",FA402)+IF(FA410="Y",FA407)+IF(FA415="Y",FA412)+IF(FA420="Y",FA417)+IF(FA425="Y",FA422)+IF(FA430="Y",FA427)+IF(FA435="Y",FA432)+IF(FA440="Y",FA437)</f>
        <v>1.6612860000000158</v>
      </c>
      <c r="FD398"/>
      <c r="FE398"/>
      <c r="FF398"/>
      <c r="FG398"/>
      <c r="FH398"/>
      <c r="FI398"/>
    </row>
    <row r="399" spans="2:165" s="33" customFormat="1">
      <c r="B399" s="54" t="s">
        <v>46</v>
      </c>
      <c r="C399" s="54"/>
      <c r="D399" s="2"/>
      <c r="E399" s="32">
        <f>IF(E405="Y",E403)+IF(E410="Y",E408)+IF(E415="Y",E413)+IF(E420="Y",E418)+IF(E425="Y",E423)+IF(E430="Y",E428)+IF(E435="Y",E433)+IF(E440="Y",E438)</f>
        <v>0</v>
      </c>
      <c r="F399" s="32">
        <f>+G399</f>
        <v>0</v>
      </c>
      <c r="G399" s="32">
        <f>IF(G405="Y",G403)+IF(G410="Y",G408)+IF(G415="Y",G413)+IF(G420="Y",G418)+IF(G425="Y",G423)+IF(G430="Y",G428)+IF(G435="Y",G433)+IF(G440="Y",G438)</f>
        <v>0</v>
      </c>
      <c r="H399" s="32">
        <f>IF(H405="Y",H403)+IF(H410="Y",H408)+IF(H415="Y",H413)+IF(H420="Y",H418)+IF(H425="Y",H423)+IF(H430="Y",H428)+IF(H435="Y",H433)+IF(H440="Y",H438)</f>
        <v>0</v>
      </c>
      <c r="I399" s="32">
        <f>+J399</f>
        <v>0</v>
      </c>
      <c r="J399" s="32">
        <f>IF(J405="Y",J403)+IF(J410="Y",J408)+IF(J415="Y",J413)+IF(J420="Y",J418)+IF(J425="Y",J423)+IF(J430="Y",J428)+IF(J435="Y",J433)+IF(J440="Y",J438)</f>
        <v>0</v>
      </c>
      <c r="K399" s="32">
        <f>IF(K405="Y",K403)+IF(K410="Y",K408)+IF(K415="Y",K413)+IF(K420="Y",K418)+IF(K425="Y",K423)+IF(K430="Y",K428)+IF(K435="Y",K433)+IF(K440="Y",K438)</f>
        <v>0</v>
      </c>
      <c r="L399" s="32">
        <f>+M399</f>
        <v>0</v>
      </c>
      <c r="M399" s="32">
        <f>IF(M405="Y",M403)+IF(M410="Y",M408)+IF(M415="Y",M413)+IF(M420="Y",M418)+IF(M425="Y",M423)+IF(M430="Y",M428)+IF(M435="Y",M433)+IF(M440="Y",M438)</f>
        <v>0</v>
      </c>
      <c r="N399" s="32">
        <f>IF(N405="Y",N403)+IF(N410="Y",N408)+IF(N415="Y",N413)+IF(N420="Y",N418)+IF(N425="Y",N423)+IF(N430="Y",N428)+IF(N435="Y",N433)+IF(N440="Y",N438)</f>
        <v>0</v>
      </c>
      <c r="O399" s="32">
        <f>+P399</f>
        <v>0</v>
      </c>
      <c r="P399" s="32">
        <f>IF(P405="Y",P403)+IF(P410="Y",P408)+IF(P415="Y",P413)+IF(P420="Y",P418)+IF(P425="Y",P423)+IF(P430="Y",P428)+IF(P435="Y",P433)+IF(P440="Y",P438)</f>
        <v>0</v>
      </c>
      <c r="Q399" s="32">
        <f>IF(Q405="Y",Q403)+IF(Q410="Y",Q408)+IF(Q415="Y",Q413)+IF(Q420="Y",Q418)+IF(Q425="Y",Q423)+IF(Q430="Y",Q428)+IF(Q435="Y",Q433)+IF(Q440="Y",Q438)</f>
        <v>0</v>
      </c>
      <c r="R399" s="32">
        <f>+S399</f>
        <v>0</v>
      </c>
      <c r="S399" s="32">
        <f>IF(S405="Y",S403)+IF(S410="Y",S408)+IF(S415="Y",S413)+IF(S420="Y",S418)+IF(S425="Y",S423)+IF(S430="Y",S428)+IF(S435="Y",S433)+IF(S440="Y",S438)</f>
        <v>0</v>
      </c>
      <c r="T399" s="32">
        <f>IF(T405="Y",T403)+IF(T410="Y",T408)+IF(T415="Y",T413)+IF(T420="Y",T418)+IF(T425="Y",T423)+IF(T430="Y",T428)+IF(T435="Y",T433)+IF(T440="Y",T438)</f>
        <v>0</v>
      </c>
      <c r="U399" s="32">
        <f>+V399</f>
        <v>0</v>
      </c>
      <c r="V399" s="32">
        <f>IF(V405="Y",V403)+IF(V410="Y",V408)+IF(V415="Y",V413)+IF(V420="Y",V418)+IF(V425="Y",V423)+IF(V430="Y",V428)+IF(V435="Y",V433)+IF(V440="Y",V438)</f>
        <v>0</v>
      </c>
      <c r="W399" s="32">
        <f>IF(W405="Y",W403)+IF(W410="Y",W408)+IF(W415="Y",W413)+IF(W420="Y",W418)+IF(W425="Y",W423)+IF(W430="Y",W428)+IF(W435="Y",W433)+IF(W440="Y",W438)</f>
        <v>0</v>
      </c>
      <c r="X399" s="32">
        <f>+Y399</f>
        <v>0</v>
      </c>
      <c r="Y399" s="32">
        <f>IF(Y405="Y",Y403)+IF(Y410="Y",Y408)+IF(Y415="Y",Y413)+IF(Y420="Y",Y418)+IF(Y425="Y",Y423)+IF(Y430="Y",Y428)+IF(Y435="Y",Y433)+IF(Y440="Y",Y438)</f>
        <v>0</v>
      </c>
      <c r="Z399" s="32">
        <f>IF(Z405="Y",Z403)+IF(Z410="Y",Z408)+IF(Z415="Y",Z413)+IF(Z420="Y",Z418)+IF(Z425="Y",Z423)+IF(Z430="Y",Z428)+IF(Z435="Y",Z433)+IF(Z440="Y",Z438)</f>
        <v>0</v>
      </c>
      <c r="AA399" s="32">
        <f>+AB399</f>
        <v>0</v>
      </c>
      <c r="AB399" s="32">
        <f>IF(AB405="Y",AB403)+IF(AB410="Y",AB408)+IF(AB415="Y",AB413)+IF(AB420="Y",AB418)+IF(AB425="Y",AB423)+IF(AB430="Y",AB428)+IF(AB435="Y",AB433)+IF(AB440="Y",AB438)</f>
        <v>0</v>
      </c>
      <c r="AC399" s="32">
        <f>IF(AC405="Y",AC403)+IF(AC410="Y",AC408)+IF(AC415="Y",AC413)+IF(AC420="Y",AC418)+IF(AC425="Y",AC423)+IF(AC430="Y",AC428)+IF(AC435="Y",AC433)+IF(AC440="Y",AC438)</f>
        <v>0</v>
      </c>
      <c r="AD399" s="32">
        <f>+AE399</f>
        <v>0</v>
      </c>
      <c r="AE399" s="32">
        <f>IF(AE405="Y",AE403)+IF(AE410="Y",AE408)+IF(AE415="Y",AE413)+IF(AE420="Y",AE418)+IF(AE425="Y",AE423)+IF(AE430="Y",AE428)+IF(AE435="Y",AE433)+IF(AE440="Y",AE438)</f>
        <v>0</v>
      </c>
      <c r="AF399" s="32">
        <f>IF(AF405="Y",AF403)+IF(AF410="Y",AF408)+IF(AF415="Y",AF413)+IF(AF420="Y",AF418)+IF(AF425="Y",AF423)+IF(AF430="Y",AF428)+IF(AF435="Y",AF433)+IF(AF440="Y",AF438)</f>
        <v>0</v>
      </c>
      <c r="AG399" s="32">
        <f>+AH399</f>
        <v>0</v>
      </c>
      <c r="AH399" s="32">
        <f>IF(AH405="Y",AH403)+IF(AH410="Y",AH408)+IF(AH415="Y",AH413)+IF(AH420="Y",AH418)+IF(AH425="Y",AH423)+IF(AH430="Y",AH428)+IF(AH435="Y",AH433)+IF(AH440="Y",AH438)</f>
        <v>0</v>
      </c>
      <c r="AI399" s="32">
        <f>IF(AI405="Y",AI403)+IF(AI410="Y",AI408)+IF(AI415="Y",AI413)+IF(AI420="Y",AI418)+IF(AI425="Y",AI423)+IF(AI430="Y",AI428)+IF(AI435="Y",AI433)+IF(AI440="Y",AI438)</f>
        <v>0</v>
      </c>
      <c r="AJ399" s="32">
        <f>+AK399</f>
        <v>0</v>
      </c>
      <c r="AK399" s="32">
        <f>IF(AK405="Y",AK403)+IF(AK410="Y",AK408)+IF(AK415="Y",AK413)+IF(AK420="Y",AK418)+IF(AK425="Y",AK423)+IF(AK430="Y",AK428)+IF(AK435="Y",AK433)+IF(AK440="Y",AK438)</f>
        <v>0</v>
      </c>
      <c r="AL399" s="32">
        <f>IF(AL405="Y",AL403)+IF(AL410="Y",AL408)+IF(AL415="Y",AL413)+IF(AL420="Y",AL418)+IF(AL425="Y",AL423)+IF(AL430="Y",AL428)+IF(AL435="Y",AL433)+IF(AL440="Y",AL438)</f>
        <v>0</v>
      </c>
      <c r="AM399" s="32">
        <f>+AN399</f>
        <v>0</v>
      </c>
      <c r="AN399" s="32">
        <f>IF(AN405="Y",AN403)+IF(AN410="Y",AN408)+IF(AN415="Y",AN413)+IF(AN420="Y",AN418)+IF(AN425="Y",AN423)+IF(AN430="Y",AN428)+IF(AN435="Y",AN433)+IF(AN440="Y",AN438)</f>
        <v>0</v>
      </c>
      <c r="AO399" s="32">
        <f>IF(AO405="Y",AO403)+IF(AO410="Y",AO408)+IF(AO415="Y",AO413)+IF(AO420="Y",AO418)+IF(AO425="Y",AO423)+IF(AO430="Y",AO428)+IF(AO435="Y",AO433)+IF(AO440="Y",AO438)</f>
        <v>0</v>
      </c>
      <c r="AP399" s="32">
        <f>+AQ399</f>
        <v>0</v>
      </c>
      <c r="AQ399" s="32">
        <f>IF(AQ405="Y",AQ403)+IF(AQ410="Y",AQ408)+IF(AQ415="Y",AQ413)+IF(AQ420="Y",AQ418)+IF(AQ425="Y",AQ423)+IF(AQ430="Y",AQ428)+IF(AQ435="Y",AQ433)+IF(AQ440="Y",AQ438)</f>
        <v>0</v>
      </c>
      <c r="AR399" s="32">
        <f>IF(AR405="Y",AR403)+IF(AR410="Y",AR408)+IF(AR415="Y",AR413)+IF(AR420="Y",AR418)+IF(AR425="Y",AR423)+IF(AR430="Y",AR428)+IF(AR435="Y",AR433)+IF(AR440="Y",AR438)</f>
        <v>0</v>
      </c>
      <c r="AS399" s="32">
        <f>+AT399</f>
        <v>0</v>
      </c>
      <c r="AT399" s="32">
        <f>IF(AT405="Y",AT403)+IF(AT410="Y",AT408)+IF(AT415="Y",AT413)+IF(AT420="Y",AT418)+IF(AT425="Y",AT423)+IF(AT430="Y",AT428)+IF(AT435="Y",AT433)+IF(AT440="Y",AT438)</f>
        <v>0</v>
      </c>
      <c r="AU399" s="32">
        <f>IF(AU405="Y",AU403)+IF(AU410="Y",AU408)+IF(AU415="Y",AU413)+IF(AU420="Y",AU418)+IF(AU425="Y",AU423)+IF(AU430="Y",AU428)+IF(AU435="Y",AU433)+IF(AU440="Y",AU438)</f>
        <v>2.25</v>
      </c>
      <c r="AV399" s="32">
        <f>+AW399</f>
        <v>1.9500000000000002</v>
      </c>
      <c r="AW399" s="32">
        <f>IF(AW405="Y",AW403)+IF(AW410="Y",AW408)+IF(AW415="Y",AW413)+IF(AW420="Y",AW418)+IF(AW425="Y",AW423)+IF(AW430="Y",AW428)+IF(AW435="Y",AW433)+IF(AW440="Y",AW438)</f>
        <v>1.9500000000000002</v>
      </c>
      <c r="AX399" s="32">
        <f>IF(AX405="Y",AX403)+IF(AX410="Y",AX408)+IF(AX415="Y",AX413)+IF(AX420="Y",AX418)+IF(AX425="Y",AX423)+IF(AX430="Y",AX428)+IF(AX435="Y",AX433)+IF(AX440="Y",AX438)</f>
        <v>3.48</v>
      </c>
      <c r="AY399" s="32">
        <f>+AZ399</f>
        <v>3.48</v>
      </c>
      <c r="AZ399" s="32">
        <f>IF(AZ405="Y",AZ403)+IF(AZ410="Y",AZ408)+IF(AZ415="Y",AZ413)+IF(AZ420="Y",AZ418)+IF(AZ425="Y",AZ423)+IF(AZ430="Y",AZ428)+IF(AZ435="Y",AZ433)+IF(AZ440="Y",AZ438)</f>
        <v>3.48</v>
      </c>
      <c r="BA399" s="32">
        <f>IF(BA405="Y",BA403)+IF(BA410="Y",BA408)+IF(BA415="Y",BA413)+IF(BA420="Y",BA418)+IF(BA425="Y",BA423)+IF(BA430="Y",BA428)+IF(BA435="Y",BA433)+IF(BA440="Y",BA438)</f>
        <v>3.48</v>
      </c>
      <c r="BB399" s="32">
        <f>+BC399</f>
        <v>3.48</v>
      </c>
      <c r="BC399" s="32">
        <f>IF(BC405="Y",BC403)+IF(BC410="Y",BC408)+IF(BC415="Y",BC413)+IF(BC420="Y",BC418)+IF(BC425="Y",BC423)+IF(BC430="Y",BC428)+IF(BC435="Y",BC433)+IF(BC440="Y",BC438)</f>
        <v>3.48</v>
      </c>
      <c r="BD399" s="32">
        <f>IF(BD405="Y",BD403)+IF(BD410="Y",BD408)+IF(BD415="Y",BD413)+IF(BD420="Y",BD418)+IF(BD425="Y",BD423)+IF(BD430="Y",BD428)+IF(BD435="Y",BD433)+IF(BD440="Y",BD438)</f>
        <v>3.48</v>
      </c>
      <c r="BE399" s="32">
        <f>+BF399</f>
        <v>3.48</v>
      </c>
      <c r="BF399" s="32">
        <f>IF(BF405="Y",BF403)+IF(BF410="Y",BF408)+IF(BF415="Y",BF413)+IF(BF420="Y",BF418)+IF(BF425="Y",BF423)+IF(BF430="Y",BF428)+IF(BF435="Y",BF433)+IF(BF440="Y",BF438)</f>
        <v>3.48</v>
      </c>
      <c r="BG399" s="32">
        <f>IF(BG405="Y",BG403)+IF(BG410="Y",BG408)+IF(BG415="Y",BG413)+IF(BG420="Y",BG418)+IF(BG425="Y",BG423)+IF(BG430="Y",BG428)+IF(BG435="Y",BG433)+IF(BG440="Y",BG438)</f>
        <v>3.48</v>
      </c>
      <c r="BH399" s="32">
        <f>+BI399</f>
        <v>3.48</v>
      </c>
      <c r="BI399" s="32">
        <f>IF(BI405="Y",BI403)+IF(BI410="Y",BI408)+IF(BI415="Y",BI413)+IF(BI420="Y",BI418)+IF(BI425="Y",BI423)+IF(BI430="Y",BI428)+IF(BI435="Y",BI433)+IF(BI440="Y",BI438)</f>
        <v>3.48</v>
      </c>
      <c r="BJ399" s="32">
        <f>IF(BJ405="Y",BJ403)+IF(BJ410="Y",BJ408)+IF(BJ415="Y",BJ413)+IF(BJ420="Y",BJ418)+IF(BJ425="Y",BJ423)+IF(BJ430="Y",BJ428)+IF(BJ435="Y",BJ433)+IF(BJ440="Y",BJ438)</f>
        <v>3.48</v>
      </c>
      <c r="BK399" s="32">
        <f>+BL399</f>
        <v>3.48</v>
      </c>
      <c r="BL399" s="32">
        <f>IF(BL405="Y",BL403)+IF(BL410="Y",BL408)+IF(BL415="Y",BL413)+IF(BL420="Y",BL418)+IF(BL425="Y",BL423)+IF(BL430="Y",BL428)+IF(BL435="Y",BL433)+IF(BL440="Y",BL438)</f>
        <v>3.48</v>
      </c>
      <c r="BM399" s="32">
        <f>IF(BM405="Y",BM403)+IF(BM410="Y",BM408)+IF(BM415="Y",BM413)+IF(BM420="Y",BM418)+IF(BM425="Y",BM423)+IF(BM430="Y",BM428)+IF(BM435="Y",BM433)+IF(BM440="Y",BM438)</f>
        <v>3.48</v>
      </c>
      <c r="BN399" s="32">
        <f>+BO399</f>
        <v>0</v>
      </c>
      <c r="BO399" s="32">
        <f>IF(BO405="Y",BO403)+IF(BO410="Y",BO408)+IF(BO415="Y",BO413)+IF(BO420="Y",BO418)+IF(BO425="Y",BO423)+IF(BO430="Y",BO428)+IF(BO435="Y",BO433)+IF(BO440="Y",BO438)</f>
        <v>0</v>
      </c>
      <c r="BP399" s="32">
        <f>IF(BP405="Y",BP403)+IF(BP410="Y",BP408)+IF(BP415="Y",BP413)+IF(BP420="Y",BP418)+IF(BP425="Y",BP423)+IF(BP430="Y",BP428)+IF(BP435="Y",BP433)+IF(BP440="Y",BP438)</f>
        <v>0</v>
      </c>
      <c r="BQ399" s="32">
        <f>+BR399</f>
        <v>0</v>
      </c>
      <c r="BR399" s="32">
        <f>IF(BR405="Y",BR403)+IF(BR410="Y",BR408)+IF(BR415="Y",BR413)+IF(BR420="Y",BR418)+IF(BR425="Y",BR423)+IF(BR430="Y",BR428)+IF(BR435="Y",BR433)+IF(BR440="Y",BR438)</f>
        <v>0</v>
      </c>
      <c r="BS399" s="32">
        <f>IF(BS405="Y",BS403)+IF(BS410="Y",BS408)+IF(BS415="Y",BS413)+IF(BS420="Y",BS418)+IF(BS425="Y",BS423)+IF(BS430="Y",BS428)+IF(BS435="Y",BS433)+IF(BS440="Y",BS438)</f>
        <v>0</v>
      </c>
      <c r="BT399" s="32">
        <f>+BU399</f>
        <v>0</v>
      </c>
      <c r="BU399" s="32">
        <f>IF(BU405="Y",BU403)+IF(BU410="Y",BU408)+IF(BU415="Y",BU413)+IF(BU420="Y",BU418)+IF(BU425="Y",BU423)+IF(BU430="Y",BU428)+IF(BU435="Y",BU433)+IF(BU440="Y",BU438)</f>
        <v>0</v>
      </c>
      <c r="BV399" s="32">
        <f>IF(BV405="Y",BV403)+IF(BV410="Y",BV408)+IF(BV415="Y",BV413)+IF(BV420="Y",BV418)+IF(BV425="Y",BV423)+IF(BV430="Y",BV428)+IF(BV435="Y",BV433)+IF(BV440="Y",BV438)</f>
        <v>0</v>
      </c>
      <c r="BW399" s="32">
        <f>+BX399</f>
        <v>0</v>
      </c>
      <c r="BX399" s="32">
        <f>IF(BX405="Y",BX403)+IF(BX410="Y",BX408)+IF(BX415="Y",BX413)+IF(BX420="Y",BX418)+IF(BX425="Y",BX423)+IF(BX430="Y",BX428)+IF(BX435="Y",BX433)+IF(BX440="Y",BX438)</f>
        <v>0</v>
      </c>
      <c r="BY399" s="32">
        <f>IF(BY405="Y",BY403)+IF(BY410="Y",BY408)+IF(BY415="Y",BY413)+IF(BY420="Y",BY418)+IF(BY425="Y",BY423)+IF(BY430="Y",BY428)+IF(BY435="Y",BY433)+IF(BY440="Y",BY438)</f>
        <v>0</v>
      </c>
      <c r="BZ399" s="32">
        <f>+CA399</f>
        <v>0</v>
      </c>
      <c r="CA399" s="32">
        <f>IF(CA405="Y",CA403)+IF(CA410="Y",CA408)+IF(CA415="Y",CA413)+IF(CA420="Y",CA418)+IF(CA425="Y",CA423)+IF(CA430="Y",CA428)+IF(CA435="Y",CA433)+IF(CA440="Y",CA438)</f>
        <v>0</v>
      </c>
      <c r="CB399" s="32">
        <f>IF(CB405="Y",CB403)+IF(CB410="Y",CB408)+IF(CB415="Y",CB413)+IF(CB420="Y",CB418)+IF(CB425="Y",CB423)+IF(CB430="Y",CB428)+IF(CB435="Y",CB433)+IF(CB440="Y",CB438)</f>
        <v>0</v>
      </c>
      <c r="CC399" s="32">
        <f>+CD399</f>
        <v>0</v>
      </c>
      <c r="CD399" s="32">
        <f>IF(CD405="Y",CD403)+IF(CD410="Y",CD408)+IF(CD415="Y",CD413)+IF(CD420="Y",CD418)+IF(CD425="Y",CD423)+IF(CD430="Y",CD428)+IF(CD435="Y",CD433)+IF(CD440="Y",CD438)</f>
        <v>0</v>
      </c>
      <c r="CE399" s="32">
        <f>IF(CE405="Y",CE403)+IF(CE410="Y",CE408)+IF(CE415="Y",CE413)+IF(CE420="Y",CE418)+IF(CE425="Y",CE423)+IF(CE430="Y",CE428)+IF(CE435="Y",CE433)+IF(CE440="Y",CE438)</f>
        <v>0</v>
      </c>
      <c r="CF399" s="32">
        <f>+CG399</f>
        <v>0</v>
      </c>
      <c r="CG399" s="32">
        <f>IF(CG405="Y",CG403)+IF(CG410="Y",CG408)+IF(CG415="Y",CG413)+IF(CG420="Y",CG418)+IF(CG425="Y",CG423)+IF(CG430="Y",CG428)+IF(CG435="Y",CG433)+IF(CG440="Y",CG438)</f>
        <v>0</v>
      </c>
      <c r="CH399" s="32">
        <f>IF(CH405="Y",CH403)+IF(CH410="Y",CH408)+IF(CH415="Y",CH413)+IF(CH420="Y",CH418)+IF(CH425="Y",CH423)+IF(CH430="Y",CH428)+IF(CH435="Y",CH433)+IF(CH440="Y",CH438)</f>
        <v>0</v>
      </c>
      <c r="CI399" s="32">
        <f>+CJ399</f>
        <v>0</v>
      </c>
      <c r="CJ399" s="32">
        <f>IF(CJ405="Y",CJ403)+IF(CJ410="Y",CJ408)+IF(CJ415="Y",CJ413)+IF(CJ420="Y",CJ418)+IF(CJ425="Y",CJ423)+IF(CJ430="Y",CJ428)+IF(CJ435="Y",CJ433)+IF(CJ440="Y",CJ438)</f>
        <v>0</v>
      </c>
      <c r="CK399" s="32">
        <f>IF(CK405="Y",CK403)+IF(CK410="Y",CK408)+IF(CK415="Y",CK413)+IF(CK420="Y",CK418)+IF(CK425="Y",CK423)+IF(CK430="Y",CK428)+IF(CK435="Y",CK433)+IF(CK440="Y",CK438)</f>
        <v>0</v>
      </c>
      <c r="CL399" s="32">
        <f>+CM399</f>
        <v>0</v>
      </c>
      <c r="CM399" s="32">
        <f>IF(CM405="Y",CM403)+IF(CM410="Y",CM408)+IF(CM415="Y",CM413)+IF(CM420="Y",CM418)+IF(CM425="Y",CM423)+IF(CM430="Y",CM428)+IF(CM435="Y",CM433)+IF(CM440="Y",CM438)</f>
        <v>0</v>
      </c>
      <c r="CN399" s="32">
        <f>IF(CN405="Y",CN403)+IF(CN410="Y",CN408)+IF(CN415="Y",CN413)+IF(CN420="Y",CN418)+IF(CN425="Y",CN423)+IF(CN430="Y",CN428)+IF(CN435="Y",CN433)+IF(CN440="Y",CN438)</f>
        <v>0</v>
      </c>
      <c r="CO399" s="32">
        <f>+CP399</f>
        <v>0</v>
      </c>
      <c r="CP399" s="32">
        <f>IF(CP405="Y",CP403)+IF(CP410="Y",CP408)+IF(CP415="Y",CP413)+IF(CP420="Y",CP418)+IF(CP425="Y",CP423)+IF(CP430="Y",CP428)+IF(CP435="Y",CP433)+IF(CP440="Y",CP438)</f>
        <v>0</v>
      </c>
      <c r="CQ399" s="32">
        <f>IF(CQ405="Y",CQ403)+IF(CQ410="Y",CQ408)+IF(CQ415="Y",CQ413)+IF(CQ420="Y",CQ418)+IF(CQ425="Y",CQ423)+IF(CQ430="Y",CQ428)+IF(CQ435="Y",CQ433)+IF(CQ440="Y",CQ438)</f>
        <v>0</v>
      </c>
      <c r="CR399" s="32">
        <f>+CS399</f>
        <v>0</v>
      </c>
      <c r="CS399" s="32">
        <f>IF(CS405="Y",CS403)+IF(CS410="Y",CS408)+IF(CS415="Y",CS413)+IF(CS420="Y",CS418)+IF(CS425="Y",CS423)+IF(CS430="Y",CS428)+IF(CS435="Y",CS433)+IF(CS440="Y",CS438)</f>
        <v>0</v>
      </c>
      <c r="CT399" s="32">
        <f>IF(CT405="Y",CT403)+IF(CT410="Y",CT408)+IF(CT415="Y",CT413)+IF(CT420="Y",CT418)+IF(CT425="Y",CT423)+IF(CT430="Y",CT428)+IF(CT435="Y",CT433)+IF(CT440="Y",CT438)</f>
        <v>0</v>
      </c>
      <c r="CU399" s="32">
        <f>+CV399</f>
        <v>0</v>
      </c>
      <c r="CV399" s="32">
        <f>IF(CV405="Y",CV403)+IF(CV410="Y",CV408)+IF(CV415="Y",CV413)+IF(CV420="Y",CV418)+IF(CV425="Y",CV423)+IF(CV430="Y",CV428)+IF(CV435="Y",CV433)+IF(CV440="Y",CV438)</f>
        <v>0</v>
      </c>
      <c r="CW399" s="32">
        <f>IF(CW405="Y",CW403)+IF(CW410="Y",CW408)+IF(CW415="Y",CW413)+IF(CW420="Y",CW418)+IF(CW425="Y",CW423)+IF(CW430="Y",CW428)+IF(CW435="Y",CW433)+IF(CW440="Y",CW438)</f>
        <v>0</v>
      </c>
      <c r="CX399" s="32">
        <f>+CY399</f>
        <v>0</v>
      </c>
      <c r="CY399" s="32">
        <f>IF(CY405="Y",CY403)+IF(CY410="Y",CY408)+IF(CY415="Y",CY413)+IF(CY420="Y",CY418)+IF(CY425="Y",CY423)+IF(CY430="Y",CY428)+IF(CY435="Y",CY433)+IF(CY440="Y",CY438)</f>
        <v>0</v>
      </c>
      <c r="CZ399" s="32">
        <f>IF(CZ405="Y",CZ403)+IF(CZ410="Y",CZ408)+IF(CZ415="Y",CZ413)+IF(CZ420="Y",CZ418)+IF(CZ425="Y",CZ423)+IF(CZ430="Y",CZ428)+IF(CZ435="Y",CZ433)+IF(CZ440="Y",CZ438)</f>
        <v>0</v>
      </c>
      <c r="DA399" s="32">
        <f>+DB399</f>
        <v>0</v>
      </c>
      <c r="DB399" s="32">
        <f>IF(DB405="Y",DB403)+IF(DB410="Y",DB408)+IF(DB415="Y",DB413)+IF(DB420="Y",DB418)+IF(DB425="Y",DB423)+IF(DB430="Y",DB428)+IF(DB435="Y",DB433)+IF(DB440="Y",DB438)</f>
        <v>0</v>
      </c>
      <c r="DC399" s="32">
        <f>IF(DC405="Y",DC403)+IF(DC410="Y",DC408)+IF(DC415="Y",DC413)+IF(DC420="Y",DC418)+IF(DC425="Y",DC423)+IF(DC430="Y",DC428)+IF(DC435="Y",DC433)+IF(DC440="Y",DC438)</f>
        <v>0</v>
      </c>
      <c r="DD399" s="32">
        <f>+DE399</f>
        <v>0</v>
      </c>
      <c r="DE399" s="1061">
        <f>IF(DE405="Y",DE403)+IF(DE410="Y",DE408)+IF(DE415="Y",DE413)+IF(DE420="Y",DE418)+IF(DE425="Y",DE423)+IF(DE430="Y",DE428)+IF(DE435="Y",DE433)+IF(DE440="Y",DE438)</f>
        <v>0</v>
      </c>
      <c r="DF399" s="32">
        <f>IF(DF405="Y",DF403)+IF(DF410="Y",DF408)+IF(DF415="Y",DF413)+IF(DF420="Y",DF418)+IF(DF425="Y",DF423)+IF(DF430="Y",DF428)+IF(DF435="Y",DF433)+IF(DF440="Y",DF438)</f>
        <v>0</v>
      </c>
      <c r="DG399" s="32">
        <f>+DH399</f>
        <v>0</v>
      </c>
      <c r="DH399" s="1061">
        <f>IF(DH405="Y",DH403)+IF(DH410="Y",DH408)+IF(DH415="Y",DH413)+IF(DH420="Y",DH418)+IF(DH425="Y",DH423)+IF(DH430="Y",DH428)+IF(DH435="Y",DH433)+IF(DH440="Y",DH438)</f>
        <v>0</v>
      </c>
      <c r="DI399" s="32">
        <f>IF(DI405="Y",DI403)+IF(DI410="Y",DI408)+IF(DI415="Y",DI413)+IF(DI420="Y",DI418)+IF(DI425="Y",DI423)+IF(DI430="Y",DI428)+IF(DI435="Y",DI433)+IF(DI440="Y",DI438)</f>
        <v>0</v>
      </c>
      <c r="DJ399" s="32">
        <f>+DK399</f>
        <v>0</v>
      </c>
      <c r="DK399" s="1061">
        <f>IF(DK405="Y",DK403)+IF(DK410="Y",DK408)+IF(DK415="Y",DK413)+IF(DK420="Y",DK418)+IF(DK425="Y",DK423)+IF(DK430="Y",DK428)+IF(DK435="Y",DK433)+IF(DK440="Y",DK438)</f>
        <v>0</v>
      </c>
      <c r="DL399" s="32">
        <f>IF(DL405="Y",DL403)+IF(DL410="Y",DL408)+IF(DL415="Y",DL413)+IF(DL420="Y",DL418)+IF(DL425="Y",DL423)+IF(DL430="Y",DL428)+IF(DL435="Y",DL433)+IF(DL440="Y",DL438)</f>
        <v>0</v>
      </c>
      <c r="DM399" s="32">
        <f>+DN399</f>
        <v>0</v>
      </c>
      <c r="DN399" s="1061">
        <f>IF(DN405="Y",DN403)+IF(DN410="Y",DN408)+IF(DN415="Y",DN413)+IF(DN420="Y",DN418)+IF(DN425="Y",DN423)+IF(DN430="Y",DN428)+IF(DN435="Y",DN433)+IF(DN440="Y",DN438)</f>
        <v>0</v>
      </c>
      <c r="DO399" s="32">
        <f>IF(DO405="Y",DO403)+IF(DO410="Y",DO408)+IF(DO415="Y",DO413)+IF(DO420="Y",DO418)+IF(DO425="Y",DO423)+IF(DO430="Y",DO428)+IF(DO435="Y",DO433)+IF(DO440="Y",DO438)</f>
        <v>0</v>
      </c>
      <c r="DP399" s="32">
        <f>+DQ399</f>
        <v>0</v>
      </c>
      <c r="DQ399" s="1061">
        <f>IF(DQ405="Y",DQ403)+IF(DQ410="Y",DQ408)+IF(DQ415="Y",DQ413)+IF(DQ420="Y",DQ418)+IF(DQ425="Y",DQ423)+IF(DQ430="Y",DQ428)+IF(DQ435="Y",DQ433)+IF(DQ440="Y",DQ438)</f>
        <v>0</v>
      </c>
      <c r="DR399" s="32">
        <f>IF(DR405="Y",DR403)+IF(DR410="Y",DR408)+IF(DR415="Y",DR413)+IF(DR420="Y",DR418)+IF(DR425="Y",DR423)+IF(DR430="Y",DR428)+IF(DR435="Y",DR433)+IF(DR440="Y",DR438)</f>
        <v>0</v>
      </c>
      <c r="DS399" s="32">
        <f>+DT399</f>
        <v>0</v>
      </c>
      <c r="DT399" s="1061">
        <f>IF(DT405="Y",DT403)+IF(DT410="Y",DT408)+IF(DT415="Y",DT413)+IF(DT420="Y",DT418)+IF(DT425="Y",DT423)+IF(DT430="Y",DT428)+IF(DT435="Y",DT433)+IF(DT440="Y",DT438)</f>
        <v>0</v>
      </c>
      <c r="DU399" s="32">
        <f>IF(DU405="Y",DU403)+IF(DU410="Y",DU408)+IF(DU415="Y",DU413)+IF(DU420="Y",DU418)+IF(DU425="Y",DU423)+IF(DU430="Y",DU428)+IF(DU435="Y",DU433)+IF(DU440="Y",DU438)</f>
        <v>0</v>
      </c>
      <c r="DV399" s="32">
        <f>+DW399</f>
        <v>0</v>
      </c>
      <c r="DW399" s="1061">
        <f>IF(DW405="Y",DW403)+IF(DW410="Y",DW408)+IF(DW415="Y",DW413)+IF(DW420="Y",DW418)+IF(DW425="Y",DW423)+IF(DW430="Y",DW428)+IF(DW435="Y",DW433)+IF(DW440="Y",DW438)</f>
        <v>0</v>
      </c>
      <c r="DX399" s="32">
        <f>IF(DX405="Y",DX403)+IF(DX410="Y",DX408)+IF(DX415="Y",DX413)+IF(DX420="Y",DX418)+IF(DX425="Y",DX423)+IF(DX430="Y",DX428)+IF(DX435="Y",DX433)+IF(DX440="Y",DX438)</f>
        <v>0</v>
      </c>
      <c r="DY399" s="32">
        <f>+DZ399</f>
        <v>0</v>
      </c>
      <c r="DZ399" s="1061">
        <f>IF(DZ405="Y",DZ403)+IF(DZ410="Y",DZ408)+IF(DZ415="Y",DZ413)+IF(DZ420="Y",DZ418)+IF(DZ425="Y",DZ423)+IF(DZ430="Y",DZ428)+IF(DZ435="Y",DZ433)+IF(DZ440="Y",DZ438)</f>
        <v>0</v>
      </c>
      <c r="EA399" s="32">
        <f>IF(EA405="Y",EA403)+IF(EA410="Y",EA408)+IF(EA415="Y",EA413)+IF(EA420="Y",EA418)+IF(EA425="Y",EA423)+IF(EA430="Y",EA428)+IF(EA435="Y",EA433)+IF(EA440="Y",EA438)</f>
        <v>0</v>
      </c>
      <c r="EB399" s="32">
        <f>+EC399</f>
        <v>0</v>
      </c>
      <c r="EC399" s="1061">
        <f>IF(EC405="Y",EC403)+IF(EC410="Y",EC408)+IF(EC415="Y",EC413)+IF(EC420="Y",EC418)+IF(EC425="Y",EC423)+IF(EC430="Y",EC428)+IF(EC435="Y",EC433)+IF(EC440="Y",EC438)</f>
        <v>0</v>
      </c>
      <c r="ED399" s="32">
        <f>IF(ED405="Y",ED403)+IF(ED410="Y",ED408)+IF(ED415="Y",ED413)+IF(ED420="Y",ED418)+IF(ED425="Y",ED423)+IF(ED430="Y",ED428)+IF(ED435="Y",ED433)+IF(ED440="Y",ED438)</f>
        <v>0</v>
      </c>
      <c r="EE399" s="32">
        <f>+EF399</f>
        <v>0</v>
      </c>
      <c r="EF399" s="1061">
        <f>IF(EF405="Y",EF403)+IF(EF410="Y",EF408)+IF(EF415="Y",EF413)+IF(EF420="Y",EF418)+IF(EF425="Y",EF423)+IF(EF430="Y",EF428)+IF(EF435="Y",EF433)+IF(EF440="Y",EF438)</f>
        <v>0</v>
      </c>
      <c r="EG399" s="32">
        <f>IF(EG405="Y",EG403)+IF(EG410="Y",EG408)+IF(EG415="Y",EG413)+IF(EG420="Y",EG418)+IF(EG425="Y",EG423)+IF(EG430="Y",EG428)+IF(EG435="Y",EG433)+IF(EG440="Y",EG438)</f>
        <v>0</v>
      </c>
      <c r="EH399" s="32">
        <f>+EI399</f>
        <v>0</v>
      </c>
      <c r="EI399" s="1061">
        <f>IF(EI405="Y",EI403)+IF(EI410="Y",EI408)+IF(EI415="Y",EI413)+IF(EI420="Y",EI418)+IF(EI425="Y",EI423)+IF(EI430="Y",EI428)+IF(EI435="Y",EI433)+IF(EI440="Y",EI438)</f>
        <v>0</v>
      </c>
      <c r="EJ399" s="32">
        <f>IF(EJ405="Y",EJ403)+IF(EJ410="Y",EJ408)+IF(EJ415="Y",EJ413)+IF(EJ420="Y",EJ418)+IF(EJ425="Y",EJ423)+IF(EJ430="Y",EJ428)+IF(EJ435="Y",EJ433)+IF(EJ440="Y",EJ438)</f>
        <v>0</v>
      </c>
      <c r="EK399" s="32">
        <f>+EL399</f>
        <v>0</v>
      </c>
      <c r="EL399" s="1061">
        <f>IF(EL405="Y",EL403)+IF(EL410="Y",EL408)+IF(EL415="Y",EL413)+IF(EL420="Y",EL418)+IF(EL425="Y",EL423)+IF(EL430="Y",EL428)+IF(EL435="Y",EL433)+IF(EL440="Y",EL438)</f>
        <v>0</v>
      </c>
      <c r="EM399" s="32">
        <f>IF(EM405="Y",EM403)+IF(EM410="Y",EM408)+IF(EM415="Y",EM413)+IF(EM420="Y",EM418)+IF(EM425="Y",EM423)+IF(EM430="Y",EM428)+IF(EM435="Y",EM433)+IF(EM440="Y",EM438)</f>
        <v>0</v>
      </c>
      <c r="EN399" s="32">
        <f>+EO399</f>
        <v>0</v>
      </c>
      <c r="EO399" s="1061">
        <f>IF(EO405="Y",EO403)+IF(EO410="Y",EO408)+IF(EO415="Y",EO413)+IF(EO420="Y",EO418)+IF(EO425="Y",EO423)+IF(EO430="Y",EO428)+IF(EO435="Y",EO433)+IF(EO440="Y",EO438)</f>
        <v>0</v>
      </c>
      <c r="EP399" s="32">
        <f>IF(EP405="Y",EP403)+IF(EP410="Y",EP408)+IF(EP415="Y",EP413)+IF(EP420="Y",EP418)+IF(EP425="Y",EP423)+IF(EP430="Y",EP428)+IF(EP435="Y",EP433)+IF(EP440="Y",EP438)</f>
        <v>0</v>
      </c>
      <c r="EQ399" s="32">
        <f>+ER399</f>
        <v>0</v>
      </c>
      <c r="ER399" s="1061">
        <f>IF(ER405="Y",ER403)+IF(ER410="Y",ER408)+IF(ER415="Y",ER413)+IF(ER420="Y",ER418)+IF(ER425="Y",ER423)+IF(ER430="Y",ER428)+IF(ER435="Y",ER433)+IF(ER440="Y",ER438)</f>
        <v>0</v>
      </c>
      <c r="ES399" s="32">
        <f>IF(ES405="Y",ES403)+IF(ES410="Y",ES408)+IF(ES415="Y",ES413)+IF(ES420="Y",ES418)+IF(ES425="Y",ES423)+IF(ES430="Y",ES428)+IF(ES435="Y",ES433)+IF(ES440="Y",ES438)</f>
        <v>0</v>
      </c>
      <c r="ET399" s="32">
        <f>+EU399</f>
        <v>0</v>
      </c>
      <c r="EU399" s="1061">
        <f>IF(EU405="Y",EU403)+IF(EU410="Y",EU408)+IF(EU415="Y",EU413)+IF(EU420="Y",EU418)+IF(EU425="Y",EU423)+IF(EU430="Y",EU428)+IF(EU435="Y",EU433)+IF(EU440="Y",EU438)</f>
        <v>0</v>
      </c>
      <c r="EV399" s="32">
        <f>IF(EV405="Y",EV403)+IF(EV410="Y",EV408)+IF(EV415="Y",EV413)+IF(EV420="Y",EV418)+IF(EV425="Y",EV423)+IF(EV430="Y",EV428)+IF(EV435="Y",EV433)+IF(EV440="Y",EV438)</f>
        <v>0</v>
      </c>
      <c r="EW399" s="32">
        <f>+EX399</f>
        <v>0</v>
      </c>
      <c r="EX399" s="1061">
        <f>IF(EX405="Y",EX403)+IF(EX410="Y",EX408)+IF(EX415="Y",EX413)+IF(EX420="Y",EX418)+IF(EX425="Y",EX423)+IF(EX430="Y",EX428)+IF(EX435="Y",EX433)+IF(EX440="Y",EX438)</f>
        <v>0</v>
      </c>
      <c r="EY399" s="32">
        <f>IF(EY405="Y",EY403)+IF(EY410="Y",EY408)+IF(EY415="Y",EY413)+IF(EY420="Y",EY418)+IF(EY425="Y",EY423)+IF(EY430="Y",EY428)+IF(EY435="Y",EY433)+IF(EY440="Y",EY438)</f>
        <v>0</v>
      </c>
      <c r="EZ399" s="32">
        <f>+FA399</f>
        <v>0</v>
      </c>
      <c r="FA399" s="1061">
        <f>IF(FA405="Y",FA403)+IF(FA410="Y",FA408)+IF(FA415="Y",FA413)+IF(FA420="Y",FA418)+IF(FA425="Y",FA423)+IF(FA430="Y",FA428)+IF(FA435="Y",FA433)+IF(FA440="Y",FA438)</f>
        <v>0</v>
      </c>
      <c r="FD399"/>
      <c r="FE399"/>
      <c r="FF399"/>
      <c r="FG399"/>
      <c r="FH399"/>
      <c r="FI399"/>
    </row>
    <row r="400" spans="2:165" s="33" customFormat="1">
      <c r="B400" s="54" t="s">
        <v>47</v>
      </c>
      <c r="C400" s="54"/>
      <c r="D400" s="2"/>
      <c r="E400" s="1421">
        <f>IF(E405="Y",E404)+IF(E410="Y",E409)+IF(E415="Y",E414)+IF(E420="Y",E419)+IF(E425="Y",E424)+IF(E430="Y",E429)+IF(E435="Y",E434)+IF(E440="Y",E439)</f>
        <v>0</v>
      </c>
      <c r="F400" s="1421">
        <f>+G400-E400</f>
        <v>0</v>
      </c>
      <c r="G400" s="1421">
        <f>IF(G405="Y",G404)+IF(G410="Y",G409)+IF(G415="Y",G414)+IF(G420="Y",G419)+IF(G425="Y",G424)+IF(G430="Y",G429)+IF(G435="Y",G434)+IF(G440="Y",G439)</f>
        <v>0</v>
      </c>
      <c r="H400" s="1421">
        <f>IF(H405="Y",H404)+IF(H410="Y",H409)+IF(H415="Y",H414)+IF(H420="Y",H419)+IF(H425="Y",H424)+IF(H430="Y",H429)+IF(H435="Y",H434)+IF(H440="Y",H439)</f>
        <v>0</v>
      </c>
      <c r="I400" s="1421">
        <f>+J400-H400</f>
        <v>0</v>
      </c>
      <c r="J400" s="1421">
        <f>IF(J405="Y",J404)+IF(J410="Y",J409)+IF(J415="Y",J414)+IF(J420="Y",J419)+IF(J425="Y",J424)+IF(J430="Y",J429)+IF(J435="Y",J434)+IF(J440="Y",J439)</f>
        <v>0</v>
      </c>
      <c r="K400" s="1421">
        <f>IF(K405="Y",K404)+IF(K410="Y",K409)+IF(K415="Y",K414)+IF(K420="Y",K419)+IF(K425="Y",K424)+IF(K430="Y",K429)+IF(K435="Y",K434)+IF(K440="Y",K439)</f>
        <v>0</v>
      </c>
      <c r="L400" s="1421">
        <f>+M400-K400</f>
        <v>0</v>
      </c>
      <c r="M400" s="1421">
        <f>IF(M405="Y",M404)+IF(M410="Y",M409)+IF(M415="Y",M414)+IF(M420="Y",M419)+IF(M425="Y",M424)+IF(M430="Y",M429)+IF(M435="Y",M434)+IF(M440="Y",M439)</f>
        <v>0</v>
      </c>
      <c r="N400" s="1421">
        <f>IF(N405="Y",N404)+IF(N410="Y",N409)+IF(N415="Y",N414)+IF(N420="Y",N419)+IF(N425="Y",N424)+IF(N430="Y",N429)+IF(N435="Y",N434)+IF(N440="Y",N439)</f>
        <v>0</v>
      </c>
      <c r="O400" s="1421">
        <f>+P400-N400</f>
        <v>0</v>
      </c>
      <c r="P400" s="1421">
        <f>IF(P405="Y",P404)+IF(P410="Y",P409)+IF(P415="Y",P414)+IF(P420="Y",P419)+IF(P425="Y",P424)+IF(P430="Y",P429)+IF(P435="Y",P434)+IF(P440="Y",P439)</f>
        <v>0</v>
      </c>
      <c r="Q400" s="1421">
        <f>IF(Q405="Y",Q404)+IF(Q410="Y",Q409)+IF(Q415="Y",Q414)+IF(Q420="Y",Q419)+IF(Q425="Y",Q424)+IF(Q430="Y",Q429)+IF(Q435="Y",Q434)+IF(Q440="Y",Q439)</f>
        <v>0</v>
      </c>
      <c r="R400" s="1421">
        <f>+S400-Q400</f>
        <v>0</v>
      </c>
      <c r="S400" s="1421">
        <f>IF(S405="Y",S404)+IF(S410="Y",S409)+IF(S415="Y",S414)+IF(S420="Y",S419)+IF(S425="Y",S424)+IF(S430="Y",S429)+IF(S435="Y",S434)+IF(S440="Y",S439)</f>
        <v>0</v>
      </c>
      <c r="T400" s="1421">
        <f>IF(T405="Y",T404)+IF(T410="Y",T409)+IF(T415="Y",T414)+IF(T420="Y",T419)+IF(T425="Y",T424)+IF(T430="Y",T429)+IF(T435="Y",T434)+IF(T440="Y",T439)</f>
        <v>0</v>
      </c>
      <c r="U400" s="1421">
        <f>+V400-T400</f>
        <v>0</v>
      </c>
      <c r="V400" s="1421">
        <f>IF(V405="Y",V404)+IF(V410="Y",V409)+IF(V415="Y",V414)+IF(V420="Y",V419)+IF(V425="Y",V424)+IF(V430="Y",V429)+IF(V435="Y",V434)+IF(V440="Y",V439)</f>
        <v>0</v>
      </c>
      <c r="W400" s="1421">
        <f>IF(W405="Y",W404)+IF(W410="Y",W409)+IF(W415="Y",W414)+IF(W420="Y",W419)+IF(W425="Y",W424)+IF(W430="Y",W429)+IF(W435="Y",W434)+IF(W440="Y",W439)</f>
        <v>0</v>
      </c>
      <c r="X400" s="1421">
        <f>+Y400-W400</f>
        <v>0</v>
      </c>
      <c r="Y400" s="1421">
        <f>IF(Y405="Y",Y404)+IF(Y410="Y",Y409)+IF(Y415="Y",Y414)+IF(Y420="Y",Y419)+IF(Y425="Y",Y424)+IF(Y430="Y",Y429)+IF(Y435="Y",Y434)+IF(Y440="Y",Y439)</f>
        <v>0</v>
      </c>
      <c r="Z400" s="1421">
        <f>IF(Z405="Y",Z404)+IF(Z410="Y",Z409)+IF(Z415="Y",Z414)+IF(Z420="Y",Z419)+IF(Z425="Y",Z424)+IF(Z430="Y",Z429)+IF(Z435="Y",Z434)+IF(Z440="Y",Z439)</f>
        <v>0</v>
      </c>
      <c r="AA400" s="1421">
        <f>+AB400-Z400</f>
        <v>0</v>
      </c>
      <c r="AB400" s="1421">
        <f>IF(AB405="Y",AB404)+IF(AB410="Y",AB409)+IF(AB415="Y",AB414)+IF(AB420="Y",AB419)+IF(AB425="Y",AB424)+IF(AB430="Y",AB429)+IF(AB435="Y",AB434)+IF(AB440="Y",AB439)</f>
        <v>0</v>
      </c>
      <c r="AC400" s="1421">
        <f>IF(AC405="Y",AC404)+IF(AC410="Y",AC409)+IF(AC415="Y",AC414)+IF(AC420="Y",AC419)+IF(AC425="Y",AC424)+IF(AC430="Y",AC429)+IF(AC435="Y",AC434)+IF(AC440="Y",AC439)</f>
        <v>0</v>
      </c>
      <c r="AD400" s="1421">
        <f>+AE400-AC400</f>
        <v>0</v>
      </c>
      <c r="AE400" s="1421">
        <f>IF(AE405="Y",AE404)+IF(AE410="Y",AE409)+IF(AE415="Y",AE414)+IF(AE420="Y",AE419)+IF(AE425="Y",AE424)+IF(AE430="Y",AE429)+IF(AE435="Y",AE434)+IF(AE440="Y",AE439)</f>
        <v>0</v>
      </c>
      <c r="AF400" s="1421">
        <f>IF(AF405="Y",AF404)+IF(AF410="Y",AF409)+IF(AF415="Y",AF414)+IF(AF420="Y",AF419)+IF(AF425="Y",AF424)+IF(AF430="Y",AF429)+IF(AF435="Y",AF434)+IF(AF440="Y",AF439)</f>
        <v>0</v>
      </c>
      <c r="AG400" s="1421">
        <f>+AH400-AF400</f>
        <v>0</v>
      </c>
      <c r="AH400" s="1421">
        <f>IF(AH405="Y",AH404)+IF(AH410="Y",AH409)+IF(AH415="Y",AH414)+IF(AH420="Y",AH419)+IF(AH425="Y",AH424)+IF(AH430="Y",AH429)+IF(AH435="Y",AH434)+IF(AH440="Y",AH439)</f>
        <v>0</v>
      </c>
      <c r="AI400" s="1421">
        <f>IF(AI405="Y",AI404)+IF(AI410="Y",AI409)+IF(AI415="Y",AI414)+IF(AI420="Y",AI419)+IF(AI425="Y",AI424)+IF(AI430="Y",AI429)+IF(AI435="Y",AI434)+IF(AI440="Y",AI439)</f>
        <v>0</v>
      </c>
      <c r="AJ400" s="1421">
        <f>+AK400-AI400</f>
        <v>0</v>
      </c>
      <c r="AK400" s="1421">
        <f>IF(AK405="Y",AK404)+IF(AK410="Y",AK409)+IF(AK415="Y",AK414)+IF(AK420="Y",AK419)+IF(AK425="Y",AK424)+IF(AK430="Y",AK429)+IF(AK435="Y",AK434)+IF(AK440="Y",AK439)</f>
        <v>0</v>
      </c>
      <c r="AL400" s="1421">
        <f>IF(AL405="Y",AL404)+IF(AL410="Y",AL409)+IF(AL415="Y",AL414)+IF(AL420="Y",AL419)+IF(AL425="Y",AL424)+IF(AL430="Y",AL429)+IF(AL435="Y",AL434)+IF(AL440="Y",AL439)</f>
        <v>0</v>
      </c>
      <c r="AM400" s="1421">
        <f>+AN400-AL400</f>
        <v>0</v>
      </c>
      <c r="AN400" s="1421">
        <f>IF(AN405="Y",AN404)+IF(AN410="Y",AN409)+IF(AN415="Y",AN414)+IF(AN420="Y",AN419)+IF(AN425="Y",AN424)+IF(AN430="Y",AN429)+IF(AN435="Y",AN434)+IF(AN440="Y",AN439)</f>
        <v>0</v>
      </c>
      <c r="AO400" s="1421">
        <f>IF(AO405="Y",AO404)+IF(AO410="Y",AO409)+IF(AO415="Y",AO414)+IF(AO420="Y",AO419)+IF(AO425="Y",AO424)+IF(AO430="Y",AO429)+IF(AO435="Y",AO434)+IF(AO440="Y",AO439)</f>
        <v>0</v>
      </c>
      <c r="AP400" s="1421">
        <f>+AQ400-AO400</f>
        <v>0</v>
      </c>
      <c r="AQ400" s="1421">
        <f>IF(AQ405="Y",AQ404)+IF(AQ410="Y",AQ409)+IF(AQ415="Y",AQ414)+IF(AQ420="Y",AQ419)+IF(AQ425="Y",AQ424)+IF(AQ430="Y",AQ429)+IF(AQ435="Y",AQ434)+IF(AQ440="Y",AQ439)</f>
        <v>0</v>
      </c>
      <c r="AR400" s="1421">
        <f>IF(AR405="Y",AR404)+IF(AR410="Y",AR409)+IF(AR415="Y",AR414)+IF(AR420="Y",AR419)+IF(AR425="Y",AR424)+IF(AR430="Y",AR429)+IF(AR435="Y",AR434)+IF(AR440="Y",AR439)</f>
        <v>0</v>
      </c>
      <c r="AS400" s="1421">
        <f>+AT400-AR400</f>
        <v>0</v>
      </c>
      <c r="AT400" s="1421">
        <f>IF(AT405="Y",AT404)+IF(AT410="Y",AT409)+IF(AT415="Y",AT414)+IF(AT420="Y",AT419)+IF(AT425="Y",AT424)+IF(AT430="Y",AT429)+IF(AT435="Y",AT434)+IF(AT440="Y",AT439)</f>
        <v>0</v>
      </c>
      <c r="AU400" s="1421">
        <f>IF(AU405="Y",AU404)+IF(AU410="Y",AU409)+IF(AU415="Y",AU414)+IF(AU420="Y",AU419)+IF(AU425="Y",AU424)+IF(AU430="Y",AU429)+IF(AU435="Y",AU434)+IF(AU440="Y",AU439)</f>
        <v>3.6000000000000004E-2</v>
      </c>
      <c r="AV400" s="1421">
        <f>+AW400-AU400</f>
        <v>0.1512</v>
      </c>
      <c r="AW400" s="1421">
        <f>IF(AW405="Y",AW404)+IF(AW410="Y",AW409)+IF(AW415="Y",AW414)+IF(AW420="Y",AW419)+IF(AW425="Y",AW424)+IF(AW430="Y",AW429)+IF(AW435="Y",AW434)+IF(AW440="Y",AW439)</f>
        <v>0.18720000000000001</v>
      </c>
      <c r="AX400" s="1421">
        <f>IF(AX405="Y",AX404)+IF(AX410="Y",AX409)+IF(AX415="Y",AX414)+IF(AX420="Y",AX419)+IF(AX425="Y",AX424)+IF(AX430="Y",AX429)+IF(AX435="Y",AX434)+IF(AX440="Y",AX439)</f>
        <v>5.568E-2</v>
      </c>
      <c r="AY400" s="1421">
        <f>+AZ400-AX400</f>
        <v>5.568E-2</v>
      </c>
      <c r="AZ400" s="1421">
        <f>IF(AZ405="Y",AZ404)+IF(AZ410="Y",AZ409)+IF(AZ415="Y",AZ414)+IF(AZ420="Y",AZ419)+IF(AZ425="Y",AZ424)+IF(AZ430="Y",AZ429)+IF(AZ435="Y",AZ434)+IF(AZ440="Y",AZ439)</f>
        <v>0.11136</v>
      </c>
      <c r="BA400" s="1421">
        <f>IF(BA405="Y",BA404)+IF(BA410="Y",BA409)+IF(BA415="Y",BA414)+IF(BA420="Y",BA419)+IF(BA425="Y",BA424)+IF(BA430="Y",BA429)+IF(BA435="Y",BA434)+IF(BA440="Y",BA439)</f>
        <v>5.7419999999999992E-2</v>
      </c>
      <c r="BB400" s="1421">
        <f>+BC400-BA400</f>
        <v>5.7419999999999992E-2</v>
      </c>
      <c r="BC400" s="1421">
        <f>IF(BC405="Y",BC404)+IF(BC410="Y",BC409)+IF(BC415="Y",BC414)+IF(BC420="Y",BC419)+IF(BC425="Y",BC424)+IF(BC430="Y",BC429)+IF(BC435="Y",BC434)+IF(BC440="Y",BC439)</f>
        <v>0.11483999999999998</v>
      </c>
      <c r="BD400" s="1421">
        <f>IF(BD405="Y",BD404)+IF(BD410="Y",BD409)+IF(BD415="Y",BD414)+IF(BD420="Y",BD419)+IF(BD425="Y",BD424)+IF(BD430="Y",BD429)+IF(BD435="Y",BD434)+IF(BD440="Y",BD439)</f>
        <v>6.0899999999999996E-2</v>
      </c>
      <c r="BE400" s="1421">
        <f>+BF400-BD400</f>
        <v>6.0899999999999996E-2</v>
      </c>
      <c r="BF400" s="1421">
        <f>IF(BF405="Y",BF404)+IF(BF410="Y",BF409)+IF(BF415="Y",BF414)+IF(BF420="Y",BF419)+IF(BF425="Y",BF424)+IF(BF430="Y",BF429)+IF(BF435="Y",BF434)+IF(BF440="Y",BF439)</f>
        <v>0.12179999999999999</v>
      </c>
      <c r="BG400" s="1421">
        <f>IF(BG405="Y",BG404)+IF(BG410="Y",BG409)+IF(BG415="Y",BG414)+IF(BG420="Y",BG419)+IF(BG425="Y",BG424)+IF(BG430="Y",BG429)+IF(BG435="Y",BG434)+IF(BG440="Y",BG439)</f>
        <v>6.2640000000000001E-2</v>
      </c>
      <c r="BH400" s="1421">
        <f>+BI400-BG400</f>
        <v>-6.2640000000000001E-2</v>
      </c>
      <c r="BI400" s="1421">
        <f>IF(BI405="Y",BI404)+IF(BI410="Y",BI409)+IF(BI415="Y",BI414)+IF(BI420="Y",BI419)+IF(BI425="Y",BI424)+IF(BI430="Y",BI429)+IF(BI435="Y",BI434)+IF(BI440="Y",BI439)</f>
        <v>0</v>
      </c>
      <c r="BJ400" s="1421">
        <f>IF(BJ405="Y",BJ404)+IF(BJ410="Y",BJ409)+IF(BJ415="Y",BJ414)+IF(BJ420="Y",BJ419)+IF(BJ425="Y",BJ424)+IF(BJ430="Y",BJ429)+IF(BJ435="Y",BJ434)+IF(BJ440="Y",BJ439)</f>
        <v>0</v>
      </c>
      <c r="BK400" s="1421">
        <f>+BL400-BJ400</f>
        <v>0</v>
      </c>
      <c r="BL400" s="1421">
        <f>IF(BL405="Y",BL404)+IF(BL410="Y",BL409)+IF(BL415="Y",BL414)+IF(BL420="Y",BL419)+IF(BL425="Y",BL424)+IF(BL430="Y",BL429)+IF(BL435="Y",BL434)+IF(BL440="Y",BL439)</f>
        <v>0</v>
      </c>
      <c r="BM400" s="1421">
        <f>IF(BM405="Y",BM404)+IF(BM410="Y",BM409)+IF(BM415="Y",BM414)+IF(BM420="Y",BM419)+IF(BM425="Y",BM424)+IF(BM430="Y",BM429)+IF(BM435="Y",BM434)+IF(BM440="Y",BM439)</f>
        <v>0</v>
      </c>
      <c r="BN400" s="1421">
        <f>+BO400-BM400</f>
        <v>0</v>
      </c>
      <c r="BO400" s="1421">
        <f>IF(BO405="Y",BO404)+IF(BO410="Y",BO409)+IF(BO415="Y",BO414)+IF(BO420="Y",BO419)+IF(BO425="Y",BO424)+IF(BO430="Y",BO429)+IF(BO435="Y",BO434)+IF(BO440="Y",BO439)</f>
        <v>0</v>
      </c>
      <c r="BP400" s="1421">
        <f>IF(BP405="Y",BP404)+IF(BP410="Y",BP409)+IF(BP415="Y",BP414)+IF(BP420="Y",BP419)+IF(BP425="Y",BP424)+IF(BP430="Y",BP429)+IF(BP435="Y",BP434)+IF(BP440="Y",BP439)</f>
        <v>0</v>
      </c>
      <c r="BQ400" s="1421">
        <f>+BR400-BP400</f>
        <v>0</v>
      </c>
      <c r="BR400" s="1421">
        <f>IF(BR405="Y",BR404)+IF(BR410="Y",BR409)+IF(BR415="Y",BR414)+IF(BR420="Y",BR419)+IF(BR425="Y",BR424)+IF(BR430="Y",BR429)+IF(BR435="Y",BR434)+IF(BR440="Y",BR439)</f>
        <v>0</v>
      </c>
      <c r="BS400" s="1421">
        <f>IF(BS405="Y",BS404)+IF(BS410="Y",BS409)+IF(BS415="Y",BS414)+IF(BS420="Y",BS419)+IF(BS425="Y",BS424)+IF(BS430="Y",BS429)+IF(BS435="Y",BS434)+IF(BS440="Y",BS439)</f>
        <v>0</v>
      </c>
      <c r="BT400" s="1421">
        <f>+BU400-BS400</f>
        <v>0</v>
      </c>
      <c r="BU400" s="1421">
        <f>IF(BU405="Y",BU404)+IF(BU410="Y",BU409)+IF(BU415="Y",BU414)+IF(BU420="Y",BU419)+IF(BU425="Y",BU424)+IF(BU430="Y",BU429)+IF(BU435="Y",BU434)+IF(BU440="Y",BU439)</f>
        <v>0</v>
      </c>
      <c r="BV400" s="1421">
        <f>IF(BV405="Y",BV404)+IF(BV410="Y",BV409)+IF(BV415="Y",BV414)+IF(BV420="Y",BV419)+IF(BV425="Y",BV424)+IF(BV430="Y",BV429)+IF(BV435="Y",BV434)+IF(BV440="Y",BV439)</f>
        <v>0</v>
      </c>
      <c r="BW400" s="1421">
        <f>+BX400-BV400</f>
        <v>0</v>
      </c>
      <c r="BX400" s="1421">
        <f>IF(BX405="Y",BX404)+IF(BX410="Y",BX409)+IF(BX415="Y",BX414)+IF(BX420="Y",BX419)+IF(BX425="Y",BX424)+IF(BX430="Y",BX429)+IF(BX435="Y",BX434)+IF(BX440="Y",BX439)</f>
        <v>0</v>
      </c>
      <c r="BY400" s="1421">
        <f>IF(BY405="Y",BY404)+IF(BY410="Y",BY409)+IF(BY415="Y",BY414)+IF(BY420="Y",BY419)+IF(BY425="Y",BY424)+IF(BY430="Y",BY429)+IF(BY435="Y",BY434)+IF(BY440="Y",BY439)</f>
        <v>0</v>
      </c>
      <c r="BZ400" s="1421">
        <f>+CA400-BY400</f>
        <v>0</v>
      </c>
      <c r="CA400" s="1421">
        <f>IF(CA405="Y",CA404)+IF(CA410="Y",CA409)+IF(CA415="Y",CA414)+IF(CA420="Y",CA419)+IF(CA425="Y",CA424)+IF(CA430="Y",CA429)+IF(CA435="Y",CA434)+IF(CA440="Y",CA439)</f>
        <v>0</v>
      </c>
      <c r="CB400" s="1421">
        <f>IF(CB405="Y",CB404)+IF(CB410="Y",CB409)+IF(CB415="Y",CB414)+IF(CB420="Y",CB419)+IF(CB425="Y",CB424)+IF(CB430="Y",CB429)+IF(CB435="Y",CB434)+IF(CB440="Y",CB439)</f>
        <v>0</v>
      </c>
      <c r="CC400" s="1421">
        <f>+CD400-CB400</f>
        <v>0</v>
      </c>
      <c r="CD400" s="1421">
        <f>IF(CD405="Y",CD404)+IF(CD410="Y",CD409)+IF(CD415="Y",CD414)+IF(CD420="Y",CD419)+IF(CD425="Y",CD424)+IF(CD430="Y",CD429)+IF(CD435="Y",CD434)+IF(CD440="Y",CD439)</f>
        <v>0</v>
      </c>
      <c r="CE400" s="1421">
        <f>IF(CE405="Y",CE404)+IF(CE410="Y",CE409)+IF(CE415="Y",CE414)+IF(CE420="Y",CE419)+IF(CE425="Y",CE424)+IF(CE430="Y",CE429)+IF(CE435="Y",CE434)+IF(CE440="Y",CE439)</f>
        <v>0</v>
      </c>
      <c r="CF400" s="1421">
        <f>+CG400-CE400</f>
        <v>0</v>
      </c>
      <c r="CG400" s="1421">
        <f>IF(CG405="Y",CG404)+IF(CG410="Y",CG409)+IF(CG415="Y",CG414)+IF(CG420="Y",CG419)+IF(CG425="Y",CG424)+IF(CG430="Y",CG429)+IF(CG435="Y",CG434)+IF(CG440="Y",CG439)</f>
        <v>0</v>
      </c>
      <c r="CH400" s="1421">
        <f>IF(CH405="Y",CH404)+IF(CH410="Y",CH409)+IF(CH415="Y",CH414)+IF(CH420="Y",CH419)+IF(CH425="Y",CH424)+IF(CH430="Y",CH429)+IF(CH435="Y",CH434)+IF(CH440="Y",CH439)</f>
        <v>0</v>
      </c>
      <c r="CI400" s="1421">
        <f>+CJ400-CH400</f>
        <v>0</v>
      </c>
      <c r="CJ400" s="1421">
        <f>IF(CJ405="Y",CJ404)+IF(CJ410="Y",CJ409)+IF(CJ415="Y",CJ414)+IF(CJ420="Y",CJ419)+IF(CJ425="Y",CJ424)+IF(CJ430="Y",CJ429)+IF(CJ435="Y",CJ434)+IF(CJ440="Y",CJ439)</f>
        <v>0</v>
      </c>
      <c r="CK400" s="1421">
        <f>IF(CK405="Y",CK404)+IF(CK410="Y",CK409)+IF(CK415="Y",CK414)+IF(CK420="Y",CK419)+IF(CK425="Y",CK424)+IF(CK430="Y",CK429)+IF(CK435="Y",CK434)+IF(CK440="Y",CK439)</f>
        <v>0</v>
      </c>
      <c r="CL400" s="1421">
        <f>+CM400-CK400</f>
        <v>0</v>
      </c>
      <c r="CM400" s="1421">
        <f>IF(CM405="Y",CM404)+IF(CM410="Y",CM409)+IF(CM415="Y",CM414)+IF(CM420="Y",CM419)+IF(CM425="Y",CM424)+IF(CM430="Y",CM429)+IF(CM435="Y",CM434)+IF(CM440="Y",CM439)</f>
        <v>0</v>
      </c>
      <c r="CN400" s="1421">
        <f>IF(CN405="Y",CN404)+IF(CN410="Y",CN409)+IF(CN415="Y",CN414)+IF(CN420="Y",CN419)+IF(CN425="Y",CN424)+IF(CN430="Y",CN429)+IF(CN435="Y",CN434)+IF(CN440="Y",CN439)</f>
        <v>0</v>
      </c>
      <c r="CO400" s="1421">
        <f>+CP400-CN400</f>
        <v>0</v>
      </c>
      <c r="CP400" s="1421">
        <f>IF(CP405="Y",CP404)+IF(CP410="Y",CP409)+IF(CP415="Y",CP414)+IF(CP420="Y",CP419)+IF(CP425="Y",CP424)+IF(CP430="Y",CP429)+IF(CP435="Y",CP434)+IF(CP440="Y",CP439)</f>
        <v>0</v>
      </c>
      <c r="CQ400" s="1421">
        <f>IF(CQ405="Y",CQ404)+IF(CQ410="Y",CQ409)+IF(CQ415="Y",CQ414)+IF(CQ420="Y",CQ419)+IF(CQ425="Y",CQ424)+IF(CQ430="Y",CQ429)+IF(CQ435="Y",CQ434)+IF(CQ440="Y",CQ439)</f>
        <v>0</v>
      </c>
      <c r="CR400" s="1421">
        <f>+CS400-CQ400</f>
        <v>0</v>
      </c>
      <c r="CS400" s="1421">
        <f>IF(CS405="Y",CS404)+IF(CS410="Y",CS409)+IF(CS415="Y",CS414)+IF(CS420="Y",CS419)+IF(CS425="Y",CS424)+IF(CS430="Y",CS429)+IF(CS435="Y",CS434)+IF(CS440="Y",CS439)</f>
        <v>0</v>
      </c>
      <c r="CT400" s="1421">
        <f>IF(CT405="Y",CT404)+IF(CT410="Y",CT409)+IF(CT415="Y",CT414)+IF(CT420="Y",CT419)+IF(CT425="Y",CT424)+IF(CT430="Y",CT429)+IF(CT435="Y",CT434)+IF(CT440="Y",CT439)</f>
        <v>0</v>
      </c>
      <c r="CU400" s="1421">
        <f>+CV400-CT400</f>
        <v>0</v>
      </c>
      <c r="CV400" s="1421">
        <f>IF(CV405="Y",CV404)+IF(CV410="Y",CV409)+IF(CV415="Y",CV414)+IF(CV420="Y",CV419)+IF(CV425="Y",CV424)+IF(CV430="Y",CV429)+IF(CV435="Y",CV434)+IF(CV440="Y",CV439)</f>
        <v>0</v>
      </c>
      <c r="CW400" s="1421">
        <f>IF(CW405="Y",CW404)+IF(CW410="Y",CW409)+IF(CW415="Y",CW414)+IF(CW420="Y",CW419)+IF(CW425="Y",CW424)+IF(CW430="Y",CW429)+IF(CW435="Y",CW434)+IF(CW440="Y",CW439)</f>
        <v>0</v>
      </c>
      <c r="CX400" s="1421">
        <f>+CY400-CW400</f>
        <v>0</v>
      </c>
      <c r="CY400" s="1421">
        <f>IF(CY405="Y",CY404)+IF(CY410="Y",CY409)+IF(CY415="Y",CY414)+IF(CY420="Y",CY419)+IF(CY425="Y",CY424)+IF(CY430="Y",CY429)+IF(CY435="Y",CY434)+IF(CY440="Y",CY439)</f>
        <v>0</v>
      </c>
      <c r="CZ400" s="1421">
        <f>IF(CZ405="Y",CZ404)+IF(CZ410="Y",CZ409)+IF(CZ415="Y",CZ414)+IF(CZ420="Y",CZ419)+IF(CZ425="Y",CZ424)+IF(CZ430="Y",CZ429)+IF(CZ435="Y",CZ434)+IF(CZ440="Y",CZ439)</f>
        <v>0</v>
      </c>
      <c r="DA400" s="1421">
        <f>+DB400-CZ400</f>
        <v>0</v>
      </c>
      <c r="DB400" s="1421">
        <f>IF(DB405="Y",DB404)+IF(DB410="Y",DB409)+IF(DB415="Y",DB414)+IF(DB420="Y",DB419)+IF(DB425="Y",DB424)+IF(DB430="Y",DB429)+IF(DB435="Y",DB434)+IF(DB440="Y",DB439)</f>
        <v>0</v>
      </c>
      <c r="DC400" s="1421">
        <f>IF(DC405="Y",DC404)+IF(DC410="Y",DC409)+IF(DC415="Y",DC414)+IF(DC420="Y",DC419)+IF(DC425="Y",DC424)+IF(DC430="Y",DC429)+IF(DC435="Y",DC434)+IF(DC440="Y",DC439)</f>
        <v>0</v>
      </c>
      <c r="DD400" s="1421">
        <f>+DE400-DC400</f>
        <v>0</v>
      </c>
      <c r="DE400" s="1104">
        <f>IF(DE405="Y",DE404)+IF(DE410="Y",DE409)+IF(DE415="Y",DE414)+IF(DE420="Y",DE419)+IF(DE425="Y",DE424)+IF(DE430="Y",DE429)+IF(DE435="Y",DE434)+IF(DE440="Y",DE439)</f>
        <v>0</v>
      </c>
      <c r="DF400" s="1421">
        <f>IF(DF405="Y",DF404)+IF(DF410="Y",DF409)+IF(DF415="Y",DF414)+IF(DF420="Y",DF419)+IF(DF425="Y",DF424)+IF(DF430="Y",DF429)+IF(DF435="Y",DF434)+IF(DF440="Y",DF439)</f>
        <v>0</v>
      </c>
      <c r="DG400" s="1421">
        <f>+DH400-DF400</f>
        <v>0</v>
      </c>
      <c r="DH400" s="1104">
        <f>IF(DH405="Y",DH404)+IF(DH410="Y",DH409)+IF(DH415="Y",DH414)+IF(DH420="Y",DH419)+IF(DH425="Y",DH424)+IF(DH430="Y",DH429)+IF(DH435="Y",DH434)+IF(DH440="Y",DH439)</f>
        <v>0</v>
      </c>
      <c r="DI400" s="1421">
        <f>IF(DI405="Y",DI404)+IF(DI410="Y",DI409)+IF(DI415="Y",DI414)+IF(DI420="Y",DI419)+IF(DI425="Y",DI424)+IF(DI430="Y",DI429)+IF(DI435="Y",DI434)+IF(DI440="Y",DI439)</f>
        <v>0</v>
      </c>
      <c r="DJ400" s="1421">
        <f>+DK400-DI400</f>
        <v>0</v>
      </c>
      <c r="DK400" s="1104">
        <f>IF(DK405="Y",DK404)+IF(DK410="Y",DK409)+IF(DK415="Y",DK414)+IF(DK420="Y",DK419)+IF(DK425="Y",DK424)+IF(DK430="Y",DK429)+IF(DK435="Y",DK434)+IF(DK440="Y",DK439)</f>
        <v>0</v>
      </c>
      <c r="DL400" s="1421">
        <f>IF(DL405="Y",DL404)+IF(DL410="Y",DL409)+IF(DL415="Y",DL414)+IF(DL420="Y",DL419)+IF(DL425="Y",DL424)+IF(DL430="Y",DL429)+IF(DL435="Y",DL434)+IF(DL440="Y",DL439)</f>
        <v>0</v>
      </c>
      <c r="DM400" s="1421">
        <f>+DN400-DL400</f>
        <v>0</v>
      </c>
      <c r="DN400" s="1104">
        <f>IF(DN405="Y",DN404)+IF(DN410="Y",DN409)+IF(DN415="Y",DN414)+IF(DN420="Y",DN419)+IF(DN425="Y",DN424)+IF(DN430="Y",DN429)+IF(DN435="Y",DN434)+IF(DN440="Y",DN439)</f>
        <v>0</v>
      </c>
      <c r="DO400" s="1421">
        <f>IF(DO405="Y",DO404)+IF(DO410="Y",DO409)+IF(DO415="Y",DO414)+IF(DO420="Y",DO419)+IF(DO425="Y",DO424)+IF(DO430="Y",DO429)+IF(DO435="Y",DO434)+IF(DO440="Y",DO439)</f>
        <v>0</v>
      </c>
      <c r="DP400" s="1421">
        <f>+DQ400-DO400</f>
        <v>0</v>
      </c>
      <c r="DQ400" s="1104">
        <f>IF(DQ405="Y",DQ404)+IF(DQ410="Y",DQ409)+IF(DQ415="Y",DQ414)+IF(DQ420="Y",DQ419)+IF(DQ425="Y",DQ424)+IF(DQ430="Y",DQ429)+IF(DQ435="Y",DQ434)+IF(DQ440="Y",DQ439)</f>
        <v>0</v>
      </c>
      <c r="DR400" s="1421">
        <f>IF(DR405="Y",DR404)+IF(DR410="Y",DR409)+IF(DR415="Y",DR414)+IF(DR420="Y",DR419)+IF(DR425="Y",DR424)+IF(DR430="Y",DR429)+IF(DR435="Y",DR434)+IF(DR440="Y",DR439)</f>
        <v>0</v>
      </c>
      <c r="DS400" s="1421">
        <f>+DT400-DR400</f>
        <v>0</v>
      </c>
      <c r="DT400" s="1104">
        <f>IF(DT405="Y",DT404)+IF(DT410="Y",DT409)+IF(DT415="Y",DT414)+IF(DT420="Y",DT419)+IF(DT425="Y",DT424)+IF(DT430="Y",DT429)+IF(DT435="Y",DT434)+IF(DT440="Y",DT439)</f>
        <v>0</v>
      </c>
      <c r="DU400" s="1421">
        <f>IF(DU405="Y",DU404)+IF(DU410="Y",DU409)+IF(DU415="Y",DU414)+IF(DU420="Y",DU419)+IF(DU425="Y",DU424)+IF(DU430="Y",DU429)+IF(DU435="Y",DU434)+IF(DU440="Y",DU439)</f>
        <v>0</v>
      </c>
      <c r="DV400" s="1421">
        <f>+DW400-DU400</f>
        <v>0</v>
      </c>
      <c r="DW400" s="1104">
        <f>IF(DW405="Y",DW404)+IF(DW410="Y",DW409)+IF(DW415="Y",DW414)+IF(DW420="Y",DW419)+IF(DW425="Y",DW424)+IF(DW430="Y",DW429)+IF(DW435="Y",DW434)+IF(DW440="Y",DW439)</f>
        <v>0</v>
      </c>
      <c r="DX400" s="1421">
        <f>IF(DX405="Y",DX404)+IF(DX410="Y",DX409)+IF(DX415="Y",DX414)+IF(DX420="Y",DX419)+IF(DX425="Y",DX424)+IF(DX430="Y",DX429)+IF(DX435="Y",DX434)+IF(DX440="Y",DX439)</f>
        <v>0</v>
      </c>
      <c r="DY400" s="1421">
        <f>+DZ400-DX400</f>
        <v>0</v>
      </c>
      <c r="DZ400" s="1104">
        <f>IF(DZ405="Y",DZ404)+IF(DZ410="Y",DZ409)+IF(DZ415="Y",DZ414)+IF(DZ420="Y",DZ419)+IF(DZ425="Y",DZ424)+IF(DZ430="Y",DZ429)+IF(DZ435="Y",DZ434)+IF(DZ440="Y",DZ439)</f>
        <v>0</v>
      </c>
      <c r="EA400" s="1421">
        <f>IF(EA405="Y",EA404)+IF(EA410="Y",EA409)+IF(EA415="Y",EA414)+IF(EA420="Y",EA419)+IF(EA425="Y",EA424)+IF(EA430="Y",EA429)+IF(EA435="Y",EA434)+IF(EA440="Y",EA439)</f>
        <v>0</v>
      </c>
      <c r="EB400" s="1421">
        <f>+EC400-EA400</f>
        <v>0</v>
      </c>
      <c r="EC400" s="1104">
        <f>IF(EC405="Y",EC404)+IF(EC410="Y",EC409)+IF(EC415="Y",EC414)+IF(EC420="Y",EC419)+IF(EC425="Y",EC424)+IF(EC430="Y",EC429)+IF(EC435="Y",EC434)+IF(EC440="Y",EC439)</f>
        <v>0</v>
      </c>
      <c r="ED400" s="1421">
        <f>IF(ED405="Y",ED404)+IF(ED410="Y",ED409)+IF(ED415="Y",ED414)+IF(ED420="Y",ED419)+IF(ED425="Y",ED424)+IF(ED430="Y",ED429)+IF(ED435="Y",ED434)+IF(ED440="Y",ED439)</f>
        <v>0</v>
      </c>
      <c r="EE400" s="1421">
        <f>+EF400-ED400</f>
        <v>0</v>
      </c>
      <c r="EF400" s="1104">
        <f>IF(EF405="Y",EF404)+IF(EF410="Y",EF409)+IF(EF415="Y",EF414)+IF(EF420="Y",EF419)+IF(EF425="Y",EF424)+IF(EF430="Y",EF429)+IF(EF435="Y",EF434)+IF(EF440="Y",EF439)</f>
        <v>0</v>
      </c>
      <c r="EG400" s="1421">
        <f>IF(EG405="Y",EG404)+IF(EG410="Y",EG409)+IF(EG415="Y",EG414)+IF(EG420="Y",EG419)+IF(EG425="Y",EG424)+IF(EG430="Y",EG429)+IF(EG435="Y",EG434)+IF(EG440="Y",EG439)</f>
        <v>0</v>
      </c>
      <c r="EH400" s="1421">
        <f>+EI400-EG400</f>
        <v>0</v>
      </c>
      <c r="EI400" s="1104">
        <f>IF(EI405="Y",EI404)+IF(EI410="Y",EI409)+IF(EI415="Y",EI414)+IF(EI420="Y",EI419)+IF(EI425="Y",EI424)+IF(EI430="Y",EI429)+IF(EI435="Y",EI434)+IF(EI440="Y",EI439)</f>
        <v>0</v>
      </c>
      <c r="EJ400" s="1421">
        <f>IF(EJ405="Y",EJ404)+IF(EJ410="Y",EJ409)+IF(EJ415="Y",EJ414)+IF(EJ420="Y",EJ419)+IF(EJ425="Y",EJ424)+IF(EJ430="Y",EJ429)+IF(EJ435="Y",EJ434)+IF(EJ440="Y",EJ439)</f>
        <v>0</v>
      </c>
      <c r="EK400" s="1421">
        <f>+EL400-EJ400</f>
        <v>0</v>
      </c>
      <c r="EL400" s="1104">
        <f>IF(EL405="Y",EL404)+IF(EL410="Y",EL409)+IF(EL415="Y",EL414)+IF(EL420="Y",EL419)+IF(EL425="Y",EL424)+IF(EL430="Y",EL429)+IF(EL435="Y",EL434)+IF(EL440="Y",EL439)</f>
        <v>0</v>
      </c>
      <c r="EM400" s="1421">
        <f>IF(EM405="Y",EM404)+IF(EM410="Y",EM409)+IF(EM415="Y",EM414)+IF(EM420="Y",EM419)+IF(EM425="Y",EM424)+IF(EM430="Y",EM429)+IF(EM435="Y",EM434)+IF(EM440="Y",EM439)</f>
        <v>0</v>
      </c>
      <c r="EN400" s="1421">
        <f>+EO400-EM400</f>
        <v>0</v>
      </c>
      <c r="EO400" s="1104">
        <f>IF(EO405="Y",EO404)+IF(EO410="Y",EO409)+IF(EO415="Y",EO414)+IF(EO420="Y",EO419)+IF(EO425="Y",EO424)+IF(EO430="Y",EO429)+IF(EO435="Y",EO434)+IF(EO440="Y",EO439)</f>
        <v>0</v>
      </c>
      <c r="EP400" s="1421">
        <f>IF(EP405="Y",EP404)+IF(EP410="Y",EP409)+IF(EP415="Y",EP414)+IF(EP420="Y",EP419)+IF(EP425="Y",EP424)+IF(EP430="Y",EP429)+IF(EP435="Y",EP434)+IF(EP440="Y",EP439)</f>
        <v>0</v>
      </c>
      <c r="EQ400" s="1421">
        <f>+ER400-EP400</f>
        <v>0</v>
      </c>
      <c r="ER400" s="1104">
        <f>IF(ER405="Y",ER404)+IF(ER410="Y",ER409)+IF(ER415="Y",ER414)+IF(ER420="Y",ER419)+IF(ER425="Y",ER424)+IF(ER430="Y",ER429)+IF(ER435="Y",ER434)+IF(ER440="Y",ER439)</f>
        <v>0</v>
      </c>
      <c r="ES400" s="1421">
        <f>IF(ES405="Y",ES404)+IF(ES410="Y",ES409)+IF(ES415="Y",ES414)+IF(ES420="Y",ES419)+IF(ES425="Y",ES424)+IF(ES430="Y",ES429)+IF(ES435="Y",ES434)+IF(ES440="Y",ES439)</f>
        <v>0</v>
      </c>
      <c r="ET400" s="1421">
        <f>+EU400-ES400</f>
        <v>0</v>
      </c>
      <c r="EU400" s="1104">
        <f>IF(EU405="Y",EU404)+IF(EU410="Y",EU409)+IF(EU415="Y",EU414)+IF(EU420="Y",EU419)+IF(EU425="Y",EU424)+IF(EU430="Y",EU429)+IF(EU435="Y",EU434)+IF(EU440="Y",EU439)</f>
        <v>0</v>
      </c>
      <c r="EV400" s="1421">
        <f>IF(EV405="Y",EV404)+IF(EV410="Y",EV409)+IF(EV415="Y",EV414)+IF(EV420="Y",EV419)+IF(EV425="Y",EV424)+IF(EV430="Y",EV429)+IF(EV435="Y",EV434)+IF(EV440="Y",EV439)</f>
        <v>0</v>
      </c>
      <c r="EW400" s="1421">
        <f>+EX400-EV400</f>
        <v>0</v>
      </c>
      <c r="EX400" s="1104">
        <f>IF(EX405="Y",EX404)+IF(EX410="Y",EX409)+IF(EX415="Y",EX414)+IF(EX420="Y",EX419)+IF(EX425="Y",EX424)+IF(EX430="Y",EX429)+IF(EX435="Y",EX434)+IF(EX440="Y",EX439)</f>
        <v>0</v>
      </c>
      <c r="EY400" s="1421">
        <f>IF(EY405="Y",EY404)+IF(EY410="Y",EY409)+IF(EY415="Y",EY414)+IF(EY420="Y",EY419)+IF(EY425="Y",EY424)+IF(EY430="Y",EY429)+IF(EY435="Y",EY434)+IF(EY440="Y",EY439)</f>
        <v>0</v>
      </c>
      <c r="EZ400" s="1421">
        <f>+FA400-EY400</f>
        <v>0</v>
      </c>
      <c r="FA400" s="1104">
        <f>IF(FA405="Y",FA404)+IF(FA410="Y",FA409)+IF(FA415="Y",FA414)+IF(FA420="Y",FA419)+IF(FA425="Y",FA424)+IF(FA430="Y",FA429)+IF(FA435="Y",FA434)+IF(FA440="Y",FA439)</f>
        <v>0</v>
      </c>
      <c r="FD400"/>
      <c r="FE400"/>
      <c r="FF400"/>
      <c r="FG400"/>
      <c r="FH400"/>
      <c r="FI400"/>
    </row>
    <row r="401" spans="1:165" s="33" customFormat="1" ht="13.5" thickBot="1">
      <c r="B401" s="54" t="s">
        <v>48</v>
      </c>
      <c r="C401" s="54"/>
      <c r="D401" s="2"/>
      <c r="E401" s="53"/>
      <c r="F401" s="53"/>
      <c r="G401" s="53"/>
      <c r="H401" s="53"/>
      <c r="I401" s="53"/>
      <c r="J401" s="53"/>
      <c r="K401" s="53"/>
      <c r="L401" s="53"/>
      <c r="M401" s="53"/>
      <c r="N401" s="53"/>
      <c r="O401" s="53"/>
      <c r="P401" s="53"/>
      <c r="Q401" s="53"/>
      <c r="R401" s="53"/>
      <c r="S401" s="53"/>
      <c r="T401" s="53"/>
      <c r="U401" s="53"/>
      <c r="V401" s="53"/>
      <c r="W401" s="53"/>
      <c r="X401" s="53"/>
      <c r="Y401" s="53"/>
      <c r="Z401" s="53"/>
      <c r="AA401" s="53"/>
      <c r="AB401" s="53"/>
      <c r="AC401" s="53"/>
      <c r="AD401" s="53"/>
      <c r="AE401" s="53"/>
      <c r="AF401" s="53"/>
      <c r="AG401" s="53"/>
      <c r="AH401" s="53"/>
      <c r="AI401" s="53"/>
      <c r="AJ401" s="53"/>
      <c r="AK401" s="53"/>
      <c r="AL401" s="53"/>
      <c r="AM401" s="53"/>
      <c r="AN401" s="53"/>
      <c r="AO401" s="53"/>
      <c r="AP401" s="53"/>
      <c r="AQ401" s="53"/>
      <c r="AR401" s="53"/>
      <c r="AS401" s="53"/>
      <c r="AT401" s="53"/>
      <c r="AU401" s="53"/>
      <c r="AV401" s="53"/>
      <c r="AW401" s="53"/>
      <c r="AX401" s="53"/>
      <c r="AY401" s="53"/>
      <c r="AZ401" s="53"/>
      <c r="BA401" s="53"/>
      <c r="BB401" s="53"/>
      <c r="BC401" s="53"/>
      <c r="BD401" s="53"/>
      <c r="BE401" s="53"/>
      <c r="BF401" s="53"/>
      <c r="BG401" s="53"/>
      <c r="BH401" s="53"/>
      <c r="BI401" s="53"/>
      <c r="BJ401" s="53"/>
      <c r="BK401" s="53"/>
      <c r="BL401" s="53"/>
      <c r="BM401" s="53"/>
      <c r="BN401" s="53"/>
      <c r="BO401" s="53"/>
      <c r="BP401" s="53"/>
      <c r="BQ401" s="53"/>
      <c r="BR401" s="53"/>
      <c r="BS401" s="53"/>
      <c r="BT401" s="53"/>
      <c r="BU401" s="53"/>
      <c r="BV401" s="53"/>
      <c r="BW401" s="53"/>
      <c r="BX401" s="53"/>
      <c r="BY401" s="53"/>
      <c r="BZ401" s="53"/>
      <c r="CA401" s="53"/>
      <c r="CB401" s="53"/>
      <c r="CC401" s="53"/>
      <c r="CD401" s="53"/>
      <c r="CE401" s="53"/>
      <c r="CF401" s="53"/>
      <c r="CG401" s="53"/>
      <c r="CH401" s="53"/>
      <c r="CI401" s="53"/>
      <c r="CJ401" s="53"/>
      <c r="CK401" s="53"/>
      <c r="CL401" s="53"/>
      <c r="CM401" s="53"/>
      <c r="CN401" s="53"/>
      <c r="CO401" s="53"/>
      <c r="CP401" s="53"/>
      <c r="CQ401" s="53"/>
      <c r="CR401" s="53"/>
      <c r="CS401" s="53"/>
      <c r="CT401" s="53"/>
      <c r="CU401" s="53"/>
      <c r="CV401" s="53"/>
      <c r="CW401" s="53"/>
      <c r="CX401" s="53"/>
      <c r="CY401" s="53"/>
      <c r="CZ401" s="53"/>
      <c r="DA401" s="53"/>
      <c r="DB401" s="53"/>
      <c r="DC401" s="53"/>
      <c r="DD401" s="53"/>
      <c r="DE401" s="1088"/>
      <c r="DF401" s="53"/>
      <c r="DG401" s="53"/>
      <c r="DH401" s="1088"/>
      <c r="DI401" s="53"/>
      <c r="DJ401" s="53"/>
      <c r="DK401" s="1088"/>
      <c r="DL401" s="53"/>
      <c r="DM401" s="53"/>
      <c r="DN401" s="1088"/>
      <c r="DO401" s="53"/>
      <c r="DP401" s="53"/>
      <c r="DQ401" s="1088"/>
      <c r="DR401" s="53"/>
      <c r="DS401" s="53"/>
      <c r="DT401" s="1088"/>
      <c r="DU401" s="53"/>
      <c r="DV401" s="53"/>
      <c r="DW401" s="1088"/>
      <c r="DX401" s="53"/>
      <c r="DY401" s="53"/>
      <c r="DZ401" s="1088"/>
      <c r="EA401" s="53"/>
      <c r="EB401" s="53"/>
      <c r="EC401" s="1088"/>
      <c r="ED401" s="53"/>
      <c r="EE401" s="53"/>
      <c r="EF401" s="1088"/>
      <c r="EG401" s="53"/>
      <c r="EH401" s="53"/>
      <c r="EI401" s="1088"/>
      <c r="EJ401" s="53"/>
      <c r="EK401" s="53"/>
      <c r="EL401" s="1088"/>
      <c r="EM401" s="53"/>
      <c r="EN401" s="53"/>
      <c r="EO401" s="1088"/>
      <c r="EP401" s="53"/>
      <c r="EQ401" s="53"/>
      <c r="ER401" s="1088"/>
      <c r="ES401" s="53"/>
      <c r="ET401" s="53"/>
      <c r="EU401" s="1088"/>
      <c r="EV401" s="53"/>
      <c r="EW401" s="53"/>
      <c r="EX401" s="1088"/>
      <c r="EY401" s="53"/>
      <c r="EZ401" s="53"/>
      <c r="FA401" s="1088"/>
      <c r="FD401"/>
      <c r="FE401"/>
      <c r="FF401"/>
      <c r="FG401"/>
      <c r="FH401"/>
      <c r="FI401"/>
    </row>
    <row r="402" spans="1:165" s="35" customFormat="1" outlineLevel="1">
      <c r="B402" s="1338" t="s">
        <v>49</v>
      </c>
      <c r="C402" s="1338"/>
      <c r="D402" s="1339"/>
      <c r="E402" s="1422"/>
      <c r="F402" s="1423">
        <f>+G402</f>
        <v>0</v>
      </c>
      <c r="G402" s="1424"/>
      <c r="H402" s="1425"/>
      <c r="I402" s="1423">
        <f>+J402</f>
        <v>0</v>
      </c>
      <c r="J402" s="1424"/>
      <c r="K402" s="1425"/>
      <c r="L402" s="1423">
        <f>+M402</f>
        <v>0</v>
      </c>
      <c r="M402" s="1424"/>
      <c r="N402" s="1425"/>
      <c r="O402" s="1423">
        <f>+P402</f>
        <v>0</v>
      </c>
      <c r="P402" s="1424"/>
      <c r="Q402" s="1425"/>
      <c r="R402" s="1423">
        <f>+S402</f>
        <v>0</v>
      </c>
      <c r="S402" s="1424"/>
      <c r="T402" s="1425"/>
      <c r="U402" s="1423">
        <f>+V402</f>
        <v>0</v>
      </c>
      <c r="V402" s="1424"/>
      <c r="W402" s="1425"/>
      <c r="X402" s="1423">
        <f>+Y402</f>
        <v>0</v>
      </c>
      <c r="Y402" s="1424"/>
      <c r="Z402" s="1425"/>
      <c r="AA402" s="1423">
        <f>+AB402</f>
        <v>0</v>
      </c>
      <c r="AB402" s="1424"/>
      <c r="AC402" s="1425"/>
      <c r="AD402" s="1423">
        <f>+AE402</f>
        <v>0</v>
      </c>
      <c r="AE402" s="1424"/>
      <c r="AF402" s="1425"/>
      <c r="AG402" s="1423">
        <f>+AH402</f>
        <v>0</v>
      </c>
      <c r="AH402" s="1424"/>
      <c r="AI402" s="1425"/>
      <c r="AJ402" s="1423">
        <f>+AK402</f>
        <v>0</v>
      </c>
      <c r="AK402" s="1424"/>
      <c r="AL402" s="1425"/>
      <c r="AM402" s="1423">
        <f>+AN402</f>
        <v>0</v>
      </c>
      <c r="AN402" s="1424"/>
      <c r="AO402" s="1425"/>
      <c r="AP402" s="1423">
        <f>+AQ402</f>
        <v>0</v>
      </c>
      <c r="AQ402" s="1424"/>
      <c r="AR402" s="1425"/>
      <c r="AS402" s="1423">
        <f>+AT402</f>
        <v>0</v>
      </c>
      <c r="AT402" s="1426">
        <v>0</v>
      </c>
      <c r="AU402" s="1425">
        <f>0.75*3</f>
        <v>2.25</v>
      </c>
      <c r="AV402" s="1423">
        <f>+AW402</f>
        <v>1.9500000000000002</v>
      </c>
      <c r="AW402" s="1424">
        <f>0.65*3</f>
        <v>1.9500000000000002</v>
      </c>
      <c r="AX402" s="1425">
        <f>(0.58+0.2+0.1+0.1)*3</f>
        <v>2.94</v>
      </c>
      <c r="AY402" s="1423">
        <f>+AZ402</f>
        <v>2.94</v>
      </c>
      <c r="AZ402" s="1424">
        <f>AX402</f>
        <v>2.94</v>
      </c>
      <c r="BA402" s="1425">
        <f>AZ402</f>
        <v>2.94</v>
      </c>
      <c r="BB402" s="1423">
        <f>+BC402</f>
        <v>2.94</v>
      </c>
      <c r="BC402" s="1424">
        <f>BA402</f>
        <v>2.94</v>
      </c>
      <c r="BD402" s="1425">
        <f>BC402</f>
        <v>2.94</v>
      </c>
      <c r="BE402" s="1423">
        <f>+BF402</f>
        <v>2.94</v>
      </c>
      <c r="BF402" s="1424">
        <f>BD402</f>
        <v>2.94</v>
      </c>
      <c r="BG402" s="1425">
        <f>BF402</f>
        <v>2.94</v>
      </c>
      <c r="BH402" s="1423">
        <f>+BI402</f>
        <v>2.94</v>
      </c>
      <c r="BI402" s="1424">
        <f>BG402</f>
        <v>2.94</v>
      </c>
      <c r="BJ402" s="1425">
        <f>BI402</f>
        <v>2.94</v>
      </c>
      <c r="BK402" s="1423">
        <f>+BL402</f>
        <v>2.94</v>
      </c>
      <c r="BL402" s="1424">
        <f>BJ402</f>
        <v>2.94</v>
      </c>
      <c r="BM402" s="1425">
        <f>BL402</f>
        <v>2.94</v>
      </c>
      <c r="BN402" s="1423">
        <f>+BO402</f>
        <v>0</v>
      </c>
      <c r="BO402" s="1427"/>
      <c r="BP402" s="1425">
        <f>BO402</f>
        <v>0</v>
      </c>
      <c r="BQ402" s="1423">
        <f>+BR402</f>
        <v>25.240043999999997</v>
      </c>
      <c r="BR402" s="1427">
        <f>(0.69753+0.587904+0.029299+7.098615)*3</f>
        <v>25.240043999999997</v>
      </c>
      <c r="BS402" s="1425">
        <f>BS398</f>
        <v>4.6920000000000002</v>
      </c>
      <c r="BT402" s="1423">
        <f>+BU402</f>
        <v>3.7148789999999998</v>
      </c>
      <c r="BU402" s="1427">
        <f>(0.446227+0.775569+0.016497)*3</f>
        <v>3.7148789999999998</v>
      </c>
      <c r="BV402" s="1425">
        <f>1.037637+2.119717+0.9328</f>
        <v>4.0901540000000001</v>
      </c>
      <c r="BW402" s="1423">
        <f>+BX402</f>
        <v>3.1596549999999999</v>
      </c>
      <c r="BX402" s="1427">
        <f>0.999873+2.147977+0.011805</f>
        <v>3.1596549999999999</v>
      </c>
      <c r="BY402" s="1425">
        <f>0.722778+1.994738+0.004048</f>
        <v>2.7215639999999999</v>
      </c>
      <c r="BZ402" s="1423">
        <f>+CA402</f>
        <v>2.7215639999999999</v>
      </c>
      <c r="CA402" s="1427">
        <f>BY402</f>
        <v>2.7215639999999999</v>
      </c>
      <c r="CB402" s="1425">
        <f>0.462041+1.361487</f>
        <v>1.8235279999999998</v>
      </c>
      <c r="CC402" s="1423">
        <f>+CD402</f>
        <v>1.7813369999999999</v>
      </c>
      <c r="CD402" s="1427">
        <f>0.444613+1.336412+0.000312</f>
        <v>1.7813369999999999</v>
      </c>
      <c r="CE402" s="1425">
        <f>0.340437+0.996972+0.002882</f>
        <v>1.3402910000000001</v>
      </c>
      <c r="CF402" s="1423">
        <f>+CG402</f>
        <v>1.2809280000000001</v>
      </c>
      <c r="CG402" s="1427">
        <f>0.273892+1.002133+0.004903</f>
        <v>1.2809280000000001</v>
      </c>
      <c r="CH402" s="1428">
        <f>0.102957+0.887533+0.005332</f>
        <v>0.99582199999999998</v>
      </c>
      <c r="CI402" s="1423">
        <f>+CJ402</f>
        <v>1.1846220000000001</v>
      </c>
      <c r="CJ402" s="1427">
        <f>CH402+0.1888</f>
        <v>1.1846220000000001</v>
      </c>
      <c r="CK402" s="1425">
        <f>0.589189+0.935837+0.011465</f>
        <v>1.5364910000000001</v>
      </c>
      <c r="CL402" s="1423">
        <f>+CM402</f>
        <v>1.5364910000000001</v>
      </c>
      <c r="CM402" s="1427">
        <f>CK402</f>
        <v>1.5364910000000001</v>
      </c>
      <c r="CN402" s="1425">
        <f>0.688737+0.865677+0.004199</f>
        <v>1.558613</v>
      </c>
      <c r="CO402" s="1423">
        <f>+CP402</f>
        <v>1.8013300000000001</v>
      </c>
      <c r="CP402" s="1427">
        <f>0.823106+0.960813+0.017411</f>
        <v>1.8013300000000001</v>
      </c>
      <c r="CQ402" s="1425">
        <f>0.669295+0.873115+0.02067</f>
        <v>1.5630799999999998</v>
      </c>
      <c r="CR402" s="1423">
        <f>+CS402</f>
        <v>1.5630799999999998</v>
      </c>
      <c r="CS402" s="1427">
        <f>CQ402</f>
        <v>1.5630799999999998</v>
      </c>
      <c r="CT402" s="1425">
        <f>CS402</f>
        <v>1.5630799999999998</v>
      </c>
      <c r="CU402" s="1423">
        <f>+CV402</f>
        <v>1.117491</v>
      </c>
      <c r="CV402" s="1429">
        <v>1.117491</v>
      </c>
      <c r="CW402" s="1425">
        <f>0.169805+0.79476+0.016232</f>
        <v>0.98079700000000003</v>
      </c>
      <c r="CX402" s="1423">
        <f>+CY402</f>
        <v>1.043452</v>
      </c>
      <c r="CY402" s="1429">
        <v>1.043452</v>
      </c>
      <c r="CZ402" s="1425">
        <v>1.3762240000000376</v>
      </c>
      <c r="DA402" s="1423">
        <f>+DB402</f>
        <v>1.3762240000000376</v>
      </c>
      <c r="DB402" s="1427">
        <f>CZ402</f>
        <v>1.3762240000000376</v>
      </c>
      <c r="DC402" s="1425">
        <v>1.6554230000000949</v>
      </c>
      <c r="DD402" s="1423">
        <f>+DE402</f>
        <v>1.6554230000000949</v>
      </c>
      <c r="DE402" s="1430">
        <f>DC402</f>
        <v>1.6554230000000949</v>
      </c>
      <c r="DF402" s="1431">
        <v>1.6612860000000158</v>
      </c>
      <c r="DG402" s="1423">
        <f>+DH402</f>
        <v>1.6612860000000158</v>
      </c>
      <c r="DH402" s="1430">
        <f>DF402</f>
        <v>1.6612860000000158</v>
      </c>
      <c r="DI402" s="1425">
        <f>DH402</f>
        <v>1.6612860000000158</v>
      </c>
      <c r="DJ402" s="1423">
        <f>+DK402</f>
        <v>1.6612860000000158</v>
      </c>
      <c r="DK402" s="1430">
        <f>DI402</f>
        <v>1.6612860000000158</v>
      </c>
      <c r="DL402" s="1425">
        <f>DK402</f>
        <v>1.6612860000000158</v>
      </c>
      <c r="DM402" s="1423">
        <f>+DN402</f>
        <v>1.6612860000000158</v>
      </c>
      <c r="DN402" s="1430">
        <f>DL402</f>
        <v>1.6612860000000158</v>
      </c>
      <c r="DO402" s="1425">
        <f>DN402</f>
        <v>1.6612860000000158</v>
      </c>
      <c r="DP402" s="1423">
        <f>+DQ402</f>
        <v>1.6612860000000158</v>
      </c>
      <c r="DQ402" s="1430">
        <f>DO402</f>
        <v>1.6612860000000158</v>
      </c>
      <c r="DR402" s="1425">
        <f>DQ402</f>
        <v>1.6612860000000158</v>
      </c>
      <c r="DS402" s="1423">
        <f>+DT402</f>
        <v>1.6612860000000158</v>
      </c>
      <c r="DT402" s="1430">
        <f>DR402</f>
        <v>1.6612860000000158</v>
      </c>
      <c r="DU402" s="1425">
        <f>DT402</f>
        <v>1.6612860000000158</v>
      </c>
      <c r="DV402" s="1423">
        <f>+DW402</f>
        <v>1.6612860000000158</v>
      </c>
      <c r="DW402" s="1430">
        <f>DU402</f>
        <v>1.6612860000000158</v>
      </c>
      <c r="DX402" s="1425">
        <f>DW402</f>
        <v>1.6612860000000158</v>
      </c>
      <c r="DY402" s="1423">
        <f>+DZ402</f>
        <v>1.6612860000000158</v>
      </c>
      <c r="DZ402" s="1430">
        <f>DX402</f>
        <v>1.6612860000000158</v>
      </c>
      <c r="EA402" s="1425">
        <f>DZ402</f>
        <v>1.6612860000000158</v>
      </c>
      <c r="EB402" s="1423">
        <f>+EC402</f>
        <v>1.6612860000000158</v>
      </c>
      <c r="EC402" s="1430">
        <f>EA402</f>
        <v>1.6612860000000158</v>
      </c>
      <c r="ED402" s="1425">
        <f>EC402</f>
        <v>1.6612860000000158</v>
      </c>
      <c r="EE402" s="1423">
        <f>+EF402</f>
        <v>1.6612860000000158</v>
      </c>
      <c r="EF402" s="1430">
        <f>ED402</f>
        <v>1.6612860000000158</v>
      </c>
      <c r="EG402" s="1425">
        <f>EF402</f>
        <v>1.6612860000000158</v>
      </c>
      <c r="EH402" s="1423">
        <f>+EI402</f>
        <v>1.6612860000000158</v>
      </c>
      <c r="EI402" s="1430">
        <f>EG402</f>
        <v>1.6612860000000158</v>
      </c>
      <c r="EJ402" s="1425">
        <f>EI402</f>
        <v>1.6612860000000158</v>
      </c>
      <c r="EK402" s="1423">
        <f>+EL402</f>
        <v>1.6612860000000158</v>
      </c>
      <c r="EL402" s="1430">
        <f>EJ402</f>
        <v>1.6612860000000158</v>
      </c>
      <c r="EM402" s="1425">
        <f>EL402</f>
        <v>1.6612860000000158</v>
      </c>
      <c r="EN402" s="1423">
        <f>+EO402</f>
        <v>1.6612860000000158</v>
      </c>
      <c r="EO402" s="1430">
        <f>EM402</f>
        <v>1.6612860000000158</v>
      </c>
      <c r="EP402" s="1425">
        <f>EO402</f>
        <v>1.6612860000000158</v>
      </c>
      <c r="EQ402" s="1423">
        <f>+ER402</f>
        <v>1.6612860000000158</v>
      </c>
      <c r="ER402" s="1430">
        <f>EP402</f>
        <v>1.6612860000000158</v>
      </c>
      <c r="ES402" s="1425">
        <f>ER402</f>
        <v>1.6612860000000158</v>
      </c>
      <c r="ET402" s="1423">
        <f>+EU402</f>
        <v>1.6612860000000158</v>
      </c>
      <c r="EU402" s="1430">
        <f>ES402</f>
        <v>1.6612860000000158</v>
      </c>
      <c r="EV402" s="1425">
        <f>EU402</f>
        <v>1.6612860000000158</v>
      </c>
      <c r="EW402" s="1423">
        <f>+EX402</f>
        <v>1.6612860000000158</v>
      </c>
      <c r="EX402" s="1430">
        <f>EV402</f>
        <v>1.6612860000000158</v>
      </c>
      <c r="EY402" s="1425">
        <f>EX402</f>
        <v>1.6612860000000158</v>
      </c>
      <c r="EZ402" s="1423">
        <f>+FA402</f>
        <v>1.6612860000000158</v>
      </c>
      <c r="FA402" s="1430">
        <f>EY402</f>
        <v>1.6612860000000158</v>
      </c>
      <c r="FD402"/>
      <c r="FE402"/>
      <c r="FF402"/>
      <c r="FG402"/>
      <c r="FH402"/>
      <c r="FI402"/>
    </row>
    <row r="403" spans="1:165" s="35" customFormat="1" outlineLevel="1">
      <c r="B403" s="1338" t="s">
        <v>50</v>
      </c>
      <c r="C403" s="1338"/>
      <c r="D403" s="1339"/>
      <c r="E403" s="1432"/>
      <c r="F403" s="1423">
        <f>+G403</f>
        <v>0</v>
      </c>
      <c r="G403" s="1433"/>
      <c r="H403" s="1434"/>
      <c r="I403" s="1423">
        <f>+J403</f>
        <v>0</v>
      </c>
      <c r="J403" s="1433"/>
      <c r="K403" s="1434"/>
      <c r="L403" s="1423">
        <f>+M403</f>
        <v>0</v>
      </c>
      <c r="M403" s="1433"/>
      <c r="N403" s="1434"/>
      <c r="O403" s="1423">
        <f>+P403</f>
        <v>0</v>
      </c>
      <c r="P403" s="1433"/>
      <c r="Q403" s="1434"/>
      <c r="R403" s="1423">
        <f>+S403</f>
        <v>0</v>
      </c>
      <c r="S403" s="1433"/>
      <c r="T403" s="1434"/>
      <c r="U403" s="1423">
        <f>+V403</f>
        <v>0</v>
      </c>
      <c r="V403" s="1433"/>
      <c r="W403" s="1434"/>
      <c r="X403" s="1423">
        <f>+Y403</f>
        <v>0</v>
      </c>
      <c r="Y403" s="1433"/>
      <c r="Z403" s="1434"/>
      <c r="AA403" s="1423">
        <f>+AB403</f>
        <v>0</v>
      </c>
      <c r="AB403" s="1433"/>
      <c r="AC403" s="1434"/>
      <c r="AD403" s="1423">
        <f>+AE403</f>
        <v>0</v>
      </c>
      <c r="AE403" s="1433"/>
      <c r="AF403" s="1434"/>
      <c r="AG403" s="1423">
        <f>+AH403</f>
        <v>0</v>
      </c>
      <c r="AH403" s="1433"/>
      <c r="AI403" s="1434"/>
      <c r="AJ403" s="1423">
        <f>+AK403</f>
        <v>0</v>
      </c>
      <c r="AK403" s="1433"/>
      <c r="AL403" s="1434"/>
      <c r="AM403" s="1423">
        <f>+AN403</f>
        <v>0</v>
      </c>
      <c r="AN403" s="1433"/>
      <c r="AO403" s="1434"/>
      <c r="AP403" s="1423">
        <f>+AQ403</f>
        <v>0</v>
      </c>
      <c r="AQ403" s="1433"/>
      <c r="AR403" s="1434"/>
      <c r="AS403" s="1423">
        <f>+AT403</f>
        <v>0</v>
      </c>
      <c r="AT403" s="1435">
        <v>0</v>
      </c>
      <c r="AU403" s="1434">
        <f>0.75*3</f>
        <v>2.25</v>
      </c>
      <c r="AV403" s="1423">
        <f>+AW403</f>
        <v>1.9500000000000002</v>
      </c>
      <c r="AW403" s="1433">
        <f>AW402*1</f>
        <v>1.9500000000000002</v>
      </c>
      <c r="AX403" s="1434">
        <f>(((0.58*1)+(0.2*1.45)+(0.1*1.45)+(0.1*1.45))/(0.58+0.2+0.1+0.1))*AX402</f>
        <v>3.48</v>
      </c>
      <c r="AY403" s="1423">
        <f>+AZ403</f>
        <v>3.48</v>
      </c>
      <c r="AZ403" s="1433">
        <f>AX403</f>
        <v>3.48</v>
      </c>
      <c r="BA403" s="1434">
        <f>AZ403</f>
        <v>3.48</v>
      </c>
      <c r="BB403" s="1423">
        <f>+BC403</f>
        <v>3.48</v>
      </c>
      <c r="BC403" s="1433">
        <f>BA403</f>
        <v>3.48</v>
      </c>
      <c r="BD403" s="1434">
        <f>BC403</f>
        <v>3.48</v>
      </c>
      <c r="BE403" s="1423">
        <f>+BF403</f>
        <v>3.48</v>
      </c>
      <c r="BF403" s="1433">
        <f>BD403</f>
        <v>3.48</v>
      </c>
      <c r="BG403" s="1434">
        <f>BF403</f>
        <v>3.48</v>
      </c>
      <c r="BH403" s="1423">
        <f>+BI403</f>
        <v>3.48</v>
      </c>
      <c r="BI403" s="1433">
        <f>BG403</f>
        <v>3.48</v>
      </c>
      <c r="BJ403" s="1434">
        <f>BI403</f>
        <v>3.48</v>
      </c>
      <c r="BK403" s="1423">
        <f>+BL403</f>
        <v>3.48</v>
      </c>
      <c r="BL403" s="1433">
        <f>BJ403</f>
        <v>3.48</v>
      </c>
      <c r="BM403" s="1434">
        <f>BL403</f>
        <v>3.48</v>
      </c>
      <c r="BN403" s="1423">
        <f>+BO403</f>
        <v>0</v>
      </c>
      <c r="BO403" s="1436"/>
      <c r="BP403" s="1434">
        <f>BO403</f>
        <v>0</v>
      </c>
      <c r="BQ403" s="1423">
        <f>+BR403</f>
        <v>0</v>
      </c>
      <c r="BR403" s="1436"/>
      <c r="BS403" s="1434">
        <f>BR403</f>
        <v>0</v>
      </c>
      <c r="BT403" s="1423">
        <f>+BU403</f>
        <v>0</v>
      </c>
      <c r="BU403" s="1436"/>
      <c r="BV403" s="1434">
        <f>BU403</f>
        <v>0</v>
      </c>
      <c r="BW403" s="1423">
        <f>+BX403</f>
        <v>0</v>
      </c>
      <c r="BX403" s="1436"/>
      <c r="BY403" s="1434">
        <f>BX403</f>
        <v>0</v>
      </c>
      <c r="BZ403" s="1423">
        <f>+CA403</f>
        <v>0</v>
      </c>
      <c r="CA403" s="1436"/>
      <c r="CB403" s="1434">
        <f>CA403</f>
        <v>0</v>
      </c>
      <c r="CC403" s="1423">
        <f>+CD403</f>
        <v>0</v>
      </c>
      <c r="CD403" s="1436"/>
      <c r="CE403" s="1434">
        <f>CD403</f>
        <v>0</v>
      </c>
      <c r="CF403" s="1423">
        <f>+CG403</f>
        <v>0</v>
      </c>
      <c r="CG403" s="1436"/>
      <c r="CH403" s="1434">
        <f>CG403</f>
        <v>0</v>
      </c>
      <c r="CI403" s="1423">
        <f>+CJ403</f>
        <v>0</v>
      </c>
      <c r="CJ403" s="1436"/>
      <c r="CK403" s="1434">
        <f>CJ403</f>
        <v>0</v>
      </c>
      <c r="CL403" s="1423">
        <f>+CM403</f>
        <v>0</v>
      </c>
      <c r="CM403" s="1436"/>
      <c r="CN403" s="1434">
        <f>CM403</f>
        <v>0</v>
      </c>
      <c r="CO403" s="1423">
        <f>+CP403</f>
        <v>0</v>
      </c>
      <c r="CP403" s="1436"/>
      <c r="CQ403" s="1434">
        <f>CP403</f>
        <v>0</v>
      </c>
      <c r="CR403" s="1423">
        <f>+CS403</f>
        <v>0</v>
      </c>
      <c r="CS403" s="1436"/>
      <c r="CT403" s="1434">
        <f>CS403</f>
        <v>0</v>
      </c>
      <c r="CU403" s="1423">
        <f>+CV403</f>
        <v>0</v>
      </c>
      <c r="CV403" s="1436"/>
      <c r="CW403" s="1434">
        <f>CV403</f>
        <v>0</v>
      </c>
      <c r="CX403" s="1423">
        <f>+CY403</f>
        <v>0</v>
      </c>
      <c r="CY403" s="1436"/>
      <c r="CZ403" s="1434">
        <f>CY403</f>
        <v>0</v>
      </c>
      <c r="DA403" s="1423">
        <f>+DB403</f>
        <v>0</v>
      </c>
      <c r="DB403" s="1436"/>
      <c r="DC403" s="1434">
        <f>DB403</f>
        <v>0</v>
      </c>
      <c r="DD403" s="1423">
        <f>+DE403</f>
        <v>0</v>
      </c>
      <c r="DE403" s="1437"/>
      <c r="DF403" s="1434">
        <f>DE403</f>
        <v>0</v>
      </c>
      <c r="DG403" s="1423">
        <f>+DH403</f>
        <v>0</v>
      </c>
      <c r="DH403" s="1437"/>
      <c r="DI403" s="1434">
        <f>DH403</f>
        <v>0</v>
      </c>
      <c r="DJ403" s="1423">
        <f>+DK403</f>
        <v>0</v>
      </c>
      <c r="DK403" s="1437"/>
      <c r="DL403" s="1434">
        <f>DK403</f>
        <v>0</v>
      </c>
      <c r="DM403" s="1423">
        <f>+DN403</f>
        <v>0</v>
      </c>
      <c r="DN403" s="1437"/>
      <c r="DO403" s="1434">
        <f>DN403</f>
        <v>0</v>
      </c>
      <c r="DP403" s="1423">
        <f>+DQ403</f>
        <v>0</v>
      </c>
      <c r="DQ403" s="1437"/>
      <c r="DR403" s="1434">
        <f>DQ403</f>
        <v>0</v>
      </c>
      <c r="DS403" s="1423">
        <f>+DT403</f>
        <v>0</v>
      </c>
      <c r="DT403" s="1437"/>
      <c r="DU403" s="1434">
        <f>DT403</f>
        <v>0</v>
      </c>
      <c r="DV403" s="1423">
        <f>+DW403</f>
        <v>0</v>
      </c>
      <c r="DW403" s="1437"/>
      <c r="DX403" s="1434">
        <f>DW403</f>
        <v>0</v>
      </c>
      <c r="DY403" s="1423">
        <f>+DZ403</f>
        <v>0</v>
      </c>
      <c r="DZ403" s="1437"/>
      <c r="EA403" s="1434">
        <f>DZ403</f>
        <v>0</v>
      </c>
      <c r="EB403" s="1423">
        <f>+EC403</f>
        <v>0</v>
      </c>
      <c r="EC403" s="1437"/>
      <c r="ED403" s="1434">
        <f>EC403</f>
        <v>0</v>
      </c>
      <c r="EE403" s="1423">
        <f>+EF403</f>
        <v>0</v>
      </c>
      <c r="EF403" s="1437"/>
      <c r="EG403" s="1434">
        <f>EF403</f>
        <v>0</v>
      </c>
      <c r="EH403" s="1423">
        <f>+EI403</f>
        <v>0</v>
      </c>
      <c r="EI403" s="1437"/>
      <c r="EJ403" s="1434">
        <f>EI403</f>
        <v>0</v>
      </c>
      <c r="EK403" s="1423">
        <f>+EL403</f>
        <v>0</v>
      </c>
      <c r="EL403" s="1437"/>
      <c r="EM403" s="1434">
        <f>EL403</f>
        <v>0</v>
      </c>
      <c r="EN403" s="1423">
        <f>+EO403</f>
        <v>0</v>
      </c>
      <c r="EO403" s="1437"/>
      <c r="EP403" s="1434">
        <f>EO403</f>
        <v>0</v>
      </c>
      <c r="EQ403" s="1423">
        <f>+ER403</f>
        <v>0</v>
      </c>
      <c r="ER403" s="1437"/>
      <c r="ES403" s="1434">
        <f>ER403</f>
        <v>0</v>
      </c>
      <c r="ET403" s="1423">
        <f>+EU403</f>
        <v>0</v>
      </c>
      <c r="EU403" s="1437"/>
      <c r="EV403" s="1434">
        <f>EU403</f>
        <v>0</v>
      </c>
      <c r="EW403" s="1423">
        <f>+EX403</f>
        <v>0</v>
      </c>
      <c r="EX403" s="1437"/>
      <c r="EY403" s="1434">
        <f>EX403</f>
        <v>0</v>
      </c>
      <c r="EZ403" s="1423">
        <f>+FA403</f>
        <v>0</v>
      </c>
      <c r="FA403" s="1437"/>
      <c r="FD403"/>
      <c r="FE403"/>
      <c r="FF403"/>
      <c r="FG403"/>
      <c r="FH403"/>
      <c r="FI403"/>
    </row>
    <row r="404" spans="1:165" s="35" customFormat="1" outlineLevel="1">
      <c r="B404" s="1338" t="s">
        <v>223</v>
      </c>
      <c r="C404" s="1338"/>
      <c r="D404" s="1339"/>
      <c r="E404" s="1438"/>
      <c r="F404" s="1342">
        <f>+G404-E404</f>
        <v>0</v>
      </c>
      <c r="G404" s="1439"/>
      <c r="H404" s="1440"/>
      <c r="I404" s="1342">
        <f>+J404-H404</f>
        <v>0</v>
      </c>
      <c r="J404" s="1439"/>
      <c r="K404" s="1440"/>
      <c r="L404" s="1342">
        <f>+M404-K404</f>
        <v>0</v>
      </c>
      <c r="M404" s="1439"/>
      <c r="N404" s="1440"/>
      <c r="O404" s="1342">
        <f>+P404-N404</f>
        <v>0</v>
      </c>
      <c r="P404" s="1439"/>
      <c r="Q404" s="1440"/>
      <c r="R404" s="1342">
        <f>+S404-Q404</f>
        <v>0</v>
      </c>
      <c r="S404" s="1439"/>
      <c r="T404" s="1440"/>
      <c r="U404" s="1342">
        <f>+V404-T404</f>
        <v>0</v>
      </c>
      <c r="V404" s="1439"/>
      <c r="W404" s="1440"/>
      <c r="X404" s="1342">
        <f>+Y404-W404</f>
        <v>0</v>
      </c>
      <c r="Y404" s="1439"/>
      <c r="Z404" s="1440"/>
      <c r="AA404" s="1342">
        <f>+AB404-Z404</f>
        <v>0</v>
      </c>
      <c r="AB404" s="1439"/>
      <c r="AC404" s="1440"/>
      <c r="AD404" s="1342">
        <f>+AE404-AC404</f>
        <v>0</v>
      </c>
      <c r="AE404" s="1439"/>
      <c r="AF404" s="1440"/>
      <c r="AG404" s="1342">
        <f>+AH404-AF404</f>
        <v>0</v>
      </c>
      <c r="AH404" s="1439"/>
      <c r="AI404" s="1440"/>
      <c r="AJ404" s="1342">
        <f>+AK404-AI404</f>
        <v>0</v>
      </c>
      <c r="AK404" s="1439"/>
      <c r="AL404" s="1440"/>
      <c r="AM404" s="1342">
        <f>+AN404-AL404</f>
        <v>0</v>
      </c>
      <c r="AN404" s="1439">
        <f>(1-Assumptions!AN$124)*AN$396*AN403</f>
        <v>0</v>
      </c>
      <c r="AO404" s="1440">
        <f>(1-Assumptions!AO$124)*AO$396*AO403*0.5</f>
        <v>0</v>
      </c>
      <c r="AP404" s="1342">
        <f>+AQ404-AO404</f>
        <v>0</v>
      </c>
      <c r="AQ404" s="1439">
        <f>(1-Assumptions!AQ$124)*AQ$396*AQ403</f>
        <v>0</v>
      </c>
      <c r="AR404" s="1440">
        <f>(1-Assumptions!AR$124)*AR$396*AR403*0.5</f>
        <v>0</v>
      </c>
      <c r="AS404" s="1342">
        <f>+AT404-AR404</f>
        <v>0</v>
      </c>
      <c r="AT404" s="1439">
        <f>(1-Assumptions!AT$124)*AT$396*AT403</f>
        <v>0</v>
      </c>
      <c r="AU404" s="1440">
        <f>(1-Assumptions!AU$124)*AU$396*AU403*0.5</f>
        <v>3.6000000000000004E-2</v>
      </c>
      <c r="AV404" s="1342">
        <f>+AW404-AU404</f>
        <v>0.1512</v>
      </c>
      <c r="AW404" s="1439">
        <f>((1-Assumptions!AW$124)*AW$396*AW403)*3</f>
        <v>0.18720000000000001</v>
      </c>
      <c r="AX404" s="1440">
        <f>(1-Assumptions!AX$124)*AX$396*AX403*0.5</f>
        <v>5.568E-2</v>
      </c>
      <c r="AY404" s="1342">
        <f>+AZ404-AX404</f>
        <v>5.568E-2</v>
      </c>
      <c r="AZ404" s="1439">
        <f>(1-Assumptions!AZ$124)*AZ$396*AZ403</f>
        <v>0.11136</v>
      </c>
      <c r="BA404" s="1440">
        <f>(1-Assumptions!BA$124)*BA$396*BA403*0.5</f>
        <v>5.7419999999999992E-2</v>
      </c>
      <c r="BB404" s="1342">
        <f>+BC404-BA404</f>
        <v>5.7419999999999992E-2</v>
      </c>
      <c r="BC404" s="1439">
        <f>(1-Assumptions!BC$124)*BC$396*BC403</f>
        <v>0.11483999999999998</v>
      </c>
      <c r="BD404" s="1441">
        <v>6.0899999999999996E-2</v>
      </c>
      <c r="BE404" s="1342">
        <f>+BF404-BD404</f>
        <v>6.0899999999999996E-2</v>
      </c>
      <c r="BF404" s="1439">
        <f>(1-Assumptions!BF$124)*BF$396*BF403</f>
        <v>0.12179999999999999</v>
      </c>
      <c r="BG404" s="1440">
        <f>(1-Assumptions!BG$124)*BG$396*BG403*0.5</f>
        <v>6.2640000000000001E-2</v>
      </c>
      <c r="BH404" s="1342">
        <f>+BI404-BG404</f>
        <v>-6.2640000000000001E-2</v>
      </c>
      <c r="BI404" s="1439">
        <f>(1-Assumptions!BI$124)*BI$396*BI403</f>
        <v>0</v>
      </c>
      <c r="BJ404" s="1440">
        <f>(1-Assumptions!BJ$124)*BJ$396*BJ403*0.5</f>
        <v>0</v>
      </c>
      <c r="BK404" s="1342">
        <f>+BL404-BJ404</f>
        <v>0</v>
      </c>
      <c r="BL404" s="1439">
        <f>(1-Assumptions!BL$124)*BL$396*BL403</f>
        <v>0</v>
      </c>
      <c r="BM404" s="1440">
        <f>(1-Assumptions!BM$124)*BM$396*BM403*0.5</f>
        <v>0</v>
      </c>
      <c r="BN404" s="1342">
        <f>+BO404-BM404</f>
        <v>0</v>
      </c>
      <c r="BO404" s="1442"/>
      <c r="BP404" s="1440">
        <f>(1-Assumptions!BP$124)*BP$396*BP403*0.5</f>
        <v>0</v>
      </c>
      <c r="BQ404" s="1342">
        <f>+BR404-BP404</f>
        <v>0</v>
      </c>
      <c r="BR404" s="1442"/>
      <c r="BS404" s="1440">
        <f>(1-Assumptions!BS$124)*BS$396*BS403*0.5</f>
        <v>0</v>
      </c>
      <c r="BT404" s="1342">
        <f>+BU404-BS404</f>
        <v>0</v>
      </c>
      <c r="BU404" s="1442"/>
      <c r="BV404" s="1440">
        <f>(1-Assumptions!BV$124)*BV$396*BV403*0.5</f>
        <v>0</v>
      </c>
      <c r="BW404" s="1342">
        <f>+BX404-BV404</f>
        <v>0</v>
      </c>
      <c r="BX404" s="1442"/>
      <c r="BY404" s="1440">
        <f>(1-Assumptions!BY$124)*BY$396*BY403*0.5</f>
        <v>0</v>
      </c>
      <c r="BZ404" s="1342">
        <f>+CA404-BY404</f>
        <v>0</v>
      </c>
      <c r="CA404" s="1442"/>
      <c r="CB404" s="1440">
        <f>(1-Assumptions!CB$124)*CB$396*CB403*0.5</f>
        <v>0</v>
      </c>
      <c r="CC404" s="1342">
        <f>+CD404-CB404</f>
        <v>0</v>
      </c>
      <c r="CD404" s="1442"/>
      <c r="CE404" s="1440">
        <f>(1-Assumptions!CE$124)*CE$396*CE403*0.5</f>
        <v>0</v>
      </c>
      <c r="CF404" s="1342">
        <f>+CG404-CE404</f>
        <v>0</v>
      </c>
      <c r="CG404" s="1442"/>
      <c r="CH404" s="1440">
        <f>(1-Assumptions!CH$124)*CH$396*CH403*0.5</f>
        <v>0</v>
      </c>
      <c r="CI404" s="1342">
        <f>+CJ404-CH404</f>
        <v>0</v>
      </c>
      <c r="CJ404" s="1442"/>
      <c r="CK404" s="1440">
        <f>(1-Assumptions!CK$124)*CK$396*CK403*0.5</f>
        <v>0</v>
      </c>
      <c r="CL404" s="1342">
        <f>+CM404-CK404</f>
        <v>0</v>
      </c>
      <c r="CM404" s="1442"/>
      <c r="CN404" s="1440">
        <f>(1-Assumptions!CN$124)*CN$396*CN403*0.5</f>
        <v>0</v>
      </c>
      <c r="CO404" s="1342">
        <f>+CP404-CN404</f>
        <v>0</v>
      </c>
      <c r="CP404" s="1442"/>
      <c r="CQ404" s="1440">
        <f>(1-Assumptions!CQ$124)*CQ$396*CQ403*0.5</f>
        <v>0</v>
      </c>
      <c r="CR404" s="1342">
        <f>+CS404-CQ404</f>
        <v>0</v>
      </c>
      <c r="CS404" s="1442"/>
      <c r="CT404" s="1440">
        <f>(1-Assumptions!CT$124)*CT$396*CT403*0.5</f>
        <v>0</v>
      </c>
      <c r="CU404" s="1342">
        <f>+CV404-CT404</f>
        <v>0</v>
      </c>
      <c r="CV404" s="1442"/>
      <c r="CW404" s="1440">
        <f>(1-Assumptions!CW$124)*CW$396*CW403*0.5</f>
        <v>0</v>
      </c>
      <c r="CX404" s="1342">
        <f>+CY404-CW404</f>
        <v>0</v>
      </c>
      <c r="CY404" s="1442"/>
      <c r="CZ404" s="1440">
        <f>(1-Assumptions!CZ$124)*CZ$396*CZ403*0.5</f>
        <v>0</v>
      </c>
      <c r="DA404" s="1342">
        <f>+DB404-CZ404</f>
        <v>0</v>
      </c>
      <c r="DB404" s="1442"/>
      <c r="DC404" s="1440">
        <f>(1-Assumptions!DC$124)*DC$396*DC403*0.5</f>
        <v>0</v>
      </c>
      <c r="DD404" s="1342">
        <f>+DE404-DC404</f>
        <v>0</v>
      </c>
      <c r="DE404" s="1443"/>
      <c r="DF404" s="1440">
        <f>(1-Assumptions!DF$124)*DF$396*DF403*0.5</f>
        <v>0</v>
      </c>
      <c r="DG404" s="1342">
        <f>+DH404-DF404</f>
        <v>0</v>
      </c>
      <c r="DH404" s="1443"/>
      <c r="DI404" s="1440">
        <f>(1-Assumptions!DI$124)*DI$396*DI403*0.5</f>
        <v>0</v>
      </c>
      <c r="DJ404" s="1342">
        <f>+DK404-DI404</f>
        <v>0</v>
      </c>
      <c r="DK404" s="1443"/>
      <c r="DL404" s="1440">
        <f>(1-Assumptions!DL$124)*DL$396*DL403*0.5</f>
        <v>0</v>
      </c>
      <c r="DM404" s="1342">
        <f>+DN404-DL404</f>
        <v>0</v>
      </c>
      <c r="DN404" s="1443"/>
      <c r="DO404" s="1440">
        <f>(1-Assumptions!DO$124)*DO$396*DO403*0.5</f>
        <v>0</v>
      </c>
      <c r="DP404" s="1342">
        <f>+DQ404-DO404</f>
        <v>0</v>
      </c>
      <c r="DQ404" s="1443"/>
      <c r="DR404" s="1440">
        <f>(1-Assumptions!DR$124)*DR$396*DR403*0.5</f>
        <v>0</v>
      </c>
      <c r="DS404" s="1342">
        <f>+DT404-DR404</f>
        <v>0</v>
      </c>
      <c r="DT404" s="1443"/>
      <c r="DU404" s="1440">
        <f>(1-Assumptions!DU$124)*DU$396*DU403*0.5</f>
        <v>0</v>
      </c>
      <c r="DV404" s="1342">
        <f>+DW404-DU404</f>
        <v>0</v>
      </c>
      <c r="DW404" s="1443"/>
      <c r="DX404" s="1440">
        <f>(1-Assumptions!DX$124)*DX$396*DX403*0.5</f>
        <v>0</v>
      </c>
      <c r="DY404" s="1342">
        <f>+DZ404-DX404</f>
        <v>0</v>
      </c>
      <c r="DZ404" s="1443"/>
      <c r="EA404" s="1440">
        <f>(1-Assumptions!EA$124)*EA$396*EA403*0.5</f>
        <v>0</v>
      </c>
      <c r="EB404" s="1342">
        <f>+EC404-EA404</f>
        <v>0</v>
      </c>
      <c r="EC404" s="1443"/>
      <c r="ED404" s="1440">
        <f>(1-Assumptions!ED$124)*ED$396*ED403*0.5</f>
        <v>0</v>
      </c>
      <c r="EE404" s="1342">
        <f>+EF404-ED404</f>
        <v>0</v>
      </c>
      <c r="EF404" s="1443"/>
      <c r="EG404" s="1440">
        <f>(1-Assumptions!ES$124)*EG$396*EG403*0.5</f>
        <v>0</v>
      </c>
      <c r="EH404" s="1342">
        <f>+EI404-EG404</f>
        <v>0</v>
      </c>
      <c r="EI404" s="1443"/>
      <c r="EJ404" s="1440">
        <f>(1-Assumptions!EV$124)*EJ$396*EJ403*0.5</f>
        <v>0</v>
      </c>
      <c r="EK404" s="1342">
        <f>+EL404-EJ404</f>
        <v>0</v>
      </c>
      <c r="EL404" s="1443"/>
      <c r="EM404" s="1440">
        <f>(1-Assumptions!EY$124)*EM$396*EM403*0.5</f>
        <v>0</v>
      </c>
      <c r="EN404" s="1342">
        <f>+EO404-EM404</f>
        <v>0</v>
      </c>
      <c r="EO404" s="1443"/>
      <c r="EP404" s="1440">
        <f>(1-Assumptions!FB$124)*EP$396*EP403*0.5</f>
        <v>0</v>
      </c>
      <c r="EQ404" s="1342">
        <f>+ER404-EP404</f>
        <v>0</v>
      </c>
      <c r="ER404" s="1443"/>
      <c r="ES404" s="1440">
        <f>(1-Assumptions!FE$124)*ES$396*ES403*0.5</f>
        <v>0</v>
      </c>
      <c r="ET404" s="1342">
        <f>+EU404-ES404</f>
        <v>0</v>
      </c>
      <c r="EU404" s="1443"/>
      <c r="EV404" s="1440">
        <f>(1-Assumptions!FH$124)*EV$396*EV403*0.5</f>
        <v>0</v>
      </c>
      <c r="EW404" s="1342">
        <f>+EX404-EV404</f>
        <v>0</v>
      </c>
      <c r="EX404" s="1443"/>
      <c r="EY404" s="1440">
        <f>(1-Assumptions!FK$124)*EY$396*EY403*0.5</f>
        <v>0</v>
      </c>
      <c r="EZ404" s="1342">
        <f>+FA404-EY404</f>
        <v>0</v>
      </c>
      <c r="FA404" s="1443"/>
      <c r="FD404"/>
      <c r="FE404"/>
      <c r="FF404"/>
      <c r="FG404"/>
      <c r="FH404"/>
      <c r="FI404"/>
    </row>
    <row r="405" spans="1:165" s="35" customFormat="1" ht="13.5" outlineLevel="1" thickBot="1">
      <c r="B405" s="1338" t="s">
        <v>226</v>
      </c>
      <c r="C405" s="1338"/>
      <c r="D405" s="1339"/>
      <c r="E405" s="1444" t="s">
        <v>227</v>
      </c>
      <c r="F405" s="1021"/>
      <c r="G405" s="1445" t="str">
        <f>+E405</f>
        <v>N</v>
      </c>
      <c r="H405" s="1446" t="str">
        <f>G405</f>
        <v>N</v>
      </c>
      <c r="I405" s="1021"/>
      <c r="J405" s="1445" t="str">
        <f>+H405</f>
        <v>N</v>
      </c>
      <c r="K405" s="1446" t="str">
        <f>J405</f>
        <v>N</v>
      </c>
      <c r="L405" s="1021"/>
      <c r="M405" s="1445" t="str">
        <f>+K405</f>
        <v>N</v>
      </c>
      <c r="N405" s="1446" t="str">
        <f>M405</f>
        <v>N</v>
      </c>
      <c r="O405" s="1021"/>
      <c r="P405" s="1445" t="str">
        <f>+N405</f>
        <v>N</v>
      </c>
      <c r="Q405" s="1446" t="str">
        <f>P405</f>
        <v>N</v>
      </c>
      <c r="R405" s="1021"/>
      <c r="S405" s="1445" t="str">
        <f>+Q405</f>
        <v>N</v>
      </c>
      <c r="T405" s="1446" t="str">
        <f>S405</f>
        <v>N</v>
      </c>
      <c r="U405" s="1021"/>
      <c r="V405" s="1445" t="str">
        <f>+T405</f>
        <v>N</v>
      </c>
      <c r="W405" s="1446" t="str">
        <f>V405</f>
        <v>N</v>
      </c>
      <c r="X405" s="1021"/>
      <c r="Y405" s="1445" t="str">
        <f>+W405</f>
        <v>N</v>
      </c>
      <c r="Z405" s="1446" t="str">
        <f>Y405</f>
        <v>N</v>
      </c>
      <c r="AA405" s="1021"/>
      <c r="AB405" s="1445" t="str">
        <f>+Z405</f>
        <v>N</v>
      </c>
      <c r="AC405" s="1446" t="str">
        <f>AB405</f>
        <v>N</v>
      </c>
      <c r="AD405" s="1021"/>
      <c r="AE405" s="1445" t="str">
        <f>+AC405</f>
        <v>N</v>
      </c>
      <c r="AF405" s="1446" t="str">
        <f>AE405</f>
        <v>N</v>
      </c>
      <c r="AG405" s="1021"/>
      <c r="AH405" s="1445" t="str">
        <f>+AF405</f>
        <v>N</v>
      </c>
      <c r="AI405" s="1446" t="str">
        <f>AH405</f>
        <v>N</v>
      </c>
      <c r="AJ405" s="1021"/>
      <c r="AK405" s="1445" t="str">
        <f>+AI405</f>
        <v>N</v>
      </c>
      <c r="AL405" s="1446" t="str">
        <f>AK405</f>
        <v>N</v>
      </c>
      <c r="AM405" s="1021"/>
      <c r="AN405" s="1447" t="s">
        <v>503</v>
      </c>
      <c r="AO405" s="1446" t="str">
        <f>AN405</f>
        <v>Y</v>
      </c>
      <c r="AP405" s="1021"/>
      <c r="AQ405" s="1445" t="str">
        <f>+AO405</f>
        <v>Y</v>
      </c>
      <c r="AR405" s="1446" t="str">
        <f>AQ405</f>
        <v>Y</v>
      </c>
      <c r="AS405" s="1021"/>
      <c r="AT405" s="1445" t="str">
        <f>+AR405</f>
        <v>Y</v>
      </c>
      <c r="AU405" s="1446" t="str">
        <f>AT405</f>
        <v>Y</v>
      </c>
      <c r="AV405" s="1021"/>
      <c r="AW405" s="1445" t="str">
        <f>+AU405</f>
        <v>Y</v>
      </c>
      <c r="AX405" s="1446" t="str">
        <f>AW405</f>
        <v>Y</v>
      </c>
      <c r="AY405" s="1021"/>
      <c r="AZ405" s="1445" t="str">
        <f>+AX405</f>
        <v>Y</v>
      </c>
      <c r="BA405" s="1446" t="str">
        <f>AZ405</f>
        <v>Y</v>
      </c>
      <c r="BB405" s="1021"/>
      <c r="BC405" s="1445" t="str">
        <f>+BA405</f>
        <v>Y</v>
      </c>
      <c r="BD405" s="1446" t="str">
        <f>BC405</f>
        <v>Y</v>
      </c>
      <c r="BE405" s="1021"/>
      <c r="BF405" s="1445" t="str">
        <f>+BD405</f>
        <v>Y</v>
      </c>
      <c r="BG405" s="1446" t="str">
        <f>BF405</f>
        <v>Y</v>
      </c>
      <c r="BH405" s="1021"/>
      <c r="BI405" s="1445" t="str">
        <f>+BG405</f>
        <v>Y</v>
      </c>
      <c r="BJ405" s="1446" t="str">
        <f>BI405</f>
        <v>Y</v>
      </c>
      <c r="BK405" s="1021"/>
      <c r="BL405" s="1445" t="str">
        <f>+BJ405</f>
        <v>Y</v>
      </c>
      <c r="BM405" s="1446" t="str">
        <f>BL405</f>
        <v>Y</v>
      </c>
      <c r="BN405" s="1021"/>
      <c r="BO405" s="1448" t="str">
        <f>+BM405</f>
        <v>Y</v>
      </c>
      <c r="BP405" s="1446" t="str">
        <f>BO405</f>
        <v>Y</v>
      </c>
      <c r="BQ405" s="1021"/>
      <c r="BR405" s="1448" t="str">
        <f>+BP405</f>
        <v>Y</v>
      </c>
      <c r="BS405" s="1446" t="str">
        <f>BR405</f>
        <v>Y</v>
      </c>
      <c r="BT405" s="1021"/>
      <c r="BU405" s="1448" t="str">
        <f>+BS405</f>
        <v>Y</v>
      </c>
      <c r="BV405" s="1446" t="str">
        <f>BU405</f>
        <v>Y</v>
      </c>
      <c r="BW405" s="1021"/>
      <c r="BX405" s="1448" t="str">
        <f>+BV405</f>
        <v>Y</v>
      </c>
      <c r="BY405" s="1446" t="str">
        <f>BX405</f>
        <v>Y</v>
      </c>
      <c r="BZ405" s="1021"/>
      <c r="CA405" s="1448" t="str">
        <f>+BY405</f>
        <v>Y</v>
      </c>
      <c r="CB405" s="1446" t="str">
        <f>CA405</f>
        <v>Y</v>
      </c>
      <c r="CC405" s="1021"/>
      <c r="CD405" s="1448" t="str">
        <f>+CB405</f>
        <v>Y</v>
      </c>
      <c r="CE405" s="1446" t="str">
        <f>CD405</f>
        <v>Y</v>
      </c>
      <c r="CF405" s="1021"/>
      <c r="CG405" s="1448" t="str">
        <f>+CE405</f>
        <v>Y</v>
      </c>
      <c r="CH405" s="1446" t="str">
        <f>CG405</f>
        <v>Y</v>
      </c>
      <c r="CI405" s="1021"/>
      <c r="CJ405" s="1448" t="str">
        <f>+CH405</f>
        <v>Y</v>
      </c>
      <c r="CK405" s="1446" t="str">
        <f>CJ405</f>
        <v>Y</v>
      </c>
      <c r="CL405" s="1021"/>
      <c r="CM405" s="1448" t="str">
        <f>+CK405</f>
        <v>Y</v>
      </c>
      <c r="CN405" s="1446" t="str">
        <f>CM405</f>
        <v>Y</v>
      </c>
      <c r="CO405" s="1021"/>
      <c r="CP405" s="1448" t="str">
        <f>+CN405</f>
        <v>Y</v>
      </c>
      <c r="CQ405" s="1446" t="str">
        <f>CP405</f>
        <v>Y</v>
      </c>
      <c r="CR405" s="1021"/>
      <c r="CS405" s="1448" t="str">
        <f>+CQ405</f>
        <v>Y</v>
      </c>
      <c r="CT405" s="1446" t="str">
        <f>CS405</f>
        <v>Y</v>
      </c>
      <c r="CU405" s="1021"/>
      <c r="CV405" s="1448" t="str">
        <f>+CT405</f>
        <v>Y</v>
      </c>
      <c r="CW405" s="1446" t="str">
        <f>CV405</f>
        <v>Y</v>
      </c>
      <c r="CX405" s="1021"/>
      <c r="CY405" s="1448" t="str">
        <f>+CW405</f>
        <v>Y</v>
      </c>
      <c r="CZ405" s="1446" t="str">
        <f>CY405</f>
        <v>Y</v>
      </c>
      <c r="DA405" s="1021"/>
      <c r="DB405" s="1448" t="str">
        <f>+CZ405</f>
        <v>Y</v>
      </c>
      <c r="DC405" s="1446" t="str">
        <f>DB405</f>
        <v>Y</v>
      </c>
      <c r="DD405" s="1021"/>
      <c r="DE405" s="1449" t="str">
        <f>+DC405</f>
        <v>Y</v>
      </c>
      <c r="DF405" s="1446" t="str">
        <f>DE405</f>
        <v>Y</v>
      </c>
      <c r="DG405" s="1021"/>
      <c r="DH405" s="1449" t="str">
        <f>+DF405</f>
        <v>Y</v>
      </c>
      <c r="DI405" s="1446" t="str">
        <f>DH405</f>
        <v>Y</v>
      </c>
      <c r="DJ405" s="1021"/>
      <c r="DK405" s="1449" t="str">
        <f>+DI405</f>
        <v>Y</v>
      </c>
      <c r="DL405" s="1446" t="str">
        <f>DK405</f>
        <v>Y</v>
      </c>
      <c r="DM405" s="1021"/>
      <c r="DN405" s="1449" t="str">
        <f>+DL405</f>
        <v>Y</v>
      </c>
      <c r="DO405" s="1446" t="str">
        <f>DN405</f>
        <v>Y</v>
      </c>
      <c r="DP405" s="1021"/>
      <c r="DQ405" s="1449" t="str">
        <f>+DO405</f>
        <v>Y</v>
      </c>
      <c r="DR405" s="1446" t="str">
        <f>DQ405</f>
        <v>Y</v>
      </c>
      <c r="DS405" s="1021"/>
      <c r="DT405" s="1449" t="str">
        <f>+DR405</f>
        <v>Y</v>
      </c>
      <c r="DU405" s="1446" t="str">
        <f>DT405</f>
        <v>Y</v>
      </c>
      <c r="DV405" s="1021"/>
      <c r="DW405" s="1449" t="str">
        <f>+DU405</f>
        <v>Y</v>
      </c>
      <c r="DX405" s="1446" t="str">
        <f>DW405</f>
        <v>Y</v>
      </c>
      <c r="DY405" s="1021"/>
      <c r="DZ405" s="1449" t="str">
        <f>+DX405</f>
        <v>Y</v>
      </c>
      <c r="EA405" s="1446" t="str">
        <f>DZ405</f>
        <v>Y</v>
      </c>
      <c r="EB405" s="1021"/>
      <c r="EC405" s="1449" t="str">
        <f>+EA405</f>
        <v>Y</v>
      </c>
      <c r="ED405" s="1446" t="str">
        <f>EC405</f>
        <v>Y</v>
      </c>
      <c r="EE405" s="1021"/>
      <c r="EF405" s="1449" t="str">
        <f>+ED405</f>
        <v>Y</v>
      </c>
      <c r="EG405" s="1446" t="str">
        <f>EF405</f>
        <v>Y</v>
      </c>
      <c r="EH405" s="1021"/>
      <c r="EI405" s="1449" t="str">
        <f>+EG405</f>
        <v>Y</v>
      </c>
      <c r="EJ405" s="1446" t="str">
        <f>EI405</f>
        <v>Y</v>
      </c>
      <c r="EK405" s="1021"/>
      <c r="EL405" s="1449" t="str">
        <f>+EJ405</f>
        <v>Y</v>
      </c>
      <c r="EM405" s="1446" t="str">
        <f>EL405</f>
        <v>Y</v>
      </c>
      <c r="EN405" s="1021"/>
      <c r="EO405" s="1449" t="str">
        <f>+EM405</f>
        <v>Y</v>
      </c>
      <c r="EP405" s="1446" t="str">
        <f>EO405</f>
        <v>Y</v>
      </c>
      <c r="EQ405" s="1021"/>
      <c r="ER405" s="1449" t="str">
        <f>+EP405</f>
        <v>Y</v>
      </c>
      <c r="ES405" s="1446" t="str">
        <f>ER405</f>
        <v>Y</v>
      </c>
      <c r="ET405" s="1021"/>
      <c r="EU405" s="1449" t="str">
        <f>+ES405</f>
        <v>Y</v>
      </c>
      <c r="EV405" s="1446" t="str">
        <f>EU405</f>
        <v>Y</v>
      </c>
      <c r="EW405" s="1021"/>
      <c r="EX405" s="1449" t="str">
        <f>+EV405</f>
        <v>Y</v>
      </c>
      <c r="EY405" s="1446" t="str">
        <f>EX405</f>
        <v>Y</v>
      </c>
      <c r="EZ405" s="1021"/>
      <c r="FA405" s="1449" t="str">
        <f>+EY405</f>
        <v>Y</v>
      </c>
      <c r="FD405"/>
      <c r="FE405"/>
      <c r="FF405"/>
      <c r="FG405"/>
      <c r="FH405"/>
      <c r="FI405"/>
    </row>
    <row r="406" spans="1:165" s="33" customFormat="1" ht="13.5" outlineLevel="1" thickBot="1">
      <c r="A406" s="58"/>
      <c r="B406" s="58"/>
      <c r="C406" s="58"/>
      <c r="D406" s="58"/>
      <c r="E406" s="1450"/>
      <c r="F406" s="1450"/>
      <c r="G406" s="1451"/>
      <c r="H406" s="1450"/>
      <c r="I406" s="1450"/>
      <c r="J406" s="1451"/>
      <c r="K406" s="1450"/>
      <c r="L406" s="1450"/>
      <c r="M406" s="1451"/>
      <c r="N406" s="1450"/>
      <c r="O406" s="1450"/>
      <c r="P406" s="1451"/>
      <c r="Q406" s="1452"/>
      <c r="R406" s="1452"/>
      <c r="S406" s="1453"/>
      <c r="T406" s="1452"/>
      <c r="U406" s="1452"/>
      <c r="V406" s="1451"/>
      <c r="W406" s="1450"/>
      <c r="X406" s="1450"/>
      <c r="Y406" s="1451"/>
      <c r="Z406" s="1450"/>
      <c r="AA406" s="1450"/>
      <c r="AB406" s="1451"/>
      <c r="AC406" s="1450"/>
      <c r="AD406" s="1450"/>
      <c r="AE406" s="1451"/>
      <c r="AF406" s="1450"/>
      <c r="AG406" s="1450"/>
      <c r="AH406" s="1451"/>
      <c r="AI406" s="1450"/>
      <c r="AJ406" s="1450"/>
      <c r="AK406" s="1451"/>
      <c r="AL406" s="1450"/>
      <c r="AM406" s="1450"/>
      <c r="AN406" s="1451"/>
      <c r="AO406" s="1450"/>
      <c r="AP406" s="1450"/>
      <c r="AQ406" s="1451"/>
      <c r="AR406" s="1450"/>
      <c r="AS406" s="1450"/>
      <c r="AT406" s="1451"/>
      <c r="AU406" s="1450"/>
      <c r="AV406" s="1450"/>
      <c r="AW406" s="1451"/>
      <c r="AX406" s="1450"/>
      <c r="AY406" s="1450"/>
      <c r="AZ406" s="1451"/>
      <c r="BA406" s="1450"/>
      <c r="BB406" s="1450"/>
      <c r="BC406" s="1451"/>
      <c r="BD406" s="1450"/>
      <c r="BE406" s="1450"/>
      <c r="BF406" s="1451"/>
      <c r="BG406" s="1450"/>
      <c r="BH406" s="1450"/>
      <c r="BI406" s="1451"/>
      <c r="BJ406" s="1450"/>
      <c r="BK406" s="1450"/>
      <c r="BL406" s="1451"/>
      <c r="BM406" s="1450"/>
      <c r="BN406" s="1450"/>
      <c r="BO406" s="1451"/>
      <c r="BP406" s="1450"/>
      <c r="BQ406" s="1450"/>
      <c r="BR406" s="1451"/>
      <c r="BS406" s="1450"/>
      <c r="BT406" s="1450"/>
      <c r="BU406" s="1451"/>
      <c r="BV406" s="1450"/>
      <c r="BW406" s="1450"/>
      <c r="BX406" s="1451"/>
      <c r="BY406" s="1450"/>
      <c r="BZ406" s="1450"/>
      <c r="CA406" s="1451"/>
      <c r="CB406" s="1450"/>
      <c r="CC406" s="1450"/>
      <c r="CD406" s="1451"/>
      <c r="CE406" s="1450"/>
      <c r="CF406" s="1450"/>
      <c r="CG406" s="1451"/>
      <c r="CH406" s="1450"/>
      <c r="CI406" s="1450"/>
      <c r="CJ406" s="1451"/>
      <c r="CK406" s="1450"/>
      <c r="CL406" s="1450"/>
      <c r="CM406" s="1451"/>
      <c r="CN406" s="1450"/>
      <c r="CO406" s="1450"/>
      <c r="CP406" s="1451"/>
      <c r="CQ406" s="1450"/>
      <c r="CR406" s="1450"/>
      <c r="CS406" s="1451"/>
      <c r="CT406" s="1450"/>
      <c r="CU406" s="1450"/>
      <c r="CV406" s="1451"/>
      <c r="CW406" s="1450"/>
      <c r="CX406" s="1450"/>
      <c r="CY406" s="1451"/>
      <c r="CZ406" s="1450"/>
      <c r="DA406" s="1450"/>
      <c r="DB406" s="1451"/>
      <c r="DC406" s="1450"/>
      <c r="DD406" s="1450"/>
      <c r="DE406" s="1454"/>
      <c r="DF406" s="1450"/>
      <c r="DG406" s="1450"/>
      <c r="DH406" s="1454"/>
      <c r="DI406" s="1450"/>
      <c r="DJ406" s="1450"/>
      <c r="DK406" s="1454"/>
      <c r="DL406" s="1450"/>
      <c r="DM406" s="1450"/>
      <c r="DN406" s="1454"/>
      <c r="DO406" s="1450"/>
      <c r="DP406" s="1450"/>
      <c r="DQ406" s="1454"/>
      <c r="DR406" s="1450"/>
      <c r="DS406" s="1450"/>
      <c r="DT406" s="1454"/>
      <c r="DU406" s="1450"/>
      <c r="DV406" s="1450"/>
      <c r="DW406" s="1454"/>
      <c r="DX406" s="1450"/>
      <c r="DY406" s="1450"/>
      <c r="DZ406" s="1454"/>
      <c r="EA406" s="1450"/>
      <c r="EB406" s="1450"/>
      <c r="EC406" s="1454"/>
      <c r="ED406" s="1450"/>
      <c r="EE406" s="1450"/>
      <c r="EF406" s="1454"/>
      <c r="EG406" s="1450"/>
      <c r="EH406" s="1450"/>
      <c r="EI406" s="1454"/>
      <c r="EJ406" s="1450"/>
      <c r="EK406" s="1450"/>
      <c r="EL406" s="1454"/>
      <c r="EM406" s="1450"/>
      <c r="EN406" s="1450"/>
      <c r="EO406" s="1454"/>
      <c r="EP406" s="1450"/>
      <c r="EQ406" s="1450"/>
      <c r="ER406" s="1454"/>
      <c r="ES406" s="1450"/>
      <c r="ET406" s="1450"/>
      <c r="EU406" s="1454"/>
      <c r="EV406" s="1450"/>
      <c r="EW406" s="1450"/>
      <c r="EX406" s="1454"/>
      <c r="EY406" s="1450"/>
      <c r="EZ406" s="1450"/>
      <c r="FA406" s="1454"/>
      <c r="FD406"/>
      <c r="FE406"/>
      <c r="FF406"/>
      <c r="FG406"/>
      <c r="FH406"/>
      <c r="FI406"/>
    </row>
    <row r="407" spans="1:165" s="33" customFormat="1" outlineLevel="1">
      <c r="A407" s="58"/>
      <c r="B407" s="1338" t="s">
        <v>228</v>
      </c>
      <c r="C407" s="58"/>
      <c r="D407" s="58"/>
      <c r="E407" s="1422"/>
      <c r="F407" s="1423">
        <f>+G407</f>
        <v>0</v>
      </c>
      <c r="G407" s="1424"/>
      <c r="H407" s="1425"/>
      <c r="I407" s="1423">
        <f>+J407</f>
        <v>0</v>
      </c>
      <c r="J407" s="1424"/>
      <c r="K407" s="1425"/>
      <c r="L407" s="1423">
        <f>+M407</f>
        <v>0</v>
      </c>
      <c r="M407" s="1424"/>
      <c r="N407" s="1425"/>
      <c r="O407" s="1423">
        <f>+P407</f>
        <v>0</v>
      </c>
      <c r="P407" s="1424"/>
      <c r="Q407" s="1425"/>
      <c r="R407" s="1423">
        <f>+S407</f>
        <v>0</v>
      </c>
      <c r="S407" s="1424"/>
      <c r="T407" s="1425"/>
      <c r="U407" s="1423">
        <f>+V407</f>
        <v>0</v>
      </c>
      <c r="V407" s="1424"/>
      <c r="W407" s="1425"/>
      <c r="X407" s="1423">
        <f>+Y407</f>
        <v>0</v>
      </c>
      <c r="Y407" s="1424"/>
      <c r="Z407" s="1425"/>
      <c r="AA407" s="1423">
        <f>+AB407</f>
        <v>0</v>
      </c>
      <c r="AB407" s="1424"/>
      <c r="AC407" s="1425"/>
      <c r="AD407" s="1423">
        <f>+AE407</f>
        <v>0</v>
      </c>
      <c r="AE407" s="1424"/>
      <c r="AF407" s="1425"/>
      <c r="AG407" s="1423">
        <f>+AH407</f>
        <v>0</v>
      </c>
      <c r="AH407" s="1424"/>
      <c r="AI407" s="1425"/>
      <c r="AJ407" s="1423">
        <f>+AK407</f>
        <v>0</v>
      </c>
      <c r="AK407" s="1424"/>
      <c r="AL407" s="1425"/>
      <c r="AM407" s="1423">
        <f>+AN407</f>
        <v>0</v>
      </c>
      <c r="AN407" s="1424"/>
      <c r="AO407" s="1425"/>
      <c r="AP407" s="1423">
        <f>+AQ407</f>
        <v>0</v>
      </c>
      <c r="AQ407" s="1424"/>
      <c r="AR407" s="1425"/>
      <c r="AS407" s="1423">
        <f>+AT407</f>
        <v>0</v>
      </c>
      <c r="AT407" s="1424"/>
      <c r="AU407" s="1425"/>
      <c r="AV407" s="1423">
        <f>+AW407</f>
        <v>0</v>
      </c>
      <c r="AW407" s="1424"/>
      <c r="AX407" s="1425"/>
      <c r="AY407" s="1423">
        <f>+AZ407</f>
        <v>0</v>
      </c>
      <c r="AZ407" s="1424"/>
      <c r="BA407" s="1425"/>
      <c r="BB407" s="1423">
        <f>+BC407</f>
        <v>0</v>
      </c>
      <c r="BC407" s="1424"/>
      <c r="BD407" s="1425"/>
      <c r="BE407" s="1423">
        <f>+BF407</f>
        <v>0</v>
      </c>
      <c r="BF407" s="1424"/>
      <c r="BG407" s="1425"/>
      <c r="BH407" s="1423">
        <f>+BI407</f>
        <v>0</v>
      </c>
      <c r="BI407" s="1424"/>
      <c r="BJ407" s="1425"/>
      <c r="BK407" s="1423">
        <f>+BL407</f>
        <v>0</v>
      </c>
      <c r="BL407" s="1424"/>
      <c r="BM407" s="1425"/>
      <c r="BN407" s="1423">
        <f>+BO407</f>
        <v>0</v>
      </c>
      <c r="BO407" s="1427"/>
      <c r="BP407" s="1425"/>
      <c r="BQ407" s="1423">
        <f>+BR407</f>
        <v>0</v>
      </c>
      <c r="BR407" s="1427"/>
      <c r="BS407" s="1425"/>
      <c r="BT407" s="1423">
        <f>+BU407</f>
        <v>0</v>
      </c>
      <c r="BU407" s="1427"/>
      <c r="BV407" s="1425"/>
      <c r="BW407" s="1423">
        <f>+BX407</f>
        <v>0</v>
      </c>
      <c r="BX407" s="1427"/>
      <c r="BY407" s="1425"/>
      <c r="BZ407" s="1423">
        <f>+CA407</f>
        <v>0</v>
      </c>
      <c r="CA407" s="1427"/>
      <c r="CB407" s="1425"/>
      <c r="CC407" s="1423">
        <f>+CD407</f>
        <v>0</v>
      </c>
      <c r="CD407" s="1427"/>
      <c r="CE407" s="1425"/>
      <c r="CF407" s="1423">
        <f>+CG407</f>
        <v>0</v>
      </c>
      <c r="CG407" s="1427"/>
      <c r="CH407" s="1425"/>
      <c r="CI407" s="1423">
        <f>+CJ407</f>
        <v>0</v>
      </c>
      <c r="CJ407" s="1427"/>
      <c r="CK407" s="1425"/>
      <c r="CL407" s="1423">
        <f>+CM407</f>
        <v>0</v>
      </c>
      <c r="CM407" s="1427"/>
      <c r="CN407" s="1425"/>
      <c r="CO407" s="1423">
        <f>+CP407</f>
        <v>0</v>
      </c>
      <c r="CP407" s="1427"/>
      <c r="CQ407" s="1425"/>
      <c r="CR407" s="1423">
        <f>+CS407</f>
        <v>0</v>
      </c>
      <c r="CS407" s="1427"/>
      <c r="CT407" s="1425"/>
      <c r="CU407" s="1423">
        <f>+CV407</f>
        <v>0</v>
      </c>
      <c r="CV407" s="1427"/>
      <c r="CW407" s="1425"/>
      <c r="CX407" s="1423">
        <f>+CY407</f>
        <v>0</v>
      </c>
      <c r="CY407" s="1427"/>
      <c r="CZ407" s="1425"/>
      <c r="DA407" s="1423">
        <f>+DB407</f>
        <v>0</v>
      </c>
      <c r="DB407" s="1427"/>
      <c r="DC407" s="1425"/>
      <c r="DD407" s="1423">
        <f>+DE407</f>
        <v>0</v>
      </c>
      <c r="DE407" s="1430"/>
      <c r="DF407" s="1425"/>
      <c r="DG407" s="1423">
        <f>+DH407</f>
        <v>0</v>
      </c>
      <c r="DH407" s="1430"/>
      <c r="DI407" s="1425"/>
      <c r="DJ407" s="1423">
        <f>+DK407</f>
        <v>0</v>
      </c>
      <c r="DK407" s="1430"/>
      <c r="DL407" s="1425"/>
      <c r="DM407" s="1423">
        <f>+DN407</f>
        <v>0</v>
      </c>
      <c r="DN407" s="1430"/>
      <c r="DO407" s="1425"/>
      <c r="DP407" s="1423">
        <f>+DQ407</f>
        <v>0</v>
      </c>
      <c r="DQ407" s="1430"/>
      <c r="DR407" s="1425"/>
      <c r="DS407" s="1423">
        <f>+DT407</f>
        <v>0</v>
      </c>
      <c r="DT407" s="1430"/>
      <c r="DU407" s="1425"/>
      <c r="DV407" s="1423">
        <f>+DW407</f>
        <v>0</v>
      </c>
      <c r="DW407" s="1430"/>
      <c r="DX407" s="1425"/>
      <c r="DY407" s="1423">
        <f>+DZ407</f>
        <v>0</v>
      </c>
      <c r="DZ407" s="1430"/>
      <c r="EA407" s="1425"/>
      <c r="EB407" s="1423">
        <f>+EC407</f>
        <v>0</v>
      </c>
      <c r="EC407" s="1430"/>
      <c r="ED407" s="1425"/>
      <c r="EE407" s="1423">
        <f>+EF407</f>
        <v>0</v>
      </c>
      <c r="EF407" s="1430"/>
      <c r="EG407" s="1425"/>
      <c r="EH407" s="1423">
        <f>+EI407</f>
        <v>0</v>
      </c>
      <c r="EI407" s="1430"/>
      <c r="EJ407" s="1425"/>
      <c r="EK407" s="1423">
        <f>+EL407</f>
        <v>0</v>
      </c>
      <c r="EL407" s="1430"/>
      <c r="EM407" s="1425"/>
      <c r="EN407" s="1423">
        <f>+EO407</f>
        <v>0</v>
      </c>
      <c r="EO407" s="1430"/>
      <c r="EP407" s="1425"/>
      <c r="EQ407" s="1423">
        <f>+ER407</f>
        <v>0</v>
      </c>
      <c r="ER407" s="1430"/>
      <c r="ES407" s="1425"/>
      <c r="ET407" s="1423">
        <f>+EU407</f>
        <v>0</v>
      </c>
      <c r="EU407" s="1430"/>
      <c r="EV407" s="1425"/>
      <c r="EW407" s="1423">
        <f>+EX407</f>
        <v>0</v>
      </c>
      <c r="EX407" s="1430"/>
      <c r="EY407" s="1425"/>
      <c r="EZ407" s="1423">
        <f>+FA407</f>
        <v>0</v>
      </c>
      <c r="FA407" s="1430"/>
      <c r="FD407"/>
      <c r="FE407"/>
      <c r="FF407"/>
      <c r="FG407"/>
      <c r="FH407"/>
      <c r="FI407"/>
    </row>
    <row r="408" spans="1:165" s="35" customFormat="1" outlineLevel="1">
      <c r="B408" s="1338" t="s">
        <v>50</v>
      </c>
      <c r="C408" s="1338"/>
      <c r="D408" s="1339"/>
      <c r="E408" s="1432"/>
      <c r="F408" s="1423">
        <f>+G408</f>
        <v>0</v>
      </c>
      <c r="G408" s="1433"/>
      <c r="H408" s="1434"/>
      <c r="I408" s="1423">
        <f>+J408</f>
        <v>0</v>
      </c>
      <c r="J408" s="1433"/>
      <c r="K408" s="1434"/>
      <c r="L408" s="1423">
        <f>+M408</f>
        <v>0</v>
      </c>
      <c r="M408" s="1433"/>
      <c r="N408" s="1434"/>
      <c r="O408" s="1423">
        <f>+P408</f>
        <v>0</v>
      </c>
      <c r="P408" s="1433"/>
      <c r="Q408" s="1434"/>
      <c r="R408" s="1423">
        <f>+S408</f>
        <v>0</v>
      </c>
      <c r="S408" s="1433"/>
      <c r="T408" s="1434"/>
      <c r="U408" s="1423">
        <f>+V408</f>
        <v>0</v>
      </c>
      <c r="V408" s="1433"/>
      <c r="W408" s="1434"/>
      <c r="X408" s="1423">
        <f>+Y408</f>
        <v>0</v>
      </c>
      <c r="Y408" s="1433"/>
      <c r="Z408" s="1434"/>
      <c r="AA408" s="1423">
        <f>+AB408</f>
        <v>0</v>
      </c>
      <c r="AB408" s="1433"/>
      <c r="AC408" s="1434"/>
      <c r="AD408" s="1423">
        <f>+AE408</f>
        <v>0</v>
      </c>
      <c r="AE408" s="1433"/>
      <c r="AF408" s="1434"/>
      <c r="AG408" s="1423">
        <f>+AH408</f>
        <v>0</v>
      </c>
      <c r="AH408" s="1433"/>
      <c r="AI408" s="1434"/>
      <c r="AJ408" s="1423">
        <f>+AK408</f>
        <v>0</v>
      </c>
      <c r="AK408" s="1433"/>
      <c r="AL408" s="1434"/>
      <c r="AM408" s="1423">
        <f>+AN408</f>
        <v>0</v>
      </c>
      <c r="AN408" s="1433"/>
      <c r="AO408" s="1434"/>
      <c r="AP408" s="1423">
        <f>+AQ408</f>
        <v>0</v>
      </c>
      <c r="AQ408" s="1433"/>
      <c r="AR408" s="1434"/>
      <c r="AS408" s="1423">
        <f>+AT408</f>
        <v>0</v>
      </c>
      <c r="AT408" s="1433"/>
      <c r="AU408" s="1434"/>
      <c r="AV408" s="1423">
        <f>+AW408</f>
        <v>0</v>
      </c>
      <c r="AW408" s="1433"/>
      <c r="AX408" s="1434"/>
      <c r="AY408" s="1423">
        <f>+AZ408</f>
        <v>0</v>
      </c>
      <c r="AZ408" s="1433"/>
      <c r="BA408" s="1434"/>
      <c r="BB408" s="1423">
        <f>+BC408</f>
        <v>0</v>
      </c>
      <c r="BC408" s="1433"/>
      <c r="BD408" s="1434"/>
      <c r="BE408" s="1423">
        <f>+BF408</f>
        <v>0</v>
      </c>
      <c r="BF408" s="1433"/>
      <c r="BG408" s="1434"/>
      <c r="BH408" s="1423">
        <f>+BI408</f>
        <v>0</v>
      </c>
      <c r="BI408" s="1433"/>
      <c r="BJ408" s="1434"/>
      <c r="BK408" s="1423">
        <f>+BL408</f>
        <v>0</v>
      </c>
      <c r="BL408" s="1433"/>
      <c r="BM408" s="1434"/>
      <c r="BN408" s="1423">
        <f>+BO408</f>
        <v>0</v>
      </c>
      <c r="BO408" s="1436"/>
      <c r="BP408" s="1434"/>
      <c r="BQ408" s="1423">
        <f>+BR408</f>
        <v>0</v>
      </c>
      <c r="BR408" s="1436"/>
      <c r="BS408" s="1434"/>
      <c r="BT408" s="1423">
        <f>+BU408</f>
        <v>0</v>
      </c>
      <c r="BU408" s="1436"/>
      <c r="BV408" s="1434"/>
      <c r="BW408" s="1423">
        <f>+BX408</f>
        <v>0</v>
      </c>
      <c r="BX408" s="1436"/>
      <c r="BY408" s="1434"/>
      <c r="BZ408" s="1423">
        <f>+CA408</f>
        <v>0</v>
      </c>
      <c r="CA408" s="1436"/>
      <c r="CB408" s="1434"/>
      <c r="CC408" s="1423">
        <f>+CD408</f>
        <v>0</v>
      </c>
      <c r="CD408" s="1436"/>
      <c r="CE408" s="1434"/>
      <c r="CF408" s="1423">
        <f>+CG408</f>
        <v>0</v>
      </c>
      <c r="CG408" s="1436"/>
      <c r="CH408" s="1434"/>
      <c r="CI408" s="1423">
        <f>+CJ408</f>
        <v>0</v>
      </c>
      <c r="CJ408" s="1436"/>
      <c r="CK408" s="1434"/>
      <c r="CL408" s="1423">
        <f>+CM408</f>
        <v>0</v>
      </c>
      <c r="CM408" s="1436"/>
      <c r="CN408" s="1434"/>
      <c r="CO408" s="1423">
        <f>+CP408</f>
        <v>0</v>
      </c>
      <c r="CP408" s="1436"/>
      <c r="CQ408" s="1434"/>
      <c r="CR408" s="1423">
        <f>+CS408</f>
        <v>0</v>
      </c>
      <c r="CS408" s="1436"/>
      <c r="CT408" s="1434"/>
      <c r="CU408" s="1423">
        <f>+CV408</f>
        <v>0</v>
      </c>
      <c r="CV408" s="1436"/>
      <c r="CW408" s="1434"/>
      <c r="CX408" s="1423">
        <f>+CY408</f>
        <v>0</v>
      </c>
      <c r="CY408" s="1436"/>
      <c r="CZ408" s="1434"/>
      <c r="DA408" s="1423">
        <f>+DB408</f>
        <v>0</v>
      </c>
      <c r="DB408" s="1436"/>
      <c r="DC408" s="1434"/>
      <c r="DD408" s="1423">
        <f>+DE408</f>
        <v>0</v>
      </c>
      <c r="DE408" s="1437"/>
      <c r="DF408" s="1434"/>
      <c r="DG408" s="1423">
        <f>+DH408</f>
        <v>0</v>
      </c>
      <c r="DH408" s="1437"/>
      <c r="DI408" s="1434"/>
      <c r="DJ408" s="1423">
        <f>+DK408</f>
        <v>0</v>
      </c>
      <c r="DK408" s="1437"/>
      <c r="DL408" s="1434"/>
      <c r="DM408" s="1423">
        <f>+DN408</f>
        <v>0</v>
      </c>
      <c r="DN408" s="1437"/>
      <c r="DO408" s="1434"/>
      <c r="DP408" s="1423">
        <f>+DQ408</f>
        <v>0</v>
      </c>
      <c r="DQ408" s="1437"/>
      <c r="DR408" s="1434"/>
      <c r="DS408" s="1423">
        <f>+DT408</f>
        <v>0</v>
      </c>
      <c r="DT408" s="1437"/>
      <c r="DU408" s="1434"/>
      <c r="DV408" s="1423">
        <f>+DW408</f>
        <v>0</v>
      </c>
      <c r="DW408" s="1437"/>
      <c r="DX408" s="1434"/>
      <c r="DY408" s="1423">
        <f>+DZ408</f>
        <v>0</v>
      </c>
      <c r="DZ408" s="1437"/>
      <c r="EA408" s="1434"/>
      <c r="EB408" s="1423">
        <f>+EC408</f>
        <v>0</v>
      </c>
      <c r="EC408" s="1437"/>
      <c r="ED408" s="1434"/>
      <c r="EE408" s="1423">
        <f>+EF408</f>
        <v>0</v>
      </c>
      <c r="EF408" s="1437"/>
      <c r="EG408" s="1434"/>
      <c r="EH408" s="1423">
        <f>+EI408</f>
        <v>0</v>
      </c>
      <c r="EI408" s="1437"/>
      <c r="EJ408" s="1434"/>
      <c r="EK408" s="1423">
        <f>+EL408</f>
        <v>0</v>
      </c>
      <c r="EL408" s="1437"/>
      <c r="EM408" s="1434"/>
      <c r="EN408" s="1423">
        <f>+EO408</f>
        <v>0</v>
      </c>
      <c r="EO408" s="1437"/>
      <c r="EP408" s="1434"/>
      <c r="EQ408" s="1423">
        <f>+ER408</f>
        <v>0</v>
      </c>
      <c r="ER408" s="1437"/>
      <c r="ES408" s="1434"/>
      <c r="ET408" s="1423">
        <f>+EU408</f>
        <v>0</v>
      </c>
      <c r="EU408" s="1437"/>
      <c r="EV408" s="1434"/>
      <c r="EW408" s="1423">
        <f>+EX408</f>
        <v>0</v>
      </c>
      <c r="EX408" s="1437"/>
      <c r="EY408" s="1434"/>
      <c r="EZ408" s="1423">
        <f>+FA408</f>
        <v>0</v>
      </c>
      <c r="FA408" s="1437"/>
      <c r="FD408"/>
      <c r="FE408"/>
      <c r="FF408"/>
      <c r="FG408"/>
      <c r="FH408"/>
      <c r="FI408"/>
    </row>
    <row r="409" spans="1:165" s="33" customFormat="1" outlineLevel="1">
      <c r="A409" s="58"/>
      <c r="B409" s="1338" t="s">
        <v>223</v>
      </c>
      <c r="C409" s="58"/>
      <c r="D409" s="58"/>
      <c r="E409" s="1438"/>
      <c r="F409" s="1342">
        <f>+G409-E409</f>
        <v>0</v>
      </c>
      <c r="G409" s="1439"/>
      <c r="H409" s="1440"/>
      <c r="I409" s="1342">
        <f>+J409-H409</f>
        <v>0</v>
      </c>
      <c r="J409" s="1439"/>
      <c r="K409" s="1440"/>
      <c r="L409" s="1342">
        <f>+M409-K409</f>
        <v>0</v>
      </c>
      <c r="M409" s="1439"/>
      <c r="N409" s="1440"/>
      <c r="O409" s="1342">
        <f>+P409-N409</f>
        <v>0</v>
      </c>
      <c r="P409" s="1439"/>
      <c r="Q409" s="1440"/>
      <c r="R409" s="1342">
        <f>+S409-Q409</f>
        <v>0</v>
      </c>
      <c r="S409" s="1439"/>
      <c r="T409" s="1440"/>
      <c r="U409" s="1342">
        <f>+V409-T409</f>
        <v>0</v>
      </c>
      <c r="V409" s="1439"/>
      <c r="W409" s="1440"/>
      <c r="X409" s="1342">
        <f>+Y409-W409</f>
        <v>0</v>
      </c>
      <c r="Y409" s="1439"/>
      <c r="Z409" s="1440"/>
      <c r="AA409" s="1342">
        <f>+AB409-Z409</f>
        <v>0</v>
      </c>
      <c r="AB409" s="1439"/>
      <c r="AC409" s="1440"/>
      <c r="AD409" s="1342">
        <f>+AE409-AC409</f>
        <v>0</v>
      </c>
      <c r="AE409" s="1439"/>
      <c r="AF409" s="1440"/>
      <c r="AG409" s="1342">
        <f>+AH409-AF409</f>
        <v>0</v>
      </c>
      <c r="AH409" s="1439"/>
      <c r="AI409" s="1440"/>
      <c r="AJ409" s="1342">
        <f>+AK409-AI409</f>
        <v>0</v>
      </c>
      <c r="AK409" s="1439"/>
      <c r="AL409" s="1440"/>
      <c r="AM409" s="1342">
        <f>+AN409-AL409</f>
        <v>0</v>
      </c>
      <c r="AN409" s="1439"/>
      <c r="AO409" s="1440"/>
      <c r="AP409" s="1342">
        <f>+AQ409-AO409</f>
        <v>0</v>
      </c>
      <c r="AQ409" s="1439"/>
      <c r="AR409" s="1440"/>
      <c r="AS409" s="1342">
        <f>+AT409-AR409</f>
        <v>0</v>
      </c>
      <c r="AT409" s="1439"/>
      <c r="AU409" s="1440"/>
      <c r="AV409" s="1342">
        <f>+AW409-AU409</f>
        <v>0</v>
      </c>
      <c r="AW409" s="1439"/>
      <c r="AX409" s="1440"/>
      <c r="AY409" s="1342">
        <f>+AZ409-AX409</f>
        <v>0</v>
      </c>
      <c r="AZ409" s="1439"/>
      <c r="BA409" s="1440"/>
      <c r="BB409" s="1342">
        <f>+BC409-BA409</f>
        <v>0</v>
      </c>
      <c r="BC409" s="1439"/>
      <c r="BD409" s="1440"/>
      <c r="BE409" s="1342">
        <f>+BF409-BD409</f>
        <v>0</v>
      </c>
      <c r="BF409" s="1439"/>
      <c r="BG409" s="1440"/>
      <c r="BH409" s="1342">
        <f>+BI409-BG409</f>
        <v>0</v>
      </c>
      <c r="BI409" s="1439"/>
      <c r="BJ409" s="1440"/>
      <c r="BK409" s="1342">
        <f>+BL409-BJ409</f>
        <v>0</v>
      </c>
      <c r="BL409" s="1439"/>
      <c r="BM409" s="1440"/>
      <c r="BN409" s="1342">
        <f>+BO409-BM409</f>
        <v>0</v>
      </c>
      <c r="BO409" s="1442"/>
      <c r="BP409" s="1440"/>
      <c r="BQ409" s="1342">
        <f>+BR409-BP409</f>
        <v>0</v>
      </c>
      <c r="BR409" s="1442"/>
      <c r="BS409" s="1440"/>
      <c r="BT409" s="1342">
        <f>+BU409-BS409</f>
        <v>0</v>
      </c>
      <c r="BU409" s="1442"/>
      <c r="BV409" s="1440"/>
      <c r="BW409" s="1342">
        <f>+BX409-BV409</f>
        <v>0</v>
      </c>
      <c r="BX409" s="1442"/>
      <c r="BY409" s="1440"/>
      <c r="BZ409" s="1342">
        <f>+CA409-BY409</f>
        <v>0</v>
      </c>
      <c r="CA409" s="1442"/>
      <c r="CB409" s="1440"/>
      <c r="CC409" s="1342">
        <f>+CD409-CB409</f>
        <v>0</v>
      </c>
      <c r="CD409" s="1442"/>
      <c r="CE409" s="1440"/>
      <c r="CF409" s="1342">
        <f>+CG409-CE409</f>
        <v>0</v>
      </c>
      <c r="CG409" s="1442"/>
      <c r="CH409" s="1440"/>
      <c r="CI409" s="1342">
        <f>+CJ409-CH409</f>
        <v>0</v>
      </c>
      <c r="CJ409" s="1442"/>
      <c r="CK409" s="1440"/>
      <c r="CL409" s="1342">
        <f>+CM409-CK409</f>
        <v>0</v>
      </c>
      <c r="CM409" s="1442"/>
      <c r="CN409" s="1440"/>
      <c r="CO409" s="1342">
        <f>+CP409-CN409</f>
        <v>0</v>
      </c>
      <c r="CP409" s="1442"/>
      <c r="CQ409" s="1440"/>
      <c r="CR409" s="1342">
        <f>+CS409-CQ409</f>
        <v>0</v>
      </c>
      <c r="CS409" s="1442"/>
      <c r="CT409" s="1440"/>
      <c r="CU409" s="1342">
        <f>+CV409-CT409</f>
        <v>0</v>
      </c>
      <c r="CV409" s="1442"/>
      <c r="CW409" s="1440"/>
      <c r="CX409" s="1342">
        <f>+CY409-CW409</f>
        <v>0</v>
      </c>
      <c r="CY409" s="1442"/>
      <c r="CZ409" s="1440"/>
      <c r="DA409" s="1342">
        <f>+DB409-CZ409</f>
        <v>0</v>
      </c>
      <c r="DB409" s="1442"/>
      <c r="DC409" s="1440"/>
      <c r="DD409" s="1342">
        <f>+DE409-DC409</f>
        <v>0</v>
      </c>
      <c r="DE409" s="1443"/>
      <c r="DF409" s="1440"/>
      <c r="DG409" s="1342">
        <f>+DH409-DF409</f>
        <v>0</v>
      </c>
      <c r="DH409" s="1443"/>
      <c r="DI409" s="1440"/>
      <c r="DJ409" s="1342">
        <f>+DK409-DI409</f>
        <v>0</v>
      </c>
      <c r="DK409" s="1443"/>
      <c r="DL409" s="1440"/>
      <c r="DM409" s="1342">
        <f>+DN409-DL409</f>
        <v>0</v>
      </c>
      <c r="DN409" s="1443"/>
      <c r="DO409" s="1440"/>
      <c r="DP409" s="1342">
        <f>+DQ409-DO409</f>
        <v>0</v>
      </c>
      <c r="DQ409" s="1443"/>
      <c r="DR409" s="1440"/>
      <c r="DS409" s="1342">
        <f>+DT409-DR409</f>
        <v>0</v>
      </c>
      <c r="DT409" s="1443"/>
      <c r="DU409" s="1440"/>
      <c r="DV409" s="1342">
        <f>+DW409-DU409</f>
        <v>0</v>
      </c>
      <c r="DW409" s="1443"/>
      <c r="DX409" s="1440"/>
      <c r="DY409" s="1342">
        <f>+DZ409-DX409</f>
        <v>0</v>
      </c>
      <c r="DZ409" s="1443"/>
      <c r="EA409" s="1440"/>
      <c r="EB409" s="1342">
        <f>+EC409-EA409</f>
        <v>0</v>
      </c>
      <c r="EC409" s="1443"/>
      <c r="ED409" s="1440"/>
      <c r="EE409" s="1342">
        <f>+EF409-ED409</f>
        <v>0</v>
      </c>
      <c r="EF409" s="1443"/>
      <c r="EG409" s="1440"/>
      <c r="EH409" s="1342">
        <f>+EI409-EG409</f>
        <v>0</v>
      </c>
      <c r="EI409" s="1443"/>
      <c r="EJ409" s="1440"/>
      <c r="EK409" s="1342">
        <f>+EL409-EJ409</f>
        <v>0</v>
      </c>
      <c r="EL409" s="1443"/>
      <c r="EM409" s="1440"/>
      <c r="EN409" s="1342">
        <f>+EO409-EM409</f>
        <v>0</v>
      </c>
      <c r="EO409" s="1443"/>
      <c r="EP409" s="1440"/>
      <c r="EQ409" s="1342">
        <f>+ER409-EP409</f>
        <v>0</v>
      </c>
      <c r="ER409" s="1443"/>
      <c r="ES409" s="1440"/>
      <c r="ET409" s="1342">
        <f>+EU409-ES409</f>
        <v>0</v>
      </c>
      <c r="EU409" s="1443"/>
      <c r="EV409" s="1440"/>
      <c r="EW409" s="1342">
        <f>+EX409-EV409</f>
        <v>0</v>
      </c>
      <c r="EX409" s="1443"/>
      <c r="EY409" s="1440"/>
      <c r="EZ409" s="1342">
        <f>+FA409-EY409</f>
        <v>0</v>
      </c>
      <c r="FA409" s="1443"/>
      <c r="FD409"/>
      <c r="FE409"/>
      <c r="FF409"/>
      <c r="FG409"/>
      <c r="FH409"/>
      <c r="FI409"/>
    </row>
    <row r="410" spans="1:165" s="1456" customFormat="1" ht="13.5" outlineLevel="1" thickBot="1">
      <c r="A410" s="1455"/>
      <c r="B410" s="1338" t="s">
        <v>226</v>
      </c>
      <c r="C410" s="1455"/>
      <c r="D410" s="1455"/>
      <c r="E410" s="1444" t="s">
        <v>227</v>
      </c>
      <c r="F410" s="1021"/>
      <c r="G410" s="1445" t="str">
        <f>+E410</f>
        <v>N</v>
      </c>
      <c r="H410" s="1446" t="str">
        <f>G410</f>
        <v>N</v>
      </c>
      <c r="I410" s="1021"/>
      <c r="J410" s="1445" t="str">
        <f>+H410</f>
        <v>N</v>
      </c>
      <c r="K410" s="1446" t="str">
        <f>J410</f>
        <v>N</v>
      </c>
      <c r="L410" s="1021"/>
      <c r="M410" s="1445" t="str">
        <f>+K410</f>
        <v>N</v>
      </c>
      <c r="N410" s="1446" t="str">
        <f>M410</f>
        <v>N</v>
      </c>
      <c r="O410" s="1021"/>
      <c r="P410" s="1445" t="str">
        <f>+N410</f>
        <v>N</v>
      </c>
      <c r="Q410" s="1446" t="str">
        <f>P410</f>
        <v>N</v>
      </c>
      <c r="R410" s="1021"/>
      <c r="S410" s="1445" t="str">
        <f>+Q410</f>
        <v>N</v>
      </c>
      <c r="T410" s="1446" t="str">
        <f>S410</f>
        <v>N</v>
      </c>
      <c r="U410" s="1021"/>
      <c r="V410" s="1445" t="str">
        <f>+T410</f>
        <v>N</v>
      </c>
      <c r="W410" s="1446" t="str">
        <f>V410</f>
        <v>N</v>
      </c>
      <c r="X410" s="1021"/>
      <c r="Y410" s="1445" t="str">
        <f>+W410</f>
        <v>N</v>
      </c>
      <c r="Z410" s="1446" t="str">
        <f>Y410</f>
        <v>N</v>
      </c>
      <c r="AA410" s="1021"/>
      <c r="AB410" s="1445" t="str">
        <f>+Z410</f>
        <v>N</v>
      </c>
      <c r="AC410" s="1446" t="str">
        <f>AB410</f>
        <v>N</v>
      </c>
      <c r="AD410" s="1021"/>
      <c r="AE410" s="1445" t="str">
        <f>+AC410</f>
        <v>N</v>
      </c>
      <c r="AF410" s="1446" t="str">
        <f>AE410</f>
        <v>N</v>
      </c>
      <c r="AG410" s="1021"/>
      <c r="AH410" s="1445" t="str">
        <f>+AF410</f>
        <v>N</v>
      </c>
      <c r="AI410" s="1446" t="str">
        <f>AH410</f>
        <v>N</v>
      </c>
      <c r="AJ410" s="1021"/>
      <c r="AK410" s="1445" t="str">
        <f>+AI410</f>
        <v>N</v>
      </c>
      <c r="AL410" s="1446" t="str">
        <f>AK410</f>
        <v>N</v>
      </c>
      <c r="AM410" s="1021"/>
      <c r="AN410" s="1445" t="str">
        <f>+AL410</f>
        <v>N</v>
      </c>
      <c r="AO410" s="1446" t="str">
        <f>AN410</f>
        <v>N</v>
      </c>
      <c r="AP410" s="1021"/>
      <c r="AQ410" s="1445" t="str">
        <f>+AO410</f>
        <v>N</v>
      </c>
      <c r="AR410" s="1446" t="str">
        <f>AQ410</f>
        <v>N</v>
      </c>
      <c r="AS410" s="1021"/>
      <c r="AT410" s="1445" t="str">
        <f>+AR410</f>
        <v>N</v>
      </c>
      <c r="AU410" s="1446" t="str">
        <f>AT410</f>
        <v>N</v>
      </c>
      <c r="AV410" s="1021"/>
      <c r="AW410" s="1445" t="str">
        <f>+AU410</f>
        <v>N</v>
      </c>
      <c r="AX410" s="1446" t="str">
        <f>AW410</f>
        <v>N</v>
      </c>
      <c r="AY410" s="1021"/>
      <c r="AZ410" s="1445" t="str">
        <f>+AX410</f>
        <v>N</v>
      </c>
      <c r="BA410" s="1446" t="str">
        <f>AZ410</f>
        <v>N</v>
      </c>
      <c r="BB410" s="1021"/>
      <c r="BC410" s="1445" t="str">
        <f>+BA410</f>
        <v>N</v>
      </c>
      <c r="BD410" s="1446" t="str">
        <f>BC410</f>
        <v>N</v>
      </c>
      <c r="BE410" s="1021"/>
      <c r="BF410" s="1445" t="str">
        <f>+BD410</f>
        <v>N</v>
      </c>
      <c r="BG410" s="1446" t="str">
        <f>BF410</f>
        <v>N</v>
      </c>
      <c r="BH410" s="1021"/>
      <c r="BI410" s="1445" t="str">
        <f>+BG410</f>
        <v>N</v>
      </c>
      <c r="BJ410" s="1446" t="str">
        <f>BI410</f>
        <v>N</v>
      </c>
      <c r="BK410" s="1021"/>
      <c r="BL410" s="1445" t="str">
        <f>+BJ410</f>
        <v>N</v>
      </c>
      <c r="BM410" s="1446" t="str">
        <f>BL410</f>
        <v>N</v>
      </c>
      <c r="BN410" s="1021"/>
      <c r="BO410" s="1448" t="str">
        <f>+BM410</f>
        <v>N</v>
      </c>
      <c r="BP410" s="1446" t="str">
        <f>BO410</f>
        <v>N</v>
      </c>
      <c r="BQ410" s="1021"/>
      <c r="BR410" s="1448" t="str">
        <f>+BP410</f>
        <v>N</v>
      </c>
      <c r="BS410" s="1446" t="str">
        <f>BR410</f>
        <v>N</v>
      </c>
      <c r="BT410" s="1021"/>
      <c r="BU410" s="1448" t="str">
        <f>+BS410</f>
        <v>N</v>
      </c>
      <c r="BV410" s="1446" t="str">
        <f>BU410</f>
        <v>N</v>
      </c>
      <c r="BW410" s="1021"/>
      <c r="BX410" s="1448" t="str">
        <f>+BV410</f>
        <v>N</v>
      </c>
      <c r="BY410" s="1446" t="str">
        <f>BX410</f>
        <v>N</v>
      </c>
      <c r="BZ410" s="1021"/>
      <c r="CA410" s="1448" t="str">
        <f>+BY410</f>
        <v>N</v>
      </c>
      <c r="CB410" s="1446" t="str">
        <f>CA410</f>
        <v>N</v>
      </c>
      <c r="CC410" s="1021"/>
      <c r="CD410" s="1448" t="str">
        <f>+CB410</f>
        <v>N</v>
      </c>
      <c r="CE410" s="1446" t="str">
        <f>CD410</f>
        <v>N</v>
      </c>
      <c r="CF410" s="1021"/>
      <c r="CG410" s="1448" t="str">
        <f>+CE410</f>
        <v>N</v>
      </c>
      <c r="CH410" s="1446" t="str">
        <f>CG410</f>
        <v>N</v>
      </c>
      <c r="CI410" s="1021"/>
      <c r="CJ410" s="1448" t="str">
        <f>+CH410</f>
        <v>N</v>
      </c>
      <c r="CK410" s="1446" t="str">
        <f>CJ410</f>
        <v>N</v>
      </c>
      <c r="CL410" s="1021"/>
      <c r="CM410" s="1448" t="str">
        <f>+CK410</f>
        <v>N</v>
      </c>
      <c r="CN410" s="1446" t="str">
        <f>CM410</f>
        <v>N</v>
      </c>
      <c r="CO410" s="1021"/>
      <c r="CP410" s="1448" t="str">
        <f>+CN410</f>
        <v>N</v>
      </c>
      <c r="CQ410" s="1446" t="str">
        <f>CP410</f>
        <v>N</v>
      </c>
      <c r="CR410" s="1021"/>
      <c r="CS410" s="1448" t="str">
        <f>+CQ410</f>
        <v>N</v>
      </c>
      <c r="CT410" s="1446" t="str">
        <f>CS410</f>
        <v>N</v>
      </c>
      <c r="CU410" s="1021"/>
      <c r="CV410" s="1448" t="str">
        <f>+CT410</f>
        <v>N</v>
      </c>
      <c r="CW410" s="1446" t="str">
        <f>CV410</f>
        <v>N</v>
      </c>
      <c r="CX410" s="1021"/>
      <c r="CY410" s="1448" t="str">
        <f>+CW410</f>
        <v>N</v>
      </c>
      <c r="CZ410" s="1446" t="str">
        <f>CY410</f>
        <v>N</v>
      </c>
      <c r="DA410" s="1021"/>
      <c r="DB410" s="1448" t="str">
        <f>+CZ410</f>
        <v>N</v>
      </c>
      <c r="DC410" s="1446" t="str">
        <f>DB410</f>
        <v>N</v>
      </c>
      <c r="DD410" s="1021"/>
      <c r="DE410" s="1449" t="str">
        <f>+DC410</f>
        <v>N</v>
      </c>
      <c r="DF410" s="1446" t="str">
        <f>DE410</f>
        <v>N</v>
      </c>
      <c r="DG410" s="1021"/>
      <c r="DH410" s="1449" t="str">
        <f>+DF410</f>
        <v>N</v>
      </c>
      <c r="DI410" s="1446" t="str">
        <f>DH410</f>
        <v>N</v>
      </c>
      <c r="DJ410" s="1021"/>
      <c r="DK410" s="1449" t="str">
        <f>+DI410</f>
        <v>N</v>
      </c>
      <c r="DL410" s="1446" t="str">
        <f>DK410</f>
        <v>N</v>
      </c>
      <c r="DM410" s="1021"/>
      <c r="DN410" s="1449" t="str">
        <f>+DL410</f>
        <v>N</v>
      </c>
      <c r="DO410" s="1446" t="str">
        <f>DN410</f>
        <v>N</v>
      </c>
      <c r="DP410" s="1021"/>
      <c r="DQ410" s="1449" t="str">
        <f>+DO410</f>
        <v>N</v>
      </c>
      <c r="DR410" s="1446" t="str">
        <f>DQ410</f>
        <v>N</v>
      </c>
      <c r="DS410" s="1021"/>
      <c r="DT410" s="1449" t="str">
        <f>+DR410</f>
        <v>N</v>
      </c>
      <c r="DU410" s="1446" t="str">
        <f>DT410</f>
        <v>N</v>
      </c>
      <c r="DV410" s="1021"/>
      <c r="DW410" s="1449" t="str">
        <f>+DU410</f>
        <v>N</v>
      </c>
      <c r="DX410" s="1446" t="str">
        <f>DW410</f>
        <v>N</v>
      </c>
      <c r="DY410" s="1021"/>
      <c r="DZ410" s="1449" t="str">
        <f>+DX410</f>
        <v>N</v>
      </c>
      <c r="EA410" s="1446" t="str">
        <f>DZ410</f>
        <v>N</v>
      </c>
      <c r="EB410" s="1021"/>
      <c r="EC410" s="1449" t="str">
        <f>+EA410</f>
        <v>N</v>
      </c>
      <c r="ED410" s="1446" t="str">
        <f>EC410</f>
        <v>N</v>
      </c>
      <c r="EE410" s="1021"/>
      <c r="EF410" s="1449" t="str">
        <f>+ED410</f>
        <v>N</v>
      </c>
      <c r="EG410" s="1446" t="str">
        <f>EF410</f>
        <v>N</v>
      </c>
      <c r="EH410" s="1021"/>
      <c r="EI410" s="1449" t="str">
        <f>+EG410</f>
        <v>N</v>
      </c>
      <c r="EJ410" s="1446" t="str">
        <f>EI410</f>
        <v>N</v>
      </c>
      <c r="EK410" s="1021"/>
      <c r="EL410" s="1449" t="str">
        <f>+EJ410</f>
        <v>N</v>
      </c>
      <c r="EM410" s="1446" t="str">
        <f>EL410</f>
        <v>N</v>
      </c>
      <c r="EN410" s="1021"/>
      <c r="EO410" s="1449" t="str">
        <f>+EM410</f>
        <v>N</v>
      </c>
      <c r="EP410" s="1446" t="str">
        <f>EO410</f>
        <v>N</v>
      </c>
      <c r="EQ410" s="1021"/>
      <c r="ER410" s="1449" t="str">
        <f>+EP410</f>
        <v>N</v>
      </c>
      <c r="ES410" s="1446" t="str">
        <f>ER410</f>
        <v>N</v>
      </c>
      <c r="ET410" s="1021"/>
      <c r="EU410" s="1449" t="str">
        <f>+ES410</f>
        <v>N</v>
      </c>
      <c r="EV410" s="1446" t="str">
        <f>EU410</f>
        <v>N</v>
      </c>
      <c r="EW410" s="1021"/>
      <c r="EX410" s="1449" t="str">
        <f>+EV410</f>
        <v>N</v>
      </c>
      <c r="EY410" s="1446" t="str">
        <f>EX410</f>
        <v>N</v>
      </c>
      <c r="EZ410" s="1021"/>
      <c r="FA410" s="1449" t="str">
        <f>+EY410</f>
        <v>N</v>
      </c>
      <c r="FD410"/>
      <c r="FE410"/>
      <c r="FF410"/>
      <c r="FG410"/>
      <c r="FH410"/>
      <c r="FI410"/>
    </row>
    <row r="411" spans="1:165" s="33" customFormat="1" ht="13.5" outlineLevel="1" thickBot="1">
      <c r="A411" s="58"/>
      <c r="B411" s="58"/>
      <c r="C411" s="58"/>
      <c r="D411" s="58"/>
      <c r="E411" s="1450"/>
      <c r="F411" s="1450"/>
      <c r="G411" s="1451"/>
      <c r="H411" s="1450"/>
      <c r="I411" s="1450"/>
      <c r="J411" s="1451"/>
      <c r="K411" s="1450"/>
      <c r="L411" s="1450"/>
      <c r="M411" s="1451"/>
      <c r="N411" s="1450"/>
      <c r="O411" s="1450"/>
      <c r="P411" s="1451"/>
      <c r="Q411" s="1452"/>
      <c r="R411" s="1452"/>
      <c r="S411" s="1453"/>
      <c r="T411" s="1452"/>
      <c r="U411" s="1452"/>
      <c r="V411" s="1451"/>
      <c r="W411" s="1450"/>
      <c r="X411" s="1450"/>
      <c r="Y411" s="1451"/>
      <c r="Z411" s="1450"/>
      <c r="AA411" s="1450"/>
      <c r="AB411" s="1451"/>
      <c r="AC411" s="1450"/>
      <c r="AD411" s="1450"/>
      <c r="AE411" s="1451"/>
      <c r="AF411" s="1450"/>
      <c r="AG411" s="1450"/>
      <c r="AH411" s="1451"/>
      <c r="AI411" s="1450"/>
      <c r="AJ411" s="1450"/>
      <c r="AK411" s="1451"/>
      <c r="AL411" s="1450"/>
      <c r="AM411" s="1450"/>
      <c r="AN411" s="1451"/>
      <c r="AO411" s="1450"/>
      <c r="AP411" s="1450"/>
      <c r="AQ411" s="1451"/>
      <c r="AR411" s="1450"/>
      <c r="AS411" s="1450"/>
      <c r="AT411" s="1451"/>
      <c r="AU411" s="1450"/>
      <c r="AV411" s="1450"/>
      <c r="AW411" s="1451"/>
      <c r="AX411" s="1450"/>
      <c r="AY411" s="1450"/>
      <c r="AZ411" s="1451"/>
      <c r="BA411" s="1450"/>
      <c r="BB411" s="1450"/>
      <c r="BC411" s="1451"/>
      <c r="BD411" s="1450"/>
      <c r="BE411" s="1450"/>
      <c r="BF411" s="1451"/>
      <c r="BG411" s="1450"/>
      <c r="BH411" s="1450"/>
      <c r="BI411" s="1451"/>
      <c r="BJ411" s="1450"/>
      <c r="BK411" s="1450"/>
      <c r="BL411" s="1451"/>
      <c r="BM411" s="1450"/>
      <c r="BN411" s="1450"/>
      <c r="BO411" s="1451"/>
      <c r="BP411" s="1450"/>
      <c r="BQ411" s="1450"/>
      <c r="BR411" s="1451"/>
      <c r="BS411" s="1450"/>
      <c r="BT411" s="1450"/>
      <c r="BU411" s="1451"/>
      <c r="BV411" s="1450"/>
      <c r="BW411" s="1450"/>
      <c r="BX411" s="1451"/>
      <c r="BY411" s="1450"/>
      <c r="BZ411" s="1450"/>
      <c r="CA411" s="1451"/>
      <c r="CB411" s="1450"/>
      <c r="CC411" s="1450"/>
      <c r="CD411" s="1451"/>
      <c r="CE411" s="1450"/>
      <c r="CF411" s="1450"/>
      <c r="CG411" s="1451"/>
      <c r="CH411" s="1450"/>
      <c r="CI411" s="1450"/>
      <c r="CJ411" s="1451"/>
      <c r="CK411" s="1450"/>
      <c r="CL411" s="1450"/>
      <c r="CM411" s="1451"/>
      <c r="CN411" s="1450"/>
      <c r="CO411" s="1450"/>
      <c r="CP411" s="1451"/>
      <c r="CQ411" s="1450"/>
      <c r="CR411" s="1450"/>
      <c r="CS411" s="1451"/>
      <c r="CT411" s="1450"/>
      <c r="CU411" s="1450"/>
      <c r="CV411" s="1451"/>
      <c r="CW411" s="1450"/>
      <c r="CX411" s="1450"/>
      <c r="CY411" s="1451"/>
      <c r="CZ411" s="1450"/>
      <c r="DA411" s="1450"/>
      <c r="DB411" s="1451"/>
      <c r="DC411" s="1450"/>
      <c r="DD411" s="1450"/>
      <c r="DE411" s="1454"/>
      <c r="DF411" s="1450"/>
      <c r="DG411" s="1450"/>
      <c r="DH411" s="1454"/>
      <c r="DI411" s="1450"/>
      <c r="DJ411" s="1450"/>
      <c r="DK411" s="1454"/>
      <c r="DL411" s="1450"/>
      <c r="DM411" s="1450"/>
      <c r="DN411" s="1454"/>
      <c r="DO411" s="1450"/>
      <c r="DP411" s="1450"/>
      <c r="DQ411" s="1454"/>
      <c r="DR411" s="1450"/>
      <c r="DS411" s="1450"/>
      <c r="DT411" s="1454"/>
      <c r="DU411" s="1450"/>
      <c r="DV411" s="1450"/>
      <c r="DW411" s="1454"/>
      <c r="DX411" s="1450"/>
      <c r="DY411" s="1450"/>
      <c r="DZ411" s="1454"/>
      <c r="EA411" s="1450"/>
      <c r="EB411" s="1450"/>
      <c r="EC411" s="1454"/>
      <c r="ED411" s="1450"/>
      <c r="EE411" s="1450"/>
      <c r="EF411" s="1454"/>
      <c r="EG411" s="1450"/>
      <c r="EH411" s="1450"/>
      <c r="EI411" s="1454"/>
      <c r="EJ411" s="1450"/>
      <c r="EK411" s="1450"/>
      <c r="EL411" s="1454"/>
      <c r="EM411" s="1450"/>
      <c r="EN411" s="1450"/>
      <c r="EO411" s="1454"/>
      <c r="EP411" s="1450"/>
      <c r="EQ411" s="1450"/>
      <c r="ER411" s="1454"/>
      <c r="ES411" s="1450"/>
      <c r="ET411" s="1450"/>
      <c r="EU411" s="1454"/>
      <c r="EV411" s="1450"/>
      <c r="EW411" s="1450"/>
      <c r="EX411" s="1454"/>
      <c r="EY411" s="1450"/>
      <c r="EZ411" s="1450"/>
      <c r="FA411" s="1454"/>
      <c r="FD411"/>
      <c r="FE411"/>
      <c r="FF411"/>
      <c r="FG411"/>
      <c r="FH411"/>
      <c r="FI411"/>
    </row>
    <row r="412" spans="1:165" s="33" customFormat="1" outlineLevel="1">
      <c r="A412" s="58"/>
      <c r="B412" s="1338" t="s">
        <v>229</v>
      </c>
      <c r="C412" s="58"/>
      <c r="D412" s="58"/>
      <c r="E412" s="1422"/>
      <c r="F412" s="1423">
        <f>+G412</f>
        <v>0</v>
      </c>
      <c r="G412" s="1424"/>
      <c r="H412" s="1425"/>
      <c r="I412" s="1423">
        <f>+J412</f>
        <v>0</v>
      </c>
      <c r="J412" s="1424"/>
      <c r="K412" s="1425"/>
      <c r="L412" s="1423">
        <f>+M412</f>
        <v>0</v>
      </c>
      <c r="M412" s="1424"/>
      <c r="N412" s="1425"/>
      <c r="O412" s="1423">
        <f>+P412</f>
        <v>0</v>
      </c>
      <c r="P412" s="1424"/>
      <c r="Q412" s="1425"/>
      <c r="R412" s="1423">
        <f>+S412</f>
        <v>0</v>
      </c>
      <c r="S412" s="1424"/>
      <c r="T412" s="1425"/>
      <c r="U412" s="1423">
        <f>+V412</f>
        <v>0</v>
      </c>
      <c r="V412" s="1424"/>
      <c r="W412" s="1425"/>
      <c r="X412" s="1423">
        <f>+Y412</f>
        <v>0</v>
      </c>
      <c r="Y412" s="1424"/>
      <c r="Z412" s="1425"/>
      <c r="AA412" s="1423">
        <f>+AB412</f>
        <v>0</v>
      </c>
      <c r="AB412" s="1424"/>
      <c r="AC412" s="1425"/>
      <c r="AD412" s="1423">
        <f>+AE412</f>
        <v>0</v>
      </c>
      <c r="AE412" s="1424"/>
      <c r="AF412" s="1425"/>
      <c r="AG412" s="1423">
        <f>+AH412</f>
        <v>0</v>
      </c>
      <c r="AH412" s="1424"/>
      <c r="AI412" s="1425"/>
      <c r="AJ412" s="1423">
        <f>+AK412</f>
        <v>0</v>
      </c>
      <c r="AK412" s="1424"/>
      <c r="AL412" s="1425"/>
      <c r="AM412" s="1423">
        <f>+AN412</f>
        <v>0</v>
      </c>
      <c r="AN412" s="1424"/>
      <c r="AO412" s="1425"/>
      <c r="AP412" s="1423">
        <f>+AQ412</f>
        <v>0</v>
      </c>
      <c r="AQ412" s="1424"/>
      <c r="AR412" s="1425"/>
      <c r="AS412" s="1423">
        <f>+AT412</f>
        <v>0</v>
      </c>
      <c r="AT412" s="1424"/>
      <c r="AU412" s="1425"/>
      <c r="AV412" s="1423">
        <f>+AW412</f>
        <v>0</v>
      </c>
      <c r="AW412" s="1424"/>
      <c r="AX412" s="1425"/>
      <c r="AY412" s="1423">
        <f>+AZ412</f>
        <v>0</v>
      </c>
      <c r="AZ412" s="1424"/>
      <c r="BA412" s="1425"/>
      <c r="BB412" s="1423">
        <f>+BC412</f>
        <v>0</v>
      </c>
      <c r="BC412" s="1424"/>
      <c r="BD412" s="1425"/>
      <c r="BE412" s="1423">
        <f>+BF412</f>
        <v>0</v>
      </c>
      <c r="BF412" s="1424"/>
      <c r="BG412" s="1425"/>
      <c r="BH412" s="1423">
        <f>+BI412</f>
        <v>0</v>
      </c>
      <c r="BI412" s="1424"/>
      <c r="BJ412" s="1425"/>
      <c r="BK412" s="1423">
        <f>+BL412</f>
        <v>0</v>
      </c>
      <c r="BL412" s="1424"/>
      <c r="BM412" s="1425"/>
      <c r="BN412" s="1423">
        <f>+BO412</f>
        <v>0</v>
      </c>
      <c r="BO412" s="1427"/>
      <c r="BP412" s="1425"/>
      <c r="BQ412" s="1423">
        <f>+BR412</f>
        <v>0</v>
      </c>
      <c r="BR412" s="1427"/>
      <c r="BS412" s="1425"/>
      <c r="BT412" s="1423">
        <f>+BU412</f>
        <v>0</v>
      </c>
      <c r="BU412" s="1427"/>
      <c r="BV412" s="1425"/>
      <c r="BW412" s="1423">
        <f>+BX412</f>
        <v>0</v>
      </c>
      <c r="BX412" s="1427"/>
      <c r="BY412" s="1425"/>
      <c r="BZ412" s="1423">
        <f>+CA412</f>
        <v>0</v>
      </c>
      <c r="CA412" s="1427"/>
      <c r="CB412" s="1425"/>
      <c r="CC412" s="1423">
        <f>+CD412</f>
        <v>0</v>
      </c>
      <c r="CD412" s="1427"/>
      <c r="CE412" s="1425"/>
      <c r="CF412" s="1423">
        <f>+CG412</f>
        <v>0</v>
      </c>
      <c r="CG412" s="1427"/>
      <c r="CH412" s="1425"/>
      <c r="CI412" s="1423">
        <f>+CJ412</f>
        <v>0</v>
      </c>
      <c r="CJ412" s="1427"/>
      <c r="CK412" s="1425"/>
      <c r="CL412" s="1423">
        <f>+CM412</f>
        <v>0</v>
      </c>
      <c r="CM412" s="1427"/>
      <c r="CN412" s="1425"/>
      <c r="CO412" s="1423">
        <f>+CP412</f>
        <v>0</v>
      </c>
      <c r="CP412" s="1427"/>
      <c r="CQ412" s="1425"/>
      <c r="CR412" s="1423">
        <f>+CS412</f>
        <v>0</v>
      </c>
      <c r="CS412" s="1427"/>
      <c r="CT412" s="1425"/>
      <c r="CU412" s="1423">
        <f>+CV412</f>
        <v>0</v>
      </c>
      <c r="CV412" s="1427"/>
      <c r="CW412" s="1425"/>
      <c r="CX412" s="1423">
        <f>+CY412</f>
        <v>0</v>
      </c>
      <c r="CY412" s="1427"/>
      <c r="CZ412" s="1425"/>
      <c r="DA412" s="1423">
        <f>+DB412</f>
        <v>0</v>
      </c>
      <c r="DB412" s="1427"/>
      <c r="DC412" s="1425"/>
      <c r="DD412" s="1423">
        <f>+DE412</f>
        <v>0</v>
      </c>
      <c r="DE412" s="1430"/>
      <c r="DF412" s="1425"/>
      <c r="DG412" s="1423">
        <f>+DH412</f>
        <v>0</v>
      </c>
      <c r="DH412" s="1430"/>
      <c r="DI412" s="1425"/>
      <c r="DJ412" s="1423">
        <f>+DK412</f>
        <v>0</v>
      </c>
      <c r="DK412" s="1430"/>
      <c r="DL412" s="1425"/>
      <c r="DM412" s="1423">
        <f>+DN412</f>
        <v>0</v>
      </c>
      <c r="DN412" s="1430"/>
      <c r="DO412" s="1425"/>
      <c r="DP412" s="1423">
        <f>+DQ412</f>
        <v>0</v>
      </c>
      <c r="DQ412" s="1430"/>
      <c r="DR412" s="1425"/>
      <c r="DS412" s="1423">
        <f>+DT412</f>
        <v>0</v>
      </c>
      <c r="DT412" s="1430"/>
      <c r="DU412" s="1425"/>
      <c r="DV412" s="1423">
        <f>+DW412</f>
        <v>0</v>
      </c>
      <c r="DW412" s="1430"/>
      <c r="DX412" s="1425"/>
      <c r="DY412" s="1423">
        <f>+DZ412</f>
        <v>0</v>
      </c>
      <c r="DZ412" s="1430"/>
      <c r="EA412" s="1425"/>
      <c r="EB412" s="1423">
        <f>+EC412</f>
        <v>0</v>
      </c>
      <c r="EC412" s="1430"/>
      <c r="ED412" s="1425"/>
      <c r="EE412" s="1423">
        <f>+EF412</f>
        <v>0</v>
      </c>
      <c r="EF412" s="1430"/>
      <c r="EG412" s="1425"/>
      <c r="EH412" s="1423">
        <f>+EI412</f>
        <v>0</v>
      </c>
      <c r="EI412" s="1430"/>
      <c r="EJ412" s="1425"/>
      <c r="EK412" s="1423">
        <f>+EL412</f>
        <v>0</v>
      </c>
      <c r="EL412" s="1430"/>
      <c r="EM412" s="1425"/>
      <c r="EN412" s="1423">
        <f>+EO412</f>
        <v>0</v>
      </c>
      <c r="EO412" s="1430"/>
      <c r="EP412" s="1425"/>
      <c r="EQ412" s="1423">
        <f>+ER412</f>
        <v>0</v>
      </c>
      <c r="ER412" s="1430"/>
      <c r="ES412" s="1425"/>
      <c r="ET412" s="1423">
        <f>+EU412</f>
        <v>0</v>
      </c>
      <c r="EU412" s="1430"/>
      <c r="EV412" s="1425"/>
      <c r="EW412" s="1423">
        <f>+EX412</f>
        <v>0</v>
      </c>
      <c r="EX412" s="1430"/>
      <c r="EY412" s="1425"/>
      <c r="EZ412" s="1423">
        <f>+FA412</f>
        <v>0</v>
      </c>
      <c r="FA412" s="1430"/>
      <c r="FD412"/>
      <c r="FE412"/>
      <c r="FF412"/>
      <c r="FG412"/>
      <c r="FH412"/>
      <c r="FI412"/>
    </row>
    <row r="413" spans="1:165" s="35" customFormat="1" outlineLevel="1">
      <c r="B413" s="1338" t="s">
        <v>50</v>
      </c>
      <c r="C413" s="1338"/>
      <c r="D413" s="1339"/>
      <c r="E413" s="1432"/>
      <c r="F413" s="1423">
        <f>+G413</f>
        <v>0</v>
      </c>
      <c r="G413" s="1433"/>
      <c r="H413" s="1434"/>
      <c r="I413" s="1423">
        <f>+J413</f>
        <v>0</v>
      </c>
      <c r="J413" s="1433"/>
      <c r="K413" s="1434"/>
      <c r="L413" s="1423">
        <f>+M413</f>
        <v>0</v>
      </c>
      <c r="M413" s="1433"/>
      <c r="N413" s="1434"/>
      <c r="O413" s="1423">
        <f>+P413</f>
        <v>0</v>
      </c>
      <c r="P413" s="1433"/>
      <c r="Q413" s="1434"/>
      <c r="R413" s="1423">
        <f>+S413</f>
        <v>0</v>
      </c>
      <c r="S413" s="1433"/>
      <c r="T413" s="1434"/>
      <c r="U413" s="1423">
        <f>+V413</f>
        <v>0</v>
      </c>
      <c r="V413" s="1433"/>
      <c r="W413" s="1434"/>
      <c r="X413" s="1423">
        <f>+Y413</f>
        <v>0</v>
      </c>
      <c r="Y413" s="1433"/>
      <c r="Z413" s="1434"/>
      <c r="AA413" s="1423">
        <f>+AB413</f>
        <v>0</v>
      </c>
      <c r="AB413" s="1433"/>
      <c r="AC413" s="1434"/>
      <c r="AD413" s="1423">
        <f>+AE413</f>
        <v>0</v>
      </c>
      <c r="AE413" s="1433"/>
      <c r="AF413" s="1434"/>
      <c r="AG413" s="1423">
        <f>+AH413</f>
        <v>0</v>
      </c>
      <c r="AH413" s="1433"/>
      <c r="AI413" s="1434"/>
      <c r="AJ413" s="1423">
        <f>+AK413</f>
        <v>0</v>
      </c>
      <c r="AK413" s="1433"/>
      <c r="AL413" s="1434"/>
      <c r="AM413" s="1423">
        <f>+AN413</f>
        <v>0</v>
      </c>
      <c r="AN413" s="1433"/>
      <c r="AO413" s="1434"/>
      <c r="AP413" s="1423">
        <f>+AQ413</f>
        <v>0</v>
      </c>
      <c r="AQ413" s="1433"/>
      <c r="AR413" s="1434"/>
      <c r="AS413" s="1423">
        <f>+AT413</f>
        <v>0</v>
      </c>
      <c r="AT413" s="1433"/>
      <c r="AU413" s="1434"/>
      <c r="AV413" s="1423">
        <f>+AW413</f>
        <v>0</v>
      </c>
      <c r="AW413" s="1433"/>
      <c r="AX413" s="1434"/>
      <c r="AY413" s="1423">
        <f>+AZ413</f>
        <v>0</v>
      </c>
      <c r="AZ413" s="1433"/>
      <c r="BA413" s="1434"/>
      <c r="BB413" s="1423">
        <f>+BC413</f>
        <v>0</v>
      </c>
      <c r="BC413" s="1433"/>
      <c r="BD413" s="1434"/>
      <c r="BE413" s="1423">
        <f>+BF413</f>
        <v>0</v>
      </c>
      <c r="BF413" s="1433"/>
      <c r="BG413" s="1434"/>
      <c r="BH413" s="1423">
        <f>+BI413</f>
        <v>0</v>
      </c>
      <c r="BI413" s="1433"/>
      <c r="BJ413" s="1434"/>
      <c r="BK413" s="1423">
        <f>+BL413</f>
        <v>0</v>
      </c>
      <c r="BL413" s="1433"/>
      <c r="BM413" s="1434"/>
      <c r="BN413" s="1423">
        <f>+BO413</f>
        <v>0</v>
      </c>
      <c r="BO413" s="1436"/>
      <c r="BP413" s="1434"/>
      <c r="BQ413" s="1423">
        <f>+BR413</f>
        <v>0</v>
      </c>
      <c r="BR413" s="1436"/>
      <c r="BS413" s="1434"/>
      <c r="BT413" s="1423">
        <f>+BU413</f>
        <v>0</v>
      </c>
      <c r="BU413" s="1436"/>
      <c r="BV413" s="1434"/>
      <c r="BW413" s="1423">
        <f>+BX413</f>
        <v>0</v>
      </c>
      <c r="BX413" s="1436"/>
      <c r="BY413" s="1434"/>
      <c r="BZ413" s="1423">
        <f>+CA413</f>
        <v>0</v>
      </c>
      <c r="CA413" s="1436"/>
      <c r="CB413" s="1434"/>
      <c r="CC413" s="1423">
        <f>+CD413</f>
        <v>0</v>
      </c>
      <c r="CD413" s="1436"/>
      <c r="CE413" s="1434"/>
      <c r="CF413" s="1423">
        <f>+CG413</f>
        <v>0</v>
      </c>
      <c r="CG413" s="1436"/>
      <c r="CH413" s="1434"/>
      <c r="CI413" s="1423">
        <f>+CJ413</f>
        <v>0</v>
      </c>
      <c r="CJ413" s="1436"/>
      <c r="CK413" s="1434"/>
      <c r="CL413" s="1423">
        <f>+CM413</f>
        <v>0</v>
      </c>
      <c r="CM413" s="1436"/>
      <c r="CN413" s="1434"/>
      <c r="CO413" s="1423">
        <f>+CP413</f>
        <v>0</v>
      </c>
      <c r="CP413" s="1436"/>
      <c r="CQ413" s="1434"/>
      <c r="CR413" s="1423">
        <f>+CS413</f>
        <v>0</v>
      </c>
      <c r="CS413" s="1436"/>
      <c r="CT413" s="1434"/>
      <c r="CU413" s="1423">
        <f>+CV413</f>
        <v>0</v>
      </c>
      <c r="CV413" s="1436"/>
      <c r="CW413" s="1434"/>
      <c r="CX413" s="1423">
        <f>+CY413</f>
        <v>0</v>
      </c>
      <c r="CY413" s="1436"/>
      <c r="CZ413" s="1434"/>
      <c r="DA413" s="1423">
        <f>+DB413</f>
        <v>0</v>
      </c>
      <c r="DB413" s="1436"/>
      <c r="DC413" s="1434"/>
      <c r="DD413" s="1423">
        <f>+DE413</f>
        <v>0</v>
      </c>
      <c r="DE413" s="1437"/>
      <c r="DF413" s="1434"/>
      <c r="DG413" s="1423">
        <f>+DH413</f>
        <v>0</v>
      </c>
      <c r="DH413" s="1437"/>
      <c r="DI413" s="1434"/>
      <c r="DJ413" s="1423">
        <f>+DK413</f>
        <v>0</v>
      </c>
      <c r="DK413" s="1437"/>
      <c r="DL413" s="1434"/>
      <c r="DM413" s="1423">
        <f>+DN413</f>
        <v>0</v>
      </c>
      <c r="DN413" s="1437"/>
      <c r="DO413" s="1434"/>
      <c r="DP413" s="1423">
        <f>+DQ413</f>
        <v>0</v>
      </c>
      <c r="DQ413" s="1437"/>
      <c r="DR413" s="1434"/>
      <c r="DS413" s="1423">
        <f>+DT413</f>
        <v>0</v>
      </c>
      <c r="DT413" s="1437"/>
      <c r="DU413" s="1434"/>
      <c r="DV413" s="1423">
        <f>+DW413</f>
        <v>0</v>
      </c>
      <c r="DW413" s="1437"/>
      <c r="DX413" s="1434"/>
      <c r="DY413" s="1423">
        <f>+DZ413</f>
        <v>0</v>
      </c>
      <c r="DZ413" s="1437"/>
      <c r="EA413" s="1434"/>
      <c r="EB413" s="1423">
        <f>+EC413</f>
        <v>0</v>
      </c>
      <c r="EC413" s="1437"/>
      <c r="ED413" s="1434"/>
      <c r="EE413" s="1423">
        <f>+EF413</f>
        <v>0</v>
      </c>
      <c r="EF413" s="1437"/>
      <c r="EG413" s="1434"/>
      <c r="EH413" s="1423">
        <f>+EI413</f>
        <v>0</v>
      </c>
      <c r="EI413" s="1437"/>
      <c r="EJ413" s="1434"/>
      <c r="EK413" s="1423">
        <f>+EL413</f>
        <v>0</v>
      </c>
      <c r="EL413" s="1437"/>
      <c r="EM413" s="1434"/>
      <c r="EN413" s="1423">
        <f>+EO413</f>
        <v>0</v>
      </c>
      <c r="EO413" s="1437"/>
      <c r="EP413" s="1434"/>
      <c r="EQ413" s="1423">
        <f>+ER413</f>
        <v>0</v>
      </c>
      <c r="ER413" s="1437"/>
      <c r="ES413" s="1434"/>
      <c r="ET413" s="1423">
        <f>+EU413</f>
        <v>0</v>
      </c>
      <c r="EU413" s="1437"/>
      <c r="EV413" s="1434"/>
      <c r="EW413" s="1423">
        <f>+EX413</f>
        <v>0</v>
      </c>
      <c r="EX413" s="1437"/>
      <c r="EY413" s="1434"/>
      <c r="EZ413" s="1423">
        <f>+FA413</f>
        <v>0</v>
      </c>
      <c r="FA413" s="1437"/>
      <c r="FD413"/>
      <c r="FE413"/>
      <c r="FF413"/>
      <c r="FG413"/>
      <c r="FH413"/>
      <c r="FI413"/>
    </row>
    <row r="414" spans="1:165" s="33" customFormat="1" outlineLevel="1">
      <c r="A414" s="58"/>
      <c r="B414" s="1338" t="s">
        <v>223</v>
      </c>
      <c r="C414" s="58"/>
      <c r="D414" s="58"/>
      <c r="E414" s="1438"/>
      <c r="F414" s="1342">
        <f>+G414-E414</f>
        <v>0</v>
      </c>
      <c r="G414" s="1439"/>
      <c r="H414" s="1440"/>
      <c r="I414" s="1342">
        <f>+J414-H414</f>
        <v>0</v>
      </c>
      <c r="J414" s="1439"/>
      <c r="K414" s="1440"/>
      <c r="L414" s="1342">
        <f>+M414-K414</f>
        <v>0</v>
      </c>
      <c r="M414" s="1439"/>
      <c r="N414" s="1440"/>
      <c r="O414" s="1342">
        <f>+P414-N414</f>
        <v>0</v>
      </c>
      <c r="P414" s="1439"/>
      <c r="Q414" s="1440"/>
      <c r="R414" s="1342">
        <f>+S414-Q414</f>
        <v>0</v>
      </c>
      <c r="S414" s="1439"/>
      <c r="T414" s="1440"/>
      <c r="U414" s="1342">
        <f>+V414-T414</f>
        <v>0</v>
      </c>
      <c r="V414" s="1439"/>
      <c r="W414" s="1440"/>
      <c r="X414" s="1342">
        <f>+Y414-W414</f>
        <v>0</v>
      </c>
      <c r="Y414" s="1439"/>
      <c r="Z414" s="1440"/>
      <c r="AA414" s="1342">
        <f>+AB414-Z414</f>
        <v>0</v>
      </c>
      <c r="AB414" s="1439"/>
      <c r="AC414" s="1440"/>
      <c r="AD414" s="1342">
        <f>+AE414-AC414</f>
        <v>0</v>
      </c>
      <c r="AE414" s="1439"/>
      <c r="AF414" s="1440"/>
      <c r="AG414" s="1342">
        <f>+AH414-AF414</f>
        <v>0</v>
      </c>
      <c r="AH414" s="1439"/>
      <c r="AI414" s="1440"/>
      <c r="AJ414" s="1342">
        <f>+AK414-AI414</f>
        <v>0</v>
      </c>
      <c r="AK414" s="1439"/>
      <c r="AL414" s="1440"/>
      <c r="AM414" s="1342">
        <f>+AN414-AL414</f>
        <v>0</v>
      </c>
      <c r="AN414" s="1439"/>
      <c r="AO414" s="1440"/>
      <c r="AP414" s="1342">
        <f>+AQ414-AO414</f>
        <v>0</v>
      </c>
      <c r="AQ414" s="1439"/>
      <c r="AR414" s="1440"/>
      <c r="AS414" s="1342">
        <f>+AT414-AR414</f>
        <v>0</v>
      </c>
      <c r="AT414" s="1439"/>
      <c r="AU414" s="1440"/>
      <c r="AV414" s="1342">
        <f>+AW414-AU414</f>
        <v>0</v>
      </c>
      <c r="AW414" s="1439"/>
      <c r="AX414" s="1440"/>
      <c r="AY414" s="1342">
        <f>+AZ414-AX414</f>
        <v>0</v>
      </c>
      <c r="AZ414" s="1439"/>
      <c r="BA414" s="1440"/>
      <c r="BB414" s="1342">
        <f>+BC414-BA414</f>
        <v>0</v>
      </c>
      <c r="BC414" s="1439"/>
      <c r="BD414" s="1440"/>
      <c r="BE414" s="1342">
        <f>+BF414-BD414</f>
        <v>0</v>
      </c>
      <c r="BF414" s="1439"/>
      <c r="BG414" s="1440"/>
      <c r="BH414" s="1342">
        <f>+BI414-BG414</f>
        <v>0</v>
      </c>
      <c r="BI414" s="1439"/>
      <c r="BJ414" s="1440"/>
      <c r="BK414" s="1342">
        <f>+BL414-BJ414</f>
        <v>0</v>
      </c>
      <c r="BL414" s="1439"/>
      <c r="BM414" s="1440"/>
      <c r="BN414" s="1342">
        <f>+BO414-BM414</f>
        <v>0</v>
      </c>
      <c r="BO414" s="1442"/>
      <c r="BP414" s="1440"/>
      <c r="BQ414" s="1342">
        <f>+BR414-BP414</f>
        <v>0</v>
      </c>
      <c r="BR414" s="1442"/>
      <c r="BS414" s="1440"/>
      <c r="BT414" s="1342">
        <f>+BU414-BS414</f>
        <v>0</v>
      </c>
      <c r="BU414" s="1442"/>
      <c r="BV414" s="1440"/>
      <c r="BW414" s="1342">
        <f>+BX414-BV414</f>
        <v>0</v>
      </c>
      <c r="BX414" s="1442"/>
      <c r="BY414" s="1440"/>
      <c r="BZ414" s="1342">
        <f>+CA414-BY414</f>
        <v>0</v>
      </c>
      <c r="CA414" s="1442"/>
      <c r="CB414" s="1440"/>
      <c r="CC414" s="1342">
        <f>+CD414-CB414</f>
        <v>0</v>
      </c>
      <c r="CD414" s="1442"/>
      <c r="CE414" s="1440"/>
      <c r="CF414" s="1342">
        <f>+CG414-CE414</f>
        <v>0</v>
      </c>
      <c r="CG414" s="1442"/>
      <c r="CH414" s="1440"/>
      <c r="CI414" s="1342">
        <f>+CJ414-CH414</f>
        <v>0</v>
      </c>
      <c r="CJ414" s="1442"/>
      <c r="CK414" s="1440"/>
      <c r="CL414" s="1342">
        <f>+CM414-CK414</f>
        <v>0</v>
      </c>
      <c r="CM414" s="1442"/>
      <c r="CN414" s="1440"/>
      <c r="CO414" s="1342">
        <f>+CP414-CN414</f>
        <v>0</v>
      </c>
      <c r="CP414" s="1442"/>
      <c r="CQ414" s="1440"/>
      <c r="CR414" s="1342">
        <f>+CS414-CQ414</f>
        <v>0</v>
      </c>
      <c r="CS414" s="1442"/>
      <c r="CT414" s="1440"/>
      <c r="CU414" s="1342">
        <f>+CV414-CT414</f>
        <v>0</v>
      </c>
      <c r="CV414" s="1442"/>
      <c r="CW414" s="1440"/>
      <c r="CX414" s="1342">
        <f>+CY414-CW414</f>
        <v>0</v>
      </c>
      <c r="CY414" s="1442"/>
      <c r="CZ414" s="1440"/>
      <c r="DA414" s="1342">
        <f>+DB414-CZ414</f>
        <v>0</v>
      </c>
      <c r="DB414" s="1442"/>
      <c r="DC414" s="1440"/>
      <c r="DD414" s="1342">
        <f>+DE414-DC414</f>
        <v>0</v>
      </c>
      <c r="DE414" s="1443"/>
      <c r="DF414" s="1440"/>
      <c r="DG414" s="1342">
        <f>+DH414-DF414</f>
        <v>0</v>
      </c>
      <c r="DH414" s="1443"/>
      <c r="DI414" s="1440"/>
      <c r="DJ414" s="1342">
        <f>+DK414-DI414</f>
        <v>0</v>
      </c>
      <c r="DK414" s="1443"/>
      <c r="DL414" s="1440"/>
      <c r="DM414" s="1342">
        <f>+DN414-DL414</f>
        <v>0</v>
      </c>
      <c r="DN414" s="1443"/>
      <c r="DO414" s="1440"/>
      <c r="DP414" s="1342">
        <f>+DQ414-DO414</f>
        <v>0</v>
      </c>
      <c r="DQ414" s="1443"/>
      <c r="DR414" s="1440"/>
      <c r="DS414" s="1342">
        <f>+DT414-DR414</f>
        <v>0</v>
      </c>
      <c r="DT414" s="1443"/>
      <c r="DU414" s="1440"/>
      <c r="DV414" s="1342">
        <f>+DW414-DU414</f>
        <v>0</v>
      </c>
      <c r="DW414" s="1443"/>
      <c r="DX414" s="1440"/>
      <c r="DY414" s="1342">
        <f>+DZ414-DX414</f>
        <v>0</v>
      </c>
      <c r="DZ414" s="1443"/>
      <c r="EA414" s="1440"/>
      <c r="EB414" s="1342">
        <f>+EC414-EA414</f>
        <v>0</v>
      </c>
      <c r="EC414" s="1443"/>
      <c r="ED414" s="1440"/>
      <c r="EE414" s="1342">
        <f>+EF414-ED414</f>
        <v>0</v>
      </c>
      <c r="EF414" s="1443"/>
      <c r="EG414" s="1440"/>
      <c r="EH414" s="1342">
        <f>+EI414-EG414</f>
        <v>0</v>
      </c>
      <c r="EI414" s="1443"/>
      <c r="EJ414" s="1440"/>
      <c r="EK414" s="1342">
        <f>+EL414-EJ414</f>
        <v>0</v>
      </c>
      <c r="EL414" s="1443"/>
      <c r="EM414" s="1440"/>
      <c r="EN414" s="1342">
        <f>+EO414-EM414</f>
        <v>0</v>
      </c>
      <c r="EO414" s="1443"/>
      <c r="EP414" s="1440"/>
      <c r="EQ414" s="1342">
        <f>+ER414-EP414</f>
        <v>0</v>
      </c>
      <c r="ER414" s="1443"/>
      <c r="ES414" s="1440"/>
      <c r="ET414" s="1342">
        <f>+EU414-ES414</f>
        <v>0</v>
      </c>
      <c r="EU414" s="1443"/>
      <c r="EV414" s="1440"/>
      <c r="EW414" s="1342">
        <f>+EX414-EV414</f>
        <v>0</v>
      </c>
      <c r="EX414" s="1443"/>
      <c r="EY414" s="1440"/>
      <c r="EZ414" s="1342">
        <f>+FA414-EY414</f>
        <v>0</v>
      </c>
      <c r="FA414" s="1443"/>
      <c r="FD414"/>
      <c r="FE414"/>
      <c r="FF414"/>
      <c r="FG414"/>
      <c r="FH414"/>
      <c r="FI414"/>
    </row>
    <row r="415" spans="1:165" s="1456" customFormat="1" ht="13.5" outlineLevel="1" thickBot="1">
      <c r="A415" s="1455"/>
      <c r="B415" s="1338" t="s">
        <v>226</v>
      </c>
      <c r="C415" s="1455"/>
      <c r="D415" s="1455"/>
      <c r="E415" s="1444" t="s">
        <v>227</v>
      </c>
      <c r="F415" s="1021"/>
      <c r="G415" s="1445" t="str">
        <f>+E415</f>
        <v>N</v>
      </c>
      <c r="H415" s="1446" t="str">
        <f>G415</f>
        <v>N</v>
      </c>
      <c r="I415" s="1021"/>
      <c r="J415" s="1445" t="str">
        <f>+H415</f>
        <v>N</v>
      </c>
      <c r="K415" s="1446" t="str">
        <f>J415</f>
        <v>N</v>
      </c>
      <c r="L415" s="1021"/>
      <c r="M415" s="1445" t="str">
        <f>+K415</f>
        <v>N</v>
      </c>
      <c r="N415" s="1446" t="str">
        <f>M415</f>
        <v>N</v>
      </c>
      <c r="O415" s="1021"/>
      <c r="P415" s="1445" t="str">
        <f>+N415</f>
        <v>N</v>
      </c>
      <c r="Q415" s="1446" t="str">
        <f>P415</f>
        <v>N</v>
      </c>
      <c r="R415" s="1021"/>
      <c r="S415" s="1445" t="str">
        <f>+Q415</f>
        <v>N</v>
      </c>
      <c r="T415" s="1446" t="str">
        <f>S415</f>
        <v>N</v>
      </c>
      <c r="U415" s="1021"/>
      <c r="V415" s="1445" t="str">
        <f>+T415</f>
        <v>N</v>
      </c>
      <c r="W415" s="1446" t="str">
        <f>V415</f>
        <v>N</v>
      </c>
      <c r="X415" s="1021"/>
      <c r="Y415" s="1445" t="str">
        <f>+W415</f>
        <v>N</v>
      </c>
      <c r="Z415" s="1446" t="str">
        <f>Y415</f>
        <v>N</v>
      </c>
      <c r="AA415" s="1021"/>
      <c r="AB415" s="1445" t="str">
        <f>+Z415</f>
        <v>N</v>
      </c>
      <c r="AC415" s="1446" t="str">
        <f>AB415</f>
        <v>N</v>
      </c>
      <c r="AD415" s="1021"/>
      <c r="AE415" s="1445" t="str">
        <f>+AC415</f>
        <v>N</v>
      </c>
      <c r="AF415" s="1446" t="str">
        <f>AE415</f>
        <v>N</v>
      </c>
      <c r="AG415" s="1021"/>
      <c r="AH415" s="1445" t="str">
        <f>+AF415</f>
        <v>N</v>
      </c>
      <c r="AI415" s="1446" t="str">
        <f>AH415</f>
        <v>N</v>
      </c>
      <c r="AJ415" s="1021"/>
      <c r="AK415" s="1445" t="str">
        <f>+AI415</f>
        <v>N</v>
      </c>
      <c r="AL415" s="1446" t="str">
        <f>AK415</f>
        <v>N</v>
      </c>
      <c r="AM415" s="1021"/>
      <c r="AN415" s="1445" t="str">
        <f>+AL415</f>
        <v>N</v>
      </c>
      <c r="AO415" s="1446" t="str">
        <f>AN415</f>
        <v>N</v>
      </c>
      <c r="AP415" s="1021"/>
      <c r="AQ415" s="1445" t="str">
        <f>+AO415</f>
        <v>N</v>
      </c>
      <c r="AR415" s="1446" t="str">
        <f>AQ415</f>
        <v>N</v>
      </c>
      <c r="AS415" s="1021"/>
      <c r="AT415" s="1445" t="str">
        <f>+AR415</f>
        <v>N</v>
      </c>
      <c r="AU415" s="1446" t="str">
        <f>AT415</f>
        <v>N</v>
      </c>
      <c r="AV415" s="1021"/>
      <c r="AW415" s="1445" t="str">
        <f>+AU415</f>
        <v>N</v>
      </c>
      <c r="AX415" s="1446" t="str">
        <f>AW415</f>
        <v>N</v>
      </c>
      <c r="AY415" s="1021"/>
      <c r="AZ415" s="1445" t="str">
        <f>+AX415</f>
        <v>N</v>
      </c>
      <c r="BA415" s="1446" t="str">
        <f>AZ415</f>
        <v>N</v>
      </c>
      <c r="BB415" s="1021"/>
      <c r="BC415" s="1445" t="str">
        <f>+BA415</f>
        <v>N</v>
      </c>
      <c r="BD415" s="1446" t="str">
        <f>BC415</f>
        <v>N</v>
      </c>
      <c r="BE415" s="1021"/>
      <c r="BF415" s="1445" t="str">
        <f>+BD415</f>
        <v>N</v>
      </c>
      <c r="BG415" s="1446" t="str">
        <f>BF415</f>
        <v>N</v>
      </c>
      <c r="BH415" s="1021"/>
      <c r="BI415" s="1445" t="str">
        <f>+BG415</f>
        <v>N</v>
      </c>
      <c r="BJ415" s="1446" t="str">
        <f>BI415</f>
        <v>N</v>
      </c>
      <c r="BK415" s="1021"/>
      <c r="BL415" s="1445" t="str">
        <f>+BJ415</f>
        <v>N</v>
      </c>
      <c r="BM415" s="1446" t="str">
        <f>BL415</f>
        <v>N</v>
      </c>
      <c r="BN415" s="1021"/>
      <c r="BO415" s="1448" t="str">
        <f>+BM415</f>
        <v>N</v>
      </c>
      <c r="BP415" s="1446" t="str">
        <f>BO415</f>
        <v>N</v>
      </c>
      <c r="BQ415" s="1021"/>
      <c r="BR415" s="1448" t="str">
        <f>+BP415</f>
        <v>N</v>
      </c>
      <c r="BS415" s="1446" t="str">
        <f>BR415</f>
        <v>N</v>
      </c>
      <c r="BT415" s="1021"/>
      <c r="BU415" s="1448" t="str">
        <f>+BS415</f>
        <v>N</v>
      </c>
      <c r="BV415" s="1446" t="str">
        <f>BU415</f>
        <v>N</v>
      </c>
      <c r="BW415" s="1021"/>
      <c r="BX415" s="1448" t="str">
        <f>+BV415</f>
        <v>N</v>
      </c>
      <c r="BY415" s="1446" t="str">
        <f>BX415</f>
        <v>N</v>
      </c>
      <c r="BZ415" s="1021"/>
      <c r="CA415" s="1448" t="str">
        <f>+BY415</f>
        <v>N</v>
      </c>
      <c r="CB415" s="1446" t="str">
        <f>CA415</f>
        <v>N</v>
      </c>
      <c r="CC415" s="1021"/>
      <c r="CD415" s="1448" t="str">
        <f>+CB415</f>
        <v>N</v>
      </c>
      <c r="CE415" s="1446" t="str">
        <f>CD415</f>
        <v>N</v>
      </c>
      <c r="CF415" s="1021"/>
      <c r="CG415" s="1448" t="str">
        <f>+CE415</f>
        <v>N</v>
      </c>
      <c r="CH415" s="1446" t="str">
        <f>CG415</f>
        <v>N</v>
      </c>
      <c r="CI415" s="1021"/>
      <c r="CJ415" s="1448" t="str">
        <f>+CH415</f>
        <v>N</v>
      </c>
      <c r="CK415" s="1446" t="str">
        <f>CJ415</f>
        <v>N</v>
      </c>
      <c r="CL415" s="1021"/>
      <c r="CM415" s="1448" t="str">
        <f>+CK415</f>
        <v>N</v>
      </c>
      <c r="CN415" s="1446" t="str">
        <f>CM415</f>
        <v>N</v>
      </c>
      <c r="CO415" s="1021"/>
      <c r="CP415" s="1448" t="str">
        <f>+CN415</f>
        <v>N</v>
      </c>
      <c r="CQ415" s="1446" t="str">
        <f>CP415</f>
        <v>N</v>
      </c>
      <c r="CR415" s="1021"/>
      <c r="CS415" s="1448" t="str">
        <f>+CQ415</f>
        <v>N</v>
      </c>
      <c r="CT415" s="1446" t="str">
        <f>CS415</f>
        <v>N</v>
      </c>
      <c r="CU415" s="1021"/>
      <c r="CV415" s="1448" t="str">
        <f>+CT415</f>
        <v>N</v>
      </c>
      <c r="CW415" s="1446" t="str">
        <f>CV415</f>
        <v>N</v>
      </c>
      <c r="CX415" s="1021"/>
      <c r="CY415" s="1448" t="str">
        <f>+CW415</f>
        <v>N</v>
      </c>
      <c r="CZ415" s="1446" t="str">
        <f>CY415</f>
        <v>N</v>
      </c>
      <c r="DA415" s="1021"/>
      <c r="DB415" s="1448" t="str">
        <f>+CZ415</f>
        <v>N</v>
      </c>
      <c r="DC415" s="1446" t="str">
        <f>DB415</f>
        <v>N</v>
      </c>
      <c r="DD415" s="1021"/>
      <c r="DE415" s="1449" t="str">
        <f>+DC415</f>
        <v>N</v>
      </c>
      <c r="DF415" s="1446" t="str">
        <f>DE415</f>
        <v>N</v>
      </c>
      <c r="DG415" s="1021"/>
      <c r="DH415" s="1449" t="str">
        <f>+DF415</f>
        <v>N</v>
      </c>
      <c r="DI415" s="1446" t="str">
        <f>DH415</f>
        <v>N</v>
      </c>
      <c r="DJ415" s="1021"/>
      <c r="DK415" s="1449" t="str">
        <f>+DI415</f>
        <v>N</v>
      </c>
      <c r="DL415" s="1446" t="str">
        <f>DK415</f>
        <v>N</v>
      </c>
      <c r="DM415" s="1021"/>
      <c r="DN415" s="1449" t="str">
        <f>+DL415</f>
        <v>N</v>
      </c>
      <c r="DO415" s="1446" t="str">
        <f>DN415</f>
        <v>N</v>
      </c>
      <c r="DP415" s="1021"/>
      <c r="DQ415" s="1449" t="str">
        <f>+DO415</f>
        <v>N</v>
      </c>
      <c r="DR415" s="1446" t="str">
        <f>DQ415</f>
        <v>N</v>
      </c>
      <c r="DS415" s="1021"/>
      <c r="DT415" s="1449" t="str">
        <f>+DR415</f>
        <v>N</v>
      </c>
      <c r="DU415" s="1446" t="str">
        <f>DT415</f>
        <v>N</v>
      </c>
      <c r="DV415" s="1021"/>
      <c r="DW415" s="1449" t="str">
        <f>+DU415</f>
        <v>N</v>
      </c>
      <c r="DX415" s="1446" t="str">
        <f>DW415</f>
        <v>N</v>
      </c>
      <c r="DY415" s="1021"/>
      <c r="DZ415" s="1449" t="str">
        <f>+DX415</f>
        <v>N</v>
      </c>
      <c r="EA415" s="1446" t="str">
        <f>DZ415</f>
        <v>N</v>
      </c>
      <c r="EB415" s="1021"/>
      <c r="EC415" s="1449" t="str">
        <f>+EA415</f>
        <v>N</v>
      </c>
      <c r="ED415" s="1446" t="str">
        <f>EC415</f>
        <v>N</v>
      </c>
      <c r="EE415" s="1021"/>
      <c r="EF415" s="1449" t="str">
        <f>+ED415</f>
        <v>N</v>
      </c>
      <c r="EG415" s="1446" t="str">
        <f>EF415</f>
        <v>N</v>
      </c>
      <c r="EH415" s="1021"/>
      <c r="EI415" s="1449" t="str">
        <f>+EG415</f>
        <v>N</v>
      </c>
      <c r="EJ415" s="1446" t="str">
        <f>EI415</f>
        <v>N</v>
      </c>
      <c r="EK415" s="1021"/>
      <c r="EL415" s="1449" t="str">
        <f>+EJ415</f>
        <v>N</v>
      </c>
      <c r="EM415" s="1446" t="str">
        <f>EL415</f>
        <v>N</v>
      </c>
      <c r="EN415" s="1021"/>
      <c r="EO415" s="1449" t="str">
        <f>+EM415</f>
        <v>N</v>
      </c>
      <c r="EP415" s="1446" t="str">
        <f>EO415</f>
        <v>N</v>
      </c>
      <c r="EQ415" s="1021"/>
      <c r="ER415" s="1449" t="str">
        <f>+EP415</f>
        <v>N</v>
      </c>
      <c r="ES415" s="1446" t="str">
        <f>ER415</f>
        <v>N</v>
      </c>
      <c r="ET415" s="1021"/>
      <c r="EU415" s="1449" t="str">
        <f>+ES415</f>
        <v>N</v>
      </c>
      <c r="EV415" s="1446" t="str">
        <f>EU415</f>
        <v>N</v>
      </c>
      <c r="EW415" s="1021"/>
      <c r="EX415" s="1449" t="str">
        <f>+EV415</f>
        <v>N</v>
      </c>
      <c r="EY415" s="1446" t="str">
        <f>EX415</f>
        <v>N</v>
      </c>
      <c r="EZ415" s="1021"/>
      <c r="FA415" s="1449" t="str">
        <f>+EY415</f>
        <v>N</v>
      </c>
      <c r="FD415"/>
      <c r="FE415"/>
      <c r="FF415"/>
      <c r="FG415"/>
      <c r="FH415"/>
      <c r="FI415"/>
    </row>
    <row r="416" spans="1:165" s="33" customFormat="1" ht="13.5" outlineLevel="1" thickBot="1">
      <c r="A416" s="58"/>
      <c r="B416" s="58"/>
      <c r="C416" s="58"/>
      <c r="D416" s="58"/>
      <c r="E416" s="1450"/>
      <c r="F416" s="1450"/>
      <c r="G416" s="1451"/>
      <c r="H416" s="1450"/>
      <c r="I416" s="1450"/>
      <c r="J416" s="1451"/>
      <c r="K416" s="1450"/>
      <c r="L416" s="1450"/>
      <c r="M416" s="1451"/>
      <c r="N416" s="1450"/>
      <c r="O416" s="1450"/>
      <c r="P416" s="1451"/>
      <c r="Q416" s="1452"/>
      <c r="R416" s="1452"/>
      <c r="S416" s="1453"/>
      <c r="T416" s="1452"/>
      <c r="U416" s="1452"/>
      <c r="V416" s="1451"/>
      <c r="W416" s="1450"/>
      <c r="X416" s="1450"/>
      <c r="Y416" s="1451"/>
      <c r="Z416" s="1450"/>
      <c r="AA416" s="1450"/>
      <c r="AB416" s="1451"/>
      <c r="AC416" s="1450"/>
      <c r="AD416" s="1450"/>
      <c r="AE416" s="1451"/>
      <c r="AF416" s="1450"/>
      <c r="AG416" s="1450"/>
      <c r="AH416" s="1451"/>
      <c r="AI416" s="1450"/>
      <c r="AJ416" s="1450"/>
      <c r="AK416" s="1451"/>
      <c r="AL416" s="1450"/>
      <c r="AM416" s="1450"/>
      <c r="AN416" s="1451"/>
      <c r="AO416" s="1450"/>
      <c r="AP416" s="1450"/>
      <c r="AQ416" s="1451"/>
      <c r="AR416" s="1450"/>
      <c r="AS416" s="1450"/>
      <c r="AT416" s="1451"/>
      <c r="AU416" s="1450"/>
      <c r="AV416" s="1450"/>
      <c r="AW416" s="1451"/>
      <c r="AX416" s="1450"/>
      <c r="AY416" s="1450"/>
      <c r="AZ416" s="1451"/>
      <c r="BA416" s="1450"/>
      <c r="BB416" s="1450"/>
      <c r="BC416" s="1451"/>
      <c r="BD416" s="1450"/>
      <c r="BE416" s="1450"/>
      <c r="BF416" s="1451"/>
      <c r="BG416" s="1450"/>
      <c r="BH416" s="1450"/>
      <c r="BI416" s="1451"/>
      <c r="BJ416" s="1450"/>
      <c r="BK416" s="1450"/>
      <c r="BL416" s="1451"/>
      <c r="BM416" s="1450"/>
      <c r="BN416" s="1450"/>
      <c r="BO416" s="1451"/>
      <c r="BP416" s="1450"/>
      <c r="BQ416" s="1450"/>
      <c r="BR416" s="1451"/>
      <c r="BS416" s="1450"/>
      <c r="BT416" s="1450"/>
      <c r="BU416" s="1451"/>
      <c r="BV416" s="1450"/>
      <c r="BW416" s="1450"/>
      <c r="BX416" s="1451"/>
      <c r="BY416" s="1450"/>
      <c r="BZ416" s="1450"/>
      <c r="CA416" s="1451"/>
      <c r="CB416" s="1450"/>
      <c r="CC416" s="1450"/>
      <c r="CD416" s="1451"/>
      <c r="CE416" s="1450"/>
      <c r="CF416" s="1450"/>
      <c r="CG416" s="1451"/>
      <c r="CH416" s="1450"/>
      <c r="CI416" s="1450"/>
      <c r="CJ416" s="1451"/>
      <c r="CK416" s="1450"/>
      <c r="CL416" s="1450"/>
      <c r="CM416" s="1451"/>
      <c r="CN416" s="1450"/>
      <c r="CO416" s="1450"/>
      <c r="CP416" s="1451"/>
      <c r="CQ416" s="1450"/>
      <c r="CR416" s="1450"/>
      <c r="CS416" s="1451"/>
      <c r="CT416" s="1450"/>
      <c r="CU416" s="1450"/>
      <c r="CV416" s="1451"/>
      <c r="CW416" s="1450"/>
      <c r="CX416" s="1450"/>
      <c r="CY416" s="1451"/>
      <c r="CZ416" s="1450"/>
      <c r="DA416" s="1450"/>
      <c r="DB416" s="1451"/>
      <c r="DC416" s="1450"/>
      <c r="DD416" s="1450"/>
      <c r="DE416" s="1454"/>
      <c r="DF416" s="1450"/>
      <c r="DG416" s="1450"/>
      <c r="DH416" s="1454"/>
      <c r="DI416" s="1450"/>
      <c r="DJ416" s="1450"/>
      <c r="DK416" s="1454"/>
      <c r="DL416" s="1450"/>
      <c r="DM416" s="1450"/>
      <c r="DN416" s="1454"/>
      <c r="DO416" s="1450"/>
      <c r="DP416" s="1450"/>
      <c r="DQ416" s="1454"/>
      <c r="DR416" s="1450"/>
      <c r="DS416" s="1450"/>
      <c r="DT416" s="1454"/>
      <c r="DU416" s="1450"/>
      <c r="DV416" s="1450"/>
      <c r="DW416" s="1454"/>
      <c r="DX416" s="1450"/>
      <c r="DY416" s="1450"/>
      <c r="DZ416" s="1454"/>
      <c r="EA416" s="1450"/>
      <c r="EB416" s="1450"/>
      <c r="EC416" s="1454"/>
      <c r="ED416" s="1450"/>
      <c r="EE416" s="1450"/>
      <c r="EF416" s="1454"/>
      <c r="EG416" s="1450"/>
      <c r="EH416" s="1450"/>
      <c r="EI416" s="1454"/>
      <c r="EJ416" s="1450"/>
      <c r="EK416" s="1450"/>
      <c r="EL416" s="1454"/>
      <c r="EM416" s="1450"/>
      <c r="EN416" s="1450"/>
      <c r="EO416" s="1454"/>
      <c r="EP416" s="1450"/>
      <c r="EQ416" s="1450"/>
      <c r="ER416" s="1454"/>
      <c r="ES416" s="1450"/>
      <c r="ET416" s="1450"/>
      <c r="EU416" s="1454"/>
      <c r="EV416" s="1450"/>
      <c r="EW416" s="1450"/>
      <c r="EX416" s="1454"/>
      <c r="EY416" s="1450"/>
      <c r="EZ416" s="1450"/>
      <c r="FA416" s="1454"/>
      <c r="FD416"/>
      <c r="FE416"/>
      <c r="FF416"/>
      <c r="FG416"/>
      <c r="FH416"/>
      <c r="FI416"/>
    </row>
    <row r="417" spans="1:165" s="33" customFormat="1" outlineLevel="1">
      <c r="A417" s="58"/>
      <c r="B417" s="1338" t="s">
        <v>230</v>
      </c>
      <c r="C417" s="58"/>
      <c r="D417" s="58"/>
      <c r="E417" s="1422"/>
      <c r="F417" s="1423">
        <f>+G417</f>
        <v>0</v>
      </c>
      <c r="G417" s="1424"/>
      <c r="H417" s="1425"/>
      <c r="I417" s="1423">
        <f>+J417</f>
        <v>0</v>
      </c>
      <c r="J417" s="1424"/>
      <c r="K417" s="1425"/>
      <c r="L417" s="1423">
        <f>+M417</f>
        <v>0</v>
      </c>
      <c r="M417" s="1424"/>
      <c r="N417" s="1425"/>
      <c r="O417" s="1423">
        <f>+P417</f>
        <v>0</v>
      </c>
      <c r="P417" s="1424"/>
      <c r="Q417" s="1425"/>
      <c r="R417" s="1423">
        <f>+S417</f>
        <v>0</v>
      </c>
      <c r="S417" s="1424"/>
      <c r="T417" s="1425"/>
      <c r="U417" s="1423">
        <f>+V417</f>
        <v>0</v>
      </c>
      <c r="V417" s="1424"/>
      <c r="W417" s="1425"/>
      <c r="X417" s="1423">
        <f>+Y417</f>
        <v>0</v>
      </c>
      <c r="Y417" s="1424"/>
      <c r="Z417" s="1425"/>
      <c r="AA417" s="1423">
        <f>+AB417</f>
        <v>0</v>
      </c>
      <c r="AB417" s="1424"/>
      <c r="AC417" s="1425"/>
      <c r="AD417" s="1423">
        <f>+AE417</f>
        <v>0</v>
      </c>
      <c r="AE417" s="1424"/>
      <c r="AF417" s="1425"/>
      <c r="AG417" s="1423">
        <f>+AH417</f>
        <v>0</v>
      </c>
      <c r="AH417" s="1424"/>
      <c r="AI417" s="1425"/>
      <c r="AJ417" s="1423">
        <f>+AK417</f>
        <v>0</v>
      </c>
      <c r="AK417" s="1424"/>
      <c r="AL417" s="1425"/>
      <c r="AM417" s="1423">
        <f>+AN417</f>
        <v>0</v>
      </c>
      <c r="AN417" s="1424"/>
      <c r="AO417" s="1425"/>
      <c r="AP417" s="1423">
        <f>+AQ417</f>
        <v>0</v>
      </c>
      <c r="AQ417" s="1424"/>
      <c r="AR417" s="1425"/>
      <c r="AS417" s="1423">
        <f>+AT417</f>
        <v>0</v>
      </c>
      <c r="AT417" s="1424"/>
      <c r="AU417" s="1425"/>
      <c r="AV417" s="1423">
        <f>+AW417</f>
        <v>0</v>
      </c>
      <c r="AW417" s="1424"/>
      <c r="AX417" s="1425"/>
      <c r="AY417" s="1423">
        <f>+AZ417</f>
        <v>0</v>
      </c>
      <c r="AZ417" s="1424"/>
      <c r="BA417" s="1425"/>
      <c r="BB417" s="1423">
        <f>+BC417</f>
        <v>0</v>
      </c>
      <c r="BC417" s="1424"/>
      <c r="BD417" s="1425"/>
      <c r="BE417" s="1423">
        <f>+BF417</f>
        <v>0</v>
      </c>
      <c r="BF417" s="1424"/>
      <c r="BG417" s="1425"/>
      <c r="BH417" s="1423">
        <f>+BI417</f>
        <v>0</v>
      </c>
      <c r="BI417" s="1424"/>
      <c r="BJ417" s="1425"/>
      <c r="BK417" s="1423">
        <f>+BL417</f>
        <v>0</v>
      </c>
      <c r="BL417" s="1424"/>
      <c r="BM417" s="1425"/>
      <c r="BN417" s="1423">
        <f>+BO417</f>
        <v>0</v>
      </c>
      <c r="BO417" s="1427"/>
      <c r="BP417" s="1425"/>
      <c r="BQ417" s="1423">
        <f>+BR417</f>
        <v>0</v>
      </c>
      <c r="BR417" s="1427"/>
      <c r="BS417" s="1425"/>
      <c r="BT417" s="1423">
        <f>+BU417</f>
        <v>0</v>
      </c>
      <c r="BU417" s="1427"/>
      <c r="BV417" s="1425"/>
      <c r="BW417" s="1423">
        <f>+BX417</f>
        <v>0</v>
      </c>
      <c r="BX417" s="1427"/>
      <c r="BY417" s="1425"/>
      <c r="BZ417" s="1423">
        <f>+CA417</f>
        <v>0</v>
      </c>
      <c r="CA417" s="1427"/>
      <c r="CB417" s="1425"/>
      <c r="CC417" s="1423">
        <f>+CD417</f>
        <v>0</v>
      </c>
      <c r="CD417" s="1427"/>
      <c r="CE417" s="1425"/>
      <c r="CF417" s="1423">
        <f>+CG417</f>
        <v>0</v>
      </c>
      <c r="CG417" s="1427"/>
      <c r="CH417" s="1425"/>
      <c r="CI417" s="1423">
        <f>+CJ417</f>
        <v>0</v>
      </c>
      <c r="CJ417" s="1427"/>
      <c r="CK417" s="1425"/>
      <c r="CL417" s="1423">
        <f>+CM417</f>
        <v>0</v>
      </c>
      <c r="CM417" s="1427"/>
      <c r="CN417" s="1425"/>
      <c r="CO417" s="1423">
        <f>+CP417</f>
        <v>0</v>
      </c>
      <c r="CP417" s="1427"/>
      <c r="CQ417" s="1425"/>
      <c r="CR417" s="1423">
        <f>+CS417</f>
        <v>0</v>
      </c>
      <c r="CS417" s="1427"/>
      <c r="CT417" s="1425"/>
      <c r="CU417" s="1423">
        <f>+CV417</f>
        <v>0</v>
      </c>
      <c r="CV417" s="1427"/>
      <c r="CW417" s="1425"/>
      <c r="CX417" s="1423">
        <f>+CY417</f>
        <v>0</v>
      </c>
      <c r="CY417" s="1427"/>
      <c r="CZ417" s="1425"/>
      <c r="DA417" s="1423">
        <f>+DB417</f>
        <v>0</v>
      </c>
      <c r="DB417" s="1427"/>
      <c r="DC417" s="1425"/>
      <c r="DD417" s="1423">
        <f>+DE417</f>
        <v>0</v>
      </c>
      <c r="DE417" s="1430"/>
      <c r="DF417" s="1425"/>
      <c r="DG417" s="1423">
        <f>+DH417</f>
        <v>0</v>
      </c>
      <c r="DH417" s="1430"/>
      <c r="DI417" s="1425"/>
      <c r="DJ417" s="1423">
        <f>+DK417</f>
        <v>0</v>
      </c>
      <c r="DK417" s="1430"/>
      <c r="DL417" s="1425"/>
      <c r="DM417" s="1423">
        <f>+DN417</f>
        <v>0</v>
      </c>
      <c r="DN417" s="1430"/>
      <c r="DO417" s="1425"/>
      <c r="DP417" s="1423">
        <f>+DQ417</f>
        <v>0</v>
      </c>
      <c r="DQ417" s="1430"/>
      <c r="DR417" s="1425"/>
      <c r="DS417" s="1423">
        <f>+DT417</f>
        <v>0</v>
      </c>
      <c r="DT417" s="1430"/>
      <c r="DU417" s="1425"/>
      <c r="DV417" s="1423">
        <f>+DW417</f>
        <v>0</v>
      </c>
      <c r="DW417" s="1430"/>
      <c r="DX417" s="1425"/>
      <c r="DY417" s="1423">
        <f>+DZ417</f>
        <v>0</v>
      </c>
      <c r="DZ417" s="1430"/>
      <c r="EA417" s="1425"/>
      <c r="EB417" s="1423">
        <f>+EC417</f>
        <v>0</v>
      </c>
      <c r="EC417" s="1430"/>
      <c r="ED417" s="1425"/>
      <c r="EE417" s="1423">
        <f>+EF417</f>
        <v>0</v>
      </c>
      <c r="EF417" s="1430"/>
      <c r="EG417" s="1425"/>
      <c r="EH417" s="1423">
        <f>+EI417</f>
        <v>0</v>
      </c>
      <c r="EI417" s="1430"/>
      <c r="EJ417" s="1425"/>
      <c r="EK417" s="1423">
        <f>+EL417</f>
        <v>0</v>
      </c>
      <c r="EL417" s="1430"/>
      <c r="EM417" s="1425"/>
      <c r="EN417" s="1423">
        <f>+EO417</f>
        <v>0</v>
      </c>
      <c r="EO417" s="1430"/>
      <c r="EP417" s="1425"/>
      <c r="EQ417" s="1423">
        <f>+ER417</f>
        <v>0</v>
      </c>
      <c r="ER417" s="1430"/>
      <c r="ES417" s="1425"/>
      <c r="ET417" s="1423">
        <f>+EU417</f>
        <v>0</v>
      </c>
      <c r="EU417" s="1430"/>
      <c r="EV417" s="1425"/>
      <c r="EW417" s="1423">
        <f>+EX417</f>
        <v>0</v>
      </c>
      <c r="EX417" s="1430"/>
      <c r="EY417" s="1425"/>
      <c r="EZ417" s="1423">
        <f>+FA417</f>
        <v>0</v>
      </c>
      <c r="FA417" s="1430"/>
      <c r="FD417"/>
      <c r="FE417"/>
      <c r="FF417"/>
      <c r="FG417"/>
      <c r="FH417"/>
      <c r="FI417"/>
    </row>
    <row r="418" spans="1:165" s="35" customFormat="1" outlineLevel="1">
      <c r="B418" s="1338" t="s">
        <v>50</v>
      </c>
      <c r="C418" s="1338"/>
      <c r="D418" s="1339"/>
      <c r="E418" s="1432"/>
      <c r="F418" s="1423">
        <f>+G418</f>
        <v>0</v>
      </c>
      <c r="G418" s="1433"/>
      <c r="H418" s="1434"/>
      <c r="I418" s="1423">
        <f>+J418</f>
        <v>0</v>
      </c>
      <c r="J418" s="1433"/>
      <c r="K418" s="1434"/>
      <c r="L418" s="1423">
        <f>+M418</f>
        <v>0</v>
      </c>
      <c r="M418" s="1433"/>
      <c r="N418" s="1434"/>
      <c r="O418" s="1423">
        <f>+P418</f>
        <v>0</v>
      </c>
      <c r="P418" s="1433"/>
      <c r="Q418" s="1434"/>
      <c r="R418" s="1423">
        <f>+S418</f>
        <v>0</v>
      </c>
      <c r="S418" s="1433"/>
      <c r="T418" s="1434"/>
      <c r="U418" s="1423">
        <f>+V418</f>
        <v>0</v>
      </c>
      <c r="V418" s="1433"/>
      <c r="W418" s="1434"/>
      <c r="X418" s="1423">
        <f>+Y418</f>
        <v>0</v>
      </c>
      <c r="Y418" s="1433"/>
      <c r="Z418" s="1434"/>
      <c r="AA418" s="1423">
        <f>+AB418</f>
        <v>0</v>
      </c>
      <c r="AB418" s="1433"/>
      <c r="AC418" s="1434"/>
      <c r="AD418" s="1423">
        <f>+AE418</f>
        <v>0</v>
      </c>
      <c r="AE418" s="1433"/>
      <c r="AF418" s="1434"/>
      <c r="AG418" s="1423">
        <f>+AH418</f>
        <v>0</v>
      </c>
      <c r="AH418" s="1433"/>
      <c r="AI418" s="1434"/>
      <c r="AJ418" s="1423">
        <f>+AK418</f>
        <v>0</v>
      </c>
      <c r="AK418" s="1433"/>
      <c r="AL418" s="1434"/>
      <c r="AM418" s="1423">
        <f>+AN418</f>
        <v>0</v>
      </c>
      <c r="AN418" s="1433"/>
      <c r="AO418" s="1434"/>
      <c r="AP418" s="1423">
        <f>+AQ418</f>
        <v>0</v>
      </c>
      <c r="AQ418" s="1433"/>
      <c r="AR418" s="1434"/>
      <c r="AS418" s="1423">
        <f>+AT418</f>
        <v>0</v>
      </c>
      <c r="AT418" s="1433"/>
      <c r="AU418" s="1434"/>
      <c r="AV418" s="1423">
        <f>+AW418</f>
        <v>0</v>
      </c>
      <c r="AW418" s="1433"/>
      <c r="AX418" s="1434"/>
      <c r="AY418" s="1423">
        <f>+AZ418</f>
        <v>0</v>
      </c>
      <c r="AZ418" s="1433"/>
      <c r="BA418" s="1434"/>
      <c r="BB418" s="1423">
        <f>+BC418</f>
        <v>0</v>
      </c>
      <c r="BC418" s="1433"/>
      <c r="BD418" s="1434"/>
      <c r="BE418" s="1423">
        <f>+BF418</f>
        <v>0</v>
      </c>
      <c r="BF418" s="1433"/>
      <c r="BG418" s="1434"/>
      <c r="BH418" s="1423">
        <f>+BI418</f>
        <v>0</v>
      </c>
      <c r="BI418" s="1433"/>
      <c r="BJ418" s="1434"/>
      <c r="BK418" s="1423">
        <f>+BL418</f>
        <v>0</v>
      </c>
      <c r="BL418" s="1433"/>
      <c r="BM418" s="1434"/>
      <c r="BN418" s="1423">
        <f>+BO418</f>
        <v>0</v>
      </c>
      <c r="BO418" s="1436"/>
      <c r="BP418" s="1434"/>
      <c r="BQ418" s="1423">
        <f>+BR418</f>
        <v>0</v>
      </c>
      <c r="BR418" s="1436"/>
      <c r="BS418" s="1434"/>
      <c r="BT418" s="1423">
        <f>+BU418</f>
        <v>0</v>
      </c>
      <c r="BU418" s="1436"/>
      <c r="BV418" s="1434"/>
      <c r="BW418" s="1423">
        <f>+BX418</f>
        <v>0</v>
      </c>
      <c r="BX418" s="1436"/>
      <c r="BY418" s="1434"/>
      <c r="BZ418" s="1423">
        <f>+CA418</f>
        <v>0</v>
      </c>
      <c r="CA418" s="1436"/>
      <c r="CB418" s="1434"/>
      <c r="CC418" s="1423">
        <f>+CD418</f>
        <v>0</v>
      </c>
      <c r="CD418" s="1436"/>
      <c r="CE418" s="1434"/>
      <c r="CF418" s="1423">
        <f>+CG418</f>
        <v>0</v>
      </c>
      <c r="CG418" s="1436"/>
      <c r="CH418" s="1434"/>
      <c r="CI418" s="1423">
        <f>+CJ418</f>
        <v>0</v>
      </c>
      <c r="CJ418" s="1436"/>
      <c r="CK418" s="1434"/>
      <c r="CL418" s="1423">
        <f>+CM418</f>
        <v>0</v>
      </c>
      <c r="CM418" s="1436"/>
      <c r="CN418" s="1434"/>
      <c r="CO418" s="1423">
        <f>+CP418</f>
        <v>0</v>
      </c>
      <c r="CP418" s="1436"/>
      <c r="CQ418" s="1434"/>
      <c r="CR418" s="1423">
        <f>+CS418</f>
        <v>0</v>
      </c>
      <c r="CS418" s="1436"/>
      <c r="CT418" s="1434"/>
      <c r="CU418" s="1423">
        <f>+CV418</f>
        <v>0</v>
      </c>
      <c r="CV418" s="1436"/>
      <c r="CW418" s="1434"/>
      <c r="CX418" s="1423">
        <f>+CY418</f>
        <v>0</v>
      </c>
      <c r="CY418" s="1436"/>
      <c r="CZ418" s="1434"/>
      <c r="DA418" s="1423">
        <f>+DB418</f>
        <v>0</v>
      </c>
      <c r="DB418" s="1436"/>
      <c r="DC418" s="1434"/>
      <c r="DD418" s="1423">
        <f>+DE418</f>
        <v>0</v>
      </c>
      <c r="DE418" s="1437"/>
      <c r="DF418" s="1434"/>
      <c r="DG418" s="1423">
        <f>+DH418</f>
        <v>0</v>
      </c>
      <c r="DH418" s="1437"/>
      <c r="DI418" s="1434"/>
      <c r="DJ418" s="1423">
        <f>+DK418</f>
        <v>0</v>
      </c>
      <c r="DK418" s="1437"/>
      <c r="DL418" s="1434"/>
      <c r="DM418" s="1423">
        <f>+DN418</f>
        <v>0</v>
      </c>
      <c r="DN418" s="1437"/>
      <c r="DO418" s="1434"/>
      <c r="DP418" s="1423">
        <f>+DQ418</f>
        <v>0</v>
      </c>
      <c r="DQ418" s="1437"/>
      <c r="DR418" s="1434"/>
      <c r="DS418" s="1423">
        <f>+DT418</f>
        <v>0</v>
      </c>
      <c r="DT418" s="1437"/>
      <c r="DU418" s="1434"/>
      <c r="DV418" s="1423">
        <f>+DW418</f>
        <v>0</v>
      </c>
      <c r="DW418" s="1437"/>
      <c r="DX418" s="1434"/>
      <c r="DY418" s="1423">
        <f>+DZ418</f>
        <v>0</v>
      </c>
      <c r="DZ418" s="1437"/>
      <c r="EA418" s="1434"/>
      <c r="EB418" s="1423">
        <f>+EC418</f>
        <v>0</v>
      </c>
      <c r="EC418" s="1437"/>
      <c r="ED418" s="1434"/>
      <c r="EE418" s="1423">
        <f>+EF418</f>
        <v>0</v>
      </c>
      <c r="EF418" s="1437"/>
      <c r="EG418" s="1434"/>
      <c r="EH418" s="1423">
        <f>+EI418</f>
        <v>0</v>
      </c>
      <c r="EI418" s="1437"/>
      <c r="EJ418" s="1434"/>
      <c r="EK418" s="1423">
        <f>+EL418</f>
        <v>0</v>
      </c>
      <c r="EL418" s="1437"/>
      <c r="EM418" s="1434"/>
      <c r="EN418" s="1423">
        <f>+EO418</f>
        <v>0</v>
      </c>
      <c r="EO418" s="1437"/>
      <c r="EP418" s="1434"/>
      <c r="EQ418" s="1423">
        <f>+ER418</f>
        <v>0</v>
      </c>
      <c r="ER418" s="1437"/>
      <c r="ES418" s="1434"/>
      <c r="ET418" s="1423">
        <f>+EU418</f>
        <v>0</v>
      </c>
      <c r="EU418" s="1437"/>
      <c r="EV418" s="1434"/>
      <c r="EW418" s="1423">
        <f>+EX418</f>
        <v>0</v>
      </c>
      <c r="EX418" s="1437"/>
      <c r="EY418" s="1434"/>
      <c r="EZ418" s="1423">
        <f>+FA418</f>
        <v>0</v>
      </c>
      <c r="FA418" s="1437"/>
      <c r="FD418"/>
      <c r="FE418"/>
      <c r="FF418"/>
      <c r="FG418"/>
      <c r="FH418"/>
      <c r="FI418"/>
    </row>
    <row r="419" spans="1:165" s="33" customFormat="1" outlineLevel="1">
      <c r="A419" s="58"/>
      <c r="B419" s="1338" t="s">
        <v>223</v>
      </c>
      <c r="C419" s="58"/>
      <c r="D419" s="58"/>
      <c r="E419" s="1438"/>
      <c r="F419" s="1342">
        <f>+G419-E419</f>
        <v>0</v>
      </c>
      <c r="G419" s="1439"/>
      <c r="H419" s="1440"/>
      <c r="I419" s="1342">
        <f>+J419-H419</f>
        <v>0</v>
      </c>
      <c r="J419" s="1439"/>
      <c r="K419" s="1440"/>
      <c r="L419" s="1342">
        <f>+M419-K419</f>
        <v>0</v>
      </c>
      <c r="M419" s="1439"/>
      <c r="N419" s="1440"/>
      <c r="O419" s="1342">
        <f>+P419-N419</f>
        <v>0</v>
      </c>
      <c r="P419" s="1439"/>
      <c r="Q419" s="1440"/>
      <c r="R419" s="1342">
        <f>+S419-Q419</f>
        <v>0</v>
      </c>
      <c r="S419" s="1439"/>
      <c r="T419" s="1440"/>
      <c r="U419" s="1342">
        <f>+V419-T419</f>
        <v>0</v>
      </c>
      <c r="V419" s="1439"/>
      <c r="W419" s="1440"/>
      <c r="X419" s="1342">
        <f>+Y419-W419</f>
        <v>0</v>
      </c>
      <c r="Y419" s="1439"/>
      <c r="Z419" s="1440"/>
      <c r="AA419" s="1342">
        <f>+AB419-Z419</f>
        <v>0</v>
      </c>
      <c r="AB419" s="1439"/>
      <c r="AC419" s="1440"/>
      <c r="AD419" s="1342">
        <f>+AE419-AC419</f>
        <v>0</v>
      </c>
      <c r="AE419" s="1439"/>
      <c r="AF419" s="1440"/>
      <c r="AG419" s="1342">
        <f>+AH419-AF419</f>
        <v>0</v>
      </c>
      <c r="AH419" s="1439"/>
      <c r="AI419" s="1440"/>
      <c r="AJ419" s="1342">
        <f>+AK419-AI419</f>
        <v>0</v>
      </c>
      <c r="AK419" s="1439"/>
      <c r="AL419" s="1440"/>
      <c r="AM419" s="1342">
        <f>+AN419-AL419</f>
        <v>0</v>
      </c>
      <c r="AN419" s="1439"/>
      <c r="AO419" s="1440"/>
      <c r="AP419" s="1342">
        <f>+AQ419-AO419</f>
        <v>0</v>
      </c>
      <c r="AQ419" s="1439"/>
      <c r="AR419" s="1440"/>
      <c r="AS419" s="1342">
        <f>+AT419-AR419</f>
        <v>0</v>
      </c>
      <c r="AT419" s="1439"/>
      <c r="AU419" s="1440"/>
      <c r="AV419" s="1342">
        <f>+AW419-AU419</f>
        <v>0</v>
      </c>
      <c r="AW419" s="1439"/>
      <c r="AX419" s="1440"/>
      <c r="AY419" s="1342">
        <f>+AZ419-AX419</f>
        <v>0</v>
      </c>
      <c r="AZ419" s="1439"/>
      <c r="BA419" s="1440"/>
      <c r="BB419" s="1342">
        <f>+BC419-BA419</f>
        <v>0</v>
      </c>
      <c r="BC419" s="1439"/>
      <c r="BD419" s="1440"/>
      <c r="BE419" s="1342">
        <f>+BF419-BD419</f>
        <v>0</v>
      </c>
      <c r="BF419" s="1439"/>
      <c r="BG419" s="1440"/>
      <c r="BH419" s="1342">
        <f>+BI419-BG419</f>
        <v>0</v>
      </c>
      <c r="BI419" s="1439"/>
      <c r="BJ419" s="1440"/>
      <c r="BK419" s="1342">
        <f>+BL419-BJ419</f>
        <v>0</v>
      </c>
      <c r="BL419" s="1439"/>
      <c r="BM419" s="1440"/>
      <c r="BN419" s="1342">
        <f>+BO419-BM419</f>
        <v>0</v>
      </c>
      <c r="BO419" s="1442"/>
      <c r="BP419" s="1440"/>
      <c r="BQ419" s="1342">
        <f>+BR419-BP419</f>
        <v>0</v>
      </c>
      <c r="BR419" s="1442"/>
      <c r="BS419" s="1440"/>
      <c r="BT419" s="1342">
        <f>+BU419-BS419</f>
        <v>0</v>
      </c>
      <c r="BU419" s="1442"/>
      <c r="BV419" s="1440"/>
      <c r="BW419" s="1342">
        <f>+BX419-BV419</f>
        <v>0</v>
      </c>
      <c r="BX419" s="1442"/>
      <c r="BY419" s="1440"/>
      <c r="BZ419" s="1342">
        <f>+CA419-BY419</f>
        <v>0</v>
      </c>
      <c r="CA419" s="1442"/>
      <c r="CB419" s="1440"/>
      <c r="CC419" s="1342">
        <f>+CD419-CB419</f>
        <v>0</v>
      </c>
      <c r="CD419" s="1442"/>
      <c r="CE419" s="1440"/>
      <c r="CF419" s="1342">
        <f>+CG419-CE419</f>
        <v>0</v>
      </c>
      <c r="CG419" s="1442"/>
      <c r="CH419" s="1440"/>
      <c r="CI419" s="1342">
        <f>+CJ419-CH419</f>
        <v>0</v>
      </c>
      <c r="CJ419" s="1442"/>
      <c r="CK419" s="1440"/>
      <c r="CL419" s="1342">
        <f>+CM419-CK419</f>
        <v>0</v>
      </c>
      <c r="CM419" s="1442"/>
      <c r="CN419" s="1440"/>
      <c r="CO419" s="1342">
        <f>+CP419-CN419</f>
        <v>0</v>
      </c>
      <c r="CP419" s="1442"/>
      <c r="CQ419" s="1440"/>
      <c r="CR419" s="1342">
        <f>+CS419-CQ419</f>
        <v>0</v>
      </c>
      <c r="CS419" s="1442"/>
      <c r="CT419" s="1440"/>
      <c r="CU419" s="1342">
        <f>+CV419-CT419</f>
        <v>0</v>
      </c>
      <c r="CV419" s="1442"/>
      <c r="CW419" s="1440"/>
      <c r="CX419" s="1342">
        <f>+CY419-CW419</f>
        <v>0</v>
      </c>
      <c r="CY419" s="1442"/>
      <c r="CZ419" s="1440"/>
      <c r="DA419" s="1342">
        <f>+DB419-CZ419</f>
        <v>0</v>
      </c>
      <c r="DB419" s="1442"/>
      <c r="DC419" s="1440"/>
      <c r="DD419" s="1342">
        <f>+DE419-DC419</f>
        <v>0</v>
      </c>
      <c r="DE419" s="1443"/>
      <c r="DF419" s="1440"/>
      <c r="DG419" s="1342">
        <f>+DH419-DF419</f>
        <v>0</v>
      </c>
      <c r="DH419" s="1443"/>
      <c r="DI419" s="1440"/>
      <c r="DJ419" s="1342">
        <f>+DK419-DI419</f>
        <v>0</v>
      </c>
      <c r="DK419" s="1443"/>
      <c r="DL419" s="1440"/>
      <c r="DM419" s="1342">
        <f>+DN419-DL419</f>
        <v>0</v>
      </c>
      <c r="DN419" s="1443"/>
      <c r="DO419" s="1440"/>
      <c r="DP419" s="1342">
        <f>+DQ419-DO419</f>
        <v>0</v>
      </c>
      <c r="DQ419" s="1443"/>
      <c r="DR419" s="1440"/>
      <c r="DS419" s="1342">
        <f>+DT419-DR419</f>
        <v>0</v>
      </c>
      <c r="DT419" s="1443"/>
      <c r="DU419" s="1440"/>
      <c r="DV419" s="1342">
        <f>+DW419-DU419</f>
        <v>0</v>
      </c>
      <c r="DW419" s="1443"/>
      <c r="DX419" s="1440"/>
      <c r="DY419" s="1342">
        <f>+DZ419-DX419</f>
        <v>0</v>
      </c>
      <c r="DZ419" s="1443"/>
      <c r="EA419" s="1440"/>
      <c r="EB419" s="1342">
        <f>+EC419-EA419</f>
        <v>0</v>
      </c>
      <c r="EC419" s="1443"/>
      <c r="ED419" s="1440"/>
      <c r="EE419" s="1342">
        <f>+EF419-ED419</f>
        <v>0</v>
      </c>
      <c r="EF419" s="1443"/>
      <c r="EG419" s="1440"/>
      <c r="EH419" s="1342">
        <f>+EI419-EG419</f>
        <v>0</v>
      </c>
      <c r="EI419" s="1443"/>
      <c r="EJ419" s="1440"/>
      <c r="EK419" s="1342">
        <f>+EL419-EJ419</f>
        <v>0</v>
      </c>
      <c r="EL419" s="1443"/>
      <c r="EM419" s="1440"/>
      <c r="EN419" s="1342">
        <f>+EO419-EM419</f>
        <v>0</v>
      </c>
      <c r="EO419" s="1443"/>
      <c r="EP419" s="1440"/>
      <c r="EQ419" s="1342">
        <f>+ER419-EP419</f>
        <v>0</v>
      </c>
      <c r="ER419" s="1443"/>
      <c r="ES419" s="1440"/>
      <c r="ET419" s="1342">
        <f>+EU419-ES419</f>
        <v>0</v>
      </c>
      <c r="EU419" s="1443"/>
      <c r="EV419" s="1440"/>
      <c r="EW419" s="1342">
        <f>+EX419-EV419</f>
        <v>0</v>
      </c>
      <c r="EX419" s="1443"/>
      <c r="EY419" s="1440"/>
      <c r="EZ419" s="1342">
        <f>+FA419-EY419</f>
        <v>0</v>
      </c>
      <c r="FA419" s="1443"/>
      <c r="FD419"/>
      <c r="FE419"/>
      <c r="FF419"/>
      <c r="FG419"/>
      <c r="FH419"/>
      <c r="FI419"/>
    </row>
    <row r="420" spans="1:165" s="1456" customFormat="1" ht="13.5" outlineLevel="1" thickBot="1">
      <c r="A420" s="1455"/>
      <c r="B420" s="1338" t="s">
        <v>226</v>
      </c>
      <c r="C420" s="1455"/>
      <c r="D420" s="1455"/>
      <c r="E420" s="1444" t="s">
        <v>227</v>
      </c>
      <c r="F420" s="1021"/>
      <c r="G420" s="1445" t="str">
        <f>+E420</f>
        <v>N</v>
      </c>
      <c r="H420" s="1446" t="str">
        <f>G420</f>
        <v>N</v>
      </c>
      <c r="I420" s="1021"/>
      <c r="J420" s="1445" t="str">
        <f>+H420</f>
        <v>N</v>
      </c>
      <c r="K420" s="1446" t="str">
        <f>J420</f>
        <v>N</v>
      </c>
      <c r="L420" s="1021"/>
      <c r="M420" s="1445" t="str">
        <f>+K420</f>
        <v>N</v>
      </c>
      <c r="N420" s="1446" t="str">
        <f>M420</f>
        <v>N</v>
      </c>
      <c r="O420" s="1021"/>
      <c r="P420" s="1445" t="str">
        <f>+N420</f>
        <v>N</v>
      </c>
      <c r="Q420" s="1446" t="str">
        <f>P420</f>
        <v>N</v>
      </c>
      <c r="R420" s="1021"/>
      <c r="S420" s="1445" t="str">
        <f>+Q420</f>
        <v>N</v>
      </c>
      <c r="T420" s="1446" t="str">
        <f>S420</f>
        <v>N</v>
      </c>
      <c r="U420" s="1021"/>
      <c r="V420" s="1445" t="str">
        <f>+T420</f>
        <v>N</v>
      </c>
      <c r="W420" s="1446" t="str">
        <f>V420</f>
        <v>N</v>
      </c>
      <c r="X420" s="1021"/>
      <c r="Y420" s="1445" t="str">
        <f>+W420</f>
        <v>N</v>
      </c>
      <c r="Z420" s="1446" t="str">
        <f>Y420</f>
        <v>N</v>
      </c>
      <c r="AA420" s="1021"/>
      <c r="AB420" s="1445" t="str">
        <f>+Z420</f>
        <v>N</v>
      </c>
      <c r="AC420" s="1446" t="str">
        <f>AB420</f>
        <v>N</v>
      </c>
      <c r="AD420" s="1021"/>
      <c r="AE420" s="1445" t="str">
        <f>+AC420</f>
        <v>N</v>
      </c>
      <c r="AF420" s="1446" t="str">
        <f>AE420</f>
        <v>N</v>
      </c>
      <c r="AG420" s="1021"/>
      <c r="AH420" s="1445" t="str">
        <f>+AF420</f>
        <v>N</v>
      </c>
      <c r="AI420" s="1446" t="str">
        <f>AH420</f>
        <v>N</v>
      </c>
      <c r="AJ420" s="1021"/>
      <c r="AK420" s="1445" t="str">
        <f>+AI420</f>
        <v>N</v>
      </c>
      <c r="AL420" s="1446" t="str">
        <f>AK420</f>
        <v>N</v>
      </c>
      <c r="AM420" s="1021"/>
      <c r="AN420" s="1445" t="str">
        <f>+AL420</f>
        <v>N</v>
      </c>
      <c r="AO420" s="1446" t="str">
        <f>AN420</f>
        <v>N</v>
      </c>
      <c r="AP420" s="1021"/>
      <c r="AQ420" s="1445" t="str">
        <f>+AO420</f>
        <v>N</v>
      </c>
      <c r="AR420" s="1446" t="str">
        <f>AQ420</f>
        <v>N</v>
      </c>
      <c r="AS420" s="1021"/>
      <c r="AT420" s="1445" t="str">
        <f>+AR420</f>
        <v>N</v>
      </c>
      <c r="AU420" s="1446" t="str">
        <f>AT420</f>
        <v>N</v>
      </c>
      <c r="AV420" s="1021"/>
      <c r="AW420" s="1445" t="str">
        <f>+AU420</f>
        <v>N</v>
      </c>
      <c r="AX420" s="1446" t="str">
        <f>AW420</f>
        <v>N</v>
      </c>
      <c r="AY420" s="1021"/>
      <c r="AZ420" s="1445" t="str">
        <f>+AX420</f>
        <v>N</v>
      </c>
      <c r="BA420" s="1446" t="str">
        <f>AZ420</f>
        <v>N</v>
      </c>
      <c r="BB420" s="1021"/>
      <c r="BC420" s="1445" t="str">
        <f>+BA420</f>
        <v>N</v>
      </c>
      <c r="BD420" s="1446" t="str">
        <f>BC420</f>
        <v>N</v>
      </c>
      <c r="BE420" s="1021"/>
      <c r="BF420" s="1445" t="str">
        <f>+BD420</f>
        <v>N</v>
      </c>
      <c r="BG420" s="1446" t="str">
        <f>BF420</f>
        <v>N</v>
      </c>
      <c r="BH420" s="1021"/>
      <c r="BI420" s="1445" t="str">
        <f>+BG420</f>
        <v>N</v>
      </c>
      <c r="BJ420" s="1446" t="str">
        <f>BI420</f>
        <v>N</v>
      </c>
      <c r="BK420" s="1021"/>
      <c r="BL420" s="1445" t="str">
        <f>+BJ420</f>
        <v>N</v>
      </c>
      <c r="BM420" s="1446" t="str">
        <f>BL420</f>
        <v>N</v>
      </c>
      <c r="BN420" s="1021"/>
      <c r="BO420" s="1448" t="str">
        <f>+BM420</f>
        <v>N</v>
      </c>
      <c r="BP420" s="1446" t="str">
        <f>BO420</f>
        <v>N</v>
      </c>
      <c r="BQ420" s="1021"/>
      <c r="BR420" s="1448" t="str">
        <f>+BP420</f>
        <v>N</v>
      </c>
      <c r="BS420" s="1446" t="str">
        <f>BR420</f>
        <v>N</v>
      </c>
      <c r="BT420" s="1021"/>
      <c r="BU420" s="1448" t="str">
        <f>+BS420</f>
        <v>N</v>
      </c>
      <c r="BV420" s="1446" t="str">
        <f>BU420</f>
        <v>N</v>
      </c>
      <c r="BW420" s="1021"/>
      <c r="BX420" s="1448" t="str">
        <f>+BV420</f>
        <v>N</v>
      </c>
      <c r="BY420" s="1446" t="str">
        <f>BX420</f>
        <v>N</v>
      </c>
      <c r="BZ420" s="1021"/>
      <c r="CA420" s="1448" t="str">
        <f>+BY420</f>
        <v>N</v>
      </c>
      <c r="CB420" s="1446" t="str">
        <f>CA420</f>
        <v>N</v>
      </c>
      <c r="CC420" s="1021"/>
      <c r="CD420" s="1448" t="str">
        <f>+CB420</f>
        <v>N</v>
      </c>
      <c r="CE420" s="1446" t="str">
        <f>CD420</f>
        <v>N</v>
      </c>
      <c r="CF420" s="1021"/>
      <c r="CG420" s="1448" t="str">
        <f>+CE420</f>
        <v>N</v>
      </c>
      <c r="CH420" s="1446" t="str">
        <f>CG420</f>
        <v>N</v>
      </c>
      <c r="CI420" s="1021"/>
      <c r="CJ420" s="1448" t="str">
        <f>+CH420</f>
        <v>N</v>
      </c>
      <c r="CK420" s="1446" t="str">
        <f>CJ420</f>
        <v>N</v>
      </c>
      <c r="CL420" s="1021"/>
      <c r="CM420" s="1448" t="str">
        <f>+CK420</f>
        <v>N</v>
      </c>
      <c r="CN420" s="1446" t="str">
        <f>CM420</f>
        <v>N</v>
      </c>
      <c r="CO420" s="1021"/>
      <c r="CP420" s="1448" t="str">
        <f>+CN420</f>
        <v>N</v>
      </c>
      <c r="CQ420" s="1446" t="str">
        <f>CP420</f>
        <v>N</v>
      </c>
      <c r="CR420" s="1021"/>
      <c r="CS420" s="1448" t="str">
        <f>+CQ420</f>
        <v>N</v>
      </c>
      <c r="CT420" s="1446" t="str">
        <f>CS420</f>
        <v>N</v>
      </c>
      <c r="CU420" s="1021"/>
      <c r="CV420" s="1448" t="str">
        <f>+CT420</f>
        <v>N</v>
      </c>
      <c r="CW420" s="1446" t="str">
        <f>CV420</f>
        <v>N</v>
      </c>
      <c r="CX420" s="1021"/>
      <c r="CY420" s="1448" t="str">
        <f>+CW420</f>
        <v>N</v>
      </c>
      <c r="CZ420" s="1446" t="str">
        <f>CY420</f>
        <v>N</v>
      </c>
      <c r="DA420" s="1021"/>
      <c r="DB420" s="1448" t="str">
        <f>+CZ420</f>
        <v>N</v>
      </c>
      <c r="DC420" s="1446" t="str">
        <f>DB420</f>
        <v>N</v>
      </c>
      <c r="DD420" s="1021"/>
      <c r="DE420" s="1449" t="str">
        <f>+DC420</f>
        <v>N</v>
      </c>
      <c r="DF420" s="1446" t="str">
        <f>DE420</f>
        <v>N</v>
      </c>
      <c r="DG420" s="1021"/>
      <c r="DH420" s="1449" t="str">
        <f>+DF420</f>
        <v>N</v>
      </c>
      <c r="DI420" s="1446" t="str">
        <f>DH420</f>
        <v>N</v>
      </c>
      <c r="DJ420" s="1021"/>
      <c r="DK420" s="1449" t="str">
        <f>+DI420</f>
        <v>N</v>
      </c>
      <c r="DL420" s="1446" t="str">
        <f>DK420</f>
        <v>N</v>
      </c>
      <c r="DM420" s="1021"/>
      <c r="DN420" s="1449" t="str">
        <f>+DL420</f>
        <v>N</v>
      </c>
      <c r="DO420" s="1446" t="str">
        <f>DN420</f>
        <v>N</v>
      </c>
      <c r="DP420" s="1021"/>
      <c r="DQ420" s="1449" t="str">
        <f>+DO420</f>
        <v>N</v>
      </c>
      <c r="DR420" s="1446" t="str">
        <f>DQ420</f>
        <v>N</v>
      </c>
      <c r="DS420" s="1021"/>
      <c r="DT420" s="1449" t="str">
        <f>+DR420</f>
        <v>N</v>
      </c>
      <c r="DU420" s="1446" t="str">
        <f>DT420</f>
        <v>N</v>
      </c>
      <c r="DV420" s="1021"/>
      <c r="DW420" s="1449" t="str">
        <f>+DU420</f>
        <v>N</v>
      </c>
      <c r="DX420" s="1446" t="str">
        <f>DW420</f>
        <v>N</v>
      </c>
      <c r="DY420" s="1021"/>
      <c r="DZ420" s="1449" t="str">
        <f>+DX420</f>
        <v>N</v>
      </c>
      <c r="EA420" s="1446" t="str">
        <f>DZ420</f>
        <v>N</v>
      </c>
      <c r="EB420" s="1021"/>
      <c r="EC420" s="1449" t="str">
        <f>+EA420</f>
        <v>N</v>
      </c>
      <c r="ED420" s="1446" t="str">
        <f>EC420</f>
        <v>N</v>
      </c>
      <c r="EE420" s="1021"/>
      <c r="EF420" s="1449" t="str">
        <f>+ED420</f>
        <v>N</v>
      </c>
      <c r="EG420" s="1446" t="str">
        <f>EF420</f>
        <v>N</v>
      </c>
      <c r="EH420" s="1021"/>
      <c r="EI420" s="1449" t="str">
        <f>+EG420</f>
        <v>N</v>
      </c>
      <c r="EJ420" s="1446" t="str">
        <f>EI420</f>
        <v>N</v>
      </c>
      <c r="EK420" s="1021"/>
      <c r="EL420" s="1449" t="str">
        <f>+EJ420</f>
        <v>N</v>
      </c>
      <c r="EM420" s="1446" t="str">
        <f>EL420</f>
        <v>N</v>
      </c>
      <c r="EN420" s="1021"/>
      <c r="EO420" s="1449" t="str">
        <f>+EM420</f>
        <v>N</v>
      </c>
      <c r="EP420" s="1446" t="str">
        <f>EO420</f>
        <v>N</v>
      </c>
      <c r="EQ420" s="1021"/>
      <c r="ER420" s="1449" t="str">
        <f>+EP420</f>
        <v>N</v>
      </c>
      <c r="ES420" s="1446" t="str">
        <f>ER420</f>
        <v>N</v>
      </c>
      <c r="ET420" s="1021"/>
      <c r="EU420" s="1449" t="str">
        <f>+ES420</f>
        <v>N</v>
      </c>
      <c r="EV420" s="1446" t="str">
        <f>EU420</f>
        <v>N</v>
      </c>
      <c r="EW420" s="1021"/>
      <c r="EX420" s="1449" t="str">
        <f>+EV420</f>
        <v>N</v>
      </c>
      <c r="EY420" s="1446" t="str">
        <f>EX420</f>
        <v>N</v>
      </c>
      <c r="EZ420" s="1021"/>
      <c r="FA420" s="1449" t="str">
        <f>+EY420</f>
        <v>N</v>
      </c>
      <c r="FD420"/>
      <c r="FE420"/>
      <c r="FF420"/>
      <c r="FG420"/>
      <c r="FH420"/>
      <c r="FI420"/>
    </row>
    <row r="421" spans="1:165" s="33" customFormat="1" ht="13.5" outlineLevel="1" thickBot="1">
      <c r="A421" s="58"/>
      <c r="B421" s="58"/>
      <c r="C421" s="58"/>
      <c r="D421" s="58"/>
      <c r="E421" s="1450"/>
      <c r="F421" s="1450"/>
      <c r="G421" s="1451"/>
      <c r="H421" s="1450"/>
      <c r="I421" s="1450"/>
      <c r="J421" s="1451"/>
      <c r="K421" s="1450"/>
      <c r="L421" s="1450"/>
      <c r="M421" s="1451"/>
      <c r="N421" s="1450"/>
      <c r="O421" s="1450"/>
      <c r="P421" s="1451"/>
      <c r="Q421" s="1452"/>
      <c r="R421" s="1452"/>
      <c r="S421" s="1453"/>
      <c r="T421" s="1452"/>
      <c r="U421" s="1452"/>
      <c r="V421" s="1451"/>
      <c r="W421" s="1450"/>
      <c r="X421" s="1450"/>
      <c r="Y421" s="1451"/>
      <c r="Z421" s="1450"/>
      <c r="AA421" s="1450"/>
      <c r="AB421" s="1451"/>
      <c r="AC421" s="1450"/>
      <c r="AD421" s="1450"/>
      <c r="AE421" s="1451"/>
      <c r="AF421" s="1450"/>
      <c r="AG421" s="1450"/>
      <c r="AH421" s="1451"/>
      <c r="AI421" s="1450"/>
      <c r="AJ421" s="1450"/>
      <c r="AK421" s="1451"/>
      <c r="AL421" s="1450"/>
      <c r="AM421" s="1450"/>
      <c r="AN421" s="1451"/>
      <c r="AO421" s="1450"/>
      <c r="AP421" s="1450"/>
      <c r="AQ421" s="1451"/>
      <c r="AR421" s="1450"/>
      <c r="AS421" s="1450"/>
      <c r="AT421" s="1451"/>
      <c r="AU421" s="1450"/>
      <c r="AV421" s="1450"/>
      <c r="AW421" s="1451"/>
      <c r="AX421" s="1450"/>
      <c r="AY421" s="1450"/>
      <c r="AZ421" s="1451"/>
      <c r="BA421" s="1450"/>
      <c r="BB421" s="1450"/>
      <c r="BC421" s="1451"/>
      <c r="BD421" s="1450"/>
      <c r="BE421" s="1450"/>
      <c r="BF421" s="1451"/>
      <c r="BG421" s="1450"/>
      <c r="BH421" s="1450"/>
      <c r="BI421" s="1451"/>
      <c r="BJ421" s="1450"/>
      <c r="BK421" s="1450"/>
      <c r="BL421" s="1451"/>
      <c r="BM421" s="1450"/>
      <c r="BN421" s="1450"/>
      <c r="BO421" s="1451"/>
      <c r="BP421" s="1450"/>
      <c r="BQ421" s="1450"/>
      <c r="BR421" s="1451"/>
      <c r="BS421" s="1450"/>
      <c r="BT421" s="1450"/>
      <c r="BU421" s="1451"/>
      <c r="BV421" s="1450"/>
      <c r="BW421" s="1450"/>
      <c r="BX421" s="1451"/>
      <c r="BY421" s="1450"/>
      <c r="BZ421" s="1450"/>
      <c r="CA421" s="1451"/>
      <c r="CB421" s="1450"/>
      <c r="CC421" s="1450"/>
      <c r="CD421" s="1451"/>
      <c r="CE421" s="1450"/>
      <c r="CF421" s="1450"/>
      <c r="CG421" s="1451"/>
      <c r="CH421" s="1450"/>
      <c r="CI421" s="1450"/>
      <c r="CJ421" s="1451"/>
      <c r="CK421" s="1450"/>
      <c r="CL421" s="1450"/>
      <c r="CM421" s="1451"/>
      <c r="CN421" s="1450"/>
      <c r="CO421" s="1450"/>
      <c r="CP421" s="1451"/>
      <c r="CQ421" s="1450"/>
      <c r="CR421" s="1450"/>
      <c r="CS421" s="1451"/>
      <c r="CT421" s="1450"/>
      <c r="CU421" s="1450"/>
      <c r="CV421" s="1451"/>
      <c r="CW421" s="1450"/>
      <c r="CX421" s="1450"/>
      <c r="CY421" s="1451"/>
      <c r="CZ421" s="1450"/>
      <c r="DA421" s="1450"/>
      <c r="DB421" s="1451"/>
      <c r="DC421" s="1450"/>
      <c r="DD421" s="1450"/>
      <c r="DE421" s="1454"/>
      <c r="DF421" s="1450"/>
      <c r="DG421" s="1450"/>
      <c r="DH421" s="1454"/>
      <c r="DI421" s="1450"/>
      <c r="DJ421" s="1450"/>
      <c r="DK421" s="1454"/>
      <c r="DL421" s="1450"/>
      <c r="DM421" s="1450"/>
      <c r="DN421" s="1454"/>
      <c r="DO421" s="1450"/>
      <c r="DP421" s="1450"/>
      <c r="DQ421" s="1454"/>
      <c r="DR421" s="1450"/>
      <c r="DS421" s="1450"/>
      <c r="DT421" s="1454"/>
      <c r="DU421" s="1450"/>
      <c r="DV421" s="1450"/>
      <c r="DW421" s="1454"/>
      <c r="DX421" s="1450"/>
      <c r="DY421" s="1450"/>
      <c r="DZ421" s="1454"/>
      <c r="EA421" s="1450"/>
      <c r="EB421" s="1450"/>
      <c r="EC421" s="1454"/>
      <c r="ED421" s="1450"/>
      <c r="EE421" s="1450"/>
      <c r="EF421" s="1454"/>
      <c r="EG421" s="1450"/>
      <c r="EH421" s="1450"/>
      <c r="EI421" s="1454"/>
      <c r="EJ421" s="1450"/>
      <c r="EK421" s="1450"/>
      <c r="EL421" s="1454"/>
      <c r="EM421" s="1450"/>
      <c r="EN421" s="1450"/>
      <c r="EO421" s="1454"/>
      <c r="EP421" s="1450"/>
      <c r="EQ421" s="1450"/>
      <c r="ER421" s="1454"/>
      <c r="ES421" s="1450"/>
      <c r="ET421" s="1450"/>
      <c r="EU421" s="1454"/>
      <c r="EV421" s="1450"/>
      <c r="EW421" s="1450"/>
      <c r="EX421" s="1454"/>
      <c r="EY421" s="1450"/>
      <c r="EZ421" s="1450"/>
      <c r="FA421" s="1454"/>
      <c r="FD421"/>
      <c r="FE421"/>
      <c r="FF421"/>
      <c r="FG421"/>
      <c r="FH421"/>
      <c r="FI421"/>
    </row>
    <row r="422" spans="1:165" s="33" customFormat="1" outlineLevel="1">
      <c r="A422" s="58"/>
      <c r="B422" s="1338" t="s">
        <v>231</v>
      </c>
      <c r="C422" s="58"/>
      <c r="D422" s="58"/>
      <c r="E422" s="1422"/>
      <c r="F422" s="1423">
        <f>+G422</f>
        <v>0</v>
      </c>
      <c r="G422" s="1424"/>
      <c r="H422" s="1425"/>
      <c r="I422" s="1423">
        <f>+J422</f>
        <v>0</v>
      </c>
      <c r="J422" s="1424"/>
      <c r="K422" s="1425"/>
      <c r="L422" s="1423">
        <f>+M422</f>
        <v>0</v>
      </c>
      <c r="M422" s="1424"/>
      <c r="N422" s="1425"/>
      <c r="O422" s="1423">
        <f>+P422</f>
        <v>0</v>
      </c>
      <c r="P422" s="1424"/>
      <c r="Q422" s="1425"/>
      <c r="R422" s="1423">
        <f>+S422</f>
        <v>0</v>
      </c>
      <c r="S422" s="1424"/>
      <c r="T422" s="1425"/>
      <c r="U422" s="1423">
        <f>+V422</f>
        <v>0</v>
      </c>
      <c r="V422" s="1424"/>
      <c r="W422" s="1425"/>
      <c r="X422" s="1423">
        <f>+Y422</f>
        <v>0</v>
      </c>
      <c r="Y422" s="1424"/>
      <c r="Z422" s="1425"/>
      <c r="AA422" s="1423">
        <f>+AB422</f>
        <v>0</v>
      </c>
      <c r="AB422" s="1424"/>
      <c r="AC422" s="1425"/>
      <c r="AD422" s="1423">
        <f>+AE422</f>
        <v>0</v>
      </c>
      <c r="AE422" s="1424"/>
      <c r="AF422" s="1425"/>
      <c r="AG422" s="1423">
        <f>+AH422</f>
        <v>0</v>
      </c>
      <c r="AH422" s="1424"/>
      <c r="AI422" s="1425"/>
      <c r="AJ422" s="1423">
        <f>+AK422</f>
        <v>0</v>
      </c>
      <c r="AK422" s="1424"/>
      <c r="AL422" s="1425"/>
      <c r="AM422" s="1423">
        <f>+AN422</f>
        <v>0</v>
      </c>
      <c r="AN422" s="1424"/>
      <c r="AO422" s="1425"/>
      <c r="AP422" s="1423">
        <f>+AQ422</f>
        <v>0</v>
      </c>
      <c r="AQ422" s="1424"/>
      <c r="AR422" s="1425"/>
      <c r="AS422" s="1423">
        <f>+AT422</f>
        <v>0</v>
      </c>
      <c r="AT422" s="1424"/>
      <c r="AU422" s="1425"/>
      <c r="AV422" s="1423">
        <f>+AW422</f>
        <v>0</v>
      </c>
      <c r="AW422" s="1424"/>
      <c r="AX422" s="1425"/>
      <c r="AY422" s="1423">
        <f>+AZ422</f>
        <v>0</v>
      </c>
      <c r="AZ422" s="1424"/>
      <c r="BA422" s="1425"/>
      <c r="BB422" s="1423">
        <f>+BC422</f>
        <v>0</v>
      </c>
      <c r="BC422" s="1424"/>
      <c r="BD422" s="1425"/>
      <c r="BE422" s="1423">
        <f>+BF422</f>
        <v>0</v>
      </c>
      <c r="BF422" s="1424"/>
      <c r="BG422" s="1425"/>
      <c r="BH422" s="1423">
        <f>+BI422</f>
        <v>0</v>
      </c>
      <c r="BI422" s="1424"/>
      <c r="BJ422" s="1425"/>
      <c r="BK422" s="1423">
        <f>+BL422</f>
        <v>0</v>
      </c>
      <c r="BL422" s="1424"/>
      <c r="BM422" s="1425"/>
      <c r="BN422" s="1423">
        <f>+BO422</f>
        <v>0</v>
      </c>
      <c r="BO422" s="1427"/>
      <c r="BP422" s="1425"/>
      <c r="BQ422" s="1423">
        <f>+BR422</f>
        <v>0</v>
      </c>
      <c r="BR422" s="1427"/>
      <c r="BS422" s="1425"/>
      <c r="BT422" s="1423">
        <f>+BU422</f>
        <v>0</v>
      </c>
      <c r="BU422" s="1427"/>
      <c r="BV422" s="1425"/>
      <c r="BW422" s="1423">
        <f>+BX422</f>
        <v>0</v>
      </c>
      <c r="BX422" s="1427"/>
      <c r="BY422" s="1425"/>
      <c r="BZ422" s="1423">
        <f>+CA422</f>
        <v>0</v>
      </c>
      <c r="CA422" s="1427"/>
      <c r="CB422" s="1425"/>
      <c r="CC422" s="1423">
        <f>+CD422</f>
        <v>0</v>
      </c>
      <c r="CD422" s="1427"/>
      <c r="CE422" s="1425"/>
      <c r="CF422" s="1423">
        <f>+CG422</f>
        <v>0</v>
      </c>
      <c r="CG422" s="1427"/>
      <c r="CH422" s="1425"/>
      <c r="CI422" s="1423">
        <f>+CJ422</f>
        <v>0</v>
      </c>
      <c r="CJ422" s="1427"/>
      <c r="CK422" s="1425"/>
      <c r="CL422" s="1423">
        <f>+CM422</f>
        <v>0</v>
      </c>
      <c r="CM422" s="1427"/>
      <c r="CN422" s="1425"/>
      <c r="CO422" s="1423">
        <f>+CP422</f>
        <v>0</v>
      </c>
      <c r="CP422" s="1427"/>
      <c r="CQ422" s="1425"/>
      <c r="CR422" s="1423">
        <f>+CS422</f>
        <v>0</v>
      </c>
      <c r="CS422" s="1427"/>
      <c r="CT422" s="1425"/>
      <c r="CU422" s="1423">
        <f>+CV422</f>
        <v>0</v>
      </c>
      <c r="CV422" s="1427"/>
      <c r="CW422" s="1425"/>
      <c r="CX422" s="1423">
        <f>+CY422</f>
        <v>0</v>
      </c>
      <c r="CY422" s="1427"/>
      <c r="CZ422" s="1425"/>
      <c r="DA422" s="1423">
        <f>+DB422</f>
        <v>0</v>
      </c>
      <c r="DB422" s="1427"/>
      <c r="DC422" s="1425"/>
      <c r="DD422" s="1423">
        <f>+DE422</f>
        <v>0</v>
      </c>
      <c r="DE422" s="1430"/>
      <c r="DF422" s="1425"/>
      <c r="DG422" s="1423">
        <f>+DH422</f>
        <v>0</v>
      </c>
      <c r="DH422" s="1430"/>
      <c r="DI422" s="1425"/>
      <c r="DJ422" s="1423">
        <f>+DK422</f>
        <v>0</v>
      </c>
      <c r="DK422" s="1430"/>
      <c r="DL422" s="1425"/>
      <c r="DM422" s="1423">
        <f>+DN422</f>
        <v>0</v>
      </c>
      <c r="DN422" s="1430"/>
      <c r="DO422" s="1425"/>
      <c r="DP422" s="1423">
        <f>+DQ422</f>
        <v>0</v>
      </c>
      <c r="DQ422" s="1430"/>
      <c r="DR422" s="1425"/>
      <c r="DS422" s="1423">
        <f>+DT422</f>
        <v>0</v>
      </c>
      <c r="DT422" s="1430"/>
      <c r="DU422" s="1425"/>
      <c r="DV422" s="1423">
        <f>+DW422</f>
        <v>0</v>
      </c>
      <c r="DW422" s="1430"/>
      <c r="DX422" s="1425"/>
      <c r="DY422" s="1423">
        <f>+DZ422</f>
        <v>0</v>
      </c>
      <c r="DZ422" s="1430"/>
      <c r="EA422" s="1425"/>
      <c r="EB422" s="1423">
        <f>+EC422</f>
        <v>0</v>
      </c>
      <c r="EC422" s="1430"/>
      <c r="ED422" s="1425"/>
      <c r="EE422" s="1423">
        <f>+EF422</f>
        <v>0</v>
      </c>
      <c r="EF422" s="1430"/>
      <c r="EG422" s="1425"/>
      <c r="EH422" s="1423">
        <f>+EI422</f>
        <v>0</v>
      </c>
      <c r="EI422" s="1430"/>
      <c r="EJ422" s="1425"/>
      <c r="EK422" s="1423">
        <f>+EL422</f>
        <v>0</v>
      </c>
      <c r="EL422" s="1430"/>
      <c r="EM422" s="1425"/>
      <c r="EN422" s="1423">
        <f>+EO422</f>
        <v>0</v>
      </c>
      <c r="EO422" s="1430"/>
      <c r="EP422" s="1425"/>
      <c r="EQ422" s="1423">
        <f>+ER422</f>
        <v>0</v>
      </c>
      <c r="ER422" s="1430"/>
      <c r="ES422" s="1425"/>
      <c r="ET422" s="1423">
        <f>+EU422</f>
        <v>0</v>
      </c>
      <c r="EU422" s="1430"/>
      <c r="EV422" s="1425"/>
      <c r="EW422" s="1423">
        <f>+EX422</f>
        <v>0</v>
      </c>
      <c r="EX422" s="1430"/>
      <c r="EY422" s="1425"/>
      <c r="EZ422" s="1423">
        <f>+FA422</f>
        <v>0</v>
      </c>
      <c r="FA422" s="1430"/>
      <c r="FD422"/>
      <c r="FE422"/>
      <c r="FF422"/>
      <c r="FG422"/>
      <c r="FH422"/>
      <c r="FI422"/>
    </row>
    <row r="423" spans="1:165" s="35" customFormat="1" outlineLevel="1">
      <c r="B423" s="1338" t="s">
        <v>50</v>
      </c>
      <c r="C423" s="1338"/>
      <c r="D423" s="1339"/>
      <c r="E423" s="1432"/>
      <c r="F423" s="1423">
        <f>+G423</f>
        <v>0</v>
      </c>
      <c r="G423" s="1433"/>
      <c r="H423" s="1434"/>
      <c r="I423" s="1423">
        <f>+J423</f>
        <v>0</v>
      </c>
      <c r="J423" s="1433"/>
      <c r="K423" s="1434"/>
      <c r="L423" s="1423">
        <f>+M423</f>
        <v>0</v>
      </c>
      <c r="M423" s="1433"/>
      <c r="N423" s="1434"/>
      <c r="O423" s="1423">
        <f>+P423</f>
        <v>0</v>
      </c>
      <c r="P423" s="1433"/>
      <c r="Q423" s="1434"/>
      <c r="R423" s="1423">
        <f>+S423</f>
        <v>0</v>
      </c>
      <c r="S423" s="1433"/>
      <c r="T423" s="1434"/>
      <c r="U423" s="1423">
        <f>+V423</f>
        <v>0</v>
      </c>
      <c r="V423" s="1433"/>
      <c r="W423" s="1434"/>
      <c r="X423" s="1423">
        <f>+Y423</f>
        <v>0</v>
      </c>
      <c r="Y423" s="1433"/>
      <c r="Z423" s="1434"/>
      <c r="AA423" s="1423">
        <f>+AB423</f>
        <v>0</v>
      </c>
      <c r="AB423" s="1433"/>
      <c r="AC423" s="1434"/>
      <c r="AD423" s="1423">
        <f>+AE423</f>
        <v>0</v>
      </c>
      <c r="AE423" s="1433"/>
      <c r="AF423" s="1434"/>
      <c r="AG423" s="1423">
        <f>+AH423</f>
        <v>0</v>
      </c>
      <c r="AH423" s="1433"/>
      <c r="AI423" s="1434"/>
      <c r="AJ423" s="1423">
        <f>+AK423</f>
        <v>0</v>
      </c>
      <c r="AK423" s="1433"/>
      <c r="AL423" s="1434"/>
      <c r="AM423" s="1423">
        <f>+AN423</f>
        <v>0</v>
      </c>
      <c r="AN423" s="1433"/>
      <c r="AO423" s="1434"/>
      <c r="AP423" s="1423">
        <f>+AQ423</f>
        <v>0</v>
      </c>
      <c r="AQ423" s="1433"/>
      <c r="AR423" s="1434"/>
      <c r="AS423" s="1423">
        <f>+AT423</f>
        <v>0</v>
      </c>
      <c r="AT423" s="1433"/>
      <c r="AU423" s="1434"/>
      <c r="AV423" s="1423">
        <f>+AW423</f>
        <v>0</v>
      </c>
      <c r="AW423" s="1433"/>
      <c r="AX423" s="1434"/>
      <c r="AY423" s="1423">
        <f>+AZ423</f>
        <v>0</v>
      </c>
      <c r="AZ423" s="1433"/>
      <c r="BA423" s="1434"/>
      <c r="BB423" s="1423">
        <f>+BC423</f>
        <v>0</v>
      </c>
      <c r="BC423" s="1433"/>
      <c r="BD423" s="1434"/>
      <c r="BE423" s="1423">
        <f>+BF423</f>
        <v>0</v>
      </c>
      <c r="BF423" s="1433"/>
      <c r="BG423" s="1434"/>
      <c r="BH423" s="1423">
        <f>+BI423</f>
        <v>0</v>
      </c>
      <c r="BI423" s="1433"/>
      <c r="BJ423" s="1434"/>
      <c r="BK423" s="1423">
        <f>+BL423</f>
        <v>0</v>
      </c>
      <c r="BL423" s="1433"/>
      <c r="BM423" s="1434"/>
      <c r="BN423" s="1423">
        <f>+BO423</f>
        <v>0</v>
      </c>
      <c r="BO423" s="1436"/>
      <c r="BP423" s="1434"/>
      <c r="BQ423" s="1423">
        <f>+BR423</f>
        <v>0</v>
      </c>
      <c r="BR423" s="1436"/>
      <c r="BS423" s="1434"/>
      <c r="BT423" s="1423">
        <f>+BU423</f>
        <v>0</v>
      </c>
      <c r="BU423" s="1436"/>
      <c r="BV423" s="1434"/>
      <c r="BW423" s="1423">
        <f>+BX423</f>
        <v>0</v>
      </c>
      <c r="BX423" s="1436"/>
      <c r="BY423" s="1434"/>
      <c r="BZ423" s="1423">
        <f>+CA423</f>
        <v>0</v>
      </c>
      <c r="CA423" s="1436"/>
      <c r="CB423" s="1434"/>
      <c r="CC423" s="1423">
        <f>+CD423</f>
        <v>0</v>
      </c>
      <c r="CD423" s="1436"/>
      <c r="CE423" s="1434"/>
      <c r="CF423" s="1423">
        <f>+CG423</f>
        <v>0</v>
      </c>
      <c r="CG423" s="1436"/>
      <c r="CH423" s="1434"/>
      <c r="CI423" s="1423">
        <f>+CJ423</f>
        <v>0</v>
      </c>
      <c r="CJ423" s="1436"/>
      <c r="CK423" s="1434"/>
      <c r="CL423" s="1423">
        <f>+CM423</f>
        <v>0</v>
      </c>
      <c r="CM423" s="1436"/>
      <c r="CN423" s="1434"/>
      <c r="CO423" s="1423">
        <f>+CP423</f>
        <v>0</v>
      </c>
      <c r="CP423" s="1436"/>
      <c r="CQ423" s="1434"/>
      <c r="CR423" s="1423">
        <f>+CS423</f>
        <v>0</v>
      </c>
      <c r="CS423" s="1436"/>
      <c r="CT423" s="1434"/>
      <c r="CU423" s="1423">
        <f>+CV423</f>
        <v>0</v>
      </c>
      <c r="CV423" s="1436"/>
      <c r="CW423" s="1434"/>
      <c r="CX423" s="1423">
        <f>+CY423</f>
        <v>0</v>
      </c>
      <c r="CY423" s="1436"/>
      <c r="CZ423" s="1434"/>
      <c r="DA423" s="1423">
        <f>+DB423</f>
        <v>0</v>
      </c>
      <c r="DB423" s="1436"/>
      <c r="DC423" s="1434"/>
      <c r="DD423" s="1423">
        <f>+DE423</f>
        <v>0</v>
      </c>
      <c r="DE423" s="1437"/>
      <c r="DF423" s="1434"/>
      <c r="DG423" s="1423">
        <f>+DH423</f>
        <v>0</v>
      </c>
      <c r="DH423" s="1437"/>
      <c r="DI423" s="1434"/>
      <c r="DJ423" s="1423">
        <f>+DK423</f>
        <v>0</v>
      </c>
      <c r="DK423" s="1437"/>
      <c r="DL423" s="1434"/>
      <c r="DM423" s="1423">
        <f>+DN423</f>
        <v>0</v>
      </c>
      <c r="DN423" s="1437"/>
      <c r="DO423" s="1434"/>
      <c r="DP423" s="1423">
        <f>+DQ423</f>
        <v>0</v>
      </c>
      <c r="DQ423" s="1437"/>
      <c r="DR423" s="1434"/>
      <c r="DS423" s="1423">
        <f>+DT423</f>
        <v>0</v>
      </c>
      <c r="DT423" s="1437"/>
      <c r="DU423" s="1434"/>
      <c r="DV423" s="1423">
        <f>+DW423</f>
        <v>0</v>
      </c>
      <c r="DW423" s="1437"/>
      <c r="DX423" s="1434"/>
      <c r="DY423" s="1423">
        <f>+DZ423</f>
        <v>0</v>
      </c>
      <c r="DZ423" s="1437"/>
      <c r="EA423" s="1434"/>
      <c r="EB423" s="1423">
        <f>+EC423</f>
        <v>0</v>
      </c>
      <c r="EC423" s="1437"/>
      <c r="ED423" s="1434"/>
      <c r="EE423" s="1423">
        <f>+EF423</f>
        <v>0</v>
      </c>
      <c r="EF423" s="1437"/>
      <c r="EG423" s="1434"/>
      <c r="EH423" s="1423">
        <f>+EI423</f>
        <v>0</v>
      </c>
      <c r="EI423" s="1437"/>
      <c r="EJ423" s="1434"/>
      <c r="EK423" s="1423">
        <f>+EL423</f>
        <v>0</v>
      </c>
      <c r="EL423" s="1437"/>
      <c r="EM423" s="1434"/>
      <c r="EN423" s="1423">
        <f>+EO423</f>
        <v>0</v>
      </c>
      <c r="EO423" s="1437"/>
      <c r="EP423" s="1434"/>
      <c r="EQ423" s="1423">
        <f>+ER423</f>
        <v>0</v>
      </c>
      <c r="ER423" s="1437"/>
      <c r="ES423" s="1434"/>
      <c r="ET423" s="1423">
        <f>+EU423</f>
        <v>0</v>
      </c>
      <c r="EU423" s="1437"/>
      <c r="EV423" s="1434"/>
      <c r="EW423" s="1423">
        <f>+EX423</f>
        <v>0</v>
      </c>
      <c r="EX423" s="1437"/>
      <c r="EY423" s="1434"/>
      <c r="EZ423" s="1423">
        <f>+FA423</f>
        <v>0</v>
      </c>
      <c r="FA423" s="1437"/>
      <c r="FD423"/>
      <c r="FE423"/>
      <c r="FF423"/>
      <c r="FG423"/>
      <c r="FH423"/>
      <c r="FI423"/>
    </row>
    <row r="424" spans="1:165" s="33" customFormat="1" outlineLevel="1">
      <c r="A424" s="58"/>
      <c r="B424" s="1338" t="s">
        <v>223</v>
      </c>
      <c r="C424" s="58"/>
      <c r="D424" s="58"/>
      <c r="E424" s="1438"/>
      <c r="F424" s="1342">
        <f>+G424-E424</f>
        <v>0</v>
      </c>
      <c r="G424" s="1439"/>
      <c r="H424" s="1440"/>
      <c r="I424" s="1342">
        <f>+J424-H424</f>
        <v>0</v>
      </c>
      <c r="J424" s="1439"/>
      <c r="K424" s="1440"/>
      <c r="L424" s="1342">
        <f>+M424-K424</f>
        <v>0</v>
      </c>
      <c r="M424" s="1439"/>
      <c r="N424" s="1440"/>
      <c r="O424" s="1342">
        <f>+P424-N424</f>
        <v>0</v>
      </c>
      <c r="P424" s="1439"/>
      <c r="Q424" s="1440"/>
      <c r="R424" s="1342">
        <f>+S424-Q424</f>
        <v>0</v>
      </c>
      <c r="S424" s="1439"/>
      <c r="T424" s="1440"/>
      <c r="U424" s="1342">
        <f>+V424-T424</f>
        <v>0</v>
      </c>
      <c r="V424" s="1439"/>
      <c r="W424" s="1440"/>
      <c r="X424" s="1342">
        <f>+Y424-W424</f>
        <v>0</v>
      </c>
      <c r="Y424" s="1439"/>
      <c r="Z424" s="1440"/>
      <c r="AA424" s="1342">
        <f>+AB424-Z424</f>
        <v>0</v>
      </c>
      <c r="AB424" s="1439"/>
      <c r="AC424" s="1440"/>
      <c r="AD424" s="1342">
        <f>+AE424-AC424</f>
        <v>0</v>
      </c>
      <c r="AE424" s="1439"/>
      <c r="AF424" s="1440"/>
      <c r="AG424" s="1342">
        <f>+AH424-AF424</f>
        <v>0</v>
      </c>
      <c r="AH424" s="1439"/>
      <c r="AI424" s="1440"/>
      <c r="AJ424" s="1342">
        <f>+AK424-AI424</f>
        <v>0</v>
      </c>
      <c r="AK424" s="1439"/>
      <c r="AL424" s="1440"/>
      <c r="AM424" s="1342">
        <f>+AN424-AL424</f>
        <v>0</v>
      </c>
      <c r="AN424" s="1439"/>
      <c r="AO424" s="1440"/>
      <c r="AP424" s="1342">
        <f>+AQ424-AO424</f>
        <v>0</v>
      </c>
      <c r="AQ424" s="1439"/>
      <c r="AR424" s="1440"/>
      <c r="AS424" s="1342">
        <f>+AT424-AR424</f>
        <v>0</v>
      </c>
      <c r="AT424" s="1439"/>
      <c r="AU424" s="1440"/>
      <c r="AV424" s="1342">
        <f>+AW424-AU424</f>
        <v>0</v>
      </c>
      <c r="AW424" s="1439"/>
      <c r="AX424" s="1440"/>
      <c r="AY424" s="1342">
        <f>+AZ424-AX424</f>
        <v>0</v>
      </c>
      <c r="AZ424" s="1439"/>
      <c r="BA424" s="1440"/>
      <c r="BB424" s="1342">
        <f>+BC424-BA424</f>
        <v>0</v>
      </c>
      <c r="BC424" s="1439"/>
      <c r="BD424" s="1440"/>
      <c r="BE424" s="1342">
        <f>+BF424-BD424</f>
        <v>0</v>
      </c>
      <c r="BF424" s="1439"/>
      <c r="BG424" s="1440"/>
      <c r="BH424" s="1342">
        <f>+BI424-BG424</f>
        <v>0</v>
      </c>
      <c r="BI424" s="1439"/>
      <c r="BJ424" s="1440"/>
      <c r="BK424" s="1342">
        <f>+BL424-BJ424</f>
        <v>0</v>
      </c>
      <c r="BL424" s="1439"/>
      <c r="BM424" s="1440"/>
      <c r="BN424" s="1342">
        <f>+BO424-BM424</f>
        <v>0</v>
      </c>
      <c r="BO424" s="1442"/>
      <c r="BP424" s="1440"/>
      <c r="BQ424" s="1342">
        <f>+BR424-BP424</f>
        <v>0</v>
      </c>
      <c r="BR424" s="1442"/>
      <c r="BS424" s="1440"/>
      <c r="BT424" s="1342">
        <f>+BU424-BS424</f>
        <v>0</v>
      </c>
      <c r="BU424" s="1442"/>
      <c r="BV424" s="1440"/>
      <c r="BW424" s="1342">
        <f>+BX424-BV424</f>
        <v>0</v>
      </c>
      <c r="BX424" s="1442"/>
      <c r="BY424" s="1440"/>
      <c r="BZ424" s="1342">
        <f>+CA424-BY424</f>
        <v>0</v>
      </c>
      <c r="CA424" s="1442"/>
      <c r="CB424" s="1440"/>
      <c r="CC424" s="1342">
        <f>+CD424-CB424</f>
        <v>0</v>
      </c>
      <c r="CD424" s="1442"/>
      <c r="CE424" s="1440"/>
      <c r="CF424" s="1342">
        <f>+CG424-CE424</f>
        <v>0</v>
      </c>
      <c r="CG424" s="1442"/>
      <c r="CH424" s="1440"/>
      <c r="CI424" s="1342">
        <f>+CJ424-CH424</f>
        <v>0</v>
      </c>
      <c r="CJ424" s="1442"/>
      <c r="CK424" s="1440"/>
      <c r="CL424" s="1342">
        <f>+CM424-CK424</f>
        <v>0</v>
      </c>
      <c r="CM424" s="1442"/>
      <c r="CN424" s="1440"/>
      <c r="CO424" s="1342">
        <f>+CP424-CN424</f>
        <v>0</v>
      </c>
      <c r="CP424" s="1442"/>
      <c r="CQ424" s="1440"/>
      <c r="CR424" s="1342">
        <f>+CS424-CQ424</f>
        <v>0</v>
      </c>
      <c r="CS424" s="1442"/>
      <c r="CT424" s="1440"/>
      <c r="CU424" s="1342">
        <f>+CV424-CT424</f>
        <v>0</v>
      </c>
      <c r="CV424" s="1442"/>
      <c r="CW424" s="1440"/>
      <c r="CX424" s="1342">
        <f>+CY424-CW424</f>
        <v>0</v>
      </c>
      <c r="CY424" s="1442"/>
      <c r="CZ424" s="1440"/>
      <c r="DA424" s="1342">
        <f>+DB424-CZ424</f>
        <v>0</v>
      </c>
      <c r="DB424" s="1442"/>
      <c r="DC424" s="1440"/>
      <c r="DD424" s="1342">
        <f>+DE424-DC424</f>
        <v>0</v>
      </c>
      <c r="DE424" s="1443"/>
      <c r="DF424" s="1440"/>
      <c r="DG424" s="1342">
        <f>+DH424-DF424</f>
        <v>0</v>
      </c>
      <c r="DH424" s="1443"/>
      <c r="DI424" s="1440"/>
      <c r="DJ424" s="1342">
        <f>+DK424-DI424</f>
        <v>0</v>
      </c>
      <c r="DK424" s="1443"/>
      <c r="DL424" s="1440"/>
      <c r="DM424" s="1342">
        <f>+DN424-DL424</f>
        <v>0</v>
      </c>
      <c r="DN424" s="1443"/>
      <c r="DO424" s="1440"/>
      <c r="DP424" s="1342">
        <f>+DQ424-DO424</f>
        <v>0</v>
      </c>
      <c r="DQ424" s="1443"/>
      <c r="DR424" s="1440"/>
      <c r="DS424" s="1342">
        <f>+DT424-DR424</f>
        <v>0</v>
      </c>
      <c r="DT424" s="1443"/>
      <c r="DU424" s="1440"/>
      <c r="DV424" s="1342">
        <f>+DW424-DU424</f>
        <v>0</v>
      </c>
      <c r="DW424" s="1443"/>
      <c r="DX424" s="1440"/>
      <c r="DY424" s="1342">
        <f>+DZ424-DX424</f>
        <v>0</v>
      </c>
      <c r="DZ424" s="1443"/>
      <c r="EA424" s="1440"/>
      <c r="EB424" s="1342">
        <f>+EC424-EA424</f>
        <v>0</v>
      </c>
      <c r="EC424" s="1443"/>
      <c r="ED424" s="1440"/>
      <c r="EE424" s="1342">
        <f>+EF424-ED424</f>
        <v>0</v>
      </c>
      <c r="EF424" s="1443"/>
      <c r="EG424" s="1440"/>
      <c r="EH424" s="1342">
        <f>+EI424-EG424</f>
        <v>0</v>
      </c>
      <c r="EI424" s="1443"/>
      <c r="EJ424" s="1440"/>
      <c r="EK424" s="1342">
        <f>+EL424-EJ424</f>
        <v>0</v>
      </c>
      <c r="EL424" s="1443"/>
      <c r="EM424" s="1440"/>
      <c r="EN424" s="1342">
        <f>+EO424-EM424</f>
        <v>0</v>
      </c>
      <c r="EO424" s="1443"/>
      <c r="EP424" s="1440"/>
      <c r="EQ424" s="1342">
        <f>+ER424-EP424</f>
        <v>0</v>
      </c>
      <c r="ER424" s="1443"/>
      <c r="ES424" s="1440"/>
      <c r="ET424" s="1342">
        <f>+EU424-ES424</f>
        <v>0</v>
      </c>
      <c r="EU424" s="1443"/>
      <c r="EV424" s="1440"/>
      <c r="EW424" s="1342">
        <f>+EX424-EV424</f>
        <v>0</v>
      </c>
      <c r="EX424" s="1443"/>
      <c r="EY424" s="1440"/>
      <c r="EZ424" s="1342">
        <f>+FA424-EY424</f>
        <v>0</v>
      </c>
      <c r="FA424" s="1443"/>
      <c r="FD424"/>
      <c r="FE424"/>
      <c r="FF424"/>
      <c r="FG424"/>
      <c r="FH424"/>
      <c r="FI424"/>
    </row>
    <row r="425" spans="1:165" s="1456" customFormat="1" ht="13.5" outlineLevel="1" thickBot="1">
      <c r="A425" s="1455"/>
      <c r="B425" s="1338" t="s">
        <v>226</v>
      </c>
      <c r="C425" s="1455"/>
      <c r="D425" s="1455"/>
      <c r="E425" s="1444" t="s">
        <v>227</v>
      </c>
      <c r="F425" s="1021"/>
      <c r="G425" s="1445" t="str">
        <f>+E425</f>
        <v>N</v>
      </c>
      <c r="H425" s="1446" t="str">
        <f>G425</f>
        <v>N</v>
      </c>
      <c r="I425" s="1021"/>
      <c r="J425" s="1445" t="str">
        <f>+H425</f>
        <v>N</v>
      </c>
      <c r="K425" s="1446" t="str">
        <f>J425</f>
        <v>N</v>
      </c>
      <c r="L425" s="1021"/>
      <c r="M425" s="1445" t="str">
        <f>+K425</f>
        <v>N</v>
      </c>
      <c r="N425" s="1446" t="str">
        <f>M425</f>
        <v>N</v>
      </c>
      <c r="O425" s="1021"/>
      <c r="P425" s="1445" t="str">
        <f>+N425</f>
        <v>N</v>
      </c>
      <c r="Q425" s="1446" t="str">
        <f>P425</f>
        <v>N</v>
      </c>
      <c r="R425" s="1021"/>
      <c r="S425" s="1445" t="str">
        <f>+Q425</f>
        <v>N</v>
      </c>
      <c r="T425" s="1446" t="str">
        <f>S425</f>
        <v>N</v>
      </c>
      <c r="U425" s="1021"/>
      <c r="V425" s="1445" t="str">
        <f>+T425</f>
        <v>N</v>
      </c>
      <c r="W425" s="1446" t="str">
        <f>V425</f>
        <v>N</v>
      </c>
      <c r="X425" s="1021"/>
      <c r="Y425" s="1445" t="str">
        <f>+W425</f>
        <v>N</v>
      </c>
      <c r="Z425" s="1446" t="str">
        <f>Y425</f>
        <v>N</v>
      </c>
      <c r="AA425" s="1021"/>
      <c r="AB425" s="1445" t="str">
        <f>+Z425</f>
        <v>N</v>
      </c>
      <c r="AC425" s="1446" t="str">
        <f>AB425</f>
        <v>N</v>
      </c>
      <c r="AD425" s="1021"/>
      <c r="AE425" s="1445" t="str">
        <f>+AC425</f>
        <v>N</v>
      </c>
      <c r="AF425" s="1446" t="str">
        <f>AE425</f>
        <v>N</v>
      </c>
      <c r="AG425" s="1021"/>
      <c r="AH425" s="1445" t="str">
        <f>+AF425</f>
        <v>N</v>
      </c>
      <c r="AI425" s="1446" t="str">
        <f>AH425</f>
        <v>N</v>
      </c>
      <c r="AJ425" s="1021"/>
      <c r="AK425" s="1445" t="str">
        <f>+AI425</f>
        <v>N</v>
      </c>
      <c r="AL425" s="1446" t="str">
        <f>AK425</f>
        <v>N</v>
      </c>
      <c r="AM425" s="1021"/>
      <c r="AN425" s="1445" t="str">
        <f>+AL425</f>
        <v>N</v>
      </c>
      <c r="AO425" s="1446" t="str">
        <f>AN425</f>
        <v>N</v>
      </c>
      <c r="AP425" s="1021"/>
      <c r="AQ425" s="1445" t="str">
        <f>+AO425</f>
        <v>N</v>
      </c>
      <c r="AR425" s="1446" t="str">
        <f>AQ425</f>
        <v>N</v>
      </c>
      <c r="AS425" s="1021"/>
      <c r="AT425" s="1445" t="str">
        <f>+AR425</f>
        <v>N</v>
      </c>
      <c r="AU425" s="1446" t="str">
        <f>AT425</f>
        <v>N</v>
      </c>
      <c r="AV425" s="1021"/>
      <c r="AW425" s="1445" t="str">
        <f>+AU425</f>
        <v>N</v>
      </c>
      <c r="AX425" s="1446" t="str">
        <f>AW425</f>
        <v>N</v>
      </c>
      <c r="AY425" s="1021"/>
      <c r="AZ425" s="1445" t="str">
        <f>+AX425</f>
        <v>N</v>
      </c>
      <c r="BA425" s="1446" t="str">
        <f>AZ425</f>
        <v>N</v>
      </c>
      <c r="BB425" s="1021"/>
      <c r="BC425" s="1445" t="str">
        <f>+BA425</f>
        <v>N</v>
      </c>
      <c r="BD425" s="1446" t="str">
        <f>BC425</f>
        <v>N</v>
      </c>
      <c r="BE425" s="1021"/>
      <c r="BF425" s="1445" t="str">
        <f>+BD425</f>
        <v>N</v>
      </c>
      <c r="BG425" s="1446" t="str">
        <f>BF425</f>
        <v>N</v>
      </c>
      <c r="BH425" s="1021"/>
      <c r="BI425" s="1445" t="str">
        <f>+BG425</f>
        <v>N</v>
      </c>
      <c r="BJ425" s="1446" t="str">
        <f>BI425</f>
        <v>N</v>
      </c>
      <c r="BK425" s="1021"/>
      <c r="BL425" s="1445" t="str">
        <f>+BJ425</f>
        <v>N</v>
      </c>
      <c r="BM425" s="1446" t="str">
        <f>BL425</f>
        <v>N</v>
      </c>
      <c r="BN425" s="1021"/>
      <c r="BO425" s="1448" t="str">
        <f>+BM425</f>
        <v>N</v>
      </c>
      <c r="BP425" s="1446" t="str">
        <f>BO425</f>
        <v>N</v>
      </c>
      <c r="BQ425" s="1021"/>
      <c r="BR425" s="1448" t="str">
        <f>+BP425</f>
        <v>N</v>
      </c>
      <c r="BS425" s="1446" t="str">
        <f>BR425</f>
        <v>N</v>
      </c>
      <c r="BT425" s="1021"/>
      <c r="BU425" s="1448" t="str">
        <f>+BS425</f>
        <v>N</v>
      </c>
      <c r="BV425" s="1446" t="str">
        <f>BU425</f>
        <v>N</v>
      </c>
      <c r="BW425" s="1021"/>
      <c r="BX425" s="1448" t="str">
        <f>+BV425</f>
        <v>N</v>
      </c>
      <c r="BY425" s="1446" t="str">
        <f>BX425</f>
        <v>N</v>
      </c>
      <c r="BZ425" s="1021"/>
      <c r="CA425" s="1448" t="str">
        <f>+BY425</f>
        <v>N</v>
      </c>
      <c r="CB425" s="1446" t="str">
        <f>CA425</f>
        <v>N</v>
      </c>
      <c r="CC425" s="1021"/>
      <c r="CD425" s="1448" t="str">
        <f>+CB425</f>
        <v>N</v>
      </c>
      <c r="CE425" s="1446" t="str">
        <f>CD425</f>
        <v>N</v>
      </c>
      <c r="CF425" s="1021"/>
      <c r="CG425" s="1448" t="str">
        <f>+CE425</f>
        <v>N</v>
      </c>
      <c r="CH425" s="1446" t="str">
        <f>CG425</f>
        <v>N</v>
      </c>
      <c r="CI425" s="1021"/>
      <c r="CJ425" s="1448" t="str">
        <f>+CH425</f>
        <v>N</v>
      </c>
      <c r="CK425" s="1446" t="str">
        <f>CJ425</f>
        <v>N</v>
      </c>
      <c r="CL425" s="1021"/>
      <c r="CM425" s="1448" t="str">
        <f>+CK425</f>
        <v>N</v>
      </c>
      <c r="CN425" s="1446" t="str">
        <f>CM425</f>
        <v>N</v>
      </c>
      <c r="CO425" s="1021"/>
      <c r="CP425" s="1448" t="str">
        <f>+CN425</f>
        <v>N</v>
      </c>
      <c r="CQ425" s="1446" t="str">
        <f>CP425</f>
        <v>N</v>
      </c>
      <c r="CR425" s="1021"/>
      <c r="CS425" s="1448" t="str">
        <f>+CQ425</f>
        <v>N</v>
      </c>
      <c r="CT425" s="1446" t="str">
        <f>CS425</f>
        <v>N</v>
      </c>
      <c r="CU425" s="1021"/>
      <c r="CV425" s="1448" t="str">
        <f>+CT425</f>
        <v>N</v>
      </c>
      <c r="CW425" s="1446" t="str">
        <f>CV425</f>
        <v>N</v>
      </c>
      <c r="CX425" s="1021"/>
      <c r="CY425" s="1448" t="str">
        <f>+CW425</f>
        <v>N</v>
      </c>
      <c r="CZ425" s="1446" t="str">
        <f>CY425</f>
        <v>N</v>
      </c>
      <c r="DA425" s="1021"/>
      <c r="DB425" s="1448" t="str">
        <f>+CZ425</f>
        <v>N</v>
      </c>
      <c r="DC425" s="1446" t="str">
        <f>DB425</f>
        <v>N</v>
      </c>
      <c r="DD425" s="1021"/>
      <c r="DE425" s="1449" t="str">
        <f>+DC425</f>
        <v>N</v>
      </c>
      <c r="DF425" s="1446" t="str">
        <f>DE425</f>
        <v>N</v>
      </c>
      <c r="DG425" s="1021"/>
      <c r="DH425" s="1449" t="str">
        <f>+DF425</f>
        <v>N</v>
      </c>
      <c r="DI425" s="1446" t="str">
        <f>DH425</f>
        <v>N</v>
      </c>
      <c r="DJ425" s="1021"/>
      <c r="DK425" s="1449" t="str">
        <f>+DI425</f>
        <v>N</v>
      </c>
      <c r="DL425" s="1446" t="str">
        <f>DK425</f>
        <v>N</v>
      </c>
      <c r="DM425" s="1021"/>
      <c r="DN425" s="1449" t="str">
        <f>+DL425</f>
        <v>N</v>
      </c>
      <c r="DO425" s="1446" t="str">
        <f>DN425</f>
        <v>N</v>
      </c>
      <c r="DP425" s="1021"/>
      <c r="DQ425" s="1449" t="str">
        <f>+DO425</f>
        <v>N</v>
      </c>
      <c r="DR425" s="1446" t="str">
        <f>DQ425</f>
        <v>N</v>
      </c>
      <c r="DS425" s="1021"/>
      <c r="DT425" s="1449" t="str">
        <f>+DR425</f>
        <v>N</v>
      </c>
      <c r="DU425" s="1446" t="str">
        <f>DT425</f>
        <v>N</v>
      </c>
      <c r="DV425" s="1021"/>
      <c r="DW425" s="1449" t="str">
        <f>+DU425</f>
        <v>N</v>
      </c>
      <c r="DX425" s="1446" t="str">
        <f>DW425</f>
        <v>N</v>
      </c>
      <c r="DY425" s="1021"/>
      <c r="DZ425" s="1449" t="str">
        <f>+DX425</f>
        <v>N</v>
      </c>
      <c r="EA425" s="1446" t="str">
        <f>DZ425</f>
        <v>N</v>
      </c>
      <c r="EB425" s="1021"/>
      <c r="EC425" s="1449" t="str">
        <f>+EA425</f>
        <v>N</v>
      </c>
      <c r="ED425" s="1446" t="str">
        <f>EC425</f>
        <v>N</v>
      </c>
      <c r="EE425" s="1021"/>
      <c r="EF425" s="1449" t="str">
        <f>+ED425</f>
        <v>N</v>
      </c>
      <c r="EG425" s="1446" t="str">
        <f>EF425</f>
        <v>N</v>
      </c>
      <c r="EH425" s="1021"/>
      <c r="EI425" s="1449" t="str">
        <f>+EG425</f>
        <v>N</v>
      </c>
      <c r="EJ425" s="1446" t="str">
        <f>EI425</f>
        <v>N</v>
      </c>
      <c r="EK425" s="1021"/>
      <c r="EL425" s="1449" t="str">
        <f>+EJ425</f>
        <v>N</v>
      </c>
      <c r="EM425" s="1446" t="str">
        <f>EL425</f>
        <v>N</v>
      </c>
      <c r="EN425" s="1021"/>
      <c r="EO425" s="1449" t="str">
        <f>+EM425</f>
        <v>N</v>
      </c>
      <c r="EP425" s="1446" t="str">
        <f>EO425</f>
        <v>N</v>
      </c>
      <c r="EQ425" s="1021"/>
      <c r="ER425" s="1449" t="str">
        <f>+EP425</f>
        <v>N</v>
      </c>
      <c r="ES425" s="1446" t="str">
        <f>ER425</f>
        <v>N</v>
      </c>
      <c r="ET425" s="1021"/>
      <c r="EU425" s="1449" t="str">
        <f>+ES425</f>
        <v>N</v>
      </c>
      <c r="EV425" s="1446" t="str">
        <f>EU425</f>
        <v>N</v>
      </c>
      <c r="EW425" s="1021"/>
      <c r="EX425" s="1449" t="str">
        <f>+EV425</f>
        <v>N</v>
      </c>
      <c r="EY425" s="1446" t="str">
        <f>EX425</f>
        <v>N</v>
      </c>
      <c r="EZ425" s="1021"/>
      <c r="FA425" s="1449" t="str">
        <f>+EY425</f>
        <v>N</v>
      </c>
      <c r="FD425"/>
      <c r="FE425"/>
      <c r="FF425"/>
      <c r="FG425"/>
      <c r="FH425"/>
      <c r="FI425"/>
    </row>
    <row r="426" spans="1:165" s="33" customFormat="1" ht="13.5" outlineLevel="1" thickBot="1">
      <c r="A426" s="58"/>
      <c r="B426" s="58"/>
      <c r="C426" s="58"/>
      <c r="D426" s="58"/>
      <c r="E426" s="1450"/>
      <c r="F426" s="1450"/>
      <c r="G426" s="1451"/>
      <c r="H426" s="1450"/>
      <c r="I426" s="1450"/>
      <c r="J426" s="1451"/>
      <c r="K426" s="1450"/>
      <c r="L426" s="1450"/>
      <c r="M426" s="1451"/>
      <c r="N426" s="1450"/>
      <c r="O426" s="1450"/>
      <c r="P426" s="1451"/>
      <c r="Q426" s="1452"/>
      <c r="R426" s="1452"/>
      <c r="S426" s="1453"/>
      <c r="T426" s="1452"/>
      <c r="U426" s="1452"/>
      <c r="V426" s="1451"/>
      <c r="W426" s="1450"/>
      <c r="X426" s="1450"/>
      <c r="Y426" s="1451"/>
      <c r="Z426" s="1450"/>
      <c r="AA426" s="1450"/>
      <c r="AB426" s="1451"/>
      <c r="AC426" s="1450"/>
      <c r="AD426" s="1450"/>
      <c r="AE426" s="1451"/>
      <c r="AF426" s="1450"/>
      <c r="AG426" s="1450"/>
      <c r="AH426" s="1451"/>
      <c r="AI426" s="1450"/>
      <c r="AJ426" s="1450"/>
      <c r="AK426" s="1451"/>
      <c r="AL426" s="1450"/>
      <c r="AM426" s="1450"/>
      <c r="AN426" s="1451"/>
      <c r="AO426" s="1450"/>
      <c r="AP426" s="1450"/>
      <c r="AQ426" s="1451"/>
      <c r="AR426" s="1450"/>
      <c r="AS426" s="1450"/>
      <c r="AT426" s="1451"/>
      <c r="AU426" s="1450"/>
      <c r="AV426" s="1450"/>
      <c r="AW426" s="1451"/>
      <c r="AX426" s="1450"/>
      <c r="AY426" s="1450"/>
      <c r="AZ426" s="1451"/>
      <c r="BA426" s="1450"/>
      <c r="BB426" s="1450"/>
      <c r="BC426" s="1451"/>
      <c r="BD426" s="1450"/>
      <c r="BE426" s="1450"/>
      <c r="BF426" s="1451"/>
      <c r="BG426" s="1450"/>
      <c r="BH426" s="1450"/>
      <c r="BI426" s="1451"/>
      <c r="BJ426" s="1450"/>
      <c r="BK426" s="1450"/>
      <c r="BL426" s="1451"/>
      <c r="BM426" s="1450"/>
      <c r="BN426" s="1450"/>
      <c r="BO426" s="1451"/>
      <c r="BP426" s="1450"/>
      <c r="BQ426" s="1450"/>
      <c r="BR426" s="1451"/>
      <c r="BS426" s="1450"/>
      <c r="BT426" s="1450"/>
      <c r="BU426" s="1451"/>
      <c r="BV426" s="1450"/>
      <c r="BW426" s="1450"/>
      <c r="BX426" s="1451"/>
      <c r="BY426" s="1450"/>
      <c r="BZ426" s="1450"/>
      <c r="CA426" s="1451"/>
      <c r="CB426" s="1450"/>
      <c r="CC426" s="1450"/>
      <c r="CD426" s="1451"/>
      <c r="CE426" s="1450"/>
      <c r="CF426" s="1450"/>
      <c r="CG426" s="1451"/>
      <c r="CH426" s="1450"/>
      <c r="CI426" s="1450"/>
      <c r="CJ426" s="1451"/>
      <c r="CK426" s="1450"/>
      <c r="CL426" s="1450"/>
      <c r="CM426" s="1451"/>
      <c r="CN426" s="1450"/>
      <c r="CO426" s="1450"/>
      <c r="CP426" s="1451"/>
      <c r="CQ426" s="1450"/>
      <c r="CR426" s="1450"/>
      <c r="CS426" s="1451"/>
      <c r="CT426" s="1450"/>
      <c r="CU426" s="1450"/>
      <c r="CV426" s="1451"/>
      <c r="CW426" s="1450"/>
      <c r="CX426" s="1450"/>
      <c r="CY426" s="1451"/>
      <c r="CZ426" s="1450"/>
      <c r="DA426" s="1450"/>
      <c r="DB426" s="1451"/>
      <c r="DC426" s="1450"/>
      <c r="DD426" s="1450"/>
      <c r="DE426" s="1454"/>
      <c r="DF426" s="1450"/>
      <c r="DG426" s="1450"/>
      <c r="DH426" s="1454"/>
      <c r="DI426" s="1450"/>
      <c r="DJ426" s="1450"/>
      <c r="DK426" s="1454"/>
      <c r="DL426" s="1450"/>
      <c r="DM426" s="1450"/>
      <c r="DN426" s="1454"/>
      <c r="DO426" s="1450"/>
      <c r="DP426" s="1450"/>
      <c r="DQ426" s="1454"/>
      <c r="DR426" s="1450"/>
      <c r="DS426" s="1450"/>
      <c r="DT426" s="1454"/>
      <c r="DU426" s="1450"/>
      <c r="DV426" s="1450"/>
      <c r="DW426" s="1454"/>
      <c r="DX426" s="1450"/>
      <c r="DY426" s="1450"/>
      <c r="DZ426" s="1454"/>
      <c r="EA426" s="1450"/>
      <c r="EB426" s="1450"/>
      <c r="EC426" s="1454"/>
      <c r="ED426" s="1450"/>
      <c r="EE426" s="1450"/>
      <c r="EF426" s="1454"/>
      <c r="EG426" s="1450"/>
      <c r="EH426" s="1450"/>
      <c r="EI426" s="1454"/>
      <c r="EJ426" s="1450"/>
      <c r="EK426" s="1450"/>
      <c r="EL426" s="1454"/>
      <c r="EM426" s="1450"/>
      <c r="EN426" s="1450"/>
      <c r="EO426" s="1454"/>
      <c r="EP426" s="1450"/>
      <c r="EQ426" s="1450"/>
      <c r="ER426" s="1454"/>
      <c r="ES426" s="1450"/>
      <c r="ET426" s="1450"/>
      <c r="EU426" s="1454"/>
      <c r="EV426" s="1450"/>
      <c r="EW426" s="1450"/>
      <c r="EX426" s="1454"/>
      <c r="EY426" s="1450"/>
      <c r="EZ426" s="1450"/>
      <c r="FA426" s="1454"/>
      <c r="FD426"/>
      <c r="FE426"/>
      <c r="FF426"/>
      <c r="FG426"/>
      <c r="FH426"/>
      <c r="FI426"/>
    </row>
    <row r="427" spans="1:165" s="33" customFormat="1" outlineLevel="1">
      <c r="A427" s="58"/>
      <c r="B427" s="1338" t="s">
        <v>232</v>
      </c>
      <c r="C427" s="58"/>
      <c r="D427" s="58"/>
      <c r="E427" s="1422"/>
      <c r="F427" s="1423">
        <f>+G427</f>
        <v>0</v>
      </c>
      <c r="G427" s="1424"/>
      <c r="H427" s="1425"/>
      <c r="I427" s="1423">
        <f>+J427</f>
        <v>0</v>
      </c>
      <c r="J427" s="1424"/>
      <c r="K427" s="1425"/>
      <c r="L427" s="1423">
        <f>+M427</f>
        <v>0</v>
      </c>
      <c r="M427" s="1424"/>
      <c r="N427" s="1425"/>
      <c r="O427" s="1423">
        <f>+P427</f>
        <v>0</v>
      </c>
      <c r="P427" s="1424"/>
      <c r="Q427" s="1425"/>
      <c r="R427" s="1423">
        <f>+S427</f>
        <v>0</v>
      </c>
      <c r="S427" s="1424"/>
      <c r="T427" s="1425"/>
      <c r="U427" s="1423">
        <f>+V427</f>
        <v>0</v>
      </c>
      <c r="V427" s="1424"/>
      <c r="W427" s="1425"/>
      <c r="X427" s="1423">
        <f>+Y427</f>
        <v>0</v>
      </c>
      <c r="Y427" s="1424"/>
      <c r="Z427" s="1425"/>
      <c r="AA427" s="1423">
        <f>+AB427</f>
        <v>0</v>
      </c>
      <c r="AB427" s="1424"/>
      <c r="AC427" s="1425"/>
      <c r="AD427" s="1423">
        <f>+AE427</f>
        <v>0</v>
      </c>
      <c r="AE427" s="1424"/>
      <c r="AF427" s="1425"/>
      <c r="AG427" s="1423">
        <f>+AH427</f>
        <v>0</v>
      </c>
      <c r="AH427" s="1424"/>
      <c r="AI427" s="1425"/>
      <c r="AJ427" s="1423">
        <f>+AK427</f>
        <v>0</v>
      </c>
      <c r="AK427" s="1424"/>
      <c r="AL427" s="1425"/>
      <c r="AM427" s="1423">
        <f>+AN427</f>
        <v>0</v>
      </c>
      <c r="AN427" s="1424"/>
      <c r="AO427" s="1425"/>
      <c r="AP427" s="1423">
        <f>+AQ427</f>
        <v>0</v>
      </c>
      <c r="AQ427" s="1424"/>
      <c r="AR427" s="1425"/>
      <c r="AS427" s="1423">
        <f>+AT427</f>
        <v>0</v>
      </c>
      <c r="AT427" s="1424"/>
      <c r="AU427" s="1425"/>
      <c r="AV427" s="1423">
        <f>+AW427</f>
        <v>0</v>
      </c>
      <c r="AW427" s="1424"/>
      <c r="AX427" s="1425"/>
      <c r="AY427" s="1423">
        <f>+AZ427</f>
        <v>0</v>
      </c>
      <c r="AZ427" s="1424"/>
      <c r="BA427" s="1425"/>
      <c r="BB427" s="1423">
        <f>+BC427</f>
        <v>0</v>
      </c>
      <c r="BC427" s="1424"/>
      <c r="BD427" s="1425"/>
      <c r="BE427" s="1423">
        <f>+BF427</f>
        <v>0</v>
      </c>
      <c r="BF427" s="1424"/>
      <c r="BG427" s="1425"/>
      <c r="BH427" s="1423">
        <f>+BI427</f>
        <v>0</v>
      </c>
      <c r="BI427" s="1424"/>
      <c r="BJ427" s="1425"/>
      <c r="BK427" s="1423">
        <f>+BL427</f>
        <v>0</v>
      </c>
      <c r="BL427" s="1424"/>
      <c r="BM427" s="1425"/>
      <c r="BN427" s="1423">
        <f>+BO427</f>
        <v>0</v>
      </c>
      <c r="BO427" s="1427"/>
      <c r="BP427" s="1425"/>
      <c r="BQ427" s="1423">
        <f>+BR427</f>
        <v>0</v>
      </c>
      <c r="BR427" s="1427"/>
      <c r="BS427" s="1425"/>
      <c r="BT427" s="1423">
        <f>+BU427</f>
        <v>0</v>
      </c>
      <c r="BU427" s="1427"/>
      <c r="BV427" s="1425"/>
      <c r="BW427" s="1423">
        <f>+BX427</f>
        <v>0</v>
      </c>
      <c r="BX427" s="1427"/>
      <c r="BY427" s="1425"/>
      <c r="BZ427" s="1423">
        <f>+CA427</f>
        <v>0</v>
      </c>
      <c r="CA427" s="1427"/>
      <c r="CB427" s="1425"/>
      <c r="CC427" s="1423">
        <f>+CD427</f>
        <v>0</v>
      </c>
      <c r="CD427" s="1427"/>
      <c r="CE427" s="1425"/>
      <c r="CF427" s="1423">
        <f>+CG427</f>
        <v>0</v>
      </c>
      <c r="CG427" s="1427"/>
      <c r="CH427" s="1425"/>
      <c r="CI427" s="1423">
        <f>+CJ427</f>
        <v>0</v>
      </c>
      <c r="CJ427" s="1427"/>
      <c r="CK427" s="1425"/>
      <c r="CL427" s="1423">
        <f>+CM427</f>
        <v>0</v>
      </c>
      <c r="CM427" s="1427"/>
      <c r="CN427" s="1425"/>
      <c r="CO427" s="1423">
        <f>+CP427</f>
        <v>0</v>
      </c>
      <c r="CP427" s="1427"/>
      <c r="CQ427" s="1425"/>
      <c r="CR427" s="1423">
        <f>+CS427</f>
        <v>0</v>
      </c>
      <c r="CS427" s="1427"/>
      <c r="CT427" s="1425"/>
      <c r="CU427" s="1423">
        <f>+CV427</f>
        <v>0</v>
      </c>
      <c r="CV427" s="1427"/>
      <c r="CW427" s="1425"/>
      <c r="CX427" s="1423">
        <f>+CY427</f>
        <v>0</v>
      </c>
      <c r="CY427" s="1427"/>
      <c r="CZ427" s="1425"/>
      <c r="DA427" s="1423">
        <f>+DB427</f>
        <v>0</v>
      </c>
      <c r="DB427" s="1427"/>
      <c r="DC427" s="1425"/>
      <c r="DD427" s="1423">
        <f>+DE427</f>
        <v>0</v>
      </c>
      <c r="DE427" s="1430"/>
      <c r="DF427" s="1425"/>
      <c r="DG427" s="1423">
        <f>+DH427</f>
        <v>0</v>
      </c>
      <c r="DH427" s="1430"/>
      <c r="DI427" s="1425"/>
      <c r="DJ427" s="1423">
        <f>+DK427</f>
        <v>0</v>
      </c>
      <c r="DK427" s="1430"/>
      <c r="DL427" s="1425"/>
      <c r="DM427" s="1423">
        <f>+DN427</f>
        <v>0</v>
      </c>
      <c r="DN427" s="1430"/>
      <c r="DO427" s="1425"/>
      <c r="DP427" s="1423">
        <f>+DQ427</f>
        <v>0</v>
      </c>
      <c r="DQ427" s="1430"/>
      <c r="DR427" s="1425"/>
      <c r="DS427" s="1423">
        <f>+DT427</f>
        <v>0</v>
      </c>
      <c r="DT427" s="1430"/>
      <c r="DU427" s="1425"/>
      <c r="DV427" s="1423">
        <f>+DW427</f>
        <v>0</v>
      </c>
      <c r="DW427" s="1430"/>
      <c r="DX427" s="1425"/>
      <c r="DY427" s="1423">
        <f>+DZ427</f>
        <v>0</v>
      </c>
      <c r="DZ427" s="1430"/>
      <c r="EA427" s="1425"/>
      <c r="EB427" s="1423">
        <f>+EC427</f>
        <v>0</v>
      </c>
      <c r="EC427" s="1430"/>
      <c r="ED427" s="1425"/>
      <c r="EE427" s="1423">
        <f>+EF427</f>
        <v>0</v>
      </c>
      <c r="EF427" s="1430"/>
      <c r="EG427" s="1425"/>
      <c r="EH427" s="1423">
        <f>+EI427</f>
        <v>0</v>
      </c>
      <c r="EI427" s="1430"/>
      <c r="EJ427" s="1425"/>
      <c r="EK427" s="1423">
        <f>+EL427</f>
        <v>0</v>
      </c>
      <c r="EL427" s="1430"/>
      <c r="EM427" s="1425"/>
      <c r="EN427" s="1423">
        <f>+EO427</f>
        <v>0</v>
      </c>
      <c r="EO427" s="1430"/>
      <c r="EP427" s="1425"/>
      <c r="EQ427" s="1423">
        <f>+ER427</f>
        <v>0</v>
      </c>
      <c r="ER427" s="1430"/>
      <c r="ES427" s="1425"/>
      <c r="ET427" s="1423">
        <f>+EU427</f>
        <v>0</v>
      </c>
      <c r="EU427" s="1430"/>
      <c r="EV427" s="1425"/>
      <c r="EW427" s="1423">
        <f>+EX427</f>
        <v>0</v>
      </c>
      <c r="EX427" s="1430"/>
      <c r="EY427" s="1425"/>
      <c r="EZ427" s="1423">
        <f>+FA427</f>
        <v>0</v>
      </c>
      <c r="FA427" s="1430"/>
      <c r="FD427"/>
      <c r="FE427"/>
      <c r="FF427"/>
      <c r="FG427"/>
      <c r="FH427"/>
      <c r="FI427"/>
    </row>
    <row r="428" spans="1:165" s="35" customFormat="1" outlineLevel="1">
      <c r="B428" s="1338" t="s">
        <v>50</v>
      </c>
      <c r="C428" s="1338"/>
      <c r="D428" s="1339"/>
      <c r="E428" s="1432"/>
      <c r="F428" s="1423">
        <f>+G428</f>
        <v>0</v>
      </c>
      <c r="G428" s="1433"/>
      <c r="H428" s="1434"/>
      <c r="I428" s="1423">
        <f>+J428</f>
        <v>0</v>
      </c>
      <c r="J428" s="1433"/>
      <c r="K428" s="1434"/>
      <c r="L428" s="1423">
        <f>+M428</f>
        <v>0</v>
      </c>
      <c r="M428" s="1433"/>
      <c r="N428" s="1434"/>
      <c r="O428" s="1423">
        <f>+P428</f>
        <v>0</v>
      </c>
      <c r="P428" s="1433"/>
      <c r="Q428" s="1434"/>
      <c r="R428" s="1423">
        <f>+S428</f>
        <v>0</v>
      </c>
      <c r="S428" s="1433"/>
      <c r="T428" s="1434"/>
      <c r="U428" s="1423">
        <f>+V428</f>
        <v>0</v>
      </c>
      <c r="V428" s="1433"/>
      <c r="W428" s="1434"/>
      <c r="X428" s="1423">
        <f>+Y428</f>
        <v>0</v>
      </c>
      <c r="Y428" s="1433"/>
      <c r="Z428" s="1434"/>
      <c r="AA428" s="1423">
        <f>+AB428</f>
        <v>0</v>
      </c>
      <c r="AB428" s="1433"/>
      <c r="AC428" s="1434"/>
      <c r="AD428" s="1423">
        <f>+AE428</f>
        <v>0</v>
      </c>
      <c r="AE428" s="1433"/>
      <c r="AF428" s="1434"/>
      <c r="AG428" s="1423">
        <f>+AH428</f>
        <v>0</v>
      </c>
      <c r="AH428" s="1433"/>
      <c r="AI428" s="1434"/>
      <c r="AJ428" s="1423">
        <f>+AK428</f>
        <v>0</v>
      </c>
      <c r="AK428" s="1433"/>
      <c r="AL428" s="1434"/>
      <c r="AM428" s="1423">
        <f>+AN428</f>
        <v>0</v>
      </c>
      <c r="AN428" s="1433"/>
      <c r="AO428" s="1434"/>
      <c r="AP428" s="1423">
        <f>+AQ428</f>
        <v>0</v>
      </c>
      <c r="AQ428" s="1433"/>
      <c r="AR428" s="1434"/>
      <c r="AS428" s="1423">
        <f>+AT428</f>
        <v>0</v>
      </c>
      <c r="AT428" s="1433"/>
      <c r="AU428" s="1434"/>
      <c r="AV428" s="1423">
        <f>+AW428</f>
        <v>0</v>
      </c>
      <c r="AW428" s="1433"/>
      <c r="AX428" s="1434"/>
      <c r="AY428" s="1423">
        <f>+AZ428</f>
        <v>0</v>
      </c>
      <c r="AZ428" s="1433"/>
      <c r="BA428" s="1434"/>
      <c r="BB428" s="1423">
        <f>+BC428</f>
        <v>0</v>
      </c>
      <c r="BC428" s="1433"/>
      <c r="BD428" s="1434"/>
      <c r="BE428" s="1423">
        <f>+BF428</f>
        <v>0</v>
      </c>
      <c r="BF428" s="1433"/>
      <c r="BG428" s="1434"/>
      <c r="BH428" s="1423">
        <f>+BI428</f>
        <v>0</v>
      </c>
      <c r="BI428" s="1433"/>
      <c r="BJ428" s="1434"/>
      <c r="BK428" s="1423">
        <f>+BL428</f>
        <v>0</v>
      </c>
      <c r="BL428" s="1433"/>
      <c r="BM428" s="1434"/>
      <c r="BN428" s="1423">
        <f>+BO428</f>
        <v>0</v>
      </c>
      <c r="BO428" s="1436"/>
      <c r="BP428" s="1434"/>
      <c r="BQ428" s="1423">
        <f>+BR428</f>
        <v>0</v>
      </c>
      <c r="BR428" s="1436"/>
      <c r="BS428" s="1434"/>
      <c r="BT428" s="1423">
        <f>+BU428</f>
        <v>0</v>
      </c>
      <c r="BU428" s="1436"/>
      <c r="BV428" s="1434"/>
      <c r="BW428" s="1423">
        <f>+BX428</f>
        <v>0</v>
      </c>
      <c r="BX428" s="1436"/>
      <c r="BY428" s="1434"/>
      <c r="BZ428" s="1423">
        <f>+CA428</f>
        <v>0</v>
      </c>
      <c r="CA428" s="1436"/>
      <c r="CB428" s="1434"/>
      <c r="CC428" s="1423">
        <f>+CD428</f>
        <v>0</v>
      </c>
      <c r="CD428" s="1436"/>
      <c r="CE428" s="1434"/>
      <c r="CF428" s="1423">
        <f>+CG428</f>
        <v>0</v>
      </c>
      <c r="CG428" s="1436"/>
      <c r="CH428" s="1434"/>
      <c r="CI428" s="1423">
        <f>+CJ428</f>
        <v>0</v>
      </c>
      <c r="CJ428" s="1436"/>
      <c r="CK428" s="1434"/>
      <c r="CL428" s="1423">
        <f>+CM428</f>
        <v>0</v>
      </c>
      <c r="CM428" s="1436"/>
      <c r="CN428" s="1434"/>
      <c r="CO428" s="1423">
        <f>+CP428</f>
        <v>0</v>
      </c>
      <c r="CP428" s="1436"/>
      <c r="CQ428" s="1434"/>
      <c r="CR428" s="1423">
        <f>+CS428</f>
        <v>0</v>
      </c>
      <c r="CS428" s="1436"/>
      <c r="CT428" s="1434"/>
      <c r="CU428" s="1423">
        <f>+CV428</f>
        <v>0</v>
      </c>
      <c r="CV428" s="1436"/>
      <c r="CW428" s="1434"/>
      <c r="CX428" s="1423">
        <f>+CY428</f>
        <v>0</v>
      </c>
      <c r="CY428" s="1436"/>
      <c r="CZ428" s="1434"/>
      <c r="DA428" s="1423">
        <f>+DB428</f>
        <v>0</v>
      </c>
      <c r="DB428" s="1436"/>
      <c r="DC428" s="1434"/>
      <c r="DD428" s="1423">
        <f>+DE428</f>
        <v>0</v>
      </c>
      <c r="DE428" s="1437"/>
      <c r="DF428" s="1434"/>
      <c r="DG428" s="1423">
        <f>+DH428</f>
        <v>0</v>
      </c>
      <c r="DH428" s="1437"/>
      <c r="DI428" s="1434"/>
      <c r="DJ428" s="1423">
        <f>+DK428</f>
        <v>0</v>
      </c>
      <c r="DK428" s="1437"/>
      <c r="DL428" s="1434"/>
      <c r="DM428" s="1423">
        <f>+DN428</f>
        <v>0</v>
      </c>
      <c r="DN428" s="1437"/>
      <c r="DO428" s="1434"/>
      <c r="DP428" s="1423">
        <f>+DQ428</f>
        <v>0</v>
      </c>
      <c r="DQ428" s="1437"/>
      <c r="DR428" s="1434"/>
      <c r="DS428" s="1423">
        <f>+DT428</f>
        <v>0</v>
      </c>
      <c r="DT428" s="1437"/>
      <c r="DU428" s="1434"/>
      <c r="DV428" s="1423">
        <f>+DW428</f>
        <v>0</v>
      </c>
      <c r="DW428" s="1437"/>
      <c r="DX428" s="1434"/>
      <c r="DY428" s="1423">
        <f>+DZ428</f>
        <v>0</v>
      </c>
      <c r="DZ428" s="1437"/>
      <c r="EA428" s="1434"/>
      <c r="EB428" s="1423">
        <f>+EC428</f>
        <v>0</v>
      </c>
      <c r="EC428" s="1437"/>
      <c r="ED428" s="1434"/>
      <c r="EE428" s="1423">
        <f>+EF428</f>
        <v>0</v>
      </c>
      <c r="EF428" s="1437"/>
      <c r="EG428" s="1434"/>
      <c r="EH428" s="1423">
        <f>+EI428</f>
        <v>0</v>
      </c>
      <c r="EI428" s="1437"/>
      <c r="EJ428" s="1434"/>
      <c r="EK428" s="1423">
        <f>+EL428</f>
        <v>0</v>
      </c>
      <c r="EL428" s="1437"/>
      <c r="EM428" s="1434"/>
      <c r="EN428" s="1423">
        <f>+EO428</f>
        <v>0</v>
      </c>
      <c r="EO428" s="1437"/>
      <c r="EP428" s="1434"/>
      <c r="EQ428" s="1423">
        <f>+ER428</f>
        <v>0</v>
      </c>
      <c r="ER428" s="1437"/>
      <c r="ES428" s="1434"/>
      <c r="ET428" s="1423">
        <f>+EU428</f>
        <v>0</v>
      </c>
      <c r="EU428" s="1437"/>
      <c r="EV428" s="1434"/>
      <c r="EW428" s="1423">
        <f>+EX428</f>
        <v>0</v>
      </c>
      <c r="EX428" s="1437"/>
      <c r="EY428" s="1434"/>
      <c r="EZ428" s="1423">
        <f>+FA428</f>
        <v>0</v>
      </c>
      <c r="FA428" s="1437"/>
      <c r="FD428"/>
      <c r="FE428"/>
      <c r="FF428"/>
      <c r="FG428"/>
      <c r="FH428"/>
      <c r="FI428"/>
    </row>
    <row r="429" spans="1:165" s="33" customFormat="1" outlineLevel="1">
      <c r="A429" s="58"/>
      <c r="B429" s="1338" t="s">
        <v>223</v>
      </c>
      <c r="C429" s="58"/>
      <c r="D429" s="58"/>
      <c r="E429" s="1438"/>
      <c r="F429" s="1342">
        <f>+G429-E429</f>
        <v>0</v>
      </c>
      <c r="G429" s="1439"/>
      <c r="H429" s="1440"/>
      <c r="I429" s="1342">
        <f>+J429-H429</f>
        <v>0</v>
      </c>
      <c r="J429" s="1439"/>
      <c r="K429" s="1440"/>
      <c r="L429" s="1342">
        <f>+M429-K429</f>
        <v>0</v>
      </c>
      <c r="M429" s="1439"/>
      <c r="N429" s="1440"/>
      <c r="O429" s="1342">
        <f>+P429-N429</f>
        <v>0</v>
      </c>
      <c r="P429" s="1439"/>
      <c r="Q429" s="1440"/>
      <c r="R429" s="1342">
        <f>+S429-Q429</f>
        <v>0</v>
      </c>
      <c r="S429" s="1439"/>
      <c r="T429" s="1440"/>
      <c r="U429" s="1342">
        <f>+V429-T429</f>
        <v>0</v>
      </c>
      <c r="V429" s="1439"/>
      <c r="W429" s="1440"/>
      <c r="X429" s="1342">
        <f>+Y429-W429</f>
        <v>0</v>
      </c>
      <c r="Y429" s="1439"/>
      <c r="Z429" s="1440"/>
      <c r="AA429" s="1342">
        <f>+AB429-Z429</f>
        <v>0</v>
      </c>
      <c r="AB429" s="1439"/>
      <c r="AC429" s="1440"/>
      <c r="AD429" s="1342">
        <f>+AE429-AC429</f>
        <v>0</v>
      </c>
      <c r="AE429" s="1439"/>
      <c r="AF429" s="1440"/>
      <c r="AG429" s="1342">
        <f>+AH429-AF429</f>
        <v>0</v>
      </c>
      <c r="AH429" s="1439"/>
      <c r="AI429" s="1440"/>
      <c r="AJ429" s="1342">
        <f>+AK429-AI429</f>
        <v>0</v>
      </c>
      <c r="AK429" s="1439"/>
      <c r="AL429" s="1440"/>
      <c r="AM429" s="1342">
        <f>+AN429-AL429</f>
        <v>0</v>
      </c>
      <c r="AN429" s="1439"/>
      <c r="AO429" s="1440"/>
      <c r="AP429" s="1342">
        <f>+AQ429-AO429</f>
        <v>0</v>
      </c>
      <c r="AQ429" s="1439"/>
      <c r="AR429" s="1440"/>
      <c r="AS429" s="1342">
        <f>+AT429-AR429</f>
        <v>0</v>
      </c>
      <c r="AT429" s="1439"/>
      <c r="AU429" s="1440"/>
      <c r="AV429" s="1342">
        <f>+AW429-AU429</f>
        <v>0</v>
      </c>
      <c r="AW429" s="1439"/>
      <c r="AX429" s="1440"/>
      <c r="AY429" s="1342">
        <f>+AZ429-AX429</f>
        <v>0</v>
      </c>
      <c r="AZ429" s="1439"/>
      <c r="BA429" s="1440"/>
      <c r="BB429" s="1342">
        <f>+BC429-BA429</f>
        <v>0</v>
      </c>
      <c r="BC429" s="1439"/>
      <c r="BD429" s="1440"/>
      <c r="BE429" s="1342">
        <f>+BF429-BD429</f>
        <v>0</v>
      </c>
      <c r="BF429" s="1439"/>
      <c r="BG429" s="1440"/>
      <c r="BH429" s="1342">
        <f>+BI429-BG429</f>
        <v>0</v>
      </c>
      <c r="BI429" s="1439"/>
      <c r="BJ429" s="1440"/>
      <c r="BK429" s="1342">
        <f>+BL429-BJ429</f>
        <v>0</v>
      </c>
      <c r="BL429" s="1439"/>
      <c r="BM429" s="1440"/>
      <c r="BN429" s="1342">
        <f>+BO429-BM429</f>
        <v>0</v>
      </c>
      <c r="BO429" s="1442"/>
      <c r="BP429" s="1440"/>
      <c r="BQ429" s="1342">
        <f>+BR429-BP429</f>
        <v>0</v>
      </c>
      <c r="BR429" s="1442"/>
      <c r="BS429" s="1440"/>
      <c r="BT429" s="1342">
        <f>+BU429-BS429</f>
        <v>0</v>
      </c>
      <c r="BU429" s="1442"/>
      <c r="BV429" s="1440"/>
      <c r="BW429" s="1342">
        <f>+BX429-BV429</f>
        <v>0</v>
      </c>
      <c r="BX429" s="1442"/>
      <c r="BY429" s="1440"/>
      <c r="BZ429" s="1342">
        <f>+CA429-BY429</f>
        <v>0</v>
      </c>
      <c r="CA429" s="1442"/>
      <c r="CB429" s="1440"/>
      <c r="CC429" s="1342">
        <f>+CD429-CB429</f>
        <v>0</v>
      </c>
      <c r="CD429" s="1442"/>
      <c r="CE429" s="1440"/>
      <c r="CF429" s="1342">
        <f>+CG429-CE429</f>
        <v>0</v>
      </c>
      <c r="CG429" s="1442"/>
      <c r="CH429" s="1440"/>
      <c r="CI429" s="1342">
        <f>+CJ429-CH429</f>
        <v>0</v>
      </c>
      <c r="CJ429" s="1442"/>
      <c r="CK429" s="1440"/>
      <c r="CL429" s="1342">
        <f>+CM429-CK429</f>
        <v>0</v>
      </c>
      <c r="CM429" s="1442"/>
      <c r="CN429" s="1440"/>
      <c r="CO429" s="1342">
        <f>+CP429-CN429</f>
        <v>0</v>
      </c>
      <c r="CP429" s="1442"/>
      <c r="CQ429" s="1440"/>
      <c r="CR429" s="1342">
        <f>+CS429-CQ429</f>
        <v>0</v>
      </c>
      <c r="CS429" s="1442"/>
      <c r="CT429" s="1440"/>
      <c r="CU429" s="1342">
        <f>+CV429-CT429</f>
        <v>0</v>
      </c>
      <c r="CV429" s="1442"/>
      <c r="CW429" s="1440"/>
      <c r="CX429" s="1342">
        <f>+CY429-CW429</f>
        <v>0</v>
      </c>
      <c r="CY429" s="1442"/>
      <c r="CZ429" s="1440"/>
      <c r="DA429" s="1342">
        <f>+DB429-CZ429</f>
        <v>0</v>
      </c>
      <c r="DB429" s="1442"/>
      <c r="DC429" s="1440"/>
      <c r="DD429" s="1342">
        <f>+DE429-DC429</f>
        <v>0</v>
      </c>
      <c r="DE429" s="1443"/>
      <c r="DF429" s="1440"/>
      <c r="DG429" s="1342">
        <f>+DH429-DF429</f>
        <v>0</v>
      </c>
      <c r="DH429" s="1443"/>
      <c r="DI429" s="1440"/>
      <c r="DJ429" s="1342">
        <f>+DK429-DI429</f>
        <v>0</v>
      </c>
      <c r="DK429" s="1443"/>
      <c r="DL429" s="1440"/>
      <c r="DM429" s="1342">
        <f>+DN429-DL429</f>
        <v>0</v>
      </c>
      <c r="DN429" s="1443"/>
      <c r="DO429" s="1440"/>
      <c r="DP429" s="1342">
        <f>+DQ429-DO429</f>
        <v>0</v>
      </c>
      <c r="DQ429" s="1443"/>
      <c r="DR429" s="1440"/>
      <c r="DS429" s="1342">
        <f>+DT429-DR429</f>
        <v>0</v>
      </c>
      <c r="DT429" s="1443"/>
      <c r="DU429" s="1440"/>
      <c r="DV429" s="1342">
        <f>+DW429-DU429</f>
        <v>0</v>
      </c>
      <c r="DW429" s="1443"/>
      <c r="DX429" s="1440"/>
      <c r="DY429" s="1342">
        <f>+DZ429-DX429</f>
        <v>0</v>
      </c>
      <c r="DZ429" s="1443"/>
      <c r="EA429" s="1440"/>
      <c r="EB429" s="1342">
        <f>+EC429-EA429</f>
        <v>0</v>
      </c>
      <c r="EC429" s="1443"/>
      <c r="ED429" s="1440"/>
      <c r="EE429" s="1342">
        <f>+EF429-ED429</f>
        <v>0</v>
      </c>
      <c r="EF429" s="1443"/>
      <c r="EG429" s="1440"/>
      <c r="EH429" s="1342">
        <f>+EI429-EG429</f>
        <v>0</v>
      </c>
      <c r="EI429" s="1443"/>
      <c r="EJ429" s="1440"/>
      <c r="EK429" s="1342">
        <f>+EL429-EJ429</f>
        <v>0</v>
      </c>
      <c r="EL429" s="1443"/>
      <c r="EM429" s="1440"/>
      <c r="EN429" s="1342">
        <f>+EO429-EM429</f>
        <v>0</v>
      </c>
      <c r="EO429" s="1443"/>
      <c r="EP429" s="1440"/>
      <c r="EQ429" s="1342">
        <f>+ER429-EP429</f>
        <v>0</v>
      </c>
      <c r="ER429" s="1443"/>
      <c r="ES429" s="1440"/>
      <c r="ET429" s="1342">
        <f>+EU429-ES429</f>
        <v>0</v>
      </c>
      <c r="EU429" s="1443"/>
      <c r="EV429" s="1440"/>
      <c r="EW429" s="1342">
        <f>+EX429-EV429</f>
        <v>0</v>
      </c>
      <c r="EX429" s="1443"/>
      <c r="EY429" s="1440"/>
      <c r="EZ429" s="1342">
        <f>+FA429-EY429</f>
        <v>0</v>
      </c>
      <c r="FA429" s="1443"/>
      <c r="FD429"/>
      <c r="FE429"/>
      <c r="FF429"/>
      <c r="FG429"/>
      <c r="FH429"/>
      <c r="FI429"/>
    </row>
    <row r="430" spans="1:165" s="1456" customFormat="1" ht="13.5" outlineLevel="1" thickBot="1">
      <c r="A430" s="1455"/>
      <c r="B430" s="1338" t="s">
        <v>226</v>
      </c>
      <c r="C430" s="1455"/>
      <c r="D430" s="1455"/>
      <c r="E430" s="1444" t="s">
        <v>227</v>
      </c>
      <c r="F430" s="1021"/>
      <c r="G430" s="1445" t="str">
        <f>+E430</f>
        <v>N</v>
      </c>
      <c r="H430" s="1446" t="str">
        <f>G430</f>
        <v>N</v>
      </c>
      <c r="I430" s="1021"/>
      <c r="J430" s="1445" t="str">
        <f>+H430</f>
        <v>N</v>
      </c>
      <c r="K430" s="1446" t="str">
        <f>J430</f>
        <v>N</v>
      </c>
      <c r="L430" s="1021"/>
      <c r="M430" s="1445" t="str">
        <f>+K430</f>
        <v>N</v>
      </c>
      <c r="N430" s="1446" t="str">
        <f>M430</f>
        <v>N</v>
      </c>
      <c r="O430" s="1021"/>
      <c r="P430" s="1445" t="str">
        <f>+N430</f>
        <v>N</v>
      </c>
      <c r="Q430" s="1446" t="str">
        <f>P430</f>
        <v>N</v>
      </c>
      <c r="R430" s="1021"/>
      <c r="S430" s="1445" t="str">
        <f>+Q430</f>
        <v>N</v>
      </c>
      <c r="T430" s="1446" t="str">
        <f>S430</f>
        <v>N</v>
      </c>
      <c r="U430" s="1021"/>
      <c r="V430" s="1445" t="str">
        <f>+T430</f>
        <v>N</v>
      </c>
      <c r="W430" s="1446" t="str">
        <f>V430</f>
        <v>N</v>
      </c>
      <c r="X430" s="1021"/>
      <c r="Y430" s="1445" t="str">
        <f>+W430</f>
        <v>N</v>
      </c>
      <c r="Z430" s="1446" t="str">
        <f>Y430</f>
        <v>N</v>
      </c>
      <c r="AA430" s="1021"/>
      <c r="AB430" s="1445" t="str">
        <f>+Z430</f>
        <v>N</v>
      </c>
      <c r="AC430" s="1446" t="str">
        <f>AB430</f>
        <v>N</v>
      </c>
      <c r="AD430" s="1021"/>
      <c r="AE430" s="1445" t="str">
        <f>+AC430</f>
        <v>N</v>
      </c>
      <c r="AF430" s="1446" t="str">
        <f>AE430</f>
        <v>N</v>
      </c>
      <c r="AG430" s="1021"/>
      <c r="AH430" s="1445" t="str">
        <f>+AF430</f>
        <v>N</v>
      </c>
      <c r="AI430" s="1446" t="str">
        <f>AH430</f>
        <v>N</v>
      </c>
      <c r="AJ430" s="1021"/>
      <c r="AK430" s="1445" t="str">
        <f>+AI430</f>
        <v>N</v>
      </c>
      <c r="AL430" s="1446" t="str">
        <f>AK430</f>
        <v>N</v>
      </c>
      <c r="AM430" s="1021"/>
      <c r="AN430" s="1445" t="str">
        <f>+AL430</f>
        <v>N</v>
      </c>
      <c r="AO430" s="1446" t="str">
        <f>AN430</f>
        <v>N</v>
      </c>
      <c r="AP430" s="1021"/>
      <c r="AQ430" s="1445" t="str">
        <f>+AO430</f>
        <v>N</v>
      </c>
      <c r="AR430" s="1446" t="str">
        <f>AQ430</f>
        <v>N</v>
      </c>
      <c r="AS430" s="1021"/>
      <c r="AT430" s="1445" t="str">
        <f>+AR430</f>
        <v>N</v>
      </c>
      <c r="AU430" s="1446" t="str">
        <f>AT430</f>
        <v>N</v>
      </c>
      <c r="AV430" s="1021"/>
      <c r="AW430" s="1445" t="str">
        <f>+AU430</f>
        <v>N</v>
      </c>
      <c r="AX430" s="1446" t="str">
        <f>AW430</f>
        <v>N</v>
      </c>
      <c r="AY430" s="1021"/>
      <c r="AZ430" s="1445" t="str">
        <f>+AX430</f>
        <v>N</v>
      </c>
      <c r="BA430" s="1446" t="str">
        <f>AZ430</f>
        <v>N</v>
      </c>
      <c r="BB430" s="1021"/>
      <c r="BC430" s="1445" t="str">
        <f>+BA430</f>
        <v>N</v>
      </c>
      <c r="BD430" s="1446" t="str">
        <f>BC430</f>
        <v>N</v>
      </c>
      <c r="BE430" s="1021"/>
      <c r="BF430" s="1445" t="str">
        <f>+BD430</f>
        <v>N</v>
      </c>
      <c r="BG430" s="1446" t="str">
        <f>BF430</f>
        <v>N</v>
      </c>
      <c r="BH430" s="1021"/>
      <c r="BI430" s="1445" t="str">
        <f>+BG430</f>
        <v>N</v>
      </c>
      <c r="BJ430" s="1446" t="str">
        <f>BI430</f>
        <v>N</v>
      </c>
      <c r="BK430" s="1021"/>
      <c r="BL430" s="1445" t="str">
        <f>+BJ430</f>
        <v>N</v>
      </c>
      <c r="BM430" s="1446" t="str">
        <f>BL430</f>
        <v>N</v>
      </c>
      <c r="BN430" s="1021"/>
      <c r="BO430" s="1448" t="str">
        <f>+BM430</f>
        <v>N</v>
      </c>
      <c r="BP430" s="1446" t="str">
        <f>BO430</f>
        <v>N</v>
      </c>
      <c r="BQ430" s="1021"/>
      <c r="BR430" s="1448" t="str">
        <f>+BP430</f>
        <v>N</v>
      </c>
      <c r="BS430" s="1446" t="str">
        <f>BR430</f>
        <v>N</v>
      </c>
      <c r="BT430" s="1021"/>
      <c r="BU430" s="1448" t="str">
        <f>+BS430</f>
        <v>N</v>
      </c>
      <c r="BV430" s="1446" t="str">
        <f>BU430</f>
        <v>N</v>
      </c>
      <c r="BW430" s="1021"/>
      <c r="BX430" s="1448" t="str">
        <f>+BV430</f>
        <v>N</v>
      </c>
      <c r="BY430" s="1446" t="str">
        <f>BX430</f>
        <v>N</v>
      </c>
      <c r="BZ430" s="1021"/>
      <c r="CA430" s="1448" t="str">
        <f>+BY430</f>
        <v>N</v>
      </c>
      <c r="CB430" s="1446" t="str">
        <f>CA430</f>
        <v>N</v>
      </c>
      <c r="CC430" s="1021"/>
      <c r="CD430" s="1448" t="str">
        <f>+CB430</f>
        <v>N</v>
      </c>
      <c r="CE430" s="1446" t="str">
        <f>CD430</f>
        <v>N</v>
      </c>
      <c r="CF430" s="1021"/>
      <c r="CG430" s="1448" t="str">
        <f>+CE430</f>
        <v>N</v>
      </c>
      <c r="CH430" s="1446" t="str">
        <f>CG430</f>
        <v>N</v>
      </c>
      <c r="CI430" s="1021"/>
      <c r="CJ430" s="1448" t="str">
        <f>+CH430</f>
        <v>N</v>
      </c>
      <c r="CK430" s="1446" t="str">
        <f>CJ430</f>
        <v>N</v>
      </c>
      <c r="CL430" s="1021"/>
      <c r="CM430" s="1448" t="str">
        <f>+CK430</f>
        <v>N</v>
      </c>
      <c r="CN430" s="1446" t="str">
        <f>CM430</f>
        <v>N</v>
      </c>
      <c r="CO430" s="1021"/>
      <c r="CP430" s="1448" t="str">
        <f>+CN430</f>
        <v>N</v>
      </c>
      <c r="CQ430" s="1446" t="str">
        <f>CP430</f>
        <v>N</v>
      </c>
      <c r="CR430" s="1021"/>
      <c r="CS430" s="1448" t="str">
        <f>+CQ430</f>
        <v>N</v>
      </c>
      <c r="CT430" s="1446" t="str">
        <f>CS430</f>
        <v>N</v>
      </c>
      <c r="CU430" s="1021"/>
      <c r="CV430" s="1448" t="str">
        <f>+CT430</f>
        <v>N</v>
      </c>
      <c r="CW430" s="1446" t="str">
        <f>CV430</f>
        <v>N</v>
      </c>
      <c r="CX430" s="1021"/>
      <c r="CY430" s="1448" t="str">
        <f>+CW430</f>
        <v>N</v>
      </c>
      <c r="CZ430" s="1446" t="str">
        <f>CY430</f>
        <v>N</v>
      </c>
      <c r="DA430" s="1021"/>
      <c r="DB430" s="1448" t="str">
        <f>+CZ430</f>
        <v>N</v>
      </c>
      <c r="DC430" s="1446" t="str">
        <f>DB430</f>
        <v>N</v>
      </c>
      <c r="DD430" s="1021"/>
      <c r="DE430" s="1449" t="str">
        <f>+DC430</f>
        <v>N</v>
      </c>
      <c r="DF430" s="1446" t="str">
        <f>DE430</f>
        <v>N</v>
      </c>
      <c r="DG430" s="1021"/>
      <c r="DH430" s="1449" t="str">
        <f>+DF430</f>
        <v>N</v>
      </c>
      <c r="DI430" s="1446" t="str">
        <f>DH430</f>
        <v>N</v>
      </c>
      <c r="DJ430" s="1021"/>
      <c r="DK430" s="1449" t="str">
        <f>+DI430</f>
        <v>N</v>
      </c>
      <c r="DL430" s="1446" t="str">
        <f>DK430</f>
        <v>N</v>
      </c>
      <c r="DM430" s="1021"/>
      <c r="DN430" s="1449" t="str">
        <f>+DL430</f>
        <v>N</v>
      </c>
      <c r="DO430" s="1446" t="str">
        <f>DN430</f>
        <v>N</v>
      </c>
      <c r="DP430" s="1021"/>
      <c r="DQ430" s="1449" t="str">
        <f>+DO430</f>
        <v>N</v>
      </c>
      <c r="DR430" s="1446" t="str">
        <f>DQ430</f>
        <v>N</v>
      </c>
      <c r="DS430" s="1021"/>
      <c r="DT430" s="1449" t="str">
        <f>+DR430</f>
        <v>N</v>
      </c>
      <c r="DU430" s="1446" t="str">
        <f>DT430</f>
        <v>N</v>
      </c>
      <c r="DV430" s="1021"/>
      <c r="DW430" s="1449" t="str">
        <f>+DU430</f>
        <v>N</v>
      </c>
      <c r="DX430" s="1446" t="str">
        <f>DW430</f>
        <v>N</v>
      </c>
      <c r="DY430" s="1021"/>
      <c r="DZ430" s="1449" t="str">
        <f>+DX430</f>
        <v>N</v>
      </c>
      <c r="EA430" s="1446" t="str">
        <f>DZ430</f>
        <v>N</v>
      </c>
      <c r="EB430" s="1021"/>
      <c r="EC430" s="1449" t="str">
        <f>+EA430</f>
        <v>N</v>
      </c>
      <c r="ED430" s="1446" t="str">
        <f>EC430</f>
        <v>N</v>
      </c>
      <c r="EE430" s="1021"/>
      <c r="EF430" s="1449" t="str">
        <f>+ED430</f>
        <v>N</v>
      </c>
      <c r="EG430" s="1446" t="str">
        <f>EF430</f>
        <v>N</v>
      </c>
      <c r="EH430" s="1021"/>
      <c r="EI430" s="1449" t="str">
        <f>+EG430</f>
        <v>N</v>
      </c>
      <c r="EJ430" s="1446" t="str">
        <f>EI430</f>
        <v>N</v>
      </c>
      <c r="EK430" s="1021"/>
      <c r="EL430" s="1449" t="str">
        <f>+EJ430</f>
        <v>N</v>
      </c>
      <c r="EM430" s="1446" t="str">
        <f>EL430</f>
        <v>N</v>
      </c>
      <c r="EN430" s="1021"/>
      <c r="EO430" s="1449" t="str">
        <f>+EM430</f>
        <v>N</v>
      </c>
      <c r="EP430" s="1446" t="str">
        <f>EO430</f>
        <v>N</v>
      </c>
      <c r="EQ430" s="1021"/>
      <c r="ER430" s="1449" t="str">
        <f>+EP430</f>
        <v>N</v>
      </c>
      <c r="ES430" s="1446" t="str">
        <f>ER430</f>
        <v>N</v>
      </c>
      <c r="ET430" s="1021"/>
      <c r="EU430" s="1449" t="str">
        <f>+ES430</f>
        <v>N</v>
      </c>
      <c r="EV430" s="1446" t="str">
        <f>EU430</f>
        <v>N</v>
      </c>
      <c r="EW430" s="1021"/>
      <c r="EX430" s="1449" t="str">
        <f>+EV430</f>
        <v>N</v>
      </c>
      <c r="EY430" s="1446" t="str">
        <f>EX430</f>
        <v>N</v>
      </c>
      <c r="EZ430" s="1021"/>
      <c r="FA430" s="1449" t="str">
        <f>+EY430</f>
        <v>N</v>
      </c>
      <c r="FD430"/>
      <c r="FE430"/>
      <c r="FF430"/>
      <c r="FG430"/>
      <c r="FH430"/>
      <c r="FI430"/>
    </row>
    <row r="431" spans="1:165" s="33" customFormat="1" ht="13.5" outlineLevel="1" thickBot="1">
      <c r="A431" s="58"/>
      <c r="B431" s="58"/>
      <c r="C431" s="58"/>
      <c r="D431" s="58"/>
      <c r="E431" s="1450"/>
      <c r="F431" s="1450"/>
      <c r="G431" s="1451"/>
      <c r="H431" s="1450"/>
      <c r="I431" s="1450"/>
      <c r="J431" s="1451"/>
      <c r="K431" s="1450"/>
      <c r="L431" s="1450"/>
      <c r="M431" s="1451"/>
      <c r="N431" s="1450"/>
      <c r="O431" s="1450"/>
      <c r="P431" s="1451"/>
      <c r="Q431" s="1452"/>
      <c r="R431" s="1452"/>
      <c r="S431" s="1453"/>
      <c r="T431" s="1452"/>
      <c r="U431" s="1452"/>
      <c r="V431" s="1451"/>
      <c r="W431" s="1450"/>
      <c r="X431" s="1450"/>
      <c r="Y431" s="1451"/>
      <c r="Z431" s="1450"/>
      <c r="AA431" s="1450"/>
      <c r="AB431" s="1451"/>
      <c r="AC431" s="1450"/>
      <c r="AD431" s="1450"/>
      <c r="AE431" s="1451"/>
      <c r="AF431" s="1450"/>
      <c r="AG431" s="1450"/>
      <c r="AH431" s="1451"/>
      <c r="AI431" s="1450"/>
      <c r="AJ431" s="1450"/>
      <c r="AK431" s="1451"/>
      <c r="AL431" s="1450"/>
      <c r="AM431" s="1450"/>
      <c r="AN431" s="1451"/>
      <c r="AO431" s="1450"/>
      <c r="AP431" s="1450"/>
      <c r="AQ431" s="1451"/>
      <c r="AR431" s="1450"/>
      <c r="AS431" s="1450"/>
      <c r="AT431" s="1451"/>
      <c r="AU431" s="1450"/>
      <c r="AV431" s="1450"/>
      <c r="AW431" s="1451"/>
      <c r="AX431" s="1450"/>
      <c r="AY431" s="1450"/>
      <c r="AZ431" s="1451"/>
      <c r="BA431" s="1450"/>
      <c r="BB431" s="1450"/>
      <c r="BC431" s="1451"/>
      <c r="BD431" s="1450"/>
      <c r="BE431" s="1450"/>
      <c r="BF431" s="1451"/>
      <c r="BG431" s="1450"/>
      <c r="BH431" s="1450"/>
      <c r="BI431" s="1451"/>
      <c r="BJ431" s="1450"/>
      <c r="BK431" s="1450"/>
      <c r="BL431" s="1451"/>
      <c r="BM431" s="1450"/>
      <c r="BN431" s="1450"/>
      <c r="BO431" s="1451"/>
      <c r="BP431" s="1450"/>
      <c r="BQ431" s="1450"/>
      <c r="BR431" s="1451"/>
      <c r="BS431" s="1450"/>
      <c r="BT431" s="1450"/>
      <c r="BU431" s="1451"/>
      <c r="BV431" s="1450"/>
      <c r="BW431" s="1450"/>
      <c r="BX431" s="1451"/>
      <c r="BY431" s="1450"/>
      <c r="BZ431" s="1450"/>
      <c r="CA431" s="1451"/>
      <c r="CB431" s="1450"/>
      <c r="CC431" s="1450"/>
      <c r="CD431" s="1451"/>
      <c r="CE431" s="1450"/>
      <c r="CF431" s="1450"/>
      <c r="CG431" s="1451"/>
      <c r="CH431" s="1450"/>
      <c r="CI431" s="1450"/>
      <c r="CJ431" s="1451"/>
      <c r="CK431" s="1450"/>
      <c r="CL431" s="1450"/>
      <c r="CM431" s="1451"/>
      <c r="CN431" s="1450"/>
      <c r="CO431" s="1450"/>
      <c r="CP431" s="1451"/>
      <c r="CQ431" s="1450"/>
      <c r="CR431" s="1450"/>
      <c r="CS431" s="1451"/>
      <c r="CT431" s="1450"/>
      <c r="CU431" s="1450"/>
      <c r="CV431" s="1451"/>
      <c r="CW431" s="1450"/>
      <c r="CX431" s="1450"/>
      <c r="CY431" s="1451"/>
      <c r="CZ431" s="1450"/>
      <c r="DA431" s="1450"/>
      <c r="DB431" s="1451"/>
      <c r="DC431" s="1450"/>
      <c r="DD431" s="1450"/>
      <c r="DE431" s="1454"/>
      <c r="DF431" s="1450"/>
      <c r="DG431" s="1450"/>
      <c r="DH431" s="1454"/>
      <c r="DI431" s="1450"/>
      <c r="DJ431" s="1450"/>
      <c r="DK431" s="1454"/>
      <c r="DL431" s="1450"/>
      <c r="DM431" s="1450"/>
      <c r="DN431" s="1454"/>
      <c r="DO431" s="1450"/>
      <c r="DP431" s="1450"/>
      <c r="DQ431" s="1454"/>
      <c r="DR431" s="1450"/>
      <c r="DS431" s="1450"/>
      <c r="DT431" s="1454"/>
      <c r="DU431" s="1450"/>
      <c r="DV431" s="1450"/>
      <c r="DW431" s="1454"/>
      <c r="DX431" s="1450"/>
      <c r="DY431" s="1450"/>
      <c r="DZ431" s="1454"/>
      <c r="EA431" s="1450"/>
      <c r="EB431" s="1450"/>
      <c r="EC431" s="1454"/>
      <c r="ED431" s="1450"/>
      <c r="EE431" s="1450"/>
      <c r="EF431" s="1454"/>
      <c r="EG431" s="1450"/>
      <c r="EH431" s="1450"/>
      <c r="EI431" s="1454"/>
      <c r="EJ431" s="1450"/>
      <c r="EK431" s="1450"/>
      <c r="EL431" s="1454"/>
      <c r="EM431" s="1450"/>
      <c r="EN431" s="1450"/>
      <c r="EO431" s="1454"/>
      <c r="EP431" s="1450"/>
      <c r="EQ431" s="1450"/>
      <c r="ER431" s="1454"/>
      <c r="ES431" s="1450"/>
      <c r="ET431" s="1450"/>
      <c r="EU431" s="1454"/>
      <c r="EV431" s="1450"/>
      <c r="EW431" s="1450"/>
      <c r="EX431" s="1454"/>
      <c r="EY431" s="1450"/>
      <c r="EZ431" s="1450"/>
      <c r="FA431" s="1454"/>
      <c r="FD431"/>
      <c r="FE431"/>
      <c r="FF431"/>
      <c r="FG431"/>
      <c r="FH431"/>
      <c r="FI431"/>
    </row>
    <row r="432" spans="1:165" s="33" customFormat="1" outlineLevel="1">
      <c r="A432" s="58"/>
      <c r="B432" s="1338" t="s">
        <v>364</v>
      </c>
      <c r="C432" s="58"/>
      <c r="D432" s="58"/>
      <c r="E432" s="1422"/>
      <c r="F432" s="1423">
        <f>+G432</f>
        <v>0</v>
      </c>
      <c r="G432" s="1424"/>
      <c r="H432" s="1425"/>
      <c r="I432" s="1423">
        <f>+J432</f>
        <v>0</v>
      </c>
      <c r="J432" s="1424"/>
      <c r="K432" s="1425"/>
      <c r="L432" s="1423">
        <f>+M432</f>
        <v>0</v>
      </c>
      <c r="M432" s="1424"/>
      <c r="N432" s="1425"/>
      <c r="O432" s="1423">
        <f>+P432</f>
        <v>0</v>
      </c>
      <c r="P432" s="1424"/>
      <c r="Q432" s="1425"/>
      <c r="R432" s="1423">
        <f>+S432</f>
        <v>0</v>
      </c>
      <c r="S432" s="1424"/>
      <c r="T432" s="1425"/>
      <c r="U432" s="1423">
        <f>+V432</f>
        <v>0</v>
      </c>
      <c r="V432" s="1424"/>
      <c r="W432" s="1425"/>
      <c r="X432" s="1423">
        <f>+Y432</f>
        <v>0</v>
      </c>
      <c r="Y432" s="1424"/>
      <c r="Z432" s="1425"/>
      <c r="AA432" s="1423">
        <f>+AB432</f>
        <v>0</v>
      </c>
      <c r="AB432" s="1424"/>
      <c r="AC432" s="1425"/>
      <c r="AD432" s="1423">
        <f>+AE432</f>
        <v>0</v>
      </c>
      <c r="AE432" s="1424"/>
      <c r="AF432" s="1425"/>
      <c r="AG432" s="1423">
        <f>+AH432</f>
        <v>0</v>
      </c>
      <c r="AH432" s="1424"/>
      <c r="AI432" s="1425"/>
      <c r="AJ432" s="1423">
        <f>+AK432</f>
        <v>0</v>
      </c>
      <c r="AK432" s="1424"/>
      <c r="AL432" s="1425"/>
      <c r="AM432" s="1423">
        <f>+AN432</f>
        <v>0</v>
      </c>
      <c r="AN432" s="1424"/>
      <c r="AO432" s="1425"/>
      <c r="AP432" s="1423">
        <f>+AQ432</f>
        <v>0</v>
      </c>
      <c r="AQ432" s="1424"/>
      <c r="AR432" s="1425"/>
      <c r="AS432" s="1423">
        <f>+AT432</f>
        <v>0</v>
      </c>
      <c r="AT432" s="1424"/>
      <c r="AU432" s="1425"/>
      <c r="AV432" s="1423">
        <f>+AW432</f>
        <v>0</v>
      </c>
      <c r="AW432" s="1424"/>
      <c r="AX432" s="1425"/>
      <c r="AY432" s="1423">
        <f>+AZ432</f>
        <v>0</v>
      </c>
      <c r="AZ432" s="1424"/>
      <c r="BA432" s="1425"/>
      <c r="BB432" s="1423">
        <f>+BC432</f>
        <v>0</v>
      </c>
      <c r="BC432" s="1424"/>
      <c r="BD432" s="1425"/>
      <c r="BE432" s="1423">
        <f>+BF432</f>
        <v>0</v>
      </c>
      <c r="BF432" s="1424"/>
      <c r="BG432" s="1425"/>
      <c r="BH432" s="1423">
        <f>+BI432</f>
        <v>0</v>
      </c>
      <c r="BI432" s="1424"/>
      <c r="BJ432" s="1425"/>
      <c r="BK432" s="1423">
        <f>+BL432</f>
        <v>0</v>
      </c>
      <c r="BL432" s="1424"/>
      <c r="BM432" s="1425"/>
      <c r="BN432" s="1423">
        <f>+BO432</f>
        <v>0</v>
      </c>
      <c r="BO432" s="1427"/>
      <c r="BP432" s="1425"/>
      <c r="BQ432" s="1423">
        <f>+BR432</f>
        <v>0</v>
      </c>
      <c r="BR432" s="1427"/>
      <c r="BS432" s="1425"/>
      <c r="BT432" s="1423">
        <f>+BU432</f>
        <v>0</v>
      </c>
      <c r="BU432" s="1427"/>
      <c r="BV432" s="1425"/>
      <c r="BW432" s="1423">
        <f>+BX432</f>
        <v>0</v>
      </c>
      <c r="BX432" s="1427"/>
      <c r="BY432" s="1425"/>
      <c r="BZ432" s="1423">
        <f>+CA432</f>
        <v>0</v>
      </c>
      <c r="CA432" s="1427"/>
      <c r="CB432" s="1425"/>
      <c r="CC432" s="1423">
        <f>+CD432</f>
        <v>0</v>
      </c>
      <c r="CD432" s="1427"/>
      <c r="CE432" s="1425"/>
      <c r="CF432" s="1423">
        <f>+CG432</f>
        <v>0</v>
      </c>
      <c r="CG432" s="1427"/>
      <c r="CH432" s="1425"/>
      <c r="CI432" s="1423">
        <f>+CJ432</f>
        <v>0</v>
      </c>
      <c r="CJ432" s="1427"/>
      <c r="CK432" s="1425"/>
      <c r="CL432" s="1423">
        <f>+CM432</f>
        <v>0</v>
      </c>
      <c r="CM432" s="1427"/>
      <c r="CN432" s="1425"/>
      <c r="CO432" s="1423">
        <f>+CP432</f>
        <v>0</v>
      </c>
      <c r="CP432" s="1427"/>
      <c r="CQ432" s="1425"/>
      <c r="CR432" s="1423">
        <f>+CS432</f>
        <v>0</v>
      </c>
      <c r="CS432" s="1427"/>
      <c r="CT432" s="1425"/>
      <c r="CU432" s="1423">
        <f>+CV432</f>
        <v>0</v>
      </c>
      <c r="CV432" s="1427"/>
      <c r="CW432" s="1425"/>
      <c r="CX432" s="1423">
        <f>+CY432</f>
        <v>0</v>
      </c>
      <c r="CY432" s="1427"/>
      <c r="CZ432" s="1425"/>
      <c r="DA432" s="1423">
        <f>+DB432</f>
        <v>0</v>
      </c>
      <c r="DB432" s="1427"/>
      <c r="DC432" s="1425"/>
      <c r="DD432" s="1423">
        <f>+DE432</f>
        <v>0</v>
      </c>
      <c r="DE432" s="1430"/>
      <c r="DF432" s="1425"/>
      <c r="DG432" s="1423">
        <f>+DH432</f>
        <v>0</v>
      </c>
      <c r="DH432" s="1430"/>
      <c r="DI432" s="1425"/>
      <c r="DJ432" s="1423">
        <f>+DK432</f>
        <v>0</v>
      </c>
      <c r="DK432" s="1430"/>
      <c r="DL432" s="1425"/>
      <c r="DM432" s="1423">
        <f>+DN432</f>
        <v>0</v>
      </c>
      <c r="DN432" s="1430"/>
      <c r="DO432" s="1425"/>
      <c r="DP432" s="1423">
        <f>+DQ432</f>
        <v>0</v>
      </c>
      <c r="DQ432" s="1430"/>
      <c r="DR432" s="1425"/>
      <c r="DS432" s="1423">
        <f>+DT432</f>
        <v>0</v>
      </c>
      <c r="DT432" s="1430"/>
      <c r="DU432" s="1425"/>
      <c r="DV432" s="1423">
        <f>+DW432</f>
        <v>0</v>
      </c>
      <c r="DW432" s="1430"/>
      <c r="DX432" s="1425"/>
      <c r="DY432" s="1423">
        <f>+DZ432</f>
        <v>0</v>
      </c>
      <c r="DZ432" s="1430"/>
      <c r="EA432" s="1425"/>
      <c r="EB432" s="1423">
        <f>+EC432</f>
        <v>0</v>
      </c>
      <c r="EC432" s="1430"/>
      <c r="ED432" s="1425"/>
      <c r="EE432" s="1423">
        <f>+EF432</f>
        <v>0</v>
      </c>
      <c r="EF432" s="1430"/>
      <c r="EG432" s="1425"/>
      <c r="EH432" s="1423">
        <f>+EI432</f>
        <v>0</v>
      </c>
      <c r="EI432" s="1430"/>
      <c r="EJ432" s="1425"/>
      <c r="EK432" s="1423">
        <f>+EL432</f>
        <v>0</v>
      </c>
      <c r="EL432" s="1430"/>
      <c r="EM432" s="1425"/>
      <c r="EN432" s="1423">
        <f>+EO432</f>
        <v>0</v>
      </c>
      <c r="EO432" s="1430"/>
      <c r="EP432" s="1425"/>
      <c r="EQ432" s="1423">
        <f>+ER432</f>
        <v>0</v>
      </c>
      <c r="ER432" s="1430"/>
      <c r="ES432" s="1425"/>
      <c r="ET432" s="1423">
        <f>+EU432</f>
        <v>0</v>
      </c>
      <c r="EU432" s="1430"/>
      <c r="EV432" s="1425"/>
      <c r="EW432" s="1423">
        <f>+EX432</f>
        <v>0</v>
      </c>
      <c r="EX432" s="1430"/>
      <c r="EY432" s="1425"/>
      <c r="EZ432" s="1423">
        <f>+FA432</f>
        <v>0</v>
      </c>
      <c r="FA432" s="1430"/>
      <c r="FD432"/>
      <c r="FE432"/>
      <c r="FF432"/>
      <c r="FG432"/>
      <c r="FH432"/>
      <c r="FI432"/>
    </row>
    <row r="433" spans="1:169" s="35" customFormat="1" outlineLevel="1">
      <c r="B433" s="1338" t="s">
        <v>50</v>
      </c>
      <c r="C433" s="1338"/>
      <c r="D433" s="1339"/>
      <c r="E433" s="1432"/>
      <c r="F433" s="1423">
        <f>+G433</f>
        <v>0</v>
      </c>
      <c r="G433" s="1433"/>
      <c r="H433" s="1434"/>
      <c r="I433" s="1423">
        <f>+J433</f>
        <v>0</v>
      </c>
      <c r="J433" s="1433"/>
      <c r="K433" s="1434"/>
      <c r="L433" s="1423">
        <f>+M433</f>
        <v>0</v>
      </c>
      <c r="M433" s="1433"/>
      <c r="N433" s="1434"/>
      <c r="O433" s="1423">
        <f>+P433</f>
        <v>0</v>
      </c>
      <c r="P433" s="1433"/>
      <c r="Q433" s="1434"/>
      <c r="R433" s="1423">
        <f>+S433</f>
        <v>0</v>
      </c>
      <c r="S433" s="1433"/>
      <c r="T433" s="1434"/>
      <c r="U433" s="1423">
        <f>+V433</f>
        <v>0</v>
      </c>
      <c r="V433" s="1433"/>
      <c r="W433" s="1434"/>
      <c r="X433" s="1423">
        <f>+Y433</f>
        <v>0</v>
      </c>
      <c r="Y433" s="1433"/>
      <c r="Z433" s="1434"/>
      <c r="AA433" s="1423">
        <f>+AB433</f>
        <v>0</v>
      </c>
      <c r="AB433" s="1433"/>
      <c r="AC433" s="1434"/>
      <c r="AD433" s="1423">
        <f>+AE433</f>
        <v>0</v>
      </c>
      <c r="AE433" s="1433"/>
      <c r="AF433" s="1434"/>
      <c r="AG433" s="1423">
        <f>+AH433</f>
        <v>0</v>
      </c>
      <c r="AH433" s="1433"/>
      <c r="AI433" s="1434"/>
      <c r="AJ433" s="1423">
        <f>+AK433</f>
        <v>0</v>
      </c>
      <c r="AK433" s="1433"/>
      <c r="AL433" s="1434"/>
      <c r="AM433" s="1423">
        <f>+AN433</f>
        <v>0</v>
      </c>
      <c r="AN433" s="1433"/>
      <c r="AO433" s="1434"/>
      <c r="AP433" s="1423">
        <f>+AQ433</f>
        <v>0</v>
      </c>
      <c r="AQ433" s="1433"/>
      <c r="AR433" s="1434"/>
      <c r="AS433" s="1423">
        <f>+AT433</f>
        <v>0</v>
      </c>
      <c r="AT433" s="1433"/>
      <c r="AU433" s="1434"/>
      <c r="AV433" s="1423">
        <f>+AW433</f>
        <v>0</v>
      </c>
      <c r="AW433" s="1433"/>
      <c r="AX433" s="1434"/>
      <c r="AY433" s="1423">
        <f>+AZ433</f>
        <v>0</v>
      </c>
      <c r="AZ433" s="1433"/>
      <c r="BA433" s="1434"/>
      <c r="BB433" s="1423">
        <f>+BC433</f>
        <v>0</v>
      </c>
      <c r="BC433" s="1433"/>
      <c r="BD433" s="1434"/>
      <c r="BE433" s="1423">
        <f>+BF433</f>
        <v>0</v>
      </c>
      <c r="BF433" s="1433"/>
      <c r="BG433" s="1434"/>
      <c r="BH433" s="1423">
        <f>+BI433</f>
        <v>0</v>
      </c>
      <c r="BI433" s="1433"/>
      <c r="BJ433" s="1434"/>
      <c r="BK433" s="1423">
        <f>+BL433</f>
        <v>0</v>
      </c>
      <c r="BL433" s="1433"/>
      <c r="BM433" s="1434"/>
      <c r="BN433" s="1423">
        <f>+BO433</f>
        <v>0</v>
      </c>
      <c r="BO433" s="1436"/>
      <c r="BP433" s="1434"/>
      <c r="BQ433" s="1423">
        <f>+BR433</f>
        <v>0</v>
      </c>
      <c r="BR433" s="1436"/>
      <c r="BS433" s="1434"/>
      <c r="BT433" s="1423">
        <f>+BU433</f>
        <v>0</v>
      </c>
      <c r="BU433" s="1436"/>
      <c r="BV433" s="1434"/>
      <c r="BW433" s="1423">
        <f>+BX433</f>
        <v>0</v>
      </c>
      <c r="BX433" s="1436"/>
      <c r="BY433" s="1434"/>
      <c r="BZ433" s="1423">
        <f>+CA433</f>
        <v>0</v>
      </c>
      <c r="CA433" s="1436"/>
      <c r="CB433" s="1434"/>
      <c r="CC433" s="1423">
        <f>+CD433</f>
        <v>0</v>
      </c>
      <c r="CD433" s="1436"/>
      <c r="CE433" s="1434"/>
      <c r="CF433" s="1423">
        <f>+CG433</f>
        <v>0</v>
      </c>
      <c r="CG433" s="1436"/>
      <c r="CH433" s="1434"/>
      <c r="CI433" s="1423">
        <f>+CJ433</f>
        <v>0</v>
      </c>
      <c r="CJ433" s="1436"/>
      <c r="CK433" s="1434"/>
      <c r="CL433" s="1423">
        <f>+CM433</f>
        <v>0</v>
      </c>
      <c r="CM433" s="1436"/>
      <c r="CN433" s="1434"/>
      <c r="CO433" s="1423">
        <f>+CP433</f>
        <v>0</v>
      </c>
      <c r="CP433" s="1436"/>
      <c r="CQ433" s="1434"/>
      <c r="CR433" s="1423">
        <f>+CS433</f>
        <v>0</v>
      </c>
      <c r="CS433" s="1436"/>
      <c r="CT433" s="1434"/>
      <c r="CU433" s="1423">
        <f>+CV433</f>
        <v>0</v>
      </c>
      <c r="CV433" s="1436"/>
      <c r="CW433" s="1434"/>
      <c r="CX433" s="1423">
        <f>+CY433</f>
        <v>0</v>
      </c>
      <c r="CY433" s="1436"/>
      <c r="CZ433" s="1434"/>
      <c r="DA433" s="1423">
        <f>+DB433</f>
        <v>0</v>
      </c>
      <c r="DB433" s="1436"/>
      <c r="DC433" s="1434"/>
      <c r="DD433" s="1423">
        <f>+DE433</f>
        <v>0</v>
      </c>
      <c r="DE433" s="1437"/>
      <c r="DF433" s="1434"/>
      <c r="DG433" s="1423">
        <f>+DH433</f>
        <v>0</v>
      </c>
      <c r="DH433" s="1437"/>
      <c r="DI433" s="1434"/>
      <c r="DJ433" s="1423">
        <f>+DK433</f>
        <v>0</v>
      </c>
      <c r="DK433" s="1437"/>
      <c r="DL433" s="1434"/>
      <c r="DM433" s="1423">
        <f>+DN433</f>
        <v>0</v>
      </c>
      <c r="DN433" s="1437"/>
      <c r="DO433" s="1434"/>
      <c r="DP433" s="1423">
        <f>+DQ433</f>
        <v>0</v>
      </c>
      <c r="DQ433" s="1437"/>
      <c r="DR433" s="1434"/>
      <c r="DS433" s="1423">
        <f>+DT433</f>
        <v>0</v>
      </c>
      <c r="DT433" s="1437"/>
      <c r="DU433" s="1434"/>
      <c r="DV433" s="1423">
        <f>+DW433</f>
        <v>0</v>
      </c>
      <c r="DW433" s="1437"/>
      <c r="DX433" s="1434"/>
      <c r="DY433" s="1423">
        <f>+DZ433</f>
        <v>0</v>
      </c>
      <c r="DZ433" s="1437"/>
      <c r="EA433" s="1434"/>
      <c r="EB433" s="1423">
        <f>+EC433</f>
        <v>0</v>
      </c>
      <c r="EC433" s="1437"/>
      <c r="ED433" s="1434"/>
      <c r="EE433" s="1423">
        <f>+EF433</f>
        <v>0</v>
      </c>
      <c r="EF433" s="1437"/>
      <c r="EG433" s="1434"/>
      <c r="EH433" s="1423">
        <f>+EI433</f>
        <v>0</v>
      </c>
      <c r="EI433" s="1437"/>
      <c r="EJ433" s="1434"/>
      <c r="EK433" s="1423">
        <f>+EL433</f>
        <v>0</v>
      </c>
      <c r="EL433" s="1437"/>
      <c r="EM433" s="1434"/>
      <c r="EN433" s="1423">
        <f>+EO433</f>
        <v>0</v>
      </c>
      <c r="EO433" s="1437"/>
      <c r="EP433" s="1434"/>
      <c r="EQ433" s="1423">
        <f>+ER433</f>
        <v>0</v>
      </c>
      <c r="ER433" s="1437"/>
      <c r="ES433" s="1434"/>
      <c r="ET433" s="1423">
        <f>+EU433</f>
        <v>0</v>
      </c>
      <c r="EU433" s="1437"/>
      <c r="EV433" s="1434"/>
      <c r="EW433" s="1423">
        <f>+EX433</f>
        <v>0</v>
      </c>
      <c r="EX433" s="1437"/>
      <c r="EY433" s="1434"/>
      <c r="EZ433" s="1423">
        <f>+FA433</f>
        <v>0</v>
      </c>
      <c r="FA433" s="1437"/>
      <c r="FD433"/>
      <c r="FE433"/>
      <c r="FF433"/>
      <c r="FG433"/>
      <c r="FH433"/>
      <c r="FI433"/>
    </row>
    <row r="434" spans="1:169" s="33" customFormat="1" outlineLevel="1">
      <c r="A434" s="58"/>
      <c r="B434" s="1338" t="s">
        <v>223</v>
      </c>
      <c r="C434" s="58"/>
      <c r="D434" s="58"/>
      <c r="E434" s="1438"/>
      <c r="F434" s="1342">
        <f>+G434-E434</f>
        <v>0</v>
      </c>
      <c r="G434" s="1439"/>
      <c r="H434" s="1440"/>
      <c r="I434" s="1342">
        <f>+J434-H434</f>
        <v>0</v>
      </c>
      <c r="J434" s="1439"/>
      <c r="K434" s="1440"/>
      <c r="L434" s="1342">
        <f>+M434-K434</f>
        <v>0</v>
      </c>
      <c r="M434" s="1439"/>
      <c r="N434" s="1440"/>
      <c r="O434" s="1342">
        <f>+P434-N434</f>
        <v>0</v>
      </c>
      <c r="P434" s="1439"/>
      <c r="Q434" s="1440"/>
      <c r="R434" s="1342">
        <f>+S434-Q434</f>
        <v>0</v>
      </c>
      <c r="S434" s="1439"/>
      <c r="T434" s="1440"/>
      <c r="U434" s="1342">
        <f>+V434-T434</f>
        <v>0</v>
      </c>
      <c r="V434" s="1439"/>
      <c r="W434" s="1440"/>
      <c r="X434" s="1342">
        <f>+Y434-W434</f>
        <v>0</v>
      </c>
      <c r="Y434" s="1439"/>
      <c r="Z434" s="1440"/>
      <c r="AA434" s="1342">
        <f>+AB434-Z434</f>
        <v>0</v>
      </c>
      <c r="AB434" s="1439"/>
      <c r="AC434" s="1440"/>
      <c r="AD434" s="1342">
        <f>+AE434-AC434</f>
        <v>0</v>
      </c>
      <c r="AE434" s="1439"/>
      <c r="AF434" s="1440"/>
      <c r="AG434" s="1342">
        <f>+AH434-AF434</f>
        <v>0</v>
      </c>
      <c r="AH434" s="1439"/>
      <c r="AI434" s="1440"/>
      <c r="AJ434" s="1342">
        <f>+AK434-AI434</f>
        <v>0</v>
      </c>
      <c r="AK434" s="1439"/>
      <c r="AL434" s="1440"/>
      <c r="AM434" s="1342">
        <f>+AN434-AL434</f>
        <v>0</v>
      </c>
      <c r="AN434" s="1439"/>
      <c r="AO434" s="1440"/>
      <c r="AP434" s="1342">
        <f>+AQ434-AO434</f>
        <v>0</v>
      </c>
      <c r="AQ434" s="1439"/>
      <c r="AR434" s="1440"/>
      <c r="AS434" s="1342">
        <f>+AT434-AR434</f>
        <v>0</v>
      </c>
      <c r="AT434" s="1439"/>
      <c r="AU434" s="1440"/>
      <c r="AV434" s="1342">
        <f>+AW434-AU434</f>
        <v>0</v>
      </c>
      <c r="AW434" s="1439"/>
      <c r="AX434" s="1440"/>
      <c r="AY434" s="1342">
        <f>+AZ434-AX434</f>
        <v>0</v>
      </c>
      <c r="AZ434" s="1439"/>
      <c r="BA434" s="1440"/>
      <c r="BB434" s="1342">
        <f>+BC434-BA434</f>
        <v>0</v>
      </c>
      <c r="BC434" s="1439"/>
      <c r="BD434" s="1440"/>
      <c r="BE434" s="1342">
        <f>+BF434-BD434</f>
        <v>0</v>
      </c>
      <c r="BF434" s="1439"/>
      <c r="BG434" s="1440"/>
      <c r="BH434" s="1342">
        <f>+BI434-BG434</f>
        <v>0</v>
      </c>
      <c r="BI434" s="1439"/>
      <c r="BJ434" s="1440"/>
      <c r="BK434" s="1342">
        <f>+BL434-BJ434</f>
        <v>0</v>
      </c>
      <c r="BL434" s="1439"/>
      <c r="BM434" s="1440"/>
      <c r="BN434" s="1342">
        <f>+BO434-BM434</f>
        <v>0</v>
      </c>
      <c r="BO434" s="1442"/>
      <c r="BP434" s="1440"/>
      <c r="BQ434" s="1342">
        <f>+BR434-BP434</f>
        <v>0</v>
      </c>
      <c r="BR434" s="1442"/>
      <c r="BS434" s="1440"/>
      <c r="BT434" s="1342">
        <f>+BU434-BS434</f>
        <v>0</v>
      </c>
      <c r="BU434" s="1442"/>
      <c r="BV434" s="1440"/>
      <c r="BW434" s="1342">
        <f>+BX434-BV434</f>
        <v>0</v>
      </c>
      <c r="BX434" s="1442"/>
      <c r="BY434" s="1440"/>
      <c r="BZ434" s="1342">
        <f>+CA434-BY434</f>
        <v>0</v>
      </c>
      <c r="CA434" s="1442"/>
      <c r="CB434" s="1440"/>
      <c r="CC434" s="1342">
        <f>+CD434-CB434</f>
        <v>0</v>
      </c>
      <c r="CD434" s="1442"/>
      <c r="CE434" s="1440"/>
      <c r="CF434" s="1342">
        <f>+CG434-CE434</f>
        <v>0</v>
      </c>
      <c r="CG434" s="1442"/>
      <c r="CH434" s="1440"/>
      <c r="CI434" s="1342">
        <f>+CJ434-CH434</f>
        <v>0</v>
      </c>
      <c r="CJ434" s="1442"/>
      <c r="CK434" s="1440"/>
      <c r="CL434" s="1342">
        <f>+CM434-CK434</f>
        <v>0</v>
      </c>
      <c r="CM434" s="1442"/>
      <c r="CN434" s="1440"/>
      <c r="CO434" s="1342">
        <f>+CP434-CN434</f>
        <v>0</v>
      </c>
      <c r="CP434" s="1442"/>
      <c r="CQ434" s="1440"/>
      <c r="CR434" s="1342">
        <f>+CS434-CQ434</f>
        <v>0</v>
      </c>
      <c r="CS434" s="1442"/>
      <c r="CT434" s="1440"/>
      <c r="CU434" s="1342">
        <f>+CV434-CT434</f>
        <v>0</v>
      </c>
      <c r="CV434" s="1442"/>
      <c r="CW434" s="1440"/>
      <c r="CX434" s="1342">
        <f>+CY434-CW434</f>
        <v>0</v>
      </c>
      <c r="CY434" s="1442"/>
      <c r="CZ434" s="1440"/>
      <c r="DA434" s="1342">
        <f>+DB434-CZ434</f>
        <v>0</v>
      </c>
      <c r="DB434" s="1442"/>
      <c r="DC434" s="1440"/>
      <c r="DD434" s="1342">
        <f>+DE434-DC434</f>
        <v>0</v>
      </c>
      <c r="DE434" s="1443"/>
      <c r="DF434" s="1440"/>
      <c r="DG434" s="1342">
        <f>+DH434-DF434</f>
        <v>0</v>
      </c>
      <c r="DH434" s="1443"/>
      <c r="DI434" s="1440"/>
      <c r="DJ434" s="1342">
        <f>+DK434-DI434</f>
        <v>0</v>
      </c>
      <c r="DK434" s="1443"/>
      <c r="DL434" s="1440"/>
      <c r="DM434" s="1342">
        <f>+DN434-DL434</f>
        <v>0</v>
      </c>
      <c r="DN434" s="1443"/>
      <c r="DO434" s="1440"/>
      <c r="DP434" s="1342">
        <f>+DQ434-DO434</f>
        <v>0</v>
      </c>
      <c r="DQ434" s="1443"/>
      <c r="DR434" s="1440"/>
      <c r="DS434" s="1342">
        <f>+DT434-DR434</f>
        <v>0</v>
      </c>
      <c r="DT434" s="1443"/>
      <c r="DU434" s="1440"/>
      <c r="DV434" s="1342">
        <f>+DW434-DU434</f>
        <v>0</v>
      </c>
      <c r="DW434" s="1443"/>
      <c r="DX434" s="1440"/>
      <c r="DY434" s="1342">
        <f>+DZ434-DX434</f>
        <v>0</v>
      </c>
      <c r="DZ434" s="1443"/>
      <c r="EA434" s="1440"/>
      <c r="EB434" s="1342">
        <f>+EC434-EA434</f>
        <v>0</v>
      </c>
      <c r="EC434" s="1443"/>
      <c r="ED434" s="1440"/>
      <c r="EE434" s="1342">
        <f>+EF434-ED434</f>
        <v>0</v>
      </c>
      <c r="EF434" s="1443"/>
      <c r="EG434" s="1440"/>
      <c r="EH434" s="1342">
        <f>+EI434-EG434</f>
        <v>0</v>
      </c>
      <c r="EI434" s="1443"/>
      <c r="EJ434" s="1440"/>
      <c r="EK434" s="1342">
        <f>+EL434-EJ434</f>
        <v>0</v>
      </c>
      <c r="EL434" s="1443"/>
      <c r="EM434" s="1440"/>
      <c r="EN434" s="1342">
        <f>+EO434-EM434</f>
        <v>0</v>
      </c>
      <c r="EO434" s="1443"/>
      <c r="EP434" s="1440"/>
      <c r="EQ434" s="1342">
        <f>+ER434-EP434</f>
        <v>0</v>
      </c>
      <c r="ER434" s="1443"/>
      <c r="ES434" s="1440"/>
      <c r="ET434" s="1342">
        <f>+EU434-ES434</f>
        <v>0</v>
      </c>
      <c r="EU434" s="1443"/>
      <c r="EV434" s="1440"/>
      <c r="EW434" s="1342">
        <f>+EX434-EV434</f>
        <v>0</v>
      </c>
      <c r="EX434" s="1443"/>
      <c r="EY434" s="1440"/>
      <c r="EZ434" s="1342">
        <f>+FA434-EY434</f>
        <v>0</v>
      </c>
      <c r="FA434" s="1443"/>
      <c r="FD434"/>
      <c r="FE434"/>
      <c r="FF434"/>
      <c r="FG434"/>
      <c r="FH434"/>
      <c r="FI434"/>
    </row>
    <row r="435" spans="1:169" s="1456" customFormat="1" ht="13.5" outlineLevel="1" thickBot="1">
      <c r="A435" s="1455"/>
      <c r="B435" s="1338" t="s">
        <v>226</v>
      </c>
      <c r="C435" s="1455"/>
      <c r="D435" s="1455"/>
      <c r="E435" s="1444" t="s">
        <v>227</v>
      </c>
      <c r="F435" s="1021"/>
      <c r="G435" s="1445" t="str">
        <f>+E435</f>
        <v>N</v>
      </c>
      <c r="H435" s="1446" t="str">
        <f>G435</f>
        <v>N</v>
      </c>
      <c r="I435" s="1021"/>
      <c r="J435" s="1445" t="str">
        <f>+H435</f>
        <v>N</v>
      </c>
      <c r="K435" s="1446" t="str">
        <f>J435</f>
        <v>N</v>
      </c>
      <c r="L435" s="1021"/>
      <c r="M435" s="1445" t="str">
        <f>+K435</f>
        <v>N</v>
      </c>
      <c r="N435" s="1446" t="str">
        <f>M435</f>
        <v>N</v>
      </c>
      <c r="O435" s="1021"/>
      <c r="P435" s="1445" t="str">
        <f>+N435</f>
        <v>N</v>
      </c>
      <c r="Q435" s="1446" t="str">
        <f>P435</f>
        <v>N</v>
      </c>
      <c r="R435" s="1021"/>
      <c r="S435" s="1445" t="str">
        <f>+Q435</f>
        <v>N</v>
      </c>
      <c r="T435" s="1446" t="str">
        <f>S435</f>
        <v>N</v>
      </c>
      <c r="U435" s="1021"/>
      <c r="V435" s="1445" t="str">
        <f>+T435</f>
        <v>N</v>
      </c>
      <c r="W435" s="1446" t="str">
        <f>V435</f>
        <v>N</v>
      </c>
      <c r="X435" s="1021"/>
      <c r="Y435" s="1445" t="str">
        <f>+W435</f>
        <v>N</v>
      </c>
      <c r="Z435" s="1446" t="str">
        <f>Y435</f>
        <v>N</v>
      </c>
      <c r="AA435" s="1021"/>
      <c r="AB435" s="1445" t="str">
        <f>+Z435</f>
        <v>N</v>
      </c>
      <c r="AC435" s="1446" t="str">
        <f>AB435</f>
        <v>N</v>
      </c>
      <c r="AD435" s="1021"/>
      <c r="AE435" s="1445" t="str">
        <f>+AC435</f>
        <v>N</v>
      </c>
      <c r="AF435" s="1446" t="str">
        <f>AE435</f>
        <v>N</v>
      </c>
      <c r="AG435" s="1021"/>
      <c r="AH435" s="1445" t="str">
        <f>+AF435</f>
        <v>N</v>
      </c>
      <c r="AI435" s="1446" t="str">
        <f>AH435</f>
        <v>N</v>
      </c>
      <c r="AJ435" s="1021"/>
      <c r="AK435" s="1445" t="str">
        <f>+AI435</f>
        <v>N</v>
      </c>
      <c r="AL435" s="1446" t="str">
        <f>AK435</f>
        <v>N</v>
      </c>
      <c r="AM435" s="1021"/>
      <c r="AN435" s="1445" t="str">
        <f>+AL435</f>
        <v>N</v>
      </c>
      <c r="AO435" s="1446" t="str">
        <f>AN435</f>
        <v>N</v>
      </c>
      <c r="AP435" s="1021"/>
      <c r="AQ435" s="1445" t="str">
        <f>+AO435</f>
        <v>N</v>
      </c>
      <c r="AR435" s="1446" t="str">
        <f>AQ435</f>
        <v>N</v>
      </c>
      <c r="AS435" s="1021"/>
      <c r="AT435" s="1445" t="str">
        <f>+AR435</f>
        <v>N</v>
      </c>
      <c r="AU435" s="1446" t="str">
        <f>AT435</f>
        <v>N</v>
      </c>
      <c r="AV435" s="1021"/>
      <c r="AW435" s="1445" t="str">
        <f>+AU435</f>
        <v>N</v>
      </c>
      <c r="AX435" s="1446" t="str">
        <f>AW435</f>
        <v>N</v>
      </c>
      <c r="AY435" s="1021"/>
      <c r="AZ435" s="1445" t="str">
        <f>+AX435</f>
        <v>N</v>
      </c>
      <c r="BA435" s="1446" t="str">
        <f>AZ435</f>
        <v>N</v>
      </c>
      <c r="BB435" s="1021"/>
      <c r="BC435" s="1445" t="str">
        <f>+BA435</f>
        <v>N</v>
      </c>
      <c r="BD435" s="1446" t="str">
        <f>BC435</f>
        <v>N</v>
      </c>
      <c r="BE435" s="1021"/>
      <c r="BF435" s="1445" t="str">
        <f>+BD435</f>
        <v>N</v>
      </c>
      <c r="BG435" s="1446" t="str">
        <f>BF435</f>
        <v>N</v>
      </c>
      <c r="BH435" s="1021"/>
      <c r="BI435" s="1445" t="str">
        <f>+BG435</f>
        <v>N</v>
      </c>
      <c r="BJ435" s="1446" t="str">
        <f>BI435</f>
        <v>N</v>
      </c>
      <c r="BK435" s="1021"/>
      <c r="BL435" s="1445" t="str">
        <f>+BJ435</f>
        <v>N</v>
      </c>
      <c r="BM435" s="1446" t="str">
        <f>BL435</f>
        <v>N</v>
      </c>
      <c r="BN435" s="1021"/>
      <c r="BO435" s="1448" t="str">
        <f>+BM435</f>
        <v>N</v>
      </c>
      <c r="BP435" s="1446" t="str">
        <f>BO435</f>
        <v>N</v>
      </c>
      <c r="BQ435" s="1021"/>
      <c r="BR435" s="1448" t="str">
        <f>+BP435</f>
        <v>N</v>
      </c>
      <c r="BS435" s="1446" t="str">
        <f>BR435</f>
        <v>N</v>
      </c>
      <c r="BT435" s="1021"/>
      <c r="BU435" s="1448" t="str">
        <f>+BS435</f>
        <v>N</v>
      </c>
      <c r="BV435" s="1446" t="str">
        <f>BU435</f>
        <v>N</v>
      </c>
      <c r="BW435" s="1021"/>
      <c r="BX435" s="1448" t="str">
        <f>+BV435</f>
        <v>N</v>
      </c>
      <c r="BY435" s="1446" t="str">
        <f>BX435</f>
        <v>N</v>
      </c>
      <c r="BZ435" s="1021"/>
      <c r="CA435" s="1448" t="str">
        <f>+BY435</f>
        <v>N</v>
      </c>
      <c r="CB435" s="1446" t="str">
        <f>CA435</f>
        <v>N</v>
      </c>
      <c r="CC435" s="1021"/>
      <c r="CD435" s="1448" t="str">
        <f>+CB435</f>
        <v>N</v>
      </c>
      <c r="CE435" s="1446" t="str">
        <f>CD435</f>
        <v>N</v>
      </c>
      <c r="CF435" s="1021"/>
      <c r="CG435" s="1448" t="str">
        <f>+CE435</f>
        <v>N</v>
      </c>
      <c r="CH435" s="1446" t="str">
        <f>CG435</f>
        <v>N</v>
      </c>
      <c r="CI435" s="1021"/>
      <c r="CJ435" s="1448" t="str">
        <f>+CH435</f>
        <v>N</v>
      </c>
      <c r="CK435" s="1446" t="str">
        <f>CJ435</f>
        <v>N</v>
      </c>
      <c r="CL435" s="1021"/>
      <c r="CM435" s="1448" t="str">
        <f>+CK435</f>
        <v>N</v>
      </c>
      <c r="CN435" s="1446" t="str">
        <f>CM435</f>
        <v>N</v>
      </c>
      <c r="CO435" s="1021"/>
      <c r="CP435" s="1448" t="str">
        <f>+CN435</f>
        <v>N</v>
      </c>
      <c r="CQ435" s="1446" t="str">
        <f>CP435</f>
        <v>N</v>
      </c>
      <c r="CR435" s="1021"/>
      <c r="CS435" s="1448" t="str">
        <f>+CQ435</f>
        <v>N</v>
      </c>
      <c r="CT435" s="1446" t="str">
        <f>CS435</f>
        <v>N</v>
      </c>
      <c r="CU435" s="1021"/>
      <c r="CV435" s="1448" t="str">
        <f>+CT435</f>
        <v>N</v>
      </c>
      <c r="CW435" s="1446" t="str">
        <f>CV435</f>
        <v>N</v>
      </c>
      <c r="CX435" s="1021"/>
      <c r="CY435" s="1448" t="str">
        <f>+CW435</f>
        <v>N</v>
      </c>
      <c r="CZ435" s="1446" t="str">
        <f>CY435</f>
        <v>N</v>
      </c>
      <c r="DA435" s="1021"/>
      <c r="DB435" s="1448" t="str">
        <f>+CZ435</f>
        <v>N</v>
      </c>
      <c r="DC435" s="1446" t="str">
        <f>DB435</f>
        <v>N</v>
      </c>
      <c r="DD435" s="1021"/>
      <c r="DE435" s="1449" t="str">
        <f>+DC435</f>
        <v>N</v>
      </c>
      <c r="DF435" s="1446" t="str">
        <f>DE435</f>
        <v>N</v>
      </c>
      <c r="DG435" s="1021"/>
      <c r="DH435" s="1449" t="str">
        <f>+DF435</f>
        <v>N</v>
      </c>
      <c r="DI435" s="1446" t="str">
        <f>DH435</f>
        <v>N</v>
      </c>
      <c r="DJ435" s="1021"/>
      <c r="DK435" s="1449" t="str">
        <f>+DI435</f>
        <v>N</v>
      </c>
      <c r="DL435" s="1446" t="str">
        <f>DK435</f>
        <v>N</v>
      </c>
      <c r="DM435" s="1021"/>
      <c r="DN435" s="1449" t="str">
        <f>+DL435</f>
        <v>N</v>
      </c>
      <c r="DO435" s="1446" t="str">
        <f>DN435</f>
        <v>N</v>
      </c>
      <c r="DP435" s="1021"/>
      <c r="DQ435" s="1449" t="str">
        <f>+DO435</f>
        <v>N</v>
      </c>
      <c r="DR435" s="1446" t="str">
        <f>DQ435</f>
        <v>N</v>
      </c>
      <c r="DS435" s="1021"/>
      <c r="DT435" s="1449" t="str">
        <f>+DR435</f>
        <v>N</v>
      </c>
      <c r="DU435" s="1446" t="str">
        <f>DT435</f>
        <v>N</v>
      </c>
      <c r="DV435" s="1021"/>
      <c r="DW435" s="1449" t="str">
        <f>+DU435</f>
        <v>N</v>
      </c>
      <c r="DX435" s="1446" t="str">
        <f>DW435</f>
        <v>N</v>
      </c>
      <c r="DY435" s="1021"/>
      <c r="DZ435" s="1449" t="str">
        <f>+DX435</f>
        <v>N</v>
      </c>
      <c r="EA435" s="1446" t="str">
        <f>DZ435</f>
        <v>N</v>
      </c>
      <c r="EB435" s="1021"/>
      <c r="EC435" s="1449" t="str">
        <f>+EA435</f>
        <v>N</v>
      </c>
      <c r="ED435" s="1446" t="str">
        <f>EC435</f>
        <v>N</v>
      </c>
      <c r="EE435" s="1021"/>
      <c r="EF435" s="1449" t="str">
        <f>+ED435</f>
        <v>N</v>
      </c>
      <c r="EG435" s="1446" t="str">
        <f>EF435</f>
        <v>N</v>
      </c>
      <c r="EH435" s="1021"/>
      <c r="EI435" s="1449" t="str">
        <f>+EG435</f>
        <v>N</v>
      </c>
      <c r="EJ435" s="1446" t="str">
        <f>EI435</f>
        <v>N</v>
      </c>
      <c r="EK435" s="1021"/>
      <c r="EL435" s="1449" t="str">
        <f>+EJ435</f>
        <v>N</v>
      </c>
      <c r="EM435" s="1446" t="str">
        <f>EL435</f>
        <v>N</v>
      </c>
      <c r="EN435" s="1021"/>
      <c r="EO435" s="1449" t="str">
        <f>+EM435</f>
        <v>N</v>
      </c>
      <c r="EP435" s="1446" t="str">
        <f>EO435</f>
        <v>N</v>
      </c>
      <c r="EQ435" s="1021"/>
      <c r="ER435" s="1449" t="str">
        <f>+EP435</f>
        <v>N</v>
      </c>
      <c r="ES435" s="1446" t="str">
        <f>ER435</f>
        <v>N</v>
      </c>
      <c r="ET435" s="1021"/>
      <c r="EU435" s="1449" t="str">
        <f>+ES435</f>
        <v>N</v>
      </c>
      <c r="EV435" s="1446" t="str">
        <f>EU435</f>
        <v>N</v>
      </c>
      <c r="EW435" s="1021"/>
      <c r="EX435" s="1449" t="str">
        <f>+EV435</f>
        <v>N</v>
      </c>
      <c r="EY435" s="1446" t="str">
        <f>EX435</f>
        <v>N</v>
      </c>
      <c r="EZ435" s="1021"/>
      <c r="FA435" s="1449" t="str">
        <f>+EY435</f>
        <v>N</v>
      </c>
      <c r="FD435"/>
      <c r="FE435"/>
      <c r="FF435"/>
      <c r="FG435"/>
      <c r="FH435"/>
      <c r="FI435"/>
    </row>
    <row r="436" spans="1:169" s="33" customFormat="1" ht="13.5" outlineLevel="1" thickBot="1">
      <c r="A436" s="58"/>
      <c r="B436" s="58"/>
      <c r="C436" s="58"/>
      <c r="D436" s="58"/>
      <c r="E436" s="1450"/>
      <c r="F436" s="1450"/>
      <c r="G436" s="1451"/>
      <c r="H436" s="1450"/>
      <c r="I436" s="1450"/>
      <c r="J436" s="1451"/>
      <c r="K436" s="1450"/>
      <c r="L436" s="1450"/>
      <c r="M436" s="1451"/>
      <c r="N436" s="1450"/>
      <c r="O436" s="1450"/>
      <c r="P436" s="1451"/>
      <c r="Q436" s="1452"/>
      <c r="R436" s="1452"/>
      <c r="S436" s="1453"/>
      <c r="T436" s="1452"/>
      <c r="U436" s="1452"/>
      <c r="V436" s="1451"/>
      <c r="W436" s="1450"/>
      <c r="X436" s="1450"/>
      <c r="Y436" s="1451"/>
      <c r="Z436" s="1450"/>
      <c r="AA436" s="1450"/>
      <c r="AB436" s="1451"/>
      <c r="AC436" s="1450"/>
      <c r="AD436" s="1450"/>
      <c r="AE436" s="1451"/>
      <c r="AF436" s="1450"/>
      <c r="AG436" s="1450"/>
      <c r="AH436" s="1451"/>
      <c r="AI436" s="1450"/>
      <c r="AJ436" s="1450"/>
      <c r="AK436" s="1451"/>
      <c r="AL436" s="1450"/>
      <c r="AM436" s="1450"/>
      <c r="AN436" s="1451"/>
      <c r="AO436" s="1450"/>
      <c r="AP436" s="1450"/>
      <c r="AQ436" s="1451"/>
      <c r="AR436" s="1450"/>
      <c r="AS436" s="1450"/>
      <c r="AT436" s="1451"/>
      <c r="AU436" s="1450"/>
      <c r="AV436" s="1450"/>
      <c r="AW436" s="1451"/>
      <c r="AX436" s="1450"/>
      <c r="AY436" s="1450"/>
      <c r="AZ436" s="1451"/>
      <c r="BA436" s="1450"/>
      <c r="BB436" s="1450"/>
      <c r="BC436" s="1451"/>
      <c r="BD436" s="1450"/>
      <c r="BE436" s="1450"/>
      <c r="BF436" s="1451"/>
      <c r="BG436" s="1450"/>
      <c r="BH436" s="1450"/>
      <c r="BI436" s="1451"/>
      <c r="BJ436" s="1450"/>
      <c r="BK436" s="1450"/>
      <c r="BL436" s="1451"/>
      <c r="BM436" s="1450"/>
      <c r="BN436" s="1450"/>
      <c r="BO436" s="1451"/>
      <c r="BP436" s="1450"/>
      <c r="BQ436" s="1450"/>
      <c r="BR436" s="1451"/>
      <c r="BS436" s="1450"/>
      <c r="BT436" s="1450"/>
      <c r="BU436" s="1451"/>
      <c r="BV436" s="1450"/>
      <c r="BW436" s="1450"/>
      <c r="BX436" s="1451"/>
      <c r="BY436" s="1450"/>
      <c r="BZ436" s="1450"/>
      <c r="CA436" s="1451"/>
      <c r="CB436" s="1450"/>
      <c r="CC436" s="1450"/>
      <c r="CD436" s="1451"/>
      <c r="CE436" s="1450"/>
      <c r="CF436" s="1450"/>
      <c r="CG436" s="1451"/>
      <c r="CH436" s="1450"/>
      <c r="CI436" s="1450"/>
      <c r="CJ436" s="1451"/>
      <c r="CK436" s="1450"/>
      <c r="CL436" s="1450"/>
      <c r="CM436" s="1451"/>
      <c r="CN436" s="1450"/>
      <c r="CO436" s="1450"/>
      <c r="CP436" s="1451"/>
      <c r="CQ436" s="1450"/>
      <c r="CR436" s="1450"/>
      <c r="CS436" s="1451"/>
      <c r="CT436" s="1450"/>
      <c r="CU436" s="1450"/>
      <c r="CV436" s="1451"/>
      <c r="CW436" s="1450"/>
      <c r="CX436" s="1450"/>
      <c r="CY436" s="1451"/>
      <c r="CZ436" s="1450"/>
      <c r="DA436" s="1450"/>
      <c r="DB436" s="1451"/>
      <c r="DC436" s="1450"/>
      <c r="DD436" s="1450"/>
      <c r="DE436" s="1454"/>
      <c r="DF436" s="1450"/>
      <c r="DG436" s="1450"/>
      <c r="DH436" s="1454"/>
      <c r="DI436" s="1450"/>
      <c r="DJ436" s="1450"/>
      <c r="DK436" s="1454"/>
      <c r="DL436" s="1450"/>
      <c r="DM436" s="1450"/>
      <c r="DN436" s="1454"/>
      <c r="DO436" s="1450"/>
      <c r="DP436" s="1450"/>
      <c r="DQ436" s="1454"/>
      <c r="DR436" s="1450"/>
      <c r="DS436" s="1450"/>
      <c r="DT436" s="1454"/>
      <c r="DU436" s="1450"/>
      <c r="DV436" s="1450"/>
      <c r="DW436" s="1454"/>
      <c r="DX436" s="1450"/>
      <c r="DY436" s="1450"/>
      <c r="DZ436" s="1454"/>
      <c r="EA436" s="1450"/>
      <c r="EB436" s="1450"/>
      <c r="EC436" s="1454"/>
      <c r="ED436" s="1450"/>
      <c r="EE436" s="1450"/>
      <c r="EF436" s="1454"/>
      <c r="EG436" s="1450"/>
      <c r="EH436" s="1450"/>
      <c r="EI436" s="1454"/>
      <c r="EJ436" s="1450"/>
      <c r="EK436" s="1450"/>
      <c r="EL436" s="1454"/>
      <c r="EM436" s="1450"/>
      <c r="EN436" s="1450"/>
      <c r="EO436" s="1454"/>
      <c r="EP436" s="1450"/>
      <c r="EQ436" s="1450"/>
      <c r="ER436" s="1454"/>
      <c r="ES436" s="1450"/>
      <c r="ET436" s="1450"/>
      <c r="EU436" s="1454"/>
      <c r="EV436" s="1450"/>
      <c r="EW436" s="1450"/>
      <c r="EX436" s="1454"/>
      <c r="EY436" s="1450"/>
      <c r="EZ436" s="1450"/>
      <c r="FA436" s="1454"/>
      <c r="FD436"/>
      <c r="FE436"/>
      <c r="FF436"/>
      <c r="FG436"/>
      <c r="FH436"/>
      <c r="FI436"/>
    </row>
    <row r="437" spans="1:169" s="33" customFormat="1" outlineLevel="1">
      <c r="A437" s="58"/>
      <c r="B437" s="1338" t="s">
        <v>636</v>
      </c>
      <c r="C437" s="58"/>
      <c r="D437" s="58"/>
      <c r="E437" s="1422"/>
      <c r="F437" s="1423">
        <f>+G437</f>
        <v>0</v>
      </c>
      <c r="G437" s="1424"/>
      <c r="H437" s="1425"/>
      <c r="I437" s="1423">
        <f>+J437</f>
        <v>0</v>
      </c>
      <c r="J437" s="1424"/>
      <c r="K437" s="1425"/>
      <c r="L437" s="1423">
        <f>+M437</f>
        <v>0</v>
      </c>
      <c r="M437" s="1424"/>
      <c r="N437" s="1425"/>
      <c r="O437" s="1423">
        <f>+P437</f>
        <v>0</v>
      </c>
      <c r="P437" s="1424"/>
      <c r="Q437" s="1425"/>
      <c r="R437" s="1423">
        <f>+S437</f>
        <v>0</v>
      </c>
      <c r="S437" s="1424"/>
      <c r="T437" s="1425"/>
      <c r="U437" s="1423">
        <f>+V437</f>
        <v>0</v>
      </c>
      <c r="V437" s="1424"/>
      <c r="W437" s="1425"/>
      <c r="X437" s="1423">
        <f>+Y437</f>
        <v>0</v>
      </c>
      <c r="Y437" s="1424"/>
      <c r="Z437" s="1425"/>
      <c r="AA437" s="1423">
        <f>+AB437</f>
        <v>0</v>
      </c>
      <c r="AB437" s="1424"/>
      <c r="AC437" s="1425"/>
      <c r="AD437" s="1423">
        <f>+AE437</f>
        <v>0</v>
      </c>
      <c r="AE437" s="1424"/>
      <c r="AF437" s="1425"/>
      <c r="AG437" s="1423">
        <f>+AH437</f>
        <v>0</v>
      </c>
      <c r="AH437" s="1424"/>
      <c r="AI437" s="1425"/>
      <c r="AJ437" s="1423">
        <f>+AK437</f>
        <v>0</v>
      </c>
      <c r="AK437" s="1424"/>
      <c r="AL437" s="1425"/>
      <c r="AM437" s="1423">
        <f>+AN437</f>
        <v>0</v>
      </c>
      <c r="AN437" s="1424"/>
      <c r="AO437" s="1425"/>
      <c r="AP437" s="1423">
        <f>+AQ437</f>
        <v>0</v>
      </c>
      <c r="AQ437" s="1424"/>
      <c r="AR437" s="1425"/>
      <c r="AS437" s="1423">
        <f>+AT437</f>
        <v>0</v>
      </c>
      <c r="AT437" s="1424"/>
      <c r="AU437" s="1425"/>
      <c r="AV437" s="1423">
        <f>+AW437</f>
        <v>0</v>
      </c>
      <c r="AW437" s="1424"/>
      <c r="AX437" s="1425"/>
      <c r="AY437" s="1423">
        <f>+AZ437</f>
        <v>0</v>
      </c>
      <c r="AZ437" s="1424"/>
      <c r="BA437" s="1425"/>
      <c r="BB437" s="1423">
        <f>+BC437</f>
        <v>0</v>
      </c>
      <c r="BC437" s="1424"/>
      <c r="BD437" s="1425"/>
      <c r="BE437" s="1423">
        <f>+BF437</f>
        <v>0</v>
      </c>
      <c r="BF437" s="1424"/>
      <c r="BG437" s="1425"/>
      <c r="BH437" s="1423">
        <f>+BI437</f>
        <v>0</v>
      </c>
      <c r="BI437" s="1424"/>
      <c r="BJ437" s="1425"/>
      <c r="BK437" s="1423">
        <f>+BL437</f>
        <v>0</v>
      </c>
      <c r="BL437" s="1424"/>
      <c r="BM437" s="1425"/>
      <c r="BN437" s="1423">
        <f>+BO437</f>
        <v>0</v>
      </c>
      <c r="BO437" s="1427"/>
      <c r="BP437" s="1425"/>
      <c r="BQ437" s="1423">
        <f>+BR437</f>
        <v>0</v>
      </c>
      <c r="BR437" s="1427"/>
      <c r="BS437" s="1425"/>
      <c r="BT437" s="1423">
        <f>+BU437</f>
        <v>0</v>
      </c>
      <c r="BU437" s="1427"/>
      <c r="BV437" s="1425"/>
      <c r="BW437" s="1423">
        <f>+BX437</f>
        <v>0</v>
      </c>
      <c r="BX437" s="1427"/>
      <c r="BY437" s="1425"/>
      <c r="BZ437" s="1423">
        <f>+CA437</f>
        <v>0</v>
      </c>
      <c r="CA437" s="1427"/>
      <c r="CB437" s="1425"/>
      <c r="CC437" s="1423">
        <f>+CD437</f>
        <v>0</v>
      </c>
      <c r="CD437" s="1427"/>
      <c r="CE437" s="1425"/>
      <c r="CF437" s="1423">
        <f>+CG437</f>
        <v>0</v>
      </c>
      <c r="CG437" s="1427"/>
      <c r="CH437" s="1425"/>
      <c r="CI437" s="1423">
        <f>+CJ437</f>
        <v>0</v>
      </c>
      <c r="CJ437" s="1427"/>
      <c r="CK437" s="1425"/>
      <c r="CL437" s="1423">
        <f>+CM437</f>
        <v>0</v>
      </c>
      <c r="CM437" s="1427"/>
      <c r="CN437" s="1425"/>
      <c r="CO437" s="1423">
        <f>+CP437</f>
        <v>0</v>
      </c>
      <c r="CP437" s="1427"/>
      <c r="CQ437" s="1425"/>
      <c r="CR437" s="1423">
        <f>+CS437</f>
        <v>0</v>
      </c>
      <c r="CS437" s="1427"/>
      <c r="CT437" s="1425"/>
      <c r="CU437" s="1423">
        <f>+CV437</f>
        <v>0</v>
      </c>
      <c r="CV437" s="1427"/>
      <c r="CW437" s="1425"/>
      <c r="CX437" s="1423">
        <f>+CY437</f>
        <v>0</v>
      </c>
      <c r="CY437" s="1427"/>
      <c r="CZ437" s="1425"/>
      <c r="DA437" s="1423">
        <f>+DB437</f>
        <v>0</v>
      </c>
      <c r="DB437" s="1427"/>
      <c r="DC437" s="1425"/>
      <c r="DD437" s="1423">
        <f>+DE437</f>
        <v>0</v>
      </c>
      <c r="DE437" s="1430"/>
      <c r="DF437" s="1425"/>
      <c r="DG437" s="1423">
        <f>+DH437</f>
        <v>0</v>
      </c>
      <c r="DH437" s="1430"/>
      <c r="DI437" s="1425"/>
      <c r="DJ437" s="1423">
        <f>+DK437</f>
        <v>0</v>
      </c>
      <c r="DK437" s="1430"/>
      <c r="DL437" s="1425"/>
      <c r="DM437" s="1423">
        <f>+DN437</f>
        <v>0</v>
      </c>
      <c r="DN437" s="1430"/>
      <c r="DO437" s="1425"/>
      <c r="DP437" s="1423">
        <f>+DQ437</f>
        <v>0</v>
      </c>
      <c r="DQ437" s="1430"/>
      <c r="DR437" s="1425"/>
      <c r="DS437" s="1423">
        <f>+DT437</f>
        <v>0</v>
      </c>
      <c r="DT437" s="1430"/>
      <c r="DU437" s="1425"/>
      <c r="DV437" s="1423">
        <f>+DW437</f>
        <v>0</v>
      </c>
      <c r="DW437" s="1430"/>
      <c r="DX437" s="1425"/>
      <c r="DY437" s="1423">
        <f>+DZ437</f>
        <v>0</v>
      </c>
      <c r="DZ437" s="1430"/>
      <c r="EA437" s="1425"/>
      <c r="EB437" s="1423">
        <f>+EC437</f>
        <v>0</v>
      </c>
      <c r="EC437" s="1430"/>
      <c r="ED437" s="1425"/>
      <c r="EE437" s="1423">
        <f>+EF437</f>
        <v>0</v>
      </c>
      <c r="EF437" s="1430"/>
      <c r="EG437" s="1425"/>
      <c r="EH437" s="1423">
        <f>+EI437</f>
        <v>0</v>
      </c>
      <c r="EI437" s="1430"/>
      <c r="EJ437" s="1425"/>
      <c r="EK437" s="1423">
        <f>+EL437</f>
        <v>0</v>
      </c>
      <c r="EL437" s="1430"/>
      <c r="EM437" s="1425"/>
      <c r="EN437" s="1423">
        <f>+EO437</f>
        <v>0</v>
      </c>
      <c r="EO437" s="1430"/>
      <c r="EP437" s="1425"/>
      <c r="EQ437" s="1423">
        <f>+ER437</f>
        <v>0</v>
      </c>
      <c r="ER437" s="1430"/>
      <c r="ES437" s="1425"/>
      <c r="ET437" s="1423">
        <f>+EU437</f>
        <v>0</v>
      </c>
      <c r="EU437" s="1430"/>
      <c r="EV437" s="1425"/>
      <c r="EW437" s="1423">
        <f>+EX437</f>
        <v>0</v>
      </c>
      <c r="EX437" s="1430"/>
      <c r="EY437" s="1425"/>
      <c r="EZ437" s="1423">
        <f>+FA437</f>
        <v>0</v>
      </c>
      <c r="FA437" s="1430"/>
      <c r="FD437"/>
      <c r="FE437"/>
      <c r="FF437"/>
      <c r="FG437"/>
      <c r="FH437"/>
      <c r="FI437"/>
    </row>
    <row r="438" spans="1:169" s="35" customFormat="1" outlineLevel="1">
      <c r="B438" s="1338" t="s">
        <v>50</v>
      </c>
      <c r="C438" s="1338"/>
      <c r="D438" s="1339"/>
      <c r="E438" s="1432"/>
      <c r="F438" s="1423">
        <f>+G438</f>
        <v>0</v>
      </c>
      <c r="G438" s="1433"/>
      <c r="H438" s="1434"/>
      <c r="I438" s="1423">
        <f>+J438</f>
        <v>0</v>
      </c>
      <c r="J438" s="1433"/>
      <c r="K438" s="1434"/>
      <c r="L438" s="1423">
        <f>+M438</f>
        <v>0</v>
      </c>
      <c r="M438" s="1433"/>
      <c r="N438" s="1434"/>
      <c r="O438" s="1423">
        <f>+P438</f>
        <v>0</v>
      </c>
      <c r="P438" s="1433"/>
      <c r="Q438" s="1434"/>
      <c r="R438" s="1423">
        <f>+S438</f>
        <v>0</v>
      </c>
      <c r="S438" s="1433"/>
      <c r="T438" s="1434"/>
      <c r="U438" s="1423">
        <f>+V438</f>
        <v>0</v>
      </c>
      <c r="V438" s="1433"/>
      <c r="W438" s="1434"/>
      <c r="X438" s="1423">
        <f>+Y438</f>
        <v>0</v>
      </c>
      <c r="Y438" s="1433"/>
      <c r="Z438" s="1434"/>
      <c r="AA438" s="1423">
        <f>+AB438</f>
        <v>0</v>
      </c>
      <c r="AB438" s="1433"/>
      <c r="AC438" s="1434"/>
      <c r="AD438" s="1423">
        <f>+AE438</f>
        <v>0</v>
      </c>
      <c r="AE438" s="1433"/>
      <c r="AF438" s="1434"/>
      <c r="AG438" s="1423">
        <f>+AH438</f>
        <v>0</v>
      </c>
      <c r="AH438" s="1433"/>
      <c r="AI438" s="1434"/>
      <c r="AJ438" s="1423">
        <f>+AK438</f>
        <v>0</v>
      </c>
      <c r="AK438" s="1433"/>
      <c r="AL438" s="1434"/>
      <c r="AM438" s="1423">
        <f>+AN438</f>
        <v>0</v>
      </c>
      <c r="AN438" s="1433"/>
      <c r="AO438" s="1434"/>
      <c r="AP438" s="1423">
        <f>+AQ438</f>
        <v>0</v>
      </c>
      <c r="AQ438" s="1433"/>
      <c r="AR438" s="1434"/>
      <c r="AS438" s="1423">
        <f>+AT438</f>
        <v>0</v>
      </c>
      <c r="AT438" s="1433"/>
      <c r="AU438" s="1434"/>
      <c r="AV438" s="1423">
        <f>+AW438</f>
        <v>0</v>
      </c>
      <c r="AW438" s="1433"/>
      <c r="AX438" s="1434"/>
      <c r="AY438" s="1423">
        <f>+AZ438</f>
        <v>0</v>
      </c>
      <c r="AZ438" s="1433"/>
      <c r="BA438" s="1434"/>
      <c r="BB438" s="1423">
        <f>+BC438</f>
        <v>0</v>
      </c>
      <c r="BC438" s="1433"/>
      <c r="BD438" s="1434"/>
      <c r="BE438" s="1423">
        <f>+BF438</f>
        <v>0</v>
      </c>
      <c r="BF438" s="1433"/>
      <c r="BG438" s="1434"/>
      <c r="BH438" s="1423">
        <f>+BI438</f>
        <v>0</v>
      </c>
      <c r="BI438" s="1433"/>
      <c r="BJ438" s="1434"/>
      <c r="BK438" s="1423">
        <f>+BL438</f>
        <v>0</v>
      </c>
      <c r="BL438" s="1433"/>
      <c r="BM438" s="1434"/>
      <c r="BN438" s="1423">
        <f>+BO438</f>
        <v>0</v>
      </c>
      <c r="BO438" s="1436"/>
      <c r="BP438" s="1434"/>
      <c r="BQ438" s="1423">
        <f>+BR438</f>
        <v>0</v>
      </c>
      <c r="BR438" s="1436"/>
      <c r="BS438" s="1434"/>
      <c r="BT438" s="1423">
        <f>+BU438</f>
        <v>0</v>
      </c>
      <c r="BU438" s="1436"/>
      <c r="BV438" s="1434"/>
      <c r="BW438" s="1423">
        <f>+BX438</f>
        <v>0</v>
      </c>
      <c r="BX438" s="1436"/>
      <c r="BY438" s="1434"/>
      <c r="BZ438" s="1423">
        <f>+CA438</f>
        <v>0</v>
      </c>
      <c r="CA438" s="1436"/>
      <c r="CB438" s="1434"/>
      <c r="CC438" s="1423">
        <f>+CD438</f>
        <v>0</v>
      </c>
      <c r="CD438" s="1436"/>
      <c r="CE438" s="1434"/>
      <c r="CF438" s="1423">
        <f>+CG438</f>
        <v>0</v>
      </c>
      <c r="CG438" s="1436"/>
      <c r="CH438" s="1434"/>
      <c r="CI438" s="1423">
        <f>+CJ438</f>
        <v>0</v>
      </c>
      <c r="CJ438" s="1436"/>
      <c r="CK438" s="1434"/>
      <c r="CL438" s="1423">
        <f>+CM438</f>
        <v>0</v>
      </c>
      <c r="CM438" s="1436"/>
      <c r="CN438" s="1434"/>
      <c r="CO438" s="1423">
        <f>+CP438</f>
        <v>0</v>
      </c>
      <c r="CP438" s="1436"/>
      <c r="CQ438" s="1434"/>
      <c r="CR438" s="1423">
        <f>+CS438</f>
        <v>0</v>
      </c>
      <c r="CS438" s="1436"/>
      <c r="CT438" s="1434"/>
      <c r="CU438" s="1423">
        <f>+CV438</f>
        <v>0</v>
      </c>
      <c r="CV438" s="1436"/>
      <c r="CW438" s="1434"/>
      <c r="CX438" s="1423">
        <f>+CY438</f>
        <v>0</v>
      </c>
      <c r="CY438" s="1436"/>
      <c r="CZ438" s="1434"/>
      <c r="DA438" s="1423">
        <f>+DB438</f>
        <v>0</v>
      </c>
      <c r="DB438" s="1436"/>
      <c r="DC438" s="1434"/>
      <c r="DD438" s="1423">
        <f>+DE438</f>
        <v>0</v>
      </c>
      <c r="DE438" s="1437"/>
      <c r="DF438" s="1434"/>
      <c r="DG438" s="1423">
        <f>+DH438</f>
        <v>0</v>
      </c>
      <c r="DH438" s="1437"/>
      <c r="DI438" s="1434"/>
      <c r="DJ438" s="1423">
        <f>+DK438</f>
        <v>0</v>
      </c>
      <c r="DK438" s="1437"/>
      <c r="DL438" s="1434"/>
      <c r="DM438" s="1423">
        <f>+DN438</f>
        <v>0</v>
      </c>
      <c r="DN438" s="1437"/>
      <c r="DO438" s="1434"/>
      <c r="DP438" s="1423">
        <f>+DQ438</f>
        <v>0</v>
      </c>
      <c r="DQ438" s="1437"/>
      <c r="DR438" s="1434"/>
      <c r="DS438" s="1423">
        <f>+DT438</f>
        <v>0</v>
      </c>
      <c r="DT438" s="1437"/>
      <c r="DU438" s="1434"/>
      <c r="DV438" s="1423">
        <f>+DW438</f>
        <v>0</v>
      </c>
      <c r="DW438" s="1437"/>
      <c r="DX438" s="1434"/>
      <c r="DY438" s="1423">
        <f>+DZ438</f>
        <v>0</v>
      </c>
      <c r="DZ438" s="1437"/>
      <c r="EA438" s="1434"/>
      <c r="EB438" s="1423">
        <f>+EC438</f>
        <v>0</v>
      </c>
      <c r="EC438" s="1437"/>
      <c r="ED438" s="1434"/>
      <c r="EE438" s="1423">
        <f>+EF438</f>
        <v>0</v>
      </c>
      <c r="EF438" s="1437"/>
      <c r="EG438" s="1434"/>
      <c r="EH438" s="1423">
        <f>+EI438</f>
        <v>0</v>
      </c>
      <c r="EI438" s="1437"/>
      <c r="EJ438" s="1434"/>
      <c r="EK438" s="1423">
        <f>+EL438</f>
        <v>0</v>
      </c>
      <c r="EL438" s="1437"/>
      <c r="EM438" s="1434"/>
      <c r="EN438" s="1423">
        <f>+EO438</f>
        <v>0</v>
      </c>
      <c r="EO438" s="1437"/>
      <c r="EP438" s="1434"/>
      <c r="EQ438" s="1423">
        <f>+ER438</f>
        <v>0</v>
      </c>
      <c r="ER438" s="1437"/>
      <c r="ES438" s="1434"/>
      <c r="ET438" s="1423">
        <f>+EU438</f>
        <v>0</v>
      </c>
      <c r="EU438" s="1437"/>
      <c r="EV438" s="1434"/>
      <c r="EW438" s="1423">
        <f>+EX438</f>
        <v>0</v>
      </c>
      <c r="EX438" s="1437"/>
      <c r="EY438" s="1434"/>
      <c r="EZ438" s="1423">
        <f>+FA438</f>
        <v>0</v>
      </c>
      <c r="FA438" s="1437"/>
      <c r="FD438"/>
      <c r="FE438"/>
      <c r="FF438"/>
      <c r="FG438"/>
      <c r="FH438"/>
      <c r="FI438"/>
    </row>
    <row r="439" spans="1:169" s="33" customFormat="1" outlineLevel="1">
      <c r="A439" s="58"/>
      <c r="B439" s="1338" t="s">
        <v>223</v>
      </c>
      <c r="C439" s="58"/>
      <c r="D439" s="58"/>
      <c r="E439" s="1438"/>
      <c r="F439" s="1342">
        <f>+G439-E439</f>
        <v>0</v>
      </c>
      <c r="G439" s="1439"/>
      <c r="H439" s="1440"/>
      <c r="I439" s="1342">
        <f>+J439-H439</f>
        <v>0</v>
      </c>
      <c r="J439" s="1439"/>
      <c r="K439" s="1440"/>
      <c r="L439" s="1342">
        <f>+M439-K439</f>
        <v>0</v>
      </c>
      <c r="M439" s="1439"/>
      <c r="N439" s="1440"/>
      <c r="O439" s="1342">
        <f>+P439-N439</f>
        <v>0</v>
      </c>
      <c r="P439" s="1439"/>
      <c r="Q439" s="1440"/>
      <c r="R439" s="1342">
        <f>+S439-Q439</f>
        <v>0</v>
      </c>
      <c r="S439" s="1439"/>
      <c r="T439" s="1440"/>
      <c r="U439" s="1342">
        <f>+V439-T439</f>
        <v>0</v>
      </c>
      <c r="V439" s="1439"/>
      <c r="W439" s="1440"/>
      <c r="X439" s="1342">
        <f>+Y439-W439</f>
        <v>0</v>
      </c>
      <c r="Y439" s="1439"/>
      <c r="Z439" s="1440"/>
      <c r="AA439" s="1342">
        <f>+AB439-Z439</f>
        <v>0</v>
      </c>
      <c r="AB439" s="1439"/>
      <c r="AC439" s="1440"/>
      <c r="AD439" s="1342">
        <f>+AE439-AC439</f>
        <v>0</v>
      </c>
      <c r="AE439" s="1439"/>
      <c r="AF439" s="1440"/>
      <c r="AG439" s="1342">
        <f>+AH439-AF439</f>
        <v>0</v>
      </c>
      <c r="AH439" s="1439"/>
      <c r="AI439" s="1440"/>
      <c r="AJ439" s="1342">
        <f>+AK439-AI439</f>
        <v>0</v>
      </c>
      <c r="AK439" s="1439"/>
      <c r="AL439" s="1440"/>
      <c r="AM439" s="1342">
        <f>+AN439-AL439</f>
        <v>0</v>
      </c>
      <c r="AN439" s="1439"/>
      <c r="AO439" s="1440"/>
      <c r="AP439" s="1342">
        <f>+AQ439-AO439</f>
        <v>0</v>
      </c>
      <c r="AQ439" s="1439"/>
      <c r="AR439" s="1440"/>
      <c r="AS439" s="1342">
        <f>+AT439-AR439</f>
        <v>0</v>
      </c>
      <c r="AT439" s="1439"/>
      <c r="AU439" s="1440"/>
      <c r="AV439" s="1342">
        <f>+AW439-AU439</f>
        <v>0</v>
      </c>
      <c r="AW439" s="1439"/>
      <c r="AX439" s="1440"/>
      <c r="AY439" s="1342">
        <f>+AZ439-AX439</f>
        <v>0</v>
      </c>
      <c r="AZ439" s="1439"/>
      <c r="BA439" s="1440"/>
      <c r="BB439" s="1342">
        <f>+BC439-BA439</f>
        <v>0</v>
      </c>
      <c r="BC439" s="1439"/>
      <c r="BD439" s="1440"/>
      <c r="BE439" s="1342">
        <f>+BF439-BD439</f>
        <v>0</v>
      </c>
      <c r="BF439" s="1439"/>
      <c r="BG439" s="1440"/>
      <c r="BH439" s="1342">
        <f>+BI439-BG439</f>
        <v>0</v>
      </c>
      <c r="BI439" s="1439"/>
      <c r="BJ439" s="1440"/>
      <c r="BK439" s="1342">
        <f>+BL439-BJ439</f>
        <v>0</v>
      </c>
      <c r="BL439" s="1439"/>
      <c r="BM439" s="1440"/>
      <c r="BN439" s="1342">
        <f>+BO439-BM439</f>
        <v>0</v>
      </c>
      <c r="BO439" s="1442"/>
      <c r="BP439" s="1440"/>
      <c r="BQ439" s="1342">
        <f>+BR439-BP439</f>
        <v>0</v>
      </c>
      <c r="BR439" s="1442"/>
      <c r="BS439" s="1440"/>
      <c r="BT439" s="1342">
        <f>+BU439-BS439</f>
        <v>0</v>
      </c>
      <c r="BU439" s="1442"/>
      <c r="BV439" s="1440"/>
      <c r="BW439" s="1342">
        <f>+BX439-BV439</f>
        <v>0</v>
      </c>
      <c r="BX439" s="1442"/>
      <c r="BY439" s="1440"/>
      <c r="BZ439" s="1342">
        <f>+CA439-BY439</f>
        <v>0</v>
      </c>
      <c r="CA439" s="1442"/>
      <c r="CB439" s="1440"/>
      <c r="CC439" s="1342">
        <f>+CD439-CB439</f>
        <v>0</v>
      </c>
      <c r="CD439" s="1442"/>
      <c r="CE439" s="1440"/>
      <c r="CF439" s="1342">
        <f>+CG439-CE439</f>
        <v>0</v>
      </c>
      <c r="CG439" s="1442"/>
      <c r="CH439" s="1440"/>
      <c r="CI439" s="1342">
        <f>+CJ439-CH439</f>
        <v>0</v>
      </c>
      <c r="CJ439" s="1442"/>
      <c r="CK439" s="1440"/>
      <c r="CL439" s="1342">
        <f>+CM439-CK439</f>
        <v>0</v>
      </c>
      <c r="CM439" s="1442"/>
      <c r="CN439" s="1440"/>
      <c r="CO439" s="1342">
        <f>+CP439-CN439</f>
        <v>0</v>
      </c>
      <c r="CP439" s="1442"/>
      <c r="CQ439" s="1440"/>
      <c r="CR439" s="1342">
        <f>+CS439-CQ439</f>
        <v>0</v>
      </c>
      <c r="CS439" s="1442"/>
      <c r="CT439" s="1440"/>
      <c r="CU439" s="1342">
        <f>+CV439-CT439</f>
        <v>0</v>
      </c>
      <c r="CV439" s="1442"/>
      <c r="CW439" s="1440"/>
      <c r="CX439" s="1342">
        <f>+CY439-CW439</f>
        <v>0</v>
      </c>
      <c r="CY439" s="1442"/>
      <c r="CZ439" s="1440"/>
      <c r="DA439" s="1342">
        <f>+DB439-CZ439</f>
        <v>0</v>
      </c>
      <c r="DB439" s="1442"/>
      <c r="DC439" s="1440"/>
      <c r="DD439" s="1342">
        <f>+DE439-DC439</f>
        <v>0</v>
      </c>
      <c r="DE439" s="1443"/>
      <c r="DF439" s="1440"/>
      <c r="DG439" s="1342">
        <f>+DH439-DF439</f>
        <v>0</v>
      </c>
      <c r="DH439" s="1443"/>
      <c r="DI439" s="1440"/>
      <c r="DJ439" s="1342">
        <f>+DK439-DI439</f>
        <v>0</v>
      </c>
      <c r="DK439" s="1443"/>
      <c r="DL439" s="1440"/>
      <c r="DM439" s="1342">
        <f>+DN439-DL439</f>
        <v>0</v>
      </c>
      <c r="DN439" s="1443"/>
      <c r="DO439" s="1440"/>
      <c r="DP439" s="1342">
        <f>+DQ439-DO439</f>
        <v>0</v>
      </c>
      <c r="DQ439" s="1443"/>
      <c r="DR439" s="1440"/>
      <c r="DS439" s="1342">
        <f>+DT439-DR439</f>
        <v>0</v>
      </c>
      <c r="DT439" s="1443"/>
      <c r="DU439" s="1440"/>
      <c r="DV439" s="1342">
        <f>+DW439-DU439</f>
        <v>0</v>
      </c>
      <c r="DW439" s="1443"/>
      <c r="DX439" s="1440"/>
      <c r="DY439" s="1342">
        <f>+DZ439-DX439</f>
        <v>0</v>
      </c>
      <c r="DZ439" s="1443"/>
      <c r="EA439" s="1440"/>
      <c r="EB439" s="1342">
        <f>+EC439-EA439</f>
        <v>0</v>
      </c>
      <c r="EC439" s="1443"/>
      <c r="ED439" s="1440"/>
      <c r="EE439" s="1342">
        <f>+EF439-ED439</f>
        <v>0</v>
      </c>
      <c r="EF439" s="1443"/>
      <c r="EG439" s="1440"/>
      <c r="EH439" s="1342">
        <f>+EI439-EG439</f>
        <v>0</v>
      </c>
      <c r="EI439" s="1443"/>
      <c r="EJ439" s="1440"/>
      <c r="EK439" s="1342">
        <f>+EL439-EJ439</f>
        <v>0</v>
      </c>
      <c r="EL439" s="1443"/>
      <c r="EM439" s="1440"/>
      <c r="EN439" s="1342">
        <f>+EO439-EM439</f>
        <v>0</v>
      </c>
      <c r="EO439" s="1443"/>
      <c r="EP439" s="1440"/>
      <c r="EQ439" s="1342">
        <f>+ER439-EP439</f>
        <v>0</v>
      </c>
      <c r="ER439" s="1443"/>
      <c r="ES439" s="1440"/>
      <c r="ET439" s="1342">
        <f>+EU439-ES439</f>
        <v>0</v>
      </c>
      <c r="EU439" s="1443"/>
      <c r="EV439" s="1440"/>
      <c r="EW439" s="1342">
        <f>+EX439-EV439</f>
        <v>0</v>
      </c>
      <c r="EX439" s="1443"/>
      <c r="EY439" s="1440"/>
      <c r="EZ439" s="1342">
        <f>+FA439-EY439</f>
        <v>0</v>
      </c>
      <c r="FA439" s="1443"/>
      <c r="FD439"/>
      <c r="FE439"/>
      <c r="FF439"/>
      <c r="FG439"/>
      <c r="FH439"/>
      <c r="FI439"/>
    </row>
    <row r="440" spans="1:169" s="1456" customFormat="1" ht="13.5" outlineLevel="1" thickBot="1">
      <c r="A440" s="1455"/>
      <c r="B440" s="1338" t="s">
        <v>226</v>
      </c>
      <c r="C440" s="1455"/>
      <c r="D440" s="1455"/>
      <c r="E440" s="1444" t="s">
        <v>227</v>
      </c>
      <c r="F440" s="1021"/>
      <c r="G440" s="1445" t="str">
        <f>+E440</f>
        <v>N</v>
      </c>
      <c r="H440" s="1446" t="str">
        <f>G440</f>
        <v>N</v>
      </c>
      <c r="I440" s="1021"/>
      <c r="J440" s="1445" t="str">
        <f>+H440</f>
        <v>N</v>
      </c>
      <c r="K440" s="1446" t="str">
        <f>J440</f>
        <v>N</v>
      </c>
      <c r="L440" s="1021"/>
      <c r="M440" s="1445" t="str">
        <f>+K440</f>
        <v>N</v>
      </c>
      <c r="N440" s="1446" t="str">
        <f>M440</f>
        <v>N</v>
      </c>
      <c r="O440" s="1021"/>
      <c r="P440" s="1445" t="str">
        <f>+N440</f>
        <v>N</v>
      </c>
      <c r="Q440" s="1446" t="str">
        <f>P440</f>
        <v>N</v>
      </c>
      <c r="R440" s="1021"/>
      <c r="S440" s="1445" t="str">
        <f>+Q440</f>
        <v>N</v>
      </c>
      <c r="T440" s="1446" t="str">
        <f>S440</f>
        <v>N</v>
      </c>
      <c r="U440" s="1021"/>
      <c r="V440" s="1445" t="str">
        <f>+T440</f>
        <v>N</v>
      </c>
      <c r="W440" s="1446" t="str">
        <f>V440</f>
        <v>N</v>
      </c>
      <c r="X440" s="1021"/>
      <c r="Y440" s="1445" t="str">
        <f>+W440</f>
        <v>N</v>
      </c>
      <c r="Z440" s="1446" t="str">
        <f>Y440</f>
        <v>N</v>
      </c>
      <c r="AA440" s="1021"/>
      <c r="AB440" s="1445" t="str">
        <f>+Z440</f>
        <v>N</v>
      </c>
      <c r="AC440" s="1446" t="str">
        <f>AB440</f>
        <v>N</v>
      </c>
      <c r="AD440" s="1021"/>
      <c r="AE440" s="1445" t="str">
        <f>+AC440</f>
        <v>N</v>
      </c>
      <c r="AF440" s="1446" t="str">
        <f>AE440</f>
        <v>N</v>
      </c>
      <c r="AG440" s="1021"/>
      <c r="AH440" s="1445" t="str">
        <f>+AF440</f>
        <v>N</v>
      </c>
      <c r="AI440" s="1446" t="str">
        <f>AH440</f>
        <v>N</v>
      </c>
      <c r="AJ440" s="1021"/>
      <c r="AK440" s="1445" t="str">
        <f>+AI440</f>
        <v>N</v>
      </c>
      <c r="AL440" s="1446" t="str">
        <f>AK440</f>
        <v>N</v>
      </c>
      <c r="AM440" s="1021"/>
      <c r="AN440" s="1445" t="str">
        <f>+AL440</f>
        <v>N</v>
      </c>
      <c r="AO440" s="1446" t="str">
        <f>AN440</f>
        <v>N</v>
      </c>
      <c r="AP440" s="1021"/>
      <c r="AQ440" s="1445" t="str">
        <f>+AO440</f>
        <v>N</v>
      </c>
      <c r="AR440" s="1446" t="str">
        <f>AQ440</f>
        <v>N</v>
      </c>
      <c r="AS440" s="1021"/>
      <c r="AT440" s="1445" t="str">
        <f>+AR440</f>
        <v>N</v>
      </c>
      <c r="AU440" s="1446" t="str">
        <f>AT440</f>
        <v>N</v>
      </c>
      <c r="AV440" s="1021"/>
      <c r="AW440" s="1445" t="str">
        <f>+AU440</f>
        <v>N</v>
      </c>
      <c r="AX440" s="1446" t="str">
        <f>AW440</f>
        <v>N</v>
      </c>
      <c r="AY440" s="1021"/>
      <c r="AZ440" s="1445" t="str">
        <f>+AX440</f>
        <v>N</v>
      </c>
      <c r="BA440" s="1446" t="str">
        <f>AZ440</f>
        <v>N</v>
      </c>
      <c r="BB440" s="1021"/>
      <c r="BC440" s="1445" t="str">
        <f>+BA440</f>
        <v>N</v>
      </c>
      <c r="BD440" s="1446" t="str">
        <f>BC440</f>
        <v>N</v>
      </c>
      <c r="BE440" s="1021"/>
      <c r="BF440" s="1445" t="str">
        <f>+BD440</f>
        <v>N</v>
      </c>
      <c r="BG440" s="1446" t="str">
        <f>BF440</f>
        <v>N</v>
      </c>
      <c r="BH440" s="1021"/>
      <c r="BI440" s="1445" t="str">
        <f>+BG440</f>
        <v>N</v>
      </c>
      <c r="BJ440" s="1446" t="str">
        <f>BI440</f>
        <v>N</v>
      </c>
      <c r="BK440" s="1021"/>
      <c r="BL440" s="1445" t="str">
        <f>+BJ440</f>
        <v>N</v>
      </c>
      <c r="BM440" s="1446" t="str">
        <f>BL440</f>
        <v>N</v>
      </c>
      <c r="BN440" s="1021"/>
      <c r="BO440" s="1448" t="str">
        <f>+BM440</f>
        <v>N</v>
      </c>
      <c r="BP440" s="1446" t="str">
        <f>BO440</f>
        <v>N</v>
      </c>
      <c r="BQ440" s="1021"/>
      <c r="BR440" s="1448" t="str">
        <f>+BP440</f>
        <v>N</v>
      </c>
      <c r="BS440" s="1446" t="str">
        <f>BR440</f>
        <v>N</v>
      </c>
      <c r="BT440" s="1021"/>
      <c r="BU440" s="1448" t="str">
        <f>+BS440</f>
        <v>N</v>
      </c>
      <c r="BV440" s="1446" t="str">
        <f>BU440</f>
        <v>N</v>
      </c>
      <c r="BW440" s="1021"/>
      <c r="BX440" s="1448" t="str">
        <f>+BV440</f>
        <v>N</v>
      </c>
      <c r="BY440" s="1446" t="str">
        <f>BX440</f>
        <v>N</v>
      </c>
      <c r="BZ440" s="1021"/>
      <c r="CA440" s="1448" t="str">
        <f>+BY440</f>
        <v>N</v>
      </c>
      <c r="CB440" s="1446" t="str">
        <f>CA440</f>
        <v>N</v>
      </c>
      <c r="CC440" s="1021"/>
      <c r="CD440" s="1448" t="str">
        <f>+CB440</f>
        <v>N</v>
      </c>
      <c r="CE440" s="1446" t="str">
        <f>CD440</f>
        <v>N</v>
      </c>
      <c r="CF440" s="1021"/>
      <c r="CG440" s="1448" t="str">
        <f>+CE440</f>
        <v>N</v>
      </c>
      <c r="CH440" s="1446" t="str">
        <f>CG440</f>
        <v>N</v>
      </c>
      <c r="CI440" s="1021"/>
      <c r="CJ440" s="1448" t="str">
        <f>+CH440</f>
        <v>N</v>
      </c>
      <c r="CK440" s="1446" t="str">
        <f>CJ440</f>
        <v>N</v>
      </c>
      <c r="CL440" s="1021"/>
      <c r="CM440" s="1448" t="str">
        <f>+CK440</f>
        <v>N</v>
      </c>
      <c r="CN440" s="1446" t="str">
        <f>CM440</f>
        <v>N</v>
      </c>
      <c r="CO440" s="1021"/>
      <c r="CP440" s="1448" t="str">
        <f>+CN440</f>
        <v>N</v>
      </c>
      <c r="CQ440" s="1446" t="str">
        <f>CP440</f>
        <v>N</v>
      </c>
      <c r="CR440" s="1021"/>
      <c r="CS440" s="1448" t="str">
        <f>+CQ440</f>
        <v>N</v>
      </c>
      <c r="CT440" s="1446" t="str">
        <f>CS440</f>
        <v>N</v>
      </c>
      <c r="CU440" s="1021"/>
      <c r="CV440" s="1448" t="str">
        <f>+CT440</f>
        <v>N</v>
      </c>
      <c r="CW440" s="1446" t="str">
        <f>CV440</f>
        <v>N</v>
      </c>
      <c r="CX440" s="1021"/>
      <c r="CY440" s="1448" t="str">
        <f>+CW440</f>
        <v>N</v>
      </c>
      <c r="CZ440" s="1446" t="str">
        <f>CY440</f>
        <v>N</v>
      </c>
      <c r="DA440" s="1021"/>
      <c r="DB440" s="1448" t="str">
        <f>+CZ440</f>
        <v>N</v>
      </c>
      <c r="DC440" s="1446" t="str">
        <f>DB440</f>
        <v>N</v>
      </c>
      <c r="DD440" s="1021"/>
      <c r="DE440" s="1449" t="str">
        <f>+DC440</f>
        <v>N</v>
      </c>
      <c r="DF440" s="1446" t="str">
        <f>DE440</f>
        <v>N</v>
      </c>
      <c r="DG440" s="1021"/>
      <c r="DH440" s="1449" t="str">
        <f>+DF440</f>
        <v>N</v>
      </c>
      <c r="DI440" s="1446" t="str">
        <f>DH440</f>
        <v>N</v>
      </c>
      <c r="DJ440" s="1021"/>
      <c r="DK440" s="1449" t="str">
        <f>+DI440</f>
        <v>N</v>
      </c>
      <c r="DL440" s="1446" t="str">
        <f>DK440</f>
        <v>N</v>
      </c>
      <c r="DM440" s="1021"/>
      <c r="DN440" s="1449" t="str">
        <f>+DL440</f>
        <v>N</v>
      </c>
      <c r="DO440" s="1446" t="str">
        <f>DN440</f>
        <v>N</v>
      </c>
      <c r="DP440" s="1021"/>
      <c r="DQ440" s="1449" t="str">
        <f>+DO440</f>
        <v>N</v>
      </c>
      <c r="DR440" s="1446" t="str">
        <f>DQ440</f>
        <v>N</v>
      </c>
      <c r="DS440" s="1021"/>
      <c r="DT440" s="1449" t="str">
        <f>+DR440</f>
        <v>N</v>
      </c>
      <c r="DU440" s="1446" t="str">
        <f>DT440</f>
        <v>N</v>
      </c>
      <c r="DV440" s="1021"/>
      <c r="DW440" s="1449" t="str">
        <f>+DU440</f>
        <v>N</v>
      </c>
      <c r="DX440" s="1446" t="str">
        <f>DW440</f>
        <v>N</v>
      </c>
      <c r="DY440" s="1021"/>
      <c r="DZ440" s="1449" t="str">
        <f>+DX440</f>
        <v>N</v>
      </c>
      <c r="EA440" s="1446" t="str">
        <f>DZ440</f>
        <v>N</v>
      </c>
      <c r="EB440" s="1021"/>
      <c r="EC440" s="1449" t="str">
        <f>+EA440</f>
        <v>N</v>
      </c>
      <c r="ED440" s="1446" t="str">
        <f>EC440</f>
        <v>N</v>
      </c>
      <c r="EE440" s="1021"/>
      <c r="EF440" s="1449" t="str">
        <f>+ED440</f>
        <v>N</v>
      </c>
      <c r="EG440" s="1446" t="str">
        <f>EF440</f>
        <v>N</v>
      </c>
      <c r="EH440" s="1021"/>
      <c r="EI440" s="1449" t="str">
        <f>+EG440</f>
        <v>N</v>
      </c>
      <c r="EJ440" s="1446" t="str">
        <f>EI440</f>
        <v>N</v>
      </c>
      <c r="EK440" s="1021"/>
      <c r="EL440" s="1449" t="str">
        <f>+EJ440</f>
        <v>N</v>
      </c>
      <c r="EM440" s="1446" t="str">
        <f>EL440</f>
        <v>N</v>
      </c>
      <c r="EN440" s="1021"/>
      <c r="EO440" s="1449" t="str">
        <f>+EM440</f>
        <v>N</v>
      </c>
      <c r="EP440" s="1446" t="str">
        <f>EO440</f>
        <v>N</v>
      </c>
      <c r="EQ440" s="1021"/>
      <c r="ER440" s="1449" t="str">
        <f>+EP440</f>
        <v>N</v>
      </c>
      <c r="ES440" s="1446" t="str">
        <f>ER440</f>
        <v>N</v>
      </c>
      <c r="ET440" s="1021"/>
      <c r="EU440" s="1449" t="str">
        <f>+ES440</f>
        <v>N</v>
      </c>
      <c r="EV440" s="1446" t="str">
        <f>EU440</f>
        <v>N</v>
      </c>
      <c r="EW440" s="1021"/>
      <c r="EX440" s="1449" t="str">
        <f>+EV440</f>
        <v>N</v>
      </c>
      <c r="EY440" s="1446" t="str">
        <f>EX440</f>
        <v>N</v>
      </c>
      <c r="EZ440" s="1021"/>
      <c r="FA440" s="1449" t="str">
        <f>+EY440</f>
        <v>N</v>
      </c>
      <c r="FD440"/>
      <c r="FE440"/>
      <c r="FF440"/>
      <c r="FG440"/>
      <c r="FH440"/>
      <c r="FI440"/>
    </row>
    <row r="441" spans="1:169" s="33" customFormat="1" outlineLevel="1">
      <c r="A441" s="58"/>
      <c r="B441" s="58"/>
      <c r="C441" s="58"/>
      <c r="D441" s="58"/>
      <c r="E441" s="59"/>
      <c r="F441" s="59"/>
      <c r="G441" s="1457"/>
      <c r="H441" s="59"/>
      <c r="I441" s="59"/>
      <c r="J441" s="1457"/>
      <c r="K441" s="59"/>
      <c r="L441" s="59"/>
      <c r="M441" s="1457"/>
      <c r="N441" s="59"/>
      <c r="O441" s="59"/>
      <c r="P441" s="1457"/>
      <c r="Q441" s="1452"/>
      <c r="R441" s="1452"/>
      <c r="S441" s="1453"/>
      <c r="T441" s="1452"/>
      <c r="U441" s="1452"/>
      <c r="V441" s="1451"/>
      <c r="W441" s="1450"/>
      <c r="X441" s="1450"/>
      <c r="Y441" s="1451"/>
      <c r="Z441" s="1450"/>
      <c r="AA441" s="1450"/>
      <c r="AB441" s="1451"/>
      <c r="AC441" s="1450"/>
      <c r="AD441" s="1450"/>
      <c r="AE441" s="1451"/>
      <c r="AF441" s="1450"/>
      <c r="AG441" s="1450"/>
      <c r="AH441" s="1451"/>
      <c r="AI441" s="1450"/>
      <c r="AJ441" s="1450"/>
      <c r="AK441" s="1451"/>
      <c r="AL441" s="1450"/>
      <c r="AM441" s="1450"/>
      <c r="AN441" s="1451"/>
      <c r="AO441" s="1450"/>
      <c r="AP441" s="1450"/>
      <c r="AQ441" s="1451"/>
      <c r="AR441" s="1450"/>
      <c r="AS441" s="1450"/>
      <c r="AT441" s="1451"/>
      <c r="AU441" s="59"/>
      <c r="AV441" s="59"/>
      <c r="AW441" s="1457"/>
      <c r="AX441" s="59"/>
      <c r="AY441" s="59"/>
      <c r="AZ441" s="1457"/>
      <c r="BA441" s="59"/>
      <c r="BB441" s="59"/>
      <c r="BC441" s="1457"/>
      <c r="BD441" s="59"/>
      <c r="BE441" s="59"/>
      <c r="BF441" s="1457"/>
      <c r="BG441" s="59"/>
      <c r="BH441" s="59"/>
      <c r="BI441" s="1457"/>
      <c r="BJ441" s="59"/>
      <c r="BK441" s="59"/>
      <c r="BL441" s="1457"/>
      <c r="BM441" s="59"/>
      <c r="BN441" s="59"/>
      <c r="BO441" s="1457"/>
      <c r="BP441" s="59"/>
      <c r="BQ441" s="59"/>
      <c r="BR441" s="1457"/>
      <c r="BS441" s="59"/>
      <c r="BT441" s="59"/>
      <c r="BU441" s="1457"/>
      <c r="BV441" s="59"/>
      <c r="BW441" s="59"/>
      <c r="BX441" s="1457"/>
      <c r="BY441" s="59"/>
      <c r="BZ441" s="59"/>
      <c r="CA441" s="1457"/>
      <c r="CB441" s="59"/>
      <c r="CC441" s="59"/>
      <c r="CD441" s="1457"/>
      <c r="CE441" s="59"/>
      <c r="CF441" s="59"/>
      <c r="CG441" s="1457"/>
      <c r="CH441" s="59"/>
      <c r="CI441" s="59"/>
      <c r="CJ441" s="1457"/>
      <c r="CK441" s="59"/>
      <c r="CL441" s="59"/>
      <c r="CM441" s="1457"/>
      <c r="CN441" s="59"/>
      <c r="CO441" s="59"/>
      <c r="CP441" s="1457"/>
      <c r="CQ441" s="59"/>
      <c r="CR441" s="59"/>
      <c r="CS441" s="1457"/>
      <c r="CT441" s="59"/>
      <c r="CU441" s="59"/>
      <c r="CV441" s="1457"/>
      <c r="CW441" s="59"/>
      <c r="CX441" s="59"/>
      <c r="CY441" s="1457"/>
      <c r="CZ441" s="59"/>
      <c r="DA441" s="59"/>
      <c r="DB441" s="1457"/>
      <c r="DC441" s="59"/>
      <c r="DD441" s="59"/>
      <c r="DE441" s="1458"/>
      <c r="DF441" s="59"/>
      <c r="DG441" s="59"/>
      <c r="DH441" s="1458"/>
      <c r="DI441" s="59"/>
      <c r="DJ441" s="59"/>
      <c r="DK441" s="1458"/>
      <c r="DL441" s="59"/>
      <c r="DM441" s="59"/>
      <c r="DN441" s="1458"/>
      <c r="DO441" s="59"/>
      <c r="DP441" s="59"/>
      <c r="DQ441" s="1458"/>
      <c r="DR441" s="59"/>
      <c r="DS441" s="59"/>
      <c r="DT441" s="1458"/>
      <c r="DU441" s="59"/>
      <c r="DV441" s="59"/>
      <c r="DW441" s="1458"/>
      <c r="DX441" s="59"/>
      <c r="DY441" s="59"/>
      <c r="DZ441" s="1458"/>
      <c r="EA441" s="59"/>
      <c r="EB441" s="59"/>
      <c r="EC441" s="1458"/>
      <c r="ED441" s="59"/>
      <c r="EE441" s="59"/>
      <c r="EF441" s="1458"/>
      <c r="EG441" s="59"/>
      <c r="EH441" s="59"/>
      <c r="EI441" s="1458"/>
      <c r="EJ441" s="59"/>
      <c r="EK441" s="59"/>
      <c r="EL441" s="1458"/>
      <c r="EM441" s="59"/>
      <c r="EN441" s="59"/>
      <c r="EO441" s="1458"/>
      <c r="EP441" s="59"/>
      <c r="EQ441" s="59"/>
      <c r="ER441" s="1458"/>
      <c r="ES441" s="59"/>
      <c r="ET441" s="59"/>
      <c r="EU441" s="1458"/>
      <c r="EV441" s="59"/>
      <c r="EW441" s="59"/>
      <c r="EX441" s="1458"/>
      <c r="EY441" s="59"/>
      <c r="EZ441" s="59"/>
      <c r="FA441" s="1458"/>
      <c r="FD441"/>
      <c r="FE441"/>
      <c r="FF441"/>
      <c r="FG441"/>
      <c r="FH441"/>
      <c r="FI441"/>
    </row>
    <row r="442" spans="1:169" s="1171" customFormat="1">
      <c r="A442" s="48" t="s">
        <v>0</v>
      </c>
      <c r="B442" s="48"/>
      <c r="C442" s="1036"/>
      <c r="D442" s="49">
        <f t="shared" ref="D442:AV442" si="967">+D3</f>
        <v>0</v>
      </c>
      <c r="E442" s="1459">
        <f t="shared" si="967"/>
        <v>0</v>
      </c>
      <c r="F442" s="1459">
        <f t="shared" si="967"/>
        <v>0</v>
      </c>
      <c r="G442" s="50">
        <f t="shared" si="967"/>
        <v>0</v>
      </c>
      <c r="H442" s="1459">
        <f t="shared" si="967"/>
        <v>0</v>
      </c>
      <c r="I442" s="1459">
        <f t="shared" si="967"/>
        <v>0</v>
      </c>
      <c r="J442" s="50">
        <f t="shared" si="967"/>
        <v>0</v>
      </c>
      <c r="K442" s="1459">
        <f t="shared" si="967"/>
        <v>0</v>
      </c>
      <c r="L442" s="1459">
        <f t="shared" si="967"/>
        <v>0</v>
      </c>
      <c r="M442" s="50">
        <f t="shared" si="967"/>
        <v>0</v>
      </c>
      <c r="N442" s="1459">
        <f t="shared" si="967"/>
        <v>0</v>
      </c>
      <c r="O442" s="1459">
        <f t="shared" si="967"/>
        <v>0</v>
      </c>
      <c r="P442" s="1459">
        <f t="shared" si="967"/>
        <v>0</v>
      </c>
      <c r="Q442" s="1459">
        <f t="shared" si="967"/>
        <v>0</v>
      </c>
      <c r="R442" s="1459">
        <f t="shared" si="967"/>
        <v>0</v>
      </c>
      <c r="S442" s="50">
        <f t="shared" si="967"/>
        <v>0</v>
      </c>
      <c r="T442" s="1459">
        <f t="shared" si="967"/>
        <v>0</v>
      </c>
      <c r="U442" s="1459">
        <f t="shared" si="967"/>
        <v>0</v>
      </c>
      <c r="V442" s="50">
        <f t="shared" si="967"/>
        <v>0</v>
      </c>
      <c r="W442" s="1459">
        <f t="shared" si="967"/>
        <v>0</v>
      </c>
      <c r="X442" s="1459">
        <f t="shared" si="967"/>
        <v>0</v>
      </c>
      <c r="Y442" s="50">
        <f t="shared" si="967"/>
        <v>0</v>
      </c>
      <c r="Z442" s="1459">
        <f t="shared" si="967"/>
        <v>0</v>
      </c>
      <c r="AA442" s="1459">
        <f t="shared" si="967"/>
        <v>0</v>
      </c>
      <c r="AB442" s="50">
        <f t="shared" si="967"/>
        <v>0</v>
      </c>
      <c r="AC442" s="1459">
        <f t="shared" si="967"/>
        <v>0</v>
      </c>
      <c r="AD442" s="1459">
        <f t="shared" si="967"/>
        <v>0</v>
      </c>
      <c r="AE442" s="50">
        <f t="shared" si="967"/>
        <v>0</v>
      </c>
      <c r="AF442" s="1459">
        <f t="shared" si="967"/>
        <v>0</v>
      </c>
      <c r="AG442" s="1459">
        <f t="shared" si="967"/>
        <v>0</v>
      </c>
      <c r="AH442" s="50">
        <f t="shared" si="967"/>
        <v>0</v>
      </c>
      <c r="AI442" s="1459">
        <f t="shared" si="967"/>
        <v>0</v>
      </c>
      <c r="AJ442" s="1459">
        <f t="shared" si="967"/>
        <v>0</v>
      </c>
      <c r="AK442" s="50">
        <f t="shared" si="967"/>
        <v>0</v>
      </c>
      <c r="AL442" s="1459">
        <f t="shared" si="967"/>
        <v>0</v>
      </c>
      <c r="AM442" s="1459">
        <f t="shared" si="967"/>
        <v>0</v>
      </c>
      <c r="AN442" s="50">
        <f t="shared" si="967"/>
        <v>0</v>
      </c>
      <c r="AO442" s="1459">
        <f t="shared" si="967"/>
        <v>0</v>
      </c>
      <c r="AP442" s="1459">
        <f t="shared" si="967"/>
        <v>0</v>
      </c>
      <c r="AQ442" s="50">
        <f t="shared" si="967"/>
        <v>0</v>
      </c>
      <c r="AR442" s="1459">
        <f t="shared" si="967"/>
        <v>0</v>
      </c>
      <c r="AS442" s="1459">
        <f t="shared" si="967"/>
        <v>0</v>
      </c>
      <c r="AT442" s="50">
        <f t="shared" si="967"/>
        <v>0</v>
      </c>
      <c r="AU442" s="1459">
        <f t="shared" si="967"/>
        <v>0</v>
      </c>
      <c r="AV442" s="1459">
        <f t="shared" si="967"/>
        <v>0</v>
      </c>
      <c r="AW442" s="50" t="str">
        <f t="shared" ref="AW442:CB442" si="968">+AW4</f>
        <v>1999a</v>
      </c>
      <c r="AX442" s="50" t="str">
        <f t="shared" si="968"/>
        <v>1h00</v>
      </c>
      <c r="AY442" s="50" t="str">
        <f t="shared" si="968"/>
        <v>2h00</v>
      </c>
      <c r="AZ442" s="50" t="str">
        <f t="shared" si="968"/>
        <v>2000a</v>
      </c>
      <c r="BA442" s="50" t="str">
        <f t="shared" si="968"/>
        <v>1h01</v>
      </c>
      <c r="BB442" s="50" t="str">
        <f t="shared" si="968"/>
        <v>2h01</v>
      </c>
      <c r="BC442" s="50" t="str">
        <f t="shared" si="968"/>
        <v>2001a</v>
      </c>
      <c r="BD442" s="50" t="str">
        <f t="shared" si="968"/>
        <v>1h02</v>
      </c>
      <c r="BE442" s="50" t="str">
        <f t="shared" si="968"/>
        <v>2h02f</v>
      </c>
      <c r="BF442" s="50" t="str">
        <f t="shared" si="968"/>
        <v>2002</v>
      </c>
      <c r="BG442" s="50" t="str">
        <f t="shared" si="968"/>
        <v>1h03</v>
      </c>
      <c r="BH442" s="50" t="str">
        <f t="shared" si="968"/>
        <v>2h03</v>
      </c>
      <c r="BI442" s="50" t="str">
        <f t="shared" si="968"/>
        <v>2003</v>
      </c>
      <c r="BJ442" s="50" t="str">
        <f t="shared" si="968"/>
        <v>1h04</v>
      </c>
      <c r="BK442" s="50" t="str">
        <f t="shared" si="968"/>
        <v>2h04</v>
      </c>
      <c r="BL442" s="50" t="str">
        <f t="shared" si="968"/>
        <v>2004</v>
      </c>
      <c r="BM442" s="50" t="str">
        <f t="shared" si="968"/>
        <v>1h05</v>
      </c>
      <c r="BN442" s="50" t="str">
        <f t="shared" si="968"/>
        <v>2h05</v>
      </c>
      <c r="BO442" s="50" t="str">
        <f t="shared" si="968"/>
        <v>2005</v>
      </c>
      <c r="BP442" s="50" t="str">
        <f t="shared" si="968"/>
        <v>1h06</v>
      </c>
      <c r="BQ442" s="50" t="str">
        <f t="shared" si="968"/>
        <v>2h06</v>
      </c>
      <c r="BR442" s="50" t="str">
        <f t="shared" si="968"/>
        <v>2006</v>
      </c>
      <c r="BS442" s="50" t="str">
        <f t="shared" si="968"/>
        <v>1h07</v>
      </c>
      <c r="BT442" s="50" t="str">
        <f t="shared" si="968"/>
        <v>2h07</v>
      </c>
      <c r="BU442" s="50" t="str">
        <f t="shared" si="968"/>
        <v>2007</v>
      </c>
      <c r="BV442" s="50" t="str">
        <f t="shared" si="968"/>
        <v>1h08</v>
      </c>
      <c r="BW442" s="50" t="str">
        <f t="shared" si="968"/>
        <v>2h08</v>
      </c>
      <c r="BX442" s="50" t="str">
        <f t="shared" si="968"/>
        <v>2008</v>
      </c>
      <c r="BY442" s="50" t="str">
        <f t="shared" si="968"/>
        <v>1h09</v>
      </c>
      <c r="BZ442" s="50" t="str">
        <f t="shared" si="968"/>
        <v>2h09</v>
      </c>
      <c r="CA442" s="50" t="str">
        <f t="shared" si="968"/>
        <v>2009</v>
      </c>
      <c r="CB442" s="50" t="str">
        <f t="shared" si="968"/>
        <v>1h10</v>
      </c>
      <c r="CC442" s="50" t="str">
        <f t="shared" ref="CC442:DH442" si="969">+CC4</f>
        <v>2h10</v>
      </c>
      <c r="CD442" s="50" t="str">
        <f t="shared" si="969"/>
        <v>2010</v>
      </c>
      <c r="CE442" s="50" t="str">
        <f t="shared" si="969"/>
        <v>1h11</v>
      </c>
      <c r="CF442" s="50" t="str">
        <f t="shared" si="969"/>
        <v>2h11</v>
      </c>
      <c r="CG442" s="50" t="str">
        <f t="shared" si="969"/>
        <v>2011</v>
      </c>
      <c r="CH442" s="50" t="str">
        <f t="shared" si="969"/>
        <v>1h12</v>
      </c>
      <c r="CI442" s="50" t="str">
        <f t="shared" si="969"/>
        <v>2h12</v>
      </c>
      <c r="CJ442" s="50" t="str">
        <f t="shared" si="969"/>
        <v>2012</v>
      </c>
      <c r="CK442" s="50" t="str">
        <f t="shared" si="969"/>
        <v>1h13</v>
      </c>
      <c r="CL442" s="50" t="str">
        <f t="shared" si="969"/>
        <v>2h13</v>
      </c>
      <c r="CM442" s="50" t="str">
        <f t="shared" si="969"/>
        <v>2013</v>
      </c>
      <c r="CN442" s="50" t="str">
        <f t="shared" si="969"/>
        <v>1h14</v>
      </c>
      <c r="CO442" s="50" t="str">
        <f t="shared" si="969"/>
        <v>2h14</v>
      </c>
      <c r="CP442" s="50" t="str">
        <f t="shared" si="969"/>
        <v>2014</v>
      </c>
      <c r="CQ442" s="50" t="str">
        <f t="shared" si="969"/>
        <v>1h15</v>
      </c>
      <c r="CR442" s="50" t="str">
        <f t="shared" si="969"/>
        <v>2h15</v>
      </c>
      <c r="CS442" s="50" t="str">
        <f t="shared" si="969"/>
        <v>2015</v>
      </c>
      <c r="CT442" s="50" t="str">
        <f t="shared" si="969"/>
        <v>1h16</v>
      </c>
      <c r="CU442" s="50" t="str">
        <f t="shared" si="969"/>
        <v>2h16</v>
      </c>
      <c r="CV442" s="50" t="str">
        <f t="shared" si="969"/>
        <v>2016</v>
      </c>
      <c r="CW442" s="50" t="str">
        <f t="shared" si="969"/>
        <v>1h17</v>
      </c>
      <c r="CX442" s="50" t="str">
        <f t="shared" si="969"/>
        <v>2h17</v>
      </c>
      <c r="CY442" s="50" t="str">
        <f t="shared" si="969"/>
        <v>2017</v>
      </c>
      <c r="CZ442" s="50" t="str">
        <f t="shared" si="969"/>
        <v>1h18</v>
      </c>
      <c r="DA442" s="50" t="str">
        <f t="shared" si="969"/>
        <v>2h18</v>
      </c>
      <c r="DB442" s="50" t="str">
        <f t="shared" si="969"/>
        <v>2018</v>
      </c>
      <c r="DC442" s="50" t="str">
        <f t="shared" si="969"/>
        <v>1h19</v>
      </c>
      <c r="DD442" s="50" t="str">
        <f t="shared" si="969"/>
        <v>2h19</v>
      </c>
      <c r="DE442" s="64" t="str">
        <f t="shared" si="969"/>
        <v>2019</v>
      </c>
      <c r="DF442" s="50" t="str">
        <f t="shared" si="969"/>
        <v>1h20</v>
      </c>
      <c r="DG442" s="50" t="str">
        <f t="shared" si="969"/>
        <v>2h20</v>
      </c>
      <c r="DH442" s="64" t="str">
        <f t="shared" si="969"/>
        <v>2020</v>
      </c>
      <c r="DI442" s="50" t="str">
        <f t="shared" ref="DI442:EC442" si="970">+DI4</f>
        <v>1h21</v>
      </c>
      <c r="DJ442" s="50" t="str">
        <f t="shared" si="970"/>
        <v>2h21</v>
      </c>
      <c r="DK442" s="64" t="str">
        <f t="shared" si="970"/>
        <v>2021</v>
      </c>
      <c r="DL442" s="50" t="str">
        <f t="shared" si="970"/>
        <v>1h22</v>
      </c>
      <c r="DM442" s="50" t="str">
        <f t="shared" si="970"/>
        <v>2h22</v>
      </c>
      <c r="DN442" s="64" t="str">
        <f t="shared" si="970"/>
        <v>2022</v>
      </c>
      <c r="DO442" s="50" t="str">
        <f t="shared" si="970"/>
        <v>1h23</v>
      </c>
      <c r="DP442" s="50" t="str">
        <f t="shared" si="970"/>
        <v>2h23</v>
      </c>
      <c r="DQ442" s="64" t="str">
        <f t="shared" si="970"/>
        <v>2023</v>
      </c>
      <c r="DR442" s="50" t="str">
        <f t="shared" si="970"/>
        <v>1h24</v>
      </c>
      <c r="DS442" s="50" t="str">
        <f t="shared" si="970"/>
        <v>2h24</v>
      </c>
      <c r="DT442" s="64" t="str">
        <f t="shared" si="970"/>
        <v>2024</v>
      </c>
      <c r="DU442" s="50" t="str">
        <f>+DU4</f>
        <v>1h25</v>
      </c>
      <c r="DV442" s="50" t="str">
        <f t="shared" si="970"/>
        <v>2h25</v>
      </c>
      <c r="DW442" s="64" t="str">
        <f t="shared" si="970"/>
        <v>2025</v>
      </c>
      <c r="DX442" s="50" t="str">
        <f t="shared" si="970"/>
        <v>1h26</v>
      </c>
      <c r="DY442" s="50" t="str">
        <f t="shared" si="970"/>
        <v>2h26E</v>
      </c>
      <c r="DZ442" s="64" t="str">
        <f t="shared" si="970"/>
        <v>2026E</v>
      </c>
      <c r="EA442" s="50" t="str">
        <f t="shared" si="970"/>
        <v>1h27E</v>
      </c>
      <c r="EB442" s="50" t="str">
        <f t="shared" si="970"/>
        <v>2h27E</v>
      </c>
      <c r="EC442" s="64" t="str">
        <f t="shared" si="970"/>
        <v>2027E</v>
      </c>
      <c r="ED442" s="50" t="str">
        <f t="shared" ref="ED442:EL442" si="971">+ED4</f>
        <v>1h28E</v>
      </c>
      <c r="EE442" s="50" t="str">
        <f t="shared" si="971"/>
        <v>2h28E</v>
      </c>
      <c r="EF442" s="64" t="str">
        <f t="shared" si="971"/>
        <v>2028E</v>
      </c>
      <c r="EG442" s="50" t="str">
        <f t="shared" si="971"/>
        <v>1h29E</v>
      </c>
      <c r="EH442" s="50" t="str">
        <f t="shared" si="971"/>
        <v>2h29E</v>
      </c>
      <c r="EI442" s="64" t="str">
        <f t="shared" si="971"/>
        <v>2029E</v>
      </c>
      <c r="EJ442" s="50" t="str">
        <f t="shared" si="971"/>
        <v>1h30E</v>
      </c>
      <c r="EK442" s="50" t="str">
        <f t="shared" si="971"/>
        <v>2h30E</v>
      </c>
      <c r="EL442" s="64" t="str">
        <f t="shared" si="971"/>
        <v>2030E</v>
      </c>
      <c r="EM442" s="50" t="str">
        <f t="shared" ref="EM442:ER442" si="972">+EM4</f>
        <v>1h31E</v>
      </c>
      <c r="EN442" s="50" t="str">
        <f t="shared" si="972"/>
        <v>2h31E</v>
      </c>
      <c r="EO442" s="64" t="str">
        <f t="shared" si="972"/>
        <v>2031E</v>
      </c>
      <c r="EP442" s="50" t="str">
        <f t="shared" si="972"/>
        <v>1h32E</v>
      </c>
      <c r="EQ442" s="50" t="str">
        <f t="shared" si="972"/>
        <v>2h32E</v>
      </c>
      <c r="ER442" s="64" t="str">
        <f t="shared" si="972"/>
        <v>2032E</v>
      </c>
      <c r="ES442" s="50" t="str">
        <f t="shared" ref="ES442:FA442" si="973">+ES4</f>
        <v>1h33E</v>
      </c>
      <c r="ET442" s="50" t="str">
        <f t="shared" si="973"/>
        <v>2h33E</v>
      </c>
      <c r="EU442" s="64" t="str">
        <f t="shared" si="973"/>
        <v>2033E</v>
      </c>
      <c r="EV442" s="50" t="str">
        <f t="shared" si="973"/>
        <v>1h34E</v>
      </c>
      <c r="EW442" s="50" t="str">
        <f t="shared" si="973"/>
        <v>2h34E</v>
      </c>
      <c r="EX442" s="64" t="str">
        <f t="shared" si="973"/>
        <v>2034E</v>
      </c>
      <c r="EY442" s="50" t="str">
        <f t="shared" si="973"/>
        <v>1h35E</v>
      </c>
      <c r="EZ442" s="50" t="str">
        <f t="shared" si="973"/>
        <v>2h35E</v>
      </c>
      <c r="FA442" s="64" t="str">
        <f t="shared" si="973"/>
        <v>2035E</v>
      </c>
      <c r="FB442" s="1058"/>
      <c r="FC442" s="1058"/>
      <c r="FD442"/>
      <c r="FE442"/>
      <c r="FF442"/>
      <c r="FG442"/>
      <c r="FH442"/>
      <c r="FI442"/>
    </row>
    <row r="443" spans="1:169" s="61" customFormat="1">
      <c r="A443" s="1460"/>
      <c r="B443" s="1461" t="s">
        <v>637</v>
      </c>
      <c r="C443" s="33"/>
      <c r="D443" s="33"/>
      <c r="E443" s="34"/>
      <c r="F443" s="34"/>
      <c r="G443" s="33"/>
      <c r="H443" s="34"/>
      <c r="I443" s="34"/>
      <c r="J443" s="33"/>
      <c r="K443" s="34"/>
      <c r="L443" s="34"/>
      <c r="M443" s="33"/>
      <c r="N443" s="34"/>
      <c r="O443" s="34"/>
      <c r="P443" s="34"/>
      <c r="Q443" s="34"/>
      <c r="R443" s="34"/>
      <c r="S443" s="33"/>
      <c r="T443" s="34"/>
      <c r="U443" s="34"/>
      <c r="V443" s="33"/>
      <c r="W443" s="34"/>
      <c r="X443" s="34"/>
      <c r="Y443" s="33"/>
      <c r="Z443" s="34"/>
      <c r="AA443" s="34"/>
      <c r="AB443" s="33"/>
      <c r="AC443" s="34"/>
      <c r="AD443" s="34"/>
      <c r="AE443" s="33"/>
      <c r="AF443" s="34"/>
      <c r="AG443" s="34"/>
      <c r="AH443" s="33"/>
      <c r="AI443" s="34"/>
      <c r="AJ443" s="34"/>
      <c r="AK443" s="1164"/>
      <c r="AL443" s="1346"/>
      <c r="AM443" s="1346"/>
      <c r="AN443" s="1164"/>
      <c r="AO443" s="1346"/>
      <c r="AP443" s="1346"/>
      <c r="AQ443" s="1164"/>
      <c r="AR443" s="1346"/>
      <c r="AS443" s="1346"/>
      <c r="AT443" s="1164"/>
      <c r="AU443" s="1346"/>
      <c r="AV443" s="1346"/>
      <c r="AW443" s="55">
        <f>Assumptions!AW124</f>
        <v>0.36</v>
      </c>
      <c r="AX443" s="55">
        <f>Assumptions!AX124</f>
        <v>0.36</v>
      </c>
      <c r="AY443" s="55">
        <f>Assumptions!AY124</f>
        <v>0.36</v>
      </c>
      <c r="AZ443" s="55">
        <f>Assumptions!AZ124</f>
        <v>0.36</v>
      </c>
      <c r="BA443" s="55">
        <f>Assumptions!BA124</f>
        <v>0.34</v>
      </c>
      <c r="BB443" s="55">
        <f>Assumptions!BB124</f>
        <v>0.34</v>
      </c>
      <c r="BC443" s="55">
        <f>Assumptions!BC124</f>
        <v>0.34</v>
      </c>
      <c r="BD443" s="55">
        <f>Assumptions!BD124</f>
        <v>0.3</v>
      </c>
      <c r="BE443" s="55">
        <f>Assumptions!BE124</f>
        <v>0.3</v>
      </c>
      <c r="BF443" s="55">
        <f>Assumptions!BF124</f>
        <v>0.3</v>
      </c>
      <c r="BG443" s="55">
        <f>Assumptions!BG124</f>
        <v>0.28000000000000003</v>
      </c>
      <c r="BH443" s="55">
        <f>Assumptions!BH124</f>
        <v>0.28000000000000003</v>
      </c>
      <c r="BI443" s="55">
        <f>Assumptions!BI124</f>
        <v>0.32</v>
      </c>
      <c r="BJ443" s="55">
        <f>Assumptions!BJ124</f>
        <v>0.3</v>
      </c>
      <c r="BK443" s="55">
        <f>Assumptions!BK124</f>
        <v>0.3</v>
      </c>
      <c r="BL443" s="55">
        <f>Assumptions!BL124</f>
        <v>0.22500000000000001</v>
      </c>
      <c r="BM443" s="55">
        <f>Assumptions!BM124</f>
        <v>0.22500000000000001</v>
      </c>
      <c r="BN443" s="55">
        <f>Assumptions!BN124</f>
        <v>0.22500000000000001</v>
      </c>
      <c r="BO443" s="55">
        <f>Assumptions!BO124</f>
        <v>0.22500000000000001</v>
      </c>
      <c r="BP443" s="55">
        <f>Assumptions!BP124</f>
        <v>0.22500000000000001</v>
      </c>
      <c r="BQ443" s="55">
        <f>Assumptions!BQ124</f>
        <v>0.22500000000000001</v>
      </c>
      <c r="BR443" s="55">
        <f>Assumptions!BR124</f>
        <v>0.22500000000000001</v>
      </c>
      <c r="BS443" s="55">
        <f>Assumptions!BS124</f>
        <v>0.3</v>
      </c>
      <c r="BT443" s="55">
        <f>Assumptions!BT124</f>
        <v>0.3</v>
      </c>
      <c r="BU443" s="55">
        <f>Assumptions!BU124</f>
        <v>0.3</v>
      </c>
      <c r="BV443" s="55">
        <f>Assumptions!BV124</f>
        <v>0.3</v>
      </c>
      <c r="BW443" s="55">
        <f>Assumptions!BW124</f>
        <v>0.3</v>
      </c>
      <c r="BX443" s="55">
        <f>Assumptions!BX124</f>
        <v>0.3</v>
      </c>
      <c r="BY443" s="55">
        <f>Assumptions!BY124</f>
        <v>0.3</v>
      </c>
      <c r="BZ443" s="55">
        <f>Assumptions!BZ124</f>
        <v>0.3</v>
      </c>
      <c r="CA443" s="55">
        <f>Assumptions!CA124</f>
        <v>0.3</v>
      </c>
      <c r="CB443" s="55">
        <f>Assumptions!CB124</f>
        <v>0.3</v>
      </c>
      <c r="CC443" s="55">
        <f>Assumptions!CC124</f>
        <v>0.3</v>
      </c>
      <c r="CD443" s="55">
        <f>Assumptions!CD124</f>
        <v>0.3</v>
      </c>
      <c r="CE443" s="55">
        <f>Assumptions!CE124</f>
        <v>0.3</v>
      </c>
      <c r="CF443" s="55">
        <f>Assumptions!CF124</f>
        <v>0.3</v>
      </c>
      <c r="CG443" s="55">
        <f>Assumptions!CG124</f>
        <v>0.3</v>
      </c>
      <c r="CH443" s="55">
        <f>Assumptions!CH124</f>
        <v>0.3</v>
      </c>
      <c r="CI443" s="55">
        <f>Assumptions!CI124</f>
        <v>0.3</v>
      </c>
      <c r="CJ443" s="55">
        <f>Assumptions!CJ124</f>
        <v>0.3</v>
      </c>
      <c r="CK443" s="55">
        <f>Assumptions!CK124</f>
        <v>0.3</v>
      </c>
      <c r="CL443" s="55">
        <f>Assumptions!CL124</f>
        <v>0.3</v>
      </c>
      <c r="CM443" s="55">
        <f>Assumptions!CM124</f>
        <v>0.3</v>
      </c>
      <c r="CN443" s="55">
        <f>Assumptions!CN124</f>
        <v>0.3</v>
      </c>
      <c r="CO443" s="55">
        <f>Assumptions!CO124</f>
        <v>0.3</v>
      </c>
      <c r="CP443" s="55">
        <f>Assumptions!CP124</f>
        <v>0.3</v>
      </c>
      <c r="CQ443" s="55">
        <f>Assumptions!CQ124</f>
        <v>0.3</v>
      </c>
      <c r="CR443" s="55">
        <f>Assumptions!CR124</f>
        <v>0.3</v>
      </c>
      <c r="CS443" s="55">
        <f>Assumptions!CS124</f>
        <v>0.3</v>
      </c>
      <c r="CT443" s="55">
        <f>Assumptions!CT124</f>
        <v>0.3</v>
      </c>
      <c r="CU443" s="55">
        <f>Assumptions!CU124</f>
        <v>0.3</v>
      </c>
      <c r="CV443" s="55">
        <f>Assumptions!CV124</f>
        <v>0.3</v>
      </c>
      <c r="CW443" s="55">
        <f>Assumptions!CW124</f>
        <v>0.3</v>
      </c>
      <c r="CX443" s="55">
        <f>Assumptions!CX124</f>
        <v>0.3</v>
      </c>
      <c r="CY443" s="55">
        <f>Assumptions!CY124</f>
        <v>0.3</v>
      </c>
      <c r="CZ443" s="55">
        <f>Assumptions!CZ124</f>
        <v>0.3</v>
      </c>
      <c r="DA443" s="55">
        <f>Assumptions!DA124</f>
        <v>0.3</v>
      </c>
      <c r="DB443" s="55">
        <f>Assumptions!DB124</f>
        <v>0.3</v>
      </c>
      <c r="DC443" s="55">
        <f>Assumptions!DC124</f>
        <v>0.3</v>
      </c>
      <c r="DD443" s="55">
        <f>Assumptions!DD124</f>
        <v>0.3</v>
      </c>
      <c r="DE443" s="1241">
        <f>Assumptions!DE124</f>
        <v>0.3</v>
      </c>
      <c r="DF443" s="55">
        <f>Assumptions!DF124</f>
        <v>0.3</v>
      </c>
      <c r="DG443" s="55">
        <f>Assumptions!DG124</f>
        <v>0.3</v>
      </c>
      <c r="DH443" s="1241">
        <f>Assumptions!DH124</f>
        <v>0.3</v>
      </c>
      <c r="DI443" s="55">
        <f>Assumptions!DI124</f>
        <v>0.3</v>
      </c>
      <c r="DJ443" s="55">
        <f>Assumptions!DJ124</f>
        <v>0.3</v>
      </c>
      <c r="DK443" s="1241">
        <f>Assumptions!DK124</f>
        <v>0.3</v>
      </c>
      <c r="DL443" s="55">
        <f>Assumptions!DL124</f>
        <v>0.3</v>
      </c>
      <c r="DM443" s="55">
        <f>Assumptions!DM124</f>
        <v>0.3</v>
      </c>
      <c r="DN443" s="1241">
        <f>Assumptions!DN124</f>
        <v>0.3</v>
      </c>
      <c r="DO443" s="55">
        <f>Assumptions!DO124</f>
        <v>0.3</v>
      </c>
      <c r="DP443" s="55">
        <f>Assumptions!DP124</f>
        <v>0.3</v>
      </c>
      <c r="DQ443" s="1241">
        <f>Assumptions!DQ124</f>
        <v>0.3</v>
      </c>
      <c r="DR443" s="55">
        <f>Assumptions!DR124</f>
        <v>0.3</v>
      </c>
      <c r="DS443" s="55">
        <f>Assumptions!DS124</f>
        <v>0.3</v>
      </c>
      <c r="DT443" s="1241">
        <f>Assumptions!DT124</f>
        <v>0.3</v>
      </c>
      <c r="DU443" s="55">
        <f>DT443</f>
        <v>0.3</v>
      </c>
      <c r="DV443" s="55">
        <f>DU443</f>
        <v>0.3</v>
      </c>
      <c r="DW443" s="1241">
        <f t="shared" ref="DW443:EL443" si="974">DV443</f>
        <v>0.3</v>
      </c>
      <c r="DX443" s="55">
        <f t="shared" si="974"/>
        <v>0.3</v>
      </c>
      <c r="DY443" s="55">
        <f t="shared" si="974"/>
        <v>0.3</v>
      </c>
      <c r="DZ443" s="1241">
        <f t="shared" si="974"/>
        <v>0.3</v>
      </c>
      <c r="EA443" s="55">
        <f t="shared" si="974"/>
        <v>0.3</v>
      </c>
      <c r="EB443" s="55">
        <f t="shared" si="974"/>
        <v>0.3</v>
      </c>
      <c r="EC443" s="1241">
        <f t="shared" si="974"/>
        <v>0.3</v>
      </c>
      <c r="ED443" s="55">
        <f t="shared" si="974"/>
        <v>0.3</v>
      </c>
      <c r="EE443" s="55">
        <f t="shared" si="974"/>
        <v>0.3</v>
      </c>
      <c r="EF443" s="1241">
        <f t="shared" si="974"/>
        <v>0.3</v>
      </c>
      <c r="EG443" s="55">
        <f t="shared" si="974"/>
        <v>0.3</v>
      </c>
      <c r="EH443" s="55">
        <f t="shared" si="974"/>
        <v>0.3</v>
      </c>
      <c r="EI443" s="1241">
        <f t="shared" si="974"/>
        <v>0.3</v>
      </c>
      <c r="EJ443" s="55">
        <f t="shared" si="974"/>
        <v>0.3</v>
      </c>
      <c r="EK443" s="55">
        <f t="shared" si="974"/>
        <v>0.3</v>
      </c>
      <c r="EL443" s="1241">
        <f t="shared" si="974"/>
        <v>0.3</v>
      </c>
      <c r="EM443" s="1164"/>
      <c r="EN443" s="1164"/>
      <c r="EO443" s="1165"/>
      <c r="EP443" s="1164"/>
      <c r="EQ443" s="1164"/>
      <c r="ER443" s="1165"/>
      <c r="ES443" s="1164"/>
      <c r="ET443" s="1164"/>
      <c r="EU443" s="1165"/>
      <c r="EV443" s="1164"/>
      <c r="EW443" s="1164"/>
      <c r="EX443" s="1165"/>
      <c r="EY443" s="1164"/>
      <c r="EZ443" s="1164"/>
      <c r="FA443" s="1165"/>
      <c r="FD443"/>
      <c r="FE443"/>
      <c r="FF443"/>
      <c r="FG443"/>
      <c r="FH443"/>
      <c r="FI443"/>
      <c r="FJ443" s="33"/>
      <c r="FK443" s="33"/>
      <c r="FL443" s="33"/>
      <c r="FM443" s="33"/>
    </row>
    <row r="444" spans="1:169" s="1161" customFormat="1">
      <c r="A444" s="1462"/>
      <c r="B444" s="1463" t="s">
        <v>691</v>
      </c>
      <c r="D444" s="1161" t="s">
        <v>578</v>
      </c>
      <c r="E444" s="1464"/>
      <c r="F444" s="1464"/>
      <c r="G444" s="1465">
        <f t="shared" ref="G444:AL444" si="975">SUM(G370:G376)</f>
        <v>0</v>
      </c>
      <c r="H444" s="1465">
        <f t="shared" si="975"/>
        <v>0</v>
      </c>
      <c r="I444" s="1465">
        <f t="shared" si="975"/>
        <v>0</v>
      </c>
      <c r="J444" s="1465">
        <f t="shared" si="975"/>
        <v>0</v>
      </c>
      <c r="K444" s="1465">
        <f t="shared" si="975"/>
        <v>0</v>
      </c>
      <c r="L444" s="1465">
        <f t="shared" si="975"/>
        <v>0</v>
      </c>
      <c r="M444" s="1465">
        <f t="shared" si="975"/>
        <v>0</v>
      </c>
      <c r="N444" s="1465">
        <f t="shared" si="975"/>
        <v>0</v>
      </c>
      <c r="O444" s="1465">
        <f t="shared" si="975"/>
        <v>0</v>
      </c>
      <c r="P444" s="1465">
        <f t="shared" si="975"/>
        <v>0</v>
      </c>
      <c r="Q444" s="1465">
        <f t="shared" si="975"/>
        <v>0</v>
      </c>
      <c r="R444" s="1465">
        <f t="shared" si="975"/>
        <v>0</v>
      </c>
      <c r="S444" s="1465">
        <f t="shared" si="975"/>
        <v>0</v>
      </c>
      <c r="T444" s="1465">
        <f t="shared" si="975"/>
        <v>0</v>
      </c>
      <c r="U444" s="1465">
        <f t="shared" si="975"/>
        <v>0</v>
      </c>
      <c r="V444" s="1465">
        <f t="shared" si="975"/>
        <v>0</v>
      </c>
      <c r="W444" s="1465">
        <f t="shared" si="975"/>
        <v>0</v>
      </c>
      <c r="X444" s="1465">
        <f t="shared" si="975"/>
        <v>0</v>
      </c>
      <c r="Y444" s="1465">
        <f t="shared" si="975"/>
        <v>0</v>
      </c>
      <c r="Z444" s="1465">
        <f t="shared" si="975"/>
        <v>0</v>
      </c>
      <c r="AA444" s="1465">
        <f t="shared" si="975"/>
        <v>0</v>
      </c>
      <c r="AB444" s="1465">
        <f t="shared" si="975"/>
        <v>0</v>
      </c>
      <c r="AC444" s="1465">
        <f t="shared" si="975"/>
        <v>0</v>
      </c>
      <c r="AD444" s="1465">
        <f t="shared" si="975"/>
        <v>0</v>
      </c>
      <c r="AE444" s="1465">
        <f t="shared" si="975"/>
        <v>0</v>
      </c>
      <c r="AF444" s="1465">
        <f t="shared" si="975"/>
        <v>0</v>
      </c>
      <c r="AG444" s="1465">
        <f t="shared" si="975"/>
        <v>0</v>
      </c>
      <c r="AH444" s="1465">
        <f t="shared" si="975"/>
        <v>0</v>
      </c>
      <c r="AI444" s="1465">
        <f t="shared" si="975"/>
        <v>0</v>
      </c>
      <c r="AJ444" s="1465">
        <f t="shared" si="975"/>
        <v>0</v>
      </c>
      <c r="AK444" s="1465">
        <f t="shared" si="975"/>
        <v>0</v>
      </c>
      <c r="AL444" s="1465">
        <f t="shared" si="975"/>
        <v>0</v>
      </c>
      <c r="AM444" s="1465">
        <f t="shared" ref="AM444:BF444" si="976">SUM(AM370:AM376)</f>
        <v>0</v>
      </c>
      <c r="AN444" s="1465">
        <f t="shared" si="976"/>
        <v>0</v>
      </c>
      <c r="AO444" s="1465">
        <f t="shared" si="976"/>
        <v>0</v>
      </c>
      <c r="AP444" s="1465">
        <f t="shared" si="976"/>
        <v>0</v>
      </c>
      <c r="AQ444" s="1465">
        <f t="shared" si="976"/>
        <v>0</v>
      </c>
      <c r="AR444" s="1465">
        <f t="shared" si="976"/>
        <v>0</v>
      </c>
      <c r="AS444" s="1465">
        <f t="shared" si="976"/>
        <v>0</v>
      </c>
      <c r="AT444" s="1465">
        <f t="shared" si="976"/>
        <v>0</v>
      </c>
      <c r="AU444" s="1465">
        <f t="shared" si="976"/>
        <v>0</v>
      </c>
      <c r="AV444" s="1465">
        <f>(SUM(AV370:AV376))</f>
        <v>1.1760000000000002</v>
      </c>
      <c r="AW444" s="1465">
        <f t="shared" si="976"/>
        <v>1.1760000000000002</v>
      </c>
      <c r="AX444" s="1465">
        <f t="shared" si="976"/>
        <v>0.93380200000000002</v>
      </c>
      <c r="AY444" s="1465">
        <f t="shared" si="976"/>
        <v>52.268999999999998</v>
      </c>
      <c r="AZ444" s="1465">
        <f t="shared" si="976"/>
        <v>53.202801999999998</v>
      </c>
      <c r="BA444" s="1465">
        <f t="shared" si="976"/>
        <v>1.7004239999999999</v>
      </c>
      <c r="BB444" s="1465">
        <f t="shared" si="976"/>
        <v>0.56650800000000001</v>
      </c>
      <c r="BC444" s="1465">
        <f t="shared" si="976"/>
        <v>2.2669319999999997</v>
      </c>
      <c r="BD444" s="1465">
        <f t="shared" si="976"/>
        <v>24.606190999999999</v>
      </c>
      <c r="BE444" s="1465">
        <f t="shared" si="976"/>
        <v>0</v>
      </c>
      <c r="BF444" s="1465">
        <f t="shared" si="976"/>
        <v>24.606190999999999</v>
      </c>
      <c r="BG444" s="1465">
        <f>1197.409+50.149</f>
        <v>1247.558</v>
      </c>
      <c r="BH444" s="1465">
        <f>-39.939+42.38</f>
        <v>2.4410000000000025</v>
      </c>
      <c r="BI444" s="1465">
        <f>-45.592+92.529</f>
        <v>46.936999999999998</v>
      </c>
      <c r="BJ444" s="1465">
        <f>391.332+42.1</f>
        <v>433.43200000000002</v>
      </c>
      <c r="BK444" s="1465">
        <f>58.817044+54.07</f>
        <v>112.887044</v>
      </c>
      <c r="BL444" s="1465">
        <f>391.061044+101.188+54.07</f>
        <v>546.31904399999996</v>
      </c>
      <c r="BM444" s="1465">
        <f>48.196004+75.478+35.449996</f>
        <v>159.124</v>
      </c>
      <c r="BN444" s="1465">
        <f>-361.378004+70.243+10.89-46.339996</f>
        <v>-326.58499999999998</v>
      </c>
      <c r="BO444" s="1465">
        <f>-313.182+145.721</f>
        <v>-167.46100000000001</v>
      </c>
      <c r="BP444" s="1465">
        <f>-429.737+71.233</f>
        <v>-358.50400000000002</v>
      </c>
      <c r="BQ444" s="1465">
        <f>12.940862+73.563138+223.005-189.958</f>
        <v>119.55100000000002</v>
      </c>
      <c r="BR444" s="1465">
        <f>-416.796138+144.796138+223.005-189.958</f>
        <v>-238.953</v>
      </c>
      <c r="BS444" s="1466">
        <v>22.609000000000002</v>
      </c>
      <c r="BT444" s="1465">
        <f>55.88-41.605</f>
        <v>14.275000000000006</v>
      </c>
      <c r="BU444" s="1465">
        <f>BS444+BT444</f>
        <v>36.884000000000007</v>
      </c>
      <c r="BV444" s="1465"/>
      <c r="BW444" s="1465"/>
      <c r="BX444" s="1466">
        <v>2359.9259999999999</v>
      </c>
      <c r="BY444" s="1465"/>
      <c r="BZ444" s="1465"/>
      <c r="CA444" s="1466">
        <v>435.80900000000003</v>
      </c>
      <c r="CB444" s="1465"/>
      <c r="CC444" s="1465"/>
      <c r="CD444" s="1466">
        <v>-1080.806</v>
      </c>
      <c r="CE444" s="1466">
        <v>0</v>
      </c>
      <c r="CF444" s="1466">
        <v>0</v>
      </c>
      <c r="CG444" s="1466">
        <v>0</v>
      </c>
      <c r="CH444" s="1465">
        <f>3606.688-21.039</f>
        <v>3585.6489999999999</v>
      </c>
      <c r="CI444" s="1465">
        <f>-166.088-20.261-47.7</f>
        <v>-234.04899999999998</v>
      </c>
      <c r="CJ444" s="1465">
        <f>-897.036-41.3-47.7</f>
        <v>-986.03599999999994</v>
      </c>
      <c r="CK444" s="1467">
        <f>-1947.9+47.7</f>
        <v>-1900.2</v>
      </c>
      <c r="CL444" s="1467">
        <f>-339.4</f>
        <v>-339.4</v>
      </c>
      <c r="CM444" s="1467">
        <f>-2287.3+47.7</f>
        <v>-2239.6000000000004</v>
      </c>
      <c r="CN444" s="1466">
        <v>-181</v>
      </c>
      <c r="CO444" s="1465">
        <f>182-790.3</f>
        <v>-608.29999999999995</v>
      </c>
      <c r="CP444" s="1465">
        <f>CP205+22.8</f>
        <v>-789.30000000000007</v>
      </c>
      <c r="CQ444" s="1466">
        <v>-165</v>
      </c>
      <c r="CR444" s="1465">
        <f>165.7-826.7-22.1+21.3</f>
        <v>-661.80000000000007</v>
      </c>
      <c r="CS444" s="1467">
        <f>+-826-22.2+21.3</f>
        <v>-826.90000000000009</v>
      </c>
      <c r="CT444" s="1465">
        <f>CT205</f>
        <v>-160.6</v>
      </c>
      <c r="CU444" s="1467">
        <f>106.3-667.8</f>
        <v>-561.5</v>
      </c>
      <c r="CV444" s="1465">
        <f>-667.8-56.7</f>
        <v>-724.5</v>
      </c>
      <c r="CW444" s="1465">
        <f>CW205+54.8</f>
        <v>-50.000000000000014</v>
      </c>
      <c r="CX444" s="1465">
        <f>CX205-54.8+56.485454</f>
        <v>-195.71454599999998</v>
      </c>
      <c r="CY444" s="1465">
        <f>CY205+56.485454</f>
        <v>-245.71454599999998</v>
      </c>
      <c r="CZ444" s="1465">
        <f>CZ205+46.1</f>
        <v>-85.9</v>
      </c>
      <c r="DA444" s="1465"/>
      <c r="DB444" s="1465">
        <f>-70.6</f>
        <v>-70.599999999999994</v>
      </c>
      <c r="DC444" s="1465">
        <v>39.200000000000003</v>
      </c>
      <c r="DD444" s="1465"/>
      <c r="DE444" s="1468">
        <v>41.7</v>
      </c>
      <c r="DF444" s="1465"/>
      <c r="DG444" s="1465"/>
      <c r="DH444" s="1468">
        <v>-37.409999999999997</v>
      </c>
      <c r="DI444" s="1465">
        <f>DI205</f>
        <v>38.200000000000003</v>
      </c>
      <c r="DJ444" s="1465">
        <f>DJ205+96</f>
        <v>114.19999999999999</v>
      </c>
      <c r="DK444" s="1468">
        <f>DI444+DJ444</f>
        <v>152.39999999999998</v>
      </c>
      <c r="DL444" s="1465">
        <f>DL205</f>
        <v>4458.1000000000004</v>
      </c>
      <c r="DM444" s="1465">
        <f>DM205+82.2-2144.7+2077.4-126</f>
        <v>419.19999999999959</v>
      </c>
      <c r="DN444" s="1468">
        <f>102+2843.7+2077.4-126</f>
        <v>4897.1000000000004</v>
      </c>
      <c r="DO444" s="1161">
        <v>-173.06905499999999</v>
      </c>
      <c r="DP444" s="1161">
        <f>173.069055-263.21416</f>
        <v>-90.145105000000001</v>
      </c>
      <c r="DQ444" s="1469">
        <v>-263.21415999999999</v>
      </c>
      <c r="DS444" s="1161">
        <v>-325.79581100000001</v>
      </c>
      <c r="DT444" s="1469">
        <v>-345</v>
      </c>
      <c r="DW444" s="1469"/>
      <c r="DZ444" s="1469"/>
      <c r="EC444" s="1469"/>
      <c r="EF444" s="1469"/>
      <c r="EI444" s="1469"/>
      <c r="EL444" s="1469"/>
      <c r="EO444" s="1469"/>
      <c r="ER444" s="1469"/>
      <c r="EU444" s="1469"/>
      <c r="EX444" s="1469"/>
      <c r="FA444" s="1469"/>
      <c r="FD444"/>
      <c r="FE444"/>
      <c r="FF444"/>
      <c r="FG444"/>
      <c r="FH444"/>
      <c r="FI444"/>
    </row>
    <row r="445" spans="1:169" s="33" customFormat="1">
      <c r="A445" s="58"/>
      <c r="B445" s="60" t="s">
        <v>320</v>
      </c>
      <c r="C445" s="60"/>
      <c r="E445" s="34"/>
      <c r="F445" s="34"/>
      <c r="G445" s="1079">
        <v>0</v>
      </c>
      <c r="H445" s="1079">
        <v>0</v>
      </c>
      <c r="I445" s="1079">
        <v>0</v>
      </c>
      <c r="J445" s="1079">
        <v>0</v>
      </c>
      <c r="K445" s="1079">
        <v>0</v>
      </c>
      <c r="L445" s="1079">
        <v>0</v>
      </c>
      <c r="M445" s="1079">
        <v>0</v>
      </c>
      <c r="N445" s="1079">
        <v>0</v>
      </c>
      <c r="O445" s="34">
        <f t="shared" ref="O445:AW445" si="977">N445</f>
        <v>0</v>
      </c>
      <c r="P445" s="34">
        <f t="shared" si="977"/>
        <v>0</v>
      </c>
      <c r="Q445" s="34">
        <f t="shared" si="977"/>
        <v>0</v>
      </c>
      <c r="R445" s="34">
        <f t="shared" si="977"/>
        <v>0</v>
      </c>
      <c r="S445" s="34">
        <f t="shared" si="977"/>
        <v>0</v>
      </c>
      <c r="T445" s="34">
        <f t="shared" si="977"/>
        <v>0</v>
      </c>
      <c r="U445" s="34">
        <f t="shared" si="977"/>
        <v>0</v>
      </c>
      <c r="V445" s="34">
        <f t="shared" si="977"/>
        <v>0</v>
      </c>
      <c r="W445" s="34">
        <f t="shared" si="977"/>
        <v>0</v>
      </c>
      <c r="X445" s="34">
        <f t="shared" si="977"/>
        <v>0</v>
      </c>
      <c r="Y445" s="34">
        <f t="shared" si="977"/>
        <v>0</v>
      </c>
      <c r="Z445" s="34">
        <f t="shared" si="977"/>
        <v>0</v>
      </c>
      <c r="AA445" s="34">
        <f t="shared" si="977"/>
        <v>0</v>
      </c>
      <c r="AB445" s="34">
        <f t="shared" si="977"/>
        <v>0</v>
      </c>
      <c r="AC445" s="34">
        <f t="shared" si="977"/>
        <v>0</v>
      </c>
      <c r="AD445" s="34">
        <f t="shared" si="977"/>
        <v>0</v>
      </c>
      <c r="AE445" s="34">
        <f t="shared" si="977"/>
        <v>0</v>
      </c>
      <c r="AF445" s="34">
        <f t="shared" si="977"/>
        <v>0</v>
      </c>
      <c r="AG445" s="34">
        <f t="shared" si="977"/>
        <v>0</v>
      </c>
      <c r="AH445" s="34">
        <f t="shared" si="977"/>
        <v>0</v>
      </c>
      <c r="AI445" s="34">
        <f t="shared" si="977"/>
        <v>0</v>
      </c>
      <c r="AJ445" s="34">
        <f t="shared" si="977"/>
        <v>0</v>
      </c>
      <c r="AK445" s="34">
        <f t="shared" si="977"/>
        <v>0</v>
      </c>
      <c r="AL445" s="34">
        <f t="shared" si="977"/>
        <v>0</v>
      </c>
      <c r="AM445" s="34">
        <f t="shared" si="977"/>
        <v>0</v>
      </c>
      <c r="AN445" s="34">
        <f t="shared" si="977"/>
        <v>0</v>
      </c>
      <c r="AO445" s="34">
        <f t="shared" si="977"/>
        <v>0</v>
      </c>
      <c r="AP445" s="34">
        <f t="shared" si="977"/>
        <v>0</v>
      </c>
      <c r="AQ445" s="34">
        <f t="shared" si="977"/>
        <v>0</v>
      </c>
      <c r="AR445" s="34">
        <f t="shared" si="977"/>
        <v>0</v>
      </c>
      <c r="AS445" s="34">
        <f t="shared" si="977"/>
        <v>0</v>
      </c>
      <c r="AT445" s="34">
        <f t="shared" si="977"/>
        <v>0</v>
      </c>
      <c r="AU445" s="34">
        <f t="shared" si="977"/>
        <v>0</v>
      </c>
      <c r="AV445" s="34">
        <f t="shared" si="977"/>
        <v>0</v>
      </c>
      <c r="AW445" s="34">
        <f t="shared" si="977"/>
        <v>0</v>
      </c>
      <c r="AX445" s="69">
        <f>AX251+AX71</f>
        <v>0</v>
      </c>
      <c r="AY445" s="69">
        <f>AY251+AY71</f>
        <v>0</v>
      </c>
      <c r="AZ445" s="69">
        <f>AZ251+AZ71</f>
        <v>0</v>
      </c>
      <c r="BA445" s="1470">
        <v>0</v>
      </c>
      <c r="BB445" s="1470">
        <v>0</v>
      </c>
      <c r="BC445" s="69">
        <f>BB445</f>
        <v>0</v>
      </c>
      <c r="BD445" s="69">
        <f t="shared" ref="BD445:BK445" si="978">BC445</f>
        <v>0</v>
      </c>
      <c r="BE445" s="69">
        <f t="shared" si="978"/>
        <v>0</v>
      </c>
      <c r="BF445" s="69">
        <f t="shared" si="978"/>
        <v>0</v>
      </c>
      <c r="BG445" s="69">
        <f t="shared" si="978"/>
        <v>0</v>
      </c>
      <c r="BH445" s="69">
        <f t="shared" si="978"/>
        <v>0</v>
      </c>
      <c r="BI445" s="69">
        <f t="shared" si="978"/>
        <v>0</v>
      </c>
      <c r="BJ445" s="69">
        <f t="shared" si="978"/>
        <v>0</v>
      </c>
      <c r="BK445" s="69">
        <f t="shared" si="978"/>
        <v>0</v>
      </c>
      <c r="BL445" s="69">
        <f>BK445</f>
        <v>0</v>
      </c>
      <c r="BM445" s="69">
        <f t="shared" ref="BM445:DN445" si="979">BL445</f>
        <v>0</v>
      </c>
      <c r="BN445" s="34">
        <f t="shared" si="979"/>
        <v>0</v>
      </c>
      <c r="BO445" s="34">
        <f t="shared" si="979"/>
        <v>0</v>
      </c>
      <c r="BP445" s="34">
        <f t="shared" si="979"/>
        <v>0</v>
      </c>
      <c r="BQ445" s="34">
        <f t="shared" si="979"/>
        <v>0</v>
      </c>
      <c r="BR445" s="34">
        <f t="shared" si="979"/>
        <v>0</v>
      </c>
      <c r="BS445" s="34">
        <f t="shared" si="979"/>
        <v>0</v>
      </c>
      <c r="BT445" s="34">
        <f t="shared" si="979"/>
        <v>0</v>
      </c>
      <c r="BU445" s="34">
        <f t="shared" si="979"/>
        <v>0</v>
      </c>
      <c r="BV445" s="34">
        <f t="shared" si="979"/>
        <v>0</v>
      </c>
      <c r="BW445" s="34">
        <f t="shared" si="979"/>
        <v>0</v>
      </c>
      <c r="BX445" s="34">
        <f t="shared" si="979"/>
        <v>0</v>
      </c>
      <c r="BY445" s="34">
        <f t="shared" si="979"/>
        <v>0</v>
      </c>
      <c r="BZ445" s="34">
        <f t="shared" si="979"/>
        <v>0</v>
      </c>
      <c r="CA445" s="34">
        <f t="shared" si="979"/>
        <v>0</v>
      </c>
      <c r="CB445" s="34">
        <f t="shared" si="979"/>
        <v>0</v>
      </c>
      <c r="CC445" s="34">
        <f t="shared" si="979"/>
        <v>0</v>
      </c>
      <c r="CD445" s="34">
        <f t="shared" si="979"/>
        <v>0</v>
      </c>
      <c r="CE445" s="34">
        <f t="shared" si="979"/>
        <v>0</v>
      </c>
      <c r="CF445" s="34">
        <f t="shared" si="979"/>
        <v>0</v>
      </c>
      <c r="CG445" s="34">
        <f t="shared" si="979"/>
        <v>0</v>
      </c>
      <c r="CH445" s="34">
        <f t="shared" si="979"/>
        <v>0</v>
      </c>
      <c r="CI445" s="34">
        <f t="shared" si="979"/>
        <v>0</v>
      </c>
      <c r="CJ445" s="34">
        <f t="shared" si="979"/>
        <v>0</v>
      </c>
      <c r="CK445" s="34">
        <f t="shared" si="979"/>
        <v>0</v>
      </c>
      <c r="CL445" s="34">
        <f t="shared" si="979"/>
        <v>0</v>
      </c>
      <c r="CM445" s="34">
        <f t="shared" si="979"/>
        <v>0</v>
      </c>
      <c r="CN445" s="34">
        <f t="shared" si="979"/>
        <v>0</v>
      </c>
      <c r="CO445" s="34">
        <f t="shared" si="979"/>
        <v>0</v>
      </c>
      <c r="CP445" s="34">
        <f t="shared" si="979"/>
        <v>0</v>
      </c>
      <c r="CQ445" s="34">
        <f t="shared" si="979"/>
        <v>0</v>
      </c>
      <c r="CR445" s="34">
        <f t="shared" si="979"/>
        <v>0</v>
      </c>
      <c r="CS445" s="34">
        <f t="shared" si="979"/>
        <v>0</v>
      </c>
      <c r="CT445" s="34"/>
      <c r="CU445" s="34">
        <f t="shared" si="979"/>
        <v>0</v>
      </c>
      <c r="CV445" s="34">
        <f t="shared" si="979"/>
        <v>0</v>
      </c>
      <c r="CW445" s="34">
        <f t="shared" si="979"/>
        <v>0</v>
      </c>
      <c r="CX445" s="34">
        <f t="shared" si="979"/>
        <v>0</v>
      </c>
      <c r="CY445" s="34">
        <f t="shared" si="979"/>
        <v>0</v>
      </c>
      <c r="CZ445" s="34">
        <f t="shared" si="979"/>
        <v>0</v>
      </c>
      <c r="DA445" s="34">
        <f t="shared" si="979"/>
        <v>0</v>
      </c>
      <c r="DB445" s="34">
        <v>0</v>
      </c>
      <c r="DC445" s="34">
        <f t="shared" si="979"/>
        <v>0</v>
      </c>
      <c r="DD445" s="34">
        <f t="shared" si="979"/>
        <v>0</v>
      </c>
      <c r="DE445" s="1471">
        <f t="shared" si="979"/>
        <v>0</v>
      </c>
      <c r="DF445" s="34">
        <f t="shared" si="979"/>
        <v>0</v>
      </c>
      <c r="DG445" s="34">
        <f t="shared" si="979"/>
        <v>0</v>
      </c>
      <c r="DH445" s="1471">
        <f t="shared" si="979"/>
        <v>0</v>
      </c>
      <c r="DI445" s="34">
        <f t="shared" si="979"/>
        <v>0</v>
      </c>
      <c r="DJ445" s="34">
        <f t="shared" si="979"/>
        <v>0</v>
      </c>
      <c r="DK445" s="1471">
        <f t="shared" si="979"/>
        <v>0</v>
      </c>
      <c r="DL445" s="34">
        <f t="shared" si="979"/>
        <v>0</v>
      </c>
      <c r="DM445" s="34">
        <f t="shared" si="979"/>
        <v>0</v>
      </c>
      <c r="DN445" s="1471">
        <f t="shared" si="979"/>
        <v>0</v>
      </c>
      <c r="DO445" s="34">
        <f t="shared" ref="DO445:DQ447" si="980">DN445</f>
        <v>0</v>
      </c>
      <c r="DP445" s="34">
        <f t="shared" si="980"/>
        <v>0</v>
      </c>
      <c r="DQ445" s="1471">
        <f t="shared" si="980"/>
        <v>0</v>
      </c>
      <c r="DR445" s="34">
        <f t="shared" ref="DR445:DT447" si="981">DQ445</f>
        <v>0</v>
      </c>
      <c r="DS445" s="34">
        <f t="shared" si="981"/>
        <v>0</v>
      </c>
      <c r="DT445" s="1471">
        <f t="shared" si="981"/>
        <v>0</v>
      </c>
      <c r="DW445" s="1472"/>
      <c r="DZ445" s="1472"/>
      <c r="EC445" s="1472"/>
      <c r="EF445" s="1472"/>
      <c r="EI445" s="1472"/>
      <c r="EL445" s="1472"/>
      <c r="EO445" s="1472"/>
      <c r="ER445" s="1472"/>
      <c r="EU445" s="1472"/>
      <c r="EX445" s="1472"/>
      <c r="FA445" s="1472"/>
      <c r="FD445"/>
      <c r="FE445"/>
      <c r="FF445"/>
      <c r="FG445"/>
      <c r="FH445"/>
      <c r="FI445"/>
    </row>
    <row r="446" spans="1:169" s="33" customFormat="1">
      <c r="A446" s="58"/>
      <c r="B446" s="54" t="s">
        <v>201</v>
      </c>
      <c r="E446" s="34"/>
      <c r="F446" s="34"/>
      <c r="H446" s="34"/>
      <c r="I446" s="34"/>
      <c r="K446" s="34"/>
      <c r="L446" s="34"/>
      <c r="N446" s="34"/>
      <c r="O446" s="34"/>
      <c r="P446" s="34"/>
      <c r="Q446" s="34"/>
      <c r="R446" s="34"/>
      <c r="T446" s="34"/>
      <c r="U446" s="34"/>
      <c r="W446" s="34"/>
      <c r="X446" s="34"/>
      <c r="Z446" s="34"/>
      <c r="AA446" s="34"/>
      <c r="AC446" s="34"/>
      <c r="AD446" s="34"/>
      <c r="AF446" s="34"/>
      <c r="AG446" s="34"/>
      <c r="AI446" s="34"/>
      <c r="AJ446" s="34"/>
      <c r="AL446" s="34"/>
      <c r="AM446" s="34"/>
      <c r="AO446" s="34"/>
      <c r="AP446" s="34"/>
      <c r="AR446" s="34"/>
      <c r="AS446" s="34"/>
      <c r="AU446" s="34"/>
      <c r="AV446" s="34"/>
      <c r="AX446" s="1060"/>
      <c r="AY446" s="1060"/>
      <c r="AZ446" s="1060"/>
      <c r="BA446" s="1060"/>
      <c r="BB446" s="1060"/>
      <c r="BC446" s="1060"/>
      <c r="BD446" s="1060"/>
      <c r="BE446" s="1060"/>
      <c r="BF446" s="1060"/>
      <c r="BG446" s="1060"/>
      <c r="BH446" s="1060"/>
      <c r="BI446" s="1060"/>
      <c r="BJ446" s="1060"/>
      <c r="BK446" s="1060"/>
      <c r="BL446" s="1060"/>
      <c r="BM446" s="1060"/>
      <c r="BN446" s="1060"/>
      <c r="BO446" s="1060"/>
      <c r="BP446" s="1060"/>
      <c r="BQ446" s="1060"/>
      <c r="BR446" s="1060"/>
      <c r="BS446" s="1060"/>
      <c r="BT446" s="1060"/>
      <c r="BU446" s="1060"/>
      <c r="BV446" s="1473">
        <v>0.05</v>
      </c>
      <c r="BW446" s="1474">
        <f>BV446</f>
        <v>0.05</v>
      </c>
      <c r="BX446" s="1474">
        <f t="shared" ref="BX446:DN449" si="982">BW446</f>
        <v>0.05</v>
      </c>
      <c r="BY446" s="1474">
        <f t="shared" si="982"/>
        <v>0.05</v>
      </c>
      <c r="BZ446" s="1474">
        <f t="shared" si="982"/>
        <v>0.05</v>
      </c>
      <c r="CA446" s="1474">
        <f t="shared" si="982"/>
        <v>0.05</v>
      </c>
      <c r="CB446" s="1474">
        <f t="shared" si="982"/>
        <v>0.05</v>
      </c>
      <c r="CC446" s="1474">
        <f t="shared" si="982"/>
        <v>0.05</v>
      </c>
      <c r="CD446" s="1474">
        <f t="shared" si="982"/>
        <v>0.05</v>
      </c>
      <c r="CE446" s="1474">
        <f t="shared" si="982"/>
        <v>0.05</v>
      </c>
      <c r="CF446" s="1474">
        <f t="shared" si="982"/>
        <v>0.05</v>
      </c>
      <c r="CG446" s="1474">
        <f t="shared" si="982"/>
        <v>0.05</v>
      </c>
      <c r="CH446" s="1474">
        <f t="shared" si="982"/>
        <v>0.05</v>
      </c>
      <c r="CI446" s="1474">
        <f t="shared" si="982"/>
        <v>0.05</v>
      </c>
      <c r="CJ446" s="1474">
        <f t="shared" si="982"/>
        <v>0.05</v>
      </c>
      <c r="CK446" s="1474">
        <f t="shared" si="982"/>
        <v>0.05</v>
      </c>
      <c r="CL446" s="1474">
        <f t="shared" si="982"/>
        <v>0.05</v>
      </c>
      <c r="CM446" s="1474">
        <f t="shared" si="982"/>
        <v>0.05</v>
      </c>
      <c r="CN446" s="1474">
        <f t="shared" si="982"/>
        <v>0.05</v>
      </c>
      <c r="CO446" s="1474">
        <f t="shared" si="982"/>
        <v>0.05</v>
      </c>
      <c r="CP446" s="1474">
        <f t="shared" si="982"/>
        <v>0.05</v>
      </c>
      <c r="CQ446" s="1474">
        <f t="shared" si="982"/>
        <v>0.05</v>
      </c>
      <c r="CR446" s="1474">
        <f t="shared" si="982"/>
        <v>0.05</v>
      </c>
      <c r="CS446" s="1474">
        <f t="shared" si="982"/>
        <v>0.05</v>
      </c>
      <c r="CT446" s="1474">
        <f t="shared" si="982"/>
        <v>0.05</v>
      </c>
      <c r="CU446" s="1474">
        <f t="shared" si="982"/>
        <v>0.05</v>
      </c>
      <c r="CV446" s="1474">
        <f t="shared" si="982"/>
        <v>0.05</v>
      </c>
      <c r="CW446" s="1474">
        <f t="shared" si="982"/>
        <v>0.05</v>
      </c>
      <c r="CX446" s="1474">
        <f t="shared" si="982"/>
        <v>0.05</v>
      </c>
      <c r="CY446" s="1474">
        <f t="shared" si="982"/>
        <v>0.05</v>
      </c>
      <c r="CZ446" s="1474">
        <f t="shared" si="982"/>
        <v>0.05</v>
      </c>
      <c r="DA446" s="1474">
        <f t="shared" si="982"/>
        <v>0.05</v>
      </c>
      <c r="DB446" s="1474">
        <f t="shared" si="982"/>
        <v>0.05</v>
      </c>
      <c r="DC446" s="1474">
        <f t="shared" si="982"/>
        <v>0.05</v>
      </c>
      <c r="DD446" s="1474">
        <f t="shared" si="982"/>
        <v>0.05</v>
      </c>
      <c r="DE446" s="65">
        <f t="shared" si="982"/>
        <v>0.05</v>
      </c>
      <c r="DF446" s="1474">
        <f t="shared" si="982"/>
        <v>0.05</v>
      </c>
      <c r="DG446" s="1474">
        <f t="shared" si="982"/>
        <v>0.05</v>
      </c>
      <c r="DH446" s="65">
        <f t="shared" si="982"/>
        <v>0.05</v>
      </c>
      <c r="DI446" s="1474">
        <f t="shared" si="982"/>
        <v>0.05</v>
      </c>
      <c r="DJ446" s="1474">
        <f t="shared" si="982"/>
        <v>0.05</v>
      </c>
      <c r="DK446" s="65">
        <f t="shared" si="982"/>
        <v>0.05</v>
      </c>
      <c r="DL446" s="1474">
        <f t="shared" si="982"/>
        <v>0.05</v>
      </c>
      <c r="DM446" s="1474">
        <f t="shared" si="982"/>
        <v>0.05</v>
      </c>
      <c r="DN446" s="65">
        <f t="shared" si="982"/>
        <v>0.05</v>
      </c>
      <c r="DO446" s="1474">
        <f t="shared" si="980"/>
        <v>0.05</v>
      </c>
      <c r="DP446" s="1474">
        <f t="shared" si="980"/>
        <v>0.05</v>
      </c>
      <c r="DQ446" s="65">
        <f t="shared" si="980"/>
        <v>0.05</v>
      </c>
      <c r="DR446" s="1474">
        <f t="shared" si="981"/>
        <v>0.05</v>
      </c>
      <c r="DS446" s="1474">
        <f t="shared" si="981"/>
        <v>0.05</v>
      </c>
      <c r="DT446" s="65">
        <f t="shared" si="981"/>
        <v>0.05</v>
      </c>
      <c r="DU446" s="1474">
        <f>DT446</f>
        <v>0.05</v>
      </c>
      <c r="DV446" s="1474">
        <f>DU446</f>
        <v>0.05</v>
      </c>
      <c r="DW446" s="65">
        <f t="shared" ref="DW446:DW447" si="983">DV446</f>
        <v>0.05</v>
      </c>
      <c r="DX446" s="1475"/>
      <c r="DZ446" s="1472"/>
      <c r="EA446" s="1475"/>
      <c r="EC446" s="1472"/>
      <c r="ED446" s="1475"/>
      <c r="EF446" s="1472"/>
      <c r="EG446" s="1475"/>
      <c r="EI446" s="1472"/>
      <c r="EJ446" s="1475"/>
      <c r="EL446" s="1472"/>
      <c r="EM446" s="1475"/>
      <c r="EO446" s="1472"/>
      <c r="EP446" s="1475"/>
      <c r="ER446" s="1472"/>
      <c r="ES446" s="1475"/>
      <c r="EU446" s="1472"/>
      <c r="EV446" s="1475"/>
      <c r="EX446" s="1472"/>
      <c r="EY446" s="1475"/>
      <c r="FA446" s="1472"/>
      <c r="FD446"/>
      <c r="FE446"/>
      <c r="FF446"/>
      <c r="FG446"/>
      <c r="FH446"/>
      <c r="FI446"/>
    </row>
    <row r="447" spans="1:169" s="33" customFormat="1">
      <c r="A447" s="58"/>
      <c r="B447" s="54" t="s">
        <v>202</v>
      </c>
      <c r="E447" s="34"/>
      <c r="F447" s="34"/>
      <c r="H447" s="34"/>
      <c r="I447" s="34"/>
      <c r="K447" s="34"/>
      <c r="L447" s="34"/>
      <c r="N447" s="34"/>
      <c r="O447" s="34"/>
      <c r="P447" s="34"/>
      <c r="Q447" s="34"/>
      <c r="R447" s="34"/>
      <c r="T447" s="34"/>
      <c r="U447" s="34"/>
      <c r="W447" s="34"/>
      <c r="X447" s="34"/>
      <c r="Z447" s="34"/>
      <c r="AA447" s="34"/>
      <c r="AC447" s="34"/>
      <c r="AD447" s="34"/>
      <c r="AF447" s="34"/>
      <c r="AG447" s="34"/>
      <c r="AI447" s="34"/>
      <c r="AJ447" s="34"/>
      <c r="AL447" s="34"/>
      <c r="AM447" s="34"/>
      <c r="AO447" s="34"/>
      <c r="AP447" s="34"/>
      <c r="AR447" s="34"/>
      <c r="AS447" s="34"/>
      <c r="AU447" s="34"/>
      <c r="AV447" s="34"/>
      <c r="AX447" s="34"/>
      <c r="AY447" s="34"/>
      <c r="AZ447" s="34"/>
      <c r="BA447" s="34"/>
      <c r="BB447" s="34"/>
      <c r="BC447" s="34"/>
      <c r="BD447" s="34"/>
      <c r="BE447" s="34"/>
      <c r="BF447" s="34"/>
      <c r="BG447" s="34"/>
      <c r="BH447" s="34"/>
      <c r="BI447" s="34"/>
      <c r="BJ447" s="34"/>
      <c r="BK447" s="34"/>
      <c r="BL447" s="34"/>
      <c r="BM447" s="34"/>
      <c r="BN447" s="34"/>
      <c r="BO447" s="34"/>
      <c r="BP447" s="34"/>
      <c r="BQ447" s="34"/>
      <c r="BR447" s="34"/>
      <c r="BS447" s="34"/>
      <c r="BT447" s="34"/>
      <c r="BU447" s="34"/>
      <c r="BV447" s="1476">
        <v>4.2500000000000003E-2</v>
      </c>
      <c r="BW447" s="1474">
        <f>BV447</f>
        <v>4.2500000000000003E-2</v>
      </c>
      <c r="BX447" s="1474">
        <f t="shared" ref="BX447:CL447" si="984">BW447</f>
        <v>4.2500000000000003E-2</v>
      </c>
      <c r="BY447" s="1474">
        <f t="shared" si="984"/>
        <v>4.2500000000000003E-2</v>
      </c>
      <c r="BZ447" s="1474">
        <f t="shared" si="984"/>
        <v>4.2500000000000003E-2</v>
      </c>
      <c r="CA447" s="1474">
        <f t="shared" si="984"/>
        <v>4.2500000000000003E-2</v>
      </c>
      <c r="CB447" s="1474">
        <f t="shared" si="984"/>
        <v>4.2500000000000003E-2</v>
      </c>
      <c r="CC447" s="1474">
        <f t="shared" si="984"/>
        <v>4.2500000000000003E-2</v>
      </c>
      <c r="CD447" s="1474">
        <f t="shared" si="984"/>
        <v>4.2500000000000003E-2</v>
      </c>
      <c r="CE447" s="1474">
        <f t="shared" si="984"/>
        <v>4.2500000000000003E-2</v>
      </c>
      <c r="CF447" s="1474">
        <f t="shared" si="984"/>
        <v>4.2500000000000003E-2</v>
      </c>
      <c r="CG447" s="1474">
        <f t="shared" si="984"/>
        <v>4.2500000000000003E-2</v>
      </c>
      <c r="CH447" s="1474">
        <f t="shared" si="984"/>
        <v>4.2500000000000003E-2</v>
      </c>
      <c r="CI447" s="1474">
        <f t="shared" si="984"/>
        <v>4.2500000000000003E-2</v>
      </c>
      <c r="CJ447" s="1474">
        <f t="shared" si="984"/>
        <v>4.2500000000000003E-2</v>
      </c>
      <c r="CK447" s="1474">
        <f t="shared" si="984"/>
        <v>4.2500000000000003E-2</v>
      </c>
      <c r="CL447" s="1474">
        <f t="shared" si="984"/>
        <v>4.2500000000000003E-2</v>
      </c>
      <c r="CM447" s="1474">
        <f t="shared" si="982"/>
        <v>4.2500000000000003E-2</v>
      </c>
      <c r="CN447" s="1474">
        <f t="shared" si="982"/>
        <v>4.2500000000000003E-2</v>
      </c>
      <c r="CO447" s="1474">
        <f t="shared" si="982"/>
        <v>4.2500000000000003E-2</v>
      </c>
      <c r="CP447" s="1474">
        <f t="shared" si="982"/>
        <v>4.2500000000000003E-2</v>
      </c>
      <c r="CQ447" s="1474">
        <f t="shared" si="982"/>
        <v>4.2500000000000003E-2</v>
      </c>
      <c r="CR447" s="1474">
        <f t="shared" si="982"/>
        <v>4.2500000000000003E-2</v>
      </c>
      <c r="CS447" s="1474">
        <f t="shared" si="982"/>
        <v>4.2500000000000003E-2</v>
      </c>
      <c r="CT447" s="1474">
        <f t="shared" si="982"/>
        <v>4.2500000000000003E-2</v>
      </c>
      <c r="CU447" s="1474">
        <f t="shared" si="982"/>
        <v>4.2500000000000003E-2</v>
      </c>
      <c r="CV447" s="1474">
        <f t="shared" si="982"/>
        <v>4.2500000000000003E-2</v>
      </c>
      <c r="CW447" s="1474">
        <f t="shared" si="982"/>
        <v>4.2500000000000003E-2</v>
      </c>
      <c r="CX447" s="1474">
        <f t="shared" si="982"/>
        <v>4.2500000000000003E-2</v>
      </c>
      <c r="CY447" s="1474">
        <f t="shared" si="982"/>
        <v>4.2500000000000003E-2</v>
      </c>
      <c r="CZ447" s="1474">
        <f t="shared" si="982"/>
        <v>4.2500000000000003E-2</v>
      </c>
      <c r="DA447" s="1474">
        <f t="shared" si="982"/>
        <v>4.2500000000000003E-2</v>
      </c>
      <c r="DB447" s="1474">
        <f t="shared" si="982"/>
        <v>4.2500000000000003E-2</v>
      </c>
      <c r="DC447" s="1474">
        <f t="shared" si="982"/>
        <v>4.2500000000000003E-2</v>
      </c>
      <c r="DD447" s="1474">
        <f t="shared" si="982"/>
        <v>4.2500000000000003E-2</v>
      </c>
      <c r="DE447" s="65">
        <f t="shared" si="982"/>
        <v>4.2500000000000003E-2</v>
      </c>
      <c r="DF447" s="1474">
        <f t="shared" si="982"/>
        <v>4.2500000000000003E-2</v>
      </c>
      <c r="DG447" s="1474">
        <f t="shared" si="982"/>
        <v>4.2500000000000003E-2</v>
      </c>
      <c r="DH447" s="65">
        <f t="shared" si="982"/>
        <v>4.2500000000000003E-2</v>
      </c>
      <c r="DI447" s="1474">
        <f t="shared" si="982"/>
        <v>4.2500000000000003E-2</v>
      </c>
      <c r="DJ447" s="1474">
        <f t="shared" si="982"/>
        <v>4.2500000000000003E-2</v>
      </c>
      <c r="DK447" s="65">
        <f t="shared" si="982"/>
        <v>4.2500000000000003E-2</v>
      </c>
      <c r="DL447" s="1474">
        <f t="shared" si="982"/>
        <v>4.2500000000000003E-2</v>
      </c>
      <c r="DM447" s="1474">
        <f t="shared" si="982"/>
        <v>4.2500000000000003E-2</v>
      </c>
      <c r="DN447" s="65">
        <f t="shared" si="982"/>
        <v>4.2500000000000003E-2</v>
      </c>
      <c r="DO447" s="1474">
        <f t="shared" si="980"/>
        <v>4.2500000000000003E-2</v>
      </c>
      <c r="DP447" s="1474">
        <f t="shared" si="980"/>
        <v>4.2500000000000003E-2</v>
      </c>
      <c r="DQ447" s="65">
        <f t="shared" si="980"/>
        <v>4.2500000000000003E-2</v>
      </c>
      <c r="DR447" s="1474">
        <f t="shared" si="981"/>
        <v>4.2500000000000003E-2</v>
      </c>
      <c r="DS447" s="1474">
        <f t="shared" si="981"/>
        <v>4.2500000000000003E-2</v>
      </c>
      <c r="DT447" s="65">
        <f t="shared" si="981"/>
        <v>4.2500000000000003E-2</v>
      </c>
      <c r="DU447" s="1474">
        <f>DT447</f>
        <v>4.2500000000000003E-2</v>
      </c>
      <c r="DV447" s="1474">
        <f>DU447</f>
        <v>4.2500000000000003E-2</v>
      </c>
      <c r="DW447" s="65">
        <f t="shared" si="983"/>
        <v>4.2500000000000003E-2</v>
      </c>
      <c r="DZ447" s="1472"/>
      <c r="EC447" s="1472"/>
      <c r="EF447" s="1472"/>
      <c r="EI447" s="1472"/>
      <c r="EL447" s="1472"/>
      <c r="EO447" s="1472"/>
      <c r="ER447" s="1472"/>
      <c r="EU447" s="1472"/>
      <c r="EX447" s="1472"/>
      <c r="FA447" s="1472"/>
      <c r="FD447"/>
      <c r="FE447"/>
      <c r="FF447"/>
      <c r="FG447"/>
      <c r="FH447"/>
      <c r="FI447"/>
    </row>
    <row r="448" spans="1:169" s="33" customFormat="1">
      <c r="A448" s="58"/>
      <c r="B448" s="54" t="s">
        <v>236</v>
      </c>
      <c r="E448" s="34"/>
      <c r="F448" s="34"/>
      <c r="H448" s="34"/>
      <c r="I448" s="34"/>
      <c r="K448" s="34"/>
      <c r="L448" s="34"/>
      <c r="N448" s="34"/>
      <c r="O448" s="34"/>
      <c r="P448" s="34"/>
      <c r="Q448" s="34"/>
      <c r="R448" s="34"/>
      <c r="T448" s="34"/>
      <c r="U448" s="34"/>
      <c r="W448" s="34"/>
      <c r="X448" s="34"/>
      <c r="Z448" s="34"/>
      <c r="AA448" s="34"/>
      <c r="AC448" s="34"/>
      <c r="AD448" s="34"/>
      <c r="AF448" s="34"/>
      <c r="AG448" s="34"/>
      <c r="AI448" s="34"/>
      <c r="AJ448" s="34"/>
      <c r="AL448" s="34"/>
      <c r="AM448" s="34"/>
      <c r="AO448" s="34"/>
      <c r="AP448" s="34"/>
      <c r="AR448" s="34"/>
      <c r="AS448" s="34"/>
      <c r="AU448" s="34"/>
      <c r="AV448" s="34"/>
      <c r="AX448" s="34"/>
      <c r="AY448" s="34"/>
      <c r="BA448" s="34"/>
      <c r="BB448" s="34"/>
      <c r="BD448" s="34"/>
      <c r="BE448" s="34"/>
      <c r="BG448" s="34"/>
      <c r="BH448" s="34"/>
      <c r="BJ448" s="34"/>
      <c r="BK448" s="34"/>
      <c r="BM448" s="34"/>
      <c r="BN448" s="34"/>
      <c r="BP448" s="34"/>
      <c r="BQ448" s="34"/>
      <c r="BS448" s="34"/>
      <c r="BT448" s="34"/>
      <c r="BV448" s="34"/>
      <c r="BW448" s="1060"/>
      <c r="BX448" s="1060"/>
      <c r="BY448" s="1060"/>
      <c r="CA448" s="1060"/>
      <c r="CB448" s="1060"/>
      <c r="CC448" s="1060"/>
      <c r="CD448" s="1060"/>
      <c r="CE448" s="1060"/>
      <c r="CF448" s="1060"/>
      <c r="CG448" s="1060"/>
      <c r="CH448" s="1060"/>
      <c r="CI448" s="1060"/>
      <c r="CJ448" s="1060"/>
      <c r="CK448" s="1060"/>
      <c r="CL448" s="1060"/>
      <c r="CM448" s="1060"/>
      <c r="CN448" s="1060"/>
      <c r="CO448" s="1060"/>
      <c r="CP448" s="1060"/>
      <c r="CQ448" s="1060"/>
      <c r="CR448" s="1060"/>
      <c r="CS448" s="1060"/>
      <c r="CT448" s="1060"/>
      <c r="CU448" s="1060"/>
      <c r="CV448" s="1060"/>
      <c r="CW448" s="1060"/>
      <c r="CX448" s="1060"/>
      <c r="CY448" s="1060"/>
      <c r="CZ448" s="1060"/>
      <c r="DA448" s="1060"/>
      <c r="DB448" s="1060"/>
      <c r="DC448" s="1060"/>
      <c r="DD448" s="1060"/>
      <c r="DE448" s="1477"/>
      <c r="DF448" s="1060"/>
      <c r="DG448" s="1060"/>
      <c r="DH448" s="1477"/>
      <c r="DI448" s="1060"/>
      <c r="DJ448" s="1060"/>
      <c r="DK448" s="1477"/>
      <c r="DL448" s="1060"/>
      <c r="DM448" s="1060"/>
      <c r="DN448" s="1477"/>
      <c r="DO448" s="1060"/>
      <c r="DP448" s="1060"/>
      <c r="DQ448" s="1477"/>
      <c r="DR448" s="1060"/>
      <c r="DS448" s="1060"/>
      <c r="DT448" s="1477"/>
      <c r="DU448" s="1060"/>
      <c r="DV448" s="1060"/>
      <c r="DW448" s="1477"/>
      <c r="DZ448" s="1472"/>
      <c r="EC448" s="1472"/>
      <c r="EF448" s="1472"/>
      <c r="EI448" s="1472"/>
      <c r="EL448" s="1472"/>
      <c r="EO448" s="1472"/>
      <c r="ER448" s="1472"/>
      <c r="EU448" s="1472"/>
      <c r="EX448" s="1472"/>
      <c r="FA448" s="1472"/>
      <c r="FD448"/>
      <c r="FE448"/>
      <c r="FF448"/>
      <c r="FG448"/>
      <c r="FH448"/>
      <c r="FI448"/>
    </row>
    <row r="449" spans="1:165" s="33" customFormat="1">
      <c r="A449" s="58"/>
      <c r="B449" s="60" t="s">
        <v>638</v>
      </c>
      <c r="E449" s="34"/>
      <c r="F449" s="34"/>
      <c r="H449" s="34"/>
      <c r="I449" s="34"/>
      <c r="K449" s="34"/>
      <c r="L449" s="34"/>
      <c r="N449" s="34"/>
      <c r="O449" s="34"/>
      <c r="P449" s="34"/>
      <c r="Q449" s="34"/>
      <c r="R449" s="34"/>
      <c r="T449" s="34"/>
      <c r="U449" s="34"/>
      <c r="W449" s="34"/>
      <c r="X449" s="34"/>
      <c r="Z449" s="34"/>
      <c r="AA449" s="34"/>
      <c r="AC449" s="34"/>
      <c r="AD449" s="34"/>
      <c r="AF449" s="34"/>
      <c r="AG449" s="34"/>
      <c r="AI449" s="34"/>
      <c r="AJ449" s="34"/>
      <c r="AL449" s="34"/>
      <c r="AM449" s="34"/>
      <c r="AO449" s="34"/>
      <c r="AP449" s="34"/>
      <c r="AR449" s="34"/>
      <c r="AS449" s="34"/>
      <c r="AU449" s="34"/>
      <c r="AV449" s="34"/>
      <c r="AX449" s="1346"/>
      <c r="AY449" s="1346"/>
      <c r="AZ449" s="1346"/>
      <c r="BA449" s="1346"/>
      <c r="BB449" s="1346"/>
      <c r="BC449" s="1346"/>
      <c r="BD449" s="1346"/>
      <c r="BE449" s="1346"/>
      <c r="BF449" s="1346"/>
      <c r="BG449" s="1346"/>
      <c r="BH449" s="1346"/>
      <c r="BI449" s="1346"/>
      <c r="BJ449" s="1346"/>
      <c r="BK449" s="1346"/>
      <c r="BL449" s="1346"/>
      <c r="BM449" s="1346"/>
      <c r="BN449" s="1346"/>
      <c r="BO449" s="1346"/>
      <c r="BP449" s="1346"/>
      <c r="BQ449" s="1346"/>
      <c r="BR449" s="1346"/>
      <c r="BS449" s="1346"/>
      <c r="BT449" s="1346"/>
      <c r="BU449" s="1346"/>
      <c r="BV449" s="1476">
        <v>8.7289893617021275E-2</v>
      </c>
      <c r="BW449" s="1474">
        <f>BV449</f>
        <v>8.7289893617021275E-2</v>
      </c>
      <c r="BX449" s="1474">
        <f t="shared" si="982"/>
        <v>8.7289893617021275E-2</v>
      </c>
      <c r="BY449" s="1474">
        <f t="shared" si="982"/>
        <v>8.7289893617021275E-2</v>
      </c>
      <c r="BZ449" s="1474">
        <f t="shared" si="982"/>
        <v>8.7289893617021275E-2</v>
      </c>
      <c r="CA449" s="1474">
        <f t="shared" si="982"/>
        <v>8.7289893617021275E-2</v>
      </c>
      <c r="CB449" s="1474">
        <f t="shared" si="982"/>
        <v>8.7289893617021275E-2</v>
      </c>
      <c r="CC449" s="1474">
        <f t="shared" si="982"/>
        <v>8.7289893617021275E-2</v>
      </c>
      <c r="CD449" s="1474">
        <f t="shared" si="982"/>
        <v>8.7289893617021275E-2</v>
      </c>
      <c r="CE449" s="1474">
        <f t="shared" si="982"/>
        <v>8.7289893617021275E-2</v>
      </c>
      <c r="CF449" s="1474">
        <f t="shared" si="982"/>
        <v>8.7289893617021275E-2</v>
      </c>
      <c r="CG449" s="1474">
        <f t="shared" si="982"/>
        <v>8.7289893617021275E-2</v>
      </c>
      <c r="CH449" s="1474">
        <f t="shared" si="982"/>
        <v>8.7289893617021275E-2</v>
      </c>
      <c r="CI449" s="1474">
        <f t="shared" si="982"/>
        <v>8.7289893617021275E-2</v>
      </c>
      <c r="CJ449" s="1474">
        <f t="shared" si="982"/>
        <v>8.7289893617021275E-2</v>
      </c>
      <c r="CK449" s="1474">
        <f t="shared" si="982"/>
        <v>8.7289893617021275E-2</v>
      </c>
      <c r="CL449" s="1474">
        <f t="shared" si="982"/>
        <v>8.7289893617021275E-2</v>
      </c>
      <c r="CM449" s="1474">
        <f t="shared" si="982"/>
        <v>8.7289893617021275E-2</v>
      </c>
      <c r="CN449" s="1474">
        <f t="shared" si="982"/>
        <v>8.7289893617021275E-2</v>
      </c>
      <c r="CO449" s="1474">
        <f t="shared" si="982"/>
        <v>8.7289893617021275E-2</v>
      </c>
      <c r="CP449" s="1474">
        <f t="shared" si="982"/>
        <v>8.7289893617021275E-2</v>
      </c>
      <c r="CQ449" s="1474">
        <f t="shared" si="982"/>
        <v>8.7289893617021275E-2</v>
      </c>
      <c r="CR449" s="1474">
        <f t="shared" si="982"/>
        <v>8.7289893617021275E-2</v>
      </c>
      <c r="CS449" s="1474">
        <f t="shared" si="982"/>
        <v>8.7289893617021275E-2</v>
      </c>
      <c r="CT449" s="1474">
        <f t="shared" si="982"/>
        <v>8.7289893617021275E-2</v>
      </c>
      <c r="CU449" s="1474">
        <f t="shared" si="982"/>
        <v>8.7289893617021275E-2</v>
      </c>
      <c r="CV449" s="1474">
        <f t="shared" si="982"/>
        <v>8.7289893617021275E-2</v>
      </c>
      <c r="CW449" s="1474">
        <f t="shared" si="982"/>
        <v>8.7289893617021275E-2</v>
      </c>
      <c r="CX449" s="1474">
        <f t="shared" si="982"/>
        <v>8.7289893617021275E-2</v>
      </c>
      <c r="CY449" s="1474">
        <f t="shared" si="982"/>
        <v>8.7289893617021275E-2</v>
      </c>
      <c r="CZ449" s="1474">
        <f t="shared" si="982"/>
        <v>8.7289893617021275E-2</v>
      </c>
      <c r="DA449" s="1474">
        <f t="shared" si="982"/>
        <v>8.7289893617021275E-2</v>
      </c>
      <c r="DB449" s="1474">
        <f t="shared" si="982"/>
        <v>8.7289893617021275E-2</v>
      </c>
      <c r="DC449" s="1474">
        <f t="shared" si="982"/>
        <v>8.7289893617021275E-2</v>
      </c>
      <c r="DD449" s="1474">
        <f t="shared" si="982"/>
        <v>8.7289893617021275E-2</v>
      </c>
      <c r="DE449" s="65">
        <f t="shared" si="982"/>
        <v>8.7289893617021275E-2</v>
      </c>
      <c r="DF449" s="1474">
        <f t="shared" si="982"/>
        <v>8.7289893617021275E-2</v>
      </c>
      <c r="DG449" s="1474">
        <f t="shared" si="982"/>
        <v>8.7289893617021275E-2</v>
      </c>
      <c r="DH449" s="65">
        <f t="shared" si="982"/>
        <v>8.7289893617021275E-2</v>
      </c>
      <c r="DI449" s="1474">
        <f t="shared" si="982"/>
        <v>8.7289893617021275E-2</v>
      </c>
      <c r="DJ449" s="1474">
        <f t="shared" si="982"/>
        <v>8.7289893617021275E-2</v>
      </c>
      <c r="DK449" s="65">
        <f t="shared" si="982"/>
        <v>8.7289893617021275E-2</v>
      </c>
      <c r="DL449" s="1474">
        <f t="shared" si="982"/>
        <v>8.7289893617021275E-2</v>
      </c>
      <c r="DM449" s="1474">
        <f t="shared" si="982"/>
        <v>8.7289893617021275E-2</v>
      </c>
      <c r="DN449" s="65">
        <f t="shared" si="982"/>
        <v>8.7289893617021275E-2</v>
      </c>
      <c r="DO449" s="1474">
        <f t="shared" ref="DO449:DQ450" si="985">DN449</f>
        <v>8.7289893617021275E-2</v>
      </c>
      <c r="DP449" s="1474">
        <f t="shared" si="985"/>
        <v>8.7289893617021275E-2</v>
      </c>
      <c r="DQ449" s="65">
        <f t="shared" si="985"/>
        <v>8.7289893617021275E-2</v>
      </c>
      <c r="DR449" s="1474">
        <f t="shared" ref="DR449:DW450" si="986">DQ449</f>
        <v>8.7289893617021275E-2</v>
      </c>
      <c r="DS449" s="1474">
        <f t="shared" si="986"/>
        <v>8.7289893617021275E-2</v>
      </c>
      <c r="DT449" s="65">
        <f t="shared" si="986"/>
        <v>8.7289893617021275E-2</v>
      </c>
      <c r="DU449" s="1474">
        <f>DT449</f>
        <v>8.7289893617021275E-2</v>
      </c>
      <c r="DV449" s="1474">
        <f>DU449</f>
        <v>8.7289893617021275E-2</v>
      </c>
      <c r="DW449" s="65">
        <f t="shared" si="986"/>
        <v>8.7289893617021275E-2</v>
      </c>
      <c r="DZ449" s="1472"/>
      <c r="EC449" s="1472"/>
      <c r="EF449" s="1472"/>
      <c r="EI449" s="1472"/>
      <c r="EL449" s="1472"/>
      <c r="EO449" s="1472"/>
      <c r="ER449" s="1472"/>
      <c r="EU449" s="1472"/>
      <c r="EX449" s="1472"/>
      <c r="FA449" s="1472"/>
      <c r="FD449"/>
      <c r="FE449"/>
      <c r="FF449"/>
      <c r="FG449"/>
      <c r="FH449"/>
      <c r="FI449"/>
    </row>
    <row r="450" spans="1:165" s="33" customFormat="1">
      <c r="A450" s="58"/>
      <c r="B450" s="60" t="s">
        <v>203</v>
      </c>
      <c r="E450" s="34"/>
      <c r="F450" s="34"/>
      <c r="H450" s="34"/>
      <c r="I450" s="34"/>
      <c r="K450" s="34"/>
      <c r="L450" s="34"/>
      <c r="N450" s="34"/>
      <c r="O450" s="34"/>
      <c r="P450" s="34"/>
      <c r="Q450" s="34"/>
      <c r="R450" s="34"/>
      <c r="T450" s="34"/>
      <c r="U450" s="34"/>
      <c r="W450" s="34"/>
      <c r="X450" s="34"/>
      <c r="Z450" s="34"/>
      <c r="AA450" s="34"/>
      <c r="AC450" s="34"/>
      <c r="AD450" s="34"/>
      <c r="AF450" s="34"/>
      <c r="AG450" s="34"/>
      <c r="AI450" s="34"/>
      <c r="AJ450" s="34"/>
      <c r="AL450" s="34"/>
      <c r="AM450" s="34"/>
      <c r="AO450" s="34"/>
      <c r="AP450" s="34"/>
      <c r="AR450" s="34"/>
      <c r="AS450" s="34"/>
      <c r="AU450" s="34"/>
      <c r="AV450" s="34"/>
      <c r="AX450" s="1478"/>
      <c r="AY450" s="1478"/>
      <c r="AZ450" s="1478"/>
      <c r="BA450" s="1478"/>
      <c r="BB450" s="1478"/>
      <c r="BC450" s="1478"/>
      <c r="BD450" s="1478"/>
      <c r="BE450" s="1478"/>
      <c r="BF450" s="1478"/>
      <c r="BG450" s="1478"/>
      <c r="BH450" s="1478"/>
      <c r="BI450" s="1478"/>
      <c r="BJ450" s="1478"/>
      <c r="BK450" s="1478"/>
      <c r="BL450" s="1478"/>
      <c r="BM450" s="1478"/>
      <c r="BN450" s="1478"/>
      <c r="BO450" s="1478"/>
      <c r="BP450" s="1478"/>
      <c r="BQ450" s="1478"/>
      <c r="BR450" s="1478"/>
      <c r="BS450" s="1478"/>
      <c r="BT450" s="1478"/>
      <c r="BU450" s="1478"/>
      <c r="BV450" s="1478">
        <v>1</v>
      </c>
      <c r="BW450" s="1478">
        <f>BV450</f>
        <v>1</v>
      </c>
      <c r="BX450" s="1478">
        <f t="shared" ref="BX450:DN450" si="987">BW450</f>
        <v>1</v>
      </c>
      <c r="BY450" s="1478">
        <f t="shared" si="987"/>
        <v>1</v>
      </c>
      <c r="BZ450" s="1478">
        <f t="shared" si="987"/>
        <v>1</v>
      </c>
      <c r="CA450" s="1478">
        <f t="shared" si="987"/>
        <v>1</v>
      </c>
      <c r="CB450" s="1478">
        <f t="shared" si="987"/>
        <v>1</v>
      </c>
      <c r="CC450" s="1478">
        <f t="shared" si="987"/>
        <v>1</v>
      </c>
      <c r="CD450" s="1478">
        <f t="shared" si="987"/>
        <v>1</v>
      </c>
      <c r="CE450" s="1478">
        <f t="shared" si="987"/>
        <v>1</v>
      </c>
      <c r="CF450" s="1478">
        <f t="shared" si="987"/>
        <v>1</v>
      </c>
      <c r="CG450" s="1478">
        <f t="shared" si="987"/>
        <v>1</v>
      </c>
      <c r="CH450" s="1478">
        <f t="shared" si="987"/>
        <v>1</v>
      </c>
      <c r="CI450" s="1478">
        <f t="shared" si="987"/>
        <v>1</v>
      </c>
      <c r="CJ450" s="1478">
        <f t="shared" si="987"/>
        <v>1</v>
      </c>
      <c r="CK450" s="1478">
        <f t="shared" si="987"/>
        <v>1</v>
      </c>
      <c r="CL450" s="1478">
        <f t="shared" si="987"/>
        <v>1</v>
      </c>
      <c r="CM450" s="1478">
        <f t="shared" si="987"/>
        <v>1</v>
      </c>
      <c r="CN450" s="1478">
        <f t="shared" si="987"/>
        <v>1</v>
      </c>
      <c r="CO450" s="1478">
        <f t="shared" si="987"/>
        <v>1</v>
      </c>
      <c r="CP450" s="1478">
        <f t="shared" si="987"/>
        <v>1</v>
      </c>
      <c r="CQ450" s="1478">
        <f t="shared" si="987"/>
        <v>1</v>
      </c>
      <c r="CR450" s="1478">
        <f t="shared" si="987"/>
        <v>1</v>
      </c>
      <c r="CS450" s="1478">
        <f t="shared" si="987"/>
        <v>1</v>
      </c>
      <c r="CT450" s="1478">
        <f t="shared" si="987"/>
        <v>1</v>
      </c>
      <c r="CU450" s="1478">
        <f t="shared" si="987"/>
        <v>1</v>
      </c>
      <c r="CV450" s="1478">
        <f t="shared" si="987"/>
        <v>1</v>
      </c>
      <c r="CW450" s="1478">
        <f t="shared" si="987"/>
        <v>1</v>
      </c>
      <c r="CX450" s="1478">
        <f t="shared" si="987"/>
        <v>1</v>
      </c>
      <c r="CY450" s="1478">
        <f t="shared" si="987"/>
        <v>1</v>
      </c>
      <c r="CZ450" s="1478">
        <f t="shared" si="987"/>
        <v>1</v>
      </c>
      <c r="DA450" s="1478">
        <f t="shared" si="987"/>
        <v>1</v>
      </c>
      <c r="DB450" s="1478">
        <f t="shared" si="987"/>
        <v>1</v>
      </c>
      <c r="DC450" s="1478">
        <f t="shared" si="987"/>
        <v>1</v>
      </c>
      <c r="DD450" s="1478">
        <f t="shared" si="987"/>
        <v>1</v>
      </c>
      <c r="DE450" s="1479">
        <f t="shared" si="987"/>
        <v>1</v>
      </c>
      <c r="DF450" s="1478">
        <f t="shared" si="987"/>
        <v>1</v>
      </c>
      <c r="DG450" s="1478">
        <f t="shared" si="987"/>
        <v>1</v>
      </c>
      <c r="DH450" s="1479">
        <f t="shared" si="987"/>
        <v>1</v>
      </c>
      <c r="DI450" s="1478">
        <f t="shared" si="987"/>
        <v>1</v>
      </c>
      <c r="DJ450" s="1478">
        <f t="shared" si="987"/>
        <v>1</v>
      </c>
      <c r="DK450" s="1479">
        <f t="shared" si="987"/>
        <v>1</v>
      </c>
      <c r="DL450" s="1478">
        <f t="shared" si="987"/>
        <v>1</v>
      </c>
      <c r="DM450" s="1478">
        <f t="shared" si="987"/>
        <v>1</v>
      </c>
      <c r="DN450" s="1479">
        <f t="shared" si="987"/>
        <v>1</v>
      </c>
      <c r="DO450" s="1478">
        <f t="shared" si="985"/>
        <v>1</v>
      </c>
      <c r="DP450" s="1478">
        <f t="shared" si="985"/>
        <v>1</v>
      </c>
      <c r="DQ450" s="1479">
        <f t="shared" si="985"/>
        <v>1</v>
      </c>
      <c r="DR450" s="1478">
        <f t="shared" si="986"/>
        <v>1</v>
      </c>
      <c r="DS450" s="1478">
        <f t="shared" si="986"/>
        <v>1</v>
      </c>
      <c r="DT450" s="1479">
        <f t="shared" si="986"/>
        <v>1</v>
      </c>
      <c r="DU450" s="1478">
        <f>DT450</f>
        <v>1</v>
      </c>
      <c r="DV450" s="1478">
        <f>DU450</f>
        <v>1</v>
      </c>
      <c r="DW450" s="1479">
        <f t="shared" si="986"/>
        <v>1</v>
      </c>
      <c r="DZ450" s="1472"/>
      <c r="EC450" s="1472"/>
      <c r="EF450" s="1472"/>
      <c r="EI450" s="1472"/>
      <c r="EL450" s="1472"/>
      <c r="EO450" s="1472"/>
      <c r="ER450" s="1472"/>
      <c r="EU450" s="1472"/>
      <c r="EX450" s="1472"/>
      <c r="FA450" s="1472"/>
      <c r="FD450"/>
      <c r="FE450"/>
      <c r="FF450"/>
      <c r="FG450"/>
      <c r="FH450"/>
      <c r="FI450"/>
    </row>
    <row r="451" spans="1:165" s="1484" customFormat="1">
      <c r="A451" s="1480" t="s">
        <v>321</v>
      </c>
      <c r="B451" s="1480"/>
      <c r="C451" s="1481"/>
      <c r="D451" s="1482" t="str">
        <f t="shared" ref="D451:AI451" si="988">+D4</f>
        <v xml:space="preserve">Year ending Jun </v>
      </c>
      <c r="E451" s="1482" t="str">
        <f t="shared" si="988"/>
        <v>1h85</v>
      </c>
      <c r="F451" s="1482" t="str">
        <f t="shared" si="988"/>
        <v>2h85</v>
      </c>
      <c r="G451" s="1482" t="str">
        <f t="shared" si="988"/>
        <v>1985</v>
      </c>
      <c r="H451" s="1482" t="str">
        <f t="shared" si="988"/>
        <v>1h86</v>
      </c>
      <c r="I451" s="1482" t="str">
        <f t="shared" si="988"/>
        <v>2h86</v>
      </c>
      <c r="J451" s="1482" t="str">
        <f t="shared" si="988"/>
        <v>1986</v>
      </c>
      <c r="K451" s="1482" t="str">
        <f t="shared" si="988"/>
        <v>1h87</v>
      </c>
      <c r="L451" s="1482" t="str">
        <f t="shared" si="988"/>
        <v>2h87</v>
      </c>
      <c r="M451" s="1482" t="str">
        <f t="shared" si="988"/>
        <v>1987</v>
      </c>
      <c r="N451" s="1482" t="str">
        <f t="shared" si="988"/>
        <v>1h88</v>
      </c>
      <c r="O451" s="1482" t="str">
        <f t="shared" si="988"/>
        <v>2h88</v>
      </c>
      <c r="P451" s="1482" t="str">
        <f t="shared" si="988"/>
        <v>1988</v>
      </c>
      <c r="Q451" s="1482" t="str">
        <f t="shared" si="988"/>
        <v>1h89</v>
      </c>
      <c r="R451" s="1482" t="str">
        <f t="shared" si="988"/>
        <v>2h89</v>
      </c>
      <c r="S451" s="1482" t="str">
        <f t="shared" si="988"/>
        <v>1989</v>
      </c>
      <c r="T451" s="1482" t="str">
        <f t="shared" si="988"/>
        <v>1h90</v>
      </c>
      <c r="U451" s="1482" t="str">
        <f t="shared" si="988"/>
        <v>2h90</v>
      </c>
      <c r="V451" s="1482" t="str">
        <f t="shared" si="988"/>
        <v>1990</v>
      </c>
      <c r="W451" s="1482" t="str">
        <f t="shared" si="988"/>
        <v>1h91</v>
      </c>
      <c r="X451" s="1482" t="str">
        <f t="shared" si="988"/>
        <v>2h91</v>
      </c>
      <c r="Y451" s="1482" t="str">
        <f t="shared" si="988"/>
        <v>1991</v>
      </c>
      <c r="Z451" s="1482" t="str">
        <f t="shared" si="988"/>
        <v>1h92</v>
      </c>
      <c r="AA451" s="1482" t="str">
        <f t="shared" si="988"/>
        <v>2h92</v>
      </c>
      <c r="AB451" s="1482" t="str">
        <f t="shared" si="988"/>
        <v>1992</v>
      </c>
      <c r="AC451" s="1482" t="str">
        <f t="shared" si="988"/>
        <v>1h93</v>
      </c>
      <c r="AD451" s="1482" t="str">
        <f t="shared" si="988"/>
        <v>2h93</v>
      </c>
      <c r="AE451" s="1482" t="str">
        <f t="shared" si="988"/>
        <v>1993</v>
      </c>
      <c r="AF451" s="1482" t="str">
        <f t="shared" si="988"/>
        <v>1h94</v>
      </c>
      <c r="AG451" s="1482" t="str">
        <f t="shared" si="988"/>
        <v>2h94</v>
      </c>
      <c r="AH451" s="1482" t="str">
        <f t="shared" si="988"/>
        <v>1994</v>
      </c>
      <c r="AI451" s="1482" t="str">
        <f t="shared" si="988"/>
        <v>1h95</v>
      </c>
      <c r="AJ451" s="1482" t="str">
        <f t="shared" ref="AJ451:BO451" si="989">+AJ4</f>
        <v>2h95</v>
      </c>
      <c r="AK451" s="1482" t="str">
        <f t="shared" si="989"/>
        <v>1995</v>
      </c>
      <c r="AL451" s="1482" t="str">
        <f t="shared" si="989"/>
        <v>1h96</v>
      </c>
      <c r="AM451" s="1482" t="str">
        <f t="shared" si="989"/>
        <v>2h96</v>
      </c>
      <c r="AN451" s="1482" t="str">
        <f t="shared" si="989"/>
        <v>1996</v>
      </c>
      <c r="AO451" s="1482" t="str">
        <f t="shared" si="989"/>
        <v>1h97</v>
      </c>
      <c r="AP451" s="1482" t="str">
        <f t="shared" si="989"/>
        <v>2h97</v>
      </c>
      <c r="AQ451" s="1482" t="str">
        <f t="shared" si="989"/>
        <v>1997</v>
      </c>
      <c r="AR451" s="1482" t="str">
        <f t="shared" si="989"/>
        <v>1h98</v>
      </c>
      <c r="AS451" s="1482" t="str">
        <f t="shared" si="989"/>
        <v>2h98</v>
      </c>
      <c r="AT451" s="1482" t="str">
        <f t="shared" si="989"/>
        <v>1998a</v>
      </c>
      <c r="AU451" s="1482" t="str">
        <f t="shared" si="989"/>
        <v>1h99</v>
      </c>
      <c r="AV451" s="1482" t="str">
        <f t="shared" si="989"/>
        <v>2h99</v>
      </c>
      <c r="AW451" s="1482" t="str">
        <f t="shared" si="989"/>
        <v>1999a</v>
      </c>
      <c r="AX451" s="1482" t="str">
        <f t="shared" si="989"/>
        <v>1h00</v>
      </c>
      <c r="AY451" s="1482" t="str">
        <f t="shared" si="989"/>
        <v>2h00</v>
      </c>
      <c r="AZ451" s="1482" t="str">
        <f t="shared" si="989"/>
        <v>2000a</v>
      </c>
      <c r="BA451" s="1482" t="str">
        <f t="shared" si="989"/>
        <v>1h01</v>
      </c>
      <c r="BB451" s="1482" t="str">
        <f t="shared" si="989"/>
        <v>2h01</v>
      </c>
      <c r="BC451" s="1482" t="str">
        <f t="shared" si="989"/>
        <v>2001a</v>
      </c>
      <c r="BD451" s="1482" t="str">
        <f t="shared" si="989"/>
        <v>1h02</v>
      </c>
      <c r="BE451" s="1482" t="str">
        <f t="shared" si="989"/>
        <v>2h02f</v>
      </c>
      <c r="BF451" s="1482" t="str">
        <f t="shared" si="989"/>
        <v>2002</v>
      </c>
      <c r="BG451" s="1482" t="str">
        <f t="shared" si="989"/>
        <v>1h03</v>
      </c>
      <c r="BH451" s="1482" t="str">
        <f t="shared" si="989"/>
        <v>2h03</v>
      </c>
      <c r="BI451" s="1482" t="str">
        <f t="shared" si="989"/>
        <v>2003</v>
      </c>
      <c r="BJ451" s="1482" t="str">
        <f t="shared" si="989"/>
        <v>1h04</v>
      </c>
      <c r="BK451" s="1482" t="str">
        <f t="shared" si="989"/>
        <v>2h04</v>
      </c>
      <c r="BL451" s="1482" t="str">
        <f t="shared" si="989"/>
        <v>2004</v>
      </c>
      <c r="BM451" s="1482" t="str">
        <f t="shared" si="989"/>
        <v>1h05</v>
      </c>
      <c r="BN451" s="1482" t="str">
        <f t="shared" si="989"/>
        <v>2h05</v>
      </c>
      <c r="BO451" s="1482" t="str">
        <f t="shared" si="989"/>
        <v>2005</v>
      </c>
      <c r="BP451" s="1482" t="str">
        <f t="shared" ref="BP451:CU451" si="990">+BP4</f>
        <v>1h06</v>
      </c>
      <c r="BQ451" s="1482" t="str">
        <f t="shared" si="990"/>
        <v>2h06</v>
      </c>
      <c r="BR451" s="1482" t="str">
        <f t="shared" si="990"/>
        <v>2006</v>
      </c>
      <c r="BS451" s="1482" t="str">
        <f t="shared" si="990"/>
        <v>1h07</v>
      </c>
      <c r="BT451" s="1482" t="str">
        <f t="shared" si="990"/>
        <v>2h07</v>
      </c>
      <c r="BU451" s="1482" t="str">
        <f t="shared" si="990"/>
        <v>2007</v>
      </c>
      <c r="BV451" s="1482" t="str">
        <f t="shared" si="990"/>
        <v>1h08</v>
      </c>
      <c r="BW451" s="1482" t="str">
        <f t="shared" si="990"/>
        <v>2h08</v>
      </c>
      <c r="BX451" s="1482" t="str">
        <f t="shared" si="990"/>
        <v>2008</v>
      </c>
      <c r="BY451" s="1482" t="str">
        <f t="shared" si="990"/>
        <v>1h09</v>
      </c>
      <c r="BZ451" s="1482" t="str">
        <f t="shared" si="990"/>
        <v>2h09</v>
      </c>
      <c r="CA451" s="1482" t="str">
        <f t="shared" si="990"/>
        <v>2009</v>
      </c>
      <c r="CB451" s="49" t="str">
        <f t="shared" si="990"/>
        <v>1h10</v>
      </c>
      <c r="CC451" s="49" t="str">
        <f t="shared" si="990"/>
        <v>2h10</v>
      </c>
      <c r="CD451" s="49" t="str">
        <f t="shared" si="990"/>
        <v>2010</v>
      </c>
      <c r="CE451" s="49" t="str">
        <f t="shared" si="990"/>
        <v>1h11</v>
      </c>
      <c r="CF451" s="49" t="str">
        <f t="shared" si="990"/>
        <v>2h11</v>
      </c>
      <c r="CG451" s="49" t="str">
        <f t="shared" si="990"/>
        <v>2011</v>
      </c>
      <c r="CH451" s="49" t="str">
        <f t="shared" si="990"/>
        <v>1h12</v>
      </c>
      <c r="CI451" s="49" t="str">
        <f t="shared" si="990"/>
        <v>2h12</v>
      </c>
      <c r="CJ451" s="49" t="str">
        <f t="shared" si="990"/>
        <v>2012</v>
      </c>
      <c r="CK451" s="49" t="str">
        <f t="shared" si="990"/>
        <v>1h13</v>
      </c>
      <c r="CL451" s="49" t="str">
        <f t="shared" si="990"/>
        <v>2h13</v>
      </c>
      <c r="CM451" s="49" t="str">
        <f t="shared" si="990"/>
        <v>2013</v>
      </c>
      <c r="CN451" s="49" t="str">
        <f t="shared" si="990"/>
        <v>1h14</v>
      </c>
      <c r="CO451" s="49" t="str">
        <f t="shared" si="990"/>
        <v>2h14</v>
      </c>
      <c r="CP451" s="49" t="str">
        <f t="shared" si="990"/>
        <v>2014</v>
      </c>
      <c r="CQ451" s="49" t="str">
        <f t="shared" si="990"/>
        <v>1h15</v>
      </c>
      <c r="CR451" s="49" t="str">
        <f t="shared" si="990"/>
        <v>2h15</v>
      </c>
      <c r="CS451" s="49" t="str">
        <f t="shared" si="990"/>
        <v>2015</v>
      </c>
      <c r="CT451" s="49" t="str">
        <f t="shared" si="990"/>
        <v>1h16</v>
      </c>
      <c r="CU451" s="49" t="str">
        <f t="shared" si="990"/>
        <v>2h16</v>
      </c>
      <c r="CV451" s="49" t="str">
        <f t="shared" ref="CV451:EC451" si="991">+CV4</f>
        <v>2016</v>
      </c>
      <c r="CW451" s="49" t="str">
        <f t="shared" si="991"/>
        <v>1h17</v>
      </c>
      <c r="CX451" s="49" t="str">
        <f t="shared" si="991"/>
        <v>2h17</v>
      </c>
      <c r="CY451" s="49" t="str">
        <f t="shared" si="991"/>
        <v>2017</v>
      </c>
      <c r="CZ451" s="49" t="str">
        <f t="shared" si="991"/>
        <v>1h18</v>
      </c>
      <c r="DA451" s="49" t="str">
        <f t="shared" si="991"/>
        <v>2h18</v>
      </c>
      <c r="DB451" s="49" t="str">
        <f t="shared" si="991"/>
        <v>2018</v>
      </c>
      <c r="DC451" s="49" t="str">
        <f t="shared" si="991"/>
        <v>1h19</v>
      </c>
      <c r="DD451" s="49" t="str">
        <f t="shared" si="991"/>
        <v>2h19</v>
      </c>
      <c r="DE451" s="63" t="str">
        <f t="shared" si="991"/>
        <v>2019</v>
      </c>
      <c r="DF451" s="49" t="str">
        <f t="shared" si="991"/>
        <v>1h20</v>
      </c>
      <c r="DG451" s="49" t="str">
        <f t="shared" si="991"/>
        <v>2h20</v>
      </c>
      <c r="DH451" s="63" t="str">
        <f t="shared" si="991"/>
        <v>2020</v>
      </c>
      <c r="DI451" s="49" t="str">
        <f t="shared" si="991"/>
        <v>1h21</v>
      </c>
      <c r="DJ451" s="49" t="str">
        <f t="shared" si="991"/>
        <v>2h21</v>
      </c>
      <c r="DK451" s="63" t="str">
        <f t="shared" si="991"/>
        <v>2021</v>
      </c>
      <c r="DL451" s="49" t="str">
        <f t="shared" si="991"/>
        <v>1h22</v>
      </c>
      <c r="DM451" s="49" t="str">
        <f t="shared" si="991"/>
        <v>2h22</v>
      </c>
      <c r="DN451" s="63" t="str">
        <f t="shared" si="991"/>
        <v>2022</v>
      </c>
      <c r="DO451" s="49" t="str">
        <f t="shared" si="991"/>
        <v>1h23</v>
      </c>
      <c r="DP451" s="49" t="str">
        <f t="shared" si="991"/>
        <v>2h23</v>
      </c>
      <c r="DQ451" s="63" t="str">
        <f t="shared" si="991"/>
        <v>2023</v>
      </c>
      <c r="DR451" s="49" t="str">
        <f t="shared" si="991"/>
        <v>1h24</v>
      </c>
      <c r="DS451" s="49" t="str">
        <f t="shared" si="991"/>
        <v>2h24</v>
      </c>
      <c r="DT451" s="63" t="str">
        <f t="shared" si="991"/>
        <v>2024</v>
      </c>
      <c r="DU451" s="49" t="str">
        <f>+DU4</f>
        <v>1h25</v>
      </c>
      <c r="DV451" s="49" t="str">
        <f t="shared" si="991"/>
        <v>2h25</v>
      </c>
      <c r="DW451" s="63" t="str">
        <f t="shared" si="991"/>
        <v>2025</v>
      </c>
      <c r="DX451" s="49" t="str">
        <f t="shared" si="991"/>
        <v>1h26</v>
      </c>
      <c r="DY451" s="49" t="str">
        <f t="shared" si="991"/>
        <v>2h26E</v>
      </c>
      <c r="DZ451" s="63" t="str">
        <f t="shared" si="991"/>
        <v>2026E</v>
      </c>
      <c r="EA451" s="49" t="str">
        <f t="shared" si="991"/>
        <v>1h27E</v>
      </c>
      <c r="EB451" s="49" t="str">
        <f t="shared" si="991"/>
        <v>2h27E</v>
      </c>
      <c r="EC451" s="63" t="str">
        <f t="shared" si="991"/>
        <v>2027E</v>
      </c>
      <c r="ED451" s="49" t="str">
        <f t="shared" ref="ED451:EL451" si="992">+ED4</f>
        <v>1h28E</v>
      </c>
      <c r="EE451" s="49" t="str">
        <f t="shared" si="992"/>
        <v>2h28E</v>
      </c>
      <c r="EF451" s="63" t="str">
        <f t="shared" si="992"/>
        <v>2028E</v>
      </c>
      <c r="EG451" s="49" t="str">
        <f t="shared" si="992"/>
        <v>1h29E</v>
      </c>
      <c r="EH451" s="49" t="str">
        <f t="shared" si="992"/>
        <v>2h29E</v>
      </c>
      <c r="EI451" s="63" t="str">
        <f t="shared" si="992"/>
        <v>2029E</v>
      </c>
      <c r="EJ451" s="49" t="str">
        <f t="shared" si="992"/>
        <v>1h30E</v>
      </c>
      <c r="EK451" s="49" t="str">
        <f t="shared" si="992"/>
        <v>2h30E</v>
      </c>
      <c r="EL451" s="63" t="str">
        <f t="shared" si="992"/>
        <v>2030E</v>
      </c>
      <c r="EM451" s="49" t="str">
        <f t="shared" ref="EM451:ER451" si="993">+EM4</f>
        <v>1h31E</v>
      </c>
      <c r="EN451" s="49" t="str">
        <f t="shared" si="993"/>
        <v>2h31E</v>
      </c>
      <c r="EO451" s="63" t="str">
        <f t="shared" si="993"/>
        <v>2031E</v>
      </c>
      <c r="EP451" s="49" t="str">
        <f t="shared" si="993"/>
        <v>1h32E</v>
      </c>
      <c r="EQ451" s="49" t="str">
        <f t="shared" si="993"/>
        <v>2h32E</v>
      </c>
      <c r="ER451" s="63" t="str">
        <f t="shared" si="993"/>
        <v>2032E</v>
      </c>
      <c r="ES451" s="49" t="str">
        <f t="shared" ref="ES451:FA451" si="994">+ES4</f>
        <v>1h33E</v>
      </c>
      <c r="ET451" s="49" t="str">
        <f t="shared" si="994"/>
        <v>2h33E</v>
      </c>
      <c r="EU451" s="63" t="str">
        <f t="shared" si="994"/>
        <v>2033E</v>
      </c>
      <c r="EV451" s="49" t="str">
        <f t="shared" si="994"/>
        <v>1h34E</v>
      </c>
      <c r="EW451" s="49" t="str">
        <f t="shared" si="994"/>
        <v>2h34E</v>
      </c>
      <c r="EX451" s="63" t="str">
        <f t="shared" si="994"/>
        <v>2034E</v>
      </c>
      <c r="EY451" s="49" t="str">
        <f t="shared" si="994"/>
        <v>1h35E</v>
      </c>
      <c r="EZ451" s="49" t="str">
        <f t="shared" si="994"/>
        <v>2h35E</v>
      </c>
      <c r="FA451" s="63" t="str">
        <f t="shared" si="994"/>
        <v>2035E</v>
      </c>
      <c r="FB451" s="1483"/>
      <c r="FC451" s="1483"/>
      <c r="FD451"/>
      <c r="FE451"/>
      <c r="FF451"/>
      <c r="FG451"/>
      <c r="FH451"/>
      <c r="FI451"/>
    </row>
    <row r="452" spans="1:165" s="33" customFormat="1">
      <c r="A452" s="58"/>
      <c r="B452" s="1461"/>
      <c r="C452" s="58"/>
      <c r="D452" s="58"/>
      <c r="E452" s="59"/>
      <c r="F452" s="59"/>
      <c r="G452" s="1457"/>
      <c r="H452" s="59"/>
      <c r="I452" s="59"/>
      <c r="J452" s="1457"/>
      <c r="K452" s="59"/>
      <c r="L452" s="59"/>
      <c r="M452" s="1457"/>
      <c r="N452" s="59"/>
      <c r="O452" s="59"/>
      <c r="P452" s="1457"/>
      <c r="Q452" s="1452"/>
      <c r="R452" s="1452"/>
      <c r="S452" s="1453"/>
      <c r="T452" s="1452"/>
      <c r="U452" s="1452"/>
      <c r="V452" s="1451"/>
      <c r="W452" s="1450"/>
      <c r="X452" s="1450"/>
      <c r="Y452" s="1451"/>
      <c r="Z452" s="1450"/>
      <c r="AA452" s="1450"/>
      <c r="AB452" s="1451"/>
      <c r="AC452" s="1450"/>
      <c r="AD452" s="1450"/>
      <c r="AE452" s="1451"/>
      <c r="AF452" s="1450"/>
      <c r="AG452" s="1450"/>
      <c r="AH452" s="1451"/>
      <c r="AI452" s="1450"/>
      <c r="AJ452" s="1450"/>
      <c r="AK452" s="1451"/>
      <c r="AL452" s="1450"/>
      <c r="AM452" s="1450"/>
      <c r="AN452" s="1485"/>
      <c r="AO452" s="1423"/>
      <c r="AP452" s="1423"/>
      <c r="AQ452" s="1485"/>
      <c r="AR452" s="1423"/>
      <c r="AS452" s="1423"/>
      <c r="AT452" s="1485"/>
      <c r="AU452" s="1486"/>
      <c r="AV452" s="1486"/>
      <c r="AW452" s="1487"/>
      <c r="AX452" s="1486"/>
      <c r="AY452" s="1486"/>
      <c r="AZ452" s="1487"/>
      <c r="BA452" s="1486"/>
      <c r="BB452" s="1486"/>
      <c r="BC452" s="1487"/>
      <c r="BD452" s="1486"/>
      <c r="BE452" s="1486"/>
      <c r="BF452" s="1487"/>
      <c r="BG452" s="1486"/>
      <c r="BH452" s="1486"/>
      <c r="BI452" s="1487"/>
      <c r="BJ452" s="1486"/>
      <c r="BK452" s="1486"/>
      <c r="BL452" s="1487"/>
      <c r="BM452" s="1486"/>
      <c r="BN452" s="1486"/>
      <c r="BO452" s="1487"/>
      <c r="BP452" s="1486"/>
      <c r="BQ452" s="1486"/>
      <c r="BR452" s="1487"/>
      <c r="BS452" s="1486"/>
      <c r="BT452" s="1486"/>
      <c r="BU452" s="1487"/>
      <c r="BV452" s="1486"/>
      <c r="BW452" s="1486"/>
      <c r="BX452" s="1487"/>
      <c r="BY452" s="1486"/>
      <c r="BZ452" s="1486"/>
      <c r="CA452" s="1487"/>
      <c r="CB452" s="1486"/>
      <c r="CC452" s="1486"/>
      <c r="CD452" s="1162"/>
      <c r="CE452" s="1162"/>
      <c r="CF452" s="1162"/>
      <c r="CG452" s="1162"/>
      <c r="CH452" s="1162"/>
      <c r="CI452" s="1162"/>
      <c r="CJ452" s="1162"/>
      <c r="CK452" s="1162"/>
      <c r="CL452" s="1162"/>
      <c r="CM452" s="1162"/>
      <c r="CN452" s="1162"/>
      <c r="CO452" s="1162"/>
      <c r="CP452" s="1162"/>
      <c r="CQ452" s="1162"/>
      <c r="CR452" s="1162"/>
      <c r="CS452" s="1162"/>
      <c r="CT452" s="1162"/>
      <c r="CU452" s="1162"/>
      <c r="CV452" s="1162"/>
      <c r="CW452" s="1162"/>
      <c r="CX452" s="1162"/>
      <c r="CY452" s="1162"/>
      <c r="CZ452" s="1162"/>
      <c r="DA452" s="1162"/>
      <c r="DB452" s="1162"/>
      <c r="DC452" s="1162"/>
      <c r="DD452" s="1162"/>
      <c r="DE452" s="1163"/>
      <c r="DF452" s="1162"/>
      <c r="DG452" s="1162"/>
      <c r="DH452" s="1163"/>
      <c r="DI452" s="1162"/>
      <c r="DJ452" s="1162"/>
      <c r="DK452" s="1163"/>
      <c r="DL452" s="1162"/>
      <c r="DM452" s="1162"/>
      <c r="DN452" s="1163"/>
      <c r="DO452" s="1162"/>
      <c r="DP452" s="1162"/>
      <c r="DQ452" s="1163"/>
      <c r="DR452" s="1162"/>
      <c r="DS452" s="1162"/>
      <c r="DT452" s="1163"/>
      <c r="DU452" s="1162"/>
      <c r="DV452" s="1162"/>
      <c r="DW452" s="1163"/>
      <c r="DX452" s="1162"/>
      <c r="DY452" s="1162"/>
      <c r="DZ452" s="1163"/>
      <c r="EA452" s="1162"/>
      <c r="EB452" s="1162"/>
      <c r="EC452" s="1163"/>
      <c r="ED452" s="1162"/>
      <c r="EE452" s="1162"/>
      <c r="EF452" s="1163"/>
      <c r="EG452" s="1162"/>
      <c r="EH452" s="1162"/>
      <c r="EI452" s="1163"/>
      <c r="EJ452" s="1162"/>
      <c r="EK452" s="1162"/>
      <c r="EL452" s="1163"/>
      <c r="EM452" s="1162"/>
      <c r="EN452" s="1162"/>
      <c r="EO452" s="1163"/>
      <c r="EP452" s="1162"/>
      <c r="EQ452" s="1162"/>
      <c r="ER452" s="1163"/>
      <c r="ES452" s="1162"/>
      <c r="ET452" s="1162"/>
      <c r="EU452" s="1163"/>
      <c r="EV452" s="1162"/>
      <c r="EW452" s="1162"/>
      <c r="EX452" s="1163"/>
      <c r="EY452" s="1162"/>
      <c r="EZ452" s="1162"/>
      <c r="FA452" s="1163"/>
      <c r="FD452"/>
      <c r="FE452"/>
      <c r="FF452"/>
      <c r="FG452"/>
      <c r="FH452"/>
      <c r="FI452"/>
    </row>
    <row r="453" spans="1:165" s="35" customFormat="1">
      <c r="A453" s="1457"/>
      <c r="B453" s="1488" t="s">
        <v>322</v>
      </c>
      <c r="C453" s="1457"/>
      <c r="D453" s="1489" t="s">
        <v>506</v>
      </c>
      <c r="E453" s="1457"/>
      <c r="F453" s="1457"/>
      <c r="G453" s="1457"/>
      <c r="H453" s="1457"/>
      <c r="I453" s="1457"/>
      <c r="J453" s="1457"/>
      <c r="K453" s="1457"/>
      <c r="L453" s="1457"/>
      <c r="M453" s="1457"/>
      <c r="N453" s="1457"/>
      <c r="O453" s="1457"/>
      <c r="P453" s="1457"/>
      <c r="Q453" s="1453"/>
      <c r="R453" s="1453"/>
      <c r="S453" s="1453"/>
      <c r="T453" s="1453"/>
      <c r="U453" s="1453"/>
      <c r="V453" s="1451"/>
      <c r="W453" s="1451"/>
      <c r="X453" s="1451"/>
      <c r="Y453" s="1451"/>
      <c r="Z453" s="1451"/>
      <c r="AA453" s="1451"/>
      <c r="AB453" s="1451"/>
      <c r="AC453" s="1451"/>
      <c r="AD453" s="1451"/>
      <c r="AE453" s="1451"/>
      <c r="AF453" s="1451"/>
      <c r="AG453" s="1451"/>
      <c r="AH453" s="1451"/>
      <c r="AI453" s="1451"/>
      <c r="AJ453" s="1451"/>
      <c r="AK453" s="1451"/>
      <c r="AL453" s="1451"/>
      <c r="AM453" s="1451"/>
      <c r="AN453" s="1485"/>
      <c r="AO453" s="1485"/>
      <c r="AP453" s="1485"/>
      <c r="AQ453" s="1485"/>
      <c r="AR453" s="1485"/>
      <c r="AS453" s="1485"/>
      <c r="AT453" s="1485"/>
      <c r="AU453" s="1487"/>
      <c r="AV453" s="1487"/>
      <c r="AW453" s="1487"/>
      <c r="AX453" s="1487"/>
      <c r="AY453" s="1487"/>
      <c r="AZ453" s="1487"/>
      <c r="BA453" s="1487"/>
      <c r="BB453" s="1487"/>
      <c r="BC453" s="1487"/>
      <c r="BD453" s="1487"/>
      <c r="BE453" s="1487"/>
      <c r="BF453" s="1487"/>
      <c r="BG453" s="1487"/>
      <c r="BH453" s="1487"/>
      <c r="BI453" s="1487"/>
      <c r="BJ453" s="1487"/>
      <c r="BK453" s="1487"/>
      <c r="BL453" s="1487"/>
      <c r="BM453" s="1487"/>
      <c r="BN453" s="1487"/>
      <c r="BO453" s="1487"/>
      <c r="BP453" s="1487"/>
      <c r="BQ453" s="1487"/>
      <c r="BR453" s="1487"/>
      <c r="BS453" s="1487"/>
      <c r="BT453" s="1487"/>
      <c r="BU453" s="1487"/>
      <c r="BV453" s="1487"/>
      <c r="BW453" s="1487"/>
      <c r="BX453" s="1487"/>
      <c r="BY453" s="1487"/>
      <c r="BZ453" s="1487"/>
      <c r="CA453" s="1487"/>
      <c r="CB453" s="1486"/>
      <c r="CC453" s="1486"/>
      <c r="CD453" s="1162"/>
      <c r="CE453" s="1162"/>
      <c r="CF453" s="1162"/>
      <c r="CG453" s="1162"/>
      <c r="CH453" s="1162"/>
      <c r="CI453" s="1162"/>
      <c r="CJ453" s="1162"/>
      <c r="CK453" s="1162"/>
      <c r="CL453" s="1162"/>
      <c r="CM453" s="1162"/>
      <c r="CN453" s="1162"/>
      <c r="CO453" s="1162"/>
      <c r="CP453" s="1162"/>
      <c r="CQ453" s="1162"/>
      <c r="CR453" s="1162"/>
      <c r="CS453" s="1162"/>
      <c r="CT453" s="1162"/>
      <c r="CU453" s="1162"/>
      <c r="CV453" s="1162"/>
      <c r="CW453" s="1162"/>
      <c r="CX453" s="1162"/>
      <c r="CY453" s="1162"/>
      <c r="CZ453" s="1162"/>
      <c r="DA453" s="1162"/>
      <c r="DB453" s="1162"/>
      <c r="DC453" s="1162"/>
      <c r="DD453" s="1162"/>
      <c r="DE453" s="1163"/>
      <c r="DF453" s="1162"/>
      <c r="DG453" s="1162"/>
      <c r="DH453" s="1163"/>
      <c r="DI453" s="1162"/>
      <c r="DJ453" s="1162"/>
      <c r="DK453" s="1163"/>
      <c r="DL453" s="1162"/>
      <c r="DM453" s="1162"/>
      <c r="DN453" s="1163"/>
      <c r="DO453" s="1162"/>
      <c r="DP453" s="1162"/>
      <c r="DQ453" s="1163"/>
      <c r="DR453" s="1162"/>
      <c r="DS453" s="1162"/>
      <c r="DT453" s="1163"/>
      <c r="DU453" s="1162"/>
      <c r="DV453" s="1162"/>
      <c r="DW453" s="1163"/>
      <c r="DX453" s="1162"/>
      <c r="DY453" s="1162"/>
      <c r="DZ453" s="1163"/>
      <c r="EA453" s="1162"/>
      <c r="EB453" s="1162"/>
      <c r="EC453" s="1163"/>
      <c r="ED453" s="1162"/>
      <c r="EE453" s="1162"/>
      <c r="EF453" s="1163"/>
      <c r="EG453" s="1162"/>
      <c r="EH453" s="1162"/>
      <c r="EI453" s="1163"/>
      <c r="EJ453" s="1162"/>
      <c r="EK453" s="1162"/>
      <c r="EL453" s="1163"/>
      <c r="EM453" s="1162"/>
      <c r="EN453" s="1162"/>
      <c r="EO453" s="1163"/>
      <c r="EP453" s="1162"/>
      <c r="EQ453" s="1162"/>
      <c r="ER453" s="1163"/>
      <c r="ES453" s="1162"/>
      <c r="ET453" s="1162"/>
      <c r="EU453" s="1163"/>
      <c r="EV453" s="1162"/>
      <c r="EW453" s="1162"/>
      <c r="EX453" s="1163"/>
      <c r="EY453" s="1162"/>
      <c r="EZ453" s="1162"/>
      <c r="FA453" s="1163"/>
      <c r="FD453"/>
      <c r="FE453"/>
      <c r="FF453"/>
      <c r="FG453"/>
      <c r="FH453"/>
      <c r="FI453"/>
    </row>
    <row r="454" spans="1:165" s="35" customFormat="1" ht="13.5" thickBot="1">
      <c r="A454" s="1457"/>
      <c r="B454" s="1461" t="s">
        <v>323</v>
      </c>
      <c r="C454" s="1457"/>
      <c r="D454" s="1457"/>
      <c r="E454" s="1490"/>
      <c r="F454" s="1490"/>
      <c r="G454" s="1490"/>
      <c r="H454" s="1490"/>
      <c r="I454" s="1490"/>
      <c r="J454" s="1490"/>
      <c r="K454" s="1490"/>
      <c r="L454" s="1490"/>
      <c r="M454" s="1490"/>
      <c r="N454" s="1490"/>
      <c r="O454" s="1490"/>
      <c r="P454" s="1490"/>
      <c r="Q454" s="1491"/>
      <c r="R454" s="1491"/>
      <c r="S454" s="1491"/>
      <c r="T454" s="1491"/>
      <c r="U454" s="1491"/>
      <c r="V454" s="1492"/>
      <c r="W454" s="1492"/>
      <c r="X454" s="1492"/>
      <c r="Y454" s="1492"/>
      <c r="Z454" s="1492"/>
      <c r="AA454" s="1492"/>
      <c r="AB454" s="1492"/>
      <c r="AC454" s="1492"/>
      <c r="AD454" s="1492"/>
      <c r="AE454" s="1492"/>
      <c r="AF454" s="1492"/>
      <c r="AG454" s="1492"/>
      <c r="AH454" s="1492"/>
      <c r="AI454" s="1492"/>
      <c r="AJ454" s="1492"/>
      <c r="AK454" s="1492"/>
      <c r="AL454" s="1492"/>
      <c r="AM454" s="1492"/>
      <c r="AN454" s="1493">
        <f>+SUM(AN455:AN456)</f>
        <v>0</v>
      </c>
      <c r="AO454" s="1493">
        <f>+SUM(AO455:AO456)</f>
        <v>0</v>
      </c>
      <c r="AP454" s="1493">
        <f t="shared" ref="AP454:AP459" si="995">+AQ454</f>
        <v>0</v>
      </c>
      <c r="AQ454" s="1493">
        <f>+SUM(AQ455:AQ456)</f>
        <v>0</v>
      </c>
      <c r="AR454" s="1493">
        <f>+SUM(AR455:AR456)</f>
        <v>0</v>
      </c>
      <c r="AS454" s="1493">
        <f t="shared" ref="AS454:AS459" si="996">+AT454</f>
        <v>0</v>
      </c>
      <c r="AT454" s="1493">
        <f>+SUM(AT455:AT456)</f>
        <v>0</v>
      </c>
      <c r="AU454" s="1493">
        <f>+SUM(AU455:AU456)</f>
        <v>0</v>
      </c>
      <c r="AV454" s="1493">
        <f t="shared" ref="AV454:AV459" si="997">+AW454</f>
        <v>0</v>
      </c>
      <c r="AW454" s="1493">
        <f>+SUM(AW455:AW456)</f>
        <v>0</v>
      </c>
      <c r="AX454" s="1493">
        <f>+SUM(AX455:AX456)</f>
        <v>0</v>
      </c>
      <c r="AY454" s="1493">
        <f t="shared" ref="AY454:AY459" si="998">+AZ454</f>
        <v>0</v>
      </c>
      <c r="AZ454" s="1493">
        <f>+SUM(AZ455:AZ456)</f>
        <v>0</v>
      </c>
      <c r="BA454" s="1493">
        <f>+SUM(BA455:BA456)</f>
        <v>0</v>
      </c>
      <c r="BB454" s="1493">
        <f t="shared" ref="BB454:BB459" si="999">+BC454</f>
        <v>0</v>
      </c>
      <c r="BC454" s="1493">
        <f>+SUM(BC455:BC456)</f>
        <v>0</v>
      </c>
      <c r="BD454" s="1493">
        <f>+SUM(BD455:BD456)</f>
        <v>0</v>
      </c>
      <c r="BE454" s="1493">
        <f t="shared" ref="BE454:BE459" si="1000">+BF454</f>
        <v>0</v>
      </c>
      <c r="BF454" s="1493">
        <f>+SUM(BF455:BF456)</f>
        <v>0</v>
      </c>
      <c r="BG454" s="1493">
        <f>+SUM(BG455:BG456)</f>
        <v>0</v>
      </c>
      <c r="BH454" s="1493">
        <f t="shared" ref="BH454:BH459" si="1001">+BI454</f>
        <v>0</v>
      </c>
      <c r="BI454" s="1493">
        <f>+SUM(BI455:BI456)</f>
        <v>0</v>
      </c>
      <c r="BJ454" s="1493">
        <f>+SUM(BJ455:BJ456)</f>
        <v>0</v>
      </c>
      <c r="BK454" s="1493">
        <f t="shared" ref="BK454:BK459" si="1002">+BL454</f>
        <v>0</v>
      </c>
      <c r="BL454" s="1493">
        <f>+SUM(BL455:BL456)</f>
        <v>0</v>
      </c>
      <c r="BM454" s="1493">
        <f>+SUM(BM455:BM456)</f>
        <v>0</v>
      </c>
      <c r="BN454" s="1493">
        <f t="shared" ref="BN454:BN459" si="1003">+BO454</f>
        <v>0</v>
      </c>
      <c r="BO454" s="1493">
        <f>+SUM(BO455:BO456)</f>
        <v>0</v>
      </c>
      <c r="BP454" s="1493">
        <f>+SUM(BP455:BP456)</f>
        <v>0</v>
      </c>
      <c r="BQ454" s="1493">
        <f t="shared" ref="BQ454:BQ459" si="1004">+BR454</f>
        <v>0</v>
      </c>
      <c r="BR454" s="1493">
        <f>+SUM(BR455:BR456)</f>
        <v>0</v>
      </c>
      <c r="BS454" s="1493">
        <f>+SUM(BS455:BS456)</f>
        <v>0</v>
      </c>
      <c r="BT454" s="1493">
        <f t="shared" ref="BT454:BT459" si="1005">+BU454</f>
        <v>0</v>
      </c>
      <c r="BU454" s="1493">
        <f>+SUM(BU455:BU456)</f>
        <v>0</v>
      </c>
      <c r="BV454" s="1493">
        <f>+SUM(BV455:BV456)</f>
        <v>0</v>
      </c>
      <c r="BW454" s="1493">
        <f t="shared" ref="BW454:BW459" si="1006">+BX454</f>
        <v>0</v>
      </c>
      <c r="BX454" s="1493">
        <f>+SUM(BX455:BX456)</f>
        <v>0</v>
      </c>
      <c r="BY454" s="1493">
        <f>+SUM(BY455:BY456)</f>
        <v>0</v>
      </c>
      <c r="BZ454" s="1493">
        <f t="shared" ref="BZ454:BZ459" si="1007">+CA454</f>
        <v>0</v>
      </c>
      <c r="CA454" s="1493">
        <f>+SUM(CA455:CA456)</f>
        <v>0</v>
      </c>
      <c r="CB454" s="1494">
        <f>+SUM(CB455:CB456)</f>
        <v>0</v>
      </c>
      <c r="CC454" s="1494">
        <f t="shared" ref="CC454:CC459" si="1008">+CD454</f>
        <v>0</v>
      </c>
      <c r="CD454" s="1495">
        <f>+SUM(CD455:CD456)</f>
        <v>0</v>
      </c>
      <c r="CE454" s="1495">
        <f>+SUM(CE455:CE456)</f>
        <v>0</v>
      </c>
      <c r="CF454" s="1495">
        <f t="shared" ref="CF454:CF459" si="1009">+CG454</f>
        <v>0</v>
      </c>
      <c r="CG454" s="1495">
        <f>+SUM(CG455:CG456)</f>
        <v>0</v>
      </c>
      <c r="CH454" s="1495">
        <f>+SUM(CH455:CH456)</f>
        <v>0</v>
      </c>
      <c r="CI454" s="1495">
        <f t="shared" ref="CI454:CI459" si="1010">+CJ454</f>
        <v>0</v>
      </c>
      <c r="CJ454" s="1495">
        <f>+SUM(CJ455:CJ456)</f>
        <v>0</v>
      </c>
      <c r="CK454" s="1495">
        <f>+SUM(CK455:CK456)</f>
        <v>0</v>
      </c>
      <c r="CL454" s="1495">
        <f t="shared" ref="CL454:CL459" si="1011">+CM454</f>
        <v>0</v>
      </c>
      <c r="CM454" s="1495">
        <f>+SUM(CM455:CM456)</f>
        <v>0</v>
      </c>
      <c r="CN454" s="1495">
        <f>+SUM(CN455:CN456)</f>
        <v>0</v>
      </c>
      <c r="CO454" s="1495">
        <f t="shared" ref="CO454:CO459" si="1012">+CP454</f>
        <v>0</v>
      </c>
      <c r="CP454" s="1495">
        <f>+SUM(CP455:CP456)</f>
        <v>0</v>
      </c>
      <c r="CQ454" s="1495">
        <f>+SUM(CQ455:CQ456)</f>
        <v>0</v>
      </c>
      <c r="CR454" s="1495">
        <f t="shared" ref="CR454:CR459" si="1013">+CS454</f>
        <v>-843</v>
      </c>
      <c r="CS454" s="1495">
        <f>+SUM(CS455:CS456)</f>
        <v>-843</v>
      </c>
      <c r="CT454" s="1495">
        <f>+SUM(CT455:CT456)</f>
        <v>0</v>
      </c>
      <c r="CU454" s="1495">
        <f t="shared" ref="CU454:CU459" si="1014">+CV454</f>
        <v>0</v>
      </c>
      <c r="CV454" s="1495">
        <f>+SUM(CV455:CV456)</f>
        <v>0</v>
      </c>
      <c r="CW454" s="1495">
        <f>+SUM(CW455:CW456)</f>
        <v>0</v>
      </c>
      <c r="CX454" s="1495">
        <f t="shared" ref="CX454:CX459" si="1015">+CY454</f>
        <v>0</v>
      </c>
      <c r="CY454" s="1495">
        <f>+SUM(CY455:CY456)</f>
        <v>0</v>
      </c>
      <c r="CZ454" s="1495">
        <f>+SUM(CZ455:CZ456)</f>
        <v>0</v>
      </c>
      <c r="DA454" s="1495">
        <f t="shared" ref="DA454:DA459" si="1016">+DB454</f>
        <v>0</v>
      </c>
      <c r="DB454" s="1495">
        <f>+SUM(DB455:DB456)</f>
        <v>0</v>
      </c>
      <c r="DC454" s="1495">
        <f>+SUM(DC455:DC456)</f>
        <v>0</v>
      </c>
      <c r="DD454" s="1495">
        <f t="shared" ref="DD454:DD459" si="1017">+DE454</f>
        <v>0</v>
      </c>
      <c r="DE454" s="1496">
        <f>+SUM(DE455:DE456)</f>
        <v>0</v>
      </c>
      <c r="DF454" s="1495">
        <f>+SUM(DF455:DF456)</f>
        <v>0</v>
      </c>
      <c r="DG454" s="1495">
        <f t="shared" ref="DG454:DG459" si="1018">+DH454</f>
        <v>0</v>
      </c>
      <c r="DH454" s="1496">
        <f>+SUM(DH455:DH456)</f>
        <v>0</v>
      </c>
      <c r="DI454" s="1495">
        <f>+SUM(DI455:DI456)</f>
        <v>0</v>
      </c>
      <c r="DJ454" s="1495">
        <f t="shared" ref="DJ454:DJ459" si="1019">+DK454</f>
        <v>0</v>
      </c>
      <c r="DK454" s="1496">
        <f>+SUM(DK455:DK456)</f>
        <v>0</v>
      </c>
      <c r="DL454" s="1495">
        <f>+SUM(DL455:DL456)</f>
        <v>0</v>
      </c>
      <c r="DM454" s="1495">
        <f t="shared" ref="DM454:DM459" si="1020">+DN454</f>
        <v>0</v>
      </c>
      <c r="DN454" s="1496">
        <f>+SUM(DN455:DN456)</f>
        <v>0</v>
      </c>
      <c r="DO454" s="1495">
        <f>+SUM(DO455:DO456)</f>
        <v>0</v>
      </c>
      <c r="DP454" s="1495">
        <f t="shared" ref="DP454:DP459" si="1021">+DQ454</f>
        <v>0</v>
      </c>
      <c r="DQ454" s="1496">
        <f>+SUM(DQ455:DQ456)</f>
        <v>0</v>
      </c>
      <c r="DR454" s="1495">
        <f>+SUM(DR455:DR456)</f>
        <v>0</v>
      </c>
      <c r="DS454" s="1495">
        <f t="shared" ref="DS454:DS459" si="1022">+DT454</f>
        <v>0</v>
      </c>
      <c r="DT454" s="1496">
        <f>+SUM(DT455:DT456)</f>
        <v>0</v>
      </c>
      <c r="DU454" s="1495">
        <f>+SUM(DU455:DU456)</f>
        <v>0</v>
      </c>
      <c r="DV454" s="1495">
        <f t="shared" ref="DV454:DV459" si="1023">+DW454</f>
        <v>0</v>
      </c>
      <c r="DW454" s="1496">
        <f>+SUM(DW455:DW456)</f>
        <v>0</v>
      </c>
      <c r="DX454" s="1495">
        <f>+SUM(DX455:DX456)</f>
        <v>0</v>
      </c>
      <c r="DY454" s="1495">
        <f t="shared" ref="DY454:DY459" si="1024">+DZ454</f>
        <v>0</v>
      </c>
      <c r="DZ454" s="1496">
        <f>+SUM(DZ455:DZ456)</f>
        <v>0</v>
      </c>
      <c r="EA454" s="1495">
        <f>+SUM(EA455:EA456)</f>
        <v>0</v>
      </c>
      <c r="EB454" s="1495">
        <f t="shared" ref="EB454:EB459" si="1025">+EC454</f>
        <v>0</v>
      </c>
      <c r="EC454" s="1496">
        <f>+SUM(EC455:EC456)</f>
        <v>0</v>
      </c>
      <c r="ED454" s="1495">
        <f>+SUM(ED455:ED456)</f>
        <v>0</v>
      </c>
      <c r="EE454" s="1495">
        <f t="shared" ref="EE454:EE459" si="1026">+EF454</f>
        <v>0</v>
      </c>
      <c r="EF454" s="1496">
        <f>+SUM(EF455:EF456)</f>
        <v>0</v>
      </c>
      <c r="EG454" s="1495">
        <f>+SUM(EG455:EG456)</f>
        <v>0</v>
      </c>
      <c r="EH454" s="1495">
        <f t="shared" ref="EH454:EH459" si="1027">+EI454</f>
        <v>0</v>
      </c>
      <c r="EI454" s="1496">
        <f>+SUM(EI455:EI456)</f>
        <v>0</v>
      </c>
      <c r="EJ454" s="1495">
        <f>+SUM(EJ455:EJ456)</f>
        <v>0</v>
      </c>
      <c r="EK454" s="1495">
        <f t="shared" ref="EK454:EK459" si="1028">+EL454</f>
        <v>0</v>
      </c>
      <c r="EL454" s="1496">
        <f>+SUM(EL455:EL456)</f>
        <v>0</v>
      </c>
      <c r="EM454" s="1495">
        <f>+SUM(EM455:EM456)</f>
        <v>0</v>
      </c>
      <c r="EN454" s="1495">
        <f t="shared" ref="EN454:EN459" si="1029">+EO454</f>
        <v>0</v>
      </c>
      <c r="EO454" s="1496">
        <f>+SUM(EO455:EO456)</f>
        <v>0</v>
      </c>
      <c r="EP454" s="1495">
        <f>+SUM(EP455:EP456)</f>
        <v>0</v>
      </c>
      <c r="EQ454" s="1495">
        <f t="shared" ref="EQ454:EQ459" si="1030">+ER454</f>
        <v>0</v>
      </c>
      <c r="ER454" s="1496">
        <f>+SUM(ER455:ER456)</f>
        <v>0</v>
      </c>
      <c r="ES454" s="1495">
        <f>+SUM(ES455:ES456)</f>
        <v>0</v>
      </c>
      <c r="ET454" s="1495">
        <f t="shared" ref="ET454:ET459" si="1031">+EU454</f>
        <v>0</v>
      </c>
      <c r="EU454" s="1496">
        <f>+SUM(EU455:EU456)</f>
        <v>0</v>
      </c>
      <c r="EV454" s="1495">
        <f>+SUM(EV455:EV456)</f>
        <v>0</v>
      </c>
      <c r="EW454" s="1495">
        <f t="shared" ref="EW454:EW459" si="1032">+EX454</f>
        <v>0</v>
      </c>
      <c r="EX454" s="1496">
        <f>+SUM(EX455:EX456)</f>
        <v>0</v>
      </c>
      <c r="EY454" s="1495">
        <f>+SUM(EY455:EY456)</f>
        <v>0</v>
      </c>
      <c r="EZ454" s="1495">
        <f t="shared" ref="EZ454:EZ459" si="1033">+FA454</f>
        <v>0</v>
      </c>
      <c r="FA454" s="1496">
        <f>+SUM(FA455:FA456)</f>
        <v>0</v>
      </c>
      <c r="FD454"/>
      <c r="FE454"/>
      <c r="FF454"/>
      <c r="FG454"/>
      <c r="FH454"/>
      <c r="FI454"/>
    </row>
    <row r="455" spans="1:165" s="35" customFormat="1">
      <c r="A455" s="1457"/>
      <c r="B455" s="1457" t="s">
        <v>495</v>
      </c>
      <c r="C455" s="1457"/>
      <c r="D455" s="1457"/>
      <c r="E455" s="1490"/>
      <c r="F455" s="1490"/>
      <c r="G455" s="1490"/>
      <c r="H455" s="1490"/>
      <c r="I455" s="1490"/>
      <c r="J455" s="1490"/>
      <c r="K455" s="1490"/>
      <c r="L455" s="1490"/>
      <c r="M455" s="1490"/>
      <c r="N455" s="1490"/>
      <c r="O455" s="1490"/>
      <c r="P455" s="1490"/>
      <c r="Q455" s="1491"/>
      <c r="R455" s="1491"/>
      <c r="S455" s="1491"/>
      <c r="T455" s="1491"/>
      <c r="U455" s="1491"/>
      <c r="V455" s="1492"/>
      <c r="W455" s="1492"/>
      <c r="X455" s="1492"/>
      <c r="Y455" s="1492"/>
      <c r="Z455" s="1492"/>
      <c r="AA455" s="1492"/>
      <c r="AB455" s="1492"/>
      <c r="AC455" s="1492"/>
      <c r="AD455" s="1492"/>
      <c r="AE455" s="1492"/>
      <c r="AF455" s="1492"/>
      <c r="AG455" s="1492"/>
      <c r="AH455" s="1492"/>
      <c r="AI455" s="1492"/>
      <c r="AJ455" s="1492"/>
      <c r="AK455" s="1492"/>
      <c r="AL455" s="1492"/>
      <c r="AM455" s="1492"/>
      <c r="AN455" s="1424"/>
      <c r="AO455" s="1497"/>
      <c r="AP455" s="1498">
        <f t="shared" si="995"/>
        <v>0</v>
      </c>
      <c r="AQ455" s="1424"/>
      <c r="AR455" s="1497"/>
      <c r="AS455" s="1498">
        <f t="shared" si="996"/>
        <v>0</v>
      </c>
      <c r="AT455" s="1424"/>
      <c r="AU455" s="1497"/>
      <c r="AV455" s="1498">
        <f t="shared" si="997"/>
        <v>0</v>
      </c>
      <c r="AW455" s="1424"/>
      <c r="AX455" s="1497"/>
      <c r="AY455" s="1498">
        <f t="shared" si="998"/>
        <v>0</v>
      </c>
      <c r="AZ455" s="1424"/>
      <c r="BA455" s="1497"/>
      <c r="BB455" s="1498">
        <f t="shared" si="999"/>
        <v>0</v>
      </c>
      <c r="BC455" s="1424"/>
      <c r="BD455" s="1497"/>
      <c r="BE455" s="1498">
        <f t="shared" si="1000"/>
        <v>0</v>
      </c>
      <c r="BF455" s="1424"/>
      <c r="BG455" s="1497"/>
      <c r="BH455" s="1498">
        <f t="shared" si="1001"/>
        <v>0</v>
      </c>
      <c r="BI455" s="1424"/>
      <c r="BJ455" s="1497"/>
      <c r="BK455" s="1498">
        <f t="shared" si="1002"/>
        <v>0</v>
      </c>
      <c r="BL455" s="1424"/>
      <c r="BM455" s="1497"/>
      <c r="BN455" s="1498">
        <f t="shared" si="1003"/>
        <v>0</v>
      </c>
      <c r="BO455" s="1424"/>
      <c r="BP455" s="1497"/>
      <c r="BQ455" s="1498">
        <f t="shared" si="1004"/>
        <v>0</v>
      </c>
      <c r="BR455" s="1427"/>
      <c r="BS455" s="1497"/>
      <c r="BT455" s="1498">
        <f t="shared" si="1005"/>
        <v>0</v>
      </c>
      <c r="BU455" s="1427"/>
      <c r="BV455" s="1497"/>
      <c r="BW455" s="1498">
        <f t="shared" si="1006"/>
        <v>0</v>
      </c>
      <c r="BX455" s="1427"/>
      <c r="BY455" s="1497"/>
      <c r="BZ455" s="1498">
        <f t="shared" si="1007"/>
        <v>0</v>
      </c>
      <c r="CA455" s="1427"/>
      <c r="CB455" s="1425"/>
      <c r="CC455" s="1499">
        <f t="shared" si="1008"/>
        <v>0</v>
      </c>
      <c r="CD455" s="1324"/>
      <c r="CE455" s="1325"/>
      <c r="CF455" s="1500">
        <f t="shared" si="1009"/>
        <v>0</v>
      </c>
      <c r="CG455" s="1324"/>
      <c r="CH455" s="1325"/>
      <c r="CI455" s="1500">
        <f t="shared" si="1010"/>
        <v>0</v>
      </c>
      <c r="CJ455" s="1324"/>
      <c r="CK455" s="1325"/>
      <c r="CL455" s="1500">
        <f t="shared" si="1011"/>
        <v>0</v>
      </c>
      <c r="CM455" s="1324"/>
      <c r="CN455" s="1325"/>
      <c r="CO455" s="1500">
        <f t="shared" si="1012"/>
        <v>0</v>
      </c>
      <c r="CP455" s="1324"/>
      <c r="CQ455" s="1325"/>
      <c r="CR455" s="1500">
        <f t="shared" si="1013"/>
        <v>0</v>
      </c>
      <c r="CS455" s="1324"/>
      <c r="CT455" s="1325"/>
      <c r="CU455" s="1500">
        <f t="shared" si="1014"/>
        <v>0</v>
      </c>
      <c r="CV455" s="1324"/>
      <c r="CW455" s="1325"/>
      <c r="CX455" s="1500">
        <f t="shared" si="1015"/>
        <v>0</v>
      </c>
      <c r="CY455" s="1324"/>
      <c r="CZ455" s="1325"/>
      <c r="DA455" s="1500">
        <f t="shared" si="1016"/>
        <v>0</v>
      </c>
      <c r="DB455" s="1324"/>
      <c r="DC455" s="1325"/>
      <c r="DD455" s="1500">
        <f t="shared" si="1017"/>
        <v>0</v>
      </c>
      <c r="DE455" s="1501"/>
      <c r="DF455" s="1325"/>
      <c r="DG455" s="1500">
        <f t="shared" si="1018"/>
        <v>0</v>
      </c>
      <c r="DH455" s="1501"/>
      <c r="DI455" s="1325"/>
      <c r="DJ455" s="1500">
        <f t="shared" si="1019"/>
        <v>0</v>
      </c>
      <c r="DK455" s="1501"/>
      <c r="DL455" s="1325"/>
      <c r="DM455" s="1500">
        <f t="shared" si="1020"/>
        <v>0</v>
      </c>
      <c r="DN455" s="1501"/>
      <c r="DO455" s="1325"/>
      <c r="DP455" s="1500">
        <f t="shared" si="1021"/>
        <v>0</v>
      </c>
      <c r="DQ455" s="1501"/>
      <c r="DR455" s="1325"/>
      <c r="DS455" s="1500">
        <f t="shared" si="1022"/>
        <v>0</v>
      </c>
      <c r="DT455" s="1501"/>
      <c r="DU455" s="1325"/>
      <c r="DV455" s="1500">
        <f t="shared" si="1023"/>
        <v>0</v>
      </c>
      <c r="DW455" s="1501"/>
      <c r="DX455" s="1325"/>
      <c r="DY455" s="1500">
        <f t="shared" si="1024"/>
        <v>0</v>
      </c>
      <c r="DZ455" s="1501"/>
      <c r="EA455" s="1325"/>
      <c r="EB455" s="1500">
        <f t="shared" si="1025"/>
        <v>0</v>
      </c>
      <c r="EC455" s="1501"/>
      <c r="ED455" s="1325"/>
      <c r="EE455" s="1500">
        <f t="shared" si="1026"/>
        <v>0</v>
      </c>
      <c r="EF455" s="1501"/>
      <c r="EG455" s="1325"/>
      <c r="EH455" s="1500">
        <f t="shared" si="1027"/>
        <v>0</v>
      </c>
      <c r="EI455" s="1501"/>
      <c r="EJ455" s="1325"/>
      <c r="EK455" s="1500">
        <f t="shared" si="1028"/>
        <v>0</v>
      </c>
      <c r="EL455" s="1501"/>
      <c r="EM455" s="1325"/>
      <c r="EN455" s="1500">
        <f t="shared" si="1029"/>
        <v>0</v>
      </c>
      <c r="EO455" s="1501"/>
      <c r="EP455" s="1325"/>
      <c r="EQ455" s="1500">
        <f t="shared" si="1030"/>
        <v>0</v>
      </c>
      <c r="ER455" s="1501"/>
      <c r="ES455" s="1325"/>
      <c r="ET455" s="1500">
        <f t="shared" si="1031"/>
        <v>0</v>
      </c>
      <c r="EU455" s="1501"/>
      <c r="EV455" s="1325"/>
      <c r="EW455" s="1500">
        <f t="shared" si="1032"/>
        <v>0</v>
      </c>
      <c r="EX455" s="1501"/>
      <c r="EY455" s="1325"/>
      <c r="EZ455" s="1500">
        <f t="shared" si="1033"/>
        <v>0</v>
      </c>
      <c r="FA455" s="1501"/>
      <c r="FD455"/>
      <c r="FE455"/>
      <c r="FF455"/>
      <c r="FG455"/>
      <c r="FH455"/>
      <c r="FI455"/>
    </row>
    <row r="456" spans="1:165" s="35" customFormat="1" ht="13.5" thickBot="1">
      <c r="A456" s="1457"/>
      <c r="B456" s="1457" t="s">
        <v>579</v>
      </c>
      <c r="C456" s="1457"/>
      <c r="D456" s="1457"/>
      <c r="E456" s="1490"/>
      <c r="F456" s="1490"/>
      <c r="G456" s="1490"/>
      <c r="H456" s="1490"/>
      <c r="I456" s="1490"/>
      <c r="J456" s="1490"/>
      <c r="K456" s="1490"/>
      <c r="L456" s="1490"/>
      <c r="M456" s="1490"/>
      <c r="N456" s="1490"/>
      <c r="O456" s="1490"/>
      <c r="P456" s="1490"/>
      <c r="Q456" s="1491"/>
      <c r="R456" s="1491"/>
      <c r="S456" s="1491"/>
      <c r="T456" s="1491"/>
      <c r="U456" s="1491"/>
      <c r="V456" s="1492"/>
      <c r="W456" s="1492"/>
      <c r="X456" s="1492"/>
      <c r="Y456" s="1492"/>
      <c r="Z456" s="1492"/>
      <c r="AA456" s="1492"/>
      <c r="AB456" s="1492"/>
      <c r="AC456" s="1492"/>
      <c r="AD456" s="1492"/>
      <c r="AE456" s="1492"/>
      <c r="AF456" s="1492"/>
      <c r="AG456" s="1492"/>
      <c r="AH456" s="1492"/>
      <c r="AI456" s="1492"/>
      <c r="AJ456" s="1492"/>
      <c r="AK456" s="1492"/>
      <c r="AL456" s="1492"/>
      <c r="AM456" s="1492"/>
      <c r="AN456" s="1502"/>
      <c r="AO456" s="1503"/>
      <c r="AP456" s="1498">
        <f t="shared" si="995"/>
        <v>0</v>
      </c>
      <c r="AQ456" s="1502"/>
      <c r="AR456" s="1503"/>
      <c r="AS456" s="1498">
        <f t="shared" si="996"/>
        <v>0</v>
      </c>
      <c r="AT456" s="1502"/>
      <c r="AU456" s="1503"/>
      <c r="AV456" s="1498">
        <f t="shared" si="997"/>
        <v>0</v>
      </c>
      <c r="AW456" s="1502"/>
      <c r="AX456" s="1503"/>
      <c r="AY456" s="1498">
        <f t="shared" si="998"/>
        <v>0</v>
      </c>
      <c r="AZ456" s="1502"/>
      <c r="BA456" s="1503"/>
      <c r="BB456" s="1498">
        <f t="shared" si="999"/>
        <v>0</v>
      </c>
      <c r="BC456" s="1502"/>
      <c r="BD456" s="1503"/>
      <c r="BE456" s="1498">
        <f t="shared" si="1000"/>
        <v>0</v>
      </c>
      <c r="BF456" s="1502"/>
      <c r="BG456" s="1503"/>
      <c r="BH456" s="1498">
        <f t="shared" si="1001"/>
        <v>0</v>
      </c>
      <c r="BI456" s="1502"/>
      <c r="BJ456" s="1503"/>
      <c r="BK456" s="1498">
        <f t="shared" si="1002"/>
        <v>0</v>
      </c>
      <c r="BL456" s="1502"/>
      <c r="BM456" s="1503"/>
      <c r="BN456" s="1498">
        <f t="shared" si="1003"/>
        <v>0</v>
      </c>
      <c r="BO456" s="1502"/>
      <c r="BP456" s="1503"/>
      <c r="BQ456" s="1498">
        <f t="shared" si="1004"/>
        <v>0</v>
      </c>
      <c r="BR456" s="1504"/>
      <c r="BS456" s="1503"/>
      <c r="BT456" s="1498">
        <f t="shared" si="1005"/>
        <v>0</v>
      </c>
      <c r="BU456" s="1504"/>
      <c r="BV456" s="1503"/>
      <c r="BW456" s="1498">
        <f t="shared" si="1006"/>
        <v>0</v>
      </c>
      <c r="BX456" s="1504"/>
      <c r="BY456" s="1503"/>
      <c r="BZ456" s="1498">
        <f t="shared" si="1007"/>
        <v>0</v>
      </c>
      <c r="CA456" s="1504">
        <f>BY456</f>
        <v>0</v>
      </c>
      <c r="CB456" s="1505"/>
      <c r="CC456" s="1499">
        <f t="shared" si="1008"/>
        <v>0</v>
      </c>
      <c r="CD456" s="1278"/>
      <c r="CE456" s="1279"/>
      <c r="CF456" s="1500">
        <f t="shared" si="1009"/>
        <v>0</v>
      </c>
      <c r="CG456" s="1278"/>
      <c r="CH456" s="1279"/>
      <c r="CI456" s="1500">
        <f t="shared" si="1010"/>
        <v>0</v>
      </c>
      <c r="CJ456" s="1278"/>
      <c r="CK456" s="1279"/>
      <c r="CL456" s="1500">
        <f t="shared" si="1011"/>
        <v>0</v>
      </c>
      <c r="CM456" s="1278"/>
      <c r="CN456" s="1279"/>
      <c r="CO456" s="1500">
        <f t="shared" si="1012"/>
        <v>0</v>
      </c>
      <c r="CP456" s="1278"/>
      <c r="CQ456" s="1279"/>
      <c r="CR456" s="1500">
        <f t="shared" si="1013"/>
        <v>-843</v>
      </c>
      <c r="CS456" s="1506">
        <v>-843</v>
      </c>
      <c r="CT456" s="1279"/>
      <c r="CU456" s="1500">
        <f t="shared" si="1014"/>
        <v>0</v>
      </c>
      <c r="CV456" s="1278"/>
      <c r="CW456" s="1279"/>
      <c r="CX456" s="1500">
        <f t="shared" si="1015"/>
        <v>0</v>
      </c>
      <c r="CY456" s="1278"/>
      <c r="CZ456" s="1279"/>
      <c r="DA456" s="1500">
        <f t="shared" si="1016"/>
        <v>0</v>
      </c>
      <c r="DB456" s="1278"/>
      <c r="DC456" s="1279"/>
      <c r="DD456" s="1500">
        <f t="shared" si="1017"/>
        <v>0</v>
      </c>
      <c r="DE456" s="1507"/>
      <c r="DF456" s="1279"/>
      <c r="DG456" s="1500">
        <f t="shared" si="1018"/>
        <v>0</v>
      </c>
      <c r="DH456" s="1507"/>
      <c r="DI456" s="1279"/>
      <c r="DJ456" s="1500">
        <f t="shared" si="1019"/>
        <v>0</v>
      </c>
      <c r="DK456" s="1507"/>
      <c r="DL456" s="1279"/>
      <c r="DM456" s="1500">
        <f t="shared" si="1020"/>
        <v>0</v>
      </c>
      <c r="DN456" s="1507"/>
      <c r="DO456" s="1279"/>
      <c r="DP456" s="1500">
        <f t="shared" si="1021"/>
        <v>0</v>
      </c>
      <c r="DQ456" s="1507"/>
      <c r="DR456" s="1279"/>
      <c r="DS456" s="1500">
        <f t="shared" si="1022"/>
        <v>0</v>
      </c>
      <c r="DT456" s="1507"/>
      <c r="DU456" s="1279"/>
      <c r="DV456" s="1500">
        <f t="shared" si="1023"/>
        <v>0</v>
      </c>
      <c r="DW456" s="1507"/>
      <c r="DX456" s="1279"/>
      <c r="DY456" s="1500">
        <f t="shared" si="1024"/>
        <v>0</v>
      </c>
      <c r="DZ456" s="1507"/>
      <c r="EA456" s="1279"/>
      <c r="EB456" s="1500">
        <f t="shared" si="1025"/>
        <v>0</v>
      </c>
      <c r="EC456" s="1507"/>
      <c r="ED456" s="1279"/>
      <c r="EE456" s="1500">
        <f t="shared" si="1026"/>
        <v>0</v>
      </c>
      <c r="EF456" s="1507"/>
      <c r="EG456" s="1279"/>
      <c r="EH456" s="1500">
        <f t="shared" si="1027"/>
        <v>0</v>
      </c>
      <c r="EI456" s="1507"/>
      <c r="EJ456" s="1279"/>
      <c r="EK456" s="1500">
        <f t="shared" si="1028"/>
        <v>0</v>
      </c>
      <c r="EL456" s="1507"/>
      <c r="EM456" s="1279"/>
      <c r="EN456" s="1500">
        <f t="shared" si="1029"/>
        <v>0</v>
      </c>
      <c r="EO456" s="1507"/>
      <c r="EP456" s="1279"/>
      <c r="EQ456" s="1500">
        <f t="shared" si="1030"/>
        <v>0</v>
      </c>
      <c r="ER456" s="1507"/>
      <c r="ES456" s="1279"/>
      <c r="ET456" s="1500">
        <f t="shared" si="1031"/>
        <v>0</v>
      </c>
      <c r="EU456" s="1507"/>
      <c r="EV456" s="1279"/>
      <c r="EW456" s="1500">
        <f t="shared" si="1032"/>
        <v>0</v>
      </c>
      <c r="EX456" s="1507"/>
      <c r="EY456" s="1279"/>
      <c r="EZ456" s="1500">
        <f t="shared" si="1033"/>
        <v>0</v>
      </c>
      <c r="FA456" s="1507"/>
      <c r="FD456"/>
      <c r="FE456"/>
      <c r="FF456"/>
      <c r="FG456"/>
      <c r="FH456"/>
      <c r="FI456"/>
    </row>
    <row r="457" spans="1:165" s="35" customFormat="1" ht="13.5" thickBot="1">
      <c r="A457" s="1457"/>
      <c r="B457" s="1488" t="s">
        <v>630</v>
      </c>
      <c r="C457" s="1457"/>
      <c r="D457" s="1457"/>
      <c r="E457" s="1490"/>
      <c r="F457" s="1490"/>
      <c r="G457" s="1490"/>
      <c r="H457" s="1490"/>
      <c r="I457" s="1490"/>
      <c r="J457" s="1490"/>
      <c r="K457" s="1490"/>
      <c r="L457" s="1490"/>
      <c r="M457" s="1490"/>
      <c r="N457" s="1490"/>
      <c r="O457" s="1490"/>
      <c r="P457" s="1490"/>
      <c r="Q457" s="1491"/>
      <c r="R457" s="1491"/>
      <c r="S457" s="1491"/>
      <c r="T457" s="1491"/>
      <c r="U457" s="1491"/>
      <c r="V457" s="1492"/>
      <c r="W457" s="1492"/>
      <c r="X457" s="1492"/>
      <c r="Y457" s="1492"/>
      <c r="Z457" s="1492"/>
      <c r="AA457" s="1492"/>
      <c r="AB457" s="1492"/>
      <c r="AC457" s="1492"/>
      <c r="AD457" s="1492"/>
      <c r="AE457" s="1492"/>
      <c r="AF457" s="1492"/>
      <c r="AG457" s="1492"/>
      <c r="AH457" s="1492"/>
      <c r="AI457" s="1492"/>
      <c r="AJ457" s="1492"/>
      <c r="AK457" s="1492"/>
      <c r="AL457" s="1492"/>
      <c r="AM457" s="1492"/>
      <c r="AN457" s="1493">
        <f>+SUM(AN458:AN459)</f>
        <v>0</v>
      </c>
      <c r="AO457" s="1493">
        <f>+SUM(AO458:AO459)</f>
        <v>0</v>
      </c>
      <c r="AP457" s="1493">
        <f t="shared" si="995"/>
        <v>0</v>
      </c>
      <c r="AQ457" s="1493">
        <f>+SUM(AQ458:AQ459)</f>
        <v>0</v>
      </c>
      <c r="AR457" s="1493">
        <f>+SUM(AR458:AR459)</f>
        <v>0</v>
      </c>
      <c r="AS457" s="1493">
        <f t="shared" si="996"/>
        <v>0</v>
      </c>
      <c r="AT457" s="1493">
        <f>+SUM(AT458:AT459)</f>
        <v>0</v>
      </c>
      <c r="AU457" s="1493">
        <f>+SUM(AU458:AU459)</f>
        <v>0</v>
      </c>
      <c r="AV457" s="1493">
        <f t="shared" si="997"/>
        <v>0</v>
      </c>
      <c r="AW457" s="1493">
        <f>+SUM(AW458:AW459)</f>
        <v>0</v>
      </c>
      <c r="AX457" s="1493">
        <f>+SUM(AX458:AX459)</f>
        <v>0</v>
      </c>
      <c r="AY457" s="1493">
        <f t="shared" si="998"/>
        <v>0</v>
      </c>
      <c r="AZ457" s="1493">
        <f>+SUM(AZ458:AZ459)</f>
        <v>0</v>
      </c>
      <c r="BA457" s="1493">
        <f>+SUM(BA458:BA459)</f>
        <v>0</v>
      </c>
      <c r="BB457" s="1493">
        <f t="shared" si="999"/>
        <v>0</v>
      </c>
      <c r="BC457" s="1493">
        <f>+SUM(BC458:BC459)</f>
        <v>0</v>
      </c>
      <c r="BD457" s="1493">
        <f>+SUM(BD458:BD459)</f>
        <v>0</v>
      </c>
      <c r="BE457" s="1493">
        <f t="shared" si="1000"/>
        <v>0</v>
      </c>
      <c r="BF457" s="1493">
        <f>+SUM(BF458:BF459)</f>
        <v>0</v>
      </c>
      <c r="BG457" s="1493">
        <f>+SUM(BG458:BG459)</f>
        <v>0</v>
      </c>
      <c r="BH457" s="1493">
        <f t="shared" si="1001"/>
        <v>0</v>
      </c>
      <c r="BI457" s="1493">
        <f>+SUM(BI458:BI459)</f>
        <v>0</v>
      </c>
      <c r="BJ457" s="1493">
        <f>+SUM(BJ458:BJ459)</f>
        <v>0</v>
      </c>
      <c r="BK457" s="1493">
        <f t="shared" si="1002"/>
        <v>0</v>
      </c>
      <c r="BL457" s="1493">
        <f>+SUM(BL458:BL459)</f>
        <v>0</v>
      </c>
      <c r="BM457" s="1493">
        <f>+SUM(BM458:BM459)</f>
        <v>0</v>
      </c>
      <c r="BN457" s="1493">
        <f t="shared" si="1003"/>
        <v>0</v>
      </c>
      <c r="BO457" s="1493">
        <f>+SUM(BO458:BO459)</f>
        <v>0</v>
      </c>
      <c r="BP457" s="1493">
        <f>+SUM(BP458:BP459)</f>
        <v>0</v>
      </c>
      <c r="BQ457" s="1493">
        <f t="shared" si="1004"/>
        <v>0</v>
      </c>
      <c r="BR457" s="1493">
        <f>+SUM(BR458:BR459)</f>
        <v>0</v>
      </c>
      <c r="BS457" s="1493">
        <f>+SUM(BS458:BS459)</f>
        <v>0</v>
      </c>
      <c r="BT457" s="1493">
        <f t="shared" si="1005"/>
        <v>0</v>
      </c>
      <c r="BU457" s="1493">
        <f>+SUM(BU458:BU459)</f>
        <v>0</v>
      </c>
      <c r="BV457" s="1493">
        <f>+SUM(BV458:BV459)</f>
        <v>0</v>
      </c>
      <c r="BW457" s="1493">
        <f t="shared" si="1006"/>
        <v>0</v>
      </c>
      <c r="BX457" s="1493">
        <f>+SUM(BX458:BX459)</f>
        <v>0</v>
      </c>
      <c r="BY457" s="1493">
        <f>+SUM(BY458:BY459)</f>
        <v>0</v>
      </c>
      <c r="BZ457" s="1493">
        <f t="shared" si="1007"/>
        <v>0</v>
      </c>
      <c r="CA457" s="1493">
        <f>+SUM(CA458:CA459)</f>
        <v>0</v>
      </c>
      <c r="CB457" s="1494">
        <f>+SUM(CB458:CB459)</f>
        <v>0</v>
      </c>
      <c r="CC457" s="1494">
        <f t="shared" si="1008"/>
        <v>0</v>
      </c>
      <c r="CD457" s="1495">
        <f>+SUM(CD458:CD459)</f>
        <v>0</v>
      </c>
      <c r="CE457" s="1495">
        <f>+SUM(CE458:CE459)</f>
        <v>0</v>
      </c>
      <c r="CF457" s="1495">
        <f t="shared" si="1009"/>
        <v>0</v>
      </c>
      <c r="CG457" s="1495">
        <f>+SUM(CG458:CG459)</f>
        <v>0</v>
      </c>
      <c r="CH457" s="1495">
        <f>+SUM(CH458:CH459)</f>
        <v>0</v>
      </c>
      <c r="CI457" s="1495">
        <f t="shared" si="1010"/>
        <v>0</v>
      </c>
      <c r="CJ457" s="1495">
        <f>+SUM(CJ458:CJ459)</f>
        <v>0</v>
      </c>
      <c r="CK457" s="1495">
        <f>+SUM(CK458:CK459)</f>
        <v>0</v>
      </c>
      <c r="CL457" s="1495">
        <f t="shared" si="1011"/>
        <v>0</v>
      </c>
      <c r="CM457" s="1495">
        <f>+SUM(CM458:CM459)</f>
        <v>0</v>
      </c>
      <c r="CN457" s="1495">
        <f>+SUM(CN458:CN459)</f>
        <v>0</v>
      </c>
      <c r="CO457" s="1495">
        <f t="shared" si="1012"/>
        <v>0</v>
      </c>
      <c r="CP457" s="1495">
        <f>+SUM(CP458:CP459)</f>
        <v>0</v>
      </c>
      <c r="CQ457" s="1495">
        <f>+SUM(CQ458:CQ459)</f>
        <v>0</v>
      </c>
      <c r="CR457" s="1495">
        <f t="shared" si="1013"/>
        <v>0</v>
      </c>
      <c r="CS457" s="1495">
        <f>+SUM(CS458:CS459)</f>
        <v>0</v>
      </c>
      <c r="CT457" s="1495">
        <f>+SUM(CT458:CT459)</f>
        <v>0</v>
      </c>
      <c r="CU457" s="1495">
        <f t="shared" si="1014"/>
        <v>0</v>
      </c>
      <c r="CV457" s="1495">
        <f>+SUM(CV458:CV459)</f>
        <v>0</v>
      </c>
      <c r="CW457" s="1495">
        <f>+SUM(CW458:CW459)</f>
        <v>0</v>
      </c>
      <c r="CX457" s="1495">
        <f t="shared" si="1015"/>
        <v>0</v>
      </c>
      <c r="CY457" s="1495">
        <f>+SUM(CY458:CY459)</f>
        <v>0</v>
      </c>
      <c r="CZ457" s="1495">
        <f>+SUM(CZ458:CZ459)</f>
        <v>0</v>
      </c>
      <c r="DA457" s="1495">
        <f t="shared" si="1016"/>
        <v>0</v>
      </c>
      <c r="DB457" s="1495">
        <f>+SUM(DB458:DB459)</f>
        <v>0</v>
      </c>
      <c r="DC457" s="1495">
        <f>+SUM(DC458:DC459)</f>
        <v>0</v>
      </c>
      <c r="DD457" s="1495">
        <f t="shared" si="1017"/>
        <v>0</v>
      </c>
      <c r="DE457" s="1496">
        <f>+SUM(DE458:DE459)</f>
        <v>0</v>
      </c>
      <c r="DF457" s="1495">
        <f>+SUM(DF458:DF459)</f>
        <v>0</v>
      </c>
      <c r="DG457" s="1495">
        <f t="shared" si="1018"/>
        <v>0</v>
      </c>
      <c r="DH457" s="1496">
        <f>+SUM(DH458:DH459)</f>
        <v>0</v>
      </c>
      <c r="DI457" s="1495">
        <f>+SUM(DI458:DI459)</f>
        <v>0</v>
      </c>
      <c r="DJ457" s="1495">
        <f t="shared" si="1019"/>
        <v>0</v>
      </c>
      <c r="DK457" s="1496">
        <f>+SUM(DK458:DK459)</f>
        <v>0</v>
      </c>
      <c r="DL457" s="1495">
        <f>+SUM(DL458:DL459)</f>
        <v>0</v>
      </c>
      <c r="DM457" s="1495">
        <f t="shared" si="1020"/>
        <v>0</v>
      </c>
      <c r="DN457" s="1496">
        <f>+SUM(DN458:DN459)</f>
        <v>0</v>
      </c>
      <c r="DO457" s="1495">
        <f>+SUM(DO458:DO459)</f>
        <v>0</v>
      </c>
      <c r="DP457" s="1495">
        <f t="shared" si="1021"/>
        <v>0</v>
      </c>
      <c r="DQ457" s="1496">
        <f>+SUM(DQ458:DQ459)</f>
        <v>0</v>
      </c>
      <c r="DR457" s="1495">
        <f>+SUM(DR458:DR459)</f>
        <v>0</v>
      </c>
      <c r="DS457" s="1495">
        <f t="shared" si="1022"/>
        <v>0</v>
      </c>
      <c r="DT457" s="1496">
        <f>+SUM(DT458:DT459)</f>
        <v>0</v>
      </c>
      <c r="DU457" s="1495">
        <f>+SUM(DU458:DU459)</f>
        <v>0</v>
      </c>
      <c r="DV457" s="1495">
        <f t="shared" si="1023"/>
        <v>0</v>
      </c>
      <c r="DW457" s="1496">
        <f>+SUM(DW458:DW459)</f>
        <v>0</v>
      </c>
      <c r="DX457" s="1495">
        <f>+SUM(DX458:DX459)</f>
        <v>0</v>
      </c>
      <c r="DY457" s="1495">
        <f t="shared" si="1024"/>
        <v>0</v>
      </c>
      <c r="DZ457" s="1496">
        <f>+SUM(DZ458:DZ459)</f>
        <v>0</v>
      </c>
      <c r="EA457" s="1495">
        <f>+SUM(EA458:EA459)</f>
        <v>0</v>
      </c>
      <c r="EB457" s="1495">
        <f t="shared" si="1025"/>
        <v>0</v>
      </c>
      <c r="EC457" s="1496">
        <f>+SUM(EC458:EC459)</f>
        <v>0</v>
      </c>
      <c r="ED457" s="1495">
        <f>+SUM(ED458:ED459)</f>
        <v>0</v>
      </c>
      <c r="EE457" s="1495">
        <f t="shared" si="1026"/>
        <v>0</v>
      </c>
      <c r="EF457" s="1496">
        <f>+SUM(EF458:EF459)</f>
        <v>0</v>
      </c>
      <c r="EG457" s="1495">
        <f>+SUM(EG458:EG459)</f>
        <v>0</v>
      </c>
      <c r="EH457" s="1495">
        <f t="shared" si="1027"/>
        <v>0</v>
      </c>
      <c r="EI457" s="1496">
        <f>+SUM(EI458:EI459)</f>
        <v>0</v>
      </c>
      <c r="EJ457" s="1495">
        <f>+SUM(EJ458:EJ459)</f>
        <v>0</v>
      </c>
      <c r="EK457" s="1495">
        <f t="shared" si="1028"/>
        <v>0</v>
      </c>
      <c r="EL457" s="1496">
        <f>+SUM(EL458:EL459)</f>
        <v>0</v>
      </c>
      <c r="EM457" s="1495">
        <f>+SUM(EM458:EM459)</f>
        <v>0</v>
      </c>
      <c r="EN457" s="1495">
        <f t="shared" si="1029"/>
        <v>0</v>
      </c>
      <c r="EO457" s="1496">
        <f>+SUM(EO458:EO459)</f>
        <v>0</v>
      </c>
      <c r="EP457" s="1495">
        <f>+SUM(EP458:EP459)</f>
        <v>0</v>
      </c>
      <c r="EQ457" s="1495">
        <f t="shared" si="1030"/>
        <v>0</v>
      </c>
      <c r="ER457" s="1496">
        <f>+SUM(ER458:ER459)</f>
        <v>0</v>
      </c>
      <c r="ES457" s="1495">
        <f>+SUM(ES458:ES459)</f>
        <v>0</v>
      </c>
      <c r="ET457" s="1495">
        <f t="shared" si="1031"/>
        <v>0</v>
      </c>
      <c r="EU457" s="1496">
        <f>+SUM(EU458:EU459)</f>
        <v>0</v>
      </c>
      <c r="EV457" s="1495">
        <f>+SUM(EV458:EV459)</f>
        <v>0</v>
      </c>
      <c r="EW457" s="1495">
        <f t="shared" si="1032"/>
        <v>0</v>
      </c>
      <c r="EX457" s="1496">
        <f>+SUM(EX458:EX459)</f>
        <v>0</v>
      </c>
      <c r="EY457" s="1495">
        <f>+SUM(EY458:EY459)</f>
        <v>0</v>
      </c>
      <c r="EZ457" s="1495">
        <f t="shared" si="1033"/>
        <v>0</v>
      </c>
      <c r="FA457" s="1496">
        <f>+SUM(FA458:FA459)</f>
        <v>0</v>
      </c>
      <c r="FD457"/>
      <c r="FE457"/>
      <c r="FF457"/>
      <c r="FG457"/>
      <c r="FH457"/>
      <c r="FI457"/>
    </row>
    <row r="458" spans="1:165" s="35" customFormat="1">
      <c r="A458" s="1457"/>
      <c r="B458" s="1457" t="s">
        <v>96</v>
      </c>
      <c r="C458" s="1457"/>
      <c r="D458" s="1457"/>
      <c r="E458" s="1490"/>
      <c r="F458" s="1490"/>
      <c r="G458" s="1490"/>
      <c r="H458" s="1490"/>
      <c r="I458" s="1490"/>
      <c r="J458" s="1490"/>
      <c r="K458" s="1490"/>
      <c r="L458" s="1490"/>
      <c r="M458" s="1490"/>
      <c r="N458" s="1490"/>
      <c r="O458" s="1490"/>
      <c r="P458" s="1490"/>
      <c r="Q458" s="1491"/>
      <c r="R458" s="1491"/>
      <c r="S458" s="1491"/>
      <c r="T458" s="1491"/>
      <c r="U458" s="1491"/>
      <c r="V458" s="1492"/>
      <c r="W458" s="1492"/>
      <c r="X458" s="1492"/>
      <c r="Y458" s="1492"/>
      <c r="Z458" s="1492"/>
      <c r="AA458" s="1492"/>
      <c r="AB458" s="1492"/>
      <c r="AC458" s="1492"/>
      <c r="AD458" s="1492"/>
      <c r="AE458" s="1492"/>
      <c r="AF458" s="1492"/>
      <c r="AG458" s="1492"/>
      <c r="AH458" s="1492"/>
      <c r="AI458" s="1492"/>
      <c r="AJ458" s="1492"/>
      <c r="AK458" s="1492"/>
      <c r="AL458" s="1492"/>
      <c r="AM458" s="1492"/>
      <c r="AN458" s="1424"/>
      <c r="AO458" s="1497"/>
      <c r="AP458" s="1498">
        <f t="shared" si="995"/>
        <v>0</v>
      </c>
      <c r="AQ458" s="1424"/>
      <c r="AR458" s="1497"/>
      <c r="AS458" s="1498">
        <f t="shared" si="996"/>
        <v>0</v>
      </c>
      <c r="AT458" s="1424"/>
      <c r="AU458" s="1497"/>
      <c r="AV458" s="1498">
        <f t="shared" si="997"/>
        <v>0</v>
      </c>
      <c r="AW458" s="1424"/>
      <c r="AX458" s="1497"/>
      <c r="AY458" s="1498">
        <f t="shared" si="998"/>
        <v>0</v>
      </c>
      <c r="AZ458" s="1424"/>
      <c r="BA458" s="1497"/>
      <c r="BB458" s="1498">
        <f t="shared" si="999"/>
        <v>0</v>
      </c>
      <c r="BC458" s="1424"/>
      <c r="BD458" s="1497"/>
      <c r="BE458" s="1498">
        <f t="shared" si="1000"/>
        <v>0</v>
      </c>
      <c r="BF458" s="1424"/>
      <c r="BG458" s="1497"/>
      <c r="BH458" s="1498">
        <f t="shared" si="1001"/>
        <v>0</v>
      </c>
      <c r="BI458" s="1424"/>
      <c r="BJ458" s="1497"/>
      <c r="BK458" s="1498">
        <f t="shared" si="1002"/>
        <v>0</v>
      </c>
      <c r="BL458" s="1424"/>
      <c r="BM458" s="1497"/>
      <c r="BN458" s="1498">
        <f t="shared" si="1003"/>
        <v>0</v>
      </c>
      <c r="BO458" s="1424"/>
      <c r="BP458" s="1497"/>
      <c r="BQ458" s="1498">
        <f t="shared" si="1004"/>
        <v>0</v>
      </c>
      <c r="BR458" s="1427"/>
      <c r="BS458" s="1497"/>
      <c r="BT458" s="1498">
        <f t="shared" si="1005"/>
        <v>0</v>
      </c>
      <c r="BU458" s="1427"/>
      <c r="BV458" s="1497"/>
      <c r="BW458" s="1498">
        <f t="shared" si="1006"/>
        <v>0</v>
      </c>
      <c r="BX458" s="1427"/>
      <c r="BY458" s="1497"/>
      <c r="BZ458" s="1498">
        <f t="shared" si="1007"/>
        <v>0</v>
      </c>
      <c r="CA458" s="1427"/>
      <c r="CB458" s="1425"/>
      <c r="CC458" s="1499">
        <f t="shared" si="1008"/>
        <v>0</v>
      </c>
      <c r="CD458" s="1324"/>
      <c r="CE458" s="1325"/>
      <c r="CF458" s="1500">
        <f t="shared" si="1009"/>
        <v>0</v>
      </c>
      <c r="CG458" s="1324"/>
      <c r="CH458" s="1325"/>
      <c r="CI458" s="1500">
        <f t="shared" si="1010"/>
        <v>0</v>
      </c>
      <c r="CJ458" s="1324"/>
      <c r="CK458" s="1325"/>
      <c r="CL458" s="1500">
        <f t="shared" si="1011"/>
        <v>0</v>
      </c>
      <c r="CM458" s="1324"/>
      <c r="CN458" s="1325"/>
      <c r="CO458" s="1500">
        <f t="shared" si="1012"/>
        <v>0</v>
      </c>
      <c r="CP458" s="1324"/>
      <c r="CQ458" s="1325"/>
      <c r="CR458" s="1500">
        <f t="shared" si="1013"/>
        <v>0</v>
      </c>
      <c r="CS458" s="1324"/>
      <c r="CT458" s="1325"/>
      <c r="CU458" s="1500">
        <f t="shared" si="1014"/>
        <v>0</v>
      </c>
      <c r="CV458" s="1324"/>
      <c r="CW458" s="1325"/>
      <c r="CX458" s="1500">
        <f t="shared" si="1015"/>
        <v>0</v>
      </c>
      <c r="CY458" s="1324"/>
      <c r="CZ458" s="1325"/>
      <c r="DA458" s="1500">
        <f t="shared" si="1016"/>
        <v>0</v>
      </c>
      <c r="DB458" s="1324"/>
      <c r="DC458" s="1325"/>
      <c r="DD458" s="1500">
        <f t="shared" si="1017"/>
        <v>0</v>
      </c>
      <c r="DE458" s="1501"/>
      <c r="DF458" s="1325"/>
      <c r="DG458" s="1500">
        <f t="shared" si="1018"/>
        <v>0</v>
      </c>
      <c r="DH458" s="1501"/>
      <c r="DI458" s="1325"/>
      <c r="DJ458" s="1500">
        <f t="shared" si="1019"/>
        <v>0</v>
      </c>
      <c r="DK458" s="1501"/>
      <c r="DL458" s="1325"/>
      <c r="DM458" s="1500">
        <f t="shared" si="1020"/>
        <v>0</v>
      </c>
      <c r="DN458" s="1501"/>
      <c r="DO458" s="1325"/>
      <c r="DP458" s="1500">
        <f t="shared" si="1021"/>
        <v>0</v>
      </c>
      <c r="DQ458" s="1501"/>
      <c r="DR458" s="1325"/>
      <c r="DS458" s="1500">
        <f t="shared" si="1022"/>
        <v>0</v>
      </c>
      <c r="DT458" s="1501"/>
      <c r="DU458" s="1325"/>
      <c r="DV458" s="1500">
        <f t="shared" si="1023"/>
        <v>0</v>
      </c>
      <c r="DW458" s="1501"/>
      <c r="DX458" s="1325"/>
      <c r="DY458" s="1500">
        <f t="shared" si="1024"/>
        <v>0</v>
      </c>
      <c r="DZ458" s="1501"/>
      <c r="EA458" s="1325"/>
      <c r="EB458" s="1500">
        <f t="shared" si="1025"/>
        <v>0</v>
      </c>
      <c r="EC458" s="1501"/>
      <c r="ED458" s="1325"/>
      <c r="EE458" s="1500">
        <f t="shared" si="1026"/>
        <v>0</v>
      </c>
      <c r="EF458" s="1501"/>
      <c r="EG458" s="1325"/>
      <c r="EH458" s="1500">
        <f t="shared" si="1027"/>
        <v>0</v>
      </c>
      <c r="EI458" s="1501"/>
      <c r="EJ458" s="1325"/>
      <c r="EK458" s="1500">
        <f t="shared" si="1028"/>
        <v>0</v>
      </c>
      <c r="EL458" s="1501"/>
      <c r="EM458" s="1325"/>
      <c r="EN458" s="1500">
        <f t="shared" si="1029"/>
        <v>0</v>
      </c>
      <c r="EO458" s="1501"/>
      <c r="EP458" s="1325"/>
      <c r="EQ458" s="1500">
        <f t="shared" si="1030"/>
        <v>0</v>
      </c>
      <c r="ER458" s="1501"/>
      <c r="ES458" s="1325"/>
      <c r="ET458" s="1500">
        <f t="shared" si="1031"/>
        <v>0</v>
      </c>
      <c r="EU458" s="1501"/>
      <c r="EV458" s="1325"/>
      <c r="EW458" s="1500">
        <f t="shared" si="1032"/>
        <v>0</v>
      </c>
      <c r="EX458" s="1501"/>
      <c r="EY458" s="1325"/>
      <c r="EZ458" s="1500">
        <f t="shared" si="1033"/>
        <v>0</v>
      </c>
      <c r="FA458" s="1501"/>
      <c r="FD458"/>
      <c r="FE458"/>
      <c r="FF458"/>
      <c r="FG458"/>
      <c r="FH458"/>
      <c r="FI458"/>
    </row>
    <row r="459" spans="1:165" s="35" customFormat="1" ht="13.5" thickBot="1">
      <c r="A459" s="1457"/>
      <c r="B459" s="1457" t="s">
        <v>20</v>
      </c>
      <c r="C459" s="1457"/>
      <c r="D459" s="1457"/>
      <c r="E459" s="1490"/>
      <c r="F459" s="1490"/>
      <c r="G459" s="1490"/>
      <c r="H459" s="1490"/>
      <c r="I459" s="1490"/>
      <c r="J459" s="1490"/>
      <c r="K459" s="1490"/>
      <c r="L459" s="1490"/>
      <c r="M459" s="1490"/>
      <c r="N459" s="1490"/>
      <c r="O459" s="1490"/>
      <c r="P459" s="1490"/>
      <c r="Q459" s="1491"/>
      <c r="R459" s="1491"/>
      <c r="S459" s="1491"/>
      <c r="T459" s="1491"/>
      <c r="U459" s="1491"/>
      <c r="V459" s="1492"/>
      <c r="W459" s="1492"/>
      <c r="X459" s="1492"/>
      <c r="Y459" s="1492"/>
      <c r="Z459" s="1492"/>
      <c r="AA459" s="1492"/>
      <c r="AB459" s="1492"/>
      <c r="AC459" s="1492"/>
      <c r="AD459" s="1492"/>
      <c r="AE459" s="1492"/>
      <c r="AF459" s="1492"/>
      <c r="AG459" s="1492"/>
      <c r="AH459" s="1492"/>
      <c r="AI459" s="1492"/>
      <c r="AJ459" s="1492"/>
      <c r="AK459" s="1492"/>
      <c r="AL459" s="1492"/>
      <c r="AM459" s="1492"/>
      <c r="AN459" s="1502"/>
      <c r="AO459" s="1503"/>
      <c r="AP459" s="1498">
        <f t="shared" si="995"/>
        <v>0</v>
      </c>
      <c r="AQ459" s="1502"/>
      <c r="AR459" s="1503"/>
      <c r="AS459" s="1498">
        <f t="shared" si="996"/>
        <v>0</v>
      </c>
      <c r="AT459" s="1502"/>
      <c r="AU459" s="1503"/>
      <c r="AV459" s="1498">
        <f t="shared" si="997"/>
        <v>0</v>
      </c>
      <c r="AW459" s="1502"/>
      <c r="AX459" s="1503"/>
      <c r="AY459" s="1498">
        <f t="shared" si="998"/>
        <v>0</v>
      </c>
      <c r="AZ459" s="1502"/>
      <c r="BA459" s="1503"/>
      <c r="BB459" s="1498">
        <f t="shared" si="999"/>
        <v>0</v>
      </c>
      <c r="BC459" s="1502"/>
      <c r="BD459" s="1503"/>
      <c r="BE459" s="1498">
        <f t="shared" si="1000"/>
        <v>0</v>
      </c>
      <c r="BF459" s="1502"/>
      <c r="BG459" s="1503"/>
      <c r="BH459" s="1498">
        <f t="shared" si="1001"/>
        <v>0</v>
      </c>
      <c r="BI459" s="1502"/>
      <c r="BJ459" s="1503"/>
      <c r="BK459" s="1498">
        <f t="shared" si="1002"/>
        <v>0</v>
      </c>
      <c r="BL459" s="1502"/>
      <c r="BM459" s="1503"/>
      <c r="BN459" s="1498">
        <f t="shared" si="1003"/>
        <v>0</v>
      </c>
      <c r="BO459" s="1502"/>
      <c r="BP459" s="1503"/>
      <c r="BQ459" s="1498">
        <f t="shared" si="1004"/>
        <v>0</v>
      </c>
      <c r="BR459" s="1504"/>
      <c r="BS459" s="1503"/>
      <c r="BT459" s="1498">
        <f t="shared" si="1005"/>
        <v>0</v>
      </c>
      <c r="BU459" s="1504"/>
      <c r="BV459" s="1503"/>
      <c r="BW459" s="1498">
        <f t="shared" si="1006"/>
        <v>0</v>
      </c>
      <c r="BX459" s="1504"/>
      <c r="BY459" s="1503"/>
      <c r="BZ459" s="1498">
        <f t="shared" si="1007"/>
        <v>0</v>
      </c>
      <c r="CA459" s="1504"/>
      <c r="CB459" s="1505"/>
      <c r="CC459" s="1499">
        <f t="shared" si="1008"/>
        <v>0</v>
      </c>
      <c r="CD459" s="1278"/>
      <c r="CE459" s="1279"/>
      <c r="CF459" s="1500">
        <f t="shared" si="1009"/>
        <v>0</v>
      </c>
      <c r="CG459" s="1278"/>
      <c r="CH459" s="1279"/>
      <c r="CI459" s="1500">
        <f t="shared" si="1010"/>
        <v>0</v>
      </c>
      <c r="CJ459" s="1278"/>
      <c r="CK459" s="1279"/>
      <c r="CL459" s="1500">
        <f t="shared" si="1011"/>
        <v>0</v>
      </c>
      <c r="CM459" s="1278"/>
      <c r="CN459" s="1279"/>
      <c r="CO459" s="1500">
        <f t="shared" si="1012"/>
        <v>0</v>
      </c>
      <c r="CP459" s="1278"/>
      <c r="CQ459" s="1279"/>
      <c r="CR459" s="1500">
        <f t="shared" si="1013"/>
        <v>0</v>
      </c>
      <c r="CS459" s="1278"/>
      <c r="CT459" s="1279"/>
      <c r="CU459" s="1500">
        <f t="shared" si="1014"/>
        <v>0</v>
      </c>
      <c r="CV459" s="1278"/>
      <c r="CW459" s="1279"/>
      <c r="CX459" s="1500">
        <f t="shared" si="1015"/>
        <v>0</v>
      </c>
      <c r="CY459" s="1278"/>
      <c r="CZ459" s="1279"/>
      <c r="DA459" s="1500">
        <f t="shared" si="1016"/>
        <v>0</v>
      </c>
      <c r="DB459" s="1278"/>
      <c r="DC459" s="1279"/>
      <c r="DD459" s="1500">
        <f t="shared" si="1017"/>
        <v>0</v>
      </c>
      <c r="DE459" s="1507"/>
      <c r="DF459" s="1279"/>
      <c r="DG459" s="1500">
        <f t="shared" si="1018"/>
        <v>0</v>
      </c>
      <c r="DH459" s="1507"/>
      <c r="DI459" s="1279"/>
      <c r="DJ459" s="1500">
        <f t="shared" si="1019"/>
        <v>0</v>
      </c>
      <c r="DK459" s="1507"/>
      <c r="DL459" s="1279"/>
      <c r="DM459" s="1500">
        <f t="shared" si="1020"/>
        <v>0</v>
      </c>
      <c r="DN459" s="1507"/>
      <c r="DO459" s="1279"/>
      <c r="DP459" s="1500">
        <f t="shared" si="1021"/>
        <v>0</v>
      </c>
      <c r="DQ459" s="1507"/>
      <c r="DR459" s="1279"/>
      <c r="DS459" s="1500">
        <f t="shared" si="1022"/>
        <v>0</v>
      </c>
      <c r="DT459" s="1507"/>
      <c r="DU459" s="1279"/>
      <c r="DV459" s="1500">
        <f t="shared" si="1023"/>
        <v>0</v>
      </c>
      <c r="DW459" s="1507"/>
      <c r="DX459" s="1279"/>
      <c r="DY459" s="1500">
        <f t="shared" si="1024"/>
        <v>0</v>
      </c>
      <c r="DZ459" s="1507"/>
      <c r="EA459" s="1279"/>
      <c r="EB459" s="1500">
        <f t="shared" si="1025"/>
        <v>0</v>
      </c>
      <c r="EC459" s="1507"/>
      <c r="ED459" s="1279"/>
      <c r="EE459" s="1500">
        <f t="shared" si="1026"/>
        <v>0</v>
      </c>
      <c r="EF459" s="1507"/>
      <c r="EG459" s="1279"/>
      <c r="EH459" s="1500">
        <f t="shared" si="1027"/>
        <v>0</v>
      </c>
      <c r="EI459" s="1507"/>
      <c r="EJ459" s="1279"/>
      <c r="EK459" s="1500">
        <f t="shared" si="1028"/>
        <v>0</v>
      </c>
      <c r="EL459" s="1507"/>
      <c r="EM459" s="1279"/>
      <c r="EN459" s="1500">
        <f t="shared" si="1029"/>
        <v>0</v>
      </c>
      <c r="EO459" s="1507"/>
      <c r="EP459" s="1279"/>
      <c r="EQ459" s="1500">
        <f t="shared" si="1030"/>
        <v>0</v>
      </c>
      <c r="ER459" s="1507"/>
      <c r="ES459" s="1279"/>
      <c r="ET459" s="1500">
        <f t="shared" si="1031"/>
        <v>0</v>
      </c>
      <c r="EU459" s="1507"/>
      <c r="EV459" s="1279"/>
      <c r="EW459" s="1500">
        <f t="shared" si="1032"/>
        <v>0</v>
      </c>
      <c r="EX459" s="1507"/>
      <c r="EY459" s="1279"/>
      <c r="EZ459" s="1500">
        <f t="shared" si="1033"/>
        <v>0</v>
      </c>
      <c r="FA459" s="1507"/>
      <c r="FD459"/>
      <c r="FE459"/>
      <c r="FF459"/>
      <c r="FG459"/>
      <c r="FH459"/>
      <c r="FI459"/>
    </row>
    <row r="460" spans="1:165" s="35" customFormat="1">
      <c r="A460" s="1457"/>
      <c r="B460" s="1488" t="s">
        <v>511</v>
      </c>
      <c r="C460" s="1457"/>
      <c r="D460" s="1457"/>
      <c r="E460" s="1490"/>
      <c r="F460" s="1490"/>
      <c r="G460" s="1490"/>
      <c r="H460" s="1490"/>
      <c r="I460" s="1490"/>
      <c r="J460" s="1490"/>
      <c r="K460" s="1490"/>
      <c r="L460" s="1490"/>
      <c r="M460" s="1490"/>
      <c r="N460" s="1490"/>
      <c r="O460" s="1490"/>
      <c r="P460" s="1490"/>
      <c r="Q460" s="1491"/>
      <c r="R460" s="1491"/>
      <c r="S460" s="1491"/>
      <c r="T460" s="1491"/>
      <c r="U460" s="1491"/>
      <c r="V460" s="1492"/>
      <c r="W460" s="1492"/>
      <c r="X460" s="1492"/>
      <c r="Y460" s="1492"/>
      <c r="Z460" s="1492"/>
      <c r="AA460" s="1492"/>
      <c r="AB460" s="1492"/>
      <c r="AC460" s="1492"/>
      <c r="AD460" s="1492"/>
      <c r="AE460" s="1492"/>
      <c r="AF460" s="1492"/>
      <c r="AG460" s="1492"/>
      <c r="AH460" s="1492"/>
      <c r="AI460" s="1492"/>
      <c r="AJ460" s="1492"/>
      <c r="AK460" s="1492"/>
      <c r="AL460" s="1492"/>
      <c r="AM460" s="1492"/>
      <c r="AN460" s="1508">
        <f t="shared" ref="AN460:BS460" si="1034">+AN454+AN457</f>
        <v>0</v>
      </c>
      <c r="AO460" s="1508">
        <f t="shared" si="1034"/>
        <v>0</v>
      </c>
      <c r="AP460" s="1508">
        <f t="shared" si="1034"/>
        <v>0</v>
      </c>
      <c r="AQ460" s="1508">
        <f t="shared" si="1034"/>
        <v>0</v>
      </c>
      <c r="AR460" s="1508">
        <f t="shared" si="1034"/>
        <v>0</v>
      </c>
      <c r="AS460" s="1508">
        <f t="shared" si="1034"/>
        <v>0</v>
      </c>
      <c r="AT460" s="1508">
        <f t="shared" si="1034"/>
        <v>0</v>
      </c>
      <c r="AU460" s="1508">
        <f t="shared" si="1034"/>
        <v>0</v>
      </c>
      <c r="AV460" s="1508">
        <f t="shared" si="1034"/>
        <v>0</v>
      </c>
      <c r="AW460" s="1508">
        <f t="shared" si="1034"/>
        <v>0</v>
      </c>
      <c r="AX460" s="1508">
        <f t="shared" si="1034"/>
        <v>0</v>
      </c>
      <c r="AY460" s="1508">
        <f t="shared" si="1034"/>
        <v>0</v>
      </c>
      <c r="AZ460" s="1508">
        <f t="shared" si="1034"/>
        <v>0</v>
      </c>
      <c r="BA460" s="1508">
        <f t="shared" si="1034"/>
        <v>0</v>
      </c>
      <c r="BB460" s="1508">
        <f t="shared" si="1034"/>
        <v>0</v>
      </c>
      <c r="BC460" s="1508">
        <f t="shared" si="1034"/>
        <v>0</v>
      </c>
      <c r="BD460" s="1508">
        <f t="shared" si="1034"/>
        <v>0</v>
      </c>
      <c r="BE460" s="1508">
        <f t="shared" si="1034"/>
        <v>0</v>
      </c>
      <c r="BF460" s="1508">
        <f t="shared" si="1034"/>
        <v>0</v>
      </c>
      <c r="BG460" s="1508">
        <f t="shared" si="1034"/>
        <v>0</v>
      </c>
      <c r="BH460" s="1508">
        <f t="shared" si="1034"/>
        <v>0</v>
      </c>
      <c r="BI460" s="1508">
        <f t="shared" si="1034"/>
        <v>0</v>
      </c>
      <c r="BJ460" s="1508">
        <f t="shared" si="1034"/>
        <v>0</v>
      </c>
      <c r="BK460" s="1508">
        <f t="shared" si="1034"/>
        <v>0</v>
      </c>
      <c r="BL460" s="1508">
        <f t="shared" si="1034"/>
        <v>0</v>
      </c>
      <c r="BM460" s="1508">
        <f t="shared" si="1034"/>
        <v>0</v>
      </c>
      <c r="BN460" s="1508">
        <f t="shared" si="1034"/>
        <v>0</v>
      </c>
      <c r="BO460" s="1493">
        <f t="shared" si="1034"/>
        <v>0</v>
      </c>
      <c r="BP460" s="1493">
        <f t="shared" si="1034"/>
        <v>0</v>
      </c>
      <c r="BQ460" s="1508">
        <f t="shared" si="1034"/>
        <v>0</v>
      </c>
      <c r="BR460" s="1508">
        <f t="shared" si="1034"/>
        <v>0</v>
      </c>
      <c r="BS460" s="1508">
        <f t="shared" si="1034"/>
        <v>0</v>
      </c>
      <c r="BT460" s="1508">
        <f t="shared" ref="BT460:CY460" si="1035">+BT454+BT457</f>
        <v>0</v>
      </c>
      <c r="BU460" s="1508">
        <f t="shared" si="1035"/>
        <v>0</v>
      </c>
      <c r="BV460" s="1508">
        <f t="shared" si="1035"/>
        <v>0</v>
      </c>
      <c r="BW460" s="1508">
        <f t="shared" si="1035"/>
        <v>0</v>
      </c>
      <c r="BX460" s="1508">
        <f t="shared" si="1035"/>
        <v>0</v>
      </c>
      <c r="BY460" s="1508">
        <f t="shared" si="1035"/>
        <v>0</v>
      </c>
      <c r="BZ460" s="1508">
        <f t="shared" si="1035"/>
        <v>0</v>
      </c>
      <c r="CA460" s="1508">
        <f t="shared" si="1035"/>
        <v>0</v>
      </c>
      <c r="CB460" s="1509">
        <f t="shared" si="1035"/>
        <v>0</v>
      </c>
      <c r="CC460" s="1509">
        <f t="shared" si="1035"/>
        <v>0</v>
      </c>
      <c r="CD460" s="1510">
        <f t="shared" si="1035"/>
        <v>0</v>
      </c>
      <c r="CE460" s="1510">
        <f t="shared" si="1035"/>
        <v>0</v>
      </c>
      <c r="CF460" s="1510">
        <f t="shared" si="1035"/>
        <v>0</v>
      </c>
      <c r="CG460" s="1510">
        <f t="shared" si="1035"/>
        <v>0</v>
      </c>
      <c r="CH460" s="1510">
        <f t="shared" si="1035"/>
        <v>0</v>
      </c>
      <c r="CI460" s="1510">
        <f t="shared" si="1035"/>
        <v>0</v>
      </c>
      <c r="CJ460" s="1510">
        <f t="shared" si="1035"/>
        <v>0</v>
      </c>
      <c r="CK460" s="1510">
        <f t="shared" si="1035"/>
        <v>0</v>
      </c>
      <c r="CL460" s="1510">
        <f t="shared" si="1035"/>
        <v>0</v>
      </c>
      <c r="CM460" s="1510">
        <f t="shared" si="1035"/>
        <v>0</v>
      </c>
      <c r="CN460" s="1510">
        <f t="shared" si="1035"/>
        <v>0</v>
      </c>
      <c r="CO460" s="1510">
        <f t="shared" si="1035"/>
        <v>0</v>
      </c>
      <c r="CP460" s="1510">
        <f t="shared" si="1035"/>
        <v>0</v>
      </c>
      <c r="CQ460" s="1510">
        <f t="shared" si="1035"/>
        <v>0</v>
      </c>
      <c r="CR460" s="1510">
        <f t="shared" si="1035"/>
        <v>-843</v>
      </c>
      <c r="CS460" s="1510">
        <f t="shared" si="1035"/>
        <v>-843</v>
      </c>
      <c r="CT460" s="1510">
        <f t="shared" si="1035"/>
        <v>0</v>
      </c>
      <c r="CU460" s="1510">
        <f t="shared" si="1035"/>
        <v>0</v>
      </c>
      <c r="CV460" s="1510">
        <f t="shared" si="1035"/>
        <v>0</v>
      </c>
      <c r="CW460" s="1510">
        <f t="shared" si="1035"/>
        <v>0</v>
      </c>
      <c r="CX460" s="1510">
        <f t="shared" si="1035"/>
        <v>0</v>
      </c>
      <c r="CY460" s="1510">
        <f t="shared" si="1035"/>
        <v>0</v>
      </c>
      <c r="CZ460" s="1510">
        <f t="shared" ref="CZ460:DQ460" si="1036">+CZ454+CZ457</f>
        <v>0</v>
      </c>
      <c r="DA460" s="1510">
        <f t="shared" si="1036"/>
        <v>0</v>
      </c>
      <c r="DB460" s="1510">
        <f t="shared" si="1036"/>
        <v>0</v>
      </c>
      <c r="DC460" s="1510">
        <f t="shared" si="1036"/>
        <v>0</v>
      </c>
      <c r="DD460" s="1510">
        <f t="shared" si="1036"/>
        <v>0</v>
      </c>
      <c r="DE460" s="1511">
        <f t="shared" si="1036"/>
        <v>0</v>
      </c>
      <c r="DF460" s="1510">
        <f t="shared" si="1036"/>
        <v>0</v>
      </c>
      <c r="DG460" s="1510">
        <f t="shared" si="1036"/>
        <v>0</v>
      </c>
      <c r="DH460" s="1511">
        <f t="shared" si="1036"/>
        <v>0</v>
      </c>
      <c r="DI460" s="1510">
        <f t="shared" si="1036"/>
        <v>0</v>
      </c>
      <c r="DJ460" s="1510">
        <f t="shared" si="1036"/>
        <v>0</v>
      </c>
      <c r="DK460" s="1511">
        <f t="shared" si="1036"/>
        <v>0</v>
      </c>
      <c r="DL460" s="1510">
        <f t="shared" si="1036"/>
        <v>0</v>
      </c>
      <c r="DM460" s="1510">
        <f t="shared" si="1036"/>
        <v>0</v>
      </c>
      <c r="DN460" s="1511">
        <f t="shared" si="1036"/>
        <v>0</v>
      </c>
      <c r="DO460" s="1510">
        <f t="shared" si="1036"/>
        <v>0</v>
      </c>
      <c r="DP460" s="1510">
        <f t="shared" si="1036"/>
        <v>0</v>
      </c>
      <c r="DQ460" s="1511">
        <f t="shared" si="1036"/>
        <v>0</v>
      </c>
      <c r="DR460" s="1510">
        <f t="shared" ref="DR460:DZ460" si="1037">+DR454+DR457</f>
        <v>0</v>
      </c>
      <c r="DS460" s="1510">
        <f t="shared" si="1037"/>
        <v>0</v>
      </c>
      <c r="DT460" s="1511">
        <f t="shared" si="1037"/>
        <v>0</v>
      </c>
      <c r="DU460" s="1510">
        <f t="shared" si="1037"/>
        <v>0</v>
      </c>
      <c r="DV460" s="1510">
        <f t="shared" si="1037"/>
        <v>0</v>
      </c>
      <c r="DW460" s="1511">
        <f t="shared" si="1037"/>
        <v>0</v>
      </c>
      <c r="DX460" s="1510">
        <f t="shared" si="1037"/>
        <v>0</v>
      </c>
      <c r="DY460" s="1510">
        <f t="shared" si="1037"/>
        <v>0</v>
      </c>
      <c r="DZ460" s="1511">
        <f t="shared" si="1037"/>
        <v>0</v>
      </c>
      <c r="EA460" s="1510">
        <f t="shared" ref="EA460:EF460" si="1038">+EA454+EA457</f>
        <v>0</v>
      </c>
      <c r="EB460" s="1510">
        <f t="shared" si="1038"/>
        <v>0</v>
      </c>
      <c r="EC460" s="1511">
        <f t="shared" si="1038"/>
        <v>0</v>
      </c>
      <c r="ED460" s="1510">
        <f t="shared" si="1038"/>
        <v>0</v>
      </c>
      <c r="EE460" s="1510">
        <f t="shared" si="1038"/>
        <v>0</v>
      </c>
      <c r="EF460" s="1511">
        <f t="shared" si="1038"/>
        <v>0</v>
      </c>
      <c r="EG460" s="1510">
        <f t="shared" ref="EG460:EL460" si="1039">+EG454+EG457</f>
        <v>0</v>
      </c>
      <c r="EH460" s="1510">
        <f t="shared" si="1039"/>
        <v>0</v>
      </c>
      <c r="EI460" s="1511">
        <f t="shared" si="1039"/>
        <v>0</v>
      </c>
      <c r="EJ460" s="1510">
        <f t="shared" si="1039"/>
        <v>0</v>
      </c>
      <c r="EK460" s="1510">
        <f t="shared" si="1039"/>
        <v>0</v>
      </c>
      <c r="EL460" s="1511">
        <f t="shared" si="1039"/>
        <v>0</v>
      </c>
      <c r="EM460" s="1510">
        <f t="shared" ref="EM460:ER460" si="1040">+EM454+EM457</f>
        <v>0</v>
      </c>
      <c r="EN460" s="1510">
        <f t="shared" si="1040"/>
        <v>0</v>
      </c>
      <c r="EO460" s="1511">
        <f t="shared" si="1040"/>
        <v>0</v>
      </c>
      <c r="EP460" s="1510">
        <f t="shared" si="1040"/>
        <v>0</v>
      </c>
      <c r="EQ460" s="1510">
        <f t="shared" si="1040"/>
        <v>0</v>
      </c>
      <c r="ER460" s="1511">
        <f t="shared" si="1040"/>
        <v>0</v>
      </c>
      <c r="ES460" s="1510">
        <f t="shared" ref="ES460:FA460" si="1041">+ES454+ES457</f>
        <v>0</v>
      </c>
      <c r="ET460" s="1510">
        <f t="shared" si="1041"/>
        <v>0</v>
      </c>
      <c r="EU460" s="1511">
        <f t="shared" si="1041"/>
        <v>0</v>
      </c>
      <c r="EV460" s="1510">
        <f t="shared" si="1041"/>
        <v>0</v>
      </c>
      <c r="EW460" s="1510">
        <f t="shared" si="1041"/>
        <v>0</v>
      </c>
      <c r="EX460" s="1511">
        <f t="shared" si="1041"/>
        <v>0</v>
      </c>
      <c r="EY460" s="1510">
        <f t="shared" si="1041"/>
        <v>0</v>
      </c>
      <c r="EZ460" s="1510">
        <f t="shared" si="1041"/>
        <v>0</v>
      </c>
      <c r="FA460" s="1511">
        <f t="shared" si="1041"/>
        <v>0</v>
      </c>
      <c r="FD460"/>
      <c r="FE460"/>
      <c r="FF460"/>
      <c r="FG460"/>
      <c r="FH460"/>
      <c r="FI460"/>
    </row>
    <row r="461" spans="1:165" s="35" customFormat="1">
      <c r="A461" s="1457"/>
      <c r="B461" s="1457"/>
      <c r="C461" s="1457"/>
      <c r="D461" s="1457"/>
      <c r="E461" s="1490"/>
      <c r="F461" s="1490"/>
      <c r="G461" s="1490"/>
      <c r="H461" s="1490"/>
      <c r="I461" s="1490"/>
      <c r="J461" s="1490"/>
      <c r="K461" s="1490"/>
      <c r="L461" s="1490"/>
      <c r="M461" s="1490"/>
      <c r="N461" s="1490"/>
      <c r="O461" s="1490"/>
      <c r="P461" s="1490"/>
      <c r="Q461" s="1491"/>
      <c r="R461" s="1491"/>
      <c r="S461" s="1491"/>
      <c r="T461" s="1491"/>
      <c r="U461" s="1491"/>
      <c r="V461" s="1492"/>
      <c r="W461" s="1492"/>
      <c r="X461" s="1492"/>
      <c r="Y461" s="1492"/>
      <c r="Z461" s="1492"/>
      <c r="AA461" s="1492"/>
      <c r="AB461" s="1492"/>
      <c r="AC461" s="1492"/>
      <c r="AD461" s="1492"/>
      <c r="AE461" s="1492"/>
      <c r="AF461" s="1492"/>
      <c r="AG461" s="1492"/>
      <c r="AH461" s="1492"/>
      <c r="AI461" s="1492"/>
      <c r="AJ461" s="1492"/>
      <c r="AK461" s="1492"/>
      <c r="AL461" s="1492"/>
      <c r="AM461" s="1492"/>
      <c r="AN461" s="1485"/>
      <c r="AO461" s="1485"/>
      <c r="AP461" s="1485"/>
      <c r="AQ461" s="1485"/>
      <c r="AR461" s="1485"/>
      <c r="AS461" s="1485"/>
      <c r="AT461" s="1485"/>
      <c r="AU461" s="1485"/>
      <c r="AV461" s="1485"/>
      <c r="AW461" s="1485"/>
      <c r="AX461" s="1485"/>
      <c r="AY461" s="1485"/>
      <c r="AZ461" s="1485"/>
      <c r="BA461" s="1485"/>
      <c r="BB461" s="1485"/>
      <c r="BC461" s="1485"/>
      <c r="BD461" s="1485"/>
      <c r="BE461" s="1485"/>
      <c r="BF461" s="1485"/>
      <c r="BG461" s="1485"/>
      <c r="BH461" s="1485"/>
      <c r="BI461" s="1485"/>
      <c r="BJ461" s="1485"/>
      <c r="BK461" s="1485"/>
      <c r="BL461" s="1485"/>
      <c r="BM461" s="1485"/>
      <c r="BN461" s="1485"/>
      <c r="BO461" s="1485"/>
      <c r="BP461" s="1485"/>
      <c r="BQ461" s="1485"/>
      <c r="BR461" s="1485"/>
      <c r="BS461" s="1485"/>
      <c r="BT461" s="1485"/>
      <c r="BU461" s="1485"/>
      <c r="BV461" s="1485"/>
      <c r="BW461" s="1485"/>
      <c r="BX461" s="1485"/>
      <c r="BY461" s="1485"/>
      <c r="BZ461" s="1485"/>
      <c r="CA461" s="1485"/>
      <c r="CB461" s="1423"/>
      <c r="CC461" s="1423"/>
      <c r="CD461" s="53"/>
      <c r="CE461" s="53"/>
      <c r="CF461" s="53"/>
      <c r="CG461" s="53"/>
      <c r="CH461" s="53"/>
      <c r="CI461" s="53"/>
      <c r="CJ461" s="53"/>
      <c r="CK461" s="53"/>
      <c r="CL461" s="53"/>
      <c r="CM461" s="53"/>
      <c r="CN461" s="53"/>
      <c r="CO461" s="53"/>
      <c r="CP461" s="53"/>
      <c r="CQ461" s="53"/>
      <c r="CR461" s="53"/>
      <c r="CS461" s="53"/>
      <c r="CT461" s="53"/>
      <c r="CU461" s="53"/>
      <c r="CV461" s="53"/>
      <c r="CW461" s="53"/>
      <c r="CX461" s="53"/>
      <c r="CY461" s="53"/>
      <c r="CZ461" s="53"/>
      <c r="DA461" s="53"/>
      <c r="DB461" s="53"/>
      <c r="DC461" s="53"/>
      <c r="DD461" s="53"/>
      <c r="DE461" s="1088"/>
      <c r="DF461" s="53"/>
      <c r="DG461" s="53"/>
      <c r="DH461" s="1088"/>
      <c r="DI461" s="53"/>
      <c r="DJ461" s="53"/>
      <c r="DK461" s="1088"/>
      <c r="DL461" s="53"/>
      <c r="DM461" s="53"/>
      <c r="DN461" s="1088"/>
      <c r="DO461" s="53"/>
      <c r="DP461" s="53"/>
      <c r="DQ461" s="1088"/>
      <c r="DR461" s="53"/>
      <c r="DS461" s="53"/>
      <c r="DT461" s="1088"/>
      <c r="DU461" s="53"/>
      <c r="DV461" s="53"/>
      <c r="DW461" s="1088"/>
      <c r="DX461" s="53"/>
      <c r="DY461" s="53"/>
      <c r="DZ461" s="1088"/>
      <c r="EA461" s="53"/>
      <c r="EB461" s="53"/>
      <c r="EC461" s="1088"/>
      <c r="ED461" s="53"/>
      <c r="EE461" s="53"/>
      <c r="EF461" s="1088"/>
      <c r="EG461" s="53"/>
      <c r="EH461" s="53"/>
      <c r="EI461" s="1088"/>
      <c r="EJ461" s="53"/>
      <c r="EK461" s="53"/>
      <c r="EL461" s="1088"/>
      <c r="EM461" s="53"/>
      <c r="EN461" s="53"/>
      <c r="EO461" s="1088"/>
      <c r="EP461" s="53"/>
      <c r="EQ461" s="53"/>
      <c r="ER461" s="1088"/>
      <c r="ES461" s="53"/>
      <c r="ET461" s="53"/>
      <c r="EU461" s="1088"/>
      <c r="EV461" s="53"/>
      <c r="EW461" s="53"/>
      <c r="EX461" s="1088"/>
      <c r="EY461" s="53"/>
      <c r="EZ461" s="53"/>
      <c r="FA461" s="1088"/>
      <c r="FD461"/>
      <c r="FE461"/>
      <c r="FF461"/>
      <c r="FG461"/>
      <c r="FH461"/>
      <c r="FI461"/>
    </row>
    <row r="462" spans="1:165" s="35" customFormat="1">
      <c r="A462" s="1457"/>
      <c r="B462" s="1488" t="s">
        <v>594</v>
      </c>
      <c r="C462" s="1457"/>
      <c r="D462" s="1457"/>
      <c r="E462" s="1490"/>
      <c r="F462" s="1490"/>
      <c r="G462" s="1490"/>
      <c r="H462" s="1490"/>
      <c r="I462" s="1490"/>
      <c r="J462" s="1490"/>
      <c r="K462" s="1490"/>
      <c r="L462" s="1490"/>
      <c r="M462" s="1490"/>
      <c r="N462" s="1490"/>
      <c r="O462" s="1490"/>
      <c r="P462" s="1490"/>
      <c r="Q462" s="1491"/>
      <c r="R462" s="1491"/>
      <c r="S462" s="1491"/>
      <c r="T462" s="1491"/>
      <c r="U462" s="1491"/>
      <c r="V462" s="1492"/>
      <c r="W462" s="1492"/>
      <c r="X462" s="1492"/>
      <c r="Y462" s="1492"/>
      <c r="Z462" s="1492"/>
      <c r="AA462" s="1492"/>
      <c r="AB462" s="1492"/>
      <c r="AC462" s="1492"/>
      <c r="AD462" s="1492"/>
      <c r="AE462" s="1492"/>
      <c r="AF462" s="1492"/>
      <c r="AG462" s="1492"/>
      <c r="AH462" s="1492"/>
      <c r="AI462" s="1492"/>
      <c r="AJ462" s="1492"/>
      <c r="AK462" s="1492"/>
      <c r="AL462" s="1492"/>
      <c r="AM462" s="1492"/>
      <c r="AN462" s="1485"/>
      <c r="AO462" s="1485"/>
      <c r="AP462" s="1485"/>
      <c r="AQ462" s="1485"/>
      <c r="AR462" s="1485"/>
      <c r="AS462" s="1485"/>
      <c r="AT462" s="1485"/>
      <c r="AU462" s="1485"/>
      <c r="AV462" s="1485"/>
      <c r="AW462" s="1485"/>
      <c r="AX462" s="1485"/>
      <c r="AY462" s="1485"/>
      <c r="AZ462" s="1485"/>
      <c r="BA462" s="1485"/>
      <c r="BB462" s="1485"/>
      <c r="BC462" s="1485"/>
      <c r="BD462" s="1485"/>
      <c r="BE462" s="1485"/>
      <c r="BF462" s="1485"/>
      <c r="BG462" s="1485"/>
      <c r="BH462" s="1485"/>
      <c r="BI462" s="1485"/>
      <c r="BJ462" s="1485"/>
      <c r="BK462" s="1485"/>
      <c r="BL462" s="1485"/>
      <c r="BM462" s="1485"/>
      <c r="BN462" s="1485"/>
      <c r="BO462" s="1485"/>
      <c r="BP462" s="1485"/>
      <c r="BQ462" s="1485"/>
      <c r="BR462" s="1485"/>
      <c r="BS462" s="1485"/>
      <c r="BT462" s="1485"/>
      <c r="BU462" s="1485"/>
      <c r="BV462" s="1485"/>
      <c r="BW462" s="1485"/>
      <c r="BX462" s="1485"/>
      <c r="BY462" s="1485"/>
      <c r="BZ462" s="1485"/>
      <c r="CA462" s="1485"/>
      <c r="CB462" s="1423"/>
      <c r="CC462" s="1423"/>
      <c r="CD462" s="53"/>
      <c r="CE462" s="53"/>
      <c r="CF462" s="53"/>
      <c r="CG462" s="53"/>
      <c r="CH462" s="53"/>
      <c r="CI462" s="53"/>
      <c r="CJ462" s="53"/>
      <c r="CK462" s="53"/>
      <c r="CL462" s="53"/>
      <c r="CM462" s="53"/>
      <c r="CN462" s="53"/>
      <c r="CO462" s="53"/>
      <c r="CP462" s="53"/>
      <c r="CQ462" s="53"/>
      <c r="CR462" s="53"/>
      <c r="CS462" s="53"/>
      <c r="CT462" s="53"/>
      <c r="CU462" s="53"/>
      <c r="CV462" s="53"/>
      <c r="CW462" s="53"/>
      <c r="CX462" s="53"/>
      <c r="CY462" s="53"/>
      <c r="CZ462" s="53"/>
      <c r="DA462" s="53"/>
      <c r="DB462" s="53"/>
      <c r="DC462" s="53"/>
      <c r="DD462" s="53"/>
      <c r="DE462" s="1088"/>
      <c r="DF462" s="53"/>
      <c r="DG462" s="53"/>
      <c r="DH462" s="1088"/>
      <c r="DI462" s="53"/>
      <c r="DJ462" s="53"/>
      <c r="DK462" s="1088"/>
      <c r="DL462" s="53"/>
      <c r="DM462" s="53"/>
      <c r="DN462" s="1088"/>
      <c r="DO462" s="53"/>
      <c r="DP462" s="53"/>
      <c r="DQ462" s="1088"/>
      <c r="DR462" s="53"/>
      <c r="DS462" s="53"/>
      <c r="DT462" s="1088"/>
      <c r="DU462" s="53"/>
      <c r="DV462" s="53"/>
      <c r="DW462" s="1088"/>
      <c r="DX462" s="53"/>
      <c r="DY462" s="53"/>
      <c r="DZ462" s="1088"/>
      <c r="EA462" s="53"/>
      <c r="EB462" s="53"/>
      <c r="EC462" s="1088"/>
      <c r="ED462" s="53"/>
      <c r="EE462" s="53"/>
      <c r="EF462" s="1088"/>
      <c r="EG462" s="53"/>
      <c r="EH462" s="53"/>
      <c r="EI462" s="1088"/>
      <c r="EJ462" s="53"/>
      <c r="EK462" s="53"/>
      <c r="EL462" s="1088"/>
      <c r="EM462" s="53"/>
      <c r="EN462" s="53"/>
      <c r="EO462" s="1088"/>
      <c r="EP462" s="53"/>
      <c r="EQ462" s="53"/>
      <c r="ER462" s="1088"/>
      <c r="ES462" s="53"/>
      <c r="ET462" s="53"/>
      <c r="EU462" s="1088"/>
      <c r="EV462" s="53"/>
      <c r="EW462" s="53"/>
      <c r="EX462" s="1088"/>
      <c r="EY462" s="53"/>
      <c r="EZ462" s="53"/>
      <c r="FA462" s="1088"/>
      <c r="FD462"/>
      <c r="FE462"/>
      <c r="FF462"/>
      <c r="FG462"/>
      <c r="FH462"/>
      <c r="FI462"/>
    </row>
    <row r="463" spans="1:165" s="35" customFormat="1" ht="13.5" thickBot="1">
      <c r="A463" s="1457"/>
      <c r="B463" s="1488" t="s">
        <v>595</v>
      </c>
      <c r="C463" s="1457"/>
      <c r="D463" s="1457"/>
      <c r="E463" s="1490"/>
      <c r="F463" s="1490"/>
      <c r="G463" s="1490"/>
      <c r="H463" s="1490"/>
      <c r="I463" s="1490"/>
      <c r="J463" s="1490"/>
      <c r="K463" s="1490"/>
      <c r="L463" s="1490"/>
      <c r="M463" s="1490"/>
      <c r="N463" s="1490"/>
      <c r="O463" s="1490"/>
      <c r="P463" s="1490"/>
      <c r="Q463" s="1491"/>
      <c r="R463" s="1491"/>
      <c r="S463" s="1491"/>
      <c r="T463" s="1491"/>
      <c r="U463" s="1491"/>
      <c r="V463" s="1492"/>
      <c r="W463" s="1492"/>
      <c r="X463" s="1492"/>
      <c r="Y463" s="1492"/>
      <c r="Z463" s="1492"/>
      <c r="AA463" s="1492"/>
      <c r="AB463" s="1492"/>
      <c r="AC463" s="1492"/>
      <c r="AD463" s="1492"/>
      <c r="AE463" s="1492"/>
      <c r="AF463" s="1492"/>
      <c r="AG463" s="1492"/>
      <c r="AH463" s="1492"/>
      <c r="AI463" s="1492"/>
      <c r="AJ463" s="1492"/>
      <c r="AK463" s="1492"/>
      <c r="AL463" s="1492"/>
      <c r="AM463" s="1492"/>
      <c r="AN463" s="1485"/>
      <c r="AO463" s="1485"/>
      <c r="AP463" s="1485"/>
      <c r="AQ463" s="1485"/>
      <c r="AR463" s="1485"/>
      <c r="AS463" s="1485"/>
      <c r="AT463" s="1485"/>
      <c r="AU463" s="1485"/>
      <c r="AV463" s="1485"/>
      <c r="AW463" s="1485"/>
      <c r="AX463" s="1485"/>
      <c r="AY463" s="1485"/>
      <c r="AZ463" s="1485"/>
      <c r="BA463" s="1485"/>
      <c r="BB463" s="1485"/>
      <c r="BC463" s="1485"/>
      <c r="BD463" s="1485"/>
      <c r="BE463" s="1485"/>
      <c r="BF463" s="1485"/>
      <c r="BG463" s="1485"/>
      <c r="BH463" s="1485"/>
      <c r="BI463" s="1485"/>
      <c r="BJ463" s="1485"/>
      <c r="BK463" s="1485"/>
      <c r="BL463" s="1485"/>
      <c r="BM463" s="1485"/>
      <c r="BN463" s="1485"/>
      <c r="BO463" s="1485"/>
      <c r="BP463" s="1485"/>
      <c r="BQ463" s="1485"/>
      <c r="BR463" s="1485"/>
      <c r="BS463" s="1485"/>
      <c r="BT463" s="1485"/>
      <c r="BU463" s="1485"/>
      <c r="BV463" s="1485"/>
      <c r="BW463" s="1485"/>
      <c r="BX463" s="1485"/>
      <c r="BY463" s="1485"/>
      <c r="BZ463" s="1485"/>
      <c r="CA463" s="1485"/>
      <c r="CB463" s="1423"/>
      <c r="CC463" s="1423"/>
      <c r="CD463" s="53"/>
      <c r="CE463" s="53"/>
      <c r="CF463" s="53"/>
      <c r="CG463" s="53"/>
      <c r="CH463" s="53"/>
      <c r="CI463" s="53"/>
      <c r="CJ463" s="53"/>
      <c r="CK463" s="53"/>
      <c r="CL463" s="53"/>
      <c r="CM463" s="53"/>
      <c r="CN463" s="53"/>
      <c r="CO463" s="53"/>
      <c r="CP463" s="53"/>
      <c r="CQ463" s="53"/>
      <c r="CR463" s="53"/>
      <c r="CS463" s="53"/>
      <c r="CT463" s="53"/>
      <c r="CU463" s="53"/>
      <c r="CV463" s="53"/>
      <c r="CW463" s="53"/>
      <c r="CX463" s="53"/>
      <c r="CY463" s="53"/>
      <c r="CZ463" s="53"/>
      <c r="DA463" s="53"/>
      <c r="DB463" s="53"/>
      <c r="DC463" s="53"/>
      <c r="DD463" s="53"/>
      <c r="DE463" s="1088"/>
      <c r="DF463" s="53"/>
      <c r="DG463" s="53"/>
      <c r="DH463" s="1088"/>
      <c r="DI463" s="53"/>
      <c r="DJ463" s="53"/>
      <c r="DK463" s="1088"/>
      <c r="DL463" s="53"/>
      <c r="DM463" s="53"/>
      <c r="DN463" s="1088"/>
      <c r="DO463" s="53"/>
      <c r="DP463" s="53"/>
      <c r="DQ463" s="1088"/>
      <c r="DR463" s="53"/>
      <c r="DS463" s="53"/>
      <c r="DT463" s="1088"/>
      <c r="DU463" s="53"/>
      <c r="DV463" s="53"/>
      <c r="DW463" s="1088"/>
      <c r="DX463" s="53"/>
      <c r="DY463" s="53"/>
      <c r="DZ463" s="1088"/>
      <c r="EA463" s="53"/>
      <c r="EB463" s="53"/>
      <c r="EC463" s="1088"/>
      <c r="ED463" s="53"/>
      <c r="EE463" s="53"/>
      <c r="EF463" s="1088"/>
      <c r="EG463" s="53"/>
      <c r="EH463" s="53"/>
      <c r="EI463" s="1088"/>
      <c r="EJ463" s="53"/>
      <c r="EK463" s="53"/>
      <c r="EL463" s="1088"/>
      <c r="EM463" s="53"/>
      <c r="EN463" s="53"/>
      <c r="EO463" s="1088"/>
      <c r="EP463" s="53"/>
      <c r="EQ463" s="53"/>
      <c r="ER463" s="1088"/>
      <c r="ES463" s="53"/>
      <c r="ET463" s="53"/>
      <c r="EU463" s="1088"/>
      <c r="EV463" s="53"/>
      <c r="EW463" s="53"/>
      <c r="EX463" s="1088"/>
      <c r="EY463" s="53"/>
      <c r="EZ463" s="53"/>
      <c r="FA463" s="1088"/>
      <c r="FD463"/>
      <c r="FE463"/>
      <c r="FF463"/>
      <c r="FG463"/>
      <c r="FH463"/>
      <c r="FI463"/>
    </row>
    <row r="464" spans="1:165" s="35" customFormat="1">
      <c r="A464" s="1457"/>
      <c r="B464" s="1457" t="s">
        <v>524</v>
      </c>
      <c r="C464" s="1457"/>
      <c r="D464" s="1457"/>
      <c r="E464" s="1490"/>
      <c r="F464" s="1490"/>
      <c r="G464" s="1490"/>
      <c r="H464" s="1490"/>
      <c r="I464" s="1490"/>
      <c r="J464" s="1490"/>
      <c r="K464" s="1490"/>
      <c r="L464" s="1490"/>
      <c r="M464" s="1490"/>
      <c r="N464" s="1490"/>
      <c r="O464" s="1490"/>
      <c r="P464" s="1490"/>
      <c r="Q464" s="1491"/>
      <c r="R464" s="1491"/>
      <c r="S464" s="1491"/>
      <c r="T464" s="1491"/>
      <c r="U464" s="1491"/>
      <c r="V464" s="1492"/>
      <c r="W464" s="1492"/>
      <c r="X464" s="1492"/>
      <c r="Y464" s="1492"/>
      <c r="Z464" s="1492"/>
      <c r="AA464" s="1492"/>
      <c r="AB464" s="1492"/>
      <c r="AC464" s="1492"/>
      <c r="AD464" s="1492"/>
      <c r="AE464" s="1492"/>
      <c r="AF464" s="1492"/>
      <c r="AG464" s="1492"/>
      <c r="AH464" s="1492"/>
      <c r="AI464" s="1492"/>
      <c r="AJ464" s="1492"/>
      <c r="AK464" s="1492"/>
      <c r="AL464" s="1492"/>
      <c r="AM464" s="1492"/>
      <c r="AN464" s="1424"/>
      <c r="AO464" s="1497"/>
      <c r="AP464" s="1485">
        <f>+AQ464</f>
        <v>0</v>
      </c>
      <c r="AQ464" s="1424"/>
      <c r="AR464" s="1497"/>
      <c r="AS464" s="1485">
        <f>+AT464</f>
        <v>0</v>
      </c>
      <c r="AT464" s="1424"/>
      <c r="AU464" s="1497"/>
      <c r="AV464" s="1485">
        <f>+AW464</f>
        <v>0</v>
      </c>
      <c r="AW464" s="1424"/>
      <c r="AX464" s="1497"/>
      <c r="AY464" s="1485">
        <f>+AZ464</f>
        <v>0</v>
      </c>
      <c r="AZ464" s="1424"/>
      <c r="BA464" s="1497"/>
      <c r="BB464" s="1485">
        <f>+BC464</f>
        <v>0</v>
      </c>
      <c r="BC464" s="1424"/>
      <c r="BD464" s="1497"/>
      <c r="BE464" s="1485">
        <f>+BF464</f>
        <v>0</v>
      </c>
      <c r="BF464" s="1424"/>
      <c r="BG464" s="1497"/>
      <c r="BH464" s="1485">
        <f>+BI464</f>
        <v>0</v>
      </c>
      <c r="BI464" s="1424"/>
      <c r="BJ464" s="1497"/>
      <c r="BK464" s="1485">
        <f>+BL464</f>
        <v>0</v>
      </c>
      <c r="BL464" s="1424"/>
      <c r="BM464" s="1497"/>
      <c r="BN464" s="1485">
        <f>+BO464</f>
        <v>0</v>
      </c>
      <c r="BO464" s="1427"/>
      <c r="BP464" s="1497"/>
      <c r="BQ464" s="1485">
        <f>+BR464</f>
        <v>0</v>
      </c>
      <c r="BR464" s="1427"/>
      <c r="BS464" s="1497"/>
      <c r="BT464" s="1485">
        <f>+BU464</f>
        <v>0</v>
      </c>
      <c r="BU464" s="1427"/>
      <c r="BV464" s="1497"/>
      <c r="BW464" s="1485">
        <f>+BX464</f>
        <v>0</v>
      </c>
      <c r="BX464" s="1427"/>
      <c r="BY464" s="1497"/>
      <c r="BZ464" s="1485">
        <f>+CA464</f>
        <v>0</v>
      </c>
      <c r="CA464" s="1427"/>
      <c r="CB464" s="1425"/>
      <c r="CC464" s="1423">
        <f>+CD464</f>
        <v>0</v>
      </c>
      <c r="CD464" s="1324"/>
      <c r="CE464" s="1325"/>
      <c r="CF464" s="53">
        <f>+CG464</f>
        <v>0</v>
      </c>
      <c r="CG464" s="1324"/>
      <c r="CH464" s="1325"/>
      <c r="CI464" s="53">
        <f>+CJ464</f>
        <v>0</v>
      </c>
      <c r="CJ464" s="1324"/>
      <c r="CK464" s="1325"/>
      <c r="CL464" s="53">
        <f>+CM464</f>
        <v>0</v>
      </c>
      <c r="CM464" s="1324"/>
      <c r="CN464" s="1325"/>
      <c r="CO464" s="53">
        <f>+CP464</f>
        <v>0</v>
      </c>
      <c r="CP464" s="1324"/>
      <c r="CQ464" s="1325"/>
      <c r="CR464" s="53">
        <f>+CS464</f>
        <v>0</v>
      </c>
      <c r="CS464" s="1324"/>
      <c r="CT464" s="1325"/>
      <c r="CU464" s="53">
        <f>+CV464</f>
        <v>0</v>
      </c>
      <c r="CV464" s="1324"/>
      <c r="CW464" s="1325"/>
      <c r="CX464" s="53">
        <f>+CY464</f>
        <v>0</v>
      </c>
      <c r="CY464" s="1324"/>
      <c r="CZ464" s="1325"/>
      <c r="DA464" s="53">
        <f>+DB464</f>
        <v>0</v>
      </c>
      <c r="DB464" s="1324"/>
      <c r="DC464" s="1325"/>
      <c r="DD464" s="53">
        <f>+DE464</f>
        <v>0</v>
      </c>
      <c r="DE464" s="1501"/>
      <c r="DF464" s="1325"/>
      <c r="DG464" s="53">
        <f>+DH464</f>
        <v>0</v>
      </c>
      <c r="DH464" s="1501"/>
      <c r="DI464" s="1325"/>
      <c r="DJ464" s="53">
        <f>+DK464</f>
        <v>0</v>
      </c>
      <c r="DK464" s="1501"/>
      <c r="DL464" s="1325"/>
      <c r="DM464" s="53">
        <f>+DN464</f>
        <v>0</v>
      </c>
      <c r="DN464" s="1501"/>
      <c r="DO464" s="1325"/>
      <c r="DP464" s="53">
        <f>+DQ464</f>
        <v>0</v>
      </c>
      <c r="DQ464" s="1501"/>
      <c r="DR464" s="1325"/>
      <c r="DS464" s="53">
        <f>+DT464</f>
        <v>0</v>
      </c>
      <c r="DT464" s="1501"/>
      <c r="DU464" s="1325"/>
      <c r="DV464" s="53">
        <f>+DW464</f>
        <v>0</v>
      </c>
      <c r="DW464" s="1501"/>
      <c r="DX464" s="1325"/>
      <c r="DY464" s="53">
        <f>+DZ464</f>
        <v>0</v>
      </c>
      <c r="DZ464" s="1501"/>
      <c r="EA464" s="1325"/>
      <c r="EB464" s="53">
        <f>+EC464</f>
        <v>0</v>
      </c>
      <c r="EC464" s="1501"/>
      <c r="ED464" s="1325"/>
      <c r="EE464" s="53">
        <f>+EF464</f>
        <v>0</v>
      </c>
      <c r="EF464" s="1501"/>
      <c r="EG464" s="1325"/>
      <c r="EH464" s="53">
        <f>+EI464</f>
        <v>0</v>
      </c>
      <c r="EI464" s="1501"/>
      <c r="EJ464" s="1325"/>
      <c r="EK464" s="53">
        <f>+EL464</f>
        <v>0</v>
      </c>
      <c r="EL464" s="1501"/>
      <c r="EM464" s="1325"/>
      <c r="EN464" s="53">
        <f>+EO464</f>
        <v>0</v>
      </c>
      <c r="EO464" s="1501"/>
      <c r="EP464" s="1325"/>
      <c r="EQ464" s="53">
        <f>+ER464</f>
        <v>0</v>
      </c>
      <c r="ER464" s="1501"/>
      <c r="ES464" s="1325"/>
      <c r="ET464" s="53">
        <f>+EU464</f>
        <v>0</v>
      </c>
      <c r="EU464" s="1501"/>
      <c r="EV464" s="1325"/>
      <c r="EW464" s="53">
        <f>+EX464</f>
        <v>0</v>
      </c>
      <c r="EX464" s="1501"/>
      <c r="EY464" s="1325"/>
      <c r="EZ464" s="53">
        <f>+FA464</f>
        <v>0</v>
      </c>
      <c r="FA464" s="1501"/>
      <c r="FD464"/>
      <c r="FE464"/>
      <c r="FF464"/>
      <c r="FG464"/>
      <c r="FH464"/>
      <c r="FI464"/>
    </row>
    <row r="465" spans="1:165" s="35" customFormat="1">
      <c r="A465" s="1457"/>
      <c r="B465" s="1457" t="s">
        <v>596</v>
      </c>
      <c r="C465" s="1457"/>
      <c r="D465" s="1457"/>
      <c r="E465" s="1490"/>
      <c r="F465" s="1490"/>
      <c r="G465" s="1490"/>
      <c r="H465" s="1490"/>
      <c r="I465" s="1490"/>
      <c r="J465" s="1490"/>
      <c r="K465" s="1490"/>
      <c r="L465" s="1490"/>
      <c r="M465" s="1490"/>
      <c r="N465" s="1490"/>
      <c r="O465" s="1490"/>
      <c r="P465" s="1490"/>
      <c r="Q465" s="1491"/>
      <c r="R465" s="1491"/>
      <c r="S465" s="1491"/>
      <c r="T465" s="1491"/>
      <c r="U465" s="1491"/>
      <c r="V465" s="1492"/>
      <c r="W465" s="1492"/>
      <c r="X465" s="1492"/>
      <c r="Y465" s="1492"/>
      <c r="Z465" s="1492"/>
      <c r="AA465" s="1492"/>
      <c r="AB465" s="1492"/>
      <c r="AC465" s="1492"/>
      <c r="AD465" s="1492"/>
      <c r="AE465" s="1492"/>
      <c r="AF465" s="1492"/>
      <c r="AG465" s="1492"/>
      <c r="AH465" s="1492"/>
      <c r="AI465" s="1492"/>
      <c r="AJ465" s="1492"/>
      <c r="AK465" s="1492"/>
      <c r="AL465" s="1492"/>
      <c r="AM465" s="1492"/>
      <c r="AN465" s="1433"/>
      <c r="AO465" s="1512"/>
      <c r="AP465" s="1485">
        <f>+AQ465</f>
        <v>0</v>
      </c>
      <c r="AQ465" s="1433"/>
      <c r="AR465" s="1512"/>
      <c r="AS465" s="1485">
        <f>+AT465</f>
        <v>0</v>
      </c>
      <c r="AT465" s="1433"/>
      <c r="AU465" s="1512"/>
      <c r="AV465" s="1485">
        <f>+AW465</f>
        <v>0</v>
      </c>
      <c r="AW465" s="1433"/>
      <c r="AX465" s="1512"/>
      <c r="AY465" s="1485">
        <f>+AZ465</f>
        <v>0</v>
      </c>
      <c r="AZ465" s="1433"/>
      <c r="BA465" s="1512"/>
      <c r="BB465" s="1485">
        <f>+BC465</f>
        <v>0</v>
      </c>
      <c r="BC465" s="1433"/>
      <c r="BD465" s="1512"/>
      <c r="BE465" s="1485">
        <f>+BF465</f>
        <v>0</v>
      </c>
      <c r="BF465" s="1433"/>
      <c r="BG465" s="1512"/>
      <c r="BH465" s="1485">
        <f>+BI465</f>
        <v>0</v>
      </c>
      <c r="BI465" s="1433"/>
      <c r="BJ465" s="1512"/>
      <c r="BK465" s="1485">
        <f>+BL465</f>
        <v>0</v>
      </c>
      <c r="BL465" s="1433"/>
      <c r="BM465" s="1512"/>
      <c r="BN465" s="1485">
        <f>+BO465</f>
        <v>0</v>
      </c>
      <c r="BO465" s="1436"/>
      <c r="BP465" s="1512"/>
      <c r="BQ465" s="1485">
        <f>+BR465</f>
        <v>0</v>
      </c>
      <c r="BR465" s="1436"/>
      <c r="BS465" s="1512"/>
      <c r="BT465" s="1485">
        <f>+BU465</f>
        <v>0</v>
      </c>
      <c r="BU465" s="1436"/>
      <c r="BV465" s="1512"/>
      <c r="BW465" s="1485">
        <f>+BX465</f>
        <v>0</v>
      </c>
      <c r="BX465" s="1436"/>
      <c r="BY465" s="1512"/>
      <c r="BZ465" s="1485">
        <f>+CA465</f>
        <v>0</v>
      </c>
      <c r="CA465" s="1436"/>
      <c r="CB465" s="1434"/>
      <c r="CC465" s="1423">
        <f>+CD465</f>
        <v>0</v>
      </c>
      <c r="CD465" s="1513"/>
      <c r="CE465" s="1514"/>
      <c r="CF465" s="53">
        <f>+CG465</f>
        <v>0</v>
      </c>
      <c r="CG465" s="1513"/>
      <c r="CH465" s="1514"/>
      <c r="CI465" s="53">
        <f>+CJ465</f>
        <v>0</v>
      </c>
      <c r="CJ465" s="1513"/>
      <c r="CK465" s="1514"/>
      <c r="CL465" s="53">
        <f>+CM465</f>
        <v>0</v>
      </c>
      <c r="CM465" s="1513"/>
      <c r="CN465" s="1514"/>
      <c r="CO465" s="53">
        <f>+CP465</f>
        <v>0</v>
      </c>
      <c r="CP465" s="1513"/>
      <c r="CQ465" s="1514"/>
      <c r="CR465" s="53">
        <f>+CS465</f>
        <v>0</v>
      </c>
      <c r="CS465" s="1513"/>
      <c r="CT465" s="1514"/>
      <c r="CU465" s="53">
        <f>+CV465</f>
        <v>0</v>
      </c>
      <c r="CV465" s="1513"/>
      <c r="CW465" s="1514"/>
      <c r="CX465" s="53">
        <f>+CY465</f>
        <v>0</v>
      </c>
      <c r="CY465" s="1513"/>
      <c r="CZ465" s="1514"/>
      <c r="DA465" s="53">
        <f>+DB465</f>
        <v>0</v>
      </c>
      <c r="DB465" s="1513"/>
      <c r="DC465" s="1514"/>
      <c r="DD465" s="53">
        <f>+DE465</f>
        <v>0</v>
      </c>
      <c r="DE465" s="1515"/>
      <c r="DF465" s="1514"/>
      <c r="DG465" s="53">
        <f>+DH465</f>
        <v>0</v>
      </c>
      <c r="DH465" s="1515"/>
      <c r="DI465" s="1514"/>
      <c r="DJ465" s="53">
        <f>+DK465</f>
        <v>0</v>
      </c>
      <c r="DK465" s="1515"/>
      <c r="DL465" s="1514"/>
      <c r="DM465" s="53">
        <f>+DN465</f>
        <v>0</v>
      </c>
      <c r="DN465" s="1515"/>
      <c r="DO465" s="1514"/>
      <c r="DP465" s="53">
        <f>+DQ465</f>
        <v>0</v>
      </c>
      <c r="DQ465" s="1515"/>
      <c r="DR465" s="1514"/>
      <c r="DS465" s="53">
        <f>+DT465</f>
        <v>0</v>
      </c>
      <c r="DT465" s="1515"/>
      <c r="DU465" s="1514"/>
      <c r="DV465" s="53">
        <f>+DW465</f>
        <v>0</v>
      </c>
      <c r="DW465" s="1515"/>
      <c r="DX465" s="1514"/>
      <c r="DY465" s="53">
        <f>+DZ465</f>
        <v>0</v>
      </c>
      <c r="DZ465" s="1515"/>
      <c r="EA465" s="1514"/>
      <c r="EB465" s="53">
        <f>+EC465</f>
        <v>0</v>
      </c>
      <c r="EC465" s="1515"/>
      <c r="ED465" s="1514"/>
      <c r="EE465" s="53">
        <f>+EF465</f>
        <v>0</v>
      </c>
      <c r="EF465" s="1515"/>
      <c r="EG465" s="1514"/>
      <c r="EH465" s="53">
        <f>+EI465</f>
        <v>0</v>
      </c>
      <c r="EI465" s="1515"/>
      <c r="EJ465" s="1514"/>
      <c r="EK465" s="53">
        <f>+EL465</f>
        <v>0</v>
      </c>
      <c r="EL465" s="1515"/>
      <c r="EM465" s="1514"/>
      <c r="EN465" s="53">
        <f>+EO465</f>
        <v>0</v>
      </c>
      <c r="EO465" s="1515"/>
      <c r="EP465" s="1514"/>
      <c r="EQ465" s="53">
        <f>+ER465</f>
        <v>0</v>
      </c>
      <c r="ER465" s="1515"/>
      <c r="ES465" s="1514"/>
      <c r="ET465" s="53">
        <f>+EU465</f>
        <v>0</v>
      </c>
      <c r="EU465" s="1515"/>
      <c r="EV465" s="1514"/>
      <c r="EW465" s="53">
        <f>+EX465</f>
        <v>0</v>
      </c>
      <c r="EX465" s="1515"/>
      <c r="EY465" s="1514"/>
      <c r="EZ465" s="53">
        <f>+FA465</f>
        <v>0</v>
      </c>
      <c r="FA465" s="1515"/>
      <c r="FD465"/>
      <c r="FE465"/>
      <c r="FF465"/>
      <c r="FG465"/>
      <c r="FH465"/>
      <c r="FI465"/>
    </row>
    <row r="466" spans="1:165" s="35" customFormat="1">
      <c r="A466" s="1457"/>
      <c r="B466" s="1457" t="s">
        <v>407</v>
      </c>
      <c r="C466" s="1457"/>
      <c r="D466" s="1457"/>
      <c r="E466" s="1490"/>
      <c r="F466" s="1490"/>
      <c r="G466" s="1490"/>
      <c r="H466" s="1490"/>
      <c r="I466" s="1490"/>
      <c r="J466" s="1490"/>
      <c r="K466" s="1490"/>
      <c r="L466" s="1490"/>
      <c r="M466" s="1490"/>
      <c r="N466" s="1490"/>
      <c r="O466" s="1490"/>
      <c r="P466" s="1490"/>
      <c r="Q466" s="1491"/>
      <c r="R466" s="1491"/>
      <c r="S466" s="1491"/>
      <c r="T466" s="1491"/>
      <c r="U466" s="1491"/>
      <c r="V466" s="1492"/>
      <c r="W466" s="1492"/>
      <c r="X466" s="1492"/>
      <c r="Y466" s="1492"/>
      <c r="Z466" s="1492"/>
      <c r="AA466" s="1492"/>
      <c r="AB466" s="1492"/>
      <c r="AC466" s="1492"/>
      <c r="AD466" s="1492"/>
      <c r="AE466" s="1492"/>
      <c r="AF466" s="1492"/>
      <c r="AG466" s="1492"/>
      <c r="AH466" s="1492"/>
      <c r="AI466" s="1492"/>
      <c r="AJ466" s="1492"/>
      <c r="AK466" s="1492"/>
      <c r="AL466" s="1492"/>
      <c r="AM466" s="1492"/>
      <c r="AN466" s="1433"/>
      <c r="AO466" s="1512"/>
      <c r="AP466" s="1485">
        <f>+AQ466</f>
        <v>0</v>
      </c>
      <c r="AQ466" s="1433"/>
      <c r="AR466" s="1512"/>
      <c r="AS466" s="1485">
        <f>+AT466</f>
        <v>0</v>
      </c>
      <c r="AT466" s="1433"/>
      <c r="AU466" s="1512"/>
      <c r="AV466" s="1485">
        <f>+AW466</f>
        <v>0</v>
      </c>
      <c r="AW466" s="1433"/>
      <c r="AX466" s="1512"/>
      <c r="AY466" s="1485">
        <f>+AZ466</f>
        <v>0</v>
      </c>
      <c r="AZ466" s="1433"/>
      <c r="BA466" s="1512"/>
      <c r="BB466" s="1485">
        <f>+BC466</f>
        <v>0</v>
      </c>
      <c r="BC466" s="1433"/>
      <c r="BD466" s="1512"/>
      <c r="BE466" s="1485">
        <f>+BF466</f>
        <v>0</v>
      </c>
      <c r="BF466" s="1433"/>
      <c r="BG466" s="1512"/>
      <c r="BH466" s="1485">
        <f>+BI466</f>
        <v>0</v>
      </c>
      <c r="BI466" s="1433"/>
      <c r="BJ466" s="1512"/>
      <c r="BK466" s="1485">
        <f>+BL466</f>
        <v>0</v>
      </c>
      <c r="BL466" s="1433"/>
      <c r="BM466" s="1512"/>
      <c r="BN466" s="1485">
        <f>+BO466</f>
        <v>0</v>
      </c>
      <c r="BO466" s="1436"/>
      <c r="BP466" s="1512"/>
      <c r="BQ466" s="1485">
        <f>+BR466</f>
        <v>0</v>
      </c>
      <c r="BR466" s="1436"/>
      <c r="BS466" s="1512"/>
      <c r="BT466" s="1485">
        <f>+BU466</f>
        <v>0</v>
      </c>
      <c r="BU466" s="1436"/>
      <c r="BV466" s="1512"/>
      <c r="BW466" s="1485">
        <f>+BX466</f>
        <v>0</v>
      </c>
      <c r="BX466" s="1436"/>
      <c r="BY466" s="1512"/>
      <c r="BZ466" s="1485">
        <f>+CA466</f>
        <v>0</v>
      </c>
      <c r="CA466" s="1436"/>
      <c r="CB466" s="1434"/>
      <c r="CC466" s="1423">
        <f>+CD466</f>
        <v>0</v>
      </c>
      <c r="CD466" s="1513"/>
      <c r="CE466" s="1514"/>
      <c r="CF466" s="53">
        <f>+CG466</f>
        <v>0</v>
      </c>
      <c r="CG466" s="1513"/>
      <c r="CH466" s="1514"/>
      <c r="CI466" s="53">
        <f>+CJ466</f>
        <v>0</v>
      </c>
      <c r="CJ466" s="1513"/>
      <c r="CK466" s="1514"/>
      <c r="CL466" s="53">
        <f>+CM466</f>
        <v>0</v>
      </c>
      <c r="CM466" s="1513"/>
      <c r="CN466" s="1514"/>
      <c r="CO466" s="53">
        <f>+CP466</f>
        <v>0</v>
      </c>
      <c r="CP466" s="1513"/>
      <c r="CQ466" s="1514"/>
      <c r="CR466" s="53">
        <f>+CS466</f>
        <v>0</v>
      </c>
      <c r="CS466" s="1513"/>
      <c r="CT466" s="1514"/>
      <c r="CU466" s="53">
        <f>+CV466</f>
        <v>0</v>
      </c>
      <c r="CV466" s="1513"/>
      <c r="CW466" s="1514"/>
      <c r="CX466" s="53">
        <f>+CY466</f>
        <v>0</v>
      </c>
      <c r="CY466" s="1513"/>
      <c r="CZ466" s="1514"/>
      <c r="DA466" s="53">
        <f>+DB466</f>
        <v>0</v>
      </c>
      <c r="DB466" s="1513"/>
      <c r="DC466" s="1514"/>
      <c r="DD466" s="53">
        <f>+DE466</f>
        <v>0</v>
      </c>
      <c r="DE466" s="1515"/>
      <c r="DF466" s="1514"/>
      <c r="DG466" s="53">
        <f>+DH466</f>
        <v>0</v>
      </c>
      <c r="DH466" s="1515"/>
      <c r="DI466" s="1514"/>
      <c r="DJ466" s="53">
        <f>+DK466</f>
        <v>0</v>
      </c>
      <c r="DK466" s="1515"/>
      <c r="DL466" s="1514"/>
      <c r="DM466" s="53">
        <f>+DN466</f>
        <v>0</v>
      </c>
      <c r="DN466" s="1515"/>
      <c r="DO466" s="1514"/>
      <c r="DP466" s="53">
        <f>+DQ466</f>
        <v>0</v>
      </c>
      <c r="DQ466" s="1515"/>
      <c r="DR466" s="1514"/>
      <c r="DS466" s="53">
        <f>+DT466</f>
        <v>0</v>
      </c>
      <c r="DT466" s="1515"/>
      <c r="DU466" s="1514"/>
      <c r="DV466" s="53">
        <f>+DW466</f>
        <v>0</v>
      </c>
      <c r="DW466" s="1515"/>
      <c r="DX466" s="1514"/>
      <c r="DY466" s="53">
        <f>+DZ466</f>
        <v>0</v>
      </c>
      <c r="DZ466" s="1515"/>
      <c r="EA466" s="1514"/>
      <c r="EB466" s="53">
        <f>+EC466</f>
        <v>0</v>
      </c>
      <c r="EC466" s="1515"/>
      <c r="ED466" s="1514"/>
      <c r="EE466" s="53">
        <f>+EF466</f>
        <v>0</v>
      </c>
      <c r="EF466" s="1515"/>
      <c r="EG466" s="1514"/>
      <c r="EH466" s="53">
        <f>+EI466</f>
        <v>0</v>
      </c>
      <c r="EI466" s="1515"/>
      <c r="EJ466" s="1514"/>
      <c r="EK466" s="53">
        <f>+EL466</f>
        <v>0</v>
      </c>
      <c r="EL466" s="1515"/>
      <c r="EM466" s="1514"/>
      <c r="EN466" s="53">
        <f>+EO466</f>
        <v>0</v>
      </c>
      <c r="EO466" s="1515"/>
      <c r="EP466" s="1514"/>
      <c r="EQ466" s="53">
        <f>+ER466</f>
        <v>0</v>
      </c>
      <c r="ER466" s="1515"/>
      <c r="ES466" s="1514"/>
      <c r="ET466" s="53">
        <f>+EU466</f>
        <v>0</v>
      </c>
      <c r="EU466" s="1515"/>
      <c r="EV466" s="1514"/>
      <c r="EW466" s="53">
        <f>+EX466</f>
        <v>0</v>
      </c>
      <c r="EX466" s="1515"/>
      <c r="EY466" s="1514"/>
      <c r="EZ466" s="53">
        <f>+FA466</f>
        <v>0</v>
      </c>
      <c r="FA466" s="1515"/>
      <c r="FD466"/>
      <c r="FE466"/>
      <c r="FF466"/>
      <c r="FG466"/>
      <c r="FH466"/>
      <c r="FI466"/>
    </row>
    <row r="467" spans="1:165" s="35" customFormat="1" ht="13.5" thickBot="1">
      <c r="A467" s="1457"/>
      <c r="B467" s="1457" t="s">
        <v>234</v>
      </c>
      <c r="C467" s="1457"/>
      <c r="D467" s="1457"/>
      <c r="E467" s="1490"/>
      <c r="F467" s="1490"/>
      <c r="G467" s="1490"/>
      <c r="H467" s="1490"/>
      <c r="I467" s="1490"/>
      <c r="J467" s="1490"/>
      <c r="K467" s="1490"/>
      <c r="L467" s="1490"/>
      <c r="M467" s="1490"/>
      <c r="N467" s="1490"/>
      <c r="O467" s="1490"/>
      <c r="P467" s="1490"/>
      <c r="Q467" s="1491"/>
      <c r="R467" s="1491"/>
      <c r="S467" s="1491"/>
      <c r="T467" s="1491"/>
      <c r="U467" s="1491"/>
      <c r="V467" s="1492"/>
      <c r="W467" s="1492"/>
      <c r="X467" s="1492"/>
      <c r="Y467" s="1492"/>
      <c r="Z467" s="1492"/>
      <c r="AA467" s="1492"/>
      <c r="AB467" s="1492"/>
      <c r="AC467" s="1492"/>
      <c r="AD467" s="1492"/>
      <c r="AE467" s="1492"/>
      <c r="AF467" s="1492"/>
      <c r="AG467" s="1492"/>
      <c r="AH467" s="1492"/>
      <c r="AI467" s="1492"/>
      <c r="AJ467" s="1492"/>
      <c r="AK467" s="1492"/>
      <c r="AL467" s="1492"/>
      <c r="AM467" s="1492"/>
      <c r="AN467" s="1502"/>
      <c r="AO467" s="1503"/>
      <c r="AP467" s="1498">
        <f>+AQ467</f>
        <v>0</v>
      </c>
      <c r="AQ467" s="1502"/>
      <c r="AR467" s="1503"/>
      <c r="AS467" s="1498">
        <f>+AT467</f>
        <v>0</v>
      </c>
      <c r="AT467" s="1502"/>
      <c r="AU467" s="1503"/>
      <c r="AV467" s="1498">
        <f>+AW467</f>
        <v>0</v>
      </c>
      <c r="AW467" s="1502"/>
      <c r="AX467" s="1503"/>
      <c r="AY467" s="1498">
        <f>+AZ467</f>
        <v>0</v>
      </c>
      <c r="AZ467" s="1502"/>
      <c r="BA467" s="1503"/>
      <c r="BB467" s="1498">
        <f>+BC467</f>
        <v>0</v>
      </c>
      <c r="BC467" s="1502"/>
      <c r="BD467" s="1503"/>
      <c r="BE467" s="1498">
        <f>+BF467</f>
        <v>0</v>
      </c>
      <c r="BF467" s="1502"/>
      <c r="BG467" s="1503"/>
      <c r="BH467" s="1498">
        <f>+BI467</f>
        <v>0</v>
      </c>
      <c r="BI467" s="1502"/>
      <c r="BJ467" s="1503"/>
      <c r="BK467" s="1498">
        <f>+BL467</f>
        <v>0</v>
      </c>
      <c r="BL467" s="1502"/>
      <c r="BM467" s="1503"/>
      <c r="BN467" s="1498">
        <f>+BO467</f>
        <v>0</v>
      </c>
      <c r="BO467" s="1504"/>
      <c r="BP467" s="1503"/>
      <c r="BQ467" s="1498">
        <f>+BR467</f>
        <v>0</v>
      </c>
      <c r="BR467" s="1504"/>
      <c r="BS467" s="1503"/>
      <c r="BT467" s="1498">
        <f>+BU467</f>
        <v>0</v>
      </c>
      <c r="BU467" s="1504"/>
      <c r="BV467" s="1503"/>
      <c r="BW467" s="1498">
        <f>+BX467</f>
        <v>0</v>
      </c>
      <c r="BX467" s="1504"/>
      <c r="BY467" s="1503"/>
      <c r="BZ467" s="1498">
        <f>+CA467</f>
        <v>0</v>
      </c>
      <c r="CA467" s="1504"/>
      <c r="CB467" s="1505"/>
      <c r="CC467" s="1499">
        <f>+CD467</f>
        <v>0</v>
      </c>
      <c r="CD467" s="1278"/>
      <c r="CE467" s="1279"/>
      <c r="CF467" s="1500">
        <f>+CG467</f>
        <v>0</v>
      </c>
      <c r="CG467" s="1278"/>
      <c r="CH467" s="1279"/>
      <c r="CI467" s="1500">
        <f>+CJ467</f>
        <v>0</v>
      </c>
      <c r="CJ467" s="1278"/>
      <c r="CK467" s="1279"/>
      <c r="CL467" s="1500">
        <f>+CM467</f>
        <v>0</v>
      </c>
      <c r="CM467" s="1278"/>
      <c r="CN467" s="1279"/>
      <c r="CO467" s="1500">
        <f>+CP467</f>
        <v>0</v>
      </c>
      <c r="CP467" s="1278"/>
      <c r="CQ467" s="1279"/>
      <c r="CR467" s="1500">
        <f>+CS467</f>
        <v>0</v>
      </c>
      <c r="CS467" s="1278"/>
      <c r="CT467" s="1279"/>
      <c r="CU467" s="1500">
        <f>+CV467</f>
        <v>0</v>
      </c>
      <c r="CV467" s="1278"/>
      <c r="CW467" s="1279"/>
      <c r="CX467" s="1500">
        <f>+CY467</f>
        <v>0</v>
      </c>
      <c r="CY467" s="1278"/>
      <c r="CZ467" s="1279"/>
      <c r="DA467" s="1500">
        <f>+DB467</f>
        <v>0</v>
      </c>
      <c r="DB467" s="1278"/>
      <c r="DC467" s="1279"/>
      <c r="DD467" s="1500">
        <f>+DE467</f>
        <v>0</v>
      </c>
      <c r="DE467" s="1507"/>
      <c r="DF467" s="1279"/>
      <c r="DG467" s="1500">
        <f>+DH467</f>
        <v>0</v>
      </c>
      <c r="DH467" s="1507"/>
      <c r="DI467" s="1279"/>
      <c r="DJ467" s="1500">
        <f>+DK467</f>
        <v>0</v>
      </c>
      <c r="DK467" s="1507"/>
      <c r="DL467" s="1279"/>
      <c r="DM467" s="1500">
        <f>+DN467</f>
        <v>0</v>
      </c>
      <c r="DN467" s="1507"/>
      <c r="DO467" s="1279"/>
      <c r="DP467" s="1500">
        <f>+DQ467</f>
        <v>0</v>
      </c>
      <c r="DQ467" s="1507"/>
      <c r="DR467" s="1279"/>
      <c r="DS467" s="1500">
        <f>+DT467</f>
        <v>0</v>
      </c>
      <c r="DT467" s="1507"/>
      <c r="DU467" s="1279"/>
      <c r="DV467" s="1500">
        <f>+DW467</f>
        <v>0</v>
      </c>
      <c r="DW467" s="1507"/>
      <c r="DX467" s="1279"/>
      <c r="DY467" s="1500">
        <f>+DZ467</f>
        <v>0</v>
      </c>
      <c r="DZ467" s="1507"/>
      <c r="EA467" s="1279"/>
      <c r="EB467" s="1500">
        <f>+EC467</f>
        <v>0</v>
      </c>
      <c r="EC467" s="1507"/>
      <c r="ED467" s="1279"/>
      <c r="EE467" s="1500">
        <f>+EF467</f>
        <v>0</v>
      </c>
      <c r="EF467" s="1507"/>
      <c r="EG467" s="1279"/>
      <c r="EH467" s="1500">
        <f>+EI467</f>
        <v>0</v>
      </c>
      <c r="EI467" s="1507"/>
      <c r="EJ467" s="1279"/>
      <c r="EK467" s="1500">
        <f>+EL467</f>
        <v>0</v>
      </c>
      <c r="EL467" s="1507"/>
      <c r="EM467" s="1279"/>
      <c r="EN467" s="1500">
        <f>+EO467</f>
        <v>0</v>
      </c>
      <c r="EO467" s="1507"/>
      <c r="EP467" s="1279"/>
      <c r="EQ467" s="1500">
        <f>+ER467</f>
        <v>0</v>
      </c>
      <c r="ER467" s="1507"/>
      <c r="ES467" s="1279"/>
      <c r="ET467" s="1500">
        <f>+EU467</f>
        <v>0</v>
      </c>
      <c r="EU467" s="1507"/>
      <c r="EV467" s="1279"/>
      <c r="EW467" s="1500">
        <f>+EX467</f>
        <v>0</v>
      </c>
      <c r="EX467" s="1507"/>
      <c r="EY467" s="1279"/>
      <c r="EZ467" s="1500">
        <f>+FA467</f>
        <v>0</v>
      </c>
      <c r="FA467" s="1507"/>
      <c r="FD467"/>
      <c r="FE467"/>
      <c r="FF467"/>
      <c r="FG467"/>
      <c r="FH467"/>
      <c r="FI467"/>
    </row>
    <row r="468" spans="1:165" s="35" customFormat="1" ht="13.5" thickBot="1">
      <c r="A468" s="1457"/>
      <c r="B468" s="1488" t="s">
        <v>408</v>
      </c>
      <c r="C468" s="1457"/>
      <c r="D468" s="1457"/>
      <c r="E468" s="1490"/>
      <c r="F468" s="1490"/>
      <c r="G468" s="1490"/>
      <c r="H468" s="1490"/>
      <c r="I468" s="1490"/>
      <c r="J468" s="1490"/>
      <c r="K468" s="1490"/>
      <c r="L468" s="1490"/>
      <c r="M468" s="1490"/>
      <c r="N468" s="1490"/>
      <c r="O468" s="1490"/>
      <c r="P468" s="1490"/>
      <c r="Q468" s="1491"/>
      <c r="R468" s="1491"/>
      <c r="S468" s="1491"/>
      <c r="T468" s="1491"/>
      <c r="U468" s="1491"/>
      <c r="V468" s="1492"/>
      <c r="W468" s="1492"/>
      <c r="X468" s="1492"/>
      <c r="Y468" s="1492"/>
      <c r="Z468" s="1492"/>
      <c r="AA468" s="1492"/>
      <c r="AB468" s="1492"/>
      <c r="AC468" s="1492"/>
      <c r="AD468" s="1492"/>
      <c r="AE468" s="1492"/>
      <c r="AF468" s="1492"/>
      <c r="AG468" s="1492"/>
      <c r="AH468" s="1492"/>
      <c r="AI468" s="1492"/>
      <c r="AJ468" s="1492"/>
      <c r="AK468" s="1492"/>
      <c r="AL468" s="1492"/>
      <c r="AM468" s="1492"/>
      <c r="AN468" s="1485"/>
      <c r="AO468" s="1485"/>
      <c r="AP468" s="1485"/>
      <c r="AQ468" s="1485"/>
      <c r="AR468" s="1485"/>
      <c r="AS468" s="1485"/>
      <c r="AT468" s="1485"/>
      <c r="AU468" s="1485"/>
      <c r="AV468" s="1485"/>
      <c r="AW468" s="1485"/>
      <c r="AX468" s="1485"/>
      <c r="AY468" s="1485"/>
      <c r="AZ468" s="1485"/>
      <c r="BA468" s="1485"/>
      <c r="BB468" s="1485"/>
      <c r="BC468" s="1485"/>
      <c r="BD468" s="1485"/>
      <c r="BE468" s="1485"/>
      <c r="BF468" s="1485"/>
      <c r="BG468" s="1485"/>
      <c r="BH468" s="1485"/>
      <c r="BI468" s="1485"/>
      <c r="BJ468" s="1485"/>
      <c r="BK468" s="1485"/>
      <c r="BL468" s="1485"/>
      <c r="BM468" s="1485"/>
      <c r="BN468" s="1485"/>
      <c r="BO468" s="1485"/>
      <c r="BP468" s="1485"/>
      <c r="BQ468" s="1485"/>
      <c r="BR468" s="1485"/>
      <c r="BS468" s="1485"/>
      <c r="BT468" s="1485"/>
      <c r="BU468" s="1485"/>
      <c r="BV468" s="1485"/>
      <c r="BW468" s="1485"/>
      <c r="BX468" s="1485"/>
      <c r="BY468" s="1485"/>
      <c r="BZ468" s="1485"/>
      <c r="CA468" s="1485"/>
      <c r="CB468" s="1423"/>
      <c r="CC468" s="1423"/>
      <c r="CD468" s="53"/>
      <c r="CE468" s="53"/>
      <c r="CF468" s="53"/>
      <c r="CG468" s="53"/>
      <c r="CH468" s="53"/>
      <c r="CI468" s="53"/>
      <c r="CJ468" s="53"/>
      <c r="CK468" s="53"/>
      <c r="CL468" s="53"/>
      <c r="CM468" s="53"/>
      <c r="CN468" s="53"/>
      <c r="CO468" s="53"/>
      <c r="CP468" s="53"/>
      <c r="CQ468" s="53"/>
      <c r="CR468" s="53"/>
      <c r="CS468" s="53"/>
      <c r="CT468" s="53"/>
      <c r="CU468" s="53"/>
      <c r="CV468" s="53"/>
      <c r="CW468" s="53"/>
      <c r="CX468" s="53"/>
      <c r="CY468" s="53"/>
      <c r="CZ468" s="53"/>
      <c r="DA468" s="53"/>
      <c r="DB468" s="53"/>
      <c r="DC468" s="53"/>
      <c r="DD468" s="53"/>
      <c r="DE468" s="1088"/>
      <c r="DF468" s="53"/>
      <c r="DG468" s="53"/>
      <c r="DH468" s="1088"/>
      <c r="DI468" s="53"/>
      <c r="DJ468" s="53"/>
      <c r="DK468" s="1088"/>
      <c r="DL468" s="53"/>
      <c r="DM468" s="53"/>
      <c r="DN468" s="1088"/>
      <c r="DO468" s="53"/>
      <c r="DP468" s="53"/>
      <c r="DQ468" s="1088"/>
      <c r="DR468" s="53"/>
      <c r="DS468" s="53"/>
      <c r="DT468" s="1088"/>
      <c r="DU468" s="53"/>
      <c r="DV468" s="53"/>
      <c r="DW468" s="1088"/>
      <c r="DX468" s="53"/>
      <c r="DY468" s="53"/>
      <c r="DZ468" s="1088"/>
      <c r="EA468" s="53"/>
      <c r="EB468" s="53"/>
      <c r="EC468" s="1088"/>
      <c r="ED468" s="53"/>
      <c r="EE468" s="53"/>
      <c r="EF468" s="1088"/>
      <c r="EG468" s="53"/>
      <c r="EH468" s="53"/>
      <c r="EI468" s="1088"/>
      <c r="EJ468" s="53"/>
      <c r="EK468" s="53"/>
      <c r="EL468" s="1088"/>
      <c r="EM468" s="53"/>
      <c r="EN468" s="53"/>
      <c r="EO468" s="1088"/>
      <c r="EP468" s="53"/>
      <c r="EQ468" s="53"/>
      <c r="ER468" s="1088"/>
      <c r="ES468" s="53"/>
      <c r="ET468" s="53"/>
      <c r="EU468" s="1088"/>
      <c r="EV468" s="53"/>
      <c r="EW468" s="53"/>
      <c r="EX468" s="1088"/>
      <c r="EY468" s="53"/>
      <c r="EZ468" s="53"/>
      <c r="FA468" s="1088"/>
      <c r="FD468"/>
      <c r="FE468"/>
      <c r="FF468"/>
      <c r="FG468"/>
      <c r="FH468"/>
      <c r="FI468"/>
    </row>
    <row r="469" spans="1:165" s="35" customFormat="1">
      <c r="A469" s="1457"/>
      <c r="B469" s="1457" t="s">
        <v>169</v>
      </c>
      <c r="C469" s="1457"/>
      <c r="D469" s="1457"/>
      <c r="E469" s="1490"/>
      <c r="F469" s="1490"/>
      <c r="G469" s="1490"/>
      <c r="H469" s="1490"/>
      <c r="I469" s="1490"/>
      <c r="J469" s="1490"/>
      <c r="K469" s="1490"/>
      <c r="L469" s="1490"/>
      <c r="M469" s="1490"/>
      <c r="N469" s="1490"/>
      <c r="O469" s="1490"/>
      <c r="P469" s="1490"/>
      <c r="Q469" s="1491"/>
      <c r="R469" s="1491"/>
      <c r="S469" s="1491"/>
      <c r="T469" s="1491"/>
      <c r="U469" s="1491"/>
      <c r="V469" s="1492"/>
      <c r="W469" s="1492"/>
      <c r="X469" s="1492"/>
      <c r="Y469" s="1492"/>
      <c r="Z469" s="1492"/>
      <c r="AA469" s="1492"/>
      <c r="AB469" s="1492"/>
      <c r="AC469" s="1492"/>
      <c r="AD469" s="1492"/>
      <c r="AE469" s="1492"/>
      <c r="AF469" s="1492"/>
      <c r="AG469" s="1492"/>
      <c r="AH469" s="1492"/>
      <c r="AI469" s="1492"/>
      <c r="AJ469" s="1492"/>
      <c r="AK469" s="1492"/>
      <c r="AL469" s="1492"/>
      <c r="AM469" s="1492"/>
      <c r="AN469" s="1424"/>
      <c r="AO469" s="1497"/>
      <c r="AP469" s="1498">
        <f t="shared" ref="AP469:AP477" si="1042">+AQ469</f>
        <v>0</v>
      </c>
      <c r="AQ469" s="1424"/>
      <c r="AR469" s="1497"/>
      <c r="AS469" s="1498">
        <f t="shared" ref="AS469:AS477" si="1043">+AT469</f>
        <v>0</v>
      </c>
      <c r="AT469" s="1424"/>
      <c r="AU469" s="1497"/>
      <c r="AV469" s="1498">
        <f t="shared" ref="AV469:AV477" si="1044">+AW469</f>
        <v>0</v>
      </c>
      <c r="AW469" s="1424"/>
      <c r="AX469" s="1497"/>
      <c r="AY469" s="1498">
        <f t="shared" ref="AY469:AY477" si="1045">+AZ469</f>
        <v>0</v>
      </c>
      <c r="AZ469" s="1424"/>
      <c r="BA469" s="1497"/>
      <c r="BB469" s="1498">
        <f t="shared" ref="BB469:BB477" si="1046">+BC469</f>
        <v>0</v>
      </c>
      <c r="BC469" s="1424"/>
      <c r="BD469" s="1497"/>
      <c r="BE469" s="1498">
        <f t="shared" ref="BE469:BE477" si="1047">+BF469</f>
        <v>0</v>
      </c>
      <c r="BF469" s="1424"/>
      <c r="BG469" s="1497"/>
      <c r="BH469" s="1498">
        <f t="shared" ref="BH469:BH477" si="1048">+BI469</f>
        <v>0</v>
      </c>
      <c r="BI469" s="1424"/>
      <c r="BJ469" s="1497"/>
      <c r="BK469" s="1498">
        <f t="shared" ref="BK469:BK477" si="1049">+BL469</f>
        <v>0</v>
      </c>
      <c r="BL469" s="1424"/>
      <c r="BM469" s="1497"/>
      <c r="BN469" s="1498">
        <f t="shared" ref="BN469:BN477" si="1050">+BO469</f>
        <v>0</v>
      </c>
      <c r="BO469" s="1427"/>
      <c r="BP469" s="1497"/>
      <c r="BQ469" s="1498">
        <f t="shared" ref="BQ469:BQ477" si="1051">+BR469</f>
        <v>0</v>
      </c>
      <c r="BR469" s="1427"/>
      <c r="BS469" s="1497"/>
      <c r="BT469" s="1498">
        <f t="shared" ref="BT469:BT477" si="1052">+BU469</f>
        <v>0</v>
      </c>
      <c r="BU469" s="1427"/>
      <c r="BV469" s="1497"/>
      <c r="BW469" s="1498">
        <f t="shared" ref="BW469:BW477" si="1053">+BX469</f>
        <v>0</v>
      </c>
      <c r="BX469" s="1427"/>
      <c r="BY469" s="1497"/>
      <c r="BZ469" s="1498">
        <f t="shared" ref="BZ469:BZ477" si="1054">+CA469</f>
        <v>0</v>
      </c>
      <c r="CA469" s="1427"/>
      <c r="CB469" s="1425"/>
      <c r="CC469" s="1499">
        <f t="shared" ref="CC469:CC477" si="1055">+CD469</f>
        <v>0</v>
      </c>
      <c r="CD469" s="1324"/>
      <c r="CE469" s="1325"/>
      <c r="CF469" s="1500">
        <f t="shared" ref="CF469:CF477" si="1056">+CG469</f>
        <v>0</v>
      </c>
      <c r="CG469" s="1324"/>
      <c r="CH469" s="1325"/>
      <c r="CI469" s="1500">
        <f t="shared" ref="CI469:CI477" si="1057">+CJ469</f>
        <v>0</v>
      </c>
      <c r="CJ469" s="1324"/>
      <c r="CK469" s="1325"/>
      <c r="CL469" s="1500">
        <f t="shared" ref="CL469:CL477" si="1058">+CM469</f>
        <v>0</v>
      </c>
      <c r="CM469" s="1324"/>
      <c r="CN469" s="1325"/>
      <c r="CO469" s="1500">
        <f t="shared" ref="CO469:CO477" si="1059">+CP469</f>
        <v>0</v>
      </c>
      <c r="CP469" s="1324"/>
      <c r="CQ469" s="1325"/>
      <c r="CR469" s="1500">
        <f t="shared" ref="CR469:CR477" si="1060">+CS469</f>
        <v>0</v>
      </c>
      <c r="CS469" s="1324"/>
      <c r="CT469" s="1325"/>
      <c r="CU469" s="1500">
        <f t="shared" ref="CU469:CU477" si="1061">+CV469</f>
        <v>0</v>
      </c>
      <c r="CV469" s="1324"/>
      <c r="CW469" s="1325"/>
      <c r="CX469" s="1500">
        <f t="shared" ref="CX469:CX477" si="1062">+CY469</f>
        <v>0</v>
      </c>
      <c r="CY469" s="1324"/>
      <c r="CZ469" s="1325"/>
      <c r="DA469" s="1500">
        <f t="shared" ref="DA469:DA477" si="1063">+DB469</f>
        <v>0</v>
      </c>
      <c r="DB469" s="1324"/>
      <c r="DC469" s="1325"/>
      <c r="DD469" s="1500">
        <f t="shared" ref="DD469:DD477" si="1064">+DE469</f>
        <v>0</v>
      </c>
      <c r="DE469" s="1501"/>
      <c r="DF469" s="1325"/>
      <c r="DG469" s="1500">
        <f t="shared" ref="DG469:DG477" si="1065">+DH469</f>
        <v>0</v>
      </c>
      <c r="DH469" s="1501"/>
      <c r="DI469" s="1325"/>
      <c r="DJ469" s="1500">
        <f t="shared" ref="DJ469:DJ477" si="1066">+DK469</f>
        <v>0</v>
      </c>
      <c r="DK469" s="1501"/>
      <c r="DL469" s="1325"/>
      <c r="DM469" s="1500">
        <f t="shared" ref="DM469:DM477" si="1067">+DN469</f>
        <v>0</v>
      </c>
      <c r="DN469" s="1501"/>
      <c r="DO469" s="1325"/>
      <c r="DP469" s="1500">
        <f t="shared" ref="DP469:DP477" si="1068">+DQ469</f>
        <v>0</v>
      </c>
      <c r="DQ469" s="1501"/>
      <c r="DR469" s="1325"/>
      <c r="DS469" s="1500">
        <f t="shared" ref="DS469:DS477" si="1069">+DT469</f>
        <v>0</v>
      </c>
      <c r="DT469" s="1501"/>
      <c r="DU469" s="1325"/>
      <c r="DV469" s="1500">
        <f t="shared" ref="DV469:DV477" si="1070">+DW469</f>
        <v>0</v>
      </c>
      <c r="DW469" s="1501"/>
      <c r="DX469" s="1325"/>
      <c r="DY469" s="1500">
        <f t="shared" ref="DY469:DY477" si="1071">+DZ469</f>
        <v>0</v>
      </c>
      <c r="DZ469" s="1501"/>
      <c r="EA469" s="1325"/>
      <c r="EB469" s="1500">
        <f t="shared" ref="EB469:EB477" si="1072">+EC469</f>
        <v>0</v>
      </c>
      <c r="EC469" s="1501"/>
      <c r="ED469" s="1325"/>
      <c r="EE469" s="1500">
        <f t="shared" ref="EE469:EE477" si="1073">+EF469</f>
        <v>0</v>
      </c>
      <c r="EF469" s="1501"/>
      <c r="EG469" s="1325"/>
      <c r="EH469" s="1500">
        <f t="shared" ref="EH469:EH477" si="1074">+EI469</f>
        <v>0</v>
      </c>
      <c r="EI469" s="1501"/>
      <c r="EJ469" s="1325"/>
      <c r="EK469" s="1500">
        <f t="shared" ref="EK469:EK477" si="1075">+EL469</f>
        <v>0</v>
      </c>
      <c r="EL469" s="1501"/>
      <c r="EM469" s="1325"/>
      <c r="EN469" s="1500">
        <f t="shared" ref="EN469:EN477" si="1076">+EO469</f>
        <v>0</v>
      </c>
      <c r="EO469" s="1501"/>
      <c r="EP469" s="1325"/>
      <c r="EQ469" s="1500">
        <f t="shared" ref="EQ469:EQ477" si="1077">+ER469</f>
        <v>0</v>
      </c>
      <c r="ER469" s="1501"/>
      <c r="ES469" s="1325"/>
      <c r="ET469" s="1500">
        <f t="shared" ref="ET469:ET477" si="1078">+EU469</f>
        <v>0</v>
      </c>
      <c r="EU469" s="1501"/>
      <c r="EV469" s="1325"/>
      <c r="EW469" s="1500">
        <f t="shared" ref="EW469:EW477" si="1079">+EX469</f>
        <v>0</v>
      </c>
      <c r="EX469" s="1501"/>
      <c r="EY469" s="1325"/>
      <c r="EZ469" s="1500">
        <f t="shared" ref="EZ469:EZ477" si="1080">+FA469</f>
        <v>0</v>
      </c>
      <c r="FA469" s="1501"/>
      <c r="FD469"/>
      <c r="FE469"/>
      <c r="FF469"/>
      <c r="FG469"/>
      <c r="FH469"/>
      <c r="FI469"/>
    </row>
    <row r="470" spans="1:165" s="35" customFormat="1">
      <c r="A470" s="1457"/>
      <c r="B470" s="1457" t="s">
        <v>675</v>
      </c>
      <c r="C470" s="1457"/>
      <c r="D470" s="1457"/>
      <c r="E470" s="1490"/>
      <c r="F470" s="1490"/>
      <c r="G470" s="1490"/>
      <c r="H470" s="1490"/>
      <c r="I470" s="1490"/>
      <c r="J470" s="1490"/>
      <c r="K470" s="1490"/>
      <c r="L470" s="1490"/>
      <c r="M470" s="1490"/>
      <c r="N470" s="1490"/>
      <c r="O470" s="1490"/>
      <c r="P470" s="1490"/>
      <c r="Q470" s="1491"/>
      <c r="R470" s="1491"/>
      <c r="S470" s="1491"/>
      <c r="T470" s="1491"/>
      <c r="U470" s="1491"/>
      <c r="V470" s="1492"/>
      <c r="W470" s="1492"/>
      <c r="X470" s="1492"/>
      <c r="Y470" s="1492"/>
      <c r="Z470" s="1492"/>
      <c r="AA470" s="1492"/>
      <c r="AB470" s="1492"/>
      <c r="AC470" s="1492"/>
      <c r="AD470" s="1492"/>
      <c r="AE470" s="1492"/>
      <c r="AF470" s="1492"/>
      <c r="AG470" s="1492"/>
      <c r="AH470" s="1492"/>
      <c r="AI470" s="1492"/>
      <c r="AJ470" s="1492"/>
      <c r="AK470" s="1492"/>
      <c r="AL470" s="1492"/>
      <c r="AM470" s="1492"/>
      <c r="AN470" s="1433"/>
      <c r="AO470" s="1512"/>
      <c r="AP470" s="1498">
        <f t="shared" si="1042"/>
        <v>0</v>
      </c>
      <c r="AQ470" s="1433"/>
      <c r="AR470" s="1512"/>
      <c r="AS470" s="1498">
        <f t="shared" si="1043"/>
        <v>0</v>
      </c>
      <c r="AT470" s="1433"/>
      <c r="AU470" s="1512"/>
      <c r="AV470" s="1498">
        <f t="shared" si="1044"/>
        <v>0</v>
      </c>
      <c r="AW470" s="1433"/>
      <c r="AX470" s="1512"/>
      <c r="AY470" s="1498">
        <f t="shared" si="1045"/>
        <v>0</v>
      </c>
      <c r="AZ470" s="1433"/>
      <c r="BA470" s="1512"/>
      <c r="BB470" s="1498">
        <f t="shared" si="1046"/>
        <v>0</v>
      </c>
      <c r="BC470" s="1433"/>
      <c r="BD470" s="1512"/>
      <c r="BE470" s="1498">
        <f t="shared" si="1047"/>
        <v>0</v>
      </c>
      <c r="BF470" s="1433"/>
      <c r="BG470" s="1512"/>
      <c r="BH470" s="1498">
        <f t="shared" si="1048"/>
        <v>0</v>
      </c>
      <c r="BI470" s="1433"/>
      <c r="BJ470" s="1512"/>
      <c r="BK470" s="1498">
        <f t="shared" si="1049"/>
        <v>0</v>
      </c>
      <c r="BL470" s="1433"/>
      <c r="BM470" s="1512"/>
      <c r="BN470" s="1498">
        <f t="shared" si="1050"/>
        <v>0</v>
      </c>
      <c r="BO470" s="1436"/>
      <c r="BP470" s="1512"/>
      <c r="BQ470" s="1498">
        <f t="shared" si="1051"/>
        <v>0</v>
      </c>
      <c r="BR470" s="1436"/>
      <c r="BS470" s="1512"/>
      <c r="BT470" s="1498">
        <f t="shared" si="1052"/>
        <v>0</v>
      </c>
      <c r="BU470" s="1436"/>
      <c r="BV470" s="1512"/>
      <c r="BW470" s="1498">
        <f t="shared" si="1053"/>
        <v>0</v>
      </c>
      <c r="BX470" s="1436"/>
      <c r="BY470" s="1512"/>
      <c r="BZ470" s="1498">
        <f t="shared" si="1054"/>
        <v>0</v>
      </c>
      <c r="CA470" s="1436"/>
      <c r="CB470" s="1434"/>
      <c r="CC470" s="1499">
        <f t="shared" si="1055"/>
        <v>0</v>
      </c>
      <c r="CD470" s="1513"/>
      <c r="CE470" s="1514"/>
      <c r="CF470" s="1500">
        <f t="shared" si="1056"/>
        <v>0</v>
      </c>
      <c r="CG470" s="1513"/>
      <c r="CH470" s="1514"/>
      <c r="CI470" s="1500">
        <f t="shared" si="1057"/>
        <v>0</v>
      </c>
      <c r="CJ470" s="1513"/>
      <c r="CK470" s="1514"/>
      <c r="CL470" s="1500">
        <f t="shared" si="1058"/>
        <v>0</v>
      </c>
      <c r="CM470" s="1513"/>
      <c r="CN470" s="1514"/>
      <c r="CO470" s="1500">
        <f t="shared" si="1059"/>
        <v>0</v>
      </c>
      <c r="CP470" s="1513"/>
      <c r="CQ470" s="1514"/>
      <c r="CR470" s="1500">
        <f t="shared" si="1060"/>
        <v>0</v>
      </c>
      <c r="CS470" s="1513"/>
      <c r="CT470" s="1514"/>
      <c r="CU470" s="1500">
        <f t="shared" si="1061"/>
        <v>0</v>
      </c>
      <c r="CV470" s="1513"/>
      <c r="CW470" s="1514"/>
      <c r="CX470" s="1500">
        <f t="shared" si="1062"/>
        <v>0</v>
      </c>
      <c r="CY470" s="1513"/>
      <c r="CZ470" s="1514"/>
      <c r="DA470" s="1500">
        <f t="shared" si="1063"/>
        <v>0</v>
      </c>
      <c r="DB470" s="1513"/>
      <c r="DC470" s="1514"/>
      <c r="DD470" s="1500">
        <f t="shared" si="1064"/>
        <v>0</v>
      </c>
      <c r="DE470" s="1515"/>
      <c r="DF470" s="1514"/>
      <c r="DG470" s="1500">
        <f t="shared" si="1065"/>
        <v>0</v>
      </c>
      <c r="DH470" s="1515"/>
      <c r="DI470" s="1514"/>
      <c r="DJ470" s="1500">
        <f t="shared" si="1066"/>
        <v>0</v>
      </c>
      <c r="DK470" s="1515"/>
      <c r="DL470" s="1514"/>
      <c r="DM470" s="1500">
        <f t="shared" si="1067"/>
        <v>0</v>
      </c>
      <c r="DN470" s="1515"/>
      <c r="DO470" s="1514"/>
      <c r="DP470" s="1500">
        <f t="shared" si="1068"/>
        <v>0</v>
      </c>
      <c r="DQ470" s="1515"/>
      <c r="DR470" s="1514"/>
      <c r="DS470" s="1500">
        <f t="shared" si="1069"/>
        <v>0</v>
      </c>
      <c r="DT470" s="1515"/>
      <c r="DU470" s="1514"/>
      <c r="DV470" s="1500">
        <f t="shared" si="1070"/>
        <v>0</v>
      </c>
      <c r="DW470" s="1515"/>
      <c r="DX470" s="1514"/>
      <c r="DY470" s="1500">
        <f t="shared" si="1071"/>
        <v>0</v>
      </c>
      <c r="DZ470" s="1515"/>
      <c r="EA470" s="1514"/>
      <c r="EB470" s="1500">
        <f t="shared" si="1072"/>
        <v>0</v>
      </c>
      <c r="EC470" s="1515"/>
      <c r="ED470" s="1514"/>
      <c r="EE470" s="1500">
        <f t="shared" si="1073"/>
        <v>0</v>
      </c>
      <c r="EF470" s="1515"/>
      <c r="EG470" s="1514"/>
      <c r="EH470" s="1500">
        <f t="shared" si="1074"/>
        <v>0</v>
      </c>
      <c r="EI470" s="1515"/>
      <c r="EJ470" s="1514"/>
      <c r="EK470" s="1500">
        <f t="shared" si="1075"/>
        <v>0</v>
      </c>
      <c r="EL470" s="1515"/>
      <c r="EM470" s="1514"/>
      <c r="EN470" s="1500">
        <f t="shared" si="1076"/>
        <v>0</v>
      </c>
      <c r="EO470" s="1515"/>
      <c r="EP470" s="1514"/>
      <c r="EQ470" s="1500">
        <f t="shared" si="1077"/>
        <v>0</v>
      </c>
      <c r="ER470" s="1515"/>
      <c r="ES470" s="1514"/>
      <c r="ET470" s="1500">
        <f t="shared" si="1078"/>
        <v>0</v>
      </c>
      <c r="EU470" s="1515"/>
      <c r="EV470" s="1514"/>
      <c r="EW470" s="1500">
        <f t="shared" si="1079"/>
        <v>0</v>
      </c>
      <c r="EX470" s="1515"/>
      <c r="EY470" s="1514"/>
      <c r="EZ470" s="1500">
        <f t="shared" si="1080"/>
        <v>0</v>
      </c>
      <c r="FA470" s="1515"/>
      <c r="FD470"/>
      <c r="FE470"/>
      <c r="FF470"/>
      <c r="FG470"/>
      <c r="FH470"/>
      <c r="FI470"/>
    </row>
    <row r="471" spans="1:165" s="35" customFormat="1">
      <c r="A471" s="1457"/>
      <c r="B471" s="1457" t="s">
        <v>676</v>
      </c>
      <c r="C471" s="1457"/>
      <c r="D471" s="1457"/>
      <c r="E471" s="1490"/>
      <c r="F471" s="1490"/>
      <c r="G471" s="1490"/>
      <c r="H471" s="1490"/>
      <c r="I471" s="1490"/>
      <c r="J471" s="1490"/>
      <c r="K471" s="1490"/>
      <c r="L471" s="1490"/>
      <c r="M471" s="1490"/>
      <c r="N471" s="1490"/>
      <c r="O471" s="1490"/>
      <c r="P471" s="1490"/>
      <c r="Q471" s="1491"/>
      <c r="R471" s="1491"/>
      <c r="S471" s="1491"/>
      <c r="T471" s="1491"/>
      <c r="U471" s="1491"/>
      <c r="V471" s="1492"/>
      <c r="W471" s="1492"/>
      <c r="X471" s="1492"/>
      <c r="Y471" s="1492"/>
      <c r="Z471" s="1492"/>
      <c r="AA471" s="1492"/>
      <c r="AB471" s="1492"/>
      <c r="AC471" s="1492"/>
      <c r="AD471" s="1492"/>
      <c r="AE471" s="1492"/>
      <c r="AF471" s="1492"/>
      <c r="AG471" s="1492"/>
      <c r="AH471" s="1492"/>
      <c r="AI471" s="1492"/>
      <c r="AJ471" s="1492"/>
      <c r="AK471" s="1492"/>
      <c r="AL471" s="1492"/>
      <c r="AM471" s="1492"/>
      <c r="AN471" s="1433"/>
      <c r="AO471" s="1512"/>
      <c r="AP471" s="1498">
        <f t="shared" si="1042"/>
        <v>0</v>
      </c>
      <c r="AQ471" s="1433"/>
      <c r="AR471" s="1512"/>
      <c r="AS471" s="1498">
        <f t="shared" si="1043"/>
        <v>0</v>
      </c>
      <c r="AT471" s="1433"/>
      <c r="AU471" s="1512"/>
      <c r="AV471" s="1498">
        <f t="shared" si="1044"/>
        <v>0</v>
      </c>
      <c r="AW471" s="1433"/>
      <c r="AX471" s="1512"/>
      <c r="AY471" s="1498">
        <f t="shared" si="1045"/>
        <v>0</v>
      </c>
      <c r="AZ471" s="1433"/>
      <c r="BA471" s="1512"/>
      <c r="BB471" s="1498">
        <f t="shared" si="1046"/>
        <v>0</v>
      </c>
      <c r="BC471" s="1433"/>
      <c r="BD471" s="1512"/>
      <c r="BE471" s="1498">
        <f t="shared" si="1047"/>
        <v>0</v>
      </c>
      <c r="BF471" s="1433"/>
      <c r="BG471" s="1512"/>
      <c r="BH471" s="1498">
        <f t="shared" si="1048"/>
        <v>0</v>
      </c>
      <c r="BI471" s="1433"/>
      <c r="BJ471" s="1512"/>
      <c r="BK471" s="1498">
        <f t="shared" si="1049"/>
        <v>0</v>
      </c>
      <c r="BL471" s="1433"/>
      <c r="BM471" s="1512"/>
      <c r="BN471" s="1498">
        <f t="shared" si="1050"/>
        <v>0</v>
      </c>
      <c r="BO471" s="1436"/>
      <c r="BP471" s="1512"/>
      <c r="BQ471" s="1498">
        <f t="shared" si="1051"/>
        <v>0</v>
      </c>
      <c r="BR471" s="1436"/>
      <c r="BS471" s="1512"/>
      <c r="BT471" s="1498">
        <f t="shared" si="1052"/>
        <v>0</v>
      </c>
      <c r="BU471" s="1436"/>
      <c r="BV471" s="1512"/>
      <c r="BW471" s="1498">
        <f t="shared" si="1053"/>
        <v>0</v>
      </c>
      <c r="BX471" s="1436"/>
      <c r="BY471" s="1512"/>
      <c r="BZ471" s="1498">
        <f t="shared" si="1054"/>
        <v>0</v>
      </c>
      <c r="CA471" s="1436"/>
      <c r="CB471" s="1434"/>
      <c r="CC471" s="1499">
        <f t="shared" si="1055"/>
        <v>0</v>
      </c>
      <c r="CD471" s="1513"/>
      <c r="CE471" s="1514"/>
      <c r="CF471" s="1500">
        <f t="shared" si="1056"/>
        <v>0</v>
      </c>
      <c r="CG471" s="1513"/>
      <c r="CH471" s="1514"/>
      <c r="CI471" s="1500">
        <f t="shared" si="1057"/>
        <v>0</v>
      </c>
      <c r="CJ471" s="1513"/>
      <c r="CK471" s="1514"/>
      <c r="CL471" s="1500">
        <f t="shared" si="1058"/>
        <v>0</v>
      </c>
      <c r="CM471" s="1513"/>
      <c r="CN471" s="1514"/>
      <c r="CO471" s="1500">
        <f t="shared" si="1059"/>
        <v>0</v>
      </c>
      <c r="CP471" s="1513"/>
      <c r="CQ471" s="1514"/>
      <c r="CR471" s="1500">
        <f t="shared" si="1060"/>
        <v>0</v>
      </c>
      <c r="CS471" s="1513"/>
      <c r="CT471" s="1514"/>
      <c r="CU471" s="1500">
        <f t="shared" si="1061"/>
        <v>0</v>
      </c>
      <c r="CV471" s="1513"/>
      <c r="CW471" s="1514"/>
      <c r="CX471" s="1500">
        <f t="shared" si="1062"/>
        <v>0</v>
      </c>
      <c r="CY471" s="1513"/>
      <c r="CZ471" s="1514"/>
      <c r="DA471" s="1500">
        <f t="shared" si="1063"/>
        <v>0</v>
      </c>
      <c r="DB471" s="1513"/>
      <c r="DC471" s="1514"/>
      <c r="DD471" s="1500">
        <f t="shared" si="1064"/>
        <v>0</v>
      </c>
      <c r="DE471" s="1515"/>
      <c r="DF471" s="1514"/>
      <c r="DG471" s="1500">
        <f t="shared" si="1065"/>
        <v>0</v>
      </c>
      <c r="DH471" s="1515"/>
      <c r="DI471" s="1514"/>
      <c r="DJ471" s="1500">
        <f t="shared" si="1066"/>
        <v>0</v>
      </c>
      <c r="DK471" s="1515"/>
      <c r="DL471" s="1514"/>
      <c r="DM471" s="1500">
        <f t="shared" si="1067"/>
        <v>0</v>
      </c>
      <c r="DN471" s="1515"/>
      <c r="DO471" s="1514"/>
      <c r="DP471" s="1500">
        <f t="shared" si="1068"/>
        <v>0</v>
      </c>
      <c r="DQ471" s="1515"/>
      <c r="DR471" s="1514"/>
      <c r="DS471" s="1500">
        <f t="shared" si="1069"/>
        <v>0</v>
      </c>
      <c r="DT471" s="1515"/>
      <c r="DU471" s="1514"/>
      <c r="DV471" s="1500">
        <f t="shared" si="1070"/>
        <v>0</v>
      </c>
      <c r="DW471" s="1515"/>
      <c r="DX471" s="1514"/>
      <c r="DY471" s="1500">
        <f t="shared" si="1071"/>
        <v>0</v>
      </c>
      <c r="DZ471" s="1515"/>
      <c r="EA471" s="1514"/>
      <c r="EB471" s="1500">
        <f t="shared" si="1072"/>
        <v>0</v>
      </c>
      <c r="EC471" s="1515"/>
      <c r="ED471" s="1514"/>
      <c r="EE471" s="1500">
        <f t="shared" si="1073"/>
        <v>0</v>
      </c>
      <c r="EF471" s="1515"/>
      <c r="EG471" s="1514"/>
      <c r="EH471" s="1500">
        <f t="shared" si="1074"/>
        <v>0</v>
      </c>
      <c r="EI471" s="1515"/>
      <c r="EJ471" s="1514"/>
      <c r="EK471" s="1500">
        <f t="shared" si="1075"/>
        <v>0</v>
      </c>
      <c r="EL471" s="1515"/>
      <c r="EM471" s="1514"/>
      <c r="EN471" s="1500">
        <f t="shared" si="1076"/>
        <v>0</v>
      </c>
      <c r="EO471" s="1515"/>
      <c r="EP471" s="1514"/>
      <c r="EQ471" s="1500">
        <f t="shared" si="1077"/>
        <v>0</v>
      </c>
      <c r="ER471" s="1515"/>
      <c r="ES471" s="1514"/>
      <c r="ET471" s="1500">
        <f t="shared" si="1078"/>
        <v>0</v>
      </c>
      <c r="EU471" s="1515"/>
      <c r="EV471" s="1514"/>
      <c r="EW471" s="1500">
        <f t="shared" si="1079"/>
        <v>0</v>
      </c>
      <c r="EX471" s="1515"/>
      <c r="EY471" s="1514"/>
      <c r="EZ471" s="1500">
        <f t="shared" si="1080"/>
        <v>0</v>
      </c>
      <c r="FA471" s="1515"/>
      <c r="FD471"/>
      <c r="FE471"/>
      <c r="FF471"/>
      <c r="FG471"/>
      <c r="FH471"/>
      <c r="FI471"/>
    </row>
    <row r="472" spans="1:165" s="35" customFormat="1">
      <c r="A472" s="1457"/>
      <c r="B472" s="1457" t="s">
        <v>673</v>
      </c>
      <c r="C472" s="1457"/>
      <c r="D472" s="1457"/>
      <c r="E472" s="1490"/>
      <c r="F472" s="1490"/>
      <c r="G472" s="1490"/>
      <c r="H472" s="1490"/>
      <c r="I472" s="1490"/>
      <c r="J472" s="1490"/>
      <c r="K472" s="1490"/>
      <c r="L472" s="1490"/>
      <c r="M472" s="1490"/>
      <c r="N472" s="1490"/>
      <c r="O472" s="1490"/>
      <c r="P472" s="1490"/>
      <c r="Q472" s="1491"/>
      <c r="R472" s="1491"/>
      <c r="S472" s="1491"/>
      <c r="T472" s="1491"/>
      <c r="U472" s="1491"/>
      <c r="V472" s="1492"/>
      <c r="W472" s="1492"/>
      <c r="X472" s="1492"/>
      <c r="Y472" s="1492"/>
      <c r="Z472" s="1492"/>
      <c r="AA472" s="1492"/>
      <c r="AB472" s="1492"/>
      <c r="AC472" s="1492"/>
      <c r="AD472" s="1492"/>
      <c r="AE472" s="1492"/>
      <c r="AF472" s="1492"/>
      <c r="AG472" s="1492"/>
      <c r="AH472" s="1492"/>
      <c r="AI472" s="1492"/>
      <c r="AJ472" s="1492"/>
      <c r="AK472" s="1492"/>
      <c r="AL472" s="1492"/>
      <c r="AM472" s="1492"/>
      <c r="AN472" s="1433"/>
      <c r="AO472" s="1512"/>
      <c r="AP472" s="1498">
        <f t="shared" si="1042"/>
        <v>0</v>
      </c>
      <c r="AQ472" s="1433"/>
      <c r="AR472" s="1512"/>
      <c r="AS472" s="1498">
        <f t="shared" si="1043"/>
        <v>0</v>
      </c>
      <c r="AT472" s="1433"/>
      <c r="AU472" s="1512"/>
      <c r="AV472" s="1498">
        <f t="shared" si="1044"/>
        <v>0</v>
      </c>
      <c r="AW472" s="1433"/>
      <c r="AX472" s="1512"/>
      <c r="AY472" s="1498">
        <f t="shared" si="1045"/>
        <v>0</v>
      </c>
      <c r="AZ472" s="1433"/>
      <c r="BA472" s="1512"/>
      <c r="BB472" s="1498">
        <f t="shared" si="1046"/>
        <v>0</v>
      </c>
      <c r="BC472" s="1433"/>
      <c r="BD472" s="1512"/>
      <c r="BE472" s="1498">
        <f t="shared" si="1047"/>
        <v>0</v>
      </c>
      <c r="BF472" s="1433"/>
      <c r="BG472" s="1512"/>
      <c r="BH472" s="1498">
        <f t="shared" si="1048"/>
        <v>0</v>
      </c>
      <c r="BI472" s="1433"/>
      <c r="BJ472" s="1512"/>
      <c r="BK472" s="1498">
        <f t="shared" si="1049"/>
        <v>0</v>
      </c>
      <c r="BL472" s="1433"/>
      <c r="BM472" s="1512"/>
      <c r="BN472" s="1498">
        <f t="shared" si="1050"/>
        <v>0</v>
      </c>
      <c r="BO472" s="1436"/>
      <c r="BP472" s="1512"/>
      <c r="BQ472" s="1498">
        <f t="shared" si="1051"/>
        <v>0</v>
      </c>
      <c r="BR472" s="1436"/>
      <c r="BS472" s="1512"/>
      <c r="BT472" s="1498">
        <f t="shared" si="1052"/>
        <v>0</v>
      </c>
      <c r="BU472" s="1436"/>
      <c r="BV472" s="1512"/>
      <c r="BW472" s="1498">
        <f t="shared" si="1053"/>
        <v>0</v>
      </c>
      <c r="BX472" s="1436"/>
      <c r="BY472" s="1512"/>
      <c r="BZ472" s="1498">
        <f t="shared" si="1054"/>
        <v>0</v>
      </c>
      <c r="CA472" s="1436"/>
      <c r="CB472" s="1434"/>
      <c r="CC472" s="1499">
        <f t="shared" si="1055"/>
        <v>0</v>
      </c>
      <c r="CD472" s="1513"/>
      <c r="CE472" s="1514"/>
      <c r="CF472" s="1500">
        <f t="shared" si="1056"/>
        <v>0</v>
      </c>
      <c r="CG472" s="1513"/>
      <c r="CH472" s="1514"/>
      <c r="CI472" s="1500">
        <f t="shared" si="1057"/>
        <v>0</v>
      </c>
      <c r="CJ472" s="1513"/>
      <c r="CK472" s="1514"/>
      <c r="CL472" s="1500">
        <f t="shared" si="1058"/>
        <v>0</v>
      </c>
      <c r="CM472" s="1513"/>
      <c r="CN472" s="1514"/>
      <c r="CO472" s="1500">
        <f t="shared" si="1059"/>
        <v>0</v>
      </c>
      <c r="CP472" s="1513"/>
      <c r="CQ472" s="1514"/>
      <c r="CR472" s="1500">
        <f t="shared" si="1060"/>
        <v>0</v>
      </c>
      <c r="CS472" s="1513"/>
      <c r="CT472" s="1514"/>
      <c r="CU472" s="1500">
        <f t="shared" si="1061"/>
        <v>0</v>
      </c>
      <c r="CV472" s="1513"/>
      <c r="CW472" s="1514"/>
      <c r="CX472" s="1500">
        <f t="shared" si="1062"/>
        <v>0</v>
      </c>
      <c r="CY472" s="1513"/>
      <c r="CZ472" s="1514"/>
      <c r="DA472" s="1500">
        <f t="shared" si="1063"/>
        <v>0</v>
      </c>
      <c r="DB472" s="1513"/>
      <c r="DC472" s="1514"/>
      <c r="DD472" s="1500">
        <f t="shared" si="1064"/>
        <v>0</v>
      </c>
      <c r="DE472" s="1515"/>
      <c r="DF472" s="1514"/>
      <c r="DG472" s="1500">
        <f t="shared" si="1065"/>
        <v>0</v>
      </c>
      <c r="DH472" s="1515"/>
      <c r="DI472" s="1514"/>
      <c r="DJ472" s="1500">
        <f t="shared" si="1066"/>
        <v>0</v>
      </c>
      <c r="DK472" s="1515"/>
      <c r="DL472" s="1514"/>
      <c r="DM472" s="1500">
        <f t="shared" si="1067"/>
        <v>0</v>
      </c>
      <c r="DN472" s="1515"/>
      <c r="DO472" s="1514"/>
      <c r="DP472" s="1500">
        <f t="shared" si="1068"/>
        <v>0</v>
      </c>
      <c r="DQ472" s="1515"/>
      <c r="DR472" s="1514"/>
      <c r="DS472" s="1500">
        <f t="shared" si="1069"/>
        <v>0</v>
      </c>
      <c r="DT472" s="1515"/>
      <c r="DU472" s="1514"/>
      <c r="DV472" s="1500">
        <f t="shared" si="1070"/>
        <v>0</v>
      </c>
      <c r="DW472" s="1515"/>
      <c r="DX472" s="1514"/>
      <c r="DY472" s="1500">
        <f t="shared" si="1071"/>
        <v>0</v>
      </c>
      <c r="DZ472" s="1515"/>
      <c r="EA472" s="1514"/>
      <c r="EB472" s="1500">
        <f t="shared" si="1072"/>
        <v>0</v>
      </c>
      <c r="EC472" s="1515"/>
      <c r="ED472" s="1514"/>
      <c r="EE472" s="1500">
        <f t="shared" si="1073"/>
        <v>0</v>
      </c>
      <c r="EF472" s="1515"/>
      <c r="EG472" s="1514"/>
      <c r="EH472" s="1500">
        <f t="shared" si="1074"/>
        <v>0</v>
      </c>
      <c r="EI472" s="1515"/>
      <c r="EJ472" s="1514"/>
      <c r="EK472" s="1500">
        <f t="shared" si="1075"/>
        <v>0</v>
      </c>
      <c r="EL472" s="1515"/>
      <c r="EM472" s="1514"/>
      <c r="EN472" s="1500">
        <f t="shared" si="1076"/>
        <v>0</v>
      </c>
      <c r="EO472" s="1515"/>
      <c r="EP472" s="1514"/>
      <c r="EQ472" s="1500">
        <f t="shared" si="1077"/>
        <v>0</v>
      </c>
      <c r="ER472" s="1515"/>
      <c r="ES472" s="1514"/>
      <c r="ET472" s="1500">
        <f t="shared" si="1078"/>
        <v>0</v>
      </c>
      <c r="EU472" s="1515"/>
      <c r="EV472" s="1514"/>
      <c r="EW472" s="1500">
        <f t="shared" si="1079"/>
        <v>0</v>
      </c>
      <c r="EX472" s="1515"/>
      <c r="EY472" s="1514"/>
      <c r="EZ472" s="1500">
        <f t="shared" si="1080"/>
        <v>0</v>
      </c>
      <c r="FA472" s="1515"/>
      <c r="FD472"/>
      <c r="FE472"/>
      <c r="FF472"/>
      <c r="FG472"/>
      <c r="FH472"/>
      <c r="FI472"/>
    </row>
    <row r="473" spans="1:165" s="35" customFormat="1">
      <c r="A473" s="1457"/>
      <c r="B473" s="1457" t="s">
        <v>21</v>
      </c>
      <c r="C473" s="1457"/>
      <c r="D473" s="1457"/>
      <c r="E473" s="1490"/>
      <c r="F473" s="1490"/>
      <c r="G473" s="1490"/>
      <c r="H473" s="1490"/>
      <c r="I473" s="1490"/>
      <c r="J473" s="1490"/>
      <c r="K473" s="1490"/>
      <c r="L473" s="1490"/>
      <c r="M473" s="1490"/>
      <c r="N473" s="1490"/>
      <c r="O473" s="1490"/>
      <c r="P473" s="1490"/>
      <c r="Q473" s="1491"/>
      <c r="R473" s="1491"/>
      <c r="S473" s="1491"/>
      <c r="T473" s="1491"/>
      <c r="U473" s="1491"/>
      <c r="V473" s="1492"/>
      <c r="W473" s="1492"/>
      <c r="X473" s="1492"/>
      <c r="Y473" s="1492"/>
      <c r="Z473" s="1492"/>
      <c r="AA473" s="1492"/>
      <c r="AB473" s="1492"/>
      <c r="AC473" s="1492"/>
      <c r="AD473" s="1492"/>
      <c r="AE473" s="1492"/>
      <c r="AF473" s="1492"/>
      <c r="AG473" s="1492"/>
      <c r="AH473" s="1492"/>
      <c r="AI473" s="1492"/>
      <c r="AJ473" s="1492"/>
      <c r="AK473" s="1492"/>
      <c r="AL473" s="1492"/>
      <c r="AM473" s="1492"/>
      <c r="AN473" s="1433"/>
      <c r="AO473" s="1512"/>
      <c r="AP473" s="1498">
        <f t="shared" si="1042"/>
        <v>0</v>
      </c>
      <c r="AQ473" s="1433"/>
      <c r="AR473" s="1512"/>
      <c r="AS473" s="1498">
        <f t="shared" si="1043"/>
        <v>0</v>
      </c>
      <c r="AT473" s="1433"/>
      <c r="AU473" s="1512"/>
      <c r="AV473" s="1498">
        <f t="shared" si="1044"/>
        <v>0</v>
      </c>
      <c r="AW473" s="1433"/>
      <c r="AX473" s="1512"/>
      <c r="AY473" s="1498">
        <f t="shared" si="1045"/>
        <v>0</v>
      </c>
      <c r="AZ473" s="1433"/>
      <c r="BA473" s="1512"/>
      <c r="BB473" s="1498">
        <f t="shared" si="1046"/>
        <v>0</v>
      </c>
      <c r="BC473" s="1433"/>
      <c r="BD473" s="1512"/>
      <c r="BE473" s="1498">
        <f t="shared" si="1047"/>
        <v>0</v>
      </c>
      <c r="BF473" s="1433"/>
      <c r="BG473" s="1512"/>
      <c r="BH473" s="1498">
        <f t="shared" si="1048"/>
        <v>0</v>
      </c>
      <c r="BI473" s="1433"/>
      <c r="BJ473" s="1512"/>
      <c r="BK473" s="1498">
        <f t="shared" si="1049"/>
        <v>0</v>
      </c>
      <c r="BL473" s="1433"/>
      <c r="BM473" s="1512"/>
      <c r="BN473" s="1498">
        <f t="shared" si="1050"/>
        <v>0</v>
      </c>
      <c r="BO473" s="1436"/>
      <c r="BP473" s="1512"/>
      <c r="BQ473" s="1498">
        <f t="shared" si="1051"/>
        <v>0</v>
      </c>
      <c r="BR473" s="1436"/>
      <c r="BS473" s="1512"/>
      <c r="BT473" s="1498">
        <f t="shared" si="1052"/>
        <v>0</v>
      </c>
      <c r="BU473" s="1436"/>
      <c r="BV473" s="1512"/>
      <c r="BW473" s="1498">
        <f t="shared" si="1053"/>
        <v>0</v>
      </c>
      <c r="BX473" s="1436"/>
      <c r="BY473" s="1512"/>
      <c r="BZ473" s="1498">
        <f t="shared" si="1054"/>
        <v>0</v>
      </c>
      <c r="CA473" s="1436"/>
      <c r="CB473" s="1434"/>
      <c r="CC473" s="1499">
        <f t="shared" si="1055"/>
        <v>0</v>
      </c>
      <c r="CD473" s="1513"/>
      <c r="CE473" s="1514"/>
      <c r="CF473" s="1500">
        <f t="shared" si="1056"/>
        <v>0</v>
      </c>
      <c r="CG473" s="1513"/>
      <c r="CH473" s="1514"/>
      <c r="CI473" s="1500">
        <f t="shared" si="1057"/>
        <v>0</v>
      </c>
      <c r="CJ473" s="1513"/>
      <c r="CK473" s="1514"/>
      <c r="CL473" s="1500">
        <f t="shared" si="1058"/>
        <v>0</v>
      </c>
      <c r="CM473" s="1513"/>
      <c r="CN473" s="1514"/>
      <c r="CO473" s="1500">
        <f t="shared" si="1059"/>
        <v>0</v>
      </c>
      <c r="CP473" s="1513"/>
      <c r="CQ473" s="1514"/>
      <c r="CR473" s="1500">
        <f t="shared" si="1060"/>
        <v>0</v>
      </c>
      <c r="CS473" s="1513"/>
      <c r="CT473" s="1514"/>
      <c r="CU473" s="1500">
        <f t="shared" si="1061"/>
        <v>0</v>
      </c>
      <c r="CV473" s="1513"/>
      <c r="CW473" s="1514"/>
      <c r="CX473" s="1500">
        <f t="shared" si="1062"/>
        <v>0</v>
      </c>
      <c r="CY473" s="1513"/>
      <c r="CZ473" s="1514"/>
      <c r="DA473" s="1500">
        <f t="shared" si="1063"/>
        <v>0</v>
      </c>
      <c r="DB473" s="1513"/>
      <c r="DC473" s="1514"/>
      <c r="DD473" s="1500">
        <f t="shared" si="1064"/>
        <v>0</v>
      </c>
      <c r="DE473" s="1515"/>
      <c r="DF473" s="1514"/>
      <c r="DG473" s="1500">
        <f t="shared" si="1065"/>
        <v>0</v>
      </c>
      <c r="DH473" s="1515"/>
      <c r="DI473" s="1514"/>
      <c r="DJ473" s="1500">
        <f t="shared" si="1066"/>
        <v>0</v>
      </c>
      <c r="DK473" s="1515"/>
      <c r="DL473" s="1514"/>
      <c r="DM473" s="1500">
        <f t="shared" si="1067"/>
        <v>0</v>
      </c>
      <c r="DN473" s="1515"/>
      <c r="DO473" s="1514"/>
      <c r="DP473" s="1500">
        <f t="shared" si="1068"/>
        <v>0</v>
      </c>
      <c r="DQ473" s="1515"/>
      <c r="DR473" s="1514"/>
      <c r="DS473" s="1500">
        <f t="shared" si="1069"/>
        <v>0</v>
      </c>
      <c r="DT473" s="1515"/>
      <c r="DU473" s="1514"/>
      <c r="DV473" s="1500">
        <f t="shared" si="1070"/>
        <v>0</v>
      </c>
      <c r="DW473" s="1515"/>
      <c r="DX473" s="1514"/>
      <c r="DY473" s="1500">
        <f t="shared" si="1071"/>
        <v>0</v>
      </c>
      <c r="DZ473" s="1515"/>
      <c r="EA473" s="1514"/>
      <c r="EB473" s="1500">
        <f t="shared" si="1072"/>
        <v>0</v>
      </c>
      <c r="EC473" s="1515"/>
      <c r="ED473" s="1514"/>
      <c r="EE473" s="1500">
        <f t="shared" si="1073"/>
        <v>0</v>
      </c>
      <c r="EF473" s="1515"/>
      <c r="EG473" s="1514"/>
      <c r="EH473" s="1500">
        <f t="shared" si="1074"/>
        <v>0</v>
      </c>
      <c r="EI473" s="1515"/>
      <c r="EJ473" s="1514"/>
      <c r="EK473" s="1500">
        <f t="shared" si="1075"/>
        <v>0</v>
      </c>
      <c r="EL473" s="1515"/>
      <c r="EM473" s="1514"/>
      <c r="EN473" s="1500">
        <f t="shared" si="1076"/>
        <v>0</v>
      </c>
      <c r="EO473" s="1515"/>
      <c r="EP473" s="1514"/>
      <c r="EQ473" s="1500">
        <f t="shared" si="1077"/>
        <v>0</v>
      </c>
      <c r="ER473" s="1515"/>
      <c r="ES473" s="1514"/>
      <c r="ET473" s="1500">
        <f t="shared" si="1078"/>
        <v>0</v>
      </c>
      <c r="EU473" s="1515"/>
      <c r="EV473" s="1514"/>
      <c r="EW473" s="1500">
        <f t="shared" si="1079"/>
        <v>0</v>
      </c>
      <c r="EX473" s="1515"/>
      <c r="EY473" s="1514"/>
      <c r="EZ473" s="1500">
        <f t="shared" si="1080"/>
        <v>0</v>
      </c>
      <c r="FA473" s="1515"/>
      <c r="FD473"/>
      <c r="FE473"/>
      <c r="FF473"/>
      <c r="FG473"/>
      <c r="FH473"/>
      <c r="FI473"/>
    </row>
    <row r="474" spans="1:165" s="35" customFormat="1">
      <c r="A474" s="1457"/>
      <c r="B474" s="1457" t="s">
        <v>73</v>
      </c>
      <c r="C474" s="1457"/>
      <c r="D474" s="1457"/>
      <c r="E474" s="1490"/>
      <c r="F474" s="1490"/>
      <c r="G474" s="1490"/>
      <c r="H474" s="1490"/>
      <c r="I474" s="1490"/>
      <c r="J474" s="1490"/>
      <c r="K474" s="1490"/>
      <c r="L474" s="1490"/>
      <c r="M474" s="1490"/>
      <c r="N474" s="1490"/>
      <c r="O474" s="1490"/>
      <c r="P474" s="1490"/>
      <c r="Q474" s="1491"/>
      <c r="R474" s="1491"/>
      <c r="S474" s="1491"/>
      <c r="T474" s="1491"/>
      <c r="U474" s="1491"/>
      <c r="V474" s="1492"/>
      <c r="W474" s="1492"/>
      <c r="X474" s="1492"/>
      <c r="Y474" s="1492"/>
      <c r="Z474" s="1492"/>
      <c r="AA474" s="1492"/>
      <c r="AB474" s="1492"/>
      <c r="AC474" s="1492"/>
      <c r="AD474" s="1492"/>
      <c r="AE474" s="1492"/>
      <c r="AF474" s="1492"/>
      <c r="AG474" s="1492"/>
      <c r="AH474" s="1492"/>
      <c r="AI474" s="1492"/>
      <c r="AJ474" s="1492"/>
      <c r="AK474" s="1492"/>
      <c r="AL474" s="1492"/>
      <c r="AM474" s="1492"/>
      <c r="AN474" s="1433"/>
      <c r="AO474" s="1512"/>
      <c r="AP474" s="1498">
        <f t="shared" si="1042"/>
        <v>0</v>
      </c>
      <c r="AQ474" s="1433"/>
      <c r="AR474" s="1512"/>
      <c r="AS474" s="1498">
        <f t="shared" si="1043"/>
        <v>0</v>
      </c>
      <c r="AT474" s="1433"/>
      <c r="AU474" s="1512"/>
      <c r="AV474" s="1498">
        <f t="shared" si="1044"/>
        <v>0</v>
      </c>
      <c r="AW474" s="1433"/>
      <c r="AX474" s="1512"/>
      <c r="AY474" s="1498">
        <f t="shared" si="1045"/>
        <v>0</v>
      </c>
      <c r="AZ474" s="1433"/>
      <c r="BA474" s="1512"/>
      <c r="BB474" s="1498">
        <f t="shared" si="1046"/>
        <v>0</v>
      </c>
      <c r="BC474" s="1433"/>
      <c r="BD474" s="1512"/>
      <c r="BE474" s="1498">
        <f t="shared" si="1047"/>
        <v>0</v>
      </c>
      <c r="BF474" s="1433"/>
      <c r="BG474" s="1512"/>
      <c r="BH474" s="1498">
        <f t="shared" si="1048"/>
        <v>0</v>
      </c>
      <c r="BI474" s="1433"/>
      <c r="BJ474" s="1512"/>
      <c r="BK474" s="1498">
        <f t="shared" si="1049"/>
        <v>0</v>
      </c>
      <c r="BL474" s="1433"/>
      <c r="BM474" s="1512"/>
      <c r="BN474" s="1498">
        <f t="shared" si="1050"/>
        <v>0</v>
      </c>
      <c r="BO474" s="1436"/>
      <c r="BP474" s="1512"/>
      <c r="BQ474" s="1498">
        <f t="shared" si="1051"/>
        <v>0</v>
      </c>
      <c r="BR474" s="1436"/>
      <c r="BS474" s="1512"/>
      <c r="BT474" s="1498">
        <f t="shared" si="1052"/>
        <v>0</v>
      </c>
      <c r="BU474" s="1436"/>
      <c r="BV474" s="1512"/>
      <c r="BW474" s="1498">
        <f t="shared" si="1053"/>
        <v>0</v>
      </c>
      <c r="BX474" s="1436"/>
      <c r="BY474" s="1512"/>
      <c r="BZ474" s="1498">
        <f t="shared" si="1054"/>
        <v>0</v>
      </c>
      <c r="CA474" s="1436"/>
      <c r="CB474" s="1434"/>
      <c r="CC474" s="1499">
        <f t="shared" si="1055"/>
        <v>0</v>
      </c>
      <c r="CD474" s="1513"/>
      <c r="CE474" s="1514"/>
      <c r="CF474" s="1500">
        <f t="shared" si="1056"/>
        <v>0</v>
      </c>
      <c r="CG474" s="1513"/>
      <c r="CH474" s="1514"/>
      <c r="CI474" s="1500">
        <f t="shared" si="1057"/>
        <v>0</v>
      </c>
      <c r="CJ474" s="1513"/>
      <c r="CK474" s="1514"/>
      <c r="CL474" s="1500">
        <f t="shared" si="1058"/>
        <v>0</v>
      </c>
      <c r="CM474" s="1513"/>
      <c r="CN474" s="1514"/>
      <c r="CO474" s="1500">
        <f t="shared" si="1059"/>
        <v>0</v>
      </c>
      <c r="CP474" s="1513"/>
      <c r="CQ474" s="1514"/>
      <c r="CR474" s="1500">
        <f t="shared" si="1060"/>
        <v>0</v>
      </c>
      <c r="CS474" s="1513"/>
      <c r="CT474" s="1514"/>
      <c r="CU474" s="1500">
        <f t="shared" si="1061"/>
        <v>0</v>
      </c>
      <c r="CV474" s="1513"/>
      <c r="CW474" s="1514"/>
      <c r="CX474" s="1500">
        <f t="shared" si="1062"/>
        <v>0</v>
      </c>
      <c r="CY474" s="1513"/>
      <c r="CZ474" s="1514"/>
      <c r="DA474" s="1500">
        <f t="shared" si="1063"/>
        <v>0</v>
      </c>
      <c r="DB474" s="1513"/>
      <c r="DC474" s="1514"/>
      <c r="DD474" s="1500">
        <f t="shared" si="1064"/>
        <v>0</v>
      </c>
      <c r="DE474" s="1515"/>
      <c r="DF474" s="1514"/>
      <c r="DG474" s="1500">
        <f t="shared" si="1065"/>
        <v>0</v>
      </c>
      <c r="DH474" s="1515"/>
      <c r="DI474" s="1514"/>
      <c r="DJ474" s="1500">
        <f t="shared" si="1066"/>
        <v>0</v>
      </c>
      <c r="DK474" s="1515"/>
      <c r="DL474" s="1514"/>
      <c r="DM474" s="1500">
        <f t="shared" si="1067"/>
        <v>0</v>
      </c>
      <c r="DN474" s="1515"/>
      <c r="DO474" s="1514"/>
      <c r="DP474" s="1500">
        <f t="shared" si="1068"/>
        <v>0</v>
      </c>
      <c r="DQ474" s="1515"/>
      <c r="DR474" s="1514"/>
      <c r="DS474" s="1500">
        <f t="shared" si="1069"/>
        <v>0</v>
      </c>
      <c r="DT474" s="1515"/>
      <c r="DU474" s="1514"/>
      <c r="DV474" s="1500">
        <f t="shared" si="1070"/>
        <v>0</v>
      </c>
      <c r="DW474" s="1515"/>
      <c r="DX474" s="1514"/>
      <c r="DY474" s="1500">
        <f t="shared" si="1071"/>
        <v>0</v>
      </c>
      <c r="DZ474" s="1515"/>
      <c r="EA474" s="1514"/>
      <c r="EB474" s="1500">
        <f t="shared" si="1072"/>
        <v>0</v>
      </c>
      <c r="EC474" s="1515"/>
      <c r="ED474" s="1514"/>
      <c r="EE474" s="1500">
        <f t="shared" si="1073"/>
        <v>0</v>
      </c>
      <c r="EF474" s="1515"/>
      <c r="EG474" s="1514"/>
      <c r="EH474" s="1500">
        <f t="shared" si="1074"/>
        <v>0</v>
      </c>
      <c r="EI474" s="1515"/>
      <c r="EJ474" s="1514"/>
      <c r="EK474" s="1500">
        <f t="shared" si="1075"/>
        <v>0</v>
      </c>
      <c r="EL474" s="1515"/>
      <c r="EM474" s="1514"/>
      <c r="EN474" s="1500">
        <f t="shared" si="1076"/>
        <v>0</v>
      </c>
      <c r="EO474" s="1515"/>
      <c r="EP474" s="1514"/>
      <c r="EQ474" s="1500">
        <f t="shared" si="1077"/>
        <v>0</v>
      </c>
      <c r="ER474" s="1515"/>
      <c r="ES474" s="1514"/>
      <c r="ET474" s="1500">
        <f t="shared" si="1078"/>
        <v>0</v>
      </c>
      <c r="EU474" s="1515"/>
      <c r="EV474" s="1514"/>
      <c r="EW474" s="1500">
        <f t="shared" si="1079"/>
        <v>0</v>
      </c>
      <c r="EX474" s="1515"/>
      <c r="EY474" s="1514"/>
      <c r="EZ474" s="1500">
        <f t="shared" si="1080"/>
        <v>0</v>
      </c>
      <c r="FA474" s="1515"/>
      <c r="FD474"/>
      <c r="FE474"/>
      <c r="FF474"/>
      <c r="FG474"/>
      <c r="FH474"/>
      <c r="FI474"/>
    </row>
    <row r="475" spans="1:165" s="35" customFormat="1">
      <c r="A475" s="1457"/>
      <c r="B475" s="1457" t="s">
        <v>74</v>
      </c>
      <c r="C475" s="1457"/>
      <c r="D475" s="1457"/>
      <c r="E475" s="1490"/>
      <c r="F475" s="1490"/>
      <c r="G475" s="1490"/>
      <c r="H475" s="1490"/>
      <c r="I475" s="1490"/>
      <c r="J475" s="1490"/>
      <c r="K475" s="1490"/>
      <c r="L475" s="1490"/>
      <c r="M475" s="1490"/>
      <c r="N475" s="1490"/>
      <c r="O475" s="1490"/>
      <c r="P475" s="1490"/>
      <c r="Q475" s="1491"/>
      <c r="R475" s="1491"/>
      <c r="S475" s="1491"/>
      <c r="T475" s="1491"/>
      <c r="U475" s="1491"/>
      <c r="V475" s="1492"/>
      <c r="W475" s="1492"/>
      <c r="X475" s="1492"/>
      <c r="Y475" s="1492"/>
      <c r="Z475" s="1492"/>
      <c r="AA475" s="1492"/>
      <c r="AB475" s="1492"/>
      <c r="AC475" s="1492"/>
      <c r="AD475" s="1492"/>
      <c r="AE475" s="1492"/>
      <c r="AF475" s="1492"/>
      <c r="AG475" s="1492"/>
      <c r="AH475" s="1492"/>
      <c r="AI475" s="1492"/>
      <c r="AJ475" s="1492"/>
      <c r="AK475" s="1492"/>
      <c r="AL475" s="1492"/>
      <c r="AM475" s="1492"/>
      <c r="AN475" s="1433"/>
      <c r="AO475" s="1512"/>
      <c r="AP475" s="1498">
        <f t="shared" si="1042"/>
        <v>0</v>
      </c>
      <c r="AQ475" s="1433"/>
      <c r="AR475" s="1512"/>
      <c r="AS475" s="1498">
        <f t="shared" si="1043"/>
        <v>0</v>
      </c>
      <c r="AT475" s="1433"/>
      <c r="AU475" s="1512"/>
      <c r="AV475" s="1498">
        <f t="shared" si="1044"/>
        <v>0</v>
      </c>
      <c r="AW475" s="1433"/>
      <c r="AX475" s="1512"/>
      <c r="AY475" s="1498">
        <f t="shared" si="1045"/>
        <v>0</v>
      </c>
      <c r="AZ475" s="1433"/>
      <c r="BA475" s="1512"/>
      <c r="BB475" s="1498">
        <f t="shared" si="1046"/>
        <v>0</v>
      </c>
      <c r="BC475" s="1433"/>
      <c r="BD475" s="1512"/>
      <c r="BE475" s="1498">
        <f t="shared" si="1047"/>
        <v>0</v>
      </c>
      <c r="BF475" s="1433"/>
      <c r="BG475" s="1512"/>
      <c r="BH475" s="1498">
        <f t="shared" si="1048"/>
        <v>0</v>
      </c>
      <c r="BI475" s="1433"/>
      <c r="BJ475" s="1512"/>
      <c r="BK475" s="1498">
        <f t="shared" si="1049"/>
        <v>0</v>
      </c>
      <c r="BL475" s="1433"/>
      <c r="BM475" s="1512"/>
      <c r="BN475" s="1498">
        <f t="shared" si="1050"/>
        <v>0</v>
      </c>
      <c r="BO475" s="1436"/>
      <c r="BP475" s="1512"/>
      <c r="BQ475" s="1498">
        <f t="shared" si="1051"/>
        <v>0</v>
      </c>
      <c r="BR475" s="1436"/>
      <c r="BS475" s="1512"/>
      <c r="BT475" s="1498">
        <f t="shared" si="1052"/>
        <v>0</v>
      </c>
      <c r="BU475" s="1436"/>
      <c r="BV475" s="1512"/>
      <c r="BW475" s="1498">
        <f t="shared" si="1053"/>
        <v>0</v>
      </c>
      <c r="BX475" s="1436"/>
      <c r="BY475" s="1512"/>
      <c r="BZ475" s="1498">
        <f t="shared" si="1054"/>
        <v>0</v>
      </c>
      <c r="CA475" s="1436"/>
      <c r="CB475" s="1434"/>
      <c r="CC475" s="1499">
        <f t="shared" si="1055"/>
        <v>0</v>
      </c>
      <c r="CD475" s="1513"/>
      <c r="CE475" s="1514"/>
      <c r="CF475" s="1500">
        <f t="shared" si="1056"/>
        <v>0</v>
      </c>
      <c r="CG475" s="1513"/>
      <c r="CH475" s="1514"/>
      <c r="CI475" s="1500">
        <f t="shared" si="1057"/>
        <v>0</v>
      </c>
      <c r="CJ475" s="1513"/>
      <c r="CK475" s="1514"/>
      <c r="CL475" s="1500">
        <f t="shared" si="1058"/>
        <v>0</v>
      </c>
      <c r="CM475" s="1513"/>
      <c r="CN475" s="1514"/>
      <c r="CO475" s="1500">
        <f t="shared" si="1059"/>
        <v>0</v>
      </c>
      <c r="CP475" s="1513"/>
      <c r="CQ475" s="1514"/>
      <c r="CR475" s="1500">
        <f t="shared" si="1060"/>
        <v>0</v>
      </c>
      <c r="CS475" s="1513"/>
      <c r="CT475" s="1514"/>
      <c r="CU475" s="1500">
        <f t="shared" si="1061"/>
        <v>0</v>
      </c>
      <c r="CV475" s="1513"/>
      <c r="CW475" s="1514"/>
      <c r="CX475" s="1500">
        <f t="shared" si="1062"/>
        <v>0</v>
      </c>
      <c r="CY475" s="1513"/>
      <c r="CZ475" s="1514"/>
      <c r="DA475" s="1500">
        <f t="shared" si="1063"/>
        <v>0</v>
      </c>
      <c r="DB475" s="1513"/>
      <c r="DC475" s="1514"/>
      <c r="DD475" s="1500">
        <f t="shared" si="1064"/>
        <v>0</v>
      </c>
      <c r="DE475" s="1515"/>
      <c r="DF475" s="1514"/>
      <c r="DG475" s="1500">
        <f t="shared" si="1065"/>
        <v>0</v>
      </c>
      <c r="DH475" s="1515"/>
      <c r="DI475" s="1514"/>
      <c r="DJ475" s="1500">
        <f t="shared" si="1066"/>
        <v>0</v>
      </c>
      <c r="DK475" s="1515"/>
      <c r="DL475" s="1514"/>
      <c r="DM475" s="1500">
        <f t="shared" si="1067"/>
        <v>0</v>
      </c>
      <c r="DN475" s="1515"/>
      <c r="DO475" s="1514"/>
      <c r="DP475" s="1500">
        <f t="shared" si="1068"/>
        <v>0</v>
      </c>
      <c r="DQ475" s="1515"/>
      <c r="DR475" s="1514"/>
      <c r="DS475" s="1500">
        <f t="shared" si="1069"/>
        <v>0</v>
      </c>
      <c r="DT475" s="1515"/>
      <c r="DU475" s="1514"/>
      <c r="DV475" s="1500">
        <f t="shared" si="1070"/>
        <v>0</v>
      </c>
      <c r="DW475" s="1515"/>
      <c r="DX475" s="1514"/>
      <c r="DY475" s="1500">
        <f t="shared" si="1071"/>
        <v>0</v>
      </c>
      <c r="DZ475" s="1515"/>
      <c r="EA475" s="1514"/>
      <c r="EB475" s="1500">
        <f t="shared" si="1072"/>
        <v>0</v>
      </c>
      <c r="EC475" s="1515"/>
      <c r="ED475" s="1514"/>
      <c r="EE475" s="1500">
        <f t="shared" si="1073"/>
        <v>0</v>
      </c>
      <c r="EF475" s="1515"/>
      <c r="EG475" s="1514"/>
      <c r="EH475" s="1500">
        <f t="shared" si="1074"/>
        <v>0</v>
      </c>
      <c r="EI475" s="1515"/>
      <c r="EJ475" s="1514"/>
      <c r="EK475" s="1500">
        <f t="shared" si="1075"/>
        <v>0</v>
      </c>
      <c r="EL475" s="1515"/>
      <c r="EM475" s="1514"/>
      <c r="EN475" s="1500">
        <f t="shared" si="1076"/>
        <v>0</v>
      </c>
      <c r="EO475" s="1515"/>
      <c r="EP475" s="1514"/>
      <c r="EQ475" s="1500">
        <f t="shared" si="1077"/>
        <v>0</v>
      </c>
      <c r="ER475" s="1515"/>
      <c r="ES475" s="1514"/>
      <c r="ET475" s="1500">
        <f t="shared" si="1078"/>
        <v>0</v>
      </c>
      <c r="EU475" s="1515"/>
      <c r="EV475" s="1514"/>
      <c r="EW475" s="1500">
        <f t="shared" si="1079"/>
        <v>0</v>
      </c>
      <c r="EX475" s="1515"/>
      <c r="EY475" s="1514"/>
      <c r="EZ475" s="1500">
        <f t="shared" si="1080"/>
        <v>0</v>
      </c>
      <c r="FA475" s="1515"/>
      <c r="FD475"/>
      <c r="FE475"/>
      <c r="FF475"/>
      <c r="FG475"/>
      <c r="FH475"/>
      <c r="FI475"/>
    </row>
    <row r="476" spans="1:165" s="35" customFormat="1">
      <c r="A476" s="1457"/>
      <c r="B476" s="1457" t="s">
        <v>75</v>
      </c>
      <c r="C476" s="1457"/>
      <c r="D476" s="1457"/>
      <c r="E476" s="1490"/>
      <c r="F476" s="1490"/>
      <c r="G476" s="1490"/>
      <c r="H476" s="1490"/>
      <c r="I476" s="1490"/>
      <c r="J476" s="1490"/>
      <c r="K476" s="1490"/>
      <c r="L476" s="1490"/>
      <c r="M476" s="1490"/>
      <c r="N476" s="1490"/>
      <c r="O476" s="1490"/>
      <c r="P476" s="1490"/>
      <c r="Q476" s="1491"/>
      <c r="R476" s="1491"/>
      <c r="S476" s="1491"/>
      <c r="T476" s="1491"/>
      <c r="U476" s="1491"/>
      <c r="V476" s="1492"/>
      <c r="W476" s="1492"/>
      <c r="X476" s="1492"/>
      <c r="Y476" s="1492"/>
      <c r="Z476" s="1492"/>
      <c r="AA476" s="1492"/>
      <c r="AB476" s="1492"/>
      <c r="AC476" s="1492"/>
      <c r="AD476" s="1492"/>
      <c r="AE476" s="1492"/>
      <c r="AF476" s="1492"/>
      <c r="AG476" s="1492"/>
      <c r="AH476" s="1492"/>
      <c r="AI476" s="1492"/>
      <c r="AJ476" s="1492"/>
      <c r="AK476" s="1492"/>
      <c r="AL476" s="1492"/>
      <c r="AM476" s="1492"/>
      <c r="AN476" s="1433"/>
      <c r="AO476" s="1512"/>
      <c r="AP476" s="1498">
        <f t="shared" si="1042"/>
        <v>0</v>
      </c>
      <c r="AQ476" s="1433"/>
      <c r="AR476" s="1512"/>
      <c r="AS476" s="1498">
        <f t="shared" si="1043"/>
        <v>0</v>
      </c>
      <c r="AT476" s="1433"/>
      <c r="AU476" s="1512"/>
      <c r="AV476" s="1498">
        <f t="shared" si="1044"/>
        <v>0</v>
      </c>
      <c r="AW476" s="1433"/>
      <c r="AX476" s="1512"/>
      <c r="AY476" s="1498">
        <f t="shared" si="1045"/>
        <v>0</v>
      </c>
      <c r="AZ476" s="1433"/>
      <c r="BA476" s="1512"/>
      <c r="BB476" s="1498">
        <f t="shared" si="1046"/>
        <v>0</v>
      </c>
      <c r="BC476" s="1433"/>
      <c r="BD476" s="1512"/>
      <c r="BE476" s="1498">
        <f t="shared" si="1047"/>
        <v>0</v>
      </c>
      <c r="BF476" s="1433"/>
      <c r="BG476" s="1512"/>
      <c r="BH476" s="1498">
        <f t="shared" si="1048"/>
        <v>0</v>
      </c>
      <c r="BI476" s="1433"/>
      <c r="BJ476" s="1512"/>
      <c r="BK476" s="1498">
        <f t="shared" si="1049"/>
        <v>0</v>
      </c>
      <c r="BL476" s="1433"/>
      <c r="BM476" s="1512"/>
      <c r="BN476" s="1498">
        <f t="shared" si="1050"/>
        <v>0</v>
      </c>
      <c r="BO476" s="1436"/>
      <c r="BP476" s="1512"/>
      <c r="BQ476" s="1498">
        <f t="shared" si="1051"/>
        <v>0</v>
      </c>
      <c r="BR476" s="1436"/>
      <c r="BS476" s="1512"/>
      <c r="BT476" s="1498">
        <f t="shared" si="1052"/>
        <v>0</v>
      </c>
      <c r="BU476" s="1436"/>
      <c r="BV476" s="1512"/>
      <c r="BW476" s="1498">
        <f t="shared" si="1053"/>
        <v>0</v>
      </c>
      <c r="BX476" s="1436"/>
      <c r="BY476" s="1512"/>
      <c r="BZ476" s="1498">
        <f t="shared" si="1054"/>
        <v>0</v>
      </c>
      <c r="CA476" s="1436"/>
      <c r="CB476" s="1434"/>
      <c r="CC476" s="1499">
        <f t="shared" si="1055"/>
        <v>0</v>
      </c>
      <c r="CD476" s="1513"/>
      <c r="CE476" s="1514"/>
      <c r="CF476" s="1500">
        <f t="shared" si="1056"/>
        <v>0</v>
      </c>
      <c r="CG476" s="1513"/>
      <c r="CH476" s="1514"/>
      <c r="CI476" s="1500">
        <f t="shared" si="1057"/>
        <v>0</v>
      </c>
      <c r="CJ476" s="1513"/>
      <c r="CK476" s="1514"/>
      <c r="CL476" s="1500">
        <f t="shared" si="1058"/>
        <v>0</v>
      </c>
      <c r="CM476" s="1513"/>
      <c r="CN476" s="1514"/>
      <c r="CO476" s="1500">
        <f t="shared" si="1059"/>
        <v>0</v>
      </c>
      <c r="CP476" s="1513"/>
      <c r="CQ476" s="1514"/>
      <c r="CR476" s="1500">
        <f t="shared" si="1060"/>
        <v>0</v>
      </c>
      <c r="CS476" s="1513"/>
      <c r="CT476" s="1514"/>
      <c r="CU476" s="1500">
        <f t="shared" si="1061"/>
        <v>0</v>
      </c>
      <c r="CV476" s="1513"/>
      <c r="CW476" s="1514"/>
      <c r="CX476" s="1500">
        <f t="shared" si="1062"/>
        <v>0</v>
      </c>
      <c r="CY476" s="1513"/>
      <c r="CZ476" s="1514"/>
      <c r="DA476" s="1500">
        <f t="shared" si="1063"/>
        <v>0</v>
      </c>
      <c r="DB476" s="1513"/>
      <c r="DC476" s="1514"/>
      <c r="DD476" s="1500">
        <f t="shared" si="1064"/>
        <v>0</v>
      </c>
      <c r="DE476" s="1515"/>
      <c r="DF476" s="1514"/>
      <c r="DG476" s="1500">
        <f t="shared" si="1065"/>
        <v>0</v>
      </c>
      <c r="DH476" s="1515"/>
      <c r="DI476" s="1514"/>
      <c r="DJ476" s="1500">
        <f t="shared" si="1066"/>
        <v>0</v>
      </c>
      <c r="DK476" s="1515"/>
      <c r="DL476" s="1514"/>
      <c r="DM476" s="1500">
        <f t="shared" si="1067"/>
        <v>0</v>
      </c>
      <c r="DN476" s="1515"/>
      <c r="DO476" s="1514"/>
      <c r="DP476" s="1500">
        <f t="shared" si="1068"/>
        <v>0</v>
      </c>
      <c r="DQ476" s="1515"/>
      <c r="DR476" s="1514"/>
      <c r="DS476" s="1500">
        <f t="shared" si="1069"/>
        <v>0</v>
      </c>
      <c r="DT476" s="1515"/>
      <c r="DU476" s="1514"/>
      <c r="DV476" s="1500">
        <f t="shared" si="1070"/>
        <v>0</v>
      </c>
      <c r="DW476" s="1515"/>
      <c r="DX476" s="1514"/>
      <c r="DY476" s="1500">
        <f t="shared" si="1071"/>
        <v>0</v>
      </c>
      <c r="DZ476" s="1515"/>
      <c r="EA476" s="1514"/>
      <c r="EB476" s="1500">
        <f t="shared" si="1072"/>
        <v>0</v>
      </c>
      <c r="EC476" s="1515"/>
      <c r="ED476" s="1514"/>
      <c r="EE476" s="1500">
        <f t="shared" si="1073"/>
        <v>0</v>
      </c>
      <c r="EF476" s="1515"/>
      <c r="EG476" s="1514"/>
      <c r="EH476" s="1500">
        <f t="shared" si="1074"/>
        <v>0</v>
      </c>
      <c r="EI476" s="1515"/>
      <c r="EJ476" s="1514"/>
      <c r="EK476" s="1500">
        <f t="shared" si="1075"/>
        <v>0</v>
      </c>
      <c r="EL476" s="1515"/>
      <c r="EM476" s="1514"/>
      <c r="EN476" s="1500">
        <f t="shared" si="1076"/>
        <v>0</v>
      </c>
      <c r="EO476" s="1515"/>
      <c r="EP476" s="1514"/>
      <c r="EQ476" s="1500">
        <f t="shared" si="1077"/>
        <v>0</v>
      </c>
      <c r="ER476" s="1515"/>
      <c r="ES476" s="1514"/>
      <c r="ET476" s="1500">
        <f t="shared" si="1078"/>
        <v>0</v>
      </c>
      <c r="EU476" s="1515"/>
      <c r="EV476" s="1514"/>
      <c r="EW476" s="1500">
        <f t="shared" si="1079"/>
        <v>0</v>
      </c>
      <c r="EX476" s="1515"/>
      <c r="EY476" s="1514"/>
      <c r="EZ476" s="1500">
        <f t="shared" si="1080"/>
        <v>0</v>
      </c>
      <c r="FA476" s="1515"/>
      <c r="FD476"/>
      <c r="FE476"/>
      <c r="FF476"/>
      <c r="FG476"/>
      <c r="FH476"/>
      <c r="FI476"/>
    </row>
    <row r="477" spans="1:165" s="35" customFormat="1" ht="13.5" thickBot="1">
      <c r="A477" s="1457"/>
      <c r="B477" s="1457" t="s">
        <v>26</v>
      </c>
      <c r="C477" s="1457"/>
      <c r="D477" s="1457"/>
      <c r="E477" s="1490"/>
      <c r="F477" s="1490"/>
      <c r="G477" s="1490"/>
      <c r="H477" s="1490"/>
      <c r="I477" s="1490"/>
      <c r="J477" s="1490"/>
      <c r="K477" s="1490"/>
      <c r="L477" s="1490"/>
      <c r="M477" s="1490"/>
      <c r="N477" s="1490"/>
      <c r="O477" s="1490"/>
      <c r="P477" s="1490"/>
      <c r="Q477" s="1491"/>
      <c r="R477" s="1491"/>
      <c r="S477" s="1491"/>
      <c r="T477" s="1491"/>
      <c r="U477" s="1491"/>
      <c r="V477" s="1492"/>
      <c r="W477" s="1492"/>
      <c r="X477" s="1492"/>
      <c r="Y477" s="1492"/>
      <c r="Z477" s="1492"/>
      <c r="AA477" s="1492"/>
      <c r="AB477" s="1492"/>
      <c r="AC477" s="1492"/>
      <c r="AD477" s="1492"/>
      <c r="AE477" s="1492"/>
      <c r="AF477" s="1492"/>
      <c r="AG477" s="1492"/>
      <c r="AH477" s="1492"/>
      <c r="AI477" s="1492"/>
      <c r="AJ477" s="1492"/>
      <c r="AK477" s="1492"/>
      <c r="AL477" s="1492"/>
      <c r="AM477" s="1492"/>
      <c r="AN477" s="1502"/>
      <c r="AO477" s="1503"/>
      <c r="AP477" s="1498">
        <f t="shared" si="1042"/>
        <v>0</v>
      </c>
      <c r="AQ477" s="1502"/>
      <c r="AR477" s="1503"/>
      <c r="AS477" s="1498">
        <f t="shared" si="1043"/>
        <v>0</v>
      </c>
      <c r="AT477" s="1502"/>
      <c r="AU477" s="1503"/>
      <c r="AV477" s="1498">
        <f t="shared" si="1044"/>
        <v>0</v>
      </c>
      <c r="AW477" s="1502"/>
      <c r="AX477" s="1503"/>
      <c r="AY477" s="1498">
        <f t="shared" si="1045"/>
        <v>0</v>
      </c>
      <c r="AZ477" s="1502"/>
      <c r="BA477" s="1503"/>
      <c r="BB477" s="1498">
        <f t="shared" si="1046"/>
        <v>0</v>
      </c>
      <c r="BC477" s="1502"/>
      <c r="BD477" s="1503"/>
      <c r="BE477" s="1498">
        <f t="shared" si="1047"/>
        <v>0</v>
      </c>
      <c r="BF477" s="1502"/>
      <c r="BG477" s="1503"/>
      <c r="BH477" s="1498">
        <f t="shared" si="1048"/>
        <v>0</v>
      </c>
      <c r="BI477" s="1502"/>
      <c r="BJ477" s="1503"/>
      <c r="BK477" s="1498">
        <f t="shared" si="1049"/>
        <v>0</v>
      </c>
      <c r="BL477" s="1502"/>
      <c r="BM477" s="1503"/>
      <c r="BN477" s="1498">
        <f t="shared" si="1050"/>
        <v>0</v>
      </c>
      <c r="BO477" s="1504"/>
      <c r="BP477" s="1503"/>
      <c r="BQ477" s="1498">
        <f t="shared" si="1051"/>
        <v>0</v>
      </c>
      <c r="BR477" s="1504"/>
      <c r="BS477" s="1503"/>
      <c r="BT477" s="1498">
        <f t="shared" si="1052"/>
        <v>0</v>
      </c>
      <c r="BU477" s="1504"/>
      <c r="BV477" s="1503"/>
      <c r="BW477" s="1498">
        <f t="shared" si="1053"/>
        <v>0</v>
      </c>
      <c r="BX477" s="1504"/>
      <c r="BY477" s="1503"/>
      <c r="BZ477" s="1498">
        <f t="shared" si="1054"/>
        <v>0</v>
      </c>
      <c r="CA477" s="1504"/>
      <c r="CB477" s="1505"/>
      <c r="CC477" s="1499">
        <f t="shared" si="1055"/>
        <v>0</v>
      </c>
      <c r="CD477" s="1278"/>
      <c r="CE477" s="1279"/>
      <c r="CF477" s="1500">
        <f t="shared" si="1056"/>
        <v>0</v>
      </c>
      <c r="CG477" s="1278"/>
      <c r="CH477" s="1279"/>
      <c r="CI477" s="1500">
        <f t="shared" si="1057"/>
        <v>0</v>
      </c>
      <c r="CJ477" s="1278"/>
      <c r="CK477" s="1279"/>
      <c r="CL477" s="1500">
        <f t="shared" si="1058"/>
        <v>0</v>
      </c>
      <c r="CM477" s="1278"/>
      <c r="CN477" s="1279"/>
      <c r="CO477" s="1500">
        <f t="shared" si="1059"/>
        <v>0</v>
      </c>
      <c r="CP477" s="1278"/>
      <c r="CQ477" s="1279"/>
      <c r="CR477" s="1500">
        <f t="shared" si="1060"/>
        <v>0</v>
      </c>
      <c r="CS477" s="1278"/>
      <c r="CT477" s="1279"/>
      <c r="CU477" s="1500">
        <f t="shared" si="1061"/>
        <v>0</v>
      </c>
      <c r="CV477" s="1278"/>
      <c r="CW477" s="1279"/>
      <c r="CX477" s="1500">
        <f t="shared" si="1062"/>
        <v>0</v>
      </c>
      <c r="CY477" s="1278"/>
      <c r="CZ477" s="1279"/>
      <c r="DA477" s="1500">
        <f t="shared" si="1063"/>
        <v>0</v>
      </c>
      <c r="DB477" s="1278"/>
      <c r="DC477" s="1279"/>
      <c r="DD477" s="1500">
        <f t="shared" si="1064"/>
        <v>0</v>
      </c>
      <c r="DE477" s="1507"/>
      <c r="DF477" s="1279"/>
      <c r="DG477" s="1500">
        <f t="shared" si="1065"/>
        <v>0</v>
      </c>
      <c r="DH477" s="1507"/>
      <c r="DI477" s="1279"/>
      <c r="DJ477" s="1500">
        <f t="shared" si="1066"/>
        <v>0</v>
      </c>
      <c r="DK477" s="1507"/>
      <c r="DL477" s="1279"/>
      <c r="DM477" s="1500">
        <f t="shared" si="1067"/>
        <v>0</v>
      </c>
      <c r="DN477" s="1507"/>
      <c r="DO477" s="1279"/>
      <c r="DP477" s="1500">
        <f t="shared" si="1068"/>
        <v>0</v>
      </c>
      <c r="DQ477" s="1507"/>
      <c r="DR477" s="1279"/>
      <c r="DS477" s="1500">
        <f t="shared" si="1069"/>
        <v>0</v>
      </c>
      <c r="DT477" s="1507"/>
      <c r="DU477" s="1279"/>
      <c r="DV477" s="1500">
        <f t="shared" si="1070"/>
        <v>0</v>
      </c>
      <c r="DW477" s="1507"/>
      <c r="DX477" s="1279"/>
      <c r="DY477" s="1500">
        <f t="shared" si="1071"/>
        <v>0</v>
      </c>
      <c r="DZ477" s="1507"/>
      <c r="EA477" s="1279"/>
      <c r="EB477" s="1500">
        <f t="shared" si="1072"/>
        <v>0</v>
      </c>
      <c r="EC477" s="1507"/>
      <c r="ED477" s="1279"/>
      <c r="EE477" s="1500">
        <f t="shared" si="1073"/>
        <v>0</v>
      </c>
      <c r="EF477" s="1507"/>
      <c r="EG477" s="1279"/>
      <c r="EH477" s="1500">
        <f t="shared" si="1074"/>
        <v>0</v>
      </c>
      <c r="EI477" s="1507"/>
      <c r="EJ477" s="1279"/>
      <c r="EK477" s="1500">
        <f t="shared" si="1075"/>
        <v>0</v>
      </c>
      <c r="EL477" s="1507"/>
      <c r="EM477" s="1279"/>
      <c r="EN477" s="1500">
        <f t="shared" si="1076"/>
        <v>0</v>
      </c>
      <c r="EO477" s="1507"/>
      <c r="EP477" s="1279"/>
      <c r="EQ477" s="1500">
        <f t="shared" si="1077"/>
        <v>0</v>
      </c>
      <c r="ER477" s="1507"/>
      <c r="ES477" s="1279"/>
      <c r="ET477" s="1500">
        <f t="shared" si="1078"/>
        <v>0</v>
      </c>
      <c r="EU477" s="1507"/>
      <c r="EV477" s="1279"/>
      <c r="EW477" s="1500">
        <f t="shared" si="1079"/>
        <v>0</v>
      </c>
      <c r="EX477" s="1507"/>
      <c r="EY477" s="1279"/>
      <c r="EZ477" s="1500">
        <f t="shared" si="1080"/>
        <v>0</v>
      </c>
      <c r="FA477" s="1507"/>
      <c r="FD477"/>
      <c r="FE477"/>
      <c r="FF477"/>
      <c r="FG477"/>
      <c r="FH477"/>
      <c r="FI477"/>
    </row>
    <row r="478" spans="1:165" s="35" customFormat="1" ht="13.5" thickBot="1">
      <c r="A478" s="1457"/>
      <c r="B478" s="1488" t="s">
        <v>402</v>
      </c>
      <c r="C478" s="1457"/>
      <c r="D478" s="1457"/>
      <c r="E478" s="1490"/>
      <c r="F478" s="1490"/>
      <c r="G478" s="1490"/>
      <c r="H478" s="1490"/>
      <c r="I478" s="1490"/>
      <c r="J478" s="1490"/>
      <c r="K478" s="1490"/>
      <c r="L478" s="1490"/>
      <c r="M478" s="1490"/>
      <c r="N478" s="1490"/>
      <c r="O478" s="1490"/>
      <c r="P478" s="1490"/>
      <c r="Q478" s="1491"/>
      <c r="R478" s="1491"/>
      <c r="S478" s="1491"/>
      <c r="T478" s="1491"/>
      <c r="U478" s="1491"/>
      <c r="V478" s="1492"/>
      <c r="W478" s="1492"/>
      <c r="X478" s="1492"/>
      <c r="Y478" s="1492"/>
      <c r="Z478" s="1492"/>
      <c r="AA478" s="1492"/>
      <c r="AB478" s="1492"/>
      <c r="AC478" s="1492"/>
      <c r="AD478" s="1492"/>
      <c r="AE478" s="1492"/>
      <c r="AF478" s="1492"/>
      <c r="AG478" s="1492"/>
      <c r="AH478" s="1492"/>
      <c r="AI478" s="1492"/>
      <c r="AJ478" s="1492"/>
      <c r="AK478" s="1492"/>
      <c r="AL478" s="1492"/>
      <c r="AM478" s="1492"/>
      <c r="AN478" s="1485"/>
      <c r="AO478" s="1485"/>
      <c r="AP478" s="1485"/>
      <c r="AQ478" s="1485"/>
      <c r="AR478" s="1485"/>
      <c r="AS478" s="1485"/>
      <c r="AT478" s="1485"/>
      <c r="AU478" s="1485"/>
      <c r="AV478" s="1485"/>
      <c r="AW478" s="1485"/>
      <c r="AX478" s="1485"/>
      <c r="AY478" s="1485"/>
      <c r="AZ478" s="1485"/>
      <c r="BA478" s="1485"/>
      <c r="BB478" s="1485"/>
      <c r="BC478" s="1485"/>
      <c r="BD478" s="1485"/>
      <c r="BE478" s="1485"/>
      <c r="BF478" s="1485"/>
      <c r="BG478" s="1485"/>
      <c r="BH478" s="1485"/>
      <c r="BI478" s="1485"/>
      <c r="BJ478" s="1485"/>
      <c r="BK478" s="1485"/>
      <c r="BL478" s="1485"/>
      <c r="BM478" s="1485"/>
      <c r="BN478" s="1485"/>
      <c r="BO478" s="1485"/>
      <c r="BP478" s="1485"/>
      <c r="BQ478" s="1485"/>
      <c r="BR478" s="1485"/>
      <c r="BS478" s="1485"/>
      <c r="BT478" s="1485"/>
      <c r="BU478" s="1485"/>
      <c r="BV478" s="1485"/>
      <c r="BW478" s="1485"/>
      <c r="BX478" s="1485"/>
      <c r="BY478" s="1485"/>
      <c r="BZ478" s="1485"/>
      <c r="CA478" s="1485"/>
      <c r="CB478" s="1423"/>
      <c r="CC478" s="1423"/>
      <c r="CD478" s="53"/>
      <c r="CE478" s="53"/>
      <c r="CF478" s="53"/>
      <c r="CG478" s="53"/>
      <c r="CH478" s="53"/>
      <c r="CI478" s="53"/>
      <c r="CJ478" s="53"/>
      <c r="CK478" s="53"/>
      <c r="CL478" s="53"/>
      <c r="CM478" s="53"/>
      <c r="CN478" s="53"/>
      <c r="CO478" s="53"/>
      <c r="CP478" s="53"/>
      <c r="CQ478" s="53"/>
      <c r="CR478" s="53"/>
      <c r="CS478" s="53"/>
      <c r="CT478" s="53"/>
      <c r="CU478" s="53"/>
      <c r="CV478" s="53"/>
      <c r="CW478" s="53"/>
      <c r="CX478" s="53"/>
      <c r="CY478" s="53"/>
      <c r="CZ478" s="53"/>
      <c r="DA478" s="53"/>
      <c r="DB478" s="53"/>
      <c r="DC478" s="53"/>
      <c r="DD478" s="53"/>
      <c r="DE478" s="1088"/>
      <c r="DF478" s="53"/>
      <c r="DG478" s="53"/>
      <c r="DH478" s="1088"/>
      <c r="DI478" s="53"/>
      <c r="DJ478" s="53"/>
      <c r="DK478" s="1088"/>
      <c r="DL478" s="53"/>
      <c r="DM478" s="53"/>
      <c r="DN478" s="1088"/>
      <c r="DO478" s="53"/>
      <c r="DP478" s="53"/>
      <c r="DQ478" s="1088"/>
      <c r="DR478" s="53"/>
      <c r="DS478" s="53"/>
      <c r="DT478" s="1088"/>
      <c r="DU478" s="53"/>
      <c r="DV478" s="53"/>
      <c r="DW478" s="1088"/>
      <c r="DX478" s="53"/>
      <c r="DY478" s="53"/>
      <c r="DZ478" s="1088"/>
      <c r="EA478" s="53"/>
      <c r="EB478" s="53"/>
      <c r="EC478" s="1088"/>
      <c r="ED478" s="53"/>
      <c r="EE478" s="53"/>
      <c r="EF478" s="1088"/>
      <c r="EG478" s="53"/>
      <c r="EH478" s="53"/>
      <c r="EI478" s="1088"/>
      <c r="EJ478" s="53"/>
      <c r="EK478" s="53"/>
      <c r="EL478" s="1088"/>
      <c r="EM478" s="53"/>
      <c r="EN478" s="53"/>
      <c r="EO478" s="1088"/>
      <c r="EP478" s="53"/>
      <c r="EQ478" s="53"/>
      <c r="ER478" s="1088"/>
      <c r="ES478" s="53"/>
      <c r="ET478" s="53"/>
      <c r="EU478" s="1088"/>
      <c r="EV478" s="53"/>
      <c r="EW478" s="53"/>
      <c r="EX478" s="1088"/>
      <c r="EY478" s="53"/>
      <c r="EZ478" s="53"/>
      <c r="FA478" s="1088"/>
      <c r="FD478"/>
      <c r="FE478"/>
      <c r="FF478"/>
      <c r="FG478"/>
      <c r="FH478"/>
      <c r="FI478"/>
    </row>
    <row r="479" spans="1:165" s="35" customFormat="1">
      <c r="A479" s="1457"/>
      <c r="B479" s="1457" t="s">
        <v>403</v>
      </c>
      <c r="C479" s="1457"/>
      <c r="D479" s="1457"/>
      <c r="E479" s="1490"/>
      <c r="F479" s="1490"/>
      <c r="G479" s="1490"/>
      <c r="H479" s="1490"/>
      <c r="I479" s="1490"/>
      <c r="J479" s="1490"/>
      <c r="K479" s="1490"/>
      <c r="L479" s="1490"/>
      <c r="M479" s="1490"/>
      <c r="N479" s="1490"/>
      <c r="O479" s="1490"/>
      <c r="P479" s="1490"/>
      <c r="Q479" s="1491"/>
      <c r="R479" s="1491"/>
      <c r="S479" s="1491"/>
      <c r="T479" s="1491"/>
      <c r="U479" s="1491"/>
      <c r="V479" s="1492"/>
      <c r="W479" s="1492"/>
      <c r="X479" s="1492"/>
      <c r="Y479" s="1492"/>
      <c r="Z479" s="1492"/>
      <c r="AA479" s="1492"/>
      <c r="AB479" s="1492"/>
      <c r="AC479" s="1492"/>
      <c r="AD479" s="1492"/>
      <c r="AE479" s="1492"/>
      <c r="AF479" s="1492"/>
      <c r="AG479" s="1492"/>
      <c r="AH479" s="1492"/>
      <c r="AI479" s="1492"/>
      <c r="AJ479" s="1492"/>
      <c r="AK479" s="1492"/>
      <c r="AL479" s="1492"/>
      <c r="AM479" s="1492"/>
      <c r="AN479" s="1424"/>
      <c r="AO479" s="1497"/>
      <c r="AP479" s="1498">
        <f>+AQ479</f>
        <v>0</v>
      </c>
      <c r="AQ479" s="1424"/>
      <c r="AR479" s="1497"/>
      <c r="AS479" s="1498">
        <f>+AT479</f>
        <v>0</v>
      </c>
      <c r="AT479" s="1424"/>
      <c r="AU479" s="1497"/>
      <c r="AV479" s="1498">
        <f>+AW479</f>
        <v>0</v>
      </c>
      <c r="AW479" s="1424"/>
      <c r="AX479" s="1497"/>
      <c r="AY479" s="1498">
        <f>+AZ479</f>
        <v>0</v>
      </c>
      <c r="AZ479" s="1424"/>
      <c r="BA479" s="1497"/>
      <c r="BB479" s="1498">
        <f>+BC479</f>
        <v>0</v>
      </c>
      <c r="BC479" s="1424"/>
      <c r="BD479" s="1497"/>
      <c r="BE479" s="1498">
        <f>+BF479</f>
        <v>0</v>
      </c>
      <c r="BF479" s="1424"/>
      <c r="BG479" s="1497"/>
      <c r="BH479" s="1498">
        <f>+BI479</f>
        <v>0</v>
      </c>
      <c r="BI479" s="1424"/>
      <c r="BJ479" s="1497"/>
      <c r="BK479" s="1498">
        <f>+BL479</f>
        <v>0</v>
      </c>
      <c r="BL479" s="1424"/>
      <c r="BM479" s="1497"/>
      <c r="BN479" s="1498">
        <f>+BO479</f>
        <v>0</v>
      </c>
      <c r="BO479" s="1427"/>
      <c r="BP479" s="1497"/>
      <c r="BQ479" s="1498">
        <f>+BR479</f>
        <v>0</v>
      </c>
      <c r="BR479" s="1427"/>
      <c r="BS479" s="1497"/>
      <c r="BT479" s="1498">
        <f>+BU479</f>
        <v>0</v>
      </c>
      <c r="BU479" s="1427"/>
      <c r="BV479" s="1497"/>
      <c r="BW479" s="1498">
        <f>+BX479</f>
        <v>0</v>
      </c>
      <c r="BX479" s="1427"/>
      <c r="BY479" s="1497"/>
      <c r="BZ479" s="1498">
        <f>+CA479</f>
        <v>0</v>
      </c>
      <c r="CA479" s="1427"/>
      <c r="CB479" s="1425"/>
      <c r="CC479" s="1499">
        <f>+CD479</f>
        <v>0</v>
      </c>
      <c r="CD479" s="1324"/>
      <c r="CE479" s="1325"/>
      <c r="CF479" s="1500">
        <f>+CG479</f>
        <v>0</v>
      </c>
      <c r="CG479" s="1324"/>
      <c r="CH479" s="1325"/>
      <c r="CI479" s="1500">
        <f>+CJ479</f>
        <v>0</v>
      </c>
      <c r="CJ479" s="1324"/>
      <c r="CK479" s="1325"/>
      <c r="CL479" s="1500">
        <f>+CM479</f>
        <v>0</v>
      </c>
      <c r="CM479" s="1324"/>
      <c r="CN479" s="1325"/>
      <c r="CO479" s="1500">
        <f>+CP479</f>
        <v>0</v>
      </c>
      <c r="CP479" s="1324"/>
      <c r="CQ479" s="1325"/>
      <c r="CR479" s="1500">
        <f>+CS479</f>
        <v>0</v>
      </c>
      <c r="CS479" s="1324"/>
      <c r="CT479" s="1325"/>
      <c r="CU479" s="1500">
        <f>+CV479</f>
        <v>0</v>
      </c>
      <c r="CV479" s="1324"/>
      <c r="CW479" s="1325"/>
      <c r="CX479" s="1500">
        <f>+CY479</f>
        <v>0</v>
      </c>
      <c r="CY479" s="1324"/>
      <c r="CZ479" s="1325"/>
      <c r="DA479" s="1500">
        <f>+DB479</f>
        <v>0</v>
      </c>
      <c r="DB479" s="1324"/>
      <c r="DC479" s="1325"/>
      <c r="DD479" s="1500">
        <f>+DE479</f>
        <v>0</v>
      </c>
      <c r="DE479" s="1501"/>
      <c r="DF479" s="1325"/>
      <c r="DG479" s="1500">
        <f>+DH479</f>
        <v>0</v>
      </c>
      <c r="DH479" s="1501"/>
      <c r="DI479" s="1325"/>
      <c r="DJ479" s="1500">
        <f>+DK479</f>
        <v>0</v>
      </c>
      <c r="DK479" s="1501"/>
      <c r="DL479" s="1325"/>
      <c r="DM479" s="1500">
        <f>+DN479</f>
        <v>0</v>
      </c>
      <c r="DN479" s="1501"/>
      <c r="DO479" s="1325"/>
      <c r="DP479" s="1500">
        <f>+DQ479</f>
        <v>0</v>
      </c>
      <c r="DQ479" s="1501"/>
      <c r="DR479" s="1325"/>
      <c r="DS479" s="1500">
        <f>+DT479</f>
        <v>0</v>
      </c>
      <c r="DT479" s="1501"/>
      <c r="DU479" s="1325"/>
      <c r="DV479" s="1500">
        <f>+DW479</f>
        <v>0</v>
      </c>
      <c r="DW479" s="1501"/>
      <c r="DX479" s="1325"/>
      <c r="DY479" s="1500">
        <f>+DZ479</f>
        <v>0</v>
      </c>
      <c r="DZ479" s="1501"/>
      <c r="EA479" s="1325"/>
      <c r="EB479" s="1500">
        <f>+EC479</f>
        <v>0</v>
      </c>
      <c r="EC479" s="1501"/>
      <c r="ED479" s="1325"/>
      <c r="EE479" s="1500">
        <f>+EF479</f>
        <v>0</v>
      </c>
      <c r="EF479" s="1501"/>
      <c r="EG479" s="1325"/>
      <c r="EH479" s="1500">
        <f>+EI479</f>
        <v>0</v>
      </c>
      <c r="EI479" s="1501"/>
      <c r="EJ479" s="1325"/>
      <c r="EK479" s="1500">
        <f>+EL479</f>
        <v>0</v>
      </c>
      <c r="EL479" s="1501"/>
      <c r="EM479" s="1325"/>
      <c r="EN479" s="1500">
        <f>+EO479</f>
        <v>0</v>
      </c>
      <c r="EO479" s="1501"/>
      <c r="EP479" s="1325"/>
      <c r="EQ479" s="1500">
        <f>+ER479</f>
        <v>0</v>
      </c>
      <c r="ER479" s="1501"/>
      <c r="ES479" s="1325"/>
      <c r="ET479" s="1500">
        <f>+EU479</f>
        <v>0</v>
      </c>
      <c r="EU479" s="1501"/>
      <c r="EV479" s="1325"/>
      <c r="EW479" s="1500">
        <f>+EX479</f>
        <v>0</v>
      </c>
      <c r="EX479" s="1501"/>
      <c r="EY479" s="1325"/>
      <c r="EZ479" s="1500">
        <f>+FA479</f>
        <v>0</v>
      </c>
      <c r="FA479" s="1501"/>
      <c r="FD479"/>
      <c r="FE479"/>
      <c r="FF479"/>
      <c r="FG479"/>
      <c r="FH479"/>
      <c r="FI479"/>
    </row>
    <row r="480" spans="1:165" s="35" customFormat="1">
      <c r="A480" s="1457"/>
      <c r="B480" s="1457" t="s">
        <v>493</v>
      </c>
      <c r="C480" s="1457"/>
      <c r="D480" s="1457"/>
      <c r="E480" s="1490"/>
      <c r="F480" s="1490"/>
      <c r="G480" s="1490"/>
      <c r="H480" s="1490"/>
      <c r="I480" s="1490"/>
      <c r="J480" s="1490"/>
      <c r="K480" s="1490"/>
      <c r="L480" s="1490"/>
      <c r="M480" s="1490"/>
      <c r="N480" s="1490"/>
      <c r="O480" s="1490"/>
      <c r="P480" s="1490"/>
      <c r="Q480" s="1491"/>
      <c r="R480" s="1491"/>
      <c r="S480" s="1491"/>
      <c r="T480" s="1491"/>
      <c r="U480" s="1491"/>
      <c r="V480" s="1492"/>
      <c r="W480" s="1492"/>
      <c r="X480" s="1492"/>
      <c r="Y480" s="1492"/>
      <c r="Z480" s="1492"/>
      <c r="AA480" s="1492"/>
      <c r="AB480" s="1492"/>
      <c r="AC480" s="1492"/>
      <c r="AD480" s="1492"/>
      <c r="AE480" s="1492"/>
      <c r="AF480" s="1492"/>
      <c r="AG480" s="1492"/>
      <c r="AH480" s="1492"/>
      <c r="AI480" s="1492"/>
      <c r="AJ480" s="1492"/>
      <c r="AK480" s="1492"/>
      <c r="AL480" s="1492"/>
      <c r="AM480" s="1492"/>
      <c r="AN480" s="1433"/>
      <c r="AO480" s="1512"/>
      <c r="AP480" s="1498">
        <f>+AQ480</f>
        <v>0</v>
      </c>
      <c r="AQ480" s="1433"/>
      <c r="AR480" s="1512"/>
      <c r="AS480" s="1498">
        <f>+AT480</f>
        <v>0</v>
      </c>
      <c r="AT480" s="1433"/>
      <c r="AU480" s="1512"/>
      <c r="AV480" s="1498">
        <f>+AW480</f>
        <v>0</v>
      </c>
      <c r="AW480" s="1433"/>
      <c r="AX480" s="1512"/>
      <c r="AY480" s="1498">
        <f>+AZ480</f>
        <v>0</v>
      </c>
      <c r="AZ480" s="1433"/>
      <c r="BA480" s="1512"/>
      <c r="BB480" s="1498">
        <f>+BC480</f>
        <v>0</v>
      </c>
      <c r="BC480" s="1433"/>
      <c r="BD480" s="1512"/>
      <c r="BE480" s="1498">
        <f>+BF480</f>
        <v>0</v>
      </c>
      <c r="BF480" s="1433"/>
      <c r="BG480" s="1512"/>
      <c r="BH480" s="1498">
        <f>+BI480</f>
        <v>0</v>
      </c>
      <c r="BI480" s="1433"/>
      <c r="BJ480" s="1512"/>
      <c r="BK480" s="1498">
        <f>+BL480</f>
        <v>0</v>
      </c>
      <c r="BL480" s="1433"/>
      <c r="BM480" s="1512"/>
      <c r="BN480" s="1498">
        <f>+BO480</f>
        <v>0</v>
      </c>
      <c r="BO480" s="1436"/>
      <c r="BP480" s="1512"/>
      <c r="BQ480" s="1498">
        <f>+BR480</f>
        <v>0</v>
      </c>
      <c r="BR480" s="1436"/>
      <c r="BS480" s="1512"/>
      <c r="BT480" s="1498">
        <f>+BU480</f>
        <v>0</v>
      </c>
      <c r="BU480" s="1436"/>
      <c r="BV480" s="1512"/>
      <c r="BW480" s="1498">
        <f>+BX480</f>
        <v>0</v>
      </c>
      <c r="BX480" s="1436"/>
      <c r="BY480" s="1512"/>
      <c r="BZ480" s="1498">
        <f>+CA480</f>
        <v>0</v>
      </c>
      <c r="CA480" s="1436"/>
      <c r="CB480" s="1434"/>
      <c r="CC480" s="1499">
        <f>+CD480</f>
        <v>0</v>
      </c>
      <c r="CD480" s="1513"/>
      <c r="CE480" s="1514"/>
      <c r="CF480" s="1500">
        <f>+CG480</f>
        <v>0</v>
      </c>
      <c r="CG480" s="1513"/>
      <c r="CH480" s="1514"/>
      <c r="CI480" s="1500">
        <f>+CJ480</f>
        <v>0</v>
      </c>
      <c r="CJ480" s="1513"/>
      <c r="CK480" s="1514"/>
      <c r="CL480" s="1500">
        <f>+CM480</f>
        <v>0</v>
      </c>
      <c r="CM480" s="1513"/>
      <c r="CN480" s="1514"/>
      <c r="CO480" s="1500">
        <f>+CP480</f>
        <v>0</v>
      </c>
      <c r="CP480" s="1513"/>
      <c r="CQ480" s="1514"/>
      <c r="CR480" s="1500">
        <f>+CS480</f>
        <v>0</v>
      </c>
      <c r="CS480" s="1513"/>
      <c r="CT480" s="1514"/>
      <c r="CU480" s="1500">
        <f>+CV480</f>
        <v>0</v>
      </c>
      <c r="CV480" s="1513"/>
      <c r="CW480" s="1514"/>
      <c r="CX480" s="1500">
        <f>+CY480</f>
        <v>0</v>
      </c>
      <c r="CY480" s="1513"/>
      <c r="CZ480" s="1514"/>
      <c r="DA480" s="1500">
        <f>+DB480</f>
        <v>0</v>
      </c>
      <c r="DB480" s="1513"/>
      <c r="DC480" s="1514"/>
      <c r="DD480" s="1500">
        <f>+DE480</f>
        <v>0</v>
      </c>
      <c r="DE480" s="1515"/>
      <c r="DF480" s="1514"/>
      <c r="DG480" s="1500">
        <f>+DH480</f>
        <v>0</v>
      </c>
      <c r="DH480" s="1515"/>
      <c r="DI480" s="1514"/>
      <c r="DJ480" s="1500">
        <f>+DK480</f>
        <v>0</v>
      </c>
      <c r="DK480" s="1515"/>
      <c r="DL480" s="1514"/>
      <c r="DM480" s="1500">
        <f>+DN480</f>
        <v>0</v>
      </c>
      <c r="DN480" s="1515"/>
      <c r="DO480" s="1514"/>
      <c r="DP480" s="1500">
        <f>+DQ480</f>
        <v>0</v>
      </c>
      <c r="DQ480" s="1515"/>
      <c r="DR480" s="1514"/>
      <c r="DS480" s="1500">
        <f>+DT480</f>
        <v>0</v>
      </c>
      <c r="DT480" s="1515"/>
      <c r="DU480" s="1514"/>
      <c r="DV480" s="1500">
        <f>+DW480</f>
        <v>0</v>
      </c>
      <c r="DW480" s="1515"/>
      <c r="DX480" s="1514"/>
      <c r="DY480" s="1500">
        <f>+DZ480</f>
        <v>0</v>
      </c>
      <c r="DZ480" s="1515"/>
      <c r="EA480" s="1514"/>
      <c r="EB480" s="1500">
        <f>+EC480</f>
        <v>0</v>
      </c>
      <c r="EC480" s="1515"/>
      <c r="ED480" s="1514"/>
      <c r="EE480" s="1500">
        <f>+EF480</f>
        <v>0</v>
      </c>
      <c r="EF480" s="1515"/>
      <c r="EG480" s="1514"/>
      <c r="EH480" s="1500">
        <f>+EI480</f>
        <v>0</v>
      </c>
      <c r="EI480" s="1515"/>
      <c r="EJ480" s="1514"/>
      <c r="EK480" s="1500">
        <f>+EL480</f>
        <v>0</v>
      </c>
      <c r="EL480" s="1515"/>
      <c r="EM480" s="1514"/>
      <c r="EN480" s="1500">
        <f>+EO480</f>
        <v>0</v>
      </c>
      <c r="EO480" s="1515"/>
      <c r="EP480" s="1514"/>
      <c r="EQ480" s="1500">
        <f>+ER480</f>
        <v>0</v>
      </c>
      <c r="ER480" s="1515"/>
      <c r="ES480" s="1514"/>
      <c r="ET480" s="1500">
        <f>+EU480</f>
        <v>0</v>
      </c>
      <c r="EU480" s="1515"/>
      <c r="EV480" s="1514"/>
      <c r="EW480" s="1500">
        <f>+EX480</f>
        <v>0</v>
      </c>
      <c r="EX480" s="1515"/>
      <c r="EY480" s="1514"/>
      <c r="EZ480" s="1500">
        <f>+FA480</f>
        <v>0</v>
      </c>
      <c r="FA480" s="1515"/>
      <c r="FD480"/>
      <c r="FE480"/>
      <c r="FF480"/>
      <c r="FG480"/>
      <c r="FH480"/>
      <c r="FI480"/>
    </row>
    <row r="481" spans="1:165" s="35" customFormat="1">
      <c r="A481" s="1457"/>
      <c r="B481" s="1457" t="s">
        <v>404</v>
      </c>
      <c r="C481" s="1457"/>
      <c r="D481" s="1457"/>
      <c r="E481" s="1490"/>
      <c r="F481" s="1490"/>
      <c r="G481" s="1490"/>
      <c r="H481" s="1490"/>
      <c r="I481" s="1490"/>
      <c r="J481" s="1490"/>
      <c r="K481" s="1490"/>
      <c r="L481" s="1490"/>
      <c r="M481" s="1490"/>
      <c r="N481" s="1490"/>
      <c r="O481" s="1490"/>
      <c r="P481" s="1490"/>
      <c r="Q481" s="1491"/>
      <c r="R481" s="1491"/>
      <c r="S481" s="1491"/>
      <c r="T481" s="1491"/>
      <c r="U481" s="1491"/>
      <c r="V481" s="1492"/>
      <c r="W481" s="1492"/>
      <c r="X481" s="1492"/>
      <c r="Y481" s="1492"/>
      <c r="Z481" s="1492"/>
      <c r="AA481" s="1492"/>
      <c r="AB481" s="1492"/>
      <c r="AC481" s="1492"/>
      <c r="AD481" s="1492"/>
      <c r="AE481" s="1492"/>
      <c r="AF481" s="1492"/>
      <c r="AG481" s="1492"/>
      <c r="AH481" s="1492"/>
      <c r="AI481" s="1492"/>
      <c r="AJ481" s="1492"/>
      <c r="AK481" s="1492"/>
      <c r="AL481" s="1492"/>
      <c r="AM481" s="1492"/>
      <c r="AN481" s="1433"/>
      <c r="AO481" s="1512"/>
      <c r="AP481" s="1498">
        <f>+AQ481</f>
        <v>0</v>
      </c>
      <c r="AQ481" s="1433"/>
      <c r="AR481" s="1512"/>
      <c r="AS481" s="1498">
        <f>+AT481</f>
        <v>0</v>
      </c>
      <c r="AT481" s="1433"/>
      <c r="AU481" s="1512"/>
      <c r="AV481" s="1498">
        <f>+AW481</f>
        <v>0</v>
      </c>
      <c r="AW481" s="1433"/>
      <c r="AX481" s="1512"/>
      <c r="AY481" s="1498">
        <f>+AZ481</f>
        <v>0</v>
      </c>
      <c r="AZ481" s="1433"/>
      <c r="BA481" s="1512"/>
      <c r="BB481" s="1498">
        <f>+BC481</f>
        <v>0</v>
      </c>
      <c r="BC481" s="1433"/>
      <c r="BD481" s="1512"/>
      <c r="BE481" s="1498">
        <f>+BF481</f>
        <v>0</v>
      </c>
      <c r="BF481" s="1433"/>
      <c r="BG481" s="1512"/>
      <c r="BH481" s="1498">
        <f>+BI481</f>
        <v>0</v>
      </c>
      <c r="BI481" s="1433"/>
      <c r="BJ481" s="1512"/>
      <c r="BK481" s="1498">
        <f>+BL481</f>
        <v>0</v>
      </c>
      <c r="BL481" s="1433"/>
      <c r="BM481" s="1512"/>
      <c r="BN481" s="1498">
        <f>+BO481</f>
        <v>0</v>
      </c>
      <c r="BO481" s="1436"/>
      <c r="BP481" s="1512"/>
      <c r="BQ481" s="1498">
        <f>+BR481</f>
        <v>0</v>
      </c>
      <c r="BR481" s="1436"/>
      <c r="BS481" s="1512"/>
      <c r="BT481" s="1498">
        <f>+BU481</f>
        <v>0</v>
      </c>
      <c r="BU481" s="1436"/>
      <c r="BV481" s="1512"/>
      <c r="BW481" s="1498">
        <f>+BX481</f>
        <v>0</v>
      </c>
      <c r="BX481" s="1436"/>
      <c r="BY481" s="1512"/>
      <c r="BZ481" s="1498">
        <f>+CA481</f>
        <v>0</v>
      </c>
      <c r="CA481" s="1436"/>
      <c r="CB481" s="1434"/>
      <c r="CC481" s="1499">
        <f>+CD481</f>
        <v>0</v>
      </c>
      <c r="CD481" s="1513"/>
      <c r="CE481" s="1514"/>
      <c r="CF481" s="1500">
        <f>+CG481</f>
        <v>0</v>
      </c>
      <c r="CG481" s="1513"/>
      <c r="CH481" s="1514"/>
      <c r="CI481" s="1500">
        <f>+CJ481</f>
        <v>0</v>
      </c>
      <c r="CJ481" s="1513"/>
      <c r="CK481" s="1514"/>
      <c r="CL481" s="1500">
        <f>+CM481</f>
        <v>0</v>
      </c>
      <c r="CM481" s="1513"/>
      <c r="CN481" s="1514"/>
      <c r="CO481" s="1500">
        <f>+CP481</f>
        <v>0</v>
      </c>
      <c r="CP481" s="1513"/>
      <c r="CQ481" s="1514"/>
      <c r="CR481" s="1500">
        <f>+CS481</f>
        <v>0</v>
      </c>
      <c r="CS481" s="1513"/>
      <c r="CT481" s="1514"/>
      <c r="CU481" s="1500">
        <f>+CV481</f>
        <v>0</v>
      </c>
      <c r="CV481" s="1513"/>
      <c r="CW481" s="1514"/>
      <c r="CX481" s="1500">
        <f>+CY481</f>
        <v>0</v>
      </c>
      <c r="CY481" s="1513"/>
      <c r="CZ481" s="1514"/>
      <c r="DA481" s="1500">
        <f>+DB481</f>
        <v>0</v>
      </c>
      <c r="DB481" s="1513"/>
      <c r="DC481" s="1514"/>
      <c r="DD481" s="1500">
        <f>+DE481</f>
        <v>0</v>
      </c>
      <c r="DE481" s="1515"/>
      <c r="DF481" s="1514"/>
      <c r="DG481" s="1500">
        <f>+DH481</f>
        <v>0</v>
      </c>
      <c r="DH481" s="1515"/>
      <c r="DI481" s="1514"/>
      <c r="DJ481" s="1500">
        <f>+DK481</f>
        <v>0</v>
      </c>
      <c r="DK481" s="1515"/>
      <c r="DL481" s="1514"/>
      <c r="DM481" s="1500">
        <f>+DN481</f>
        <v>0</v>
      </c>
      <c r="DN481" s="1515"/>
      <c r="DO481" s="1514"/>
      <c r="DP481" s="1500">
        <f>+DQ481</f>
        <v>0</v>
      </c>
      <c r="DQ481" s="1515"/>
      <c r="DR481" s="1514"/>
      <c r="DS481" s="1500">
        <f>+DT481</f>
        <v>0</v>
      </c>
      <c r="DT481" s="1515"/>
      <c r="DU481" s="1514"/>
      <c r="DV481" s="1500">
        <f>+DW481</f>
        <v>0</v>
      </c>
      <c r="DW481" s="1515"/>
      <c r="DX481" s="1514"/>
      <c r="DY481" s="1500">
        <f>+DZ481</f>
        <v>0</v>
      </c>
      <c r="DZ481" s="1515"/>
      <c r="EA481" s="1514"/>
      <c r="EB481" s="1500">
        <f>+EC481</f>
        <v>0</v>
      </c>
      <c r="EC481" s="1515"/>
      <c r="ED481" s="1514"/>
      <c r="EE481" s="1500">
        <f>+EF481</f>
        <v>0</v>
      </c>
      <c r="EF481" s="1515"/>
      <c r="EG481" s="1514"/>
      <c r="EH481" s="1500">
        <f>+EI481</f>
        <v>0</v>
      </c>
      <c r="EI481" s="1515"/>
      <c r="EJ481" s="1514"/>
      <c r="EK481" s="1500">
        <f>+EL481</f>
        <v>0</v>
      </c>
      <c r="EL481" s="1515"/>
      <c r="EM481" s="1514"/>
      <c r="EN481" s="1500">
        <f>+EO481</f>
        <v>0</v>
      </c>
      <c r="EO481" s="1515"/>
      <c r="EP481" s="1514"/>
      <c r="EQ481" s="1500">
        <f>+ER481</f>
        <v>0</v>
      </c>
      <c r="ER481" s="1515"/>
      <c r="ES481" s="1514"/>
      <c r="ET481" s="1500">
        <f>+EU481</f>
        <v>0</v>
      </c>
      <c r="EU481" s="1515"/>
      <c r="EV481" s="1514"/>
      <c r="EW481" s="1500">
        <f>+EX481</f>
        <v>0</v>
      </c>
      <c r="EX481" s="1515"/>
      <c r="EY481" s="1514"/>
      <c r="EZ481" s="1500">
        <f>+FA481</f>
        <v>0</v>
      </c>
      <c r="FA481" s="1515"/>
      <c r="FD481"/>
      <c r="FE481"/>
      <c r="FF481"/>
      <c r="FG481"/>
      <c r="FH481"/>
      <c r="FI481"/>
    </row>
    <row r="482" spans="1:165" s="35" customFormat="1" ht="13.5" thickBot="1">
      <c r="A482" s="1457"/>
      <c r="B482" s="1457" t="s">
        <v>65</v>
      </c>
      <c r="C482" s="1457"/>
      <c r="D482" s="1457"/>
      <c r="E482" s="1490"/>
      <c r="F482" s="1490"/>
      <c r="G482" s="1490"/>
      <c r="H482" s="1490"/>
      <c r="I482" s="1490"/>
      <c r="J482" s="1490"/>
      <c r="K482" s="1490"/>
      <c r="L482" s="1490"/>
      <c r="M482" s="1490"/>
      <c r="N482" s="1490"/>
      <c r="O482" s="1490"/>
      <c r="P482" s="1490"/>
      <c r="Q482" s="1491"/>
      <c r="R482" s="1491"/>
      <c r="S482" s="1491"/>
      <c r="T482" s="1491"/>
      <c r="U482" s="1491"/>
      <c r="V482" s="1492"/>
      <c r="W482" s="1492"/>
      <c r="X482" s="1492"/>
      <c r="Y482" s="1492"/>
      <c r="Z482" s="1492"/>
      <c r="AA482" s="1492"/>
      <c r="AB482" s="1492"/>
      <c r="AC482" s="1492"/>
      <c r="AD482" s="1492"/>
      <c r="AE482" s="1492"/>
      <c r="AF482" s="1492"/>
      <c r="AG482" s="1492"/>
      <c r="AH482" s="1492"/>
      <c r="AI482" s="1492"/>
      <c r="AJ482" s="1492"/>
      <c r="AK482" s="1492"/>
      <c r="AL482" s="1492"/>
      <c r="AM482" s="1492"/>
      <c r="AN482" s="1502"/>
      <c r="AO482" s="1503"/>
      <c r="AP482" s="1498">
        <f>+AQ482</f>
        <v>0</v>
      </c>
      <c r="AQ482" s="1502"/>
      <c r="AR482" s="1503"/>
      <c r="AS482" s="1498">
        <f>+AT482</f>
        <v>0</v>
      </c>
      <c r="AT482" s="1502"/>
      <c r="AU482" s="1503"/>
      <c r="AV482" s="1498">
        <f>+AW482</f>
        <v>0</v>
      </c>
      <c r="AW482" s="1502"/>
      <c r="AX482" s="1503"/>
      <c r="AY482" s="1498">
        <f>+AZ482</f>
        <v>0</v>
      </c>
      <c r="AZ482" s="1502"/>
      <c r="BA482" s="1503"/>
      <c r="BB482" s="1498">
        <f>+BC482</f>
        <v>0</v>
      </c>
      <c r="BC482" s="1502"/>
      <c r="BD482" s="1503"/>
      <c r="BE482" s="1498">
        <f>+BF482</f>
        <v>0</v>
      </c>
      <c r="BF482" s="1502"/>
      <c r="BG482" s="1503"/>
      <c r="BH482" s="1498">
        <f>+BI482</f>
        <v>0</v>
      </c>
      <c r="BI482" s="1502"/>
      <c r="BJ482" s="1503"/>
      <c r="BK482" s="1498">
        <f>+BL482</f>
        <v>0</v>
      </c>
      <c r="BL482" s="1502"/>
      <c r="BM482" s="1503"/>
      <c r="BN482" s="1498">
        <f>+BO482</f>
        <v>0</v>
      </c>
      <c r="BO482" s="1504"/>
      <c r="BP482" s="1503"/>
      <c r="BQ482" s="1498">
        <f>+BR482</f>
        <v>0</v>
      </c>
      <c r="BR482" s="1504"/>
      <c r="BS482" s="1503"/>
      <c r="BT482" s="1498">
        <f>+BU482</f>
        <v>0</v>
      </c>
      <c r="BU482" s="1504"/>
      <c r="BV482" s="1503"/>
      <c r="BW482" s="1498">
        <f>+BX482</f>
        <v>0</v>
      </c>
      <c r="BX482" s="1504"/>
      <c r="BY482" s="1503"/>
      <c r="BZ482" s="1498">
        <f>+CA482</f>
        <v>0</v>
      </c>
      <c r="CA482" s="1504"/>
      <c r="CB482" s="1505"/>
      <c r="CC482" s="1499">
        <f>+CD482</f>
        <v>0</v>
      </c>
      <c r="CD482" s="1278"/>
      <c r="CE482" s="1279"/>
      <c r="CF482" s="1500">
        <f>+CG482</f>
        <v>0</v>
      </c>
      <c r="CG482" s="1278"/>
      <c r="CH482" s="1279"/>
      <c r="CI482" s="1500">
        <f>+CJ482</f>
        <v>0</v>
      </c>
      <c r="CJ482" s="1278"/>
      <c r="CK482" s="1279"/>
      <c r="CL482" s="1500">
        <f>+CM482</f>
        <v>0</v>
      </c>
      <c r="CM482" s="1278"/>
      <c r="CN482" s="1279"/>
      <c r="CO482" s="1500">
        <f>+CP482</f>
        <v>0</v>
      </c>
      <c r="CP482" s="1278"/>
      <c r="CQ482" s="1279"/>
      <c r="CR482" s="1500">
        <f>+CS482</f>
        <v>0</v>
      </c>
      <c r="CS482" s="1278"/>
      <c r="CT482" s="1279"/>
      <c r="CU482" s="1500">
        <f>+CV482</f>
        <v>0</v>
      </c>
      <c r="CV482" s="1278"/>
      <c r="CW482" s="1279"/>
      <c r="CX482" s="1500">
        <f>+CY482</f>
        <v>0</v>
      </c>
      <c r="CY482" s="1278"/>
      <c r="CZ482" s="1279"/>
      <c r="DA482" s="1500">
        <f>+DB482</f>
        <v>0</v>
      </c>
      <c r="DB482" s="1278"/>
      <c r="DC482" s="1279"/>
      <c r="DD482" s="1500">
        <f>+DE482</f>
        <v>0</v>
      </c>
      <c r="DE482" s="1507"/>
      <c r="DF482" s="1279"/>
      <c r="DG482" s="1500">
        <f>+DH482</f>
        <v>0</v>
      </c>
      <c r="DH482" s="1507"/>
      <c r="DI482" s="1279"/>
      <c r="DJ482" s="1500">
        <f>+DK482</f>
        <v>0</v>
      </c>
      <c r="DK482" s="1507"/>
      <c r="DL482" s="1279"/>
      <c r="DM482" s="1500">
        <f>+DN482</f>
        <v>0</v>
      </c>
      <c r="DN482" s="1507"/>
      <c r="DO482" s="1279"/>
      <c r="DP482" s="1500">
        <f>+DQ482</f>
        <v>0</v>
      </c>
      <c r="DQ482" s="1507"/>
      <c r="DR482" s="1279"/>
      <c r="DS482" s="1500">
        <f>+DT482</f>
        <v>0</v>
      </c>
      <c r="DT482" s="1507"/>
      <c r="DU482" s="1279"/>
      <c r="DV482" s="1500">
        <f>+DW482</f>
        <v>0</v>
      </c>
      <c r="DW482" s="1507"/>
      <c r="DX482" s="1279"/>
      <c r="DY482" s="1500">
        <f>+DZ482</f>
        <v>0</v>
      </c>
      <c r="DZ482" s="1507"/>
      <c r="EA482" s="1279"/>
      <c r="EB482" s="1500">
        <f>+EC482</f>
        <v>0</v>
      </c>
      <c r="EC482" s="1507"/>
      <c r="ED482" s="1279"/>
      <c r="EE482" s="1500">
        <f>+EF482</f>
        <v>0</v>
      </c>
      <c r="EF482" s="1507"/>
      <c r="EG482" s="1279"/>
      <c r="EH482" s="1500">
        <f>+EI482</f>
        <v>0</v>
      </c>
      <c r="EI482" s="1507"/>
      <c r="EJ482" s="1279"/>
      <c r="EK482" s="1500">
        <f>+EL482</f>
        <v>0</v>
      </c>
      <c r="EL482" s="1507"/>
      <c r="EM482" s="1279"/>
      <c r="EN482" s="1500">
        <f>+EO482</f>
        <v>0</v>
      </c>
      <c r="EO482" s="1507"/>
      <c r="EP482" s="1279"/>
      <c r="EQ482" s="1500">
        <f>+ER482</f>
        <v>0</v>
      </c>
      <c r="ER482" s="1507"/>
      <c r="ES482" s="1279"/>
      <c r="ET482" s="1500">
        <f>+EU482</f>
        <v>0</v>
      </c>
      <c r="EU482" s="1507"/>
      <c r="EV482" s="1279"/>
      <c r="EW482" s="1500">
        <f>+EX482</f>
        <v>0</v>
      </c>
      <c r="EX482" s="1507"/>
      <c r="EY482" s="1279"/>
      <c r="EZ482" s="1500">
        <f>+FA482</f>
        <v>0</v>
      </c>
      <c r="FA482" s="1507"/>
      <c r="FD482"/>
      <c r="FE482"/>
      <c r="FF482"/>
      <c r="FG482"/>
      <c r="FH482"/>
      <c r="FI482"/>
    </row>
    <row r="483" spans="1:165" s="35" customFormat="1" ht="13.5" thickBot="1">
      <c r="A483" s="1457"/>
      <c r="B483" s="1488" t="s">
        <v>405</v>
      </c>
      <c r="C483" s="1457"/>
      <c r="D483" s="1457"/>
      <c r="E483" s="1490"/>
      <c r="F483" s="1490"/>
      <c r="G483" s="1490"/>
      <c r="H483" s="1490"/>
      <c r="I483" s="1490"/>
      <c r="J483" s="1490"/>
      <c r="K483" s="1490"/>
      <c r="L483" s="1490"/>
      <c r="M483" s="1490"/>
      <c r="N483" s="1490"/>
      <c r="O483" s="1490"/>
      <c r="P483" s="1490"/>
      <c r="Q483" s="1491"/>
      <c r="R483" s="1491"/>
      <c r="S483" s="1491"/>
      <c r="T483" s="1491"/>
      <c r="U483" s="1491"/>
      <c r="V483" s="1492"/>
      <c r="W483" s="1492"/>
      <c r="X483" s="1492"/>
      <c r="Y483" s="1492"/>
      <c r="Z483" s="1492"/>
      <c r="AA483" s="1492"/>
      <c r="AB483" s="1492"/>
      <c r="AC483" s="1492"/>
      <c r="AD483" s="1492"/>
      <c r="AE483" s="1492"/>
      <c r="AF483" s="1492"/>
      <c r="AG483" s="1492"/>
      <c r="AH483" s="1492"/>
      <c r="AI483" s="1492"/>
      <c r="AJ483" s="1492"/>
      <c r="AK483" s="1492"/>
      <c r="AL483" s="1492"/>
      <c r="AM483" s="1492"/>
      <c r="AN483" s="1485"/>
      <c r="AO483" s="1485"/>
      <c r="AP483" s="1485"/>
      <c r="AQ483" s="1485"/>
      <c r="AR483" s="1485"/>
      <c r="AS483" s="1485"/>
      <c r="AT483" s="1485"/>
      <c r="AU483" s="1487"/>
      <c r="AV483" s="1485"/>
      <c r="AW483" s="1487"/>
      <c r="AX483" s="1487"/>
      <c r="AY483" s="1485"/>
      <c r="AZ483" s="1487"/>
      <c r="BA483" s="1487"/>
      <c r="BB483" s="1485"/>
      <c r="BC483" s="1487"/>
      <c r="BD483" s="1487"/>
      <c r="BE483" s="1485"/>
      <c r="BF483" s="1487"/>
      <c r="BG483" s="1487"/>
      <c r="BH483" s="1485"/>
      <c r="BI483" s="1487"/>
      <c r="BJ483" s="1487"/>
      <c r="BK483" s="1485"/>
      <c r="BL483" s="1487"/>
      <c r="BM483" s="1487"/>
      <c r="BN483" s="1485"/>
      <c r="BO483" s="1487"/>
      <c r="BP483" s="1487"/>
      <c r="BQ483" s="1485"/>
      <c r="BR483" s="1487"/>
      <c r="BS483" s="1487"/>
      <c r="BT483" s="1485"/>
      <c r="BU483" s="1487"/>
      <c r="BV483" s="1487"/>
      <c r="BW483" s="1485"/>
      <c r="BX483" s="1487"/>
      <c r="BY483" s="1487"/>
      <c r="BZ483" s="1485"/>
      <c r="CA483" s="1487"/>
      <c r="CB483" s="1486"/>
      <c r="CC483" s="1423"/>
      <c r="CD483" s="1162"/>
      <c r="CE483" s="1162"/>
      <c r="CF483" s="53"/>
      <c r="CG483" s="1162"/>
      <c r="CH483" s="1162"/>
      <c r="CI483" s="53"/>
      <c r="CJ483" s="1162"/>
      <c r="CK483" s="1162"/>
      <c r="CL483" s="53"/>
      <c r="CM483" s="1162"/>
      <c r="CN483" s="1162"/>
      <c r="CO483" s="53"/>
      <c r="CP483" s="1162"/>
      <c r="CQ483" s="1162"/>
      <c r="CR483" s="53"/>
      <c r="CS483" s="1162"/>
      <c r="CT483" s="1162"/>
      <c r="CU483" s="53"/>
      <c r="CV483" s="1162"/>
      <c r="CW483" s="1162"/>
      <c r="CX483" s="53"/>
      <c r="CY483" s="1162"/>
      <c r="CZ483" s="1162"/>
      <c r="DA483" s="53"/>
      <c r="DB483" s="1162"/>
      <c r="DC483" s="1162"/>
      <c r="DD483" s="53"/>
      <c r="DE483" s="1163"/>
      <c r="DF483" s="1162"/>
      <c r="DG483" s="53"/>
      <c r="DH483" s="1163"/>
      <c r="DI483" s="1162"/>
      <c r="DJ483" s="53"/>
      <c r="DK483" s="1163"/>
      <c r="DL483" s="1162"/>
      <c r="DM483" s="53"/>
      <c r="DN483" s="1163"/>
      <c r="DO483" s="1162"/>
      <c r="DP483" s="53"/>
      <c r="DQ483" s="1163"/>
      <c r="DR483" s="1162"/>
      <c r="DS483" s="53"/>
      <c r="DT483" s="1163"/>
      <c r="DU483" s="1162"/>
      <c r="DV483" s="53"/>
      <c r="DW483" s="1163"/>
      <c r="DX483" s="1162"/>
      <c r="DY483" s="53"/>
      <c r="DZ483" s="1163"/>
      <c r="EA483" s="1162"/>
      <c r="EB483" s="53"/>
      <c r="EC483" s="1163"/>
      <c r="ED483" s="1162"/>
      <c r="EE483" s="53"/>
      <c r="EF483" s="1163"/>
      <c r="EG483" s="1162"/>
      <c r="EH483" s="53"/>
      <c r="EI483" s="1163"/>
      <c r="EJ483" s="1162"/>
      <c r="EK483" s="53"/>
      <c r="EL483" s="1163"/>
      <c r="EM483" s="1162"/>
      <c r="EN483" s="53"/>
      <c r="EO483" s="1163"/>
      <c r="EP483" s="1162"/>
      <c r="EQ483" s="53"/>
      <c r="ER483" s="1163"/>
      <c r="ES483" s="1162"/>
      <c r="ET483" s="53"/>
      <c r="EU483" s="1163"/>
      <c r="EV483" s="1162"/>
      <c r="EW483" s="53"/>
      <c r="EX483" s="1163"/>
      <c r="EY483" s="1162"/>
      <c r="EZ483" s="53"/>
      <c r="FA483" s="1163"/>
      <c r="FD483"/>
      <c r="FE483"/>
      <c r="FF483"/>
      <c r="FG483"/>
      <c r="FH483"/>
      <c r="FI483"/>
    </row>
    <row r="484" spans="1:165" s="35" customFormat="1">
      <c r="A484" s="1457"/>
      <c r="B484" s="1457" t="s">
        <v>385</v>
      </c>
      <c r="C484" s="1457"/>
      <c r="D484" s="1457"/>
      <c r="E484" s="1490"/>
      <c r="F484" s="1490"/>
      <c r="G484" s="1490"/>
      <c r="H484" s="1490"/>
      <c r="I484" s="1490"/>
      <c r="J484" s="1490"/>
      <c r="K484" s="1490"/>
      <c r="L484" s="1490"/>
      <c r="M484" s="1490"/>
      <c r="N484" s="1490"/>
      <c r="O484" s="1490"/>
      <c r="P484" s="1490"/>
      <c r="Q484" s="1491"/>
      <c r="R484" s="1491"/>
      <c r="S484" s="1491"/>
      <c r="T484" s="1491"/>
      <c r="U484" s="1491"/>
      <c r="V484" s="1492"/>
      <c r="W484" s="1492"/>
      <c r="X484" s="1492"/>
      <c r="Y484" s="1492"/>
      <c r="Z484" s="1492"/>
      <c r="AA484" s="1492"/>
      <c r="AB484" s="1492"/>
      <c r="AC484" s="1492"/>
      <c r="AD484" s="1492"/>
      <c r="AE484" s="1492"/>
      <c r="AF484" s="1492"/>
      <c r="AG484" s="1492"/>
      <c r="AH484" s="1492"/>
      <c r="AI484" s="1492"/>
      <c r="AJ484" s="1492"/>
      <c r="AK484" s="1492"/>
      <c r="AL484" s="1492"/>
      <c r="AM484" s="1492"/>
      <c r="AN484" s="1424"/>
      <c r="AO484" s="1497"/>
      <c r="AP484" s="1498">
        <f>+AQ484</f>
        <v>0</v>
      </c>
      <c r="AQ484" s="1424"/>
      <c r="AR484" s="1497"/>
      <c r="AS484" s="1498">
        <f>+AT484</f>
        <v>0</v>
      </c>
      <c r="AT484" s="1424"/>
      <c r="AU484" s="1497"/>
      <c r="AV484" s="1498">
        <f>+AW484</f>
        <v>0</v>
      </c>
      <c r="AW484" s="1424"/>
      <c r="AX484" s="1497"/>
      <c r="AY484" s="1498">
        <f>+AZ484</f>
        <v>0</v>
      </c>
      <c r="AZ484" s="1424"/>
      <c r="BA484" s="1497"/>
      <c r="BB484" s="1498">
        <f>+BC484</f>
        <v>0</v>
      </c>
      <c r="BC484" s="1424"/>
      <c r="BD484" s="1497"/>
      <c r="BE484" s="1498">
        <f>+BF484</f>
        <v>0</v>
      </c>
      <c r="BF484" s="1424"/>
      <c r="BG484" s="1497"/>
      <c r="BH484" s="1498">
        <f>+BI484</f>
        <v>0</v>
      </c>
      <c r="BI484" s="1424"/>
      <c r="BJ484" s="1497"/>
      <c r="BK484" s="1498">
        <f>+BL484</f>
        <v>0</v>
      </c>
      <c r="BL484" s="1424"/>
      <c r="BM484" s="1497"/>
      <c r="BN484" s="1498">
        <f>+BO484</f>
        <v>0</v>
      </c>
      <c r="BO484" s="1427"/>
      <c r="BP484" s="1497"/>
      <c r="BQ484" s="1498">
        <f>+BR484</f>
        <v>0</v>
      </c>
      <c r="BR484" s="1427"/>
      <c r="BS484" s="1497"/>
      <c r="BT484" s="1498">
        <f>+BU484</f>
        <v>0</v>
      </c>
      <c r="BU484" s="1427"/>
      <c r="BV484" s="1497"/>
      <c r="BW484" s="1498">
        <f>+BX484</f>
        <v>0</v>
      </c>
      <c r="BX484" s="1427"/>
      <c r="BY484" s="1497"/>
      <c r="BZ484" s="1498">
        <f>+CA484</f>
        <v>0</v>
      </c>
      <c r="CA484" s="1427"/>
      <c r="CB484" s="1425"/>
      <c r="CC484" s="1499">
        <f>+CD484</f>
        <v>0</v>
      </c>
      <c r="CD484" s="1324"/>
      <c r="CE484" s="1325"/>
      <c r="CF484" s="1500">
        <f>+CG484</f>
        <v>0</v>
      </c>
      <c r="CG484" s="1324"/>
      <c r="CH484" s="1325"/>
      <c r="CI484" s="1500">
        <f>+CJ484</f>
        <v>0</v>
      </c>
      <c r="CJ484" s="1324"/>
      <c r="CK484" s="1325"/>
      <c r="CL484" s="1500">
        <f>+CM484</f>
        <v>0</v>
      </c>
      <c r="CM484" s="1324"/>
      <c r="CN484" s="1325"/>
      <c r="CO484" s="1500">
        <f>+CP484</f>
        <v>0</v>
      </c>
      <c r="CP484" s="1324"/>
      <c r="CQ484" s="1325"/>
      <c r="CR484" s="1500">
        <f>+CS484</f>
        <v>0</v>
      </c>
      <c r="CS484" s="1324"/>
      <c r="CT484" s="1325"/>
      <c r="CU484" s="1500">
        <f>+CV484</f>
        <v>0</v>
      </c>
      <c r="CV484" s="1324"/>
      <c r="CW484" s="1325"/>
      <c r="CX484" s="1500">
        <f>+CY484</f>
        <v>0</v>
      </c>
      <c r="CY484" s="1324"/>
      <c r="CZ484" s="1325"/>
      <c r="DA484" s="1500">
        <f>+DB484</f>
        <v>0</v>
      </c>
      <c r="DB484" s="1324"/>
      <c r="DC484" s="1325"/>
      <c r="DD484" s="1500">
        <f>+DE484</f>
        <v>0</v>
      </c>
      <c r="DE484" s="1501"/>
      <c r="DF484" s="1325"/>
      <c r="DG484" s="1500">
        <f>+DH484</f>
        <v>0</v>
      </c>
      <c r="DH484" s="1501"/>
      <c r="DI484" s="1325"/>
      <c r="DJ484" s="1500">
        <f>+DK484</f>
        <v>0</v>
      </c>
      <c r="DK484" s="1501"/>
      <c r="DL484" s="1325"/>
      <c r="DM484" s="1500">
        <f>+DN484</f>
        <v>0</v>
      </c>
      <c r="DN484" s="1501"/>
      <c r="DO484" s="1325"/>
      <c r="DP484" s="1500">
        <f>+DQ484</f>
        <v>0</v>
      </c>
      <c r="DQ484" s="1501"/>
      <c r="DR484" s="1325"/>
      <c r="DS484" s="1500">
        <f>+DT484</f>
        <v>0</v>
      </c>
      <c r="DT484" s="1501"/>
      <c r="DU484" s="1325"/>
      <c r="DV484" s="1500">
        <f>+DW484</f>
        <v>0</v>
      </c>
      <c r="DW484" s="1501"/>
      <c r="DX484" s="1325"/>
      <c r="DY484" s="1500">
        <f>+DZ484</f>
        <v>0</v>
      </c>
      <c r="DZ484" s="1501"/>
      <c r="EA484" s="1325"/>
      <c r="EB484" s="1500">
        <f>+EC484</f>
        <v>0</v>
      </c>
      <c r="EC484" s="1501"/>
      <c r="ED484" s="1325"/>
      <c r="EE484" s="1500">
        <f>+EF484</f>
        <v>0</v>
      </c>
      <c r="EF484" s="1501"/>
      <c r="EG484" s="1325"/>
      <c r="EH484" s="1500">
        <f>+EI484</f>
        <v>0</v>
      </c>
      <c r="EI484" s="1501"/>
      <c r="EJ484" s="1325"/>
      <c r="EK484" s="1500">
        <f>+EL484</f>
        <v>0</v>
      </c>
      <c r="EL484" s="1501"/>
      <c r="EM484" s="1325"/>
      <c r="EN484" s="1500">
        <f>+EO484</f>
        <v>0</v>
      </c>
      <c r="EO484" s="1501"/>
      <c r="EP484" s="1325"/>
      <c r="EQ484" s="1500">
        <f>+ER484</f>
        <v>0</v>
      </c>
      <c r="ER484" s="1501"/>
      <c r="ES484" s="1325"/>
      <c r="ET484" s="1500">
        <f>+EU484</f>
        <v>0</v>
      </c>
      <c r="EU484" s="1501"/>
      <c r="EV484" s="1325"/>
      <c r="EW484" s="1500">
        <f>+EX484</f>
        <v>0</v>
      </c>
      <c r="EX484" s="1501"/>
      <c r="EY484" s="1325"/>
      <c r="EZ484" s="1500">
        <f>+FA484</f>
        <v>0</v>
      </c>
      <c r="FA484" s="1501"/>
      <c r="FD484"/>
      <c r="FE484"/>
      <c r="FF484"/>
      <c r="FG484"/>
      <c r="FH484"/>
      <c r="FI484"/>
    </row>
    <row r="485" spans="1:165" s="35" customFormat="1">
      <c r="A485" s="1457"/>
      <c r="B485" s="1457" t="s">
        <v>732</v>
      </c>
      <c r="C485" s="1457"/>
      <c r="D485" s="1457"/>
      <c r="E485" s="1490"/>
      <c r="F485" s="1490"/>
      <c r="G485" s="1490"/>
      <c r="H485" s="1490"/>
      <c r="I485" s="1490"/>
      <c r="J485" s="1490"/>
      <c r="K485" s="1490"/>
      <c r="L485" s="1490"/>
      <c r="M485" s="1490"/>
      <c r="N485" s="1490"/>
      <c r="O485" s="1490"/>
      <c r="P485" s="1490"/>
      <c r="Q485" s="1491"/>
      <c r="R485" s="1491"/>
      <c r="S485" s="1491"/>
      <c r="T485" s="1491"/>
      <c r="U485" s="1491"/>
      <c r="V485" s="1492"/>
      <c r="W485" s="1492"/>
      <c r="X485" s="1492"/>
      <c r="Y485" s="1492"/>
      <c r="Z485" s="1492"/>
      <c r="AA485" s="1492"/>
      <c r="AB485" s="1492"/>
      <c r="AC485" s="1492"/>
      <c r="AD485" s="1492"/>
      <c r="AE485" s="1492"/>
      <c r="AF485" s="1492"/>
      <c r="AG485" s="1492"/>
      <c r="AH485" s="1492"/>
      <c r="AI485" s="1492"/>
      <c r="AJ485" s="1492"/>
      <c r="AK485" s="1492"/>
      <c r="AL485" s="1492"/>
      <c r="AM485" s="1492"/>
      <c r="AN485" s="1433"/>
      <c r="AO485" s="1512"/>
      <c r="AP485" s="1498">
        <f>+AQ485</f>
        <v>0</v>
      </c>
      <c r="AQ485" s="1433"/>
      <c r="AR485" s="1512"/>
      <c r="AS485" s="1498">
        <f>+AT485</f>
        <v>0</v>
      </c>
      <c r="AT485" s="1433"/>
      <c r="AU485" s="1512"/>
      <c r="AV485" s="1498">
        <f>+AW485</f>
        <v>0</v>
      </c>
      <c r="AW485" s="1433"/>
      <c r="AX485" s="1512"/>
      <c r="AY485" s="1498">
        <f>+AZ485</f>
        <v>0</v>
      </c>
      <c r="AZ485" s="1433"/>
      <c r="BA485" s="1512"/>
      <c r="BB485" s="1498">
        <f>+BC485</f>
        <v>0</v>
      </c>
      <c r="BC485" s="1433"/>
      <c r="BD485" s="1512"/>
      <c r="BE485" s="1498">
        <f>+BF485</f>
        <v>0</v>
      </c>
      <c r="BF485" s="1433"/>
      <c r="BG485" s="1512"/>
      <c r="BH485" s="1498">
        <f>+BI485</f>
        <v>0</v>
      </c>
      <c r="BI485" s="1433"/>
      <c r="BJ485" s="1512"/>
      <c r="BK485" s="1498">
        <f>+BL485</f>
        <v>0</v>
      </c>
      <c r="BL485" s="1433"/>
      <c r="BM485" s="1512"/>
      <c r="BN485" s="1498">
        <f>+BO485</f>
        <v>0</v>
      </c>
      <c r="BO485" s="1436"/>
      <c r="BP485" s="1512"/>
      <c r="BQ485" s="1498">
        <f>+BR485</f>
        <v>0</v>
      </c>
      <c r="BR485" s="1436"/>
      <c r="BS485" s="1512"/>
      <c r="BT485" s="1498">
        <f>+BU485</f>
        <v>0</v>
      </c>
      <c r="BU485" s="1436"/>
      <c r="BV485" s="1512"/>
      <c r="BW485" s="1498">
        <f>+BX485</f>
        <v>0</v>
      </c>
      <c r="BX485" s="1436"/>
      <c r="BY485" s="1512"/>
      <c r="BZ485" s="1498">
        <f>+CA485</f>
        <v>0</v>
      </c>
      <c r="CA485" s="1436"/>
      <c r="CB485" s="1434"/>
      <c r="CC485" s="1499">
        <f>+CD485</f>
        <v>0</v>
      </c>
      <c r="CD485" s="1513"/>
      <c r="CE485" s="1514"/>
      <c r="CF485" s="1500">
        <f>+CG485</f>
        <v>0</v>
      </c>
      <c r="CG485" s="1513"/>
      <c r="CH485" s="1514"/>
      <c r="CI485" s="1500">
        <f>+CJ485</f>
        <v>0</v>
      </c>
      <c r="CJ485" s="1513"/>
      <c r="CK485" s="1514"/>
      <c r="CL485" s="1500">
        <f>+CM485</f>
        <v>0</v>
      </c>
      <c r="CM485" s="1513"/>
      <c r="CN485" s="1514"/>
      <c r="CO485" s="1500">
        <f>+CP485</f>
        <v>0</v>
      </c>
      <c r="CP485" s="1513"/>
      <c r="CQ485" s="1514"/>
      <c r="CR485" s="1500">
        <f>+CS485</f>
        <v>0</v>
      </c>
      <c r="CS485" s="1513"/>
      <c r="CT485" s="1514"/>
      <c r="CU485" s="1500">
        <f>+CV485</f>
        <v>0</v>
      </c>
      <c r="CV485" s="1513"/>
      <c r="CW485" s="1514"/>
      <c r="CX485" s="1500">
        <f>+CY485</f>
        <v>0</v>
      </c>
      <c r="CY485" s="1513"/>
      <c r="CZ485" s="1514"/>
      <c r="DA485" s="1500">
        <f>+DB485</f>
        <v>0</v>
      </c>
      <c r="DB485" s="1513"/>
      <c r="DC485" s="1514"/>
      <c r="DD485" s="1500">
        <f>+DE485</f>
        <v>0</v>
      </c>
      <c r="DE485" s="1515"/>
      <c r="DF485" s="1514"/>
      <c r="DG485" s="1500">
        <f>+DH485</f>
        <v>0</v>
      </c>
      <c r="DH485" s="1515"/>
      <c r="DI485" s="1514"/>
      <c r="DJ485" s="1500">
        <f>+DK485</f>
        <v>0</v>
      </c>
      <c r="DK485" s="1515"/>
      <c r="DL485" s="1514"/>
      <c r="DM485" s="1500">
        <f>+DN485</f>
        <v>0</v>
      </c>
      <c r="DN485" s="1515"/>
      <c r="DO485" s="1514"/>
      <c r="DP485" s="1500">
        <f>+DQ485</f>
        <v>0</v>
      </c>
      <c r="DQ485" s="1515"/>
      <c r="DR485" s="1514"/>
      <c r="DS485" s="1500">
        <f>+DT485</f>
        <v>0</v>
      </c>
      <c r="DT485" s="1515"/>
      <c r="DU485" s="1514"/>
      <c r="DV485" s="1500">
        <f>+DW485</f>
        <v>0</v>
      </c>
      <c r="DW485" s="1515"/>
      <c r="DX485" s="1514"/>
      <c r="DY485" s="1500">
        <f>+DZ485</f>
        <v>0</v>
      </c>
      <c r="DZ485" s="1515"/>
      <c r="EA485" s="1514"/>
      <c r="EB485" s="1500">
        <f>+EC485</f>
        <v>0</v>
      </c>
      <c r="EC485" s="1515"/>
      <c r="ED485" s="1514"/>
      <c r="EE485" s="1500">
        <f>+EF485</f>
        <v>0</v>
      </c>
      <c r="EF485" s="1515"/>
      <c r="EG485" s="1514"/>
      <c r="EH485" s="1500">
        <f>+EI485</f>
        <v>0</v>
      </c>
      <c r="EI485" s="1515"/>
      <c r="EJ485" s="1514"/>
      <c r="EK485" s="1500">
        <f>+EL485</f>
        <v>0</v>
      </c>
      <c r="EL485" s="1515"/>
      <c r="EM485" s="1514"/>
      <c r="EN485" s="1500">
        <f>+EO485</f>
        <v>0</v>
      </c>
      <c r="EO485" s="1515"/>
      <c r="EP485" s="1514"/>
      <c r="EQ485" s="1500">
        <f>+ER485</f>
        <v>0</v>
      </c>
      <c r="ER485" s="1515"/>
      <c r="ES485" s="1514"/>
      <c r="ET485" s="1500">
        <f>+EU485</f>
        <v>0</v>
      </c>
      <c r="EU485" s="1515"/>
      <c r="EV485" s="1514"/>
      <c r="EW485" s="1500">
        <f>+EX485</f>
        <v>0</v>
      </c>
      <c r="EX485" s="1515"/>
      <c r="EY485" s="1514"/>
      <c r="EZ485" s="1500">
        <f>+FA485</f>
        <v>0</v>
      </c>
      <c r="FA485" s="1515"/>
      <c r="FD485"/>
      <c r="FE485"/>
      <c r="FF485"/>
      <c r="FG485"/>
      <c r="FH485"/>
      <c r="FI485"/>
    </row>
    <row r="486" spans="1:165" s="35" customFormat="1">
      <c r="A486" s="1457"/>
      <c r="B486" s="1457" t="s">
        <v>733</v>
      </c>
      <c r="C486" s="1457"/>
      <c r="D486" s="1457"/>
      <c r="E486" s="1490"/>
      <c r="F486" s="1490"/>
      <c r="G486" s="1490"/>
      <c r="H486" s="1490"/>
      <c r="I486" s="1490"/>
      <c r="J486" s="1490"/>
      <c r="K486" s="1490"/>
      <c r="L486" s="1490"/>
      <c r="M486" s="1490"/>
      <c r="N486" s="1490"/>
      <c r="O486" s="1490"/>
      <c r="P486" s="1490"/>
      <c r="Q486" s="1491"/>
      <c r="R486" s="1491"/>
      <c r="S486" s="1491"/>
      <c r="T486" s="1491"/>
      <c r="U486" s="1491"/>
      <c r="V486" s="1492"/>
      <c r="W486" s="1492"/>
      <c r="X486" s="1492"/>
      <c r="Y486" s="1492"/>
      <c r="Z486" s="1492"/>
      <c r="AA486" s="1492"/>
      <c r="AB486" s="1492"/>
      <c r="AC486" s="1492"/>
      <c r="AD486" s="1492"/>
      <c r="AE486" s="1492"/>
      <c r="AF486" s="1492"/>
      <c r="AG486" s="1492"/>
      <c r="AH486" s="1492"/>
      <c r="AI486" s="1492"/>
      <c r="AJ486" s="1492"/>
      <c r="AK486" s="1492"/>
      <c r="AL486" s="1492"/>
      <c r="AM486" s="1492"/>
      <c r="AN486" s="1433"/>
      <c r="AO486" s="1512"/>
      <c r="AP486" s="1498">
        <f>+AQ486</f>
        <v>0</v>
      </c>
      <c r="AQ486" s="1433"/>
      <c r="AR486" s="1512"/>
      <c r="AS486" s="1498">
        <f>+AT486</f>
        <v>0</v>
      </c>
      <c r="AT486" s="1433"/>
      <c r="AU486" s="1512"/>
      <c r="AV486" s="1498">
        <f>+AW486</f>
        <v>0</v>
      </c>
      <c r="AW486" s="1433"/>
      <c r="AX486" s="1512"/>
      <c r="AY486" s="1498">
        <f>+AZ486</f>
        <v>0</v>
      </c>
      <c r="AZ486" s="1433"/>
      <c r="BA486" s="1512"/>
      <c r="BB486" s="1498">
        <f>+BC486</f>
        <v>0</v>
      </c>
      <c r="BC486" s="1433"/>
      <c r="BD486" s="1512"/>
      <c r="BE486" s="1498">
        <f>+BF486</f>
        <v>0</v>
      </c>
      <c r="BF486" s="1433"/>
      <c r="BG486" s="1512"/>
      <c r="BH486" s="1498">
        <f>+BI486</f>
        <v>0</v>
      </c>
      <c r="BI486" s="1433"/>
      <c r="BJ486" s="1512"/>
      <c r="BK486" s="1498">
        <f>+BL486</f>
        <v>0</v>
      </c>
      <c r="BL486" s="1433"/>
      <c r="BM486" s="1512"/>
      <c r="BN486" s="1498">
        <f>+BO486</f>
        <v>0</v>
      </c>
      <c r="BO486" s="1436"/>
      <c r="BP486" s="1512"/>
      <c r="BQ486" s="1498">
        <f>+BR486</f>
        <v>0</v>
      </c>
      <c r="BR486" s="1436"/>
      <c r="BS486" s="1512"/>
      <c r="BT486" s="1498">
        <f>+BU486</f>
        <v>0</v>
      </c>
      <c r="BU486" s="1436"/>
      <c r="BV486" s="1512"/>
      <c r="BW486" s="1498">
        <f>+BX486</f>
        <v>0</v>
      </c>
      <c r="BX486" s="1436"/>
      <c r="BY486" s="1512"/>
      <c r="BZ486" s="1498">
        <f>+CA486</f>
        <v>0</v>
      </c>
      <c r="CA486" s="1436"/>
      <c r="CB486" s="1434"/>
      <c r="CC486" s="1499">
        <f>+CD486</f>
        <v>0</v>
      </c>
      <c r="CD486" s="1513"/>
      <c r="CE486" s="1514"/>
      <c r="CF486" s="1500">
        <f>+CG486</f>
        <v>0</v>
      </c>
      <c r="CG486" s="1513"/>
      <c r="CH486" s="1514"/>
      <c r="CI486" s="1500">
        <f>+CJ486</f>
        <v>0</v>
      </c>
      <c r="CJ486" s="1513"/>
      <c r="CK486" s="1514"/>
      <c r="CL486" s="1500">
        <f>+CM486</f>
        <v>0</v>
      </c>
      <c r="CM486" s="1513"/>
      <c r="CN486" s="1514"/>
      <c r="CO486" s="1500">
        <f>+CP486</f>
        <v>0</v>
      </c>
      <c r="CP486" s="1513"/>
      <c r="CQ486" s="1514"/>
      <c r="CR486" s="1500">
        <f>+CS486</f>
        <v>0</v>
      </c>
      <c r="CS486" s="1513"/>
      <c r="CT486" s="1514"/>
      <c r="CU486" s="1500">
        <f>+CV486</f>
        <v>0</v>
      </c>
      <c r="CV486" s="1513"/>
      <c r="CW486" s="1514"/>
      <c r="CX486" s="1500">
        <f>+CY486</f>
        <v>0</v>
      </c>
      <c r="CY486" s="1513"/>
      <c r="CZ486" s="1514"/>
      <c r="DA486" s="1500">
        <f>+DB486</f>
        <v>0</v>
      </c>
      <c r="DB486" s="1513"/>
      <c r="DC486" s="1514"/>
      <c r="DD486" s="1500">
        <f>+DE486</f>
        <v>0</v>
      </c>
      <c r="DE486" s="1515"/>
      <c r="DF486" s="1514"/>
      <c r="DG486" s="1500">
        <f>+DH486</f>
        <v>0</v>
      </c>
      <c r="DH486" s="1515"/>
      <c r="DI486" s="1514"/>
      <c r="DJ486" s="1500">
        <f>+DK486</f>
        <v>0</v>
      </c>
      <c r="DK486" s="1515"/>
      <c r="DL486" s="1514"/>
      <c r="DM486" s="1500">
        <f>+DN486</f>
        <v>0</v>
      </c>
      <c r="DN486" s="1515"/>
      <c r="DO486" s="1514"/>
      <c r="DP486" s="1500">
        <f>+DQ486</f>
        <v>0</v>
      </c>
      <c r="DQ486" s="1515"/>
      <c r="DR486" s="1514"/>
      <c r="DS486" s="1500">
        <f>+DT486</f>
        <v>0</v>
      </c>
      <c r="DT486" s="1515"/>
      <c r="DU486" s="1514"/>
      <c r="DV486" s="1500">
        <f>+DW486</f>
        <v>0</v>
      </c>
      <c r="DW486" s="1515"/>
      <c r="DX486" s="1514"/>
      <c r="DY486" s="1500">
        <f>+DZ486</f>
        <v>0</v>
      </c>
      <c r="DZ486" s="1515"/>
      <c r="EA486" s="1514"/>
      <c r="EB486" s="1500">
        <f>+EC486</f>
        <v>0</v>
      </c>
      <c r="EC486" s="1515"/>
      <c r="ED486" s="1514"/>
      <c r="EE486" s="1500">
        <f>+EF486</f>
        <v>0</v>
      </c>
      <c r="EF486" s="1515"/>
      <c r="EG486" s="1514"/>
      <c r="EH486" s="1500">
        <f>+EI486</f>
        <v>0</v>
      </c>
      <c r="EI486" s="1515"/>
      <c r="EJ486" s="1514"/>
      <c r="EK486" s="1500">
        <f>+EL486</f>
        <v>0</v>
      </c>
      <c r="EL486" s="1515"/>
      <c r="EM486" s="1514"/>
      <c r="EN486" s="1500">
        <f>+EO486</f>
        <v>0</v>
      </c>
      <c r="EO486" s="1515"/>
      <c r="EP486" s="1514"/>
      <c r="EQ486" s="1500">
        <f>+ER486</f>
        <v>0</v>
      </c>
      <c r="ER486" s="1515"/>
      <c r="ES486" s="1514"/>
      <c r="ET486" s="1500">
        <f>+EU486</f>
        <v>0</v>
      </c>
      <c r="EU486" s="1515"/>
      <c r="EV486" s="1514"/>
      <c r="EW486" s="1500">
        <f>+EX486</f>
        <v>0</v>
      </c>
      <c r="EX486" s="1515"/>
      <c r="EY486" s="1514"/>
      <c r="EZ486" s="1500">
        <f>+FA486</f>
        <v>0</v>
      </c>
      <c r="FA486" s="1515"/>
      <c r="FD486"/>
      <c r="FE486"/>
      <c r="FF486"/>
      <c r="FG486"/>
      <c r="FH486"/>
      <c r="FI486"/>
    </row>
    <row r="487" spans="1:165" s="35" customFormat="1" ht="13.5" thickBot="1">
      <c r="A487" s="1457"/>
      <c r="B487" s="1457" t="s">
        <v>1</v>
      </c>
      <c r="C487" s="1457"/>
      <c r="D487" s="1457"/>
      <c r="E487" s="1490"/>
      <c r="F487" s="1490"/>
      <c r="G487" s="1490"/>
      <c r="H487" s="1490"/>
      <c r="I487" s="1490"/>
      <c r="J487" s="1490"/>
      <c r="K487" s="1490"/>
      <c r="L487" s="1490"/>
      <c r="M487" s="1490"/>
      <c r="N487" s="1490"/>
      <c r="O487" s="1490"/>
      <c r="P487" s="1490"/>
      <c r="Q487" s="1491"/>
      <c r="R487" s="1491"/>
      <c r="S487" s="1491"/>
      <c r="T487" s="1491"/>
      <c r="U487" s="1491"/>
      <c r="V487" s="1492"/>
      <c r="W487" s="1492"/>
      <c r="X487" s="1492"/>
      <c r="Y487" s="1492"/>
      <c r="Z487" s="1492"/>
      <c r="AA487" s="1492"/>
      <c r="AB487" s="1492"/>
      <c r="AC487" s="1492"/>
      <c r="AD487" s="1492"/>
      <c r="AE487" s="1492"/>
      <c r="AF487" s="1492"/>
      <c r="AG487" s="1492"/>
      <c r="AH487" s="1492"/>
      <c r="AI487" s="1492"/>
      <c r="AJ487" s="1492"/>
      <c r="AK487" s="1492"/>
      <c r="AL487" s="1492"/>
      <c r="AM487" s="1492"/>
      <c r="AN487" s="1502"/>
      <c r="AO487" s="1503"/>
      <c r="AP487" s="1498">
        <f>+AQ487</f>
        <v>0</v>
      </c>
      <c r="AQ487" s="1502"/>
      <c r="AR487" s="1503"/>
      <c r="AS487" s="1498">
        <f>+AT487</f>
        <v>0</v>
      </c>
      <c r="AT487" s="1502"/>
      <c r="AU487" s="1503"/>
      <c r="AV487" s="1498">
        <f>+AW487</f>
        <v>0</v>
      </c>
      <c r="AW487" s="1502"/>
      <c r="AX487" s="1503"/>
      <c r="AY487" s="1498">
        <f>+AZ487</f>
        <v>0</v>
      </c>
      <c r="AZ487" s="1502"/>
      <c r="BA487" s="1503"/>
      <c r="BB487" s="1498">
        <f>+BC487</f>
        <v>0</v>
      </c>
      <c r="BC487" s="1502"/>
      <c r="BD487" s="1503"/>
      <c r="BE487" s="1498">
        <f>+BF487</f>
        <v>0</v>
      </c>
      <c r="BF487" s="1502"/>
      <c r="BG487" s="1503"/>
      <c r="BH487" s="1498">
        <f>+BI487</f>
        <v>0</v>
      </c>
      <c r="BI487" s="1502"/>
      <c r="BJ487" s="1503"/>
      <c r="BK487" s="1498">
        <f>+BL487</f>
        <v>0</v>
      </c>
      <c r="BL487" s="1502"/>
      <c r="BM487" s="1503"/>
      <c r="BN487" s="1498">
        <f>+BO487</f>
        <v>0</v>
      </c>
      <c r="BO487" s="1504"/>
      <c r="BP487" s="1503"/>
      <c r="BQ487" s="1498">
        <f>+BR487</f>
        <v>0</v>
      </c>
      <c r="BR487" s="1504"/>
      <c r="BS487" s="1503"/>
      <c r="BT487" s="1498">
        <f>+BU487</f>
        <v>0</v>
      </c>
      <c r="BU487" s="1504"/>
      <c r="BV487" s="1503"/>
      <c r="BW487" s="1498">
        <f>+BX487</f>
        <v>0</v>
      </c>
      <c r="BX487" s="1504"/>
      <c r="BY487" s="1503"/>
      <c r="BZ487" s="1498">
        <f>+CA487</f>
        <v>0</v>
      </c>
      <c r="CA487" s="1504"/>
      <c r="CB487" s="1505"/>
      <c r="CC487" s="1499">
        <f>+CD487</f>
        <v>0</v>
      </c>
      <c r="CD487" s="1278"/>
      <c r="CE487" s="1279"/>
      <c r="CF487" s="1500">
        <f>+CG487</f>
        <v>0</v>
      </c>
      <c r="CG487" s="1278"/>
      <c r="CH487" s="1279"/>
      <c r="CI487" s="1500">
        <f>+CJ487</f>
        <v>0</v>
      </c>
      <c r="CJ487" s="1278"/>
      <c r="CK487" s="1279"/>
      <c r="CL487" s="1500">
        <f>+CM487</f>
        <v>0</v>
      </c>
      <c r="CM487" s="1278"/>
      <c r="CN487" s="1279"/>
      <c r="CO487" s="1500">
        <f>+CP487</f>
        <v>0</v>
      </c>
      <c r="CP487" s="1278"/>
      <c r="CQ487" s="1279"/>
      <c r="CR487" s="1500">
        <f>+CS487</f>
        <v>0</v>
      </c>
      <c r="CS487" s="1278"/>
      <c r="CT487" s="1279"/>
      <c r="CU487" s="1500">
        <f>+CV487</f>
        <v>0</v>
      </c>
      <c r="CV487" s="1278"/>
      <c r="CW487" s="1279"/>
      <c r="CX487" s="1500">
        <f>+CY487</f>
        <v>0</v>
      </c>
      <c r="CY487" s="1278"/>
      <c r="CZ487" s="1279"/>
      <c r="DA487" s="1500">
        <f>+DB487</f>
        <v>0</v>
      </c>
      <c r="DB487" s="1278"/>
      <c r="DC487" s="1279"/>
      <c r="DD487" s="1500">
        <f>+DE487</f>
        <v>0</v>
      </c>
      <c r="DE487" s="1507"/>
      <c r="DF487" s="1279"/>
      <c r="DG487" s="1500">
        <f>+DH487</f>
        <v>0</v>
      </c>
      <c r="DH487" s="1507"/>
      <c r="DI487" s="1279"/>
      <c r="DJ487" s="1500">
        <f>+DK487</f>
        <v>0</v>
      </c>
      <c r="DK487" s="1507"/>
      <c r="DL487" s="1279"/>
      <c r="DM487" s="1500">
        <f>+DN487</f>
        <v>0</v>
      </c>
      <c r="DN487" s="1507"/>
      <c r="DO487" s="1279"/>
      <c r="DP487" s="1500">
        <f>+DQ487</f>
        <v>0</v>
      </c>
      <c r="DQ487" s="1507"/>
      <c r="DR487" s="1279"/>
      <c r="DS487" s="1500">
        <f>+DT487</f>
        <v>0</v>
      </c>
      <c r="DT487" s="1507"/>
      <c r="DU487" s="1279"/>
      <c r="DV487" s="1500">
        <f>+DW487</f>
        <v>0</v>
      </c>
      <c r="DW487" s="1507"/>
      <c r="DX487" s="1279"/>
      <c r="DY487" s="1500">
        <f>+DZ487</f>
        <v>0</v>
      </c>
      <c r="DZ487" s="1507"/>
      <c r="EA487" s="1279"/>
      <c r="EB487" s="1500">
        <f>+EC487</f>
        <v>0</v>
      </c>
      <c r="EC487" s="1507"/>
      <c r="ED487" s="1279"/>
      <c r="EE487" s="1500">
        <f>+EF487</f>
        <v>0</v>
      </c>
      <c r="EF487" s="1507"/>
      <c r="EG487" s="1279"/>
      <c r="EH487" s="1500">
        <f>+EI487</f>
        <v>0</v>
      </c>
      <c r="EI487" s="1507"/>
      <c r="EJ487" s="1279"/>
      <c r="EK487" s="1500">
        <f>+EL487</f>
        <v>0</v>
      </c>
      <c r="EL487" s="1507"/>
      <c r="EM487" s="1279"/>
      <c r="EN487" s="1500">
        <f>+EO487</f>
        <v>0</v>
      </c>
      <c r="EO487" s="1507"/>
      <c r="EP487" s="1279"/>
      <c r="EQ487" s="1500">
        <f>+ER487</f>
        <v>0</v>
      </c>
      <c r="ER487" s="1507"/>
      <c r="ES487" s="1279"/>
      <c r="ET487" s="1500">
        <f>+EU487</f>
        <v>0</v>
      </c>
      <c r="EU487" s="1507"/>
      <c r="EV487" s="1279"/>
      <c r="EW487" s="1500">
        <f>+EX487</f>
        <v>0</v>
      </c>
      <c r="EX487" s="1507"/>
      <c r="EY487" s="1279"/>
      <c r="EZ487" s="1500">
        <f>+FA487</f>
        <v>0</v>
      </c>
      <c r="FA487" s="1507"/>
      <c r="FD487"/>
      <c r="FE487"/>
      <c r="FF487"/>
      <c r="FG487"/>
      <c r="FH487"/>
      <c r="FI487"/>
    </row>
    <row r="488" spans="1:165" s="35" customFormat="1">
      <c r="A488" s="1457"/>
      <c r="B488" s="1488" t="s">
        <v>734</v>
      </c>
      <c r="C488" s="1457"/>
      <c r="D488" s="1457"/>
      <c r="E488" s="1490"/>
      <c r="F488" s="1490"/>
      <c r="G488" s="1490"/>
      <c r="H488" s="1490"/>
      <c r="I488" s="1490"/>
      <c r="J488" s="1490"/>
      <c r="K488" s="1490"/>
      <c r="L488" s="1490"/>
      <c r="M488" s="1490"/>
      <c r="N488" s="1490"/>
      <c r="O488" s="1490"/>
      <c r="P488" s="1490"/>
      <c r="Q488" s="1491"/>
      <c r="R488" s="1491"/>
      <c r="S488" s="1491"/>
      <c r="T488" s="1491"/>
      <c r="U488" s="1491"/>
      <c r="V488" s="1492"/>
      <c r="W488" s="1492"/>
      <c r="X488" s="1492"/>
      <c r="Y488" s="1492"/>
      <c r="Z488" s="1492"/>
      <c r="AA488" s="1492"/>
      <c r="AB488" s="1492"/>
      <c r="AC488" s="1492"/>
      <c r="AD488" s="1492"/>
      <c r="AE488" s="1492"/>
      <c r="AF488" s="1492"/>
      <c r="AG488" s="1492"/>
      <c r="AH488" s="1492"/>
      <c r="AI488" s="1492"/>
      <c r="AJ488" s="1492"/>
      <c r="AK488" s="1492"/>
      <c r="AL488" s="1492"/>
      <c r="AM488" s="1492"/>
      <c r="AN488" s="1508">
        <f>+SUM(AN464:AN477)+SUM(AN479:AN487)</f>
        <v>0</v>
      </c>
      <c r="AO488" s="1508">
        <f>+SUM(AO464:AO477)+SUM(AO479:AO487)</f>
        <v>0</v>
      </c>
      <c r="AP488" s="1508">
        <f>+AQ488</f>
        <v>0</v>
      </c>
      <c r="AQ488" s="1508">
        <f>+SUM(AQ464:AQ477)+SUM(AQ479:AQ487)</f>
        <v>0</v>
      </c>
      <c r="AR488" s="1508">
        <f>+SUM(AR464:AR477)+SUM(AR479:AR487)</f>
        <v>0</v>
      </c>
      <c r="AS488" s="1508">
        <f>+AT488</f>
        <v>0</v>
      </c>
      <c r="AT488" s="1508">
        <f>+SUM(AT464:AT477)+SUM(AT479:AT487)</f>
        <v>0</v>
      </c>
      <c r="AU488" s="1508">
        <f>+SUM(AU464:AU477)+SUM(AU479:AU487)</f>
        <v>0</v>
      </c>
      <c r="AV488" s="1508">
        <f>+AW488</f>
        <v>0</v>
      </c>
      <c r="AW488" s="1508">
        <f>+SUM(AW464:AW477)+SUM(AW479:AW487)</f>
        <v>0</v>
      </c>
      <c r="AX488" s="1508">
        <f>+SUM(AX464:AX477)+SUM(AX479:AX487)</f>
        <v>0</v>
      </c>
      <c r="AY488" s="1508">
        <f>+AZ488</f>
        <v>0</v>
      </c>
      <c r="AZ488" s="1508">
        <f>+SUM(AZ464:AZ477)+SUM(AZ479:AZ487)</f>
        <v>0</v>
      </c>
      <c r="BA488" s="1508">
        <f>+SUM(BA464:BA477)+SUM(BA479:BA487)</f>
        <v>0</v>
      </c>
      <c r="BB488" s="1508">
        <f>+BC488</f>
        <v>0</v>
      </c>
      <c r="BC488" s="1508">
        <f>+SUM(BC464:BC477)+SUM(BC479:BC487)</f>
        <v>0</v>
      </c>
      <c r="BD488" s="1508">
        <f>+SUM(BD464:BD477)+SUM(BD479:BD487)</f>
        <v>0</v>
      </c>
      <c r="BE488" s="1508">
        <f>+BF488</f>
        <v>0</v>
      </c>
      <c r="BF488" s="1508">
        <f>+SUM(BF464:BF477)+SUM(BF479:BF487)</f>
        <v>0</v>
      </c>
      <c r="BG488" s="1508">
        <f>+SUM(BG464:BG477)+SUM(BG479:BG487)</f>
        <v>0</v>
      </c>
      <c r="BH488" s="1508">
        <f>+BI488</f>
        <v>0</v>
      </c>
      <c r="BI488" s="1508">
        <f>+SUM(BI464:BI477)+SUM(BI479:BI487)</f>
        <v>0</v>
      </c>
      <c r="BJ488" s="1508">
        <f>+SUM(BJ464:BJ477)+SUM(BJ479:BJ487)</f>
        <v>0</v>
      </c>
      <c r="BK488" s="1508">
        <f>+BL488</f>
        <v>0</v>
      </c>
      <c r="BL488" s="1508">
        <f>+SUM(BL464:BL477)+SUM(BL479:BL487)</f>
        <v>0</v>
      </c>
      <c r="BM488" s="1508">
        <f>+SUM(BM464:BM477)+SUM(BM479:BM487)</f>
        <v>0</v>
      </c>
      <c r="BN488" s="1508">
        <f>+BO488</f>
        <v>0</v>
      </c>
      <c r="BO488" s="1508">
        <f>+SUM(BO464:BO477)+SUM(BO479:BO487)</f>
        <v>0</v>
      </c>
      <c r="BP488" s="1508">
        <f>+SUM(BP464:BP477)+SUM(BP479:BP487)</f>
        <v>0</v>
      </c>
      <c r="BQ488" s="1508">
        <f>+BR488</f>
        <v>0</v>
      </c>
      <c r="BR488" s="1508">
        <f>+SUM(BR464:BR477)+SUM(BR479:BR487)</f>
        <v>0</v>
      </c>
      <c r="BS488" s="1508">
        <f>+SUM(BS464:BS477)+SUM(BS479:BS487)</f>
        <v>0</v>
      </c>
      <c r="BT488" s="1508">
        <f>+BU488</f>
        <v>0</v>
      </c>
      <c r="BU488" s="1508">
        <f>+SUM(BU464:BU477)+SUM(BU479:BU487)</f>
        <v>0</v>
      </c>
      <c r="BV488" s="1508">
        <f>+SUM(BV464:BV477)+SUM(BV479:BV487)</f>
        <v>0</v>
      </c>
      <c r="BW488" s="1508">
        <f>+BX488</f>
        <v>0</v>
      </c>
      <c r="BX488" s="1508">
        <f>+SUM(BX464:BX477)+SUM(BX479:BX487)</f>
        <v>0</v>
      </c>
      <c r="BY488" s="1508">
        <f>+SUM(BY464:BY477)+SUM(BY479:BY487)</f>
        <v>0</v>
      </c>
      <c r="BZ488" s="1508">
        <f>+CA488</f>
        <v>0</v>
      </c>
      <c r="CA488" s="1508">
        <f>+SUM(CA464:CA477)+SUM(CA479:CA487)</f>
        <v>0</v>
      </c>
      <c r="CB488" s="1509">
        <f>+SUM(CB464:CB477)+SUM(CB479:CB487)</f>
        <v>0</v>
      </c>
      <c r="CC488" s="1509">
        <f>+CD488</f>
        <v>0</v>
      </c>
      <c r="CD488" s="1510">
        <f>+SUM(CD464:CD477)+SUM(CD479:CD487)</f>
        <v>0</v>
      </c>
      <c r="CE488" s="1510">
        <f>+SUM(CE464:CE477)+SUM(CE479:CE487)</f>
        <v>0</v>
      </c>
      <c r="CF488" s="1510">
        <f>+CG488</f>
        <v>0</v>
      </c>
      <c r="CG488" s="1510">
        <f>+SUM(CG464:CG477)+SUM(CG479:CG487)</f>
        <v>0</v>
      </c>
      <c r="CH488" s="1510">
        <f>+SUM(CH464:CH477)+SUM(CH479:CH487)</f>
        <v>0</v>
      </c>
      <c r="CI488" s="1510">
        <f>+CJ488</f>
        <v>0</v>
      </c>
      <c r="CJ488" s="1510">
        <f>+SUM(CJ464:CJ477)+SUM(CJ479:CJ487)</f>
        <v>0</v>
      </c>
      <c r="CK488" s="1510">
        <f>+SUM(CK464:CK477)+SUM(CK479:CK487)</f>
        <v>0</v>
      </c>
      <c r="CL488" s="1510">
        <f>+CM488</f>
        <v>0</v>
      </c>
      <c r="CM488" s="1510">
        <f>+SUM(CM464:CM477)+SUM(CM479:CM487)</f>
        <v>0</v>
      </c>
      <c r="CN488" s="1510">
        <f>+SUM(CN464:CN477)+SUM(CN479:CN487)</f>
        <v>0</v>
      </c>
      <c r="CO488" s="1510">
        <f>+CP488</f>
        <v>0</v>
      </c>
      <c r="CP488" s="1510">
        <f>+SUM(CP464:CP477)+SUM(CP479:CP487)</f>
        <v>0</v>
      </c>
      <c r="CQ488" s="1510">
        <f>+SUM(CQ464:CQ477)+SUM(CQ479:CQ487)</f>
        <v>0</v>
      </c>
      <c r="CR488" s="1510">
        <f>+CS488</f>
        <v>0</v>
      </c>
      <c r="CS488" s="1510">
        <f>+SUM(CS464:CS477)+SUM(CS479:CS487)</f>
        <v>0</v>
      </c>
      <c r="CT488" s="1510">
        <f>+SUM(CT464:CT477)+SUM(CT479:CT487)</f>
        <v>0</v>
      </c>
      <c r="CU488" s="1510">
        <f>+CV488</f>
        <v>0</v>
      </c>
      <c r="CV488" s="1510">
        <f>+SUM(CV464:CV477)+SUM(CV479:CV487)</f>
        <v>0</v>
      </c>
      <c r="CW488" s="1510">
        <f>+SUM(CW464:CW477)+SUM(CW479:CW487)</f>
        <v>0</v>
      </c>
      <c r="CX488" s="1510">
        <f>+CY488</f>
        <v>0</v>
      </c>
      <c r="CY488" s="1510">
        <f>+SUM(CY464:CY477)+SUM(CY479:CY487)</f>
        <v>0</v>
      </c>
      <c r="CZ488" s="1510">
        <f>+SUM(CZ464:CZ477)+SUM(CZ479:CZ487)</f>
        <v>0</v>
      </c>
      <c r="DA488" s="1510">
        <f>+DB488</f>
        <v>0</v>
      </c>
      <c r="DB488" s="1510">
        <f>+SUM(DB464:DB477)+SUM(DB479:DB487)</f>
        <v>0</v>
      </c>
      <c r="DC488" s="1510">
        <f>+SUM(DC464:DC477)+SUM(DC479:DC487)</f>
        <v>0</v>
      </c>
      <c r="DD488" s="1510">
        <f>+DE488</f>
        <v>0</v>
      </c>
      <c r="DE488" s="1511">
        <f>+SUM(DE464:DE477)+SUM(DE479:DE487)</f>
        <v>0</v>
      </c>
      <c r="DF488" s="1510">
        <f>+SUM(DF464:DF477)+SUM(DF479:DF487)</f>
        <v>0</v>
      </c>
      <c r="DG488" s="1510">
        <f>+DH488</f>
        <v>0</v>
      </c>
      <c r="DH488" s="1511">
        <f>+SUM(DH464:DH477)+SUM(DH479:DH487)</f>
        <v>0</v>
      </c>
      <c r="DI488" s="1510">
        <f>+SUM(DI464:DI477)+SUM(DI479:DI487)</f>
        <v>0</v>
      </c>
      <c r="DJ488" s="1510">
        <f>+DK488</f>
        <v>0</v>
      </c>
      <c r="DK488" s="1511">
        <f>+SUM(DK464:DK477)+SUM(DK479:DK487)</f>
        <v>0</v>
      </c>
      <c r="DL488" s="1510">
        <f>+SUM(DL464:DL477)+SUM(DL479:DL487)</f>
        <v>0</v>
      </c>
      <c r="DM488" s="1510">
        <f>+DN488</f>
        <v>0</v>
      </c>
      <c r="DN488" s="1511">
        <f>+SUM(DN464:DN477)+SUM(DN479:DN487)</f>
        <v>0</v>
      </c>
      <c r="DO488" s="1510">
        <f>+SUM(DO464:DO477)+SUM(DO479:DO487)</f>
        <v>0</v>
      </c>
      <c r="DP488" s="1510">
        <f>+DQ488</f>
        <v>0</v>
      </c>
      <c r="DQ488" s="1511">
        <f>+SUM(DQ464:DQ477)+SUM(DQ479:DQ487)</f>
        <v>0</v>
      </c>
      <c r="DR488" s="1510">
        <f>+SUM(DR464:DR477)+SUM(DR479:DR487)</f>
        <v>0</v>
      </c>
      <c r="DS488" s="1510">
        <f>+DT488</f>
        <v>0</v>
      </c>
      <c r="DT488" s="1511">
        <f>+SUM(DT464:DT477)+SUM(DT479:DT487)</f>
        <v>0</v>
      </c>
      <c r="DU488" s="1510">
        <f>+SUM(DU464:DU477)+SUM(DU479:DU487)</f>
        <v>0</v>
      </c>
      <c r="DV488" s="1510">
        <f>+DW488</f>
        <v>0</v>
      </c>
      <c r="DW488" s="1511">
        <f>+SUM(DW464:DW477)+SUM(DW479:DW487)</f>
        <v>0</v>
      </c>
      <c r="DX488" s="1510">
        <f>+SUM(DX464:DX477)+SUM(DX479:DX487)</f>
        <v>0</v>
      </c>
      <c r="DY488" s="1510">
        <f>+DZ488</f>
        <v>0</v>
      </c>
      <c r="DZ488" s="1511">
        <f>+SUM(DZ464:DZ477)+SUM(DZ479:DZ487)</f>
        <v>0</v>
      </c>
      <c r="EA488" s="1510">
        <f>+SUM(EA464:EA477)+SUM(EA479:EA487)</f>
        <v>0</v>
      </c>
      <c r="EB488" s="1510">
        <f>+EC488</f>
        <v>0</v>
      </c>
      <c r="EC488" s="1511">
        <f>+SUM(EC464:EC477)+SUM(EC479:EC487)</f>
        <v>0</v>
      </c>
      <c r="ED488" s="1510">
        <f>+SUM(ED464:ED477)+SUM(ED479:ED487)</f>
        <v>0</v>
      </c>
      <c r="EE488" s="1510">
        <f>+EF488</f>
        <v>0</v>
      </c>
      <c r="EF488" s="1511">
        <f>+SUM(EF464:EF477)+SUM(EF479:EF487)</f>
        <v>0</v>
      </c>
      <c r="EG488" s="1510">
        <f>+SUM(EG464:EG477)+SUM(EG479:EG487)</f>
        <v>0</v>
      </c>
      <c r="EH488" s="1510">
        <f>+EI488</f>
        <v>0</v>
      </c>
      <c r="EI488" s="1511">
        <f>+SUM(EI464:EI477)+SUM(EI479:EI487)</f>
        <v>0</v>
      </c>
      <c r="EJ488" s="1510">
        <f>+SUM(EJ464:EJ477)+SUM(EJ479:EJ487)</f>
        <v>0</v>
      </c>
      <c r="EK488" s="1510">
        <f>+EL488</f>
        <v>0</v>
      </c>
      <c r="EL488" s="1511">
        <f>+SUM(EL464:EL477)+SUM(EL479:EL487)</f>
        <v>0</v>
      </c>
      <c r="EM488" s="1510">
        <f>+SUM(EM464:EM477)+SUM(EM479:EM487)</f>
        <v>0</v>
      </c>
      <c r="EN488" s="1510">
        <f>+EO488</f>
        <v>0</v>
      </c>
      <c r="EO488" s="1511">
        <f>+SUM(EO464:EO477)+SUM(EO479:EO487)</f>
        <v>0</v>
      </c>
      <c r="EP488" s="1510">
        <f>+SUM(EP464:EP477)+SUM(EP479:EP487)</f>
        <v>0</v>
      </c>
      <c r="EQ488" s="1510">
        <f>+ER488</f>
        <v>0</v>
      </c>
      <c r="ER488" s="1511">
        <f>+SUM(ER464:ER477)+SUM(ER479:ER487)</f>
        <v>0</v>
      </c>
      <c r="ES488" s="1510">
        <f>+SUM(ES464:ES477)+SUM(ES479:ES487)</f>
        <v>0</v>
      </c>
      <c r="ET488" s="1510">
        <f>+EU488</f>
        <v>0</v>
      </c>
      <c r="EU488" s="1511">
        <f>+SUM(EU464:EU477)+SUM(EU479:EU487)</f>
        <v>0</v>
      </c>
      <c r="EV488" s="1510">
        <f>+SUM(EV464:EV477)+SUM(EV479:EV487)</f>
        <v>0</v>
      </c>
      <c r="EW488" s="1510">
        <f>+EX488</f>
        <v>0</v>
      </c>
      <c r="EX488" s="1511">
        <f>+SUM(EX464:EX477)+SUM(EX479:EX487)</f>
        <v>0</v>
      </c>
      <c r="EY488" s="1510">
        <f>+SUM(EY464:EY477)+SUM(EY479:EY487)</f>
        <v>0</v>
      </c>
      <c r="EZ488" s="1510">
        <f>+FA488</f>
        <v>0</v>
      </c>
      <c r="FA488" s="1511">
        <f>+SUM(FA464:FA477)+SUM(FA479:FA487)</f>
        <v>0</v>
      </c>
      <c r="FD488"/>
      <c r="FE488"/>
      <c r="FF488"/>
      <c r="FG488"/>
      <c r="FH488"/>
      <c r="FI488"/>
    </row>
    <row r="489" spans="1:165" s="35" customFormat="1">
      <c r="A489" s="1457"/>
      <c r="B489" s="1457"/>
      <c r="C489" s="1457"/>
      <c r="D489" s="1457"/>
      <c r="E489" s="1490"/>
      <c r="F489" s="1490"/>
      <c r="G489" s="1490"/>
      <c r="H489" s="1490"/>
      <c r="I489" s="1490"/>
      <c r="J489" s="1490"/>
      <c r="K489" s="1490"/>
      <c r="L489" s="1490"/>
      <c r="M489" s="1490"/>
      <c r="N489" s="1490"/>
      <c r="O489" s="1490"/>
      <c r="P489" s="1490"/>
      <c r="Q489" s="1491"/>
      <c r="R489" s="1491"/>
      <c r="S489" s="1491"/>
      <c r="T489" s="1491"/>
      <c r="U489" s="1491"/>
      <c r="V489" s="1492"/>
      <c r="W489" s="1492"/>
      <c r="X489" s="1492"/>
      <c r="Y489" s="1492"/>
      <c r="Z489" s="1492"/>
      <c r="AA489" s="1492"/>
      <c r="AB489" s="1492"/>
      <c r="AC489" s="1492"/>
      <c r="AD489" s="1492"/>
      <c r="AE489" s="1492"/>
      <c r="AF489" s="1492"/>
      <c r="AG489" s="1492"/>
      <c r="AH489" s="1492"/>
      <c r="AI489" s="1492"/>
      <c r="AJ489" s="1492"/>
      <c r="AK489" s="1492"/>
      <c r="AL489" s="1492"/>
      <c r="AM489" s="1492"/>
      <c r="AN489" s="1485"/>
      <c r="AO489" s="1485"/>
      <c r="AP489" s="1485"/>
      <c r="AQ489" s="1485"/>
      <c r="AR489" s="1485"/>
      <c r="AS489" s="1485"/>
      <c r="AT489" s="1485"/>
      <c r="AU489" s="1485"/>
      <c r="AV489" s="1485"/>
      <c r="AW489" s="1485"/>
      <c r="AX489" s="1485"/>
      <c r="AY489" s="1485"/>
      <c r="AZ489" s="1485"/>
      <c r="BA489" s="1485"/>
      <c r="BB489" s="1485"/>
      <c r="BC489" s="1485"/>
      <c r="BD489" s="1485"/>
      <c r="BE489" s="1485"/>
      <c r="BF489" s="1485"/>
      <c r="BG489" s="1485"/>
      <c r="BH489" s="1485"/>
      <c r="BI489" s="1485"/>
      <c r="BJ489" s="1485"/>
      <c r="BK489" s="1485"/>
      <c r="BL489" s="1485"/>
      <c r="BM489" s="1485"/>
      <c r="BN489" s="1485"/>
      <c r="BO489" s="1485"/>
      <c r="BP489" s="1485"/>
      <c r="BQ489" s="1485"/>
      <c r="BR489" s="1485"/>
      <c r="BS489" s="1485"/>
      <c r="BT489" s="1485"/>
      <c r="BU489" s="1485"/>
      <c r="BV489" s="1485"/>
      <c r="BW489" s="1485"/>
      <c r="BX489" s="1485"/>
      <c r="BY489" s="1485"/>
      <c r="BZ489" s="1485"/>
      <c r="CA489" s="1485"/>
      <c r="CB489" s="1423"/>
      <c r="CC489" s="1423"/>
      <c r="CD489" s="53"/>
      <c r="CE489" s="53"/>
      <c r="CF489" s="53"/>
      <c r="CG489" s="53"/>
      <c r="CH489" s="53"/>
      <c r="CI489" s="53"/>
      <c r="CJ489" s="53"/>
      <c r="CK489" s="53"/>
      <c r="CL489" s="53"/>
      <c r="CM489" s="53"/>
      <c r="CN489" s="53"/>
      <c r="CO489" s="53"/>
      <c r="CP489" s="53"/>
      <c r="CQ489" s="53"/>
      <c r="CR489" s="53"/>
      <c r="CS489" s="53"/>
      <c r="CT489" s="53"/>
      <c r="CU489" s="53"/>
      <c r="CV489" s="53"/>
      <c r="CW489" s="53"/>
      <c r="CX489" s="53"/>
      <c r="CY489" s="53"/>
      <c r="CZ489" s="53"/>
      <c r="DA489" s="53"/>
      <c r="DB489" s="53"/>
      <c r="DC489" s="53"/>
      <c r="DD489" s="53"/>
      <c r="DE489" s="1088"/>
      <c r="DF489" s="53"/>
      <c r="DG489" s="53"/>
      <c r="DH489" s="1088"/>
      <c r="DI489" s="53"/>
      <c r="DJ489" s="53"/>
      <c r="DK489" s="1088"/>
      <c r="DL489" s="53"/>
      <c r="DM489" s="53"/>
      <c r="DN489" s="1088"/>
      <c r="DO489" s="53"/>
      <c r="DP489" s="53"/>
      <c r="DQ489" s="1088"/>
      <c r="DR489" s="53"/>
      <c r="DS489" s="53"/>
      <c r="DT489" s="1088"/>
      <c r="DU489" s="53"/>
      <c r="DV489" s="53"/>
      <c r="DW489" s="1088"/>
      <c r="DX489" s="53"/>
      <c r="DY489" s="53"/>
      <c r="DZ489" s="1088"/>
      <c r="EA489" s="53"/>
      <c r="EB489" s="53"/>
      <c r="EC489" s="1088"/>
      <c r="ED489" s="53"/>
      <c r="EE489" s="53"/>
      <c r="EF489" s="1088"/>
      <c r="EG489" s="53"/>
      <c r="EH489" s="53"/>
      <c r="EI489" s="1088"/>
      <c r="EJ489" s="53"/>
      <c r="EK489" s="53"/>
      <c r="EL489" s="1088"/>
      <c r="EM489" s="53"/>
      <c r="EN489" s="53"/>
      <c r="EO489" s="1088"/>
      <c r="EP489" s="53"/>
      <c r="EQ489" s="53"/>
      <c r="ER489" s="1088"/>
      <c r="ES489" s="53"/>
      <c r="ET489" s="53"/>
      <c r="EU489" s="1088"/>
      <c r="EV489" s="53"/>
      <c r="EW489" s="53"/>
      <c r="EX489" s="1088"/>
      <c r="EY489" s="53"/>
      <c r="EZ489" s="53"/>
      <c r="FA489" s="1088"/>
      <c r="FD489"/>
      <c r="FE489"/>
      <c r="FF489"/>
      <c r="FG489"/>
      <c r="FH489"/>
      <c r="FI489"/>
    </row>
    <row r="490" spans="1:165" s="35" customFormat="1">
      <c r="A490" s="1457"/>
      <c r="B490" s="1488" t="s">
        <v>735</v>
      </c>
      <c r="C490" s="1457"/>
      <c r="D490" s="1457"/>
      <c r="E490" s="1490"/>
      <c r="F490" s="1490"/>
      <c r="G490" s="1490"/>
      <c r="H490" s="1490"/>
      <c r="I490" s="1490"/>
      <c r="J490" s="1490"/>
      <c r="K490" s="1490"/>
      <c r="L490" s="1490"/>
      <c r="M490" s="1490"/>
      <c r="N490" s="1490"/>
      <c r="O490" s="1490"/>
      <c r="P490" s="1490"/>
      <c r="Q490" s="1491"/>
      <c r="R490" s="1491"/>
      <c r="S490" s="1491"/>
      <c r="T490" s="1491"/>
      <c r="U490" s="1491"/>
      <c r="V490" s="1492"/>
      <c r="W490" s="1492"/>
      <c r="X490" s="1492"/>
      <c r="Y490" s="1492"/>
      <c r="Z490" s="1492"/>
      <c r="AA490" s="1492"/>
      <c r="AB490" s="1492"/>
      <c r="AC490" s="1492"/>
      <c r="AD490" s="1492"/>
      <c r="AE490" s="1492"/>
      <c r="AF490" s="1492"/>
      <c r="AG490" s="1492"/>
      <c r="AH490" s="1492"/>
      <c r="AI490" s="1492"/>
      <c r="AJ490" s="1492"/>
      <c r="AK490" s="1492"/>
      <c r="AL490" s="1492"/>
      <c r="AM490" s="1492"/>
      <c r="AN490" s="1508">
        <f t="shared" ref="AN490:BS490" si="1081">+AN460-AN488</f>
        <v>0</v>
      </c>
      <c r="AO490" s="1508">
        <f t="shared" si="1081"/>
        <v>0</v>
      </c>
      <c r="AP490" s="1508">
        <f t="shared" si="1081"/>
        <v>0</v>
      </c>
      <c r="AQ490" s="1508">
        <f t="shared" si="1081"/>
        <v>0</v>
      </c>
      <c r="AR490" s="1508">
        <f t="shared" si="1081"/>
        <v>0</v>
      </c>
      <c r="AS490" s="1508">
        <f t="shared" si="1081"/>
        <v>0</v>
      </c>
      <c r="AT490" s="1508">
        <f t="shared" si="1081"/>
        <v>0</v>
      </c>
      <c r="AU490" s="1508">
        <f t="shared" si="1081"/>
        <v>0</v>
      </c>
      <c r="AV490" s="1508">
        <f t="shared" si="1081"/>
        <v>0</v>
      </c>
      <c r="AW490" s="1508">
        <f t="shared" si="1081"/>
        <v>0</v>
      </c>
      <c r="AX490" s="1508">
        <f t="shared" si="1081"/>
        <v>0</v>
      </c>
      <c r="AY490" s="1508">
        <f t="shared" si="1081"/>
        <v>0</v>
      </c>
      <c r="AZ490" s="1508">
        <f t="shared" si="1081"/>
        <v>0</v>
      </c>
      <c r="BA490" s="1508">
        <f t="shared" si="1081"/>
        <v>0</v>
      </c>
      <c r="BB490" s="1508">
        <f t="shared" si="1081"/>
        <v>0</v>
      </c>
      <c r="BC490" s="1508">
        <f t="shared" si="1081"/>
        <v>0</v>
      </c>
      <c r="BD490" s="1508">
        <f t="shared" si="1081"/>
        <v>0</v>
      </c>
      <c r="BE490" s="1508">
        <f t="shared" si="1081"/>
        <v>0</v>
      </c>
      <c r="BF490" s="1508">
        <f t="shared" si="1081"/>
        <v>0</v>
      </c>
      <c r="BG490" s="1508">
        <f t="shared" si="1081"/>
        <v>0</v>
      </c>
      <c r="BH490" s="1508">
        <f t="shared" si="1081"/>
        <v>0</v>
      </c>
      <c r="BI490" s="1508">
        <f t="shared" si="1081"/>
        <v>0</v>
      </c>
      <c r="BJ490" s="1508">
        <f t="shared" si="1081"/>
        <v>0</v>
      </c>
      <c r="BK490" s="1508">
        <f t="shared" si="1081"/>
        <v>0</v>
      </c>
      <c r="BL490" s="1508">
        <f t="shared" si="1081"/>
        <v>0</v>
      </c>
      <c r="BM490" s="1508">
        <f t="shared" si="1081"/>
        <v>0</v>
      </c>
      <c r="BN490" s="1508">
        <f t="shared" si="1081"/>
        <v>0</v>
      </c>
      <c r="BO490" s="1508">
        <f t="shared" si="1081"/>
        <v>0</v>
      </c>
      <c r="BP490" s="1508">
        <f t="shared" si="1081"/>
        <v>0</v>
      </c>
      <c r="BQ490" s="1508">
        <f t="shared" si="1081"/>
        <v>0</v>
      </c>
      <c r="BR490" s="1508">
        <f t="shared" si="1081"/>
        <v>0</v>
      </c>
      <c r="BS490" s="1508">
        <f t="shared" si="1081"/>
        <v>0</v>
      </c>
      <c r="BT490" s="1508">
        <f t="shared" ref="BT490:CY490" si="1082">+BT460-BT488</f>
        <v>0</v>
      </c>
      <c r="BU490" s="1508">
        <f t="shared" si="1082"/>
        <v>0</v>
      </c>
      <c r="BV490" s="1508">
        <f t="shared" si="1082"/>
        <v>0</v>
      </c>
      <c r="BW490" s="1508">
        <f t="shared" si="1082"/>
        <v>0</v>
      </c>
      <c r="BX490" s="1508">
        <f t="shared" si="1082"/>
        <v>0</v>
      </c>
      <c r="BY490" s="1508">
        <f t="shared" si="1082"/>
        <v>0</v>
      </c>
      <c r="BZ490" s="1508">
        <f t="shared" si="1082"/>
        <v>0</v>
      </c>
      <c r="CA490" s="1508">
        <f t="shared" si="1082"/>
        <v>0</v>
      </c>
      <c r="CB490" s="1509">
        <f t="shared" si="1082"/>
        <v>0</v>
      </c>
      <c r="CC490" s="1509">
        <f t="shared" si="1082"/>
        <v>0</v>
      </c>
      <c r="CD490" s="1510">
        <f t="shared" si="1082"/>
        <v>0</v>
      </c>
      <c r="CE490" s="1510">
        <f t="shared" si="1082"/>
        <v>0</v>
      </c>
      <c r="CF490" s="1510">
        <f t="shared" si="1082"/>
        <v>0</v>
      </c>
      <c r="CG490" s="1510">
        <f t="shared" si="1082"/>
        <v>0</v>
      </c>
      <c r="CH490" s="1510">
        <f t="shared" si="1082"/>
        <v>0</v>
      </c>
      <c r="CI490" s="1510">
        <f t="shared" si="1082"/>
        <v>0</v>
      </c>
      <c r="CJ490" s="1510">
        <f t="shared" si="1082"/>
        <v>0</v>
      </c>
      <c r="CK490" s="1510">
        <f t="shared" si="1082"/>
        <v>0</v>
      </c>
      <c r="CL490" s="1510">
        <f t="shared" si="1082"/>
        <v>0</v>
      </c>
      <c r="CM490" s="1510">
        <f t="shared" si="1082"/>
        <v>0</v>
      </c>
      <c r="CN490" s="1510">
        <f t="shared" si="1082"/>
        <v>0</v>
      </c>
      <c r="CO490" s="1510">
        <f t="shared" si="1082"/>
        <v>0</v>
      </c>
      <c r="CP490" s="1510">
        <f t="shared" si="1082"/>
        <v>0</v>
      </c>
      <c r="CQ490" s="1510">
        <f t="shared" si="1082"/>
        <v>0</v>
      </c>
      <c r="CR490" s="1510">
        <f t="shared" si="1082"/>
        <v>-843</v>
      </c>
      <c r="CS490" s="1510">
        <f t="shared" si="1082"/>
        <v>-843</v>
      </c>
      <c r="CT490" s="1510">
        <f t="shared" si="1082"/>
        <v>0</v>
      </c>
      <c r="CU490" s="1510">
        <f t="shared" si="1082"/>
        <v>0</v>
      </c>
      <c r="CV490" s="1510">
        <f t="shared" si="1082"/>
        <v>0</v>
      </c>
      <c r="CW490" s="1510">
        <f t="shared" si="1082"/>
        <v>0</v>
      </c>
      <c r="CX490" s="1510">
        <f t="shared" si="1082"/>
        <v>0</v>
      </c>
      <c r="CY490" s="1510">
        <f t="shared" si="1082"/>
        <v>0</v>
      </c>
      <c r="CZ490" s="1510">
        <f t="shared" ref="CZ490:DQ490" si="1083">+CZ460-CZ488</f>
        <v>0</v>
      </c>
      <c r="DA490" s="1510">
        <f t="shared" si="1083"/>
        <v>0</v>
      </c>
      <c r="DB490" s="1510">
        <f t="shared" si="1083"/>
        <v>0</v>
      </c>
      <c r="DC490" s="1510">
        <f t="shared" si="1083"/>
        <v>0</v>
      </c>
      <c r="DD490" s="1510">
        <f t="shared" si="1083"/>
        <v>0</v>
      </c>
      <c r="DE490" s="1511">
        <f t="shared" si="1083"/>
        <v>0</v>
      </c>
      <c r="DF490" s="1510">
        <f t="shared" si="1083"/>
        <v>0</v>
      </c>
      <c r="DG490" s="1510">
        <f t="shared" si="1083"/>
        <v>0</v>
      </c>
      <c r="DH490" s="1511">
        <f t="shared" si="1083"/>
        <v>0</v>
      </c>
      <c r="DI490" s="1510">
        <f t="shared" si="1083"/>
        <v>0</v>
      </c>
      <c r="DJ490" s="1510">
        <f t="shared" si="1083"/>
        <v>0</v>
      </c>
      <c r="DK490" s="1511">
        <f t="shared" si="1083"/>
        <v>0</v>
      </c>
      <c r="DL490" s="1510">
        <f t="shared" si="1083"/>
        <v>0</v>
      </c>
      <c r="DM490" s="1510">
        <f t="shared" si="1083"/>
        <v>0</v>
      </c>
      <c r="DN490" s="1511">
        <f t="shared" si="1083"/>
        <v>0</v>
      </c>
      <c r="DO490" s="1510">
        <f t="shared" si="1083"/>
        <v>0</v>
      </c>
      <c r="DP490" s="1510">
        <f t="shared" si="1083"/>
        <v>0</v>
      </c>
      <c r="DQ490" s="1511">
        <f t="shared" si="1083"/>
        <v>0</v>
      </c>
      <c r="DR490" s="1510">
        <f t="shared" ref="DR490:DZ490" si="1084">+DR460-DR488</f>
        <v>0</v>
      </c>
      <c r="DS490" s="1510">
        <f t="shared" si="1084"/>
        <v>0</v>
      </c>
      <c r="DT490" s="1511">
        <f t="shared" si="1084"/>
        <v>0</v>
      </c>
      <c r="DU490" s="1510">
        <f t="shared" si="1084"/>
        <v>0</v>
      </c>
      <c r="DV490" s="1510">
        <f t="shared" si="1084"/>
        <v>0</v>
      </c>
      <c r="DW490" s="1511">
        <f t="shared" si="1084"/>
        <v>0</v>
      </c>
      <c r="DX490" s="1510">
        <f t="shared" si="1084"/>
        <v>0</v>
      </c>
      <c r="DY490" s="1510">
        <f t="shared" si="1084"/>
        <v>0</v>
      </c>
      <c r="DZ490" s="1511">
        <f t="shared" si="1084"/>
        <v>0</v>
      </c>
      <c r="EA490" s="1510">
        <f t="shared" ref="EA490:EF490" si="1085">+EA460-EA488</f>
        <v>0</v>
      </c>
      <c r="EB490" s="1510">
        <f t="shared" si="1085"/>
        <v>0</v>
      </c>
      <c r="EC490" s="1511">
        <f t="shared" si="1085"/>
        <v>0</v>
      </c>
      <c r="ED490" s="1510">
        <f t="shared" si="1085"/>
        <v>0</v>
      </c>
      <c r="EE490" s="1510">
        <f t="shared" si="1085"/>
        <v>0</v>
      </c>
      <c r="EF490" s="1511">
        <f t="shared" si="1085"/>
        <v>0</v>
      </c>
      <c r="EG490" s="1510">
        <f t="shared" ref="EG490:EL490" si="1086">+EG460-EG488</f>
        <v>0</v>
      </c>
      <c r="EH490" s="1510">
        <f t="shared" si="1086"/>
        <v>0</v>
      </c>
      <c r="EI490" s="1511">
        <f t="shared" si="1086"/>
        <v>0</v>
      </c>
      <c r="EJ490" s="1510">
        <f t="shared" si="1086"/>
        <v>0</v>
      </c>
      <c r="EK490" s="1510">
        <f t="shared" si="1086"/>
        <v>0</v>
      </c>
      <c r="EL490" s="1511">
        <f t="shared" si="1086"/>
        <v>0</v>
      </c>
      <c r="EM490" s="1510">
        <f t="shared" ref="EM490:ER490" si="1087">+EM460-EM488</f>
        <v>0</v>
      </c>
      <c r="EN490" s="1510">
        <f t="shared" si="1087"/>
        <v>0</v>
      </c>
      <c r="EO490" s="1511">
        <f t="shared" si="1087"/>
        <v>0</v>
      </c>
      <c r="EP490" s="1510">
        <f t="shared" si="1087"/>
        <v>0</v>
      </c>
      <c r="EQ490" s="1510">
        <f t="shared" si="1087"/>
        <v>0</v>
      </c>
      <c r="ER490" s="1511">
        <f t="shared" si="1087"/>
        <v>0</v>
      </c>
      <c r="ES490" s="1510">
        <f t="shared" ref="ES490:FA490" si="1088">+ES460-ES488</f>
        <v>0</v>
      </c>
      <c r="ET490" s="1510">
        <f t="shared" si="1088"/>
        <v>0</v>
      </c>
      <c r="EU490" s="1511">
        <f t="shared" si="1088"/>
        <v>0</v>
      </c>
      <c r="EV490" s="1510">
        <f t="shared" si="1088"/>
        <v>0</v>
      </c>
      <c r="EW490" s="1510">
        <f t="shared" si="1088"/>
        <v>0</v>
      </c>
      <c r="EX490" s="1511">
        <f t="shared" si="1088"/>
        <v>0</v>
      </c>
      <c r="EY490" s="1510">
        <f t="shared" si="1088"/>
        <v>0</v>
      </c>
      <c r="EZ490" s="1510">
        <f t="shared" si="1088"/>
        <v>0</v>
      </c>
      <c r="FA490" s="1511">
        <f t="shared" si="1088"/>
        <v>0</v>
      </c>
      <c r="FD490"/>
      <c r="FE490"/>
      <c r="FF490"/>
      <c r="FG490"/>
      <c r="FH490"/>
      <c r="FI490"/>
    </row>
    <row r="491" spans="1:165" s="35" customFormat="1">
      <c r="A491" s="1457"/>
      <c r="B491" s="1457"/>
      <c r="C491" s="1457"/>
      <c r="D491" s="1457"/>
      <c r="E491" s="1457"/>
      <c r="F491" s="1457"/>
      <c r="G491" s="1457"/>
      <c r="H491" s="1457"/>
      <c r="I491" s="1457"/>
      <c r="J491" s="1457"/>
      <c r="K491" s="1457"/>
      <c r="L491" s="1457"/>
      <c r="M491" s="1457"/>
      <c r="N491" s="1457"/>
      <c r="O491" s="1457"/>
      <c r="P491" s="1457"/>
      <c r="Q491" s="1453"/>
      <c r="R491" s="1453"/>
      <c r="S491" s="1453"/>
      <c r="T491" s="1453"/>
      <c r="U491" s="1453"/>
      <c r="V491" s="1451"/>
      <c r="W491" s="1451"/>
      <c r="X491" s="1451"/>
      <c r="Y491" s="1451"/>
      <c r="Z491" s="1451"/>
      <c r="AA491" s="1451"/>
      <c r="AB491" s="1451"/>
      <c r="AC491" s="1451"/>
      <c r="AD491" s="1451"/>
      <c r="AE491" s="1451"/>
      <c r="AF491" s="1451"/>
      <c r="AG491" s="1451"/>
      <c r="AH491" s="1451"/>
      <c r="AI491" s="1451"/>
      <c r="AJ491" s="1451"/>
      <c r="AK491" s="1451"/>
      <c r="AL491" s="1451"/>
      <c r="AM491" s="1451"/>
      <c r="AN491" s="1451"/>
      <c r="AO491" s="1451"/>
      <c r="AP491" s="1451"/>
      <c r="AQ491" s="1451"/>
      <c r="AR491" s="1451"/>
      <c r="AS491" s="1451"/>
      <c r="AT491" s="1451"/>
      <c r="AU491" s="1457"/>
      <c r="AV491" s="1457"/>
      <c r="AW491" s="1457"/>
      <c r="AX491" s="1457"/>
      <c r="AY491" s="1457"/>
      <c r="AZ491" s="1457"/>
      <c r="BA491" s="1457"/>
      <c r="BB491" s="1457"/>
      <c r="BC491" s="1457"/>
      <c r="BD491" s="1457"/>
      <c r="BE491" s="1457"/>
      <c r="BF491" s="1457"/>
      <c r="BG491" s="1457"/>
      <c r="BH491" s="1457"/>
      <c r="BI491" s="1457"/>
      <c r="BJ491" s="1457"/>
      <c r="BK491" s="1457"/>
      <c r="BL491" s="1457"/>
      <c r="BM491" s="1457"/>
      <c r="BN491" s="1457"/>
      <c r="BO491" s="1457"/>
      <c r="BP491" s="1457"/>
      <c r="BQ491" s="1457"/>
      <c r="BR491" s="1457"/>
      <c r="BS491" s="1457"/>
      <c r="BT491" s="1457"/>
      <c r="BU491" s="1457"/>
      <c r="BV491" s="1457"/>
      <c r="BW491" s="1457"/>
      <c r="BX491" s="1457"/>
      <c r="BY491" s="1457"/>
      <c r="BZ491" s="1457"/>
      <c r="CA491" s="1457"/>
      <c r="CB491" s="59"/>
      <c r="CC491" s="59"/>
      <c r="CD491" s="58"/>
      <c r="CE491" s="58"/>
      <c r="CF491" s="58"/>
      <c r="CG491" s="58"/>
      <c r="CH491" s="58"/>
      <c r="CI491" s="58"/>
      <c r="CJ491" s="58"/>
      <c r="CK491" s="58"/>
      <c r="CL491" s="58"/>
      <c r="CM491" s="58"/>
      <c r="CN491" s="58"/>
      <c r="CO491" s="58"/>
      <c r="CP491" s="58"/>
      <c r="CQ491" s="58"/>
      <c r="CR491" s="58"/>
      <c r="CS491" s="58"/>
      <c r="CT491" s="58"/>
      <c r="CU491" s="58"/>
      <c r="CV491" s="58"/>
      <c r="CW491" s="58"/>
      <c r="CX491" s="58"/>
      <c r="CY491" s="58"/>
      <c r="CZ491" s="58"/>
      <c r="DA491" s="58"/>
      <c r="DB491" s="58"/>
      <c r="DC491" s="58"/>
      <c r="DD491" s="58"/>
      <c r="DE491" s="1516"/>
      <c r="DF491" s="58"/>
      <c r="DG491" s="58"/>
      <c r="DH491" s="1516"/>
      <c r="DI491" s="58"/>
      <c r="DJ491" s="58"/>
      <c r="DK491" s="1516"/>
      <c r="DL491" s="58"/>
      <c r="DM491" s="58"/>
      <c r="DN491" s="1516"/>
      <c r="DO491" s="58"/>
      <c r="DP491" s="58"/>
      <c r="DQ491" s="1516"/>
      <c r="DR491" s="58"/>
      <c r="DS491" s="58"/>
      <c r="DT491" s="1516"/>
      <c r="DU491" s="58"/>
      <c r="DV491" s="58"/>
      <c r="DW491" s="1516"/>
      <c r="DX491" s="58"/>
      <c r="DY491" s="58"/>
      <c r="DZ491" s="1516"/>
      <c r="EA491" s="58"/>
      <c r="EB491" s="58"/>
      <c r="EC491" s="1516"/>
      <c r="ED491" s="58"/>
      <c r="EE491" s="58"/>
      <c r="EF491" s="1516"/>
      <c r="EG491" s="58"/>
      <c r="EH491" s="58"/>
      <c r="EI491" s="1516"/>
      <c r="EJ491" s="58"/>
      <c r="EK491" s="58"/>
      <c r="EL491" s="1516"/>
      <c r="EM491" s="58"/>
      <c r="EN491" s="58"/>
      <c r="EO491" s="1516"/>
      <c r="EP491" s="58"/>
      <c r="EQ491" s="58"/>
      <c r="ER491" s="1516"/>
      <c r="ES491" s="58"/>
      <c r="ET491" s="58"/>
      <c r="EU491" s="1516"/>
      <c r="EV491" s="58"/>
      <c r="EW491" s="58"/>
      <c r="EX491" s="1516"/>
      <c r="EY491" s="58"/>
      <c r="EZ491" s="58"/>
      <c r="FA491" s="1516"/>
      <c r="FD491"/>
      <c r="FE491"/>
      <c r="FF491"/>
      <c r="FG491"/>
      <c r="FH491"/>
      <c r="FI491"/>
    </row>
    <row r="492" spans="1:165" s="35" customFormat="1">
      <c r="A492" s="1457"/>
      <c r="B492" s="1517" t="s">
        <v>597</v>
      </c>
      <c r="C492" s="1457"/>
      <c r="D492" s="1457"/>
      <c r="E492" s="1457"/>
      <c r="F492" s="1457"/>
      <c r="G492" s="1457"/>
      <c r="H492" s="1457"/>
      <c r="I492" s="1457"/>
      <c r="J492" s="1457"/>
      <c r="K492" s="1457"/>
      <c r="L492" s="1457"/>
      <c r="M492" s="1457"/>
      <c r="N492" s="1457"/>
      <c r="O492" s="1457"/>
      <c r="P492" s="1457"/>
      <c r="Q492" s="1453"/>
      <c r="R492" s="1453"/>
      <c r="S492" s="1453"/>
      <c r="T492" s="1453"/>
      <c r="U492" s="1453"/>
      <c r="V492" s="1451"/>
      <c r="W492" s="1451"/>
      <c r="X492" s="1451"/>
      <c r="Y492" s="1451"/>
      <c r="Z492" s="1451"/>
      <c r="AA492" s="1451"/>
      <c r="AB492" s="1451"/>
      <c r="AC492" s="1451"/>
      <c r="AD492" s="1451"/>
      <c r="AE492" s="1451"/>
      <c r="AF492" s="1451"/>
      <c r="AG492" s="1451"/>
      <c r="AH492" s="1451"/>
      <c r="AI492" s="1451"/>
      <c r="AJ492" s="1451"/>
      <c r="AK492" s="1451"/>
      <c r="AL492" s="1451"/>
      <c r="AM492" s="1451"/>
      <c r="AN492" s="1451"/>
      <c r="AO492" s="1451"/>
      <c r="AP492" s="1451"/>
      <c r="AQ492" s="1451"/>
      <c r="AR492" s="1451"/>
      <c r="AS492" s="1451"/>
      <c r="AT492" s="1451"/>
      <c r="AU492" s="1457"/>
      <c r="AV492" s="1457"/>
      <c r="AW492" s="1457"/>
      <c r="AX492" s="1457"/>
      <c r="AY492" s="1457"/>
      <c r="AZ492" s="1457"/>
      <c r="BA492" s="1457"/>
      <c r="BB492" s="1457"/>
      <c r="BC492" s="1457"/>
      <c r="BD492" s="1457"/>
      <c r="BE492" s="1457"/>
      <c r="BF492" s="1457"/>
      <c r="BG492" s="1457"/>
      <c r="BH492" s="1457"/>
      <c r="BI492" s="1457"/>
      <c r="BJ492" s="1457"/>
      <c r="BK492" s="1457"/>
      <c r="BL492" s="1457"/>
      <c r="BM492" s="1457"/>
      <c r="BN492" s="1457"/>
      <c r="BO492" s="1457"/>
      <c r="BP492" s="1457"/>
      <c r="BQ492" s="1457"/>
      <c r="BR492" s="1457"/>
      <c r="BS492" s="1457"/>
      <c r="BT492" s="1457"/>
      <c r="BU492" s="1457"/>
      <c r="BV492" s="1457"/>
      <c r="BW492" s="1457"/>
      <c r="BX492" s="1457"/>
      <c r="BY492" s="1457"/>
      <c r="BZ492" s="1457"/>
      <c r="CA492" s="1457"/>
      <c r="CB492" s="59"/>
      <c r="CC492" s="59"/>
      <c r="CD492" s="58"/>
      <c r="CE492" s="58"/>
      <c r="CF492" s="58"/>
      <c r="CG492" s="58"/>
      <c r="CH492" s="58"/>
      <c r="CI492" s="58"/>
      <c r="CJ492" s="58"/>
      <c r="CK492" s="58"/>
      <c r="CL492" s="58"/>
      <c r="CM492" s="58"/>
      <c r="CN492" s="58"/>
      <c r="CO492" s="58"/>
      <c r="CP492" s="58"/>
      <c r="CQ492" s="58"/>
      <c r="CR492" s="58"/>
      <c r="CS492" s="58"/>
      <c r="CT492" s="58"/>
      <c r="CU492" s="58"/>
      <c r="CV492" s="58"/>
      <c r="CW492" s="58"/>
      <c r="CX492" s="58"/>
      <c r="CY492" s="58"/>
      <c r="CZ492" s="58"/>
      <c r="DA492" s="58"/>
      <c r="DB492" s="58"/>
      <c r="DC492" s="58"/>
      <c r="DD492" s="58"/>
      <c r="DE492" s="1516"/>
      <c r="DF492" s="58"/>
      <c r="DG492" s="58"/>
      <c r="DH492" s="1516"/>
      <c r="DI492" s="58"/>
      <c r="DJ492" s="58"/>
      <c r="DK492" s="1516"/>
      <c r="DL492" s="58"/>
      <c r="DM492" s="58"/>
      <c r="DN492" s="1516"/>
      <c r="DO492" s="58"/>
      <c r="DP492" s="58"/>
      <c r="DQ492" s="1516"/>
      <c r="DR492" s="58"/>
      <c r="DS492" s="58"/>
      <c r="DT492" s="1516"/>
      <c r="DU492" s="58"/>
      <c r="DV492" s="58"/>
      <c r="DW492" s="1516"/>
      <c r="DX492" s="58"/>
      <c r="DY492" s="58"/>
      <c r="DZ492" s="1516"/>
      <c r="EA492" s="58"/>
      <c r="EB492" s="58"/>
      <c r="EC492" s="1516"/>
      <c r="ED492" s="58"/>
      <c r="EE492" s="58"/>
      <c r="EF492" s="1516"/>
      <c r="EG492" s="58"/>
      <c r="EH492" s="58"/>
      <c r="EI492" s="1516"/>
      <c r="EJ492" s="58"/>
      <c r="EK492" s="58"/>
      <c r="EL492" s="1516"/>
      <c r="EM492" s="58"/>
      <c r="EN492" s="58"/>
      <c r="EO492" s="1516"/>
      <c r="EP492" s="58"/>
      <c r="EQ492" s="58"/>
      <c r="ER492" s="1516"/>
      <c r="ES492" s="58"/>
      <c r="ET492" s="58"/>
      <c r="EU492" s="1516"/>
      <c r="EV492" s="58"/>
      <c r="EW492" s="58"/>
      <c r="EX492" s="1516"/>
      <c r="EY492" s="58"/>
      <c r="EZ492" s="58"/>
      <c r="FA492" s="1516"/>
      <c r="FD492"/>
      <c r="FE492"/>
      <c r="FF492"/>
      <c r="FG492"/>
      <c r="FH492"/>
      <c r="FI492"/>
    </row>
    <row r="493" spans="1:165" s="35" customFormat="1">
      <c r="A493" s="1457"/>
      <c r="B493" s="1457" t="s">
        <v>598</v>
      </c>
      <c r="C493" s="1457"/>
      <c r="D493" s="1457"/>
      <c r="E493" s="1457"/>
      <c r="F493" s="1457"/>
      <c r="G493" s="1457"/>
      <c r="H493" s="1457"/>
      <c r="I493" s="1457"/>
      <c r="J493" s="1457"/>
      <c r="K493" s="1457"/>
      <c r="L493" s="1457"/>
      <c r="M493" s="1457"/>
      <c r="N493" s="1457"/>
      <c r="O493" s="1457"/>
      <c r="P493" s="1457"/>
      <c r="Q493" s="1453"/>
      <c r="R493" s="1453"/>
      <c r="S493" s="1453"/>
      <c r="T493" s="1453"/>
      <c r="U493" s="1453"/>
      <c r="V493" s="1451"/>
      <c r="W493" s="1451"/>
      <c r="X493" s="1451"/>
      <c r="Y493" s="1451"/>
      <c r="Z493" s="1451"/>
      <c r="AA493" s="1451"/>
      <c r="AB493" s="1451"/>
      <c r="AC493" s="1451"/>
      <c r="AD493" s="1451"/>
      <c r="AE493" s="1451"/>
      <c r="AF493" s="1451"/>
      <c r="AG493" s="1451"/>
      <c r="AH493" s="1451"/>
      <c r="AI493" s="1451"/>
      <c r="AJ493" s="1451"/>
      <c r="AK493" s="1451"/>
      <c r="AL493" s="1451"/>
      <c r="AM493" s="1451"/>
      <c r="AN493" s="1451"/>
      <c r="AO493" s="1451"/>
      <c r="AP493" s="1451"/>
      <c r="AQ493" s="1451"/>
      <c r="AR493" s="1451"/>
      <c r="AS493" s="1451"/>
      <c r="AT493" s="1451"/>
      <c r="AU493" s="1457"/>
      <c r="AV493" s="1457"/>
      <c r="AW493" s="1457"/>
      <c r="AX493" s="1457"/>
      <c r="AY493" s="1457"/>
      <c r="AZ493" s="1457"/>
      <c r="BA493" s="1457"/>
      <c r="BB493" s="1457"/>
      <c r="BC493" s="1457"/>
      <c r="BD493" s="1457"/>
      <c r="BE493" s="1457"/>
      <c r="BF493" s="1457"/>
      <c r="BG493" s="1457"/>
      <c r="BH493" s="1457"/>
      <c r="BI493" s="1457"/>
      <c r="BJ493" s="1457"/>
      <c r="BK493" s="1457"/>
      <c r="BL493" s="1457"/>
      <c r="BM493" s="1457"/>
      <c r="BN493" s="1457"/>
      <c r="BO493" s="1457"/>
      <c r="BP493" s="1457"/>
      <c r="BQ493" s="1457"/>
      <c r="BR493" s="1457"/>
      <c r="BS493" s="1457"/>
      <c r="BT493" s="1457"/>
      <c r="BU493" s="1457"/>
      <c r="BV493" s="1457"/>
      <c r="BW493" s="1457"/>
      <c r="BX493" s="1457"/>
      <c r="BY493" s="1457"/>
      <c r="BZ493" s="1457"/>
      <c r="CA493" s="1457"/>
      <c r="CB493" s="59"/>
      <c r="CC493" s="59"/>
      <c r="CD493" s="58"/>
      <c r="CE493" s="58"/>
      <c r="CF493" s="58"/>
      <c r="CG493" s="58"/>
      <c r="CH493" s="58"/>
      <c r="CI493" s="58"/>
      <c r="CJ493" s="58"/>
      <c r="CK493" s="58"/>
      <c r="CL493" s="58"/>
      <c r="CM493" s="58"/>
      <c r="CN493" s="58"/>
      <c r="CO493" s="58"/>
      <c r="CP493" s="58"/>
      <c r="CQ493" s="58"/>
      <c r="CR493" s="58"/>
      <c r="CS493" s="58"/>
      <c r="CT493" s="58"/>
      <c r="CU493" s="58"/>
      <c r="CV493" s="58"/>
      <c r="CW493" s="58"/>
      <c r="CX493" s="58"/>
      <c r="CY493" s="58"/>
      <c r="CZ493" s="58"/>
      <c r="DA493" s="58"/>
      <c r="DB493" s="58"/>
      <c r="DC493" s="58"/>
      <c r="DD493" s="58"/>
      <c r="DE493" s="1516"/>
      <c r="DF493" s="58"/>
      <c r="DG493" s="58"/>
      <c r="DH493" s="1516"/>
      <c r="DI493" s="58"/>
      <c r="DJ493" s="58"/>
      <c r="DK493" s="1516"/>
      <c r="DL493" s="58"/>
      <c r="DM493" s="58"/>
      <c r="DN493" s="1516"/>
      <c r="DO493" s="58"/>
      <c r="DP493" s="58"/>
      <c r="DQ493" s="1516"/>
      <c r="DR493" s="58"/>
      <c r="DS493" s="58"/>
      <c r="DT493" s="1516"/>
      <c r="DU493" s="58"/>
      <c r="DV493" s="58"/>
      <c r="DW493" s="1516"/>
      <c r="DX493" s="58"/>
      <c r="DY493" s="58"/>
      <c r="DZ493" s="1516"/>
      <c r="EA493" s="58"/>
      <c r="EB493" s="58"/>
      <c r="EC493" s="1516"/>
      <c r="ED493" s="58"/>
      <c r="EE493" s="58"/>
      <c r="EF493" s="1516"/>
      <c r="EG493" s="58"/>
      <c r="EH493" s="58"/>
      <c r="EI493" s="1516"/>
      <c r="EJ493" s="58"/>
      <c r="EK493" s="58"/>
      <c r="EL493" s="1516"/>
      <c r="EM493" s="58"/>
      <c r="EN493" s="58"/>
      <c r="EO493" s="1516"/>
      <c r="EP493" s="58"/>
      <c r="EQ493" s="58"/>
      <c r="ER493" s="1516"/>
      <c r="ES493" s="58"/>
      <c r="ET493" s="58"/>
      <c r="EU493" s="1516"/>
      <c r="EV493" s="58"/>
      <c r="EW493" s="58"/>
      <c r="EX493" s="1516"/>
      <c r="EY493" s="58"/>
      <c r="EZ493" s="58"/>
      <c r="FA493" s="1516"/>
      <c r="FD493"/>
      <c r="FE493"/>
      <c r="FF493"/>
      <c r="FG493"/>
      <c r="FH493"/>
      <c r="FI493"/>
    </row>
    <row r="494" spans="1:165" s="35" customFormat="1">
      <c r="A494" s="1457"/>
      <c r="B494" s="1457" t="s">
        <v>599</v>
      </c>
      <c r="C494" s="1457"/>
      <c r="D494" s="1457"/>
      <c r="E494" s="1457"/>
      <c r="F494" s="1457"/>
      <c r="G494" s="1457"/>
      <c r="H494" s="1457"/>
      <c r="I494" s="1457"/>
      <c r="J494" s="1457"/>
      <c r="K494" s="1457"/>
      <c r="L494" s="1457"/>
      <c r="M494" s="1457"/>
      <c r="N494" s="1457"/>
      <c r="O494" s="1457"/>
      <c r="P494" s="1457"/>
      <c r="Q494" s="1453"/>
      <c r="R494" s="1453"/>
      <c r="S494" s="1453"/>
      <c r="T494" s="1453"/>
      <c r="U494" s="1453"/>
      <c r="V494" s="1451"/>
      <c r="W494" s="1451"/>
      <c r="X494" s="1451"/>
      <c r="Y494" s="1451"/>
      <c r="Z494" s="1451"/>
      <c r="AA494" s="1451"/>
      <c r="AB494" s="1451"/>
      <c r="AC494" s="1451"/>
      <c r="AD494" s="1451"/>
      <c r="AE494" s="1451"/>
      <c r="AF494" s="1451"/>
      <c r="AG494" s="1451"/>
      <c r="AH494" s="1451"/>
      <c r="AI494" s="1451"/>
      <c r="AJ494" s="1451"/>
      <c r="AK494" s="1451"/>
      <c r="AL494" s="1451"/>
      <c r="AM494" s="1451"/>
      <c r="AN494" s="1451"/>
      <c r="AO494" s="1451"/>
      <c r="AP494" s="1451"/>
      <c r="AQ494" s="1451"/>
      <c r="AR494" s="1451"/>
      <c r="AS494" s="1451"/>
      <c r="AT494" s="1451"/>
      <c r="AU494" s="1457"/>
      <c r="AV494" s="1457"/>
      <c r="AW494" s="1457"/>
      <c r="AX494" s="1457"/>
      <c r="AY494" s="1457"/>
      <c r="AZ494" s="1457"/>
      <c r="BA494" s="1457"/>
      <c r="BB494" s="1457"/>
      <c r="BC494" s="1457"/>
      <c r="BD494" s="1457"/>
      <c r="BE494" s="1457"/>
      <c r="BF494" s="1457"/>
      <c r="BG494" s="1457"/>
      <c r="BH494" s="1457"/>
      <c r="BI494" s="1457"/>
      <c r="BJ494" s="1457"/>
      <c r="BK494" s="1457"/>
      <c r="BL494" s="1457"/>
      <c r="BM494" s="1457"/>
      <c r="BN494" s="1457"/>
      <c r="BO494" s="1457"/>
      <c r="BP494" s="1457"/>
      <c r="BQ494" s="1457"/>
      <c r="BR494" s="1457"/>
      <c r="BS494" s="1457"/>
      <c r="BT494" s="1457"/>
      <c r="BU494" s="1457"/>
      <c r="BV494" s="1457"/>
      <c r="BW494" s="1457"/>
      <c r="BX494" s="1457"/>
      <c r="BY494" s="1457"/>
      <c r="BZ494" s="1457"/>
      <c r="CA494" s="1457"/>
      <c r="CB494" s="59"/>
      <c r="CC494" s="59"/>
      <c r="CD494" s="58"/>
      <c r="CE494" s="58"/>
      <c r="CF494" s="58"/>
      <c r="CG494" s="58"/>
      <c r="CH494" s="58"/>
      <c r="CI494" s="58"/>
      <c r="CJ494" s="58"/>
      <c r="CK494" s="58"/>
      <c r="CL494" s="58"/>
      <c r="CM494" s="58"/>
      <c r="CN494" s="58"/>
      <c r="CO494" s="58"/>
      <c r="CP494" s="58"/>
      <c r="CQ494" s="58"/>
      <c r="CR494" s="58"/>
      <c r="CS494" s="58"/>
      <c r="CT494" s="58"/>
      <c r="CU494" s="58"/>
      <c r="CV494" s="58"/>
      <c r="CW494" s="58"/>
      <c r="CX494" s="58"/>
      <c r="CY494" s="58"/>
      <c r="CZ494" s="58"/>
      <c r="DA494" s="58"/>
      <c r="DB494" s="58"/>
      <c r="DC494" s="58"/>
      <c r="DD494" s="58"/>
      <c r="DE494" s="1516"/>
      <c r="DF494" s="58"/>
      <c r="DG494" s="58"/>
      <c r="DH494" s="1516"/>
      <c r="DI494" s="58"/>
      <c r="DJ494" s="58"/>
      <c r="DK494" s="1516"/>
      <c r="DL494" s="58"/>
      <c r="DM494" s="58"/>
      <c r="DN494" s="1516"/>
      <c r="DO494" s="58"/>
      <c r="DP494" s="58"/>
      <c r="DQ494" s="1516"/>
      <c r="DR494" s="58"/>
      <c r="DS494" s="58"/>
      <c r="DT494" s="1516"/>
      <c r="DU494" s="58"/>
      <c r="DV494" s="58"/>
      <c r="DW494" s="1516"/>
      <c r="DX494" s="58"/>
      <c r="DY494" s="58"/>
      <c r="DZ494" s="1516"/>
      <c r="EA494" s="58"/>
      <c r="EB494" s="58"/>
      <c r="EC494" s="1516"/>
      <c r="ED494" s="58"/>
      <c r="EE494" s="58"/>
      <c r="EF494" s="1516"/>
      <c r="EG494" s="58"/>
      <c r="EH494" s="58"/>
      <c r="EI494" s="1516"/>
      <c r="EJ494" s="58"/>
      <c r="EK494" s="58"/>
      <c r="EL494" s="1516"/>
      <c r="EM494" s="58"/>
      <c r="EN494" s="58"/>
      <c r="EO494" s="1516"/>
      <c r="EP494" s="58"/>
      <c r="EQ494" s="58"/>
      <c r="ER494" s="1516"/>
      <c r="ES494" s="58"/>
      <c r="ET494" s="58"/>
      <c r="EU494" s="1516"/>
      <c r="EV494" s="58"/>
      <c r="EW494" s="58"/>
      <c r="EX494" s="1516"/>
      <c r="EY494" s="58"/>
      <c r="EZ494" s="58"/>
      <c r="FA494" s="1516"/>
      <c r="FD494"/>
      <c r="FE494"/>
      <c r="FF494"/>
      <c r="FG494"/>
      <c r="FH494"/>
      <c r="FI494"/>
    </row>
    <row r="495" spans="1:165" s="35" customFormat="1">
      <c r="A495" s="1457"/>
      <c r="B495" s="1457" t="s">
        <v>247</v>
      </c>
      <c r="C495" s="1457"/>
      <c r="D495" s="1457"/>
      <c r="E495" s="1457"/>
      <c r="F495" s="1457"/>
      <c r="G495" s="1457"/>
      <c r="H495" s="1457"/>
      <c r="I495" s="1457"/>
      <c r="J495" s="1457"/>
      <c r="K495" s="1457"/>
      <c r="L495" s="1457"/>
      <c r="M495" s="1457"/>
      <c r="N495" s="1457"/>
      <c r="O495" s="1457"/>
      <c r="P495" s="1457"/>
      <c r="Q495" s="1453"/>
      <c r="R495" s="1453"/>
      <c r="S495" s="1453"/>
      <c r="T495" s="1453"/>
      <c r="U495" s="1453"/>
      <c r="V495" s="1451"/>
      <c r="W495" s="1451"/>
      <c r="X495" s="1451"/>
      <c r="Y495" s="1451"/>
      <c r="Z495" s="1451"/>
      <c r="AA495" s="1451"/>
      <c r="AB495" s="1451"/>
      <c r="AC495" s="1451"/>
      <c r="AD495" s="1451"/>
      <c r="AE495" s="1451"/>
      <c r="AF495" s="1451"/>
      <c r="AG495" s="1451"/>
      <c r="AH495" s="1451"/>
      <c r="AI495" s="1451"/>
      <c r="AJ495" s="1451"/>
      <c r="AK495" s="1451"/>
      <c r="AL495" s="1451"/>
      <c r="AM495" s="1451"/>
      <c r="AN495" s="1451"/>
      <c r="AO495" s="1451"/>
      <c r="AP495" s="1451"/>
      <c r="AQ495" s="1451"/>
      <c r="AR495" s="1451"/>
      <c r="AS495" s="1451"/>
      <c r="AT495" s="1451"/>
      <c r="AU495" s="1457"/>
      <c r="AV495" s="1457"/>
      <c r="AW495" s="1457"/>
      <c r="AX495" s="1457"/>
      <c r="AY495" s="1457"/>
      <c r="AZ495" s="1457"/>
      <c r="BA495" s="1457"/>
      <c r="BB495" s="1457"/>
      <c r="BC495" s="1457"/>
      <c r="BD495" s="1457"/>
      <c r="BE495" s="1457"/>
      <c r="BF495" s="1457"/>
      <c r="BG495" s="1457"/>
      <c r="BH495" s="1457"/>
      <c r="BI495" s="1457"/>
      <c r="BJ495" s="1457"/>
      <c r="BK495" s="1457"/>
      <c r="BL495" s="1457"/>
      <c r="BM495" s="1457"/>
      <c r="BN495" s="1457"/>
      <c r="BO495" s="1457"/>
      <c r="BP495" s="1457"/>
      <c r="BQ495" s="1457"/>
      <c r="BR495" s="1457"/>
      <c r="BS495" s="1457"/>
      <c r="BT495" s="1457"/>
      <c r="BU495" s="1457"/>
      <c r="BV495" s="1457"/>
      <c r="BW495" s="1457"/>
      <c r="BX495" s="1457"/>
      <c r="BY495" s="1457"/>
      <c r="BZ495" s="1457"/>
      <c r="CA495" s="1457"/>
      <c r="CB495" s="59"/>
      <c r="CC495" s="59"/>
      <c r="CD495" s="58"/>
      <c r="CE495" s="58"/>
      <c r="CF495" s="58"/>
      <c r="CG495" s="58"/>
      <c r="CH495" s="58"/>
      <c r="CI495" s="58"/>
      <c r="CJ495" s="58"/>
      <c r="CK495" s="58"/>
      <c r="CL495" s="58"/>
      <c r="CM495" s="58"/>
      <c r="CN495" s="58"/>
      <c r="CO495" s="58"/>
      <c r="CP495" s="58"/>
      <c r="CQ495" s="58"/>
      <c r="CR495" s="58"/>
      <c r="CS495" s="58"/>
      <c r="CT495" s="58"/>
      <c r="CU495" s="58"/>
      <c r="CV495" s="58"/>
      <c r="CW495" s="58"/>
      <c r="CX495" s="58"/>
      <c r="CY495" s="58"/>
      <c r="CZ495" s="58"/>
      <c r="DA495" s="58"/>
      <c r="DB495" s="58"/>
      <c r="DC495" s="58"/>
      <c r="DD495" s="58"/>
      <c r="DE495" s="1516"/>
      <c r="DF495" s="58"/>
      <c r="DG495" s="58"/>
      <c r="DH495" s="1516"/>
      <c r="DI495" s="58"/>
      <c r="DJ495" s="58"/>
      <c r="DK495" s="1516"/>
      <c r="DL495" s="58"/>
      <c r="DM495" s="58"/>
      <c r="DN495" s="1516"/>
      <c r="DO495" s="58"/>
      <c r="DP495" s="58"/>
      <c r="DQ495" s="1516"/>
      <c r="DR495" s="58"/>
      <c r="DS495" s="58"/>
      <c r="DT495" s="1516"/>
      <c r="DU495" s="58"/>
      <c r="DV495" s="58"/>
      <c r="DW495" s="1516"/>
      <c r="DX495" s="58"/>
      <c r="DY495" s="58"/>
      <c r="DZ495" s="1516"/>
      <c r="EA495" s="58"/>
      <c r="EB495" s="58"/>
      <c r="EC495" s="1516"/>
      <c r="ED495" s="58"/>
      <c r="EE495" s="58"/>
      <c r="EF495" s="1516"/>
      <c r="EG495" s="58"/>
      <c r="EH495" s="58"/>
      <c r="EI495" s="1516"/>
      <c r="EJ495" s="58"/>
      <c r="EK495" s="58"/>
      <c r="EL495" s="1516"/>
      <c r="EM495" s="58"/>
      <c r="EN495" s="58"/>
      <c r="EO495" s="1516"/>
      <c r="EP495" s="58"/>
      <c r="EQ495" s="58"/>
      <c r="ER495" s="1516"/>
      <c r="ES495" s="58"/>
      <c r="ET495" s="58"/>
      <c r="EU495" s="1516"/>
      <c r="EV495" s="58"/>
      <c r="EW495" s="58"/>
      <c r="EX495" s="1516"/>
      <c r="EY495" s="58"/>
      <c r="EZ495" s="58"/>
      <c r="FA495" s="1516"/>
      <c r="FD495"/>
      <c r="FE495"/>
      <c r="FF495"/>
      <c r="FG495"/>
      <c r="FH495"/>
      <c r="FI495"/>
    </row>
    <row r="496" spans="1:165" s="33" customFormat="1">
      <c r="E496" s="34"/>
      <c r="F496" s="34"/>
      <c r="G496" s="35"/>
      <c r="H496" s="34"/>
      <c r="I496" s="34"/>
      <c r="J496" s="35"/>
      <c r="K496" s="34"/>
      <c r="L496" s="34"/>
      <c r="M496" s="35"/>
      <c r="N496" s="34"/>
      <c r="O496" s="34"/>
      <c r="P496" s="35"/>
      <c r="Q496" s="36"/>
      <c r="R496" s="36"/>
      <c r="S496" s="70"/>
      <c r="T496" s="36"/>
      <c r="U496" s="36"/>
      <c r="V496" s="1022"/>
      <c r="W496" s="1021"/>
      <c r="X496" s="1021"/>
      <c r="Y496" s="1022"/>
      <c r="Z496" s="1021"/>
      <c r="AA496" s="1021"/>
      <c r="AB496" s="1022"/>
      <c r="AC496" s="1021"/>
      <c r="AD496" s="1021"/>
      <c r="AE496" s="1022"/>
      <c r="AF496" s="1021"/>
      <c r="AG496" s="1021"/>
      <c r="AH496" s="1022"/>
      <c r="AI496" s="1021"/>
      <c r="AJ496" s="1021"/>
      <c r="AK496" s="1022"/>
      <c r="AL496" s="1021"/>
      <c r="AM496" s="1021"/>
      <c r="AN496" s="1022"/>
      <c r="AO496" s="1021"/>
      <c r="AP496" s="1021"/>
      <c r="AQ496" s="1022"/>
      <c r="AR496" s="1021"/>
      <c r="AS496" s="1021"/>
      <c r="AT496" s="1022"/>
      <c r="AU496" s="34"/>
      <c r="AV496" s="34"/>
      <c r="AW496" s="35"/>
      <c r="AX496" s="34"/>
      <c r="AY496" s="34"/>
      <c r="AZ496" s="35"/>
      <c r="BA496" s="34"/>
      <c r="BB496" s="34"/>
      <c r="BC496" s="35"/>
      <c r="BD496" s="34"/>
      <c r="BE496" s="34"/>
      <c r="BF496" s="35"/>
      <c r="BG496" s="34"/>
      <c r="BH496" s="34"/>
      <c r="BI496" s="35"/>
      <c r="BJ496" s="34"/>
      <c r="BK496" s="34"/>
      <c r="BL496" s="35"/>
      <c r="BM496" s="34"/>
      <c r="BN496" s="34"/>
      <c r="BO496" s="35"/>
      <c r="BP496" s="34"/>
      <c r="BQ496" s="34"/>
      <c r="BR496" s="35"/>
      <c r="BS496" s="34"/>
      <c r="BT496" s="34"/>
      <c r="BU496" s="35"/>
      <c r="BV496" s="34"/>
      <c r="BW496" s="34"/>
      <c r="BX496" s="35"/>
      <c r="BY496" s="34"/>
      <c r="BZ496" s="34"/>
      <c r="CA496" s="35"/>
      <c r="CB496" s="34"/>
      <c r="CC496" s="34"/>
      <c r="DE496" s="1472"/>
      <c r="DH496" s="1472"/>
      <c r="DK496" s="1472"/>
      <c r="DN496" s="1472"/>
      <c r="DQ496" s="1472"/>
      <c r="DT496" s="1472"/>
      <c r="DW496" s="1472"/>
      <c r="DZ496" s="1472"/>
      <c r="EC496" s="1472"/>
      <c r="EF496" s="1472"/>
      <c r="EI496" s="1472"/>
      <c r="EL496" s="1472"/>
      <c r="EO496" s="1472"/>
      <c r="ER496" s="1472"/>
      <c r="EU496" s="1472"/>
      <c r="EX496" s="1472"/>
      <c r="FA496" s="1472"/>
      <c r="FD496"/>
      <c r="FE496"/>
      <c r="FF496"/>
      <c r="FG496"/>
      <c r="FH496"/>
      <c r="FI496"/>
    </row>
    <row r="497" spans="2:165" s="33" customFormat="1">
      <c r="E497" s="34"/>
      <c r="F497" s="34"/>
      <c r="G497" s="35"/>
      <c r="H497" s="34"/>
      <c r="I497" s="34"/>
      <c r="J497" s="35"/>
      <c r="K497" s="34"/>
      <c r="L497" s="34"/>
      <c r="M497" s="35"/>
      <c r="N497" s="34"/>
      <c r="O497" s="34"/>
      <c r="P497" s="35"/>
      <c r="Q497" s="36"/>
      <c r="R497" s="36"/>
      <c r="S497" s="70"/>
      <c r="T497" s="36"/>
      <c r="U497" s="36"/>
      <c r="V497" s="1022"/>
      <c r="W497" s="1021"/>
      <c r="X497" s="1021"/>
      <c r="Y497" s="1022"/>
      <c r="Z497" s="1021"/>
      <c r="AA497" s="1021"/>
      <c r="AB497" s="1022"/>
      <c r="AC497" s="1021"/>
      <c r="AD497" s="1021"/>
      <c r="AE497" s="1022"/>
      <c r="AF497" s="1021"/>
      <c r="AG497" s="1021"/>
      <c r="AH497" s="1022"/>
      <c r="AI497" s="1021"/>
      <c r="AJ497" s="1021"/>
      <c r="AK497" s="1022"/>
      <c r="AL497" s="1021"/>
      <c r="AM497" s="1021"/>
      <c r="AN497" s="1022"/>
      <c r="AO497" s="1021"/>
      <c r="AP497" s="1021"/>
      <c r="AQ497" s="1022"/>
      <c r="AR497" s="1021"/>
      <c r="AS497" s="1021"/>
      <c r="AT497" s="1022"/>
      <c r="AU497" s="34"/>
      <c r="AV497" s="34"/>
      <c r="AW497" s="35"/>
      <c r="AX497" s="34"/>
      <c r="AY497" s="34"/>
      <c r="AZ497" s="35"/>
      <c r="BA497" s="34"/>
      <c r="BB497" s="34"/>
      <c r="BC497" s="35"/>
      <c r="BD497" s="34"/>
      <c r="BE497" s="34"/>
      <c r="BF497" s="35"/>
      <c r="BG497" s="34"/>
      <c r="BH497" s="34"/>
      <c r="BI497" s="35"/>
      <c r="BJ497" s="34"/>
      <c r="BK497" s="34"/>
      <c r="BL497" s="35"/>
      <c r="BM497" s="34"/>
      <c r="BN497" s="34"/>
      <c r="BO497" s="35"/>
      <c r="BP497" s="34"/>
      <c r="BQ497" s="34"/>
      <c r="BR497" s="35"/>
      <c r="BS497" s="34"/>
      <c r="BT497" s="34"/>
      <c r="BU497" s="35"/>
      <c r="BV497" s="34"/>
      <c r="BW497" s="34"/>
      <c r="BX497" s="35"/>
      <c r="BY497" s="34"/>
      <c r="BZ497" s="34"/>
      <c r="CA497" s="35"/>
      <c r="CB497" s="34"/>
      <c r="CC497" s="34"/>
      <c r="DE497" s="1472"/>
      <c r="DH497" s="1472"/>
      <c r="DK497" s="1472"/>
      <c r="DN497" s="1472"/>
      <c r="DQ497" s="1472"/>
      <c r="DT497" s="1472"/>
      <c r="DW497" s="1472"/>
      <c r="DZ497" s="1472"/>
      <c r="EC497" s="1472"/>
      <c r="EF497" s="1472"/>
      <c r="EI497" s="1472"/>
      <c r="EL497" s="1472"/>
      <c r="EO497" s="1472"/>
      <c r="ER497" s="1472"/>
      <c r="EU497" s="1472"/>
      <c r="EX497" s="1472"/>
      <c r="FA497" s="1472"/>
      <c r="FD497"/>
      <c r="FE497"/>
      <c r="FF497"/>
      <c r="FG497"/>
      <c r="FH497"/>
      <c r="FI497"/>
    </row>
    <row r="498" spans="2:165" customFormat="1"/>
    <row r="499" spans="2:165" s="33" customFormat="1">
      <c r="E499" s="34"/>
      <c r="F499" s="34"/>
      <c r="G499" s="35"/>
      <c r="H499" s="34"/>
      <c r="I499" s="34"/>
      <c r="J499" s="35"/>
      <c r="K499" s="34"/>
      <c r="L499" s="34"/>
      <c r="M499" s="35"/>
      <c r="N499" s="34"/>
      <c r="O499" s="34"/>
      <c r="P499" s="35"/>
      <c r="Q499" s="36"/>
      <c r="R499" s="36"/>
      <c r="S499" s="70"/>
      <c r="T499" s="36"/>
      <c r="U499" s="36"/>
      <c r="V499" s="1022"/>
      <c r="W499" s="1021"/>
      <c r="X499" s="1021"/>
      <c r="Y499" s="1022"/>
      <c r="Z499" s="1021"/>
      <c r="AA499" s="1021"/>
      <c r="AB499" s="1022"/>
      <c r="AC499" s="1021"/>
      <c r="AD499" s="1021"/>
      <c r="AE499" s="1022"/>
      <c r="AF499" s="1021"/>
      <c r="AG499" s="1021"/>
      <c r="AH499" s="1022"/>
      <c r="AI499" s="1021"/>
      <c r="AJ499" s="1021"/>
      <c r="AK499" s="1022"/>
      <c r="AL499" s="1021"/>
      <c r="AM499" s="1021"/>
      <c r="AN499" s="1022"/>
      <c r="AO499" s="1021"/>
      <c r="AP499" s="1021"/>
      <c r="AQ499" s="1022"/>
      <c r="AR499" s="1021"/>
      <c r="AS499" s="1021"/>
      <c r="AT499" s="1022"/>
      <c r="AU499" s="34"/>
      <c r="AV499" s="34"/>
      <c r="AW499" s="35"/>
      <c r="AX499" s="34"/>
      <c r="AY499" s="34"/>
      <c r="AZ499" s="35"/>
      <c r="BA499" s="34"/>
      <c r="BB499" s="34"/>
      <c r="BC499" s="35"/>
      <c r="BD499" s="34"/>
      <c r="BE499" s="34"/>
      <c r="BF499" s="35"/>
      <c r="BG499" s="34"/>
      <c r="BH499" s="34"/>
      <c r="BI499" s="35"/>
      <c r="BJ499" s="34"/>
      <c r="BK499" s="34"/>
      <c r="BL499" s="35"/>
      <c r="BM499" s="34"/>
      <c r="BN499" s="34"/>
      <c r="BO499" s="35"/>
      <c r="BP499" s="34"/>
      <c r="BQ499" s="34"/>
      <c r="BR499" s="35"/>
      <c r="BS499" s="34"/>
      <c r="BT499" s="34"/>
      <c r="BU499" s="35"/>
      <c r="BV499" s="34"/>
      <c r="BW499" s="34"/>
      <c r="BX499" s="35"/>
      <c r="BY499" s="34"/>
      <c r="BZ499" s="34"/>
      <c r="CA499" s="35"/>
      <c r="CB499" s="34"/>
      <c r="CC499" s="34"/>
      <c r="DE499" s="1472"/>
      <c r="DH499" s="1472"/>
      <c r="DK499" s="1472"/>
      <c r="DN499" s="1472"/>
      <c r="DQ499" s="1472"/>
      <c r="DT499" s="1472"/>
      <c r="DW499" s="1472"/>
      <c r="DZ499" s="1472"/>
      <c r="EC499" s="1472"/>
      <c r="EF499" s="1472"/>
      <c r="EI499" s="1472"/>
      <c r="EL499" s="1472"/>
      <c r="EO499" s="1472"/>
      <c r="ER499" s="1472"/>
      <c r="EU499" s="1472"/>
      <c r="EX499" s="1472"/>
      <c r="FA499" s="1472"/>
      <c r="FD499"/>
      <c r="FE499"/>
      <c r="FF499"/>
      <c r="FG499"/>
      <c r="FH499"/>
      <c r="FI499"/>
    </row>
    <row r="500" spans="2:165" s="33" customFormat="1">
      <c r="E500" s="34"/>
      <c r="F500" s="34"/>
      <c r="G500" s="35"/>
      <c r="H500" s="34"/>
      <c r="I500" s="34"/>
      <c r="J500" s="35"/>
      <c r="K500" s="34"/>
      <c r="L500" s="34"/>
      <c r="M500" s="35"/>
      <c r="N500" s="34"/>
      <c r="O500" s="34"/>
      <c r="P500" s="35"/>
      <c r="Q500" s="36"/>
      <c r="R500" s="36"/>
      <c r="S500" s="70"/>
      <c r="T500" s="36"/>
      <c r="U500" s="36"/>
      <c r="V500" s="1022"/>
      <c r="W500" s="1021"/>
      <c r="X500" s="1021"/>
      <c r="Y500" s="1022"/>
      <c r="Z500" s="1021"/>
      <c r="AA500" s="1021"/>
      <c r="AB500" s="1022"/>
      <c r="AC500" s="1021"/>
      <c r="AD500" s="1021"/>
      <c r="AE500" s="1022"/>
      <c r="AF500" s="1021"/>
      <c r="AG500" s="1021"/>
      <c r="AH500" s="1022"/>
      <c r="AI500" s="1021"/>
      <c r="AJ500" s="1021"/>
      <c r="AK500" s="1022"/>
      <c r="AL500" s="1021"/>
      <c r="AM500" s="1021"/>
      <c r="AN500" s="1022"/>
      <c r="AO500" s="1021"/>
      <c r="AP500" s="1021"/>
      <c r="AQ500" s="1022"/>
      <c r="AR500" s="1021"/>
      <c r="AS500" s="1021"/>
      <c r="AT500" s="1022"/>
      <c r="AU500" s="34"/>
      <c r="AV500" s="34"/>
      <c r="AW500" s="35"/>
      <c r="AX500" s="34"/>
      <c r="AY500" s="34"/>
      <c r="AZ500" s="35"/>
      <c r="BA500" s="34"/>
      <c r="BB500" s="34"/>
      <c r="BC500" s="35"/>
      <c r="BD500" s="34"/>
      <c r="BE500" s="34"/>
      <c r="BF500" s="35"/>
      <c r="BG500" s="34"/>
      <c r="BH500" s="34"/>
      <c r="BI500" s="35"/>
      <c r="BJ500" s="34"/>
      <c r="BK500" s="34"/>
      <c r="BL500" s="35"/>
      <c r="BM500" s="34"/>
      <c r="BN500" s="34"/>
      <c r="BO500" s="35"/>
      <c r="BP500" s="34"/>
      <c r="BQ500" s="34"/>
      <c r="BR500" s="35"/>
      <c r="BS500" s="34"/>
      <c r="BT500" s="34"/>
      <c r="BU500" s="35"/>
      <c r="BV500" s="34"/>
      <c r="BW500" s="34"/>
      <c r="BX500" s="35"/>
      <c r="BY500" s="34"/>
      <c r="BZ500" s="34"/>
      <c r="CA500" s="35"/>
      <c r="CB500" s="34"/>
      <c r="CC500" s="34"/>
      <c r="DE500" s="1472"/>
      <c r="DH500" s="1472"/>
      <c r="DK500" s="1472"/>
      <c r="DN500" s="1472"/>
      <c r="DQ500" s="1472"/>
      <c r="DT500" s="1472"/>
      <c r="DW500" s="1472"/>
      <c r="DZ500" s="1472"/>
      <c r="EC500" s="1472"/>
      <c r="EF500" s="1472"/>
      <c r="EI500" s="1472"/>
      <c r="EL500" s="1472"/>
      <c r="EO500" s="1472"/>
      <c r="ER500" s="1472"/>
      <c r="EU500" s="1472"/>
      <c r="EX500" s="1472"/>
      <c r="FA500" s="1472"/>
      <c r="FD500"/>
      <c r="FE500"/>
      <c r="FF500"/>
      <c r="FG500"/>
      <c r="FH500"/>
      <c r="FI500"/>
    </row>
    <row r="501" spans="2:165" s="33" customFormat="1">
      <c r="E501" s="34"/>
      <c r="F501" s="34"/>
      <c r="G501" s="35"/>
      <c r="H501" s="34"/>
      <c r="I501" s="34"/>
      <c r="J501" s="35"/>
      <c r="K501" s="34"/>
      <c r="L501" s="34"/>
      <c r="M501" s="35"/>
      <c r="N501" s="34"/>
      <c r="O501" s="34"/>
      <c r="P501" s="35"/>
      <c r="Q501" s="36"/>
      <c r="R501" s="36"/>
      <c r="S501" s="70"/>
      <c r="T501" s="36"/>
      <c r="U501" s="36"/>
      <c r="V501" s="1022"/>
      <c r="W501" s="1021"/>
      <c r="X501" s="1021"/>
      <c r="Y501" s="1022"/>
      <c r="Z501" s="1021"/>
      <c r="AA501" s="1021"/>
      <c r="AB501" s="1022"/>
      <c r="AC501" s="1021"/>
      <c r="AD501" s="1021"/>
      <c r="AE501" s="1022"/>
      <c r="AF501" s="1021"/>
      <c r="AG501" s="1021"/>
      <c r="AH501" s="1022"/>
      <c r="AI501" s="1021"/>
      <c r="AJ501" s="1021"/>
      <c r="AK501" s="1022"/>
      <c r="AL501" s="1021"/>
      <c r="AM501" s="1021"/>
      <c r="AN501" s="1022"/>
      <c r="AO501" s="1021"/>
      <c r="AP501" s="1021"/>
      <c r="AQ501" s="1022"/>
      <c r="AR501" s="1021"/>
      <c r="AS501" s="1021"/>
      <c r="AT501" s="1022"/>
      <c r="AU501" s="34"/>
      <c r="AV501" s="34"/>
      <c r="AW501" s="35"/>
      <c r="AX501" s="34"/>
      <c r="AY501" s="34"/>
      <c r="AZ501" s="35"/>
      <c r="BA501" s="34"/>
      <c r="BB501" s="34"/>
      <c r="BC501" s="35"/>
      <c r="BD501" s="34"/>
      <c r="BE501" s="34"/>
      <c r="BF501" s="35"/>
      <c r="BG501" s="34"/>
      <c r="BH501" s="34"/>
      <c r="BI501" s="35"/>
      <c r="BJ501" s="34"/>
      <c r="BK501" s="34"/>
      <c r="BL501" s="1518"/>
      <c r="BM501" s="1518"/>
      <c r="BN501" s="1518"/>
      <c r="BO501" s="1518"/>
      <c r="BP501" s="1518"/>
      <c r="BQ501" s="1518"/>
      <c r="BR501" s="1518"/>
      <c r="BS501" s="1518"/>
      <c r="BT501" s="1518"/>
      <c r="BU501" s="1518"/>
      <c r="BV501" s="1518"/>
      <c r="BW501" s="1518"/>
      <c r="BX501" s="1518"/>
      <c r="BY501" s="1518"/>
      <c r="BZ501" s="1518"/>
      <c r="CA501" s="1518"/>
      <c r="CB501" s="1518"/>
      <c r="CC501" s="1518"/>
      <c r="CD501" s="1518"/>
      <c r="CE501" s="1518"/>
      <c r="CF501" s="1518"/>
      <c r="CG501" s="1518"/>
      <c r="CH501" s="1518"/>
      <c r="CI501" s="1518"/>
      <c r="CJ501" s="1518"/>
      <c r="CK501" s="1518"/>
      <c r="CL501" s="1518"/>
      <c r="CM501" s="1518"/>
      <c r="DE501" s="1472"/>
      <c r="DH501" s="1472"/>
      <c r="DK501" s="1472"/>
      <c r="DN501" s="1472"/>
      <c r="DQ501" s="1472"/>
      <c r="DT501" s="1472"/>
      <c r="DW501" s="1472"/>
      <c r="DZ501" s="1472"/>
      <c r="EC501" s="1472"/>
      <c r="EF501" s="1472"/>
      <c r="EI501" s="1472"/>
      <c r="EL501" s="1472"/>
      <c r="EO501" s="1472"/>
      <c r="ER501" s="1472"/>
      <c r="EU501" s="1472"/>
      <c r="EX501" s="1472"/>
      <c r="FA501" s="1472"/>
      <c r="FD501"/>
      <c r="FE501"/>
      <c r="FF501"/>
      <c r="FG501"/>
      <c r="FH501"/>
      <c r="FI501"/>
    </row>
    <row r="502" spans="2:165" s="33" customFormat="1">
      <c r="B502" s="33" t="s">
        <v>854</v>
      </c>
      <c r="E502" s="34"/>
      <c r="F502" s="34"/>
      <c r="G502" s="35"/>
      <c r="H502" s="34"/>
      <c r="I502" s="34"/>
      <c r="J502" s="35"/>
      <c r="K502" s="34"/>
      <c r="L502" s="34"/>
      <c r="M502" s="35"/>
      <c r="N502" s="34"/>
      <c r="O502" s="34"/>
      <c r="P502" s="35"/>
      <c r="Q502" s="36"/>
      <c r="R502" s="36"/>
      <c r="S502" s="70"/>
      <c r="T502" s="36"/>
      <c r="U502" s="36"/>
      <c r="V502" s="1022"/>
      <c r="W502" s="1021"/>
      <c r="X502" s="1021"/>
      <c r="Y502" s="1022"/>
      <c r="Z502" s="1021"/>
      <c r="AA502" s="1021"/>
      <c r="AB502" s="1022"/>
      <c r="AC502" s="1021"/>
      <c r="AD502" s="1021"/>
      <c r="AE502" s="1022"/>
      <c r="AF502" s="1021"/>
      <c r="AG502" s="1021"/>
      <c r="AH502" s="1022"/>
      <c r="AI502" s="1021"/>
      <c r="AJ502" s="1021"/>
      <c r="AK502" s="1022"/>
      <c r="AL502" s="1021"/>
      <c r="AM502" s="1021"/>
      <c r="AN502" s="1022"/>
      <c r="AO502" s="1021"/>
      <c r="AP502" s="1021"/>
      <c r="AQ502" s="1022"/>
      <c r="AR502" s="1021"/>
      <c r="AS502" s="1021"/>
      <c r="AT502" s="1022"/>
      <c r="AU502" s="34"/>
      <c r="AV502" s="34"/>
      <c r="AW502" s="35"/>
      <c r="AX502" s="34"/>
      <c r="AY502" s="34"/>
      <c r="AZ502" s="35"/>
      <c r="BA502" s="34"/>
      <c r="BB502" s="34"/>
      <c r="BC502" s="35"/>
      <c r="BD502" s="34"/>
      <c r="BE502" s="34"/>
      <c r="BF502" s="35"/>
      <c r="BG502" s="35"/>
      <c r="BH502" s="34"/>
      <c r="BI502" s="35"/>
      <c r="BJ502" s="34"/>
      <c r="BK502" s="34"/>
      <c r="BL502" s="1518"/>
      <c r="BM502" s="1518"/>
      <c r="BN502" s="1518"/>
      <c r="BO502" s="1518"/>
      <c r="BP502" s="1518"/>
      <c r="BQ502" s="1518"/>
      <c r="BR502" s="1518"/>
      <c r="BS502" s="1518"/>
      <c r="BT502" s="1518"/>
      <c r="BU502" s="1518"/>
      <c r="BV502" s="1518"/>
      <c r="BW502" s="1518"/>
      <c r="BX502" s="1518"/>
      <c r="BY502" s="1518"/>
      <c r="BZ502" s="1518"/>
      <c r="CA502" s="1518"/>
      <c r="CB502" s="1518"/>
      <c r="CC502" s="1518"/>
      <c r="CD502" s="1518"/>
      <c r="CE502" s="1518"/>
      <c r="CF502" s="1518"/>
      <c r="CG502" s="1518"/>
      <c r="CH502" s="1518"/>
      <c r="CI502" s="1518"/>
      <c r="CJ502" s="1518"/>
      <c r="CK502" s="1518"/>
      <c r="CL502" s="1518"/>
      <c r="CM502" s="1518"/>
      <c r="DB502" s="33">
        <f>Segment!DB175</f>
        <v>0</v>
      </c>
      <c r="DC502" s="33">
        <f>Segment!DC175</f>
        <v>0</v>
      </c>
      <c r="DD502" s="33">
        <f>Segment!DD175</f>
        <v>0</v>
      </c>
      <c r="DE502" s="1472">
        <f>Segment!DE175</f>
        <v>0</v>
      </c>
      <c r="DF502" s="33">
        <f>Segment!DF175</f>
        <v>0</v>
      </c>
      <c r="DG502" s="33">
        <f>Segment!DG175</f>
        <v>0</v>
      </c>
      <c r="DH502" s="1472">
        <f>Segment!DH175</f>
        <v>0</v>
      </c>
      <c r="DI502" s="33">
        <f>Segment!DI175</f>
        <v>2248.0256347644754</v>
      </c>
      <c r="DJ502" s="33">
        <f>Segment!DJ175</f>
        <v>2231.1237854531682</v>
      </c>
      <c r="DK502" s="1472">
        <f>Segment!DK175</f>
        <v>4479.1494202176436</v>
      </c>
      <c r="DL502" s="33">
        <f>Segment!DL175</f>
        <v>2063.7499258760886</v>
      </c>
      <c r="DM502" s="33">
        <f>Segment!DM175</f>
        <v>2105.2780358459813</v>
      </c>
      <c r="DN502" s="1472">
        <f>Segment!DN175</f>
        <v>4169.0279617220694</v>
      </c>
      <c r="DO502" s="33">
        <f>Segment!DO175</f>
        <v>2225</v>
      </c>
      <c r="DP502" s="33">
        <f>Segment!DP175</f>
        <v>2450</v>
      </c>
      <c r="DQ502" s="1472">
        <f>Segment!DQ175</f>
        <v>4675</v>
      </c>
      <c r="DR502" s="33">
        <f>Segment!DR175</f>
        <v>2757</v>
      </c>
      <c r="DS502" s="33">
        <f>Segment!DS175</f>
        <v>2909</v>
      </c>
      <c r="DT502" s="1472">
        <f>Segment!DT175</f>
        <v>5666</v>
      </c>
      <c r="DU502" s="33">
        <f>Segment!DU175</f>
        <v>3174</v>
      </c>
      <c r="DV502" s="33">
        <f>Segment!DV175</f>
        <v>2890</v>
      </c>
      <c r="DW502" s="1472">
        <f>Segment!DW175</f>
        <v>6064</v>
      </c>
      <c r="DX502" s="33">
        <f>Segment!DX175</f>
        <v>3046</v>
      </c>
      <c r="DY502" s="33">
        <f>Segment!DY175</f>
        <v>3289.294061032298</v>
      </c>
      <c r="DZ502" s="1472">
        <f>Segment!DZ175</f>
        <v>6335.2940610322985</v>
      </c>
      <c r="EA502" s="33">
        <f>Segment!EA175</f>
        <v>3330.3034573357486</v>
      </c>
      <c r="EB502" s="33">
        <f>Segment!EB175</f>
        <v>3568.4164453045591</v>
      </c>
      <c r="EC502" s="1472">
        <f>Segment!EC175</f>
        <v>6898.7199026403077</v>
      </c>
      <c r="ED502" s="33">
        <f>Segment!ED175</f>
        <v>3580.9376300992508</v>
      </c>
      <c r="EE502" s="33">
        <f>Segment!EE175</f>
        <v>3837.1181685458782</v>
      </c>
      <c r="EF502" s="1472">
        <f>Segment!EF175</f>
        <v>7418.0557986451295</v>
      </c>
      <c r="EG502" s="33">
        <f>Segment!EG175</f>
        <v>3850.4357942882107</v>
      </c>
      <c r="EH502" s="33">
        <f>Segment!EH175</f>
        <v>4126.0540747195637</v>
      </c>
      <c r="EI502" s="1472">
        <f>Segment!EI175</f>
        <v>7976.4898690077744</v>
      </c>
      <c r="EJ502" s="33">
        <f>Segment!EJ175</f>
        <v>4127.0412569748196</v>
      </c>
      <c r="EK502" s="33">
        <f>Segment!EK175</f>
        <v>4422.361741500983</v>
      </c>
      <c r="EL502" s="1472">
        <f>Segment!EL175</f>
        <v>8549.4029984758017</v>
      </c>
      <c r="EM502" s="33">
        <f>Segment!EM175</f>
        <v>4423.5422000659537</v>
      </c>
      <c r="EN502" s="33">
        <f>Segment!EN175</f>
        <v>4739.9748554319749</v>
      </c>
      <c r="EO502" s="1472">
        <f>Segment!EO175</f>
        <v>9163.5170554979286</v>
      </c>
      <c r="EP502" s="33">
        <f>Segment!EP175</f>
        <v>4741.3714761254714</v>
      </c>
      <c r="EQ502" s="33">
        <f>Segment!EQ175</f>
        <v>5080.4272884672882</v>
      </c>
      <c r="ER502" s="1472">
        <f>Segment!ER175</f>
        <v>9821.7987645927606</v>
      </c>
      <c r="ES502" s="33">
        <f>Segment!ES175</f>
        <v>5082.0652641259903</v>
      </c>
      <c r="ET502" s="33">
        <f>Segment!ET175</f>
        <v>5445.3634852693076</v>
      </c>
      <c r="EU502" s="1472">
        <f>Segment!EU175</f>
        <v>10527.428749395298</v>
      </c>
      <c r="EV502" s="33">
        <f>Segment!EV175</f>
        <v>5447.2705303615621</v>
      </c>
      <c r="EW502" s="33">
        <f>Segment!EW175</f>
        <v>5836.5464445434818</v>
      </c>
      <c r="EX502" s="1472">
        <f>Segment!EX175</f>
        <v>11283.816974905043</v>
      </c>
      <c r="EY502" s="33">
        <f>Segment!EY175</f>
        <v>5838.753028808841</v>
      </c>
      <c r="EZ502" s="33">
        <f>Segment!EZ175</f>
        <v>6255.8662772451025</v>
      </c>
      <c r="FA502" s="1472">
        <f>Segment!FA175</f>
        <v>12094.619306053944</v>
      </c>
      <c r="FD502"/>
      <c r="FE502"/>
      <c r="FF502"/>
      <c r="FG502"/>
      <c r="FH502"/>
      <c r="FI502"/>
    </row>
    <row r="503" spans="2:165" s="33" customFormat="1">
      <c r="B503" s="33" t="s">
        <v>855</v>
      </c>
      <c r="E503" s="34"/>
      <c r="F503" s="34"/>
      <c r="G503" s="35"/>
      <c r="H503" s="34"/>
      <c r="I503" s="34"/>
      <c r="J503" s="35"/>
      <c r="K503" s="34"/>
      <c r="L503" s="34"/>
      <c r="M503" s="35"/>
      <c r="N503" s="34"/>
      <c r="O503" s="34"/>
      <c r="P503" s="35"/>
      <c r="Q503" s="36"/>
      <c r="R503" s="36"/>
      <c r="S503" s="70"/>
      <c r="T503" s="36"/>
      <c r="U503" s="36"/>
      <c r="V503" s="1022"/>
      <c r="W503" s="1021"/>
      <c r="X503" s="1021"/>
      <c r="Y503" s="1022"/>
      <c r="Z503" s="1021"/>
      <c r="AA503" s="1021"/>
      <c r="AB503" s="1022"/>
      <c r="AC503" s="1021"/>
      <c r="AD503" s="1021"/>
      <c r="AE503" s="1022"/>
      <c r="AF503" s="1021"/>
      <c r="AG503" s="1021"/>
      <c r="AH503" s="1022"/>
      <c r="AI503" s="1021"/>
      <c r="AJ503" s="1021"/>
      <c r="AK503" s="1022"/>
      <c r="AL503" s="1021"/>
      <c r="AM503" s="1021"/>
      <c r="AN503" s="1022"/>
      <c r="AO503" s="1021"/>
      <c r="AP503" s="1021"/>
      <c r="AQ503" s="1022"/>
      <c r="AR503" s="1021"/>
      <c r="AS503" s="1021"/>
      <c r="AT503" s="1022"/>
      <c r="AU503" s="34"/>
      <c r="AV503" s="34"/>
      <c r="AW503" s="35"/>
      <c r="AX503" s="34"/>
      <c r="AY503" s="34"/>
      <c r="AZ503" s="35"/>
      <c r="BA503" s="34"/>
      <c r="BB503" s="34"/>
      <c r="BC503" s="35"/>
      <c r="BD503" s="34"/>
      <c r="BE503" s="34"/>
      <c r="BF503" s="35"/>
      <c r="BG503" s="35"/>
      <c r="BH503" s="35"/>
      <c r="BI503" s="35"/>
      <c r="BJ503" s="34"/>
      <c r="BK503" s="34"/>
      <c r="BL503" s="1518"/>
      <c r="BM503" s="1518"/>
      <c r="BN503" s="1518"/>
      <c r="BO503" s="1518"/>
      <c r="BP503" s="1518"/>
      <c r="BQ503" s="1518"/>
      <c r="BR503" s="1518"/>
      <c r="BS503" s="1518"/>
      <c r="BT503" s="1518"/>
      <c r="BU503" s="1518"/>
      <c r="BV503" s="1518"/>
      <c r="BW503" s="1518"/>
      <c r="BX503" s="1518"/>
      <c r="BY503" s="1518"/>
      <c r="BZ503" s="1518"/>
      <c r="CA503" s="1518"/>
      <c r="CB503" s="1518"/>
      <c r="CC503" s="1518"/>
      <c r="CD503" s="1518"/>
      <c r="CE503" s="1518"/>
      <c r="CF503" s="1518"/>
      <c r="CG503" s="1518"/>
      <c r="CH503" s="1518"/>
      <c r="CI503" s="1518"/>
      <c r="CJ503" s="1518"/>
      <c r="CK503" s="1518"/>
      <c r="CL503" s="1518"/>
      <c r="CM503" s="1518"/>
      <c r="DB503" s="983">
        <f>Segment!DB176</f>
        <v>0</v>
      </c>
      <c r="DC503" s="983">
        <f>Segment!DC176</f>
        <v>0</v>
      </c>
      <c r="DD503" s="983">
        <f>Segment!DD176</f>
        <v>0</v>
      </c>
      <c r="DE503" s="1519">
        <f>Segment!DE176</f>
        <v>0</v>
      </c>
      <c r="DF503" s="983">
        <f>Segment!DF176</f>
        <v>0</v>
      </c>
      <c r="DG503" s="983">
        <f>Segment!DG176</f>
        <v>0</v>
      </c>
      <c r="DH503" s="1519">
        <f>Segment!DH176</f>
        <v>0</v>
      </c>
      <c r="DI503" s="983">
        <f>Segment!DI176</f>
        <v>7.6125244023205418E-2</v>
      </c>
      <c r="DJ503" s="983">
        <f>Segment!DJ176</f>
        <v>5.59033522675636E-2</v>
      </c>
      <c r="DK503" s="1519">
        <f>Segment!DK176</f>
        <v>6.5956548806694881E-2</v>
      </c>
      <c r="DL503" s="983">
        <f>Segment!DL176</f>
        <v>-8.1972245351060402E-2</v>
      </c>
      <c r="DM503" s="983">
        <f>Segment!DM176</f>
        <v>-5.6404647033793331E-2</v>
      </c>
      <c r="DN503" s="1519">
        <f>Segment!DN176</f>
        <v>-6.9236685227729078E-2</v>
      </c>
      <c r="DO503" s="983">
        <f>Segment!DO176</f>
        <v>7.8134502684698459E-2</v>
      </c>
      <c r="DP503" s="983">
        <f>Segment!DP176</f>
        <v>0.16374177580563432</v>
      </c>
      <c r="DQ503" s="1519">
        <f>Segment!DQ176</f>
        <v>0.12136451060619224</v>
      </c>
      <c r="DR503" s="983">
        <f>Segment!DR176</f>
        <v>0.23910112359550562</v>
      </c>
      <c r="DS503" s="983">
        <f>Segment!DS176</f>
        <v>0.18734693877551023</v>
      </c>
      <c r="DT503" s="1519">
        <f>Segment!DT176</f>
        <v>0.21197860962566839</v>
      </c>
      <c r="DU503" s="983">
        <f>Segment!DU176</f>
        <v>0.15125136017410235</v>
      </c>
      <c r="DV503" s="983">
        <f>Segment!DV176</f>
        <v>-6.5314541079408706E-3</v>
      </c>
      <c r="DW503" s="1519">
        <f>Segment!DW176</f>
        <v>7.0243558065654854E-2</v>
      </c>
      <c r="DX503" s="983">
        <f>Segment!DX176</f>
        <v>-4.0327662255828622E-2</v>
      </c>
      <c r="DY503" s="983">
        <f>Segment!DY176</f>
        <v>0.13816403495927276</v>
      </c>
      <c r="DZ503" s="1519">
        <f>Segment!DZ176</f>
        <v>4.4738466529072873E-2</v>
      </c>
      <c r="EA503" s="983">
        <f>Segment!EA176</f>
        <v>9.3336657037343507E-2</v>
      </c>
      <c r="EB503" s="983">
        <f>Segment!EB176</f>
        <v>8.4857838518901607E-2</v>
      </c>
      <c r="EC503" s="1519">
        <f>Segment!EC176</f>
        <v>8.8934441902796646E-2</v>
      </c>
      <c r="ED503" s="983">
        <f>Segment!ED176</f>
        <v>7.5258659150541751E-2</v>
      </c>
      <c r="EE503" s="983">
        <f>Segment!EE176</f>
        <v>7.5299990166474373E-2</v>
      </c>
      <c r="EF503" s="1519">
        <f>Segment!EF176</f>
        <v>7.528003793951088E-2</v>
      </c>
      <c r="EG503" s="983">
        <f>Segment!EG176</f>
        <v>7.5259105862028219E-2</v>
      </c>
      <c r="EH503" s="983">
        <f>Segment!EH176</f>
        <v>7.5300236657340536E-2</v>
      </c>
      <c r="EI503" s="1519">
        <f>Segment!EI176</f>
        <v>7.5280381480096192E-2</v>
      </c>
      <c r="EJ503" s="983">
        <f>Segment!EJ176</f>
        <v>7.1837443204981977E-2</v>
      </c>
      <c r="EK503" s="983">
        <f>Segment!EK176</f>
        <v>7.1813810826402813E-2</v>
      </c>
      <c r="EL503" s="1519">
        <f>Segment!EL176</f>
        <v>7.1825218721088158E-2</v>
      </c>
      <c r="EM503" s="983">
        <f>Segment!EM176</f>
        <v>7.1843464755783293E-2</v>
      </c>
      <c r="EN503" s="983">
        <f>Segment!EN176</f>
        <v>7.1819795054393509E-2</v>
      </c>
      <c r="EO503" s="1519">
        <f>Segment!EO176</f>
        <v>7.1831221095977282E-2</v>
      </c>
      <c r="EP503" s="983">
        <f>Segment!EP176</f>
        <v>7.184949564961296E-2</v>
      </c>
      <c r="EQ503" s="983">
        <f>Segment!EQ176</f>
        <v>7.1825788832013959E-2</v>
      </c>
      <c r="ER503" s="1519">
        <f>Segment!ER176</f>
        <v>7.183723292137878E-2</v>
      </c>
      <c r="ES503" s="983">
        <f>Segment!ES176</f>
        <v>7.1855535833046602E-2</v>
      </c>
      <c r="ET503" s="983">
        <f>Segment!ET176</f>
        <v>7.1831792107414749E-2</v>
      </c>
      <c r="EU503" s="1519">
        <f>Segment!EU176</f>
        <v>7.1843254144679625E-2</v>
      </c>
      <c r="EV503" s="983">
        <f>Segment!EV176</f>
        <v>7.186158525226638E-2</v>
      </c>
      <c r="EW503" s="983">
        <f>Segment!EW176</f>
        <v>7.1837804828345231E-2</v>
      </c>
      <c r="EX503" s="1519">
        <f>Segment!EX176</f>
        <v>7.1849284712868888E-2</v>
      </c>
      <c r="EY503" s="983">
        <f>Segment!EY176</f>
        <v>7.1867643853057217E-2</v>
      </c>
      <c r="EZ503" s="983">
        <f>Segment!EZ176</f>
        <v>7.1843826942153077E-2</v>
      </c>
      <c r="FA503" s="1519">
        <f>Segment!FA176</f>
        <v>7.1855324572536627E-2</v>
      </c>
      <c r="FD503"/>
      <c r="FE503"/>
      <c r="FF503"/>
      <c r="FG503"/>
      <c r="FH503"/>
      <c r="FI503"/>
    </row>
    <row r="504" spans="2:165" s="33" customFormat="1">
      <c r="B504" s="33" t="s">
        <v>856</v>
      </c>
      <c r="E504" s="34"/>
      <c r="F504" s="34"/>
      <c r="G504" s="35"/>
      <c r="H504" s="34"/>
      <c r="I504" s="34"/>
      <c r="J504" s="35"/>
      <c r="K504" s="34"/>
      <c r="L504" s="34"/>
      <c r="M504" s="35"/>
      <c r="N504" s="34"/>
      <c r="O504" s="34"/>
      <c r="P504" s="35"/>
      <c r="Q504" s="36"/>
      <c r="R504" s="36"/>
      <c r="S504" s="70"/>
      <c r="T504" s="36"/>
      <c r="U504" s="36"/>
      <c r="V504" s="1022"/>
      <c r="W504" s="1021"/>
      <c r="X504" s="1021"/>
      <c r="Y504" s="1022"/>
      <c r="Z504" s="1021"/>
      <c r="AA504" s="1021"/>
      <c r="AB504" s="1022"/>
      <c r="AC504" s="1021"/>
      <c r="AD504" s="1021"/>
      <c r="AE504" s="1022"/>
      <c r="AF504" s="1021"/>
      <c r="AG504" s="1021"/>
      <c r="AH504" s="1022"/>
      <c r="AI504" s="1021"/>
      <c r="AJ504" s="1021"/>
      <c r="AK504" s="1022"/>
      <c r="AL504" s="1021"/>
      <c r="AM504" s="1021"/>
      <c r="AN504" s="1022"/>
      <c r="AO504" s="1021"/>
      <c r="AP504" s="1021"/>
      <c r="AQ504" s="1022"/>
      <c r="AR504" s="1021"/>
      <c r="AS504" s="1021"/>
      <c r="AT504" s="1022"/>
      <c r="AU504" s="34"/>
      <c r="AV504" s="34"/>
      <c r="AW504" s="35"/>
      <c r="AX504" s="34"/>
      <c r="AY504" s="34"/>
      <c r="AZ504" s="35"/>
      <c r="BA504" s="34"/>
      <c r="BB504" s="34"/>
      <c r="BC504" s="35"/>
      <c r="BD504" s="34"/>
      <c r="BE504" s="34"/>
      <c r="BF504" s="35"/>
      <c r="BG504" s="35"/>
      <c r="BH504" s="35"/>
      <c r="BI504" s="35"/>
      <c r="BJ504" s="34"/>
      <c r="BK504" s="34"/>
      <c r="BL504" s="1518"/>
      <c r="BM504" s="1518"/>
      <c r="BN504" s="1518"/>
      <c r="BO504" s="1518"/>
      <c r="BP504" s="1518"/>
      <c r="BQ504" s="1518"/>
      <c r="BR504" s="1518"/>
      <c r="BS504" s="1518"/>
      <c r="BT504" s="1518"/>
      <c r="BU504" s="1518"/>
      <c r="BV504" s="1518"/>
      <c r="BW504" s="1518"/>
      <c r="BX504" s="1518"/>
      <c r="BY504" s="1518"/>
      <c r="BZ504" s="1518"/>
      <c r="CA504" s="1518"/>
      <c r="CB504" s="1518"/>
      <c r="CC504" s="1518"/>
      <c r="CD504" s="1518"/>
      <c r="CE504" s="1518"/>
      <c r="CF504" s="1518"/>
      <c r="CG504" s="1518"/>
      <c r="CH504" s="1518"/>
      <c r="CI504" s="1518"/>
      <c r="CJ504" s="1518"/>
      <c r="CK504" s="1518"/>
      <c r="CL504" s="1518"/>
      <c r="CM504" s="1518"/>
      <c r="DB504" s="33">
        <f>Segment!DB109</f>
        <v>0</v>
      </c>
      <c r="DC504" s="33">
        <f>Segment!DC109</f>
        <v>0</v>
      </c>
      <c r="DD504" s="33">
        <f>Segment!DD109</f>
        <v>0</v>
      </c>
      <c r="DE504" s="1472">
        <f>Segment!DE109</f>
        <v>0</v>
      </c>
      <c r="DF504" s="33">
        <f>Segment!DF109</f>
        <v>0</v>
      </c>
      <c r="DG504" s="33">
        <f>Segment!DG109</f>
        <v>0</v>
      </c>
      <c r="DH504" s="1472">
        <f>Segment!DH109</f>
        <v>0</v>
      </c>
      <c r="DI504" s="33">
        <f>Segment!DI109</f>
        <v>899</v>
      </c>
      <c r="DJ504" s="33">
        <f>Segment!DJ109</f>
        <v>871</v>
      </c>
      <c r="DK504" s="1472">
        <f>Segment!DK109</f>
        <v>1770</v>
      </c>
      <c r="DL504" s="33">
        <f>Segment!DL109</f>
        <v>914</v>
      </c>
      <c r="DM504" s="33">
        <f>Segment!DM109</f>
        <v>878</v>
      </c>
      <c r="DN504" s="1472">
        <f>Segment!DN109</f>
        <v>1792</v>
      </c>
      <c r="DO504" s="33">
        <f>Segment!DO109</f>
        <v>915</v>
      </c>
      <c r="DP504" s="33">
        <f>Segment!DP109</f>
        <v>916</v>
      </c>
      <c r="DQ504" s="1472">
        <f>Segment!DQ109</f>
        <v>1831</v>
      </c>
      <c r="DR504" s="33">
        <f>Segment!DR109</f>
        <v>976</v>
      </c>
      <c r="DS504" s="33">
        <f>Segment!DS109</f>
        <v>964</v>
      </c>
      <c r="DT504" s="1472">
        <f>Segment!DT109</f>
        <v>1940</v>
      </c>
      <c r="DU504" s="33">
        <f>Segment!DU109</f>
        <v>921</v>
      </c>
      <c r="DV504" s="33">
        <f>Segment!DV109</f>
        <v>952.8</v>
      </c>
      <c r="DW504" s="1472">
        <f>Segment!DW109</f>
        <v>1873.8</v>
      </c>
      <c r="DX504" s="33">
        <f>Segment!DX109</f>
        <v>928</v>
      </c>
      <c r="DY504" s="33">
        <f>Segment!DY109</f>
        <v>1056.8900000000001</v>
      </c>
      <c r="DZ504" s="1472">
        <f>Segment!DZ109</f>
        <v>1984.89</v>
      </c>
      <c r="EA504" s="33">
        <f>Segment!EA109</f>
        <v>990.01</v>
      </c>
      <c r="EB504" s="33">
        <f>Segment!EB109</f>
        <v>1114.5965000000001</v>
      </c>
      <c r="EC504" s="1472">
        <f>Segment!EC109</f>
        <v>2104.6064999999999</v>
      </c>
      <c r="ED504" s="33">
        <f>Segment!ED109</f>
        <v>1045.3378</v>
      </c>
      <c r="EE504" s="33">
        <f>Segment!EE109</f>
        <v>1176.8754300000001</v>
      </c>
      <c r="EF504" s="1472">
        <f>Segment!EF109</f>
        <v>2222.2132300000003</v>
      </c>
      <c r="EG504" s="33">
        <f>Segment!EG109</f>
        <v>1117.4823940000001</v>
      </c>
      <c r="EH504" s="33">
        <f>Segment!EH109</f>
        <v>1257.4021839</v>
      </c>
      <c r="EI504" s="1472">
        <f>Segment!EI109</f>
        <v>2374.8845779000003</v>
      </c>
      <c r="EJ504" s="33">
        <f>Segment!EJ109</f>
        <v>1229.50224187</v>
      </c>
      <c r="EK504" s="33">
        <f>Segment!EK109</f>
        <v>1381.2787292695002</v>
      </c>
      <c r="EL504" s="1472">
        <f>Segment!EL109</f>
        <v>2610.7809711395003</v>
      </c>
      <c r="EM504" s="33">
        <f>Segment!EM109</f>
        <v>1285.5273539635002</v>
      </c>
      <c r="EN504" s="33">
        <f>Segment!EN109</f>
        <v>1444.413665732975</v>
      </c>
      <c r="EO504" s="1472">
        <f>Segment!EO109</f>
        <v>2729.9410196964755</v>
      </c>
      <c r="EP504" s="33">
        <f>Segment!EP109</f>
        <v>1344.3537216616751</v>
      </c>
      <c r="EQ504" s="33">
        <f>Segment!EQ109</f>
        <v>1510.7053490196238</v>
      </c>
      <c r="ER504" s="1472">
        <f>Segment!ER109</f>
        <v>2855.0590706812991</v>
      </c>
      <c r="ES504" s="33">
        <f>Segment!ES109</f>
        <v>1406.1214077447589</v>
      </c>
      <c r="ET504" s="33">
        <f>Segment!ET109</f>
        <v>1580.311616470605</v>
      </c>
      <c r="EU504" s="1472">
        <f>Segment!EU109</f>
        <v>2986.4330242153637</v>
      </c>
      <c r="EV504" s="33">
        <f>Segment!EV109</f>
        <v>1470.9774781319968</v>
      </c>
      <c r="EW504" s="33">
        <f>Segment!EW109</f>
        <v>1653.3981972941356</v>
      </c>
      <c r="EX504" s="1472">
        <f>Segment!EX109</f>
        <v>3124.3756754261321</v>
      </c>
      <c r="EY504" s="33">
        <f>Segment!EY109</f>
        <v>1539.076352038597</v>
      </c>
      <c r="EZ504" s="33">
        <f>Segment!EZ109</f>
        <v>1730.1391071588423</v>
      </c>
      <c r="FA504" s="1472">
        <f>Segment!FA109</f>
        <v>3269.2154591974395</v>
      </c>
      <c r="FD504"/>
      <c r="FE504"/>
      <c r="FF504"/>
      <c r="FG504"/>
      <c r="FH504"/>
      <c r="FI504"/>
    </row>
    <row r="505" spans="2:165" s="33" customFormat="1">
      <c r="B505" s="33" t="s">
        <v>857</v>
      </c>
      <c r="E505" s="34"/>
      <c r="F505" s="34"/>
      <c r="G505" s="35"/>
      <c r="H505" s="34"/>
      <c r="I505" s="34"/>
      <c r="J505" s="35"/>
      <c r="K505" s="34"/>
      <c r="L505" s="34"/>
      <c r="M505" s="35"/>
      <c r="N505" s="34"/>
      <c r="O505" s="34"/>
      <c r="P505" s="35"/>
      <c r="Q505" s="36"/>
      <c r="R505" s="36"/>
      <c r="S505" s="70"/>
      <c r="T505" s="36"/>
      <c r="U505" s="36"/>
      <c r="V505" s="1022"/>
      <c r="W505" s="1021"/>
      <c r="X505" s="1021"/>
      <c r="Y505" s="1022"/>
      <c r="Z505" s="1021"/>
      <c r="AA505" s="1021"/>
      <c r="AB505" s="1022"/>
      <c r="AC505" s="1021"/>
      <c r="AD505" s="1021"/>
      <c r="AE505" s="1022"/>
      <c r="AF505" s="1021"/>
      <c r="AG505" s="1021"/>
      <c r="AH505" s="1022"/>
      <c r="AI505" s="1021"/>
      <c r="AJ505" s="1021"/>
      <c r="AK505" s="1022"/>
      <c r="AL505" s="1021"/>
      <c r="AM505" s="1021"/>
      <c r="AN505" s="1022"/>
      <c r="AO505" s="1021"/>
      <c r="AP505" s="1021"/>
      <c r="AQ505" s="1022"/>
      <c r="AR505" s="1021"/>
      <c r="AS505" s="1021"/>
      <c r="AT505" s="1022"/>
      <c r="AU505" s="34"/>
      <c r="AV505" s="34"/>
      <c r="AW505" s="35"/>
      <c r="AX505" s="34"/>
      <c r="AY505" s="34"/>
      <c r="AZ505" s="35"/>
      <c r="BA505" s="34"/>
      <c r="BB505" s="34"/>
      <c r="BC505" s="35"/>
      <c r="BD505" s="34"/>
      <c r="BE505" s="34"/>
      <c r="BF505" s="35"/>
      <c r="BG505" s="35"/>
      <c r="BH505" s="34"/>
      <c r="BI505" s="35"/>
      <c r="BJ505" s="34"/>
      <c r="BK505" s="34"/>
      <c r="BL505" s="1518"/>
      <c r="BM505" s="1518"/>
      <c r="BN505" s="1518"/>
      <c r="BO505" s="1518"/>
      <c r="BP505" s="1518"/>
      <c r="BQ505" s="1518"/>
      <c r="BR505" s="1518"/>
      <c r="BS505" s="1518"/>
      <c r="BT505" s="1518"/>
      <c r="BU505" s="1518"/>
      <c r="BV505" s="1518"/>
      <c r="BW505" s="1518"/>
      <c r="BX505" s="1518"/>
      <c r="BY505" s="1518"/>
      <c r="BZ505" s="1518"/>
      <c r="CA505" s="1518"/>
      <c r="CB505" s="1518"/>
      <c r="CC505" s="1518"/>
      <c r="CD505" s="1518"/>
      <c r="CE505" s="1518"/>
      <c r="CF505" s="1518"/>
      <c r="CG505" s="1518"/>
      <c r="CH505" s="1518"/>
      <c r="CI505" s="1518"/>
      <c r="CJ505" s="1518"/>
      <c r="CK505" s="1518"/>
      <c r="CL505" s="1518"/>
      <c r="CM505" s="1518"/>
      <c r="DB505" s="983">
        <f>Segment!DB110</f>
        <v>0</v>
      </c>
      <c r="DC505" s="983">
        <f>Segment!DC110</f>
        <v>0</v>
      </c>
      <c r="DD505" s="983">
        <f>Segment!DD110</f>
        <v>0</v>
      </c>
      <c r="DE505" s="1519">
        <f>Segment!DE110</f>
        <v>0</v>
      </c>
      <c r="DF505" s="983">
        <f>Segment!DF110</f>
        <v>0</v>
      </c>
      <c r="DG505" s="983">
        <f>Segment!DG110</f>
        <v>0</v>
      </c>
      <c r="DH505" s="1519">
        <f>Segment!DH110</f>
        <v>0</v>
      </c>
      <c r="DI505" s="983">
        <f>Segment!DI110</f>
        <v>0</v>
      </c>
      <c r="DJ505" s="983">
        <f>Segment!DJ110</f>
        <v>0</v>
      </c>
      <c r="DK505" s="1519">
        <f>Segment!DK110</f>
        <v>0</v>
      </c>
      <c r="DL505" s="983">
        <f>Segment!DL110</f>
        <v>1.6685205784204626E-2</v>
      </c>
      <c r="DM505" s="983">
        <f>Segment!DM110</f>
        <v>8.036739380022917E-3</v>
      </c>
      <c r="DN505" s="1519">
        <f>Segment!DN110</f>
        <v>1.2429378531073398E-2</v>
      </c>
      <c r="DO505" s="983">
        <f>Segment!DO110</f>
        <v>1.094091903719896E-3</v>
      </c>
      <c r="DP505" s="983">
        <f>Segment!DP110</f>
        <v>4.3280182232346309E-2</v>
      </c>
      <c r="DQ505" s="1519">
        <f>Segment!DQ110</f>
        <v>2.1763392857142794E-2</v>
      </c>
      <c r="DR505" s="983">
        <f>Segment!DR110</f>
        <v>6.6666666666666652E-2</v>
      </c>
      <c r="DS505" s="983">
        <f>Segment!DS110</f>
        <v>5.240174672489073E-2</v>
      </c>
      <c r="DT505" s="1519">
        <f>Segment!DT110</f>
        <v>5.9530311305297623E-2</v>
      </c>
      <c r="DU505" s="983">
        <f>Segment!DU110</f>
        <v>-5.6352459016393408E-2</v>
      </c>
      <c r="DV505" s="983">
        <f>Segment!DV110</f>
        <v>-1.1618257261410858E-2</v>
      </c>
      <c r="DW505" s="1519">
        <f>Segment!DW110</f>
        <v>-3.4123711340206198E-2</v>
      </c>
      <c r="DX505" s="983">
        <f>Segment!DX110</f>
        <v>7.6004343105320338E-3</v>
      </c>
      <c r="DY505" s="983">
        <f>Segment!DY110</f>
        <v>0.10924643157010938</v>
      </c>
      <c r="DZ505" s="1519">
        <f>Segment!DZ110</f>
        <v>5.9285943003522412E-2</v>
      </c>
      <c r="EA505" s="983">
        <f>Segment!EA110</f>
        <v>6.6821120689655178E-2</v>
      </c>
      <c r="EB505" s="983">
        <f>Segment!EB110</f>
        <v>5.4600289528711654E-2</v>
      </c>
      <c r="EC505" s="1519">
        <f>Segment!EC110</f>
        <v>6.0313921678279314E-2</v>
      </c>
      <c r="ED505" s="983">
        <f>Segment!ED110</f>
        <v>5.5886102160584317E-2</v>
      </c>
      <c r="EE505" s="983">
        <f>Segment!EE110</f>
        <v>5.5875763112480659E-2</v>
      </c>
      <c r="EF505" s="1519">
        <f>Segment!EF110</f>
        <v>5.5880626615949502E-2</v>
      </c>
      <c r="EG505" s="983">
        <f>Segment!EG110</f>
        <v>6.9015579461490839E-2</v>
      </c>
      <c r="EH505" s="983">
        <f>Segment!EH110</f>
        <v>6.8424194988929266E-2</v>
      </c>
      <c r="EI505" s="1519">
        <f>Segment!EI110</f>
        <v>6.8702384559199192E-2</v>
      </c>
      <c r="EJ505" s="983">
        <f>Segment!EJ110</f>
        <v>0.10024305391427935</v>
      </c>
      <c r="EK505" s="983">
        <f>Segment!EK110</f>
        <v>9.851783856878682E-2</v>
      </c>
      <c r="EL505" s="1519">
        <f>Segment!EL110</f>
        <v>9.9329624451935272E-2</v>
      </c>
      <c r="EM505" s="983">
        <f>Segment!EM110</f>
        <v>4.5567311864587845E-2</v>
      </c>
      <c r="EN505" s="983">
        <f>Segment!EN110</f>
        <v>4.5707600591854636E-2</v>
      </c>
      <c r="EO505" s="1519">
        <f>Segment!EO110</f>
        <v>4.5641534036831466E-2</v>
      </c>
      <c r="EP505" s="983">
        <f>Segment!EP110</f>
        <v>4.5760494723665834E-2</v>
      </c>
      <c r="EQ505" s="983">
        <f>Segment!EQ110</f>
        <v>4.5895220226269906E-2</v>
      </c>
      <c r="ER505" s="1519">
        <f>Segment!ER110</f>
        <v>4.5831778079489238E-2</v>
      </c>
      <c r="ES505" s="983">
        <f>Segment!ES110</f>
        <v>4.594600742930699E-2</v>
      </c>
      <c r="ET505" s="983">
        <f>Segment!ET110</f>
        <v>4.6075343213785702E-2</v>
      </c>
      <c r="EU505" s="1519">
        <f>Segment!EU110</f>
        <v>4.6014443232768265E-2</v>
      </c>
      <c r="EV505" s="983">
        <f>Segment!EV110</f>
        <v>4.6124090018129227E-2</v>
      </c>
      <c r="EW505" s="983">
        <f>Segment!EW110</f>
        <v>4.6248208303852678E-2</v>
      </c>
      <c r="EX505" s="1519">
        <f>Segment!EX110</f>
        <v>4.6189768895624539E-2</v>
      </c>
      <c r="EY505" s="983">
        <f>Segment!EY110</f>
        <v>4.6294980663523999E-2</v>
      </c>
      <c r="EZ505" s="983">
        <f>Segment!EZ110</f>
        <v>4.6414051975075754E-2</v>
      </c>
      <c r="FA505" s="1519">
        <f>Segment!FA110</f>
        <v>4.6357992385647639E-2</v>
      </c>
      <c r="FD505"/>
      <c r="FE505"/>
      <c r="FF505"/>
      <c r="FG505"/>
      <c r="FH505"/>
      <c r="FI505"/>
    </row>
    <row r="506" spans="2:165" s="33" customFormat="1">
      <c r="B506" s="33" t="s">
        <v>858</v>
      </c>
      <c r="E506" s="34"/>
      <c r="F506" s="34"/>
      <c r="G506" s="35"/>
      <c r="H506" s="34"/>
      <c r="I506" s="34"/>
      <c r="J506" s="35"/>
      <c r="K506" s="34"/>
      <c r="L506" s="34"/>
      <c r="M506" s="35"/>
      <c r="N506" s="34"/>
      <c r="O506" s="34"/>
      <c r="P506" s="35"/>
      <c r="Q506" s="36"/>
      <c r="R506" s="36"/>
      <c r="S506" s="70"/>
      <c r="T506" s="36"/>
      <c r="U506" s="36"/>
      <c r="V506" s="1022"/>
      <c r="W506" s="1021"/>
      <c r="X506" s="1021"/>
      <c r="Y506" s="1022"/>
      <c r="Z506" s="1021"/>
      <c r="AA506" s="1021"/>
      <c r="AB506" s="1022"/>
      <c r="AC506" s="1021"/>
      <c r="AD506" s="1021"/>
      <c r="AE506" s="1022"/>
      <c r="AF506" s="1021"/>
      <c r="AG506" s="1021"/>
      <c r="AH506" s="1022"/>
      <c r="AI506" s="1021"/>
      <c r="AJ506" s="1021"/>
      <c r="AK506" s="1022"/>
      <c r="AL506" s="1021"/>
      <c r="AM506" s="1021"/>
      <c r="AN506" s="1022"/>
      <c r="AO506" s="1021"/>
      <c r="AP506" s="1021"/>
      <c r="AQ506" s="1022"/>
      <c r="AR506" s="1021"/>
      <c r="AS506" s="1021"/>
      <c r="AT506" s="1022"/>
      <c r="AU506" s="34"/>
      <c r="AV506" s="34"/>
      <c r="AW506" s="35"/>
      <c r="AX506" s="34"/>
      <c r="AY506" s="34"/>
      <c r="AZ506" s="35"/>
      <c r="BA506" s="34"/>
      <c r="BB506" s="34"/>
      <c r="BC506" s="35"/>
      <c r="BD506" s="34"/>
      <c r="BE506" s="34"/>
      <c r="BF506" s="35"/>
      <c r="BG506" s="34"/>
      <c r="BH506" s="34"/>
      <c r="BI506" s="35"/>
      <c r="BJ506" s="34"/>
      <c r="BK506" s="34"/>
      <c r="BL506" s="1518"/>
      <c r="BM506" s="1518"/>
      <c r="BN506" s="1518"/>
      <c r="BO506" s="1518"/>
      <c r="BP506" s="1518"/>
      <c r="BQ506" s="1518"/>
      <c r="BR506" s="1518"/>
      <c r="BS506" s="1518"/>
      <c r="BT506" s="1518"/>
      <c r="BU506" s="1518"/>
      <c r="BV506" s="1518"/>
      <c r="BW506" s="1518"/>
      <c r="BX506" s="1518"/>
      <c r="BY506" s="1518"/>
      <c r="BZ506" s="1518"/>
      <c r="CA506" s="1518"/>
      <c r="CB506" s="1518"/>
      <c r="CC506" s="1518"/>
      <c r="CD506" s="1518"/>
      <c r="CE506" s="1518"/>
      <c r="CF506" s="1518"/>
      <c r="CG506" s="1518"/>
      <c r="CH506" s="1518"/>
      <c r="CI506" s="1518"/>
      <c r="CJ506" s="1518"/>
      <c r="CK506" s="1518"/>
      <c r="CL506" s="1518"/>
      <c r="CM506" s="1518"/>
      <c r="DB506" s="983">
        <f>Segment!DB395</f>
        <v>0</v>
      </c>
      <c r="DC506" s="983">
        <f>Segment!DC395</f>
        <v>0</v>
      </c>
      <c r="DD506" s="983">
        <f>Segment!DD395</f>
        <v>0</v>
      </c>
      <c r="DE506" s="1519">
        <f>Segment!DE395</f>
        <v>0</v>
      </c>
      <c r="DF506" s="983">
        <f>Segment!DF395</f>
        <v>0</v>
      </c>
      <c r="DG506" s="983">
        <f>Segment!DG395</f>
        <v>0</v>
      </c>
      <c r="DH506" s="1519">
        <f>Segment!DH395</f>
        <v>0</v>
      </c>
      <c r="DI506" s="983">
        <f>Segment!DI395</f>
        <v>0.58844321319004023</v>
      </c>
      <c r="DJ506" s="983">
        <f>Segment!DJ395</f>
        <v>0.54204698555690134</v>
      </c>
      <c r="DK506" s="1519">
        <f>Segment!DK395</f>
        <v>0.56539685907860726</v>
      </c>
      <c r="DL506" s="983">
        <f>Segment!DL395</f>
        <v>0.53996602543501204</v>
      </c>
      <c r="DM506" s="983">
        <f>Segment!DM395</f>
        <v>0.52512847107632832</v>
      </c>
      <c r="DN506" s="1519">
        <f>Segment!DN395</f>
        <v>0.5326456084852994</v>
      </c>
      <c r="DO506" s="983">
        <f>Segment!DO395</f>
        <v>0.48957647575159097</v>
      </c>
      <c r="DP506" s="983">
        <f>Segment!DP395</f>
        <v>0.49228818930910628</v>
      </c>
      <c r="DQ506" s="1519">
        <f>Segment!DQ395</f>
        <v>0.49095801937567279</v>
      </c>
      <c r="DR506" s="983">
        <f>Segment!DR395</f>
        <v>0.49961817487590682</v>
      </c>
      <c r="DS506" s="983">
        <f>Segment!DS395</f>
        <v>0.49497206703910612</v>
      </c>
      <c r="DT506" s="1519">
        <f>Segment!DT395</f>
        <v>0.49726621417797889</v>
      </c>
      <c r="DU506" s="983">
        <f>Segment!DU395</f>
        <v>0.51140518892564857</v>
      </c>
      <c r="DV506" s="983">
        <f>Segment!DV395</f>
        <v>0.49935364727608494</v>
      </c>
      <c r="DW506" s="1519">
        <f>Segment!DW395</f>
        <v>0.50555655135328914</v>
      </c>
      <c r="DX506" s="983">
        <f>Segment!DX395</f>
        <v>0.51155963302752294</v>
      </c>
      <c r="DY506" s="983">
        <f>Segment!DY395</f>
        <v>0.502</v>
      </c>
      <c r="DZ506" s="1519">
        <f>Segment!DZ395</f>
        <v>0.5065037180744727</v>
      </c>
      <c r="EA506" s="983">
        <f>Segment!EA395</f>
        <v>0.51500000000000001</v>
      </c>
      <c r="EB506" s="983">
        <f>Segment!EB395</f>
        <v>0.53</v>
      </c>
      <c r="EC506" s="1519">
        <f>Segment!EC395</f>
        <v>0.52278027690637996</v>
      </c>
      <c r="ED506" s="983">
        <f>Segment!ED395</f>
        <v>0.53500000000000003</v>
      </c>
      <c r="EE506" s="983">
        <f>Segment!EE395</f>
        <v>0.54</v>
      </c>
      <c r="EF506" s="1519">
        <f>Segment!EF395</f>
        <v>0.53759409212410025</v>
      </c>
      <c r="EG506" s="983">
        <f>Segment!EG395</f>
        <v>0.54500000000000004</v>
      </c>
      <c r="EH506" s="983">
        <f>Segment!EH395</f>
        <v>0.55000000000000004</v>
      </c>
      <c r="EI506" s="1519">
        <f>Segment!EI395</f>
        <v>0.54759645902571485</v>
      </c>
      <c r="EJ506" s="983">
        <f>Segment!EJ395</f>
        <v>0.55500000000000005</v>
      </c>
      <c r="EK506" s="983">
        <f>Segment!EK395</f>
        <v>0.56000000000000005</v>
      </c>
      <c r="EL506" s="1519">
        <f>Segment!EL395</f>
        <v>0.5576020813207353</v>
      </c>
      <c r="EM506" s="983">
        <f>Segment!EM395</f>
        <v>0.56999999999999995</v>
      </c>
      <c r="EN506" s="983">
        <f>Segment!EN395</f>
        <v>0.56999999999999995</v>
      </c>
      <c r="EO506" s="1519">
        <f>Segment!EO395</f>
        <v>0.56999999999999995</v>
      </c>
      <c r="EP506" s="983">
        <f>Segment!EP395</f>
        <v>0.57999999999999996</v>
      </c>
      <c r="EQ506" s="983">
        <f>Segment!EQ395</f>
        <v>0.57999999999999996</v>
      </c>
      <c r="ER506" s="1519">
        <f>Segment!ER395</f>
        <v>0.57999999999999996</v>
      </c>
      <c r="ES506" s="983">
        <f>Segment!ES395</f>
        <v>0.58499999999999996</v>
      </c>
      <c r="ET506" s="983">
        <f>Segment!ET395</f>
        <v>0.58499999999999996</v>
      </c>
      <c r="EU506" s="1519">
        <f>Segment!EU395</f>
        <v>0.58499999999999996</v>
      </c>
      <c r="EV506" s="983">
        <f>Segment!EV395</f>
        <v>0.58499999999999996</v>
      </c>
      <c r="EW506" s="983">
        <f>Segment!EW395</f>
        <v>0.58499999999999996</v>
      </c>
      <c r="EX506" s="1519">
        <f>Segment!EX395</f>
        <v>0.58499999999999996</v>
      </c>
      <c r="EY506" s="983">
        <f>Segment!EY395</f>
        <v>0.58499999999999996</v>
      </c>
      <c r="EZ506" s="983">
        <f>Segment!EZ395</f>
        <v>0.58499999999999996</v>
      </c>
      <c r="FA506" s="1519">
        <f>Segment!FA395</f>
        <v>0.58499999999999996</v>
      </c>
      <c r="FD506"/>
      <c r="FE506"/>
      <c r="FF506"/>
      <c r="FG506"/>
      <c r="FH506"/>
      <c r="FI506"/>
    </row>
    <row r="507" spans="2:165" s="33" customFormat="1">
      <c r="E507" s="34"/>
      <c r="F507" s="34"/>
      <c r="G507" s="35"/>
      <c r="H507" s="34"/>
      <c r="I507" s="34"/>
      <c r="J507" s="35"/>
      <c r="K507" s="34"/>
      <c r="L507" s="34"/>
      <c r="M507" s="35"/>
      <c r="N507" s="34"/>
      <c r="O507" s="34"/>
      <c r="P507" s="35"/>
      <c r="Q507" s="36"/>
      <c r="R507" s="36"/>
      <c r="S507" s="70"/>
      <c r="T507" s="36"/>
      <c r="U507" s="36"/>
      <c r="V507" s="1022"/>
      <c r="W507" s="1021"/>
      <c r="X507" s="1021"/>
      <c r="Y507" s="1022"/>
      <c r="Z507" s="1021"/>
      <c r="AA507" s="1021"/>
      <c r="AB507" s="1022"/>
      <c r="AC507" s="1021"/>
      <c r="AD507" s="1021"/>
      <c r="AE507" s="1022"/>
      <c r="AF507" s="1021"/>
      <c r="AG507" s="1021"/>
      <c r="AH507" s="1022"/>
      <c r="AI507" s="1021"/>
      <c r="AJ507" s="1021"/>
      <c r="AK507" s="1022"/>
      <c r="AL507" s="1021"/>
      <c r="AM507" s="1021"/>
      <c r="AN507" s="1022"/>
      <c r="AO507" s="1021"/>
      <c r="AP507" s="1021"/>
      <c r="AQ507" s="1022"/>
      <c r="AR507" s="1021"/>
      <c r="AS507" s="1021"/>
      <c r="AT507" s="1022"/>
      <c r="AU507" s="34"/>
      <c r="AV507" s="34"/>
      <c r="AW507" s="35"/>
      <c r="AX507" s="34"/>
      <c r="AY507" s="34"/>
      <c r="AZ507" s="35"/>
      <c r="BA507" s="34"/>
      <c r="BB507" s="34"/>
      <c r="BC507" s="35"/>
      <c r="BD507" s="34"/>
      <c r="BE507" s="34"/>
      <c r="BF507" s="35"/>
      <c r="BG507" s="34"/>
      <c r="BH507" s="34"/>
      <c r="BI507" s="35"/>
      <c r="BJ507" s="34"/>
      <c r="BK507" s="34"/>
      <c r="BL507" s="1518"/>
      <c r="BM507" s="1518"/>
      <c r="BN507" s="1518"/>
      <c r="BO507" s="1518"/>
      <c r="BP507" s="1518"/>
      <c r="BQ507" s="1518"/>
      <c r="BR507" s="1518"/>
      <c r="BS507" s="1518"/>
      <c r="BT507" s="1518"/>
      <c r="BU507" s="1518"/>
      <c r="BV507" s="1518"/>
      <c r="BW507" s="1518"/>
      <c r="BX507" s="1518"/>
      <c r="BY507" s="1518"/>
      <c r="BZ507" s="1518"/>
      <c r="CA507" s="1518"/>
      <c r="CB507" s="1518"/>
      <c r="CC507" s="1518"/>
      <c r="CD507" s="1518"/>
      <c r="CE507" s="1518"/>
      <c r="CF507" s="1518"/>
      <c r="CG507" s="1518"/>
      <c r="CH507" s="1518"/>
      <c r="CI507" s="1518"/>
      <c r="CJ507" s="1518"/>
      <c r="CK507" s="1518"/>
      <c r="CL507" s="1518"/>
      <c r="CM507" s="1518"/>
      <c r="DE507" s="1472"/>
      <c r="DH507" s="1472"/>
      <c r="DK507" s="1472"/>
      <c r="DN507" s="1472"/>
      <c r="DQ507" s="1472"/>
      <c r="DT507" s="1472"/>
      <c r="DW507" s="1472"/>
      <c r="DZ507" s="1472"/>
      <c r="EC507" s="1472"/>
      <c r="EF507" s="1472"/>
      <c r="EI507" s="1472"/>
      <c r="EL507" s="1472"/>
      <c r="EO507" s="1472"/>
      <c r="ER507" s="1472"/>
      <c r="EU507" s="1472"/>
      <c r="EX507" s="1472"/>
      <c r="FA507" s="1472"/>
      <c r="FD507"/>
      <c r="FE507"/>
      <c r="FF507"/>
      <c r="FG507"/>
      <c r="FH507"/>
      <c r="FI507"/>
    </row>
    <row r="508" spans="2:165" s="33" customFormat="1">
      <c r="E508" s="34"/>
      <c r="F508" s="34"/>
      <c r="G508" s="35"/>
      <c r="H508" s="34"/>
      <c r="I508" s="34"/>
      <c r="J508" s="35"/>
      <c r="K508" s="34"/>
      <c r="L508" s="34"/>
      <c r="M508" s="35"/>
      <c r="N508" s="34"/>
      <c r="O508" s="34"/>
      <c r="P508" s="35"/>
      <c r="Q508" s="36"/>
      <c r="R508" s="36"/>
      <c r="S508" s="70"/>
      <c r="T508" s="36"/>
      <c r="U508" s="36"/>
      <c r="V508" s="1022"/>
      <c r="W508" s="1021"/>
      <c r="X508" s="1021"/>
      <c r="Y508" s="1022"/>
      <c r="Z508" s="1021"/>
      <c r="AA508" s="1021"/>
      <c r="AB508" s="1022"/>
      <c r="AC508" s="1021"/>
      <c r="AD508" s="1021"/>
      <c r="AE508" s="1022"/>
      <c r="AF508" s="1021"/>
      <c r="AG508" s="1021"/>
      <c r="AH508" s="1022"/>
      <c r="AI508" s="1021"/>
      <c r="AJ508" s="1021"/>
      <c r="AK508" s="1022"/>
      <c r="AL508" s="1021"/>
      <c r="AM508" s="1021"/>
      <c r="AN508" s="1022"/>
      <c r="AO508" s="1021"/>
      <c r="AP508" s="1021"/>
      <c r="AQ508" s="1022"/>
      <c r="AR508" s="1021"/>
      <c r="AS508" s="1021"/>
      <c r="AT508" s="1022"/>
      <c r="AU508" s="34"/>
      <c r="AV508" s="34"/>
      <c r="AW508" s="35"/>
      <c r="AX508" s="34"/>
      <c r="AY508" s="34"/>
      <c r="AZ508" s="35"/>
      <c r="BA508" s="34"/>
      <c r="BB508" s="34"/>
      <c r="BC508" s="35"/>
      <c r="BD508" s="34"/>
      <c r="BE508" s="34"/>
      <c r="BF508" s="35"/>
      <c r="BG508" s="35"/>
      <c r="BH508" s="34"/>
      <c r="BI508" s="35"/>
      <c r="BJ508" s="34"/>
      <c r="BK508" s="34"/>
      <c r="BL508" s="1518"/>
      <c r="BM508" s="1518"/>
      <c r="BN508" s="1518"/>
      <c r="BO508" s="1518"/>
      <c r="BP508" s="1518"/>
      <c r="BQ508" s="1518"/>
      <c r="BR508" s="1518"/>
      <c r="BS508" s="1518"/>
      <c r="BT508" s="1518"/>
      <c r="BU508" s="1518"/>
      <c r="BV508" s="1518"/>
      <c r="BW508" s="1518"/>
      <c r="BX508" s="1518"/>
      <c r="BY508" s="1518"/>
      <c r="BZ508" s="1518"/>
      <c r="CA508" s="1518"/>
      <c r="CB508" s="1518"/>
      <c r="CC508" s="1518"/>
      <c r="CD508" s="1518"/>
      <c r="CE508" s="1518"/>
      <c r="CF508" s="1518"/>
      <c r="CG508" s="1518"/>
      <c r="CH508" s="1518"/>
      <c r="CI508" s="1518"/>
      <c r="CJ508" s="1518"/>
      <c r="CK508" s="1518"/>
      <c r="CL508" s="1518"/>
      <c r="CM508" s="1518"/>
      <c r="DE508" s="1472"/>
      <c r="DH508" s="1472"/>
      <c r="DK508" s="1472"/>
      <c r="DN508" s="1472"/>
      <c r="DQ508" s="1472"/>
      <c r="DT508" s="1472"/>
      <c r="DW508" s="1472"/>
      <c r="DZ508" s="1472"/>
      <c r="EC508" s="1472"/>
      <c r="EF508" s="1472"/>
      <c r="EI508" s="1472"/>
      <c r="EL508" s="1472"/>
      <c r="EO508" s="1472"/>
      <c r="ER508" s="1472"/>
      <c r="EU508" s="1472"/>
      <c r="EX508" s="1472"/>
      <c r="FA508" s="1472"/>
      <c r="FD508"/>
      <c r="FE508"/>
      <c r="FF508"/>
      <c r="FG508"/>
      <c r="FH508"/>
      <c r="FI508"/>
    </row>
    <row r="509" spans="2:165" s="33" customFormat="1">
      <c r="B509" s="33" t="s">
        <v>1026</v>
      </c>
      <c r="E509" s="34"/>
      <c r="F509" s="34"/>
      <c r="G509" s="35"/>
      <c r="H509" s="34"/>
      <c r="I509" s="34"/>
      <c r="J509" s="35"/>
      <c r="K509" s="34"/>
      <c r="L509" s="34"/>
      <c r="M509" s="35"/>
      <c r="N509" s="34"/>
      <c r="O509" s="34"/>
      <c r="P509" s="35"/>
      <c r="Q509" s="36"/>
      <c r="R509" s="36"/>
      <c r="S509" s="70"/>
      <c r="T509" s="36"/>
      <c r="U509" s="36"/>
      <c r="V509" s="1022"/>
      <c r="W509" s="1021"/>
      <c r="X509" s="1021"/>
      <c r="Y509" s="1022"/>
      <c r="Z509" s="1021"/>
      <c r="AA509" s="1021"/>
      <c r="AB509" s="1022"/>
      <c r="AC509" s="1021"/>
      <c r="AD509" s="1021"/>
      <c r="AE509" s="1022"/>
      <c r="AF509" s="1021"/>
      <c r="AG509" s="1021"/>
      <c r="AH509" s="1022"/>
      <c r="AI509" s="1021"/>
      <c r="AJ509" s="1021"/>
      <c r="AK509" s="1022"/>
      <c r="AL509" s="1021"/>
      <c r="AM509" s="1021"/>
      <c r="AN509" s="1022"/>
      <c r="AO509" s="1021"/>
      <c r="AP509" s="1021"/>
      <c r="AQ509" s="1022"/>
      <c r="AR509" s="1021"/>
      <c r="AS509" s="1021"/>
      <c r="AT509" s="1022"/>
      <c r="AU509" s="34"/>
      <c r="AV509" s="34"/>
      <c r="AW509" s="35"/>
      <c r="AX509" s="34"/>
      <c r="AY509" s="34"/>
      <c r="AZ509" s="35"/>
      <c r="BA509" s="34"/>
      <c r="BB509" s="34"/>
      <c r="BC509" s="35"/>
      <c r="BD509" s="34"/>
      <c r="BE509" s="34"/>
      <c r="BF509" s="35"/>
      <c r="BG509" s="35"/>
      <c r="BH509" s="34"/>
      <c r="BI509" s="35"/>
      <c r="BJ509" s="34"/>
      <c r="BK509" s="34"/>
      <c r="BL509" s="1518"/>
      <c r="BM509" s="1518"/>
      <c r="BN509" s="1518"/>
      <c r="BO509" s="1518"/>
      <c r="BP509" s="1518"/>
      <c r="BQ509" s="1518"/>
      <c r="BR509" s="1518"/>
      <c r="BS509" s="1518"/>
      <c r="BT509" s="1518"/>
      <c r="BU509" s="1518"/>
      <c r="BV509" s="1518"/>
      <c r="BW509" s="1518"/>
      <c r="BX509" s="1518"/>
      <c r="BY509" s="1518"/>
      <c r="BZ509" s="1518"/>
      <c r="CA509" s="1518"/>
      <c r="CB509" s="1518"/>
      <c r="CC509" s="1518"/>
      <c r="CD509" s="1518"/>
      <c r="CE509" s="1518"/>
      <c r="CF509" s="1518"/>
      <c r="CG509" s="1518"/>
      <c r="CH509" s="1518"/>
      <c r="CI509" s="1518"/>
      <c r="CJ509" s="1518"/>
      <c r="CK509" s="1518"/>
      <c r="CL509" s="1518"/>
      <c r="CM509" s="1518"/>
      <c r="CS509" s="1243">
        <f>-CS95</f>
        <v>22</v>
      </c>
      <c r="CV509" s="1243">
        <f>-CV95-CV96</f>
        <v>-89.5</v>
      </c>
      <c r="CY509" s="1243">
        <f>-CY95</f>
        <v>7.9</v>
      </c>
      <c r="DE509" s="1472"/>
      <c r="DH509" s="1472"/>
      <c r="DK509" s="1472"/>
      <c r="DN509" s="1472"/>
      <c r="DQ509" s="1472"/>
      <c r="DT509" s="1472"/>
      <c r="DW509" s="1472"/>
      <c r="DZ509" s="1472"/>
      <c r="EC509" s="1472"/>
      <c r="EF509" s="1472"/>
      <c r="EI509" s="1472"/>
      <c r="EL509" s="1472"/>
      <c r="EO509" s="1472"/>
      <c r="ER509" s="1472"/>
      <c r="EU509" s="1472"/>
      <c r="EX509" s="1472"/>
      <c r="FA509" s="1472"/>
      <c r="FD509"/>
      <c r="FE509"/>
      <c r="FF509"/>
      <c r="FG509"/>
      <c r="FH509"/>
      <c r="FI509"/>
    </row>
    <row r="510" spans="2:165" s="33" customFormat="1">
      <c r="E510" s="34"/>
      <c r="F510" s="34"/>
      <c r="G510" s="35"/>
      <c r="H510" s="34"/>
      <c r="I510" s="34"/>
      <c r="J510" s="35"/>
      <c r="K510" s="34"/>
      <c r="L510" s="34"/>
      <c r="M510" s="35"/>
      <c r="N510" s="34"/>
      <c r="O510" s="34"/>
      <c r="P510" s="35"/>
      <c r="Q510" s="36"/>
      <c r="R510" s="36"/>
      <c r="S510" s="70"/>
      <c r="T510" s="36"/>
      <c r="U510" s="36"/>
      <c r="V510" s="1022"/>
      <c r="W510" s="1021"/>
      <c r="X510" s="1021"/>
      <c r="Y510" s="1022"/>
      <c r="Z510" s="1021"/>
      <c r="AA510" s="1021"/>
      <c r="AB510" s="1022"/>
      <c r="AC510" s="1021"/>
      <c r="AD510" s="1021"/>
      <c r="AE510" s="1022"/>
      <c r="AF510" s="1021"/>
      <c r="AG510" s="1021"/>
      <c r="AH510" s="1022"/>
      <c r="AI510" s="1021"/>
      <c r="AJ510" s="1021"/>
      <c r="AK510" s="1022"/>
      <c r="AL510" s="1021"/>
      <c r="AM510" s="1021"/>
      <c r="AN510" s="1022"/>
      <c r="AO510" s="1021"/>
      <c r="AP510" s="1021"/>
      <c r="AQ510" s="1022"/>
      <c r="AR510" s="1021"/>
      <c r="AS510" s="1021"/>
      <c r="AT510" s="1022"/>
      <c r="AU510" s="34"/>
      <c r="AV510" s="34"/>
      <c r="AW510" s="35"/>
      <c r="AX510" s="34"/>
      <c r="AY510" s="34"/>
      <c r="AZ510" s="35"/>
      <c r="BA510" s="34"/>
      <c r="BB510" s="34"/>
      <c r="BC510" s="35"/>
      <c r="BD510" s="34"/>
      <c r="BE510" s="34"/>
      <c r="BF510" s="35"/>
      <c r="BG510" s="35"/>
      <c r="BH510" s="34"/>
      <c r="BI510" s="35"/>
      <c r="BJ510" s="34"/>
      <c r="BK510" s="34"/>
      <c r="BL510" s="1518"/>
      <c r="BM510" s="1518"/>
      <c r="BN510" s="1518"/>
      <c r="BO510" s="1518"/>
      <c r="BP510" s="1518"/>
      <c r="BQ510" s="1518"/>
      <c r="BR510" s="1518"/>
      <c r="BS510" s="1518"/>
      <c r="BT510" s="1518"/>
      <c r="BU510" s="1518"/>
      <c r="BV510" s="1518"/>
      <c r="BW510" s="1518"/>
      <c r="BX510" s="1518"/>
      <c r="BY510" s="1518"/>
      <c r="BZ510" s="1518"/>
      <c r="CA510" s="1518"/>
      <c r="CB510" s="1518"/>
      <c r="CC510" s="1518"/>
      <c r="CD510" s="1518"/>
      <c r="CE510" s="1518"/>
      <c r="CF510" s="1518"/>
      <c r="CG510" s="1518"/>
      <c r="CH510" s="1518"/>
      <c r="CI510" s="1518"/>
      <c r="CJ510" s="1518"/>
      <c r="CK510" s="1518"/>
      <c r="CL510" s="1518"/>
      <c r="CM510" s="1518"/>
      <c r="DE510" s="1472"/>
      <c r="DH510" s="1472"/>
      <c r="DK510" s="1472"/>
      <c r="DN510" s="1472"/>
      <c r="DQ510" s="1472"/>
      <c r="DT510" s="1472"/>
      <c r="DW510" s="1472"/>
      <c r="DZ510" s="1472"/>
      <c r="EC510" s="1472"/>
      <c r="EF510" s="1472"/>
      <c r="EI510" s="1472"/>
      <c r="EL510" s="1472"/>
      <c r="EO510" s="1472"/>
      <c r="ER510" s="1472"/>
      <c r="EU510" s="1472"/>
      <c r="EX510" s="1472"/>
      <c r="FA510" s="1472"/>
      <c r="FD510"/>
      <c r="FE510"/>
      <c r="FF510"/>
      <c r="FG510"/>
      <c r="FH510"/>
      <c r="FI510"/>
    </row>
    <row r="511" spans="2:165" s="33" customFormat="1">
      <c r="E511" s="34"/>
      <c r="F511" s="34"/>
      <c r="G511" s="35"/>
      <c r="H511" s="34"/>
      <c r="I511" s="34"/>
      <c r="J511" s="35"/>
      <c r="K511" s="34"/>
      <c r="L511" s="34"/>
      <c r="M511" s="35"/>
      <c r="N511" s="34"/>
      <c r="O511" s="34"/>
      <c r="P511" s="35"/>
      <c r="Q511" s="36"/>
      <c r="R511" s="36"/>
      <c r="S511" s="70"/>
      <c r="T511" s="36"/>
      <c r="U511" s="36"/>
      <c r="V511" s="1022"/>
      <c r="W511" s="1021"/>
      <c r="X511" s="1021"/>
      <c r="Y511" s="1022"/>
      <c r="Z511" s="1021"/>
      <c r="AA511" s="1021"/>
      <c r="AB511" s="1022"/>
      <c r="AC511" s="1021"/>
      <c r="AD511" s="1021"/>
      <c r="AE511" s="1022"/>
      <c r="AF511" s="1021"/>
      <c r="AG511" s="1021"/>
      <c r="AH511" s="1022"/>
      <c r="AI511" s="1021"/>
      <c r="AJ511" s="1021"/>
      <c r="AK511" s="1022"/>
      <c r="AL511" s="1021"/>
      <c r="AM511" s="1021"/>
      <c r="AN511" s="1022"/>
      <c r="AO511" s="1021"/>
      <c r="AP511" s="1021"/>
      <c r="AQ511" s="1022"/>
      <c r="AR511" s="1021"/>
      <c r="AS511" s="1021"/>
      <c r="AT511" s="1022"/>
      <c r="AU511" s="34"/>
      <c r="AV511" s="34"/>
      <c r="AW511" s="35"/>
      <c r="AX511" s="34"/>
      <c r="AY511" s="34"/>
      <c r="AZ511" s="35"/>
      <c r="BA511" s="34"/>
      <c r="BB511" s="34"/>
      <c r="BC511" s="35"/>
      <c r="BD511" s="34"/>
      <c r="BE511" s="34"/>
      <c r="BF511" s="35"/>
      <c r="BG511" s="35"/>
      <c r="BH511" s="34"/>
      <c r="BI511" s="35"/>
      <c r="BJ511" s="34"/>
      <c r="BK511" s="34"/>
      <c r="BL511" s="1518"/>
      <c r="BM511" s="1518"/>
      <c r="BN511" s="1518"/>
      <c r="BO511" s="1518"/>
      <c r="BP511" s="1518"/>
      <c r="BQ511" s="1518"/>
      <c r="BR511" s="1518"/>
      <c r="BS511" s="1518"/>
      <c r="BT511" s="1518"/>
      <c r="BU511" s="1518"/>
      <c r="BV511" s="1518"/>
      <c r="BW511" s="1518"/>
      <c r="BX511" s="1518"/>
      <c r="BY511" s="1518"/>
      <c r="BZ511" s="1518"/>
      <c r="CA511" s="1518"/>
      <c r="CB511" s="1518"/>
      <c r="CC511" s="1518"/>
      <c r="CD511" s="1518"/>
      <c r="CE511" s="1518"/>
      <c r="CF511" s="1518"/>
      <c r="CG511" s="1518"/>
      <c r="CH511" s="1518"/>
      <c r="CI511" s="1518"/>
      <c r="CJ511" s="1518"/>
      <c r="CK511" s="1518"/>
      <c r="CL511" s="1518"/>
      <c r="CM511" s="1518"/>
      <c r="DE511" s="1472"/>
      <c r="DH511" s="1472"/>
      <c r="DK511" s="1472"/>
      <c r="DN511" s="1472"/>
      <c r="DQ511" s="1472"/>
      <c r="DT511" s="1472"/>
      <c r="DW511" s="1472"/>
      <c r="DZ511" s="1472"/>
      <c r="EC511" s="1472"/>
      <c r="EF511" s="1472"/>
      <c r="EI511" s="1472"/>
      <c r="EL511" s="1472"/>
      <c r="EO511" s="1472"/>
      <c r="ER511" s="1472"/>
      <c r="EU511" s="1472"/>
      <c r="EX511" s="1472"/>
      <c r="FA511" s="1472"/>
      <c r="FD511"/>
      <c r="FE511"/>
      <c r="FF511"/>
      <c r="FG511"/>
      <c r="FH511"/>
      <c r="FI511"/>
    </row>
    <row r="512" spans="2:165" s="33" customFormat="1">
      <c r="E512" s="34"/>
      <c r="F512" s="34"/>
      <c r="G512" s="35"/>
      <c r="H512" s="34"/>
      <c r="I512" s="34"/>
      <c r="J512" s="35"/>
      <c r="K512" s="34"/>
      <c r="L512" s="34"/>
      <c r="M512" s="35"/>
      <c r="N512" s="34"/>
      <c r="O512" s="34"/>
      <c r="P512" s="35"/>
      <c r="Q512" s="36"/>
      <c r="R512" s="36"/>
      <c r="S512" s="70"/>
      <c r="T512" s="36"/>
      <c r="U512" s="36"/>
      <c r="V512" s="1022"/>
      <c r="W512" s="1021"/>
      <c r="X512" s="1021"/>
      <c r="Y512" s="1022"/>
      <c r="Z512" s="1021"/>
      <c r="AA512" s="1021"/>
      <c r="AB512" s="1022"/>
      <c r="AC512" s="1021"/>
      <c r="AD512" s="1021"/>
      <c r="AE512" s="1022"/>
      <c r="AF512" s="1021"/>
      <c r="AG512" s="1021"/>
      <c r="AH512" s="1022"/>
      <c r="AI512" s="1021"/>
      <c r="AJ512" s="1021"/>
      <c r="AK512" s="1022"/>
      <c r="AL512" s="1021"/>
      <c r="AM512" s="1021"/>
      <c r="AN512" s="1022"/>
      <c r="AO512" s="1021"/>
      <c r="AP512" s="1021"/>
      <c r="AQ512" s="1022"/>
      <c r="AR512" s="1021"/>
      <c r="AS512" s="1021"/>
      <c r="AT512" s="1022"/>
      <c r="AU512" s="34"/>
      <c r="AV512" s="34"/>
      <c r="AW512" s="35"/>
      <c r="AX512" s="34"/>
      <c r="AY512" s="34"/>
      <c r="AZ512" s="35"/>
      <c r="BA512" s="34"/>
      <c r="BB512" s="34"/>
      <c r="BC512" s="35"/>
      <c r="BD512" s="34"/>
      <c r="BE512" s="34"/>
      <c r="BF512" s="35"/>
      <c r="BG512" s="34"/>
      <c r="BH512" s="34"/>
      <c r="BI512" s="35"/>
      <c r="BJ512" s="34"/>
      <c r="BK512" s="34"/>
      <c r="BL512" s="1518"/>
      <c r="BM512" s="1518"/>
      <c r="BN512" s="1518"/>
      <c r="BO512" s="1518"/>
      <c r="BP512" s="1518"/>
      <c r="BQ512" s="1518"/>
      <c r="BR512" s="1518"/>
      <c r="BS512" s="1518"/>
      <c r="BT512" s="1518"/>
      <c r="BU512" s="1518"/>
      <c r="BV512" s="1518"/>
      <c r="BW512" s="1518"/>
      <c r="BX512" s="1518"/>
      <c r="BY512" s="1518"/>
      <c r="BZ512" s="1518"/>
      <c r="CA512" s="1518"/>
      <c r="CB512" s="1518"/>
      <c r="CC512" s="1518"/>
      <c r="CD512" s="1518"/>
      <c r="CE512" s="1518"/>
      <c r="CF512" s="1518"/>
      <c r="CG512" s="1518"/>
      <c r="CH512" s="1518"/>
      <c r="CI512" s="1518"/>
      <c r="CJ512" s="1518"/>
      <c r="CK512" s="1518"/>
      <c r="CL512" s="1518"/>
      <c r="CM512" s="1518"/>
      <c r="DE512" s="1472"/>
      <c r="DH512" s="1472"/>
      <c r="DK512" s="1472"/>
      <c r="DN512" s="1472"/>
      <c r="DQ512" s="1472"/>
      <c r="DT512" s="1472"/>
      <c r="DW512" s="1472"/>
      <c r="DZ512" s="1472"/>
      <c r="EC512" s="1472"/>
      <c r="EF512" s="1472"/>
      <c r="EI512" s="1472"/>
      <c r="EL512" s="1472"/>
      <c r="EO512" s="1472"/>
      <c r="ER512" s="1472"/>
      <c r="EU512" s="1472"/>
      <c r="EX512" s="1472"/>
      <c r="FA512" s="1472"/>
      <c r="FD512"/>
      <c r="FE512"/>
      <c r="FF512"/>
      <c r="FG512"/>
      <c r="FH512"/>
      <c r="FI512"/>
    </row>
    <row r="513" spans="1:165" s="33" customFormat="1">
      <c r="E513" s="34"/>
      <c r="F513" s="34"/>
      <c r="G513" s="35"/>
      <c r="H513" s="34"/>
      <c r="I513" s="34"/>
      <c r="J513" s="35"/>
      <c r="K513" s="34"/>
      <c r="L513" s="34"/>
      <c r="M513" s="35"/>
      <c r="N513" s="34"/>
      <c r="O513" s="34"/>
      <c r="P513" s="35"/>
      <c r="Q513" s="36"/>
      <c r="R513" s="36"/>
      <c r="S513" s="70"/>
      <c r="T513" s="36"/>
      <c r="U513" s="36"/>
      <c r="V513" s="1022"/>
      <c r="W513" s="1021"/>
      <c r="X513" s="1021"/>
      <c r="Y513" s="1022"/>
      <c r="Z513" s="1021"/>
      <c r="AA513" s="1021"/>
      <c r="AB513" s="1022"/>
      <c r="AC513" s="1021"/>
      <c r="AD513" s="1021"/>
      <c r="AE513" s="1022"/>
      <c r="AF513" s="1021"/>
      <c r="AG513" s="1021"/>
      <c r="AH513" s="1022"/>
      <c r="AI513" s="1021"/>
      <c r="AJ513" s="1021"/>
      <c r="AK513" s="1022"/>
      <c r="AL513" s="1021"/>
      <c r="AM513" s="1021"/>
      <c r="AN513" s="1022"/>
      <c r="AO513" s="1021"/>
      <c r="AP513" s="1021"/>
      <c r="AQ513" s="1022"/>
      <c r="AR513" s="1021"/>
      <c r="AS513" s="1021"/>
      <c r="AT513" s="1022"/>
      <c r="AU513" s="34"/>
      <c r="AV513" s="34"/>
      <c r="AW513" s="35"/>
      <c r="AX513" s="34"/>
      <c r="AY513" s="34"/>
      <c r="AZ513" s="35"/>
      <c r="BA513" s="34"/>
      <c r="BB513" s="34"/>
      <c r="BC513" s="35"/>
      <c r="BD513" s="34"/>
      <c r="BE513" s="34"/>
      <c r="BF513" s="35"/>
      <c r="BG513" s="35"/>
      <c r="BH513" s="35"/>
      <c r="BI513" s="35"/>
      <c r="BJ513" s="34"/>
      <c r="BK513" s="34"/>
      <c r="BL513" s="1518"/>
      <c r="BM513" s="1518"/>
      <c r="BN513" s="1518"/>
      <c r="BO513" s="1518"/>
      <c r="BP513" s="1518"/>
      <c r="BQ513" s="1518"/>
      <c r="BR513" s="1518"/>
      <c r="BS513" s="1518"/>
      <c r="BT513" s="1518"/>
      <c r="BU513" s="1518"/>
      <c r="BV513" s="1518"/>
      <c r="BW513" s="1518"/>
      <c r="BX513" s="1518"/>
      <c r="BY513" s="1518"/>
      <c r="BZ513" s="1518"/>
      <c r="CA513" s="1518"/>
      <c r="CB513" s="1518"/>
      <c r="CC513" s="1518"/>
      <c r="CD513" s="1518"/>
      <c r="CE513" s="1518"/>
      <c r="CF513" s="1518"/>
      <c r="CG513" s="1518"/>
      <c r="CH513" s="1518"/>
      <c r="CI513" s="1518"/>
      <c r="CJ513" s="1518"/>
      <c r="CK513" s="1518"/>
      <c r="CL513" s="1518"/>
      <c r="CM513" s="1518"/>
      <c r="DE513" s="1472"/>
      <c r="DH513" s="1472"/>
      <c r="DK513" s="1472"/>
      <c r="DN513" s="1472"/>
      <c r="DQ513" s="1472"/>
      <c r="DT513" s="1472"/>
      <c r="DW513" s="1472"/>
      <c r="DZ513" s="1472"/>
      <c r="EC513" s="1472"/>
      <c r="EF513" s="1472"/>
      <c r="EI513" s="1472"/>
      <c r="EL513" s="1472"/>
      <c r="EO513" s="1472"/>
      <c r="ER513" s="1472"/>
      <c r="EU513" s="1472"/>
      <c r="EX513" s="1472"/>
      <c r="FA513" s="1472"/>
      <c r="FD513"/>
      <c r="FE513"/>
      <c r="FF513"/>
      <c r="FG513"/>
      <c r="FH513"/>
      <c r="FI513"/>
    </row>
    <row r="514" spans="1:165" s="33" customFormat="1">
      <c r="E514" s="34"/>
      <c r="F514" s="34"/>
      <c r="G514" s="35"/>
      <c r="H514" s="34"/>
      <c r="I514" s="34"/>
      <c r="J514" s="35"/>
      <c r="K514" s="34"/>
      <c r="L514" s="34"/>
      <c r="M514" s="35"/>
      <c r="N514" s="34"/>
      <c r="O514" s="34"/>
      <c r="P514" s="35"/>
      <c r="Q514" s="36"/>
      <c r="R514" s="36"/>
      <c r="S514" s="70"/>
      <c r="T514" s="36"/>
      <c r="U514" s="36"/>
      <c r="V514" s="1022"/>
      <c r="W514" s="1021"/>
      <c r="X514" s="1021"/>
      <c r="Y514" s="1022"/>
      <c r="Z514" s="1021"/>
      <c r="AA514" s="1021"/>
      <c r="AB514" s="1022"/>
      <c r="AC514" s="1021"/>
      <c r="AD514" s="1021"/>
      <c r="AE514" s="1022"/>
      <c r="AF514" s="1021"/>
      <c r="AG514" s="1021"/>
      <c r="AH514" s="1022"/>
      <c r="AI514" s="1021"/>
      <c r="AJ514" s="1021"/>
      <c r="AK514" s="1022"/>
      <c r="AL514" s="1021"/>
      <c r="AM514" s="1021"/>
      <c r="AN514" s="1022"/>
      <c r="AO514" s="1021"/>
      <c r="AP514" s="1021"/>
      <c r="AQ514" s="1022"/>
      <c r="AR514" s="1021"/>
      <c r="AS514" s="1021"/>
      <c r="AT514" s="1022"/>
      <c r="AU514" s="34"/>
      <c r="AV514" s="34"/>
      <c r="AW514" s="35"/>
      <c r="AX514" s="34"/>
      <c r="AY514" s="34"/>
      <c r="AZ514" s="35"/>
      <c r="BA514" s="34"/>
      <c r="BB514" s="34"/>
      <c r="BC514" s="35"/>
      <c r="BD514" s="34"/>
      <c r="BE514" s="34"/>
      <c r="BF514" s="35"/>
      <c r="BG514" s="35"/>
      <c r="BH514" s="35"/>
      <c r="BI514" s="35"/>
      <c r="BJ514" s="34"/>
      <c r="BK514" s="34"/>
      <c r="BL514" s="1518"/>
      <c r="BM514" s="1518"/>
      <c r="BN514" s="1518"/>
      <c r="BO514" s="1518"/>
      <c r="BP514" s="1518"/>
      <c r="BQ514" s="1518"/>
      <c r="BR514" s="1518"/>
      <c r="BS514" s="1518"/>
      <c r="BT514" s="1518"/>
      <c r="BU514" s="1518"/>
      <c r="BV514" s="1518"/>
      <c r="BW514" s="1518"/>
      <c r="BX514" s="1518"/>
      <c r="BY514" s="1518"/>
      <c r="BZ514" s="1518"/>
      <c r="CA514" s="1518"/>
      <c r="CB514" s="1518"/>
      <c r="CC514" s="1518"/>
      <c r="CD514" s="1518"/>
      <c r="CE514" s="1518"/>
      <c r="CF514" s="1518"/>
      <c r="CG514" s="1518"/>
      <c r="CH514" s="1518"/>
      <c r="CI514" s="1518"/>
      <c r="CJ514" s="1518"/>
      <c r="CK514" s="1518"/>
      <c r="CL514" s="1518"/>
      <c r="CM514" s="1518"/>
      <c r="DE514" s="1472"/>
      <c r="DH514" s="1472"/>
      <c r="DK514" s="1472"/>
      <c r="DN514" s="1472"/>
      <c r="DQ514" s="1472"/>
      <c r="DT514" s="1472"/>
      <c r="DW514" s="1472"/>
      <c r="DZ514" s="1472"/>
      <c r="EC514" s="1472"/>
      <c r="EF514" s="1472"/>
      <c r="EI514" s="1472"/>
      <c r="EL514" s="1472"/>
      <c r="EO514" s="1472"/>
      <c r="ER514" s="1472"/>
      <c r="EU514" s="1472"/>
      <c r="EX514" s="1472"/>
      <c r="FA514" s="1472"/>
      <c r="FD514"/>
      <c r="FE514"/>
      <c r="FF514"/>
      <c r="FG514"/>
      <c r="FH514"/>
      <c r="FI514"/>
    </row>
    <row r="515" spans="1:165" s="33" customFormat="1">
      <c r="E515" s="34"/>
      <c r="F515" s="34"/>
      <c r="G515" s="35"/>
      <c r="H515" s="34"/>
      <c r="I515" s="34"/>
      <c r="J515" s="35"/>
      <c r="K515" s="34"/>
      <c r="L515" s="34"/>
      <c r="M515" s="35"/>
      <c r="N515" s="34"/>
      <c r="O515" s="34"/>
      <c r="P515" s="35"/>
      <c r="Q515" s="36"/>
      <c r="R515" s="36"/>
      <c r="S515" s="70"/>
      <c r="T515" s="36"/>
      <c r="U515" s="36"/>
      <c r="V515" s="1022"/>
      <c r="W515" s="1021"/>
      <c r="X515" s="1021"/>
      <c r="Y515" s="1022"/>
      <c r="Z515" s="1021"/>
      <c r="AA515" s="1021"/>
      <c r="AB515" s="1022"/>
      <c r="AC515" s="1021"/>
      <c r="AD515" s="1021"/>
      <c r="AE515" s="1022"/>
      <c r="AF515" s="1021"/>
      <c r="AG515" s="1021"/>
      <c r="AH515" s="1022"/>
      <c r="AI515" s="1021"/>
      <c r="AJ515" s="1021"/>
      <c r="AK515" s="1022"/>
      <c r="AL515" s="1021"/>
      <c r="AM515" s="1021"/>
      <c r="AN515" s="1022"/>
      <c r="AO515" s="1021"/>
      <c r="AP515" s="1021"/>
      <c r="AQ515" s="1022"/>
      <c r="AR515" s="1021"/>
      <c r="AS515" s="1021"/>
      <c r="AT515" s="1022"/>
      <c r="AU515" s="34"/>
      <c r="AV515" s="34"/>
      <c r="AW515" s="35"/>
      <c r="AX515" s="34"/>
      <c r="AY515" s="34"/>
      <c r="AZ515" s="35"/>
      <c r="BA515" s="34"/>
      <c r="BB515" s="34"/>
      <c r="BC515" s="35"/>
      <c r="BD515" s="34"/>
      <c r="BE515" s="34"/>
      <c r="BF515" s="35"/>
      <c r="BG515" s="35"/>
      <c r="BH515" s="35"/>
      <c r="BI515" s="35"/>
      <c r="BJ515" s="34"/>
      <c r="BK515" s="34"/>
      <c r="BL515" s="1518"/>
      <c r="BM515" s="1518"/>
      <c r="BN515" s="1518"/>
      <c r="BO515" s="1518"/>
      <c r="BP515" s="1518"/>
      <c r="BQ515" s="1518"/>
      <c r="BR515" s="1518"/>
      <c r="BS515" s="1518"/>
      <c r="BT515" s="1518"/>
      <c r="BU515" s="1518"/>
      <c r="BV515" s="1518"/>
      <c r="BW515" s="1518"/>
      <c r="BX515" s="1518"/>
      <c r="BY515" s="1518"/>
      <c r="BZ515" s="1518"/>
      <c r="CA515" s="1518"/>
      <c r="CB515" s="1518"/>
      <c r="CC515" s="1518"/>
      <c r="CD515" s="1518"/>
      <c r="CE515" s="1518"/>
      <c r="CF515" s="1518"/>
      <c r="CG515" s="1518"/>
      <c r="CH515" s="1518"/>
      <c r="CI515" s="1518"/>
      <c r="CJ515" s="1518"/>
      <c r="CK515" s="1518"/>
      <c r="CL515" s="1518"/>
      <c r="CM515" s="1518"/>
      <c r="DE515" s="1472"/>
      <c r="DH515" s="1472"/>
      <c r="DK515" s="1472"/>
      <c r="DN515" s="1472"/>
      <c r="DQ515" s="1472"/>
      <c r="DT515" s="1472"/>
      <c r="DW515" s="1472"/>
      <c r="DZ515" s="1472"/>
      <c r="EC515" s="1472"/>
      <c r="EF515" s="1472"/>
      <c r="EI515" s="1472"/>
      <c r="EL515" s="1472"/>
      <c r="EO515" s="1472"/>
      <c r="ER515" s="1472"/>
      <c r="EU515" s="1472"/>
      <c r="EX515" s="1472"/>
      <c r="FA515" s="1472"/>
      <c r="FD515"/>
      <c r="FE515"/>
      <c r="FF515"/>
      <c r="FG515"/>
      <c r="FH515"/>
      <c r="FI515"/>
    </row>
    <row r="516" spans="1:165" s="33" customFormat="1">
      <c r="E516" s="34"/>
      <c r="F516" s="34"/>
      <c r="G516" s="35"/>
      <c r="H516" s="34"/>
      <c r="I516" s="34"/>
      <c r="J516" s="35"/>
      <c r="K516" s="34"/>
      <c r="L516" s="34"/>
      <c r="M516" s="35"/>
      <c r="N516" s="34"/>
      <c r="O516" s="34"/>
      <c r="P516" s="35"/>
      <c r="Q516" s="36"/>
      <c r="R516" s="36"/>
      <c r="S516" s="70"/>
      <c r="T516" s="36"/>
      <c r="U516" s="36"/>
      <c r="V516" s="1022"/>
      <c r="W516" s="1021"/>
      <c r="X516" s="1021"/>
      <c r="Y516" s="1022"/>
      <c r="Z516" s="1021"/>
      <c r="AA516" s="1021"/>
      <c r="AB516" s="1022"/>
      <c r="AC516" s="1021"/>
      <c r="AD516" s="1021"/>
      <c r="AE516" s="1022"/>
      <c r="AF516" s="1021"/>
      <c r="AG516" s="1021"/>
      <c r="AH516" s="1022"/>
      <c r="AI516" s="1021"/>
      <c r="AJ516" s="1021"/>
      <c r="AK516" s="1022"/>
      <c r="AL516" s="1021"/>
      <c r="AM516" s="1021"/>
      <c r="AN516" s="1022"/>
      <c r="AO516" s="1021"/>
      <c r="AP516" s="1021"/>
      <c r="AQ516" s="1022"/>
      <c r="AR516" s="1021"/>
      <c r="AS516" s="1021"/>
      <c r="AT516" s="1022"/>
      <c r="AU516" s="34"/>
      <c r="AV516" s="34"/>
      <c r="AW516" s="35"/>
      <c r="AX516" s="34"/>
      <c r="AY516" s="34"/>
      <c r="AZ516" s="35"/>
      <c r="BA516" s="34"/>
      <c r="BB516" s="34"/>
      <c r="BC516" s="35"/>
      <c r="BD516" s="34"/>
      <c r="BE516" s="34"/>
      <c r="BF516" s="35"/>
      <c r="BG516" s="34"/>
      <c r="BH516" s="34"/>
      <c r="BI516" s="35"/>
      <c r="BJ516" s="34"/>
      <c r="BK516" s="34"/>
      <c r="BL516" s="1518"/>
      <c r="BM516" s="1518"/>
      <c r="BN516" s="1518"/>
      <c r="BO516" s="1518"/>
      <c r="BP516" s="1518"/>
      <c r="BQ516" s="1518"/>
      <c r="BR516" s="1518"/>
      <c r="BS516" s="1518"/>
      <c r="BT516" s="1518"/>
      <c r="BU516" s="1518"/>
      <c r="BV516" s="1518"/>
      <c r="BW516" s="1518"/>
      <c r="BX516" s="1518"/>
      <c r="BY516" s="1518"/>
      <c r="BZ516" s="1518"/>
      <c r="CA516" s="1518"/>
      <c r="CB516" s="1518"/>
      <c r="CC516" s="1518"/>
      <c r="CD516" s="1518"/>
      <c r="CE516" s="1518"/>
      <c r="CF516" s="1518"/>
      <c r="CG516" s="1518"/>
      <c r="CH516" s="1518"/>
      <c r="CI516" s="1518"/>
      <c r="CJ516" s="1518"/>
      <c r="CK516" s="1518"/>
      <c r="CL516" s="1518"/>
      <c r="CM516" s="1518"/>
      <c r="DE516" s="1472"/>
      <c r="DH516" s="1472"/>
      <c r="DK516" s="1472"/>
      <c r="DN516" s="1472"/>
      <c r="DQ516" s="1472"/>
      <c r="DT516" s="1472"/>
      <c r="DW516" s="1472"/>
      <c r="DZ516" s="1472"/>
      <c r="EC516" s="1472"/>
      <c r="EF516" s="1472"/>
      <c r="EI516" s="1472"/>
      <c r="EL516" s="1472"/>
      <c r="EO516" s="1472"/>
      <c r="ER516" s="1472"/>
      <c r="EU516" s="1472"/>
      <c r="EX516" s="1472"/>
      <c r="FA516" s="1472"/>
      <c r="FD516"/>
      <c r="FE516"/>
      <c r="FF516"/>
      <c r="FG516"/>
      <c r="FH516"/>
      <c r="FI516"/>
    </row>
    <row r="517" spans="1:165" s="33" customFormat="1">
      <c r="A517" s="33" t="s">
        <v>868</v>
      </c>
      <c r="E517" s="34"/>
      <c r="F517" s="34"/>
      <c r="G517" s="35"/>
      <c r="H517" s="34"/>
      <c r="I517" s="34"/>
      <c r="J517" s="35"/>
      <c r="K517" s="34"/>
      <c r="L517" s="34"/>
      <c r="M517" s="35"/>
      <c r="N517" s="34"/>
      <c r="O517" s="34"/>
      <c r="P517" s="35"/>
      <c r="Q517" s="36"/>
      <c r="R517" s="36"/>
      <c r="S517" s="70"/>
      <c r="T517" s="36"/>
      <c r="U517" s="36"/>
      <c r="V517" s="1022"/>
      <c r="W517" s="1021"/>
      <c r="X517" s="1021"/>
      <c r="Y517" s="1022"/>
      <c r="Z517" s="1021"/>
      <c r="AA517" s="1021"/>
      <c r="AB517" s="1022"/>
      <c r="AC517" s="1021"/>
      <c r="AD517" s="1021"/>
      <c r="AE517" s="1022"/>
      <c r="AF517" s="1021"/>
      <c r="AG517" s="1021"/>
      <c r="AH517" s="1022"/>
      <c r="AI517" s="1021"/>
      <c r="AJ517" s="1021"/>
      <c r="AK517" s="1022"/>
      <c r="AL517" s="1021"/>
      <c r="AM517" s="1021"/>
      <c r="AN517" s="1022"/>
      <c r="AO517" s="1021"/>
      <c r="AP517" s="1021"/>
      <c r="AQ517" s="1022"/>
      <c r="AR517" s="1021"/>
      <c r="AS517" s="1021"/>
      <c r="AT517" s="1022"/>
      <c r="AU517" s="34"/>
      <c r="AV517" s="34"/>
      <c r="AW517" s="35"/>
      <c r="AX517" s="34"/>
      <c r="AY517" s="34"/>
      <c r="AZ517" s="35"/>
      <c r="BA517" s="34"/>
      <c r="BB517" s="34"/>
      <c r="BC517" s="35"/>
      <c r="BD517" s="34"/>
      <c r="BE517" s="34"/>
      <c r="BF517" s="35"/>
      <c r="BG517" s="34"/>
      <c r="BH517" s="34"/>
      <c r="BI517" s="35"/>
      <c r="BJ517" s="34"/>
      <c r="BK517" s="34"/>
      <c r="BL517" s="1518"/>
      <c r="BM517" s="1518"/>
      <c r="BN517" s="1518"/>
      <c r="BO517" s="1518"/>
      <c r="BP517" s="1518"/>
      <c r="BQ517" s="1518"/>
      <c r="BR517" s="1518"/>
      <c r="BS517" s="1518"/>
      <c r="BT517" s="1518"/>
      <c r="BU517" s="1518"/>
      <c r="BV517" s="1518"/>
      <c r="BW517" s="1518"/>
      <c r="BX517" s="1518"/>
      <c r="BY517" s="1518"/>
      <c r="BZ517" s="1518"/>
      <c r="CA517" s="1518"/>
      <c r="CB517" s="1518"/>
      <c r="CC517" s="1518"/>
      <c r="CD517" s="1518"/>
      <c r="CE517" s="1518"/>
      <c r="CF517" s="1518"/>
      <c r="CG517" s="1518"/>
      <c r="CH517" s="1518"/>
      <c r="CI517" s="1518"/>
      <c r="CJ517" s="1518"/>
      <c r="CK517" s="1518"/>
      <c r="CL517" s="1518"/>
      <c r="CM517" s="1518"/>
      <c r="CP517" s="1520" t="str">
        <f>CP4</f>
        <v>2014</v>
      </c>
      <c r="CQ517" s="1520" t="str">
        <f t="shared" ref="CQ517:DT517" si="1089">CQ4</f>
        <v>1h15</v>
      </c>
      <c r="CR517" s="1520" t="str">
        <f t="shared" si="1089"/>
        <v>2h15</v>
      </c>
      <c r="CS517" s="1520" t="str">
        <f t="shared" si="1089"/>
        <v>2015</v>
      </c>
      <c r="CT517" s="1520" t="str">
        <f t="shared" si="1089"/>
        <v>1h16</v>
      </c>
      <c r="CU517" s="1520" t="str">
        <f t="shared" si="1089"/>
        <v>2h16</v>
      </c>
      <c r="CV517" s="1520" t="str">
        <f t="shared" si="1089"/>
        <v>2016</v>
      </c>
      <c r="CW517" s="1520" t="str">
        <f t="shared" si="1089"/>
        <v>1h17</v>
      </c>
      <c r="CX517" s="1520" t="str">
        <f t="shared" si="1089"/>
        <v>2h17</v>
      </c>
      <c r="CY517" s="1520" t="str">
        <f t="shared" si="1089"/>
        <v>2017</v>
      </c>
      <c r="CZ517" s="1520" t="str">
        <f t="shared" si="1089"/>
        <v>1h18</v>
      </c>
      <c r="DA517" s="1520" t="str">
        <f t="shared" si="1089"/>
        <v>2h18</v>
      </c>
      <c r="DB517" s="1520" t="str">
        <f t="shared" si="1089"/>
        <v>2018</v>
      </c>
      <c r="DC517" s="1520" t="str">
        <f t="shared" si="1089"/>
        <v>1h19</v>
      </c>
      <c r="DD517" s="1520" t="str">
        <f t="shared" si="1089"/>
        <v>2h19</v>
      </c>
      <c r="DE517" s="1521" t="str">
        <f t="shared" si="1089"/>
        <v>2019</v>
      </c>
      <c r="DF517" s="1520" t="str">
        <f t="shared" si="1089"/>
        <v>1h20</v>
      </c>
      <c r="DG517" s="1520" t="str">
        <f t="shared" si="1089"/>
        <v>2h20</v>
      </c>
      <c r="DH517" s="1521" t="str">
        <f t="shared" si="1089"/>
        <v>2020</v>
      </c>
      <c r="DI517" s="1520" t="str">
        <f t="shared" si="1089"/>
        <v>1h21</v>
      </c>
      <c r="DJ517" s="1520" t="str">
        <f t="shared" si="1089"/>
        <v>2h21</v>
      </c>
      <c r="DK517" s="1521" t="str">
        <f t="shared" si="1089"/>
        <v>2021</v>
      </c>
      <c r="DL517" s="1520" t="str">
        <f t="shared" si="1089"/>
        <v>1h22</v>
      </c>
      <c r="DM517" s="1520" t="str">
        <f t="shared" si="1089"/>
        <v>2h22</v>
      </c>
      <c r="DN517" s="1521" t="str">
        <f t="shared" si="1089"/>
        <v>2022</v>
      </c>
      <c r="DO517" s="1520" t="str">
        <f t="shared" si="1089"/>
        <v>1h23</v>
      </c>
      <c r="DP517" s="1520" t="str">
        <f t="shared" si="1089"/>
        <v>2h23</v>
      </c>
      <c r="DQ517" s="1521" t="str">
        <f t="shared" si="1089"/>
        <v>2023</v>
      </c>
      <c r="DR517" s="1520" t="str">
        <f t="shared" si="1089"/>
        <v>1h24</v>
      </c>
      <c r="DS517" s="1520" t="str">
        <f t="shared" si="1089"/>
        <v>2h24</v>
      </c>
      <c r="DT517" s="1521" t="str">
        <f t="shared" si="1089"/>
        <v>2024</v>
      </c>
      <c r="DW517" s="1472"/>
      <c r="DZ517" s="1472"/>
      <c r="EC517" s="1472"/>
      <c r="EF517" s="1472"/>
      <c r="EI517" s="1472"/>
      <c r="EL517" s="1472"/>
      <c r="EO517" s="1472"/>
      <c r="ER517" s="1472"/>
      <c r="EU517" s="1472"/>
      <c r="EX517" s="1472"/>
      <c r="FA517" s="1472"/>
      <c r="FD517"/>
      <c r="FE517"/>
      <c r="FF517"/>
      <c r="FG517"/>
      <c r="FH517"/>
      <c r="FI517"/>
    </row>
    <row r="518" spans="1:165" s="33" customFormat="1">
      <c r="B518" s="33" t="s">
        <v>869</v>
      </c>
      <c r="E518" s="34"/>
      <c r="F518" s="34"/>
      <c r="G518" s="35"/>
      <c r="H518" s="34"/>
      <c r="I518" s="34"/>
      <c r="J518" s="35"/>
      <c r="K518" s="34"/>
      <c r="L518" s="34"/>
      <c r="M518" s="35"/>
      <c r="N518" s="34"/>
      <c r="O518" s="34"/>
      <c r="P518" s="35"/>
      <c r="Q518" s="36"/>
      <c r="R518" s="36"/>
      <c r="S518" s="70"/>
      <c r="T518" s="36"/>
      <c r="U518" s="36"/>
      <c r="V518" s="1022"/>
      <c r="W518" s="1021"/>
      <c r="X518" s="1021"/>
      <c r="Y518" s="1022"/>
      <c r="Z518" s="1021"/>
      <c r="AA518" s="1021"/>
      <c r="AB518" s="1022"/>
      <c r="AC518" s="1021"/>
      <c r="AD518" s="1021"/>
      <c r="AE518" s="1022"/>
      <c r="AF518" s="1021"/>
      <c r="AG518" s="1021"/>
      <c r="AH518" s="1022"/>
      <c r="AI518" s="1021"/>
      <c r="AJ518" s="1021"/>
      <c r="AK518" s="1022"/>
      <c r="AL518" s="1021"/>
      <c r="AM518" s="1021"/>
      <c r="AN518" s="1022"/>
      <c r="AO518" s="1021"/>
      <c r="AP518" s="1021"/>
      <c r="AQ518" s="1022"/>
      <c r="AR518" s="1021"/>
      <c r="AS518" s="1021"/>
      <c r="AT518" s="1022"/>
      <c r="AU518" s="34"/>
      <c r="AV518" s="34"/>
      <c r="AW518" s="35"/>
      <c r="AX518" s="34"/>
      <c r="AY518" s="34"/>
      <c r="AZ518" s="35"/>
      <c r="BA518" s="34"/>
      <c r="BB518" s="34"/>
      <c r="BC518" s="35"/>
      <c r="BD518" s="34"/>
      <c r="BE518" s="34"/>
      <c r="BF518" s="35"/>
      <c r="BG518" s="35"/>
      <c r="BH518" s="35"/>
      <c r="BI518" s="35"/>
      <c r="BJ518" s="34"/>
      <c r="BK518" s="34"/>
      <c r="BL518" s="1518"/>
      <c r="BM518" s="1518"/>
      <c r="BN518" s="1518"/>
      <c r="BO518" s="1518"/>
      <c r="BP518" s="1518"/>
      <c r="BQ518" s="1518"/>
      <c r="BR518" s="1518"/>
      <c r="BS518" s="1518"/>
      <c r="BT518" s="1518"/>
      <c r="BU518" s="1518"/>
      <c r="BV518" s="1518"/>
      <c r="BW518" s="1518"/>
      <c r="BX518" s="1518"/>
      <c r="BY518" s="1518"/>
      <c r="BZ518" s="1518"/>
      <c r="CA518" s="1518"/>
      <c r="CB518" s="1518"/>
      <c r="CC518" s="1518"/>
      <c r="CD518" s="1518"/>
      <c r="CE518" s="1518"/>
      <c r="CF518" s="1518"/>
      <c r="CG518" s="1518"/>
      <c r="CH518" s="1518"/>
      <c r="CI518" s="1518"/>
      <c r="CJ518" s="1518"/>
      <c r="CK518" s="1518"/>
      <c r="CL518" s="1518"/>
      <c r="CM518" s="1518"/>
      <c r="CP518" s="1164">
        <f>CP73</f>
        <v>1637.2</v>
      </c>
      <c r="CQ518" s="1164">
        <f>CQ73</f>
        <v>878.3</v>
      </c>
      <c r="CR518" s="1164">
        <f>CR73</f>
        <v>901.7</v>
      </c>
      <c r="CS518" s="1164">
        <f>CS73</f>
        <v>1780</v>
      </c>
      <c r="CT518" s="1164">
        <f>CT73</f>
        <v>809.80000000000007</v>
      </c>
      <c r="CU518" s="1164">
        <f t="shared" ref="CU518:DV518" si="1090">CU73</f>
        <v>718.70000000000016</v>
      </c>
      <c r="CV518" s="1164">
        <f t="shared" si="1090"/>
        <v>1528.5000000000002</v>
      </c>
      <c r="CW518" s="1164">
        <f t="shared" si="1090"/>
        <v>1094.7</v>
      </c>
      <c r="CX518" s="1164">
        <f t="shared" si="1090"/>
        <v>684.19999999999982</v>
      </c>
      <c r="CY518" s="1164">
        <f t="shared" si="1090"/>
        <v>1778.8999999999999</v>
      </c>
      <c r="CZ518" s="1164">
        <f t="shared" si="1090"/>
        <v>1475.2090930720517</v>
      </c>
      <c r="DA518" s="1164">
        <f t="shared" si="1090"/>
        <v>905.09090692794803</v>
      </c>
      <c r="DB518" s="1164">
        <f t="shared" si="1090"/>
        <v>2380.2999999999997</v>
      </c>
      <c r="DC518" s="1164">
        <f t="shared" si="1090"/>
        <v>1553</v>
      </c>
      <c r="DD518" s="1164">
        <f t="shared" si="1090"/>
        <v>951</v>
      </c>
      <c r="DE518" s="1165">
        <f t="shared" si="1090"/>
        <v>2504</v>
      </c>
      <c r="DF518" s="1164">
        <f t="shared" si="1090"/>
        <v>1632.019</v>
      </c>
      <c r="DG518" s="1164">
        <f t="shared" si="1090"/>
        <v>1084.5110874999998</v>
      </c>
      <c r="DH518" s="1165">
        <f t="shared" si="1090"/>
        <v>2716.5300874999998</v>
      </c>
      <c r="DI518" s="1164">
        <f t="shared" si="1090"/>
        <v>2357.8815450000002</v>
      </c>
      <c r="DJ518" s="1164">
        <f t="shared" si="1090"/>
        <v>792.90427624999984</v>
      </c>
      <c r="DK518" s="1165">
        <f t="shared" si="1090"/>
        <v>3150.78582125</v>
      </c>
      <c r="DL518" s="1164">
        <f t="shared" si="1090"/>
        <v>2231.4235962499997</v>
      </c>
      <c r="DM518" s="1164">
        <f t="shared" si="1090"/>
        <v>850.87640375000046</v>
      </c>
      <c r="DN518" s="1165">
        <f t="shared" si="1090"/>
        <v>3082.3</v>
      </c>
      <c r="DO518" s="1164">
        <f t="shared" si="1090"/>
        <v>2406.0018085000002</v>
      </c>
      <c r="DP518" s="1164">
        <f t="shared" si="1090"/>
        <v>1251.2963594942444</v>
      </c>
      <c r="DQ518" s="1165">
        <f t="shared" si="1090"/>
        <v>3657.2981679942445</v>
      </c>
      <c r="DR518" s="1164">
        <f t="shared" si="1090"/>
        <v>2794.9791249999998</v>
      </c>
      <c r="DS518" s="1164">
        <f t="shared" si="1090"/>
        <v>1402.0284750000001</v>
      </c>
      <c r="DT518" s="1165">
        <f t="shared" si="1090"/>
        <v>4197.0075999999999</v>
      </c>
      <c r="DU518" s="1164">
        <f>DU73</f>
        <v>2878</v>
      </c>
      <c r="DV518" s="1164">
        <f t="shared" si="1090"/>
        <v>1590</v>
      </c>
      <c r="DW518" s="1472"/>
      <c r="DZ518" s="1472"/>
      <c r="EC518" s="1472"/>
      <c r="EF518" s="1472"/>
      <c r="EI518" s="1472"/>
      <c r="EL518" s="1472"/>
      <c r="EO518" s="1472"/>
      <c r="ER518" s="1472"/>
      <c r="EU518" s="1472"/>
      <c r="EX518" s="1472"/>
      <c r="FA518" s="1472"/>
      <c r="FD518"/>
      <c r="FE518"/>
      <c r="FF518"/>
      <c r="FG518"/>
      <c r="FH518"/>
      <c r="FI518"/>
    </row>
    <row r="519" spans="1:165" s="33" customFormat="1">
      <c r="B519" s="33" t="s">
        <v>326</v>
      </c>
      <c r="E519" s="34"/>
      <c r="F519" s="34"/>
      <c r="G519" s="35"/>
      <c r="H519" s="34"/>
      <c r="I519" s="34"/>
      <c r="J519" s="35"/>
      <c r="K519" s="34"/>
      <c r="L519" s="34"/>
      <c r="M519" s="35"/>
      <c r="N519" s="34"/>
      <c r="O519" s="34"/>
      <c r="P519" s="35"/>
      <c r="Q519" s="36"/>
      <c r="R519" s="36"/>
      <c r="S519" s="70"/>
      <c r="T519" s="36"/>
      <c r="U519" s="36"/>
      <c r="V519" s="1022"/>
      <c r="W519" s="1021"/>
      <c r="X519" s="1021"/>
      <c r="Y519" s="1022"/>
      <c r="Z519" s="1021"/>
      <c r="AA519" s="1021"/>
      <c r="AB519" s="1022"/>
      <c r="AC519" s="1021"/>
      <c r="AD519" s="1021"/>
      <c r="AE519" s="1022"/>
      <c r="AF519" s="1021"/>
      <c r="AG519" s="1021"/>
      <c r="AH519" s="1022"/>
      <c r="AI519" s="1021"/>
      <c r="AJ519" s="1021"/>
      <c r="AK519" s="1022"/>
      <c r="AL519" s="1021"/>
      <c r="AM519" s="1021"/>
      <c r="AN519" s="1022"/>
      <c r="AO519" s="1021"/>
      <c r="AP519" s="1021"/>
      <c r="AQ519" s="1022"/>
      <c r="AR519" s="1021"/>
      <c r="AS519" s="1021"/>
      <c r="AT519" s="1022"/>
      <c r="AU519" s="34"/>
      <c r="AV519" s="34"/>
      <c r="AW519" s="35"/>
      <c r="AX519" s="34"/>
      <c r="AY519" s="34"/>
      <c r="AZ519" s="35"/>
      <c r="BA519" s="34"/>
      <c r="BB519" s="34"/>
      <c r="BC519" s="35"/>
      <c r="BD519" s="34"/>
      <c r="BE519" s="34"/>
      <c r="BF519" s="35"/>
      <c r="BG519" s="34"/>
      <c r="BH519" s="34"/>
      <c r="BI519" s="35"/>
      <c r="BJ519" s="34"/>
      <c r="BK519" s="34"/>
      <c r="BL519" s="1518"/>
      <c r="BM519" s="1518"/>
      <c r="BN519" s="1518"/>
      <c r="BO519" s="1518"/>
      <c r="BP519" s="1518"/>
      <c r="BQ519" s="1518"/>
      <c r="BR519" s="1518"/>
      <c r="BS519" s="1518"/>
      <c r="BT519" s="1518"/>
      <c r="BU519" s="1518"/>
      <c r="BV519" s="1518"/>
      <c r="BW519" s="1518"/>
      <c r="BX519" s="1518"/>
      <c r="BY519" s="1518"/>
      <c r="BZ519" s="1518"/>
      <c r="CA519" s="1518"/>
      <c r="CB519" s="1518"/>
      <c r="CC519" s="1518"/>
      <c r="CD519" s="1518"/>
      <c r="CE519" s="1518"/>
      <c r="CF519" s="1518"/>
      <c r="CG519" s="1518"/>
      <c r="CH519" s="1518"/>
      <c r="CI519" s="1518"/>
      <c r="CJ519" s="1518"/>
      <c r="CK519" s="1518"/>
      <c r="CL519" s="1518"/>
      <c r="CM519" s="1518"/>
      <c r="CP519" s="55">
        <f>CP82</f>
        <v>0.18531446736894597</v>
      </c>
      <c r="CQ519" s="55">
        <f>CQ82</f>
        <v>0.19229871645274213</v>
      </c>
      <c r="CR519" s="55">
        <f>CR82</f>
        <v>0.19362912400455062</v>
      </c>
      <c r="CS519" s="55">
        <f>CS82</f>
        <v>0.19297235023041476</v>
      </c>
      <c r="CT519" s="55">
        <f>CT82</f>
        <v>0.2247061829330608</v>
      </c>
      <c r="CU519" s="55">
        <f t="shared" ref="CU519:DV519" si="1091">CU82</f>
        <v>0.20639534883720922</v>
      </c>
      <c r="CV519" s="55">
        <f t="shared" si="1091"/>
        <v>0.21614087571389715</v>
      </c>
      <c r="CW519" s="55">
        <f t="shared" si="1091"/>
        <v>0.23757690487458599</v>
      </c>
      <c r="CX519" s="55">
        <f t="shared" si="1091"/>
        <v>0.1608665535517948</v>
      </c>
      <c r="CY519" s="55">
        <f t="shared" si="1091"/>
        <v>0.20854538998698066</v>
      </c>
      <c r="CZ519" s="55">
        <f t="shared" si="1091"/>
        <v>0.23720244364862017</v>
      </c>
      <c r="DA519" s="55">
        <f t="shared" si="1091"/>
        <v>0.25026251312565628</v>
      </c>
      <c r="DB519" s="55">
        <f t="shared" si="1091"/>
        <v>0.24210941609679115</v>
      </c>
      <c r="DC519" s="55">
        <f t="shared" si="1091"/>
        <v>0.20521774856203778</v>
      </c>
      <c r="DD519" s="55">
        <f t="shared" si="1091"/>
        <v>0.139320994663336</v>
      </c>
      <c r="DE519" s="1241">
        <f t="shared" si="1091"/>
        <v>0.18042800392977659</v>
      </c>
      <c r="DF519" s="55">
        <f t="shared" si="1091"/>
        <v>0.2006661115736886</v>
      </c>
      <c r="DG519" s="55">
        <f t="shared" si="1091"/>
        <v>0.15513150088985569</v>
      </c>
      <c r="DH519" s="1241">
        <f t="shared" si="1091"/>
        <v>0.18276518832355115</v>
      </c>
      <c r="DI519" s="55">
        <f t="shared" si="1091"/>
        <v>0.19587720467368605</v>
      </c>
      <c r="DJ519" s="55">
        <f t="shared" si="1091"/>
        <v>0.20709413369713514</v>
      </c>
      <c r="DK519" s="1241">
        <f t="shared" si="1091"/>
        <v>0.19863266195247831</v>
      </c>
      <c r="DL519" s="55">
        <f t="shared" si="1091"/>
        <v>0.17773356161214199</v>
      </c>
      <c r="DM519" s="55">
        <f t="shared" si="1091"/>
        <v>0.21942073959141442</v>
      </c>
      <c r="DN519" s="1241">
        <f t="shared" si="1091"/>
        <v>0.1887203952973249</v>
      </c>
      <c r="DO519" s="55">
        <f t="shared" si="1091"/>
        <v>0.16</v>
      </c>
      <c r="DP519" s="55">
        <f t="shared" si="1091"/>
        <v>0.14409448818897608</v>
      </c>
      <c r="DQ519" s="1241">
        <f t="shared" si="1091"/>
        <v>0.15502922177791439</v>
      </c>
      <c r="DR519" s="55">
        <f t="shared" si="1091"/>
        <v>0.19172</v>
      </c>
      <c r="DS519" s="55">
        <f t="shared" si="1091"/>
        <v>0.19266478732276898</v>
      </c>
      <c r="DT519" s="1241">
        <f t="shared" si="1091"/>
        <v>0.19202127659574469</v>
      </c>
      <c r="DU519" s="55">
        <f>DU82</f>
        <v>0.19126506024096401</v>
      </c>
      <c r="DV519" s="55">
        <f t="shared" si="1091"/>
        <v>9.771754636233923E-2</v>
      </c>
      <c r="DW519" s="1472"/>
      <c r="DZ519" s="1472"/>
      <c r="EC519" s="1472"/>
      <c r="EF519" s="1472"/>
      <c r="EI519" s="1472"/>
      <c r="EL519" s="1472"/>
      <c r="EO519" s="1472"/>
      <c r="ER519" s="1472"/>
      <c r="EU519" s="1472"/>
      <c r="EX519" s="1472"/>
      <c r="FA519" s="1472"/>
      <c r="FD519"/>
      <c r="FE519"/>
      <c r="FF519"/>
      <c r="FG519"/>
      <c r="FH519"/>
      <c r="FI519"/>
    </row>
    <row r="520" spans="1:165" s="33" customFormat="1">
      <c r="B520" s="33" t="s">
        <v>870</v>
      </c>
      <c r="E520" s="34"/>
      <c r="F520" s="34"/>
      <c r="G520" s="35"/>
      <c r="H520" s="34"/>
      <c r="I520" s="34"/>
      <c r="J520" s="35"/>
      <c r="K520" s="34"/>
      <c r="L520" s="34"/>
      <c r="M520" s="35"/>
      <c r="N520" s="34"/>
      <c r="O520" s="34"/>
      <c r="P520" s="35"/>
      <c r="Q520" s="36"/>
      <c r="R520" s="36"/>
      <c r="S520" s="70"/>
      <c r="T520" s="36"/>
      <c r="U520" s="36"/>
      <c r="V520" s="1022"/>
      <c r="W520" s="1021"/>
      <c r="X520" s="1021"/>
      <c r="Y520" s="1022"/>
      <c r="Z520" s="1021"/>
      <c r="AA520" s="1021"/>
      <c r="AB520" s="1022"/>
      <c r="AC520" s="1021"/>
      <c r="AD520" s="1021"/>
      <c r="AE520" s="1022"/>
      <c r="AF520" s="1021"/>
      <c r="AG520" s="1021"/>
      <c r="AH520" s="1022"/>
      <c r="AI520" s="1021"/>
      <c r="AJ520" s="1021"/>
      <c r="AK520" s="1022"/>
      <c r="AL520" s="1021"/>
      <c r="AM520" s="1021"/>
      <c r="AN520" s="1022"/>
      <c r="AO520" s="1021"/>
      <c r="AP520" s="1021"/>
      <c r="AQ520" s="1022"/>
      <c r="AR520" s="1021"/>
      <c r="AS520" s="1021"/>
      <c r="AT520" s="1022"/>
      <c r="AU520" s="34"/>
      <c r="AV520" s="34"/>
      <c r="AW520" s="35"/>
      <c r="AX520" s="34"/>
      <c r="AY520" s="34"/>
      <c r="AZ520" s="35"/>
      <c r="BA520" s="34"/>
      <c r="BB520" s="34"/>
      <c r="BC520" s="35"/>
      <c r="BD520" s="34"/>
      <c r="BE520" s="34"/>
      <c r="BF520" s="35"/>
      <c r="BG520" s="35"/>
      <c r="BH520" s="35"/>
      <c r="BI520" s="35"/>
      <c r="BJ520" s="34"/>
      <c r="BK520" s="34"/>
      <c r="BL520" s="1518"/>
      <c r="BM520" s="1518"/>
      <c r="BN520" s="1518"/>
      <c r="BO520" s="1518"/>
      <c r="BP520" s="1518"/>
      <c r="BQ520" s="1518"/>
      <c r="BR520" s="1518"/>
      <c r="BS520" s="1518"/>
      <c r="BT520" s="1518"/>
      <c r="BU520" s="1518"/>
      <c r="BV520" s="1518"/>
      <c r="BW520" s="1518"/>
      <c r="BX520" s="1518"/>
      <c r="BY520" s="1518"/>
      <c r="BZ520" s="1518"/>
      <c r="CA520" s="1518"/>
      <c r="CB520" s="1518"/>
      <c r="CC520" s="1518"/>
      <c r="CD520" s="1518"/>
      <c r="CE520" s="1518"/>
      <c r="CF520" s="1518"/>
      <c r="CG520" s="1518"/>
      <c r="CH520" s="1518"/>
      <c r="CI520" s="1518"/>
      <c r="CJ520" s="1518"/>
      <c r="CK520" s="1518"/>
      <c r="CL520" s="1518"/>
      <c r="CM520" s="1518"/>
      <c r="CP520" s="1164">
        <f>CP317</f>
        <v>3162</v>
      </c>
      <c r="CQ520" s="1164">
        <f>CQ317</f>
        <v>2998.1</v>
      </c>
      <c r="CR520" s="1164">
        <f>CR317</f>
        <v>2746.9</v>
      </c>
      <c r="CS520" s="1164">
        <f>CS317</f>
        <v>2746.9</v>
      </c>
      <c r="CT520" s="1164">
        <f>CT317</f>
        <v>2846.7000000000003</v>
      </c>
      <c r="CU520" s="1164">
        <f t="shared" ref="CU520:DV520" si="1092">CU317</f>
        <v>2567.2000000000003</v>
      </c>
      <c r="CV520" s="1164">
        <f t="shared" si="1092"/>
        <v>2567.2000000000003</v>
      </c>
      <c r="CW520" s="1164">
        <f t="shared" si="1092"/>
        <v>2906.8</v>
      </c>
      <c r="CX520" s="1164">
        <f t="shared" si="1092"/>
        <v>3163.7999999999993</v>
      </c>
      <c r="CY520" s="1164">
        <f t="shared" si="1092"/>
        <v>3163.7999999999993</v>
      </c>
      <c r="CZ520" s="1164">
        <f t="shared" si="1092"/>
        <v>3843</v>
      </c>
      <c r="DA520" s="1164">
        <f t="shared" si="1092"/>
        <v>4079.9000000000005</v>
      </c>
      <c r="DB520" s="1164">
        <f t="shared" si="1092"/>
        <v>4079.9000000000005</v>
      </c>
      <c r="DC520" s="1164">
        <f t="shared" si="1092"/>
        <v>4852.0999999999995</v>
      </c>
      <c r="DD520" s="1164">
        <f t="shared" si="1092"/>
        <v>5251.2999999999993</v>
      </c>
      <c r="DE520" s="1165">
        <f t="shared" si="1092"/>
        <v>5251.2999999999993</v>
      </c>
      <c r="DF520" s="1164">
        <f t="shared" si="1092"/>
        <v>6079.4000000000005</v>
      </c>
      <c r="DG520" s="1164">
        <f t="shared" si="1092"/>
        <v>6527.5900000000011</v>
      </c>
      <c r="DH520" s="1165">
        <f t="shared" si="1092"/>
        <v>6527.5900000000011</v>
      </c>
      <c r="DI520" s="1164">
        <f t="shared" si="1092"/>
        <v>8154.2999999999993</v>
      </c>
      <c r="DJ520" s="1164">
        <f t="shared" si="1092"/>
        <v>8381.6</v>
      </c>
      <c r="DK520" s="1165">
        <f t="shared" si="1092"/>
        <v>8381.6</v>
      </c>
      <c r="DL520" s="1164">
        <f t="shared" si="1092"/>
        <v>14033.2</v>
      </c>
      <c r="DM520" s="1164">
        <f t="shared" si="1092"/>
        <v>14577.5</v>
      </c>
      <c r="DN520" s="1165">
        <f t="shared" si="1092"/>
        <v>14577.5</v>
      </c>
      <c r="DO520" s="1164">
        <f t="shared" si="1092"/>
        <v>17881.100000000002</v>
      </c>
      <c r="DP520" s="1164">
        <f t="shared" si="1092"/>
        <v>17826</v>
      </c>
      <c r="DQ520" s="1165">
        <f t="shared" si="1092"/>
        <v>17826</v>
      </c>
      <c r="DR520" s="1164">
        <f t="shared" si="1092"/>
        <v>19162</v>
      </c>
      <c r="DS520" s="1164">
        <f t="shared" si="1092"/>
        <v>19401</v>
      </c>
      <c r="DT520" s="1165">
        <f t="shared" si="1092"/>
        <v>19401</v>
      </c>
      <c r="DU520" s="1164">
        <f t="shared" si="1092"/>
        <v>20546</v>
      </c>
      <c r="DV520" s="1164">
        <f t="shared" si="1092"/>
        <v>21407</v>
      </c>
      <c r="DW520" s="1472"/>
      <c r="DZ520" s="1472"/>
      <c r="EC520" s="1472"/>
      <c r="EF520" s="1472"/>
      <c r="EI520" s="1472"/>
      <c r="EL520" s="1472"/>
      <c r="EO520" s="1472"/>
      <c r="ER520" s="1472"/>
      <c r="EU520" s="1472"/>
      <c r="EX520" s="1472"/>
      <c r="FA520" s="1472"/>
      <c r="FD520"/>
      <c r="FE520"/>
      <c r="FF520"/>
      <c r="FG520"/>
      <c r="FH520"/>
      <c r="FI520"/>
    </row>
    <row r="521" spans="1:165" s="33" customFormat="1">
      <c r="B521" s="33" t="s">
        <v>871</v>
      </c>
      <c r="E521" s="34"/>
      <c r="F521" s="34"/>
      <c r="G521" s="35"/>
      <c r="H521" s="34"/>
      <c r="I521" s="34"/>
      <c r="J521" s="35"/>
      <c r="K521" s="34"/>
      <c r="L521" s="34"/>
      <c r="M521" s="35"/>
      <c r="N521" s="34"/>
      <c r="O521" s="34"/>
      <c r="P521" s="35"/>
      <c r="Q521" s="36"/>
      <c r="R521" s="36"/>
      <c r="S521" s="70"/>
      <c r="T521" s="36"/>
      <c r="U521" s="36"/>
      <c r="V521" s="1022"/>
      <c r="W521" s="1021"/>
      <c r="X521" s="1021"/>
      <c r="Y521" s="1022"/>
      <c r="Z521" s="1021"/>
      <c r="AA521" s="1021"/>
      <c r="AB521" s="1022"/>
      <c r="AC521" s="1021"/>
      <c r="AD521" s="1021"/>
      <c r="AE521" s="1022"/>
      <c r="AF521" s="1021"/>
      <c r="AG521" s="1021"/>
      <c r="AH521" s="1022"/>
      <c r="AI521" s="1021"/>
      <c r="AJ521" s="1021"/>
      <c r="AK521" s="1022"/>
      <c r="AL521" s="1021"/>
      <c r="AM521" s="1021"/>
      <c r="AN521" s="1022"/>
      <c r="AO521" s="1021"/>
      <c r="AP521" s="1021"/>
      <c r="AQ521" s="1022"/>
      <c r="AR521" s="1021"/>
      <c r="AS521" s="1021"/>
      <c r="AT521" s="1022"/>
      <c r="AU521" s="34"/>
      <c r="AV521" s="34"/>
      <c r="AW521" s="35"/>
      <c r="AX521" s="34"/>
      <c r="AY521" s="34"/>
      <c r="AZ521" s="35"/>
      <c r="BA521" s="34"/>
      <c r="BB521" s="34"/>
      <c r="BC521" s="35"/>
      <c r="BD521" s="34"/>
      <c r="BE521" s="34"/>
      <c r="BF521" s="35"/>
      <c r="BG521" s="34"/>
      <c r="BH521" s="34"/>
      <c r="BI521" s="35"/>
      <c r="BJ521" s="34"/>
      <c r="BK521" s="34"/>
      <c r="BL521" s="1518"/>
      <c r="BM521" s="1518"/>
      <c r="BN521" s="1518"/>
      <c r="BO521" s="1518"/>
      <c r="BP521" s="1518"/>
      <c r="BQ521" s="1518"/>
      <c r="BR521" s="1518"/>
      <c r="BS521" s="1518"/>
      <c r="BT521" s="1518"/>
      <c r="BU521" s="1518"/>
      <c r="BV521" s="1518"/>
      <c r="BW521" s="1518"/>
      <c r="BX521" s="1518"/>
      <c r="BY521" s="1518"/>
      <c r="BZ521" s="1518"/>
      <c r="CA521" s="1518"/>
      <c r="CB521" s="1518"/>
      <c r="CC521" s="1518"/>
      <c r="CD521" s="1518"/>
      <c r="CE521" s="1518"/>
      <c r="CF521" s="1518"/>
      <c r="CG521" s="1518"/>
      <c r="CH521" s="1518"/>
      <c r="CI521" s="1518"/>
      <c r="CJ521" s="1518"/>
      <c r="CK521" s="1518"/>
      <c r="CL521" s="1518"/>
      <c r="CM521" s="1518"/>
      <c r="CN521" s="1518"/>
      <c r="CO521" s="1518"/>
      <c r="CS521" s="33">
        <f>(CS520+CP520)/2</f>
        <v>2954.45</v>
      </c>
      <c r="CV521" s="33">
        <f>(CV520+CS520)/2</f>
        <v>2657.05</v>
      </c>
      <c r="CY521" s="33">
        <f>(CY520+CV520)/2</f>
        <v>2865.5</v>
      </c>
      <c r="DB521" s="33">
        <f>(DB520+CY520)/2</f>
        <v>3621.85</v>
      </c>
      <c r="DE521" s="1472">
        <f>(DE520+DB520)/2</f>
        <v>4665.6000000000004</v>
      </c>
      <c r="DH521" s="1472">
        <f>(DH520+DE520)/2</f>
        <v>5889.4449999999997</v>
      </c>
      <c r="DK521" s="1472">
        <f>(DK520+DH520)/2</f>
        <v>7454.5950000000012</v>
      </c>
      <c r="DN521" s="1472">
        <f>(DN520+DK520)/2</f>
        <v>11479.55</v>
      </c>
      <c r="DQ521" s="1472">
        <f>(DQ520+DN520)/2</f>
        <v>16201.75</v>
      </c>
      <c r="DT521" s="1472">
        <f>(DT520+DQ520)/2</f>
        <v>18613.5</v>
      </c>
      <c r="DU521" s="33">
        <f>(DU520+DR520)/2</f>
        <v>19854</v>
      </c>
      <c r="DW521" s="1472"/>
      <c r="DZ521" s="1472"/>
      <c r="EC521" s="1472"/>
      <c r="EF521" s="1472"/>
      <c r="EI521" s="1472"/>
      <c r="EL521" s="1472"/>
      <c r="EO521" s="1472"/>
      <c r="ER521" s="1472"/>
      <c r="EU521" s="1472"/>
      <c r="EX521" s="1472"/>
      <c r="FA521" s="1472"/>
      <c r="FD521"/>
      <c r="FE521"/>
      <c r="FF521"/>
      <c r="FG521"/>
      <c r="FH521"/>
      <c r="FI521"/>
    </row>
    <row r="522" spans="1:165" s="33" customFormat="1">
      <c r="B522" s="33" t="s">
        <v>872</v>
      </c>
      <c r="E522" s="34"/>
      <c r="F522" s="34"/>
      <c r="G522" s="35"/>
      <c r="H522" s="34"/>
      <c r="I522" s="34"/>
      <c r="J522" s="35"/>
      <c r="K522" s="34"/>
      <c r="L522" s="34"/>
      <c r="M522" s="35"/>
      <c r="N522" s="34"/>
      <c r="O522" s="34"/>
      <c r="P522" s="35"/>
      <c r="Q522" s="36"/>
      <c r="R522" s="36"/>
      <c r="S522" s="70"/>
      <c r="T522" s="36"/>
      <c r="U522" s="36"/>
      <c r="V522" s="1022"/>
      <c r="W522" s="1021"/>
      <c r="X522" s="1021"/>
      <c r="Y522" s="1022"/>
      <c r="Z522" s="1021"/>
      <c r="AA522" s="1021"/>
      <c r="AB522" s="1022"/>
      <c r="AC522" s="1021"/>
      <c r="AD522" s="1021"/>
      <c r="AE522" s="1022"/>
      <c r="AF522" s="1021"/>
      <c r="AG522" s="1021"/>
      <c r="AH522" s="1022"/>
      <c r="AI522" s="1021"/>
      <c r="AJ522" s="1021"/>
      <c r="AK522" s="1022"/>
      <c r="AL522" s="1021"/>
      <c r="AM522" s="1021"/>
      <c r="AN522" s="1022"/>
      <c r="AO522" s="1021"/>
      <c r="AP522" s="1021"/>
      <c r="AQ522" s="1022"/>
      <c r="AR522" s="1021"/>
      <c r="AS522" s="1021"/>
      <c r="AT522" s="1022"/>
      <c r="AU522" s="34"/>
      <c r="AV522" s="34"/>
      <c r="AW522" s="35"/>
      <c r="AX522" s="34"/>
      <c r="AY522" s="34"/>
      <c r="AZ522" s="35"/>
      <c r="BA522" s="34"/>
      <c r="BB522" s="34"/>
      <c r="BC522" s="35"/>
      <c r="BD522" s="34"/>
      <c r="BE522" s="34"/>
      <c r="BF522" s="35"/>
      <c r="BG522" s="34"/>
      <c r="BH522" s="34"/>
      <c r="BI522" s="35"/>
      <c r="BJ522" s="34"/>
      <c r="BK522" s="34"/>
      <c r="BL522" s="1518"/>
      <c r="BM522" s="1518"/>
      <c r="BN522" s="1518"/>
      <c r="BO522" s="1518"/>
      <c r="BP522" s="1518"/>
      <c r="BQ522" s="1518"/>
      <c r="BR522" s="1518"/>
      <c r="BS522" s="1518"/>
      <c r="BT522" s="1518"/>
      <c r="BU522" s="1518"/>
      <c r="BV522" s="1518"/>
      <c r="BW522" s="1518"/>
      <c r="BX522" s="1518"/>
      <c r="BY522" s="1518"/>
      <c r="BZ522" s="1518"/>
      <c r="CA522" s="1518"/>
      <c r="CB522" s="1518"/>
      <c r="CC522" s="1518"/>
      <c r="CD522" s="1518"/>
      <c r="CE522" s="1518"/>
      <c r="CF522" s="1518"/>
      <c r="CG522" s="1518"/>
      <c r="CH522" s="1518"/>
      <c r="CI522" s="1518"/>
      <c r="CJ522" s="1518"/>
      <c r="CK522" s="1518"/>
      <c r="CL522" s="1518"/>
      <c r="CM522" s="1518"/>
      <c r="CP522" s="1164">
        <f>CP324</f>
        <v>1281.5999999999999</v>
      </c>
      <c r="CQ522" s="1164">
        <f>CQ324</f>
        <v>1269.5</v>
      </c>
      <c r="CR522" s="1164">
        <f>CR324</f>
        <v>1724.0999999999997</v>
      </c>
      <c r="CS522" s="1164">
        <f>CS324</f>
        <v>1724.0999999999997</v>
      </c>
      <c r="CT522" s="1164">
        <f>CT324</f>
        <v>1982.3999999999996</v>
      </c>
      <c r="CU522" s="1164">
        <f t="shared" ref="CU522:DV522" si="1093">CU324</f>
        <v>2586.7000000000003</v>
      </c>
      <c r="CV522" s="1164">
        <f t="shared" si="1093"/>
        <v>2586.7000000000003</v>
      </c>
      <c r="CW522" s="1164">
        <f t="shared" si="1093"/>
        <v>2644.5</v>
      </c>
      <c r="CX522" s="1164">
        <f t="shared" si="1093"/>
        <v>3130.7</v>
      </c>
      <c r="CY522" s="1164">
        <f t="shared" si="1093"/>
        <v>3130.7</v>
      </c>
      <c r="CZ522" s="1164">
        <f t="shared" si="1093"/>
        <v>3603.2999999999997</v>
      </c>
      <c r="DA522" s="1164">
        <f t="shared" si="1093"/>
        <v>3571.6000000000004</v>
      </c>
      <c r="DB522" s="1164">
        <f t="shared" si="1093"/>
        <v>3571.6000000000004</v>
      </c>
      <c r="DC522" s="1164">
        <f t="shared" si="1093"/>
        <v>3982.7</v>
      </c>
      <c r="DD522" s="1164">
        <f t="shared" si="1093"/>
        <v>4005</v>
      </c>
      <c r="DE522" s="1165">
        <f t="shared" si="1093"/>
        <v>4005</v>
      </c>
      <c r="DF522" s="1164">
        <f t="shared" si="1093"/>
        <v>4940.2</v>
      </c>
      <c r="DG522" s="1164">
        <f t="shared" si="1093"/>
        <v>4798.3999999999996</v>
      </c>
      <c r="DH522" s="1165">
        <f t="shared" si="1093"/>
        <v>4798.3999999999996</v>
      </c>
      <c r="DI522" s="1164">
        <f t="shared" si="1093"/>
        <v>3702.6999999999994</v>
      </c>
      <c r="DJ522" s="1164">
        <f t="shared" si="1093"/>
        <v>3998.1000000000004</v>
      </c>
      <c r="DK522" s="1165">
        <f t="shared" si="1093"/>
        <v>3998.1000000000004</v>
      </c>
      <c r="DL522" s="1164">
        <f t="shared" si="1093"/>
        <v>-765.60000000000036</v>
      </c>
      <c r="DM522" s="1164">
        <f t="shared" si="1093"/>
        <v>-778.60000000000036</v>
      </c>
      <c r="DN522" s="1165">
        <f t="shared" si="1093"/>
        <v>-778.60000000000036</v>
      </c>
      <c r="DO522" s="1164">
        <f t="shared" si="1093"/>
        <v>10610.7</v>
      </c>
      <c r="DP522" s="1164">
        <f t="shared" si="1093"/>
        <v>10679</v>
      </c>
      <c r="DQ522" s="1165">
        <f t="shared" si="1093"/>
        <v>10679</v>
      </c>
      <c r="DR522" s="1164">
        <f t="shared" si="1093"/>
        <v>11090</v>
      </c>
      <c r="DS522" s="1164">
        <f t="shared" si="1093"/>
        <v>10526</v>
      </c>
      <c r="DT522" s="1165">
        <f t="shared" si="1093"/>
        <v>10526</v>
      </c>
      <c r="DU522" s="1164">
        <f t="shared" si="1093"/>
        <v>10440</v>
      </c>
      <c r="DV522" s="1164">
        <f t="shared" si="1093"/>
        <v>9341</v>
      </c>
      <c r="DW522" s="1472"/>
      <c r="DZ522" s="1472"/>
      <c r="EC522" s="1472"/>
      <c r="EF522" s="1472"/>
      <c r="EI522" s="1472"/>
      <c r="EL522" s="1472"/>
      <c r="EO522" s="1472"/>
      <c r="ER522" s="1472"/>
      <c r="EU522" s="1472"/>
      <c r="EX522" s="1472"/>
      <c r="FA522" s="1472"/>
      <c r="FD522"/>
      <c r="FE522"/>
      <c r="FF522"/>
      <c r="FG522"/>
      <c r="FH522"/>
      <c r="FI522"/>
    </row>
    <row r="523" spans="1:165" s="33" customFormat="1">
      <c r="B523" s="33" t="s">
        <v>873</v>
      </c>
      <c r="E523" s="34"/>
      <c r="F523" s="34"/>
      <c r="G523" s="35"/>
      <c r="H523" s="34"/>
      <c r="I523" s="34"/>
      <c r="J523" s="35"/>
      <c r="K523" s="34"/>
      <c r="L523" s="34"/>
      <c r="M523" s="35"/>
      <c r="N523" s="34"/>
      <c r="O523" s="34"/>
      <c r="P523" s="35"/>
      <c r="Q523" s="36"/>
      <c r="R523" s="36"/>
      <c r="S523" s="70"/>
      <c r="T523" s="36"/>
      <c r="U523" s="36"/>
      <c r="V523" s="1022"/>
      <c r="W523" s="1021"/>
      <c r="X523" s="1021"/>
      <c r="Y523" s="1022"/>
      <c r="Z523" s="1021"/>
      <c r="AA523" s="1021"/>
      <c r="AB523" s="1022"/>
      <c r="AC523" s="1021"/>
      <c r="AD523" s="1021"/>
      <c r="AE523" s="1022"/>
      <c r="AF523" s="1021"/>
      <c r="AG523" s="1021"/>
      <c r="AH523" s="1022"/>
      <c r="AI523" s="1021"/>
      <c r="AJ523" s="1021"/>
      <c r="AK523" s="1022"/>
      <c r="AL523" s="1021"/>
      <c r="AM523" s="1021"/>
      <c r="AN523" s="1022"/>
      <c r="AO523" s="1021"/>
      <c r="AP523" s="1021"/>
      <c r="AQ523" s="1022"/>
      <c r="AR523" s="1021"/>
      <c r="AS523" s="1021"/>
      <c r="AT523" s="1022"/>
      <c r="AU523" s="34"/>
      <c r="AV523" s="34"/>
      <c r="AW523" s="35"/>
      <c r="AX523" s="34"/>
      <c r="AY523" s="34"/>
      <c r="AZ523" s="35"/>
      <c r="BA523" s="34"/>
      <c r="BB523" s="34"/>
      <c r="BC523" s="35"/>
      <c r="BD523" s="34"/>
      <c r="BE523" s="34"/>
      <c r="BF523" s="35"/>
      <c r="BG523" s="35"/>
      <c r="BH523" s="35"/>
      <c r="BI523" s="35"/>
      <c r="BJ523" s="34"/>
      <c r="BK523" s="34"/>
      <c r="BL523" s="1518"/>
      <c r="BM523" s="1518"/>
      <c r="BN523" s="1518"/>
      <c r="BO523" s="1518"/>
      <c r="BP523" s="1518"/>
      <c r="BQ523" s="1518"/>
      <c r="BR523" s="1518"/>
      <c r="BS523" s="1518"/>
      <c r="BT523" s="1518"/>
      <c r="BU523" s="1518"/>
      <c r="BV523" s="1518"/>
      <c r="BW523" s="1518"/>
      <c r="BX523" s="1518"/>
      <c r="BY523" s="1518"/>
      <c r="BZ523" s="1518"/>
      <c r="CA523" s="1518"/>
      <c r="CB523" s="1518"/>
      <c r="CC523" s="1518"/>
      <c r="CD523" s="1518"/>
      <c r="CE523" s="1518"/>
      <c r="CF523" s="1518"/>
      <c r="CG523" s="1518"/>
      <c r="CH523" s="1518"/>
      <c r="CI523" s="1518"/>
      <c r="CJ523" s="1518"/>
      <c r="CK523" s="1518"/>
      <c r="CL523" s="1518"/>
      <c r="CM523" s="1518"/>
      <c r="CS523" s="33">
        <f>(CS522+CP522)/2</f>
        <v>1502.85</v>
      </c>
      <c r="CW523" s="33">
        <f>(CW522+CT522)/2</f>
        <v>2313.4499999999998</v>
      </c>
      <c r="DA523" s="33">
        <f>(DA522+CX522)/2</f>
        <v>3351.15</v>
      </c>
      <c r="DE523" s="1472">
        <f>(DE522+DB522)/2</f>
        <v>3788.3</v>
      </c>
      <c r="DH523" s="1472"/>
      <c r="DI523" s="33">
        <f>(DI522+DF522)/2</f>
        <v>4321.45</v>
      </c>
      <c r="DK523" s="1472"/>
      <c r="DM523" s="33">
        <f>(DM522+DJ522)/2</f>
        <v>1609.75</v>
      </c>
      <c r="DN523" s="1472"/>
      <c r="DQ523" s="1472">
        <f>(DQ522+DN522)/2</f>
        <v>4950.2</v>
      </c>
      <c r="DT523" s="1472"/>
      <c r="DU523" s="33">
        <f>(DU522+DR522)/2</f>
        <v>10765</v>
      </c>
      <c r="DW523" s="1472"/>
      <c r="DZ523" s="1472"/>
      <c r="EC523" s="1472"/>
      <c r="EF523" s="1472"/>
      <c r="EI523" s="1472"/>
      <c r="EL523" s="1472"/>
      <c r="EO523" s="1472"/>
      <c r="ER523" s="1472"/>
      <c r="EU523" s="1472"/>
      <c r="EX523" s="1472"/>
      <c r="FA523" s="1472"/>
      <c r="FD523"/>
      <c r="FE523"/>
      <c r="FF523"/>
      <c r="FG523"/>
      <c r="FH523"/>
      <c r="FI523"/>
    </row>
    <row r="524" spans="1:165" s="33" customFormat="1">
      <c r="E524" s="34"/>
      <c r="F524" s="34"/>
      <c r="G524" s="35"/>
      <c r="H524" s="34"/>
      <c r="I524" s="34"/>
      <c r="J524" s="35"/>
      <c r="K524" s="34"/>
      <c r="L524" s="34"/>
      <c r="M524" s="35"/>
      <c r="N524" s="34"/>
      <c r="O524" s="34"/>
      <c r="P524" s="35"/>
      <c r="Q524" s="36"/>
      <c r="R524" s="36"/>
      <c r="S524" s="70"/>
      <c r="T524" s="36"/>
      <c r="U524" s="36"/>
      <c r="V524" s="1022"/>
      <c r="W524" s="1021"/>
      <c r="X524" s="1021"/>
      <c r="Y524" s="1022"/>
      <c r="Z524" s="1021"/>
      <c r="AA524" s="1021"/>
      <c r="AB524" s="1022"/>
      <c r="AC524" s="1021"/>
      <c r="AD524" s="1021"/>
      <c r="AE524" s="1022"/>
      <c r="AF524" s="1021"/>
      <c r="AG524" s="1021"/>
      <c r="AH524" s="1022"/>
      <c r="AI524" s="1021"/>
      <c r="AJ524" s="1021"/>
      <c r="AK524" s="1022"/>
      <c r="AL524" s="1021"/>
      <c r="AM524" s="1021"/>
      <c r="AN524" s="1022"/>
      <c r="AO524" s="1021"/>
      <c r="AP524" s="1021"/>
      <c r="AQ524" s="1022"/>
      <c r="AR524" s="1021"/>
      <c r="AS524" s="1021"/>
      <c r="AT524" s="1022"/>
      <c r="AU524" s="34"/>
      <c r="AV524" s="34"/>
      <c r="AW524" s="35"/>
      <c r="AX524" s="34"/>
      <c r="AY524" s="34"/>
      <c r="AZ524" s="35"/>
      <c r="BA524" s="34"/>
      <c r="BB524" s="34"/>
      <c r="BC524" s="35"/>
      <c r="BD524" s="34"/>
      <c r="BE524" s="34"/>
      <c r="BF524" s="35"/>
      <c r="BG524" s="35"/>
      <c r="BH524" s="35"/>
      <c r="BI524" s="35"/>
      <c r="BJ524" s="34"/>
      <c r="BK524" s="34"/>
      <c r="BL524" s="1518"/>
      <c r="BM524" s="1518"/>
      <c r="BN524" s="1518"/>
      <c r="BO524" s="1518"/>
      <c r="BP524" s="1518"/>
      <c r="BQ524" s="1518"/>
      <c r="BR524" s="1518"/>
      <c r="BS524" s="1518"/>
      <c r="BT524" s="1518"/>
      <c r="BU524" s="1518"/>
      <c r="BV524" s="1518"/>
      <c r="BW524" s="1518"/>
      <c r="BX524" s="1518"/>
      <c r="BY524" s="1518"/>
      <c r="BZ524" s="1518"/>
      <c r="CA524" s="1518"/>
      <c r="CB524" s="1518"/>
      <c r="CC524" s="1518"/>
      <c r="CD524" s="1518"/>
      <c r="CE524" s="1518"/>
      <c r="CF524" s="1518"/>
      <c r="CG524" s="1518"/>
      <c r="CH524" s="1518"/>
      <c r="CI524" s="1518"/>
      <c r="CJ524" s="1518"/>
      <c r="CK524" s="1518"/>
      <c r="CL524" s="1518"/>
      <c r="CM524" s="1518"/>
      <c r="DE524" s="1472"/>
      <c r="DH524" s="1472"/>
      <c r="DK524" s="1472"/>
      <c r="DN524" s="1472"/>
      <c r="DQ524" s="1472"/>
      <c r="DT524" s="1472"/>
      <c r="DW524" s="1472"/>
      <c r="DZ524" s="1472"/>
      <c r="EC524" s="1472"/>
      <c r="EF524" s="1472"/>
      <c r="EI524" s="1472"/>
      <c r="EL524" s="1472"/>
      <c r="EO524" s="1472"/>
      <c r="ER524" s="1472"/>
      <c r="EU524" s="1472"/>
      <c r="EX524" s="1472"/>
      <c r="FA524" s="1472"/>
      <c r="FD524"/>
      <c r="FE524"/>
      <c r="FF524"/>
      <c r="FG524"/>
      <c r="FH524"/>
      <c r="FI524"/>
    </row>
    <row r="525" spans="1:165" s="33" customFormat="1">
      <c r="B525" s="33" t="s">
        <v>745</v>
      </c>
      <c r="E525" s="34"/>
      <c r="F525" s="34"/>
      <c r="G525" s="35"/>
      <c r="H525" s="34"/>
      <c r="I525" s="34"/>
      <c r="J525" s="35"/>
      <c r="K525" s="34"/>
      <c r="L525" s="34"/>
      <c r="M525" s="35"/>
      <c r="N525" s="34"/>
      <c r="O525" s="34"/>
      <c r="P525" s="35"/>
      <c r="Q525" s="36"/>
      <c r="R525" s="36"/>
      <c r="S525" s="70"/>
      <c r="T525" s="36"/>
      <c r="U525" s="36"/>
      <c r="V525" s="1022"/>
      <c r="W525" s="1021"/>
      <c r="X525" s="1021"/>
      <c r="Y525" s="1022"/>
      <c r="Z525" s="1021"/>
      <c r="AA525" s="1021"/>
      <c r="AB525" s="1022"/>
      <c r="AC525" s="1021"/>
      <c r="AD525" s="1021"/>
      <c r="AE525" s="1022"/>
      <c r="AF525" s="1021"/>
      <c r="AG525" s="1021"/>
      <c r="AH525" s="1022"/>
      <c r="AI525" s="1021"/>
      <c r="AJ525" s="1021"/>
      <c r="AK525" s="1022"/>
      <c r="AL525" s="1021"/>
      <c r="AM525" s="1021"/>
      <c r="AN525" s="1022"/>
      <c r="AO525" s="1021"/>
      <c r="AP525" s="1021"/>
      <c r="AQ525" s="1022"/>
      <c r="AR525" s="1021"/>
      <c r="AS525" s="1021"/>
      <c r="AT525" s="1022"/>
      <c r="AU525" s="34"/>
      <c r="AV525" s="34"/>
      <c r="AW525" s="35"/>
      <c r="AX525" s="34"/>
      <c r="AY525" s="34"/>
      <c r="AZ525" s="35"/>
      <c r="BA525" s="34"/>
      <c r="BB525" s="34"/>
      <c r="BC525" s="35"/>
      <c r="BD525" s="34"/>
      <c r="BE525" s="34"/>
      <c r="BF525" s="35"/>
      <c r="BG525" s="35"/>
      <c r="BH525" s="35"/>
      <c r="BI525" s="35"/>
      <c r="BJ525" s="34"/>
      <c r="BK525" s="34"/>
      <c r="BL525" s="1518"/>
      <c r="BM525" s="1518"/>
      <c r="BN525" s="1518"/>
      <c r="BO525" s="1518"/>
      <c r="BP525" s="1518"/>
      <c r="BQ525" s="1518"/>
      <c r="BR525" s="1518"/>
      <c r="BS525" s="1518"/>
      <c r="BT525" s="1518"/>
      <c r="BU525" s="1518"/>
      <c r="BV525" s="1518"/>
      <c r="BW525" s="1518"/>
      <c r="BX525" s="1518"/>
      <c r="BY525" s="1518"/>
      <c r="BZ525" s="1518"/>
      <c r="CA525" s="1518"/>
      <c r="CB525" s="1518"/>
      <c r="CC525" s="1518"/>
      <c r="CD525" s="1518"/>
      <c r="CE525" s="1518"/>
      <c r="CF525" s="1518"/>
      <c r="CG525" s="1518"/>
      <c r="CH525" s="1518"/>
      <c r="CI525" s="1518"/>
      <c r="CJ525" s="1518"/>
      <c r="CK525" s="1518"/>
      <c r="CL525" s="1518"/>
      <c r="CM525" s="1518"/>
      <c r="CS525" s="984">
        <f>(CS518*(1-CS519))/(CS521+CS523)</f>
        <v>0.32228237197179049</v>
      </c>
      <c r="CV525" s="984">
        <f>(CV518*(1-CV519))/(CV521+CV523)</f>
        <v>0.45092439791170968</v>
      </c>
      <c r="CY525" s="984">
        <f>(CY518*(1-CY519))/(CY521+CY523)</f>
        <v>0.49133435901314254</v>
      </c>
      <c r="DB525" s="984">
        <f>(DB518*(1-DB519))/(DB521+DB523)</f>
        <v>0.49808991450910661</v>
      </c>
      <c r="DE525" s="1072">
        <f>(DE518*(1-DE519))/(DE521+DE523)</f>
        <v>0.24275284521461565</v>
      </c>
      <c r="DH525" s="1072">
        <f>(DH518*(1-DH519))/(DH521+DH523)</f>
        <v>0.37695282908176736</v>
      </c>
      <c r="DK525" s="1072">
        <f>(DK518*(1-DK519))/(DK521+DK523)</f>
        <v>0.33870878918747249</v>
      </c>
      <c r="DN525" s="1072">
        <f>(DN518*(1-DN519))/(DN521+DN523)</f>
        <v>0.21783145903585557</v>
      </c>
      <c r="DQ525" s="1072">
        <f>(DQ518*(1-DQ519))/(DQ521+DQ523)</f>
        <v>0.14610048147808147</v>
      </c>
      <c r="DT525" s="1072">
        <f>(DT518*(1-DT519))/(DT521+DT523)</f>
        <v>0.18218458875364424</v>
      </c>
      <c r="DW525" s="1472"/>
      <c r="DZ525" s="1472"/>
      <c r="EC525" s="1472"/>
      <c r="EF525" s="1472"/>
      <c r="EI525" s="1472"/>
      <c r="EL525" s="1472"/>
      <c r="EO525" s="1472"/>
      <c r="ER525" s="1472"/>
      <c r="EU525" s="1472"/>
      <c r="EX525" s="1472"/>
      <c r="FA525" s="1472"/>
      <c r="FD525"/>
      <c r="FE525"/>
      <c r="FF525"/>
      <c r="FG525"/>
      <c r="FH525"/>
      <c r="FI525"/>
    </row>
    <row r="526" spans="1:165" s="33" customFormat="1">
      <c r="E526" s="34"/>
      <c r="F526" s="34"/>
      <c r="G526" s="35"/>
      <c r="H526" s="34"/>
      <c r="I526" s="34"/>
      <c r="J526" s="35"/>
      <c r="K526" s="34"/>
      <c r="L526" s="34"/>
      <c r="M526" s="35"/>
      <c r="N526" s="34"/>
      <c r="O526" s="34"/>
      <c r="P526" s="35"/>
      <c r="Q526" s="36"/>
      <c r="R526" s="36"/>
      <c r="S526" s="70"/>
      <c r="T526" s="36"/>
      <c r="U526" s="36"/>
      <c r="V526" s="1022"/>
      <c r="W526" s="1021"/>
      <c r="X526" s="1021"/>
      <c r="Y526" s="1022"/>
      <c r="Z526" s="1021"/>
      <c r="AA526" s="1021"/>
      <c r="AB526" s="1022"/>
      <c r="AC526" s="1021"/>
      <c r="AD526" s="1021"/>
      <c r="AE526" s="1022"/>
      <c r="AF526" s="1021"/>
      <c r="AG526" s="1021"/>
      <c r="AH526" s="1022"/>
      <c r="AI526" s="1021"/>
      <c r="AJ526" s="1021"/>
      <c r="AK526" s="1022"/>
      <c r="AL526" s="1021"/>
      <c r="AM526" s="1021"/>
      <c r="AN526" s="1022"/>
      <c r="AO526" s="1021"/>
      <c r="AP526" s="1021"/>
      <c r="AQ526" s="1022"/>
      <c r="AR526" s="1021"/>
      <c r="AS526" s="1021"/>
      <c r="AT526" s="1022"/>
      <c r="AU526" s="34"/>
      <c r="AV526" s="34"/>
      <c r="AW526" s="35"/>
      <c r="AX526" s="34"/>
      <c r="AY526" s="34"/>
      <c r="AZ526" s="35"/>
      <c r="BA526" s="34"/>
      <c r="BB526" s="34"/>
      <c r="BC526" s="35"/>
      <c r="BD526" s="34"/>
      <c r="BE526" s="34"/>
      <c r="BF526" s="35"/>
      <c r="BG526" s="35"/>
      <c r="BH526" s="34"/>
      <c r="BI526" s="35"/>
      <c r="BJ526" s="34"/>
      <c r="BK526" s="34"/>
      <c r="BL526" s="1518"/>
      <c r="BM526" s="1518"/>
      <c r="BN526" s="1518"/>
      <c r="BO526" s="1518"/>
      <c r="BP526" s="1518"/>
      <c r="BQ526" s="1518"/>
      <c r="BR526" s="1518"/>
      <c r="BS526" s="1518"/>
      <c r="BT526" s="1518"/>
      <c r="BU526" s="1518"/>
      <c r="BV526" s="1518"/>
      <c r="BW526" s="1518"/>
      <c r="BX526" s="1518"/>
      <c r="BY526" s="1518"/>
      <c r="BZ526" s="1518"/>
      <c r="CA526" s="1518"/>
      <c r="CB526" s="1518"/>
      <c r="CC526" s="1518"/>
      <c r="CD526" s="1518"/>
      <c r="CE526" s="1518"/>
      <c r="CF526" s="1518"/>
      <c r="CG526" s="1518"/>
      <c r="CH526" s="1518"/>
      <c r="CI526" s="1518"/>
      <c r="CJ526" s="1518"/>
      <c r="CK526" s="1518"/>
      <c r="CL526" s="1518"/>
      <c r="CM526" s="1518"/>
      <c r="FD526"/>
      <c r="FE526"/>
      <c r="FF526"/>
      <c r="FG526"/>
      <c r="FH526"/>
      <c r="FI526"/>
    </row>
    <row r="527" spans="1:165" s="33" customFormat="1">
      <c r="E527" s="34"/>
      <c r="F527" s="34"/>
      <c r="G527" s="35"/>
      <c r="H527" s="34"/>
      <c r="I527" s="34"/>
      <c r="J527" s="35"/>
      <c r="K527" s="34"/>
      <c r="L527" s="34"/>
      <c r="M527" s="35"/>
      <c r="N527" s="34"/>
      <c r="O527" s="34"/>
      <c r="P527" s="35"/>
      <c r="Q527" s="36"/>
      <c r="R527" s="36"/>
      <c r="S527" s="70"/>
      <c r="T527" s="36"/>
      <c r="U527" s="36"/>
      <c r="V527" s="1022"/>
      <c r="W527" s="1021"/>
      <c r="X527" s="1021"/>
      <c r="Y527" s="1022"/>
      <c r="Z527" s="1021"/>
      <c r="AA527" s="1021"/>
      <c r="AB527" s="1022"/>
      <c r="AC527" s="1021"/>
      <c r="AD527" s="1021"/>
      <c r="AE527" s="1022"/>
      <c r="AF527" s="1021"/>
      <c r="AG527" s="1021"/>
      <c r="AH527" s="1022"/>
      <c r="AI527" s="1021"/>
      <c r="AJ527" s="1021"/>
      <c r="AK527" s="1022"/>
      <c r="AL527" s="1021"/>
      <c r="AM527" s="1021"/>
      <c r="AN527" s="1022"/>
      <c r="AO527" s="1021"/>
      <c r="AP527" s="1021"/>
      <c r="AQ527" s="1022"/>
      <c r="AR527" s="1021"/>
      <c r="AS527" s="1021"/>
      <c r="AT527" s="1022"/>
      <c r="AU527" s="34"/>
      <c r="AV527" s="34"/>
      <c r="AW527" s="35"/>
      <c r="AX527" s="34"/>
      <c r="AY527" s="34"/>
      <c r="AZ527" s="35"/>
      <c r="BA527" s="34"/>
      <c r="BB527" s="34"/>
      <c r="BC527" s="35"/>
      <c r="BD527" s="34"/>
      <c r="BE527" s="34"/>
      <c r="BF527" s="35"/>
      <c r="BG527" s="34"/>
      <c r="BH527" s="34"/>
      <c r="BI527" s="35"/>
      <c r="BJ527" s="34"/>
      <c r="BK527" s="34"/>
      <c r="BL527" s="1518"/>
      <c r="BM527" s="1518"/>
      <c r="BN527" s="1518"/>
      <c r="BO527" s="1518"/>
      <c r="BP527" s="1518"/>
      <c r="BQ527" s="1518"/>
      <c r="BR527" s="1518"/>
      <c r="BS527" s="1518"/>
      <c r="BT527" s="1518"/>
      <c r="BU527" s="1518"/>
      <c r="BV527" s="1518"/>
      <c r="BW527" s="1518"/>
      <c r="BX527" s="1518"/>
      <c r="BY527" s="1518"/>
      <c r="BZ527" s="1518"/>
      <c r="CA527" s="1518"/>
      <c r="CB527" s="1518"/>
      <c r="CC527" s="1518"/>
      <c r="CD527" s="1518"/>
      <c r="CE527" s="1518"/>
      <c r="CF527" s="1518"/>
      <c r="CG527" s="1518"/>
      <c r="CH527" s="1518"/>
      <c r="CI527" s="1518"/>
      <c r="CJ527" s="1518"/>
      <c r="CK527" s="1518"/>
      <c r="CL527" s="1518"/>
      <c r="CM527" s="1518"/>
      <c r="FD527"/>
      <c r="FE527"/>
      <c r="FF527"/>
      <c r="FG527"/>
      <c r="FH527"/>
      <c r="FI527"/>
    </row>
    <row r="528" spans="1:165" s="33" customFormat="1">
      <c r="E528" s="34"/>
      <c r="F528" s="34"/>
      <c r="G528" s="35"/>
      <c r="H528" s="34"/>
      <c r="I528" s="34"/>
      <c r="J528" s="35"/>
      <c r="K528" s="34"/>
      <c r="L528" s="34"/>
      <c r="M528" s="35"/>
      <c r="N528" s="34"/>
      <c r="O528" s="34"/>
      <c r="P528" s="35"/>
      <c r="Q528" s="36"/>
      <c r="R528" s="36"/>
      <c r="S528" s="70"/>
      <c r="T528" s="36"/>
      <c r="U528" s="36"/>
      <c r="V528" s="1022"/>
      <c r="W528" s="1021"/>
      <c r="X528" s="1021"/>
      <c r="Y528" s="1022"/>
      <c r="Z528" s="1021"/>
      <c r="AA528" s="1021"/>
      <c r="AB528" s="1022"/>
      <c r="AC528" s="1021"/>
      <c r="AD528" s="1021"/>
      <c r="AE528" s="1022"/>
      <c r="AF528" s="1021"/>
      <c r="AG528" s="1021"/>
      <c r="AH528" s="1022"/>
      <c r="AI528" s="1021"/>
      <c r="AJ528" s="1021"/>
      <c r="AK528" s="1022"/>
      <c r="AL528" s="1021"/>
      <c r="AM528" s="1021"/>
      <c r="AN528" s="1022"/>
      <c r="AO528" s="1021"/>
      <c r="AP528" s="1021"/>
      <c r="AQ528" s="1022"/>
      <c r="AR528" s="1021"/>
      <c r="AS528" s="1021"/>
      <c r="AT528" s="1022"/>
      <c r="AU528" s="34"/>
      <c r="AV528" s="34"/>
      <c r="AW528" s="35"/>
      <c r="AX528" s="34"/>
      <c r="AY528" s="34"/>
      <c r="AZ528" s="35"/>
      <c r="BA528" s="34"/>
      <c r="BB528" s="34"/>
      <c r="BC528" s="35"/>
      <c r="BD528" s="34"/>
      <c r="BE528" s="34"/>
      <c r="BF528" s="35"/>
      <c r="BG528" s="34"/>
      <c r="BH528" s="34"/>
      <c r="BI528" s="35"/>
      <c r="BJ528" s="34"/>
      <c r="BK528" s="34"/>
      <c r="BL528" s="1527"/>
      <c r="BM528" s="1527"/>
      <c r="BN528" s="1527"/>
      <c r="BO528" s="1527"/>
      <c r="BP528" s="1527"/>
      <c r="BQ528" s="1527"/>
      <c r="BR528" s="1527"/>
      <c r="BS528" s="1527"/>
      <c r="BT528" s="1527"/>
      <c r="BU528" s="1527"/>
      <c r="BV528" s="1527"/>
      <c r="BW528" s="1527"/>
      <c r="BX528" s="1527"/>
      <c r="BY528" s="1527"/>
      <c r="BZ528" s="1527"/>
      <c r="CA528" s="1527"/>
      <c r="CB528" s="1527"/>
      <c r="CC528" s="1527"/>
      <c r="CD528" s="1527"/>
      <c r="CE528" s="1527"/>
      <c r="CF528" s="1527"/>
      <c r="CG528" s="1527"/>
      <c r="CH528" s="1527"/>
      <c r="CI528" s="1527"/>
      <c r="CJ528" s="1527"/>
      <c r="CK528" s="1527"/>
      <c r="CL528" s="1527"/>
      <c r="CM528" s="1527"/>
      <c r="FD528"/>
      <c r="FE528"/>
      <c r="FF528"/>
      <c r="FG528"/>
      <c r="FH528"/>
      <c r="FI528"/>
    </row>
    <row r="529" spans="5:165" s="33" customFormat="1">
      <c r="E529" s="34"/>
      <c r="F529" s="34"/>
      <c r="G529" s="35"/>
      <c r="H529" s="34"/>
      <c r="I529" s="34"/>
      <c r="J529" s="35"/>
      <c r="K529" s="34"/>
      <c r="L529" s="34"/>
      <c r="M529" s="35"/>
      <c r="N529" s="34"/>
      <c r="O529" s="34"/>
      <c r="P529" s="35"/>
      <c r="Q529" s="36"/>
      <c r="R529" s="36"/>
      <c r="S529" s="70"/>
      <c r="T529" s="36"/>
      <c r="U529" s="36"/>
      <c r="V529" s="1022"/>
      <c r="W529" s="1021"/>
      <c r="X529" s="1021"/>
      <c r="Y529" s="1022"/>
      <c r="Z529" s="1021"/>
      <c r="AA529" s="1021"/>
      <c r="AB529" s="1022"/>
      <c r="AC529" s="1021"/>
      <c r="AD529" s="1021"/>
      <c r="AE529" s="1022"/>
      <c r="AF529" s="1021"/>
      <c r="AG529" s="1021"/>
      <c r="AH529" s="1022"/>
      <c r="AI529" s="1021"/>
      <c r="AJ529" s="1021"/>
      <c r="AK529" s="1022"/>
      <c r="AL529" s="1021"/>
      <c r="AM529" s="1021"/>
      <c r="AN529" s="1022"/>
      <c r="AO529" s="1021"/>
      <c r="AP529" s="1021"/>
      <c r="AQ529" s="1022"/>
      <c r="AR529" s="1021"/>
      <c r="AS529" s="1021"/>
      <c r="AT529" s="1022"/>
      <c r="AU529" s="34"/>
      <c r="AV529" s="34"/>
      <c r="AW529" s="35"/>
      <c r="AX529" s="34"/>
      <c r="AY529" s="34"/>
      <c r="AZ529" s="35"/>
      <c r="BA529" s="34"/>
      <c r="BB529" s="34"/>
      <c r="BC529" s="35"/>
      <c r="BD529" s="34"/>
      <c r="BE529" s="34"/>
      <c r="BF529" s="35"/>
      <c r="BG529" s="35"/>
      <c r="BH529" s="35"/>
      <c r="BI529" s="35"/>
      <c r="BJ529" s="34"/>
      <c r="BK529" s="34"/>
      <c r="BL529" s="1518"/>
      <c r="BM529" s="1518"/>
      <c r="BN529" s="1518"/>
      <c r="BO529" s="1518"/>
      <c r="BP529" s="1518"/>
      <c r="BQ529" s="1518"/>
      <c r="BR529" s="1518"/>
      <c r="BS529" s="1518"/>
      <c r="BT529" s="1518"/>
      <c r="BU529" s="1518"/>
      <c r="BV529" s="1518"/>
      <c r="BW529" s="1518"/>
      <c r="BX529" s="1518"/>
      <c r="BY529" s="1518"/>
      <c r="BZ529" s="1518"/>
      <c r="CA529" s="1518"/>
      <c r="CB529" s="1518"/>
      <c r="CC529" s="1518"/>
      <c r="CD529" s="1518"/>
      <c r="CE529" s="1518"/>
      <c r="CF529" s="1518"/>
      <c r="CG529" s="1518"/>
      <c r="CH529" s="1518"/>
      <c r="CI529" s="1518"/>
      <c r="CJ529" s="1518"/>
      <c r="CK529" s="1518"/>
      <c r="CL529" s="1518"/>
      <c r="CM529" s="1518"/>
      <c r="FD529"/>
      <c r="FE529"/>
      <c r="FF529"/>
      <c r="FG529"/>
      <c r="FH529"/>
      <c r="FI529"/>
    </row>
    <row r="530" spans="5:165" s="33" customFormat="1">
      <c r="E530" s="34"/>
      <c r="F530" s="34"/>
      <c r="G530" s="35"/>
      <c r="H530" s="34"/>
      <c r="I530" s="34"/>
      <c r="J530" s="35"/>
      <c r="K530" s="34"/>
      <c r="L530" s="34"/>
      <c r="M530" s="35"/>
      <c r="N530" s="34"/>
      <c r="O530" s="34"/>
      <c r="P530" s="35"/>
      <c r="Q530" s="36"/>
      <c r="R530" s="36"/>
      <c r="S530" s="70"/>
      <c r="T530" s="36"/>
      <c r="U530" s="36"/>
      <c r="V530" s="1022"/>
      <c r="W530" s="1021"/>
      <c r="X530" s="1021"/>
      <c r="Y530" s="1022"/>
      <c r="Z530" s="1021"/>
      <c r="AA530" s="1021"/>
      <c r="AB530" s="1022"/>
      <c r="AC530" s="1021"/>
      <c r="AD530" s="1021"/>
      <c r="AE530" s="1022"/>
      <c r="AF530" s="1021"/>
      <c r="AG530" s="1021"/>
      <c r="AH530" s="1022"/>
      <c r="AI530" s="1021"/>
      <c r="AJ530" s="1021"/>
      <c r="AK530" s="1022"/>
      <c r="AL530" s="1021"/>
      <c r="AM530" s="1021"/>
      <c r="AN530" s="1022"/>
      <c r="AO530" s="1021"/>
      <c r="AP530" s="1021"/>
      <c r="AQ530" s="1022"/>
      <c r="AR530" s="1021"/>
      <c r="AS530" s="1021"/>
      <c r="AT530" s="1022"/>
      <c r="AU530" s="34"/>
      <c r="AV530" s="34"/>
      <c r="AW530" s="35"/>
      <c r="AX530" s="34"/>
      <c r="AY530" s="34"/>
      <c r="AZ530" s="35"/>
      <c r="BA530" s="34"/>
      <c r="BB530" s="34"/>
      <c r="BC530" s="35"/>
      <c r="BD530" s="34"/>
      <c r="BE530" s="34"/>
      <c r="BF530" s="35"/>
      <c r="BG530" s="34"/>
      <c r="BH530" s="34"/>
      <c r="BI530" s="35"/>
      <c r="BJ530" s="34"/>
      <c r="BK530" s="34"/>
      <c r="BL530" s="35"/>
      <c r="BM530" s="34"/>
      <c r="BN530" s="34"/>
      <c r="BO530" s="1527"/>
      <c r="BP530" s="1527"/>
      <c r="BQ530" s="1527"/>
      <c r="BR530" s="1527"/>
      <c r="BS530" s="1527"/>
      <c r="BT530" s="1527"/>
      <c r="BU530" s="1527"/>
      <c r="BV530" s="1527"/>
      <c r="BW530" s="1527"/>
      <c r="BX530" s="1527"/>
      <c r="BY530" s="1527"/>
      <c r="BZ530" s="1527"/>
      <c r="CA530" s="1527"/>
      <c r="CB530" s="1527"/>
      <c r="CC530" s="1527"/>
      <c r="CD530" s="1527"/>
      <c r="CE530" s="1527"/>
      <c r="CF530" s="1527"/>
      <c r="CG530" s="1527"/>
      <c r="CH530" s="1527"/>
      <c r="CI530" s="1527"/>
      <c r="CJ530" s="1527"/>
      <c r="CK530" s="1527"/>
      <c r="CL530" s="1527"/>
      <c r="CM530" s="1527"/>
      <c r="FD530"/>
      <c r="FE530"/>
      <c r="FF530"/>
      <c r="FG530"/>
      <c r="FH530"/>
      <c r="FI530"/>
    </row>
    <row r="531" spans="5:165" s="33" customFormat="1">
      <c r="E531" s="34"/>
      <c r="F531" s="34"/>
      <c r="G531" s="35"/>
      <c r="H531" s="34"/>
      <c r="I531" s="34"/>
      <c r="J531" s="35"/>
      <c r="K531" s="34"/>
      <c r="L531" s="34"/>
      <c r="M531" s="35"/>
      <c r="N531" s="34"/>
      <c r="O531" s="34"/>
      <c r="P531" s="35"/>
      <c r="Q531" s="36"/>
      <c r="R531" s="36"/>
      <c r="S531" s="70"/>
      <c r="T531" s="36"/>
      <c r="U531" s="36"/>
      <c r="V531" s="1022"/>
      <c r="W531" s="1021"/>
      <c r="X531" s="1021"/>
      <c r="Y531" s="1022"/>
      <c r="Z531" s="1021"/>
      <c r="AA531" s="1021"/>
      <c r="AB531" s="1022"/>
      <c r="AC531" s="1021"/>
      <c r="AD531" s="1021"/>
      <c r="AE531" s="1022"/>
      <c r="AF531" s="1021"/>
      <c r="AG531" s="1021"/>
      <c r="AH531" s="1022"/>
      <c r="AI531" s="1021"/>
      <c r="AJ531" s="1021"/>
      <c r="AK531" s="1022"/>
      <c r="AL531" s="1021"/>
      <c r="AM531" s="1021"/>
      <c r="AN531" s="1022"/>
      <c r="AO531" s="1021"/>
      <c r="AP531" s="1021"/>
      <c r="AQ531" s="1022"/>
      <c r="AR531" s="1021"/>
      <c r="AS531" s="1021"/>
      <c r="AT531" s="1022"/>
      <c r="AU531" s="34"/>
      <c r="AV531" s="34"/>
      <c r="AW531" s="35"/>
      <c r="AX531" s="34"/>
      <c r="AY531" s="34"/>
      <c r="AZ531" s="35"/>
      <c r="BA531" s="34"/>
      <c r="BB531" s="34"/>
      <c r="BC531" s="35"/>
      <c r="BD531" s="34"/>
      <c r="BE531" s="34"/>
      <c r="BF531" s="35"/>
      <c r="BG531" s="34"/>
      <c r="BH531" s="34"/>
      <c r="BI531" s="35"/>
      <c r="BJ531" s="34"/>
      <c r="BK531" s="34"/>
      <c r="BL531" s="35"/>
      <c r="BM531" s="34"/>
      <c r="BN531" s="34"/>
      <c r="BO531" s="35"/>
      <c r="BP531" s="34"/>
      <c r="BQ531" s="34"/>
      <c r="BR531" s="35"/>
      <c r="BS531" s="34"/>
      <c r="BT531" s="34"/>
      <c r="BU531" s="35"/>
      <c r="BV531" s="34"/>
      <c r="BW531" s="34"/>
      <c r="BX531" s="35"/>
      <c r="BY531" s="34"/>
      <c r="BZ531" s="34"/>
      <c r="CA531" s="35"/>
      <c r="CB531" s="34"/>
      <c r="CC531" s="34"/>
      <c r="FD531"/>
      <c r="FE531"/>
      <c r="FF531"/>
      <c r="FG531"/>
      <c r="FH531"/>
      <c r="FI531"/>
    </row>
    <row r="532" spans="5:165" s="33" customFormat="1">
      <c r="E532" s="34"/>
      <c r="F532" s="34"/>
      <c r="G532" s="35"/>
      <c r="H532" s="34"/>
      <c r="I532" s="34"/>
      <c r="J532" s="35"/>
      <c r="K532" s="34"/>
      <c r="L532" s="34"/>
      <c r="M532" s="35"/>
      <c r="N532" s="34"/>
      <c r="O532" s="34"/>
      <c r="P532" s="35"/>
      <c r="Q532" s="36"/>
      <c r="R532" s="36"/>
      <c r="S532" s="70"/>
      <c r="T532" s="36"/>
      <c r="U532" s="36"/>
      <c r="V532" s="1022"/>
      <c r="W532" s="1021"/>
      <c r="X532" s="1021"/>
      <c r="Y532" s="1022"/>
      <c r="Z532" s="1021"/>
      <c r="AA532" s="1021"/>
      <c r="AB532" s="1022"/>
      <c r="AC532" s="1021"/>
      <c r="AD532" s="1021"/>
      <c r="AE532" s="1022"/>
      <c r="AF532" s="1021"/>
      <c r="AG532" s="1021"/>
      <c r="AH532" s="1022"/>
      <c r="AI532" s="1021"/>
      <c r="AJ532" s="1021"/>
      <c r="AK532" s="1022"/>
      <c r="AL532" s="1021"/>
      <c r="AM532" s="1021"/>
      <c r="AN532" s="1022"/>
      <c r="AO532" s="1021"/>
      <c r="AP532" s="1021"/>
      <c r="AQ532" s="1022"/>
      <c r="AR532" s="1021"/>
      <c r="AS532" s="1021"/>
      <c r="AT532" s="1022"/>
      <c r="AU532" s="34"/>
      <c r="AV532" s="34"/>
      <c r="AW532" s="35"/>
      <c r="AX532" s="34"/>
      <c r="AY532" s="34"/>
      <c r="AZ532" s="35"/>
      <c r="BA532" s="34"/>
      <c r="BB532" s="34"/>
      <c r="BC532" s="35"/>
      <c r="BD532" s="34"/>
      <c r="BE532" s="34"/>
      <c r="BF532" s="35"/>
      <c r="BG532" s="34"/>
      <c r="BH532" s="34"/>
      <c r="BI532" s="35"/>
      <c r="BJ532" s="34"/>
      <c r="BK532" s="34"/>
      <c r="BL532" s="35"/>
      <c r="BM532" s="34"/>
      <c r="BN532" s="34"/>
      <c r="BO532" s="35"/>
      <c r="BP532" s="34"/>
      <c r="BQ532" s="34"/>
      <c r="BR532" s="35"/>
      <c r="BS532" s="34"/>
      <c r="BT532" s="34"/>
      <c r="BU532" s="35"/>
      <c r="BV532" s="34"/>
      <c r="BW532" s="34"/>
      <c r="BX532" s="35"/>
      <c r="BY532" s="34"/>
      <c r="BZ532" s="34"/>
      <c r="CA532" s="35"/>
      <c r="CB532" s="34"/>
      <c r="CC532" s="34"/>
      <c r="FD532"/>
      <c r="FE532"/>
      <c r="FF532"/>
      <c r="FG532"/>
      <c r="FH532"/>
      <c r="FI532"/>
    </row>
    <row r="533" spans="5:165" s="33" customFormat="1">
      <c r="E533" s="34"/>
      <c r="F533" s="34"/>
      <c r="G533" s="35"/>
      <c r="H533" s="34"/>
      <c r="I533" s="34"/>
      <c r="J533" s="35"/>
      <c r="K533" s="34"/>
      <c r="L533" s="34"/>
      <c r="M533" s="35"/>
      <c r="N533" s="34"/>
      <c r="O533" s="34"/>
      <c r="P533" s="35"/>
      <c r="Q533" s="36"/>
      <c r="R533" s="36"/>
      <c r="S533" s="70"/>
      <c r="T533" s="36"/>
      <c r="U533" s="36"/>
      <c r="V533" s="1022"/>
      <c r="W533" s="1021"/>
      <c r="X533" s="1021"/>
      <c r="Y533" s="1022"/>
      <c r="Z533" s="1021"/>
      <c r="AA533" s="1021"/>
      <c r="AB533" s="1022"/>
      <c r="AC533" s="1021"/>
      <c r="AD533" s="1021"/>
      <c r="AE533" s="1022"/>
      <c r="AF533" s="1021"/>
      <c r="AG533" s="1021"/>
      <c r="AH533" s="1022"/>
      <c r="AI533" s="1021"/>
      <c r="AJ533" s="1021"/>
      <c r="AK533" s="1022"/>
      <c r="AL533" s="1021"/>
      <c r="AM533" s="1021"/>
      <c r="AN533" s="1022"/>
      <c r="AO533" s="1021"/>
      <c r="AP533" s="1021"/>
      <c r="AQ533" s="1022"/>
      <c r="AR533" s="1021"/>
      <c r="AS533" s="1021"/>
      <c r="AT533" s="1022"/>
      <c r="AU533" s="34"/>
      <c r="AV533" s="34"/>
      <c r="AW533" s="35"/>
      <c r="AX533" s="34"/>
      <c r="AY533" s="34"/>
      <c r="AZ533" s="35"/>
      <c r="BA533" s="34"/>
      <c r="BB533" s="34"/>
      <c r="BC533" s="35"/>
      <c r="BD533" s="34"/>
      <c r="BE533" s="34"/>
      <c r="BF533" s="35"/>
      <c r="BG533" s="34"/>
      <c r="BH533" s="34"/>
      <c r="BI533" s="35"/>
      <c r="BJ533" s="34"/>
      <c r="BK533" s="34"/>
      <c r="BL533" s="35"/>
      <c r="BM533" s="34"/>
      <c r="BN533" s="34"/>
      <c r="BO533" s="35"/>
      <c r="BP533" s="34"/>
      <c r="BQ533" s="34"/>
      <c r="BR533" s="35"/>
      <c r="BS533" s="34"/>
      <c r="BT533" s="34"/>
      <c r="BU533" s="35"/>
      <c r="BV533" s="34"/>
      <c r="BW533" s="34"/>
      <c r="BX533" s="35"/>
      <c r="BY533" s="34"/>
      <c r="BZ533" s="34"/>
      <c r="CA533" s="35"/>
      <c r="CB533" s="34"/>
      <c r="CC533" s="34"/>
      <c r="FD533"/>
      <c r="FE533"/>
      <c r="FF533"/>
      <c r="FG533"/>
      <c r="FH533"/>
      <c r="FI533"/>
    </row>
    <row r="534" spans="5:165" s="33" customFormat="1">
      <c r="E534" s="34"/>
      <c r="F534" s="34"/>
      <c r="G534" s="35"/>
      <c r="H534" s="34"/>
      <c r="I534" s="34"/>
      <c r="J534" s="35"/>
      <c r="K534" s="34"/>
      <c r="L534" s="34"/>
      <c r="M534" s="35"/>
      <c r="N534" s="34"/>
      <c r="O534" s="34"/>
      <c r="P534" s="35"/>
      <c r="Q534" s="36"/>
      <c r="R534" s="36"/>
      <c r="S534" s="70"/>
      <c r="T534" s="36"/>
      <c r="U534" s="36"/>
      <c r="V534" s="1022"/>
      <c r="W534" s="1021"/>
      <c r="X534" s="1021"/>
      <c r="Y534" s="1022"/>
      <c r="Z534" s="1021"/>
      <c r="AA534" s="1021"/>
      <c r="AB534" s="1022"/>
      <c r="AC534" s="1021"/>
      <c r="AD534" s="1021"/>
      <c r="AE534" s="1022"/>
      <c r="AF534" s="1021"/>
      <c r="AG534" s="1021"/>
      <c r="AH534" s="1022"/>
      <c r="AI534" s="1021"/>
      <c r="AJ534" s="1021"/>
      <c r="AK534" s="1022"/>
      <c r="AL534" s="1021"/>
      <c r="AM534" s="1021"/>
      <c r="AN534" s="1022"/>
      <c r="AO534" s="1021"/>
      <c r="AP534" s="1021"/>
      <c r="AQ534" s="1022"/>
      <c r="AR534" s="1021"/>
      <c r="AS534" s="1021"/>
      <c r="AT534" s="1022"/>
      <c r="AU534" s="34"/>
      <c r="AV534" s="34"/>
      <c r="AW534" s="35"/>
      <c r="AX534" s="34"/>
      <c r="AY534" s="34"/>
      <c r="AZ534" s="35"/>
      <c r="BA534" s="34"/>
      <c r="BB534" s="34"/>
      <c r="BC534" s="35"/>
      <c r="BD534" s="34"/>
      <c r="BE534" s="34"/>
      <c r="BF534" s="35"/>
      <c r="BG534" s="34"/>
      <c r="BH534" s="34"/>
      <c r="BI534" s="35"/>
      <c r="BJ534" s="34"/>
      <c r="BK534" s="34"/>
      <c r="BL534" s="35"/>
      <c r="BM534" s="34"/>
      <c r="BN534" s="34"/>
      <c r="BO534" s="35"/>
      <c r="BP534" s="34"/>
      <c r="BQ534" s="34"/>
      <c r="BR534" s="35"/>
      <c r="BS534" s="34"/>
      <c r="BT534" s="34"/>
      <c r="BU534" s="35"/>
      <c r="BV534" s="34"/>
      <c r="BW534" s="34"/>
      <c r="BX534" s="35"/>
      <c r="BY534" s="34"/>
      <c r="BZ534" s="34"/>
      <c r="CA534" s="35"/>
      <c r="CB534" s="34"/>
      <c r="CC534" s="34"/>
      <c r="FD534"/>
      <c r="FE534"/>
      <c r="FF534"/>
      <c r="FG534"/>
      <c r="FH534"/>
      <c r="FI534"/>
    </row>
    <row r="535" spans="5:165" s="33" customFormat="1">
      <c r="E535" s="34"/>
      <c r="F535" s="34"/>
      <c r="G535" s="35"/>
      <c r="H535" s="34"/>
      <c r="I535" s="34"/>
      <c r="J535" s="35"/>
      <c r="K535" s="34"/>
      <c r="L535" s="34"/>
      <c r="M535" s="35"/>
      <c r="N535" s="34"/>
      <c r="O535" s="34"/>
      <c r="P535" s="35"/>
      <c r="Q535" s="36"/>
      <c r="R535" s="36"/>
      <c r="S535" s="70"/>
      <c r="T535" s="36"/>
      <c r="U535" s="36"/>
      <c r="V535" s="1022"/>
      <c r="W535" s="1021"/>
      <c r="X535" s="1021"/>
      <c r="Y535" s="1022"/>
      <c r="Z535" s="1021"/>
      <c r="AA535" s="1021"/>
      <c r="AB535" s="1022"/>
      <c r="AC535" s="1021"/>
      <c r="AD535" s="1021"/>
      <c r="AE535" s="1022"/>
      <c r="AF535" s="1021"/>
      <c r="AG535" s="1021"/>
      <c r="AH535" s="1022"/>
      <c r="AI535" s="1021"/>
      <c r="AJ535" s="1021"/>
      <c r="AK535" s="1022"/>
      <c r="AL535" s="1021"/>
      <c r="AM535" s="1021"/>
      <c r="AN535" s="1022"/>
      <c r="AO535" s="1021"/>
      <c r="AP535" s="1021"/>
      <c r="AQ535" s="1022"/>
      <c r="AR535" s="1021"/>
      <c r="AS535" s="1021"/>
      <c r="AT535" s="1022"/>
      <c r="AU535" s="34"/>
      <c r="AV535" s="34"/>
      <c r="AW535" s="35"/>
      <c r="AX535" s="34"/>
      <c r="AY535" s="34"/>
      <c r="AZ535" s="35"/>
      <c r="BA535" s="34"/>
      <c r="BB535" s="34"/>
      <c r="BC535" s="35"/>
      <c r="BD535" s="34"/>
      <c r="BE535" s="34"/>
      <c r="BF535" s="35"/>
      <c r="BG535" s="34"/>
      <c r="BH535" s="34"/>
      <c r="BI535" s="35"/>
      <c r="BJ535" s="34"/>
      <c r="BK535" s="34"/>
      <c r="BL535" s="35"/>
      <c r="BM535" s="34"/>
      <c r="BN535" s="34"/>
      <c r="BO535" s="35"/>
      <c r="BP535" s="34"/>
      <c r="BQ535" s="34"/>
      <c r="BR535" s="35"/>
      <c r="BS535" s="34"/>
      <c r="BT535" s="34"/>
      <c r="BU535" s="35"/>
      <c r="BV535" s="34"/>
      <c r="BW535" s="34"/>
      <c r="BX535" s="35"/>
      <c r="BY535" s="34"/>
      <c r="BZ535" s="34"/>
      <c r="CA535" s="35"/>
      <c r="CB535" s="34"/>
      <c r="CC535" s="34"/>
      <c r="FD535"/>
      <c r="FE535"/>
      <c r="FF535"/>
      <c r="FG535"/>
      <c r="FH535"/>
      <c r="FI535"/>
    </row>
    <row r="536" spans="5:165" s="33" customFormat="1">
      <c r="E536" s="34"/>
      <c r="F536" s="34"/>
      <c r="G536" s="35"/>
      <c r="H536" s="34"/>
      <c r="I536" s="34"/>
      <c r="J536" s="35"/>
      <c r="K536" s="34"/>
      <c r="L536" s="34"/>
      <c r="M536" s="35"/>
      <c r="N536" s="34"/>
      <c r="O536" s="34"/>
      <c r="P536" s="35"/>
      <c r="Q536" s="36"/>
      <c r="R536" s="36"/>
      <c r="S536" s="70"/>
      <c r="T536" s="36"/>
      <c r="U536" s="36"/>
      <c r="V536" s="1022"/>
      <c r="W536" s="1021"/>
      <c r="X536" s="1021"/>
      <c r="Y536" s="1022"/>
      <c r="Z536" s="1021"/>
      <c r="AA536" s="1021"/>
      <c r="AB536" s="1022"/>
      <c r="AC536" s="1021"/>
      <c r="AD536" s="1021"/>
      <c r="AE536" s="1022"/>
      <c r="AF536" s="1021"/>
      <c r="AG536" s="1021"/>
      <c r="AH536" s="1022"/>
      <c r="AI536" s="1021"/>
      <c r="AJ536" s="1021"/>
      <c r="AK536" s="1022"/>
      <c r="AL536" s="1021"/>
      <c r="AM536" s="1021"/>
      <c r="AN536" s="1022"/>
      <c r="AO536" s="1021"/>
      <c r="AP536" s="1021"/>
      <c r="AQ536" s="1022"/>
      <c r="AR536" s="1021"/>
      <c r="AS536" s="1021"/>
      <c r="AT536" s="1022"/>
      <c r="AU536" s="34"/>
      <c r="AV536" s="34"/>
      <c r="AW536" s="35"/>
      <c r="AX536" s="34"/>
      <c r="AY536" s="34"/>
      <c r="AZ536" s="35"/>
      <c r="BA536" s="34"/>
      <c r="BB536" s="34"/>
      <c r="BC536" s="35"/>
      <c r="BD536" s="34"/>
      <c r="BE536" s="34"/>
      <c r="BF536" s="35"/>
      <c r="BG536" s="34"/>
      <c r="BH536" s="34"/>
      <c r="BI536" s="35"/>
      <c r="BJ536" s="34"/>
      <c r="BK536" s="34"/>
      <c r="BL536" s="35"/>
      <c r="BM536" s="34"/>
      <c r="BN536" s="34"/>
      <c r="BO536" s="35"/>
      <c r="BP536" s="34"/>
      <c r="BQ536" s="34"/>
      <c r="BR536" s="35"/>
      <c r="BS536" s="34"/>
      <c r="BT536" s="34"/>
      <c r="BU536" s="35"/>
      <c r="BV536" s="34"/>
      <c r="BW536" s="34"/>
      <c r="BX536" s="35"/>
      <c r="BY536" s="34"/>
      <c r="BZ536" s="34"/>
      <c r="CA536" s="35"/>
      <c r="CB536" s="34"/>
      <c r="CC536" s="34"/>
      <c r="FD536"/>
      <c r="FE536"/>
      <c r="FF536"/>
      <c r="FG536"/>
      <c r="FH536"/>
      <c r="FI536"/>
    </row>
    <row r="537" spans="5:165" s="33" customFormat="1">
      <c r="E537" s="34"/>
      <c r="F537" s="34"/>
      <c r="G537" s="35"/>
      <c r="H537" s="34"/>
      <c r="I537" s="34"/>
      <c r="J537" s="35"/>
      <c r="K537" s="34"/>
      <c r="L537" s="34"/>
      <c r="M537" s="35"/>
      <c r="N537" s="34"/>
      <c r="O537" s="34"/>
      <c r="P537" s="35"/>
      <c r="Q537" s="36"/>
      <c r="R537" s="36"/>
      <c r="S537" s="70"/>
      <c r="T537" s="36"/>
      <c r="U537" s="36"/>
      <c r="V537" s="1022"/>
      <c r="W537" s="1021"/>
      <c r="X537" s="1021"/>
      <c r="Y537" s="1022"/>
      <c r="Z537" s="1021"/>
      <c r="AA537" s="1021"/>
      <c r="AB537" s="1022"/>
      <c r="AC537" s="1021"/>
      <c r="AD537" s="1021"/>
      <c r="AE537" s="1022"/>
      <c r="AF537" s="1021"/>
      <c r="AG537" s="1021"/>
      <c r="AH537" s="1022"/>
      <c r="AI537" s="1021"/>
      <c r="AJ537" s="1021"/>
      <c r="AK537" s="1022"/>
      <c r="AL537" s="1021"/>
      <c r="AM537" s="1021"/>
      <c r="AN537" s="1022"/>
      <c r="AO537" s="1021"/>
      <c r="AP537" s="1021"/>
      <c r="AQ537" s="1022"/>
      <c r="AR537" s="1021"/>
      <c r="AS537" s="1021"/>
      <c r="AT537" s="1022"/>
      <c r="AU537" s="34"/>
      <c r="AV537" s="34"/>
      <c r="AW537" s="35"/>
      <c r="AX537" s="34"/>
      <c r="AY537" s="34"/>
      <c r="AZ537" s="35"/>
      <c r="BA537" s="34"/>
      <c r="BB537" s="34"/>
      <c r="BC537" s="35"/>
      <c r="BD537" s="34"/>
      <c r="BE537" s="34"/>
      <c r="BF537" s="35"/>
      <c r="BG537" s="34"/>
      <c r="BH537" s="34"/>
      <c r="BI537" s="35"/>
      <c r="BJ537" s="34"/>
      <c r="BK537" s="34"/>
      <c r="BL537" s="35"/>
      <c r="BM537" s="34"/>
      <c r="BN537" s="34"/>
      <c r="BO537" s="35"/>
      <c r="BP537" s="34"/>
      <c r="BQ537" s="34"/>
      <c r="BR537" s="35"/>
      <c r="BS537" s="34"/>
      <c r="BT537" s="34"/>
      <c r="BU537" s="35"/>
      <c r="BV537" s="34"/>
      <c r="BW537" s="34"/>
      <c r="BX537" s="35"/>
      <c r="BY537" s="34"/>
      <c r="BZ537" s="34"/>
      <c r="CA537" s="35"/>
      <c r="CB537" s="34"/>
      <c r="CC537" s="34"/>
      <c r="FD537"/>
      <c r="FE537"/>
      <c r="FF537"/>
      <c r="FG537"/>
      <c r="FH537"/>
      <c r="FI537"/>
    </row>
    <row r="538" spans="5:165" s="33" customFormat="1">
      <c r="E538" s="34"/>
      <c r="F538" s="34"/>
      <c r="G538" s="35"/>
      <c r="H538" s="34"/>
      <c r="I538" s="34"/>
      <c r="J538" s="35"/>
      <c r="K538" s="34"/>
      <c r="L538" s="34"/>
      <c r="M538" s="35"/>
      <c r="N538" s="34"/>
      <c r="O538" s="34"/>
      <c r="P538" s="35"/>
      <c r="Q538" s="36"/>
      <c r="R538" s="36"/>
      <c r="S538" s="70"/>
      <c r="T538" s="36"/>
      <c r="U538" s="36"/>
      <c r="V538" s="1022"/>
      <c r="W538" s="1021"/>
      <c r="X538" s="1021"/>
      <c r="Y538" s="1022"/>
      <c r="Z538" s="1021"/>
      <c r="AA538" s="1021"/>
      <c r="AB538" s="1022"/>
      <c r="AC538" s="1021"/>
      <c r="AD538" s="1021"/>
      <c r="AE538" s="1022"/>
      <c r="AF538" s="1021"/>
      <c r="AG538" s="1021"/>
      <c r="AH538" s="1022"/>
      <c r="AI538" s="1021"/>
      <c r="AJ538" s="1021"/>
      <c r="AK538" s="1022"/>
      <c r="AL538" s="1021"/>
      <c r="AM538" s="1021"/>
      <c r="AN538" s="1022"/>
      <c r="AO538" s="1021"/>
      <c r="AP538" s="1021"/>
      <c r="AQ538" s="1022"/>
      <c r="AR538" s="1021"/>
      <c r="AS538" s="1021"/>
      <c r="AT538" s="1022"/>
      <c r="AU538" s="34"/>
      <c r="AV538" s="34"/>
      <c r="AW538" s="35"/>
      <c r="AX538" s="34"/>
      <c r="AY538" s="34"/>
      <c r="AZ538" s="35"/>
      <c r="BA538" s="34"/>
      <c r="BB538" s="34"/>
      <c r="BC538" s="35"/>
      <c r="BD538" s="34"/>
      <c r="BE538" s="34"/>
      <c r="BF538" s="35"/>
      <c r="BG538" s="34"/>
      <c r="BH538" s="34"/>
      <c r="BI538" s="61"/>
      <c r="BJ538" s="1035"/>
      <c r="BK538" s="1035"/>
      <c r="BL538" s="61"/>
      <c r="BM538" s="1035"/>
      <c r="BN538" s="1035"/>
      <c r="BO538" s="1038"/>
      <c r="BP538" s="1035"/>
      <c r="BQ538" s="1035"/>
      <c r="BR538" s="1038"/>
      <c r="BS538" s="1035"/>
      <c r="BT538" s="1035"/>
      <c r="BU538" s="1038"/>
      <c r="BV538" s="1035"/>
      <c r="BW538" s="1035"/>
      <c r="BX538" s="61"/>
      <c r="BY538" s="61"/>
      <c r="BZ538" s="61"/>
      <c r="CA538" s="61"/>
      <c r="CB538" s="61"/>
      <c r="CC538" s="61"/>
      <c r="CD538" s="61"/>
      <c r="CE538" s="61"/>
      <c r="CF538" s="61"/>
      <c r="CG538" s="61"/>
      <c r="CH538" s="61"/>
      <c r="CI538" s="61"/>
      <c r="CJ538" s="61"/>
      <c r="CK538" s="61"/>
      <c r="CL538" s="61"/>
      <c r="CM538" s="61"/>
      <c r="CN538" s="61"/>
      <c r="CO538" s="61"/>
      <c r="CP538" s="61"/>
      <c r="CQ538" s="61"/>
      <c r="CR538" s="61"/>
      <c r="CS538" s="61"/>
      <c r="FD538"/>
      <c r="FE538"/>
      <c r="FF538"/>
      <c r="FG538"/>
      <c r="FH538"/>
      <c r="FI538"/>
    </row>
    <row r="539" spans="5:165" s="33" customFormat="1">
      <c r="E539" s="34"/>
      <c r="F539" s="34"/>
      <c r="G539" s="35"/>
      <c r="H539" s="34"/>
      <c r="I539" s="34"/>
      <c r="J539" s="35"/>
      <c r="K539" s="34"/>
      <c r="L539" s="34"/>
      <c r="M539" s="35"/>
      <c r="N539" s="34"/>
      <c r="O539" s="34"/>
      <c r="P539" s="35"/>
      <c r="Q539" s="36"/>
      <c r="R539" s="36"/>
      <c r="S539" s="70"/>
      <c r="T539" s="36"/>
      <c r="U539" s="36"/>
      <c r="V539" s="1022"/>
      <c r="W539" s="1021"/>
      <c r="X539" s="1021"/>
      <c r="Y539" s="1022"/>
      <c r="Z539" s="1021"/>
      <c r="AA539" s="1021"/>
      <c r="AB539" s="1022"/>
      <c r="AC539" s="1021"/>
      <c r="AD539" s="1021"/>
      <c r="AE539" s="1022"/>
      <c r="AF539" s="1021"/>
      <c r="AG539" s="1021"/>
      <c r="AH539" s="1022"/>
      <c r="AI539" s="1021"/>
      <c r="AJ539" s="1021"/>
      <c r="AK539" s="1022"/>
      <c r="AL539" s="1021"/>
      <c r="AM539" s="1021"/>
      <c r="AN539" s="1022"/>
      <c r="AO539" s="1021"/>
      <c r="AP539" s="1021"/>
      <c r="AQ539" s="1022"/>
      <c r="AR539" s="1021"/>
      <c r="AS539" s="1021"/>
      <c r="AT539" s="1022"/>
      <c r="AU539" s="34"/>
      <c r="AV539" s="34"/>
      <c r="AW539" s="35"/>
      <c r="AX539" s="34"/>
      <c r="AY539" s="34"/>
      <c r="AZ539" s="35"/>
      <c r="BA539" s="34"/>
      <c r="BB539" s="34"/>
      <c r="BC539" s="35"/>
      <c r="BD539" s="34"/>
      <c r="BE539" s="34"/>
      <c r="BF539" s="35"/>
      <c r="BG539" s="34"/>
      <c r="BH539" s="34"/>
      <c r="BJ539" s="34"/>
      <c r="BK539" s="34"/>
      <c r="BM539" s="34"/>
      <c r="BN539" s="34"/>
      <c r="BO539" s="35"/>
      <c r="BP539" s="34"/>
      <c r="BQ539" s="34"/>
      <c r="BR539" s="35"/>
      <c r="BS539" s="34"/>
      <c r="BT539" s="34"/>
      <c r="BU539" s="35"/>
      <c r="BV539" s="34"/>
      <c r="BW539" s="34"/>
      <c r="BX539" s="1162"/>
      <c r="BY539" s="1162"/>
      <c r="BZ539" s="1162"/>
      <c r="CA539" s="1162"/>
      <c r="CB539" s="1162"/>
      <c r="CC539" s="1162"/>
      <c r="CD539" s="1162"/>
      <c r="CE539" s="1162"/>
      <c r="CF539" s="1162"/>
      <c r="CG539" s="1162"/>
      <c r="CH539" s="1162"/>
      <c r="CI539" s="1162"/>
      <c r="CJ539" s="1162"/>
      <c r="CK539" s="1162"/>
      <c r="CL539" s="1162"/>
      <c r="CM539" s="1162"/>
      <c r="CN539" s="1162"/>
      <c r="CO539" s="1162"/>
      <c r="CP539" s="1162"/>
      <c r="CQ539" s="1162"/>
      <c r="CR539" s="1162"/>
      <c r="CS539" s="1162"/>
      <c r="FD539"/>
      <c r="FE539"/>
      <c r="FF539"/>
      <c r="FG539"/>
      <c r="FH539"/>
      <c r="FI539"/>
    </row>
    <row r="540" spans="5:165" s="33" customFormat="1">
      <c r="E540" s="34"/>
      <c r="F540" s="34"/>
      <c r="G540" s="35"/>
      <c r="H540" s="34"/>
      <c r="I540" s="34"/>
      <c r="J540" s="35"/>
      <c r="K540" s="34"/>
      <c r="L540" s="34"/>
      <c r="M540" s="35"/>
      <c r="N540" s="34"/>
      <c r="O540" s="34"/>
      <c r="P540" s="35"/>
      <c r="Q540" s="36"/>
      <c r="R540" s="36"/>
      <c r="S540" s="70"/>
      <c r="T540" s="36"/>
      <c r="U540" s="36"/>
      <c r="V540" s="1022"/>
      <c r="W540" s="1021"/>
      <c r="X540" s="1021"/>
      <c r="Y540" s="1022"/>
      <c r="Z540" s="1021"/>
      <c r="AA540" s="1021"/>
      <c r="AB540" s="1022"/>
      <c r="AC540" s="1021"/>
      <c r="AD540" s="1021"/>
      <c r="AE540" s="1022"/>
      <c r="AF540" s="1021"/>
      <c r="AG540" s="1021"/>
      <c r="AH540" s="1022"/>
      <c r="AI540" s="1021"/>
      <c r="AJ540" s="1021"/>
      <c r="AK540" s="1022"/>
      <c r="AL540" s="1021"/>
      <c r="AM540" s="1021"/>
      <c r="AN540" s="1022"/>
      <c r="AO540" s="1021"/>
      <c r="AP540" s="1021"/>
      <c r="AQ540" s="1022"/>
      <c r="AR540" s="1021"/>
      <c r="AS540" s="1021"/>
      <c r="AT540" s="1022"/>
      <c r="AU540" s="34"/>
      <c r="AV540" s="34"/>
      <c r="AW540" s="35"/>
      <c r="AX540" s="34"/>
      <c r="AY540" s="34"/>
      <c r="AZ540" s="35"/>
      <c r="BA540" s="34"/>
      <c r="BB540" s="34"/>
      <c r="BC540" s="35"/>
      <c r="BD540" s="34"/>
      <c r="BE540" s="34"/>
      <c r="BF540" s="35"/>
      <c r="BG540" s="34"/>
      <c r="BH540" s="34"/>
      <c r="BJ540" s="34"/>
      <c r="BK540" s="34"/>
      <c r="BM540" s="34"/>
      <c r="BN540" s="34"/>
      <c r="BO540" s="35"/>
      <c r="BP540" s="34"/>
      <c r="BQ540" s="34"/>
      <c r="BR540" s="35"/>
      <c r="BS540" s="34"/>
      <c r="BT540" s="34"/>
      <c r="BU540" s="35"/>
      <c r="BV540" s="34"/>
      <c r="BW540" s="34"/>
      <c r="BX540" s="1162"/>
      <c r="BY540" s="1162"/>
      <c r="BZ540" s="1162"/>
      <c r="CA540" s="1162"/>
      <c r="CB540" s="1162"/>
      <c r="CC540" s="1162"/>
      <c r="CD540" s="1162"/>
      <c r="CE540" s="1162"/>
      <c r="CF540" s="1162"/>
      <c r="CG540" s="1162"/>
      <c r="CH540" s="1162"/>
      <c r="CI540" s="1162"/>
      <c r="CJ540" s="1162"/>
      <c r="CK540" s="1162"/>
      <c r="CL540" s="1162"/>
      <c r="CM540" s="1162"/>
      <c r="CN540" s="1162"/>
      <c r="CO540" s="1162"/>
      <c r="CP540" s="1162"/>
      <c r="CQ540" s="1162"/>
      <c r="CR540" s="1162"/>
      <c r="CS540" s="1162"/>
      <c r="FD540"/>
      <c r="FE540"/>
      <c r="FF540"/>
      <c r="FG540"/>
      <c r="FH540"/>
      <c r="FI540"/>
    </row>
    <row r="541" spans="5:165" s="33" customFormat="1">
      <c r="E541" s="34"/>
      <c r="F541" s="34"/>
      <c r="G541" s="35"/>
      <c r="H541" s="34"/>
      <c r="I541" s="34"/>
      <c r="J541" s="35"/>
      <c r="K541" s="34"/>
      <c r="L541" s="34"/>
      <c r="M541" s="35"/>
      <c r="N541" s="34"/>
      <c r="O541" s="34"/>
      <c r="P541" s="35"/>
      <c r="Q541" s="36"/>
      <c r="R541" s="36"/>
      <c r="S541" s="70"/>
      <c r="T541" s="36"/>
      <c r="U541" s="36"/>
      <c r="V541" s="1022"/>
      <c r="W541" s="1021"/>
      <c r="X541" s="1021"/>
      <c r="Y541" s="1022"/>
      <c r="Z541" s="1021"/>
      <c r="AA541" s="1021"/>
      <c r="AB541" s="1022"/>
      <c r="AC541" s="1021"/>
      <c r="AD541" s="1021"/>
      <c r="AE541" s="1022"/>
      <c r="AF541" s="1021"/>
      <c r="AG541" s="1021"/>
      <c r="AH541" s="1022"/>
      <c r="AI541" s="1021"/>
      <c r="AJ541" s="1021"/>
      <c r="AK541" s="1022"/>
      <c r="AL541" s="1021"/>
      <c r="AM541" s="1021"/>
      <c r="AN541" s="1022"/>
      <c r="AO541" s="1021"/>
      <c r="AP541" s="1021"/>
      <c r="AQ541" s="1022"/>
      <c r="AR541" s="1021"/>
      <c r="AS541" s="1021"/>
      <c r="AT541" s="1022"/>
      <c r="AU541" s="34"/>
      <c r="AV541" s="34"/>
      <c r="AW541" s="35"/>
      <c r="AX541" s="34"/>
      <c r="AY541" s="34"/>
      <c r="AZ541" s="35"/>
      <c r="BA541" s="34"/>
      <c r="BB541" s="34"/>
      <c r="BC541" s="35"/>
      <c r="BD541" s="34"/>
      <c r="BE541" s="34"/>
      <c r="BF541" s="35"/>
      <c r="BG541" s="34"/>
      <c r="BH541" s="34"/>
      <c r="BJ541" s="34"/>
      <c r="BK541" s="34"/>
      <c r="BM541" s="34"/>
      <c r="BN541" s="34"/>
      <c r="BO541" s="35"/>
      <c r="BP541" s="34"/>
      <c r="BQ541" s="34"/>
      <c r="BR541" s="35"/>
      <c r="BS541" s="34"/>
      <c r="BT541" s="34"/>
      <c r="BU541" s="35"/>
      <c r="BV541" s="34"/>
      <c r="BW541" s="34"/>
      <c r="BX541" s="1522"/>
      <c r="BY541" s="1522"/>
      <c r="BZ541" s="1522"/>
      <c r="CA541" s="1522"/>
      <c r="CB541" s="1522"/>
      <c r="CC541" s="1522"/>
      <c r="CD541" s="1522"/>
      <c r="CE541" s="1522"/>
      <c r="CF541" s="1522"/>
      <c r="CG541" s="1522"/>
      <c r="CH541" s="1522"/>
      <c r="CI541" s="1522"/>
      <c r="CJ541" s="1522"/>
      <c r="CK541" s="1522"/>
      <c r="CL541" s="1522"/>
      <c r="CM541" s="1522"/>
      <c r="CN541" s="1522"/>
      <c r="CO541" s="1522"/>
      <c r="CP541" s="1522"/>
      <c r="CQ541" s="1522"/>
      <c r="CR541" s="1522"/>
      <c r="CS541" s="1522"/>
      <c r="FD541"/>
      <c r="FE541"/>
      <c r="FF541"/>
      <c r="FG541"/>
      <c r="FH541"/>
      <c r="FI541"/>
    </row>
    <row r="542" spans="5:165" s="33" customFormat="1">
      <c r="E542" s="34"/>
      <c r="F542" s="34"/>
      <c r="G542" s="35"/>
      <c r="H542" s="34"/>
      <c r="I542" s="34"/>
      <c r="J542" s="35"/>
      <c r="K542" s="34"/>
      <c r="L542" s="34"/>
      <c r="M542" s="35"/>
      <c r="N542" s="34"/>
      <c r="O542" s="34"/>
      <c r="P542" s="35"/>
      <c r="Q542" s="36"/>
      <c r="R542" s="36"/>
      <c r="S542" s="70"/>
      <c r="T542" s="36"/>
      <c r="U542" s="36"/>
      <c r="V542" s="1022"/>
      <c r="W542" s="1021"/>
      <c r="X542" s="1021"/>
      <c r="Y542" s="1022"/>
      <c r="Z542" s="1021"/>
      <c r="AA542" s="1021"/>
      <c r="AB542" s="1022"/>
      <c r="AC542" s="1021"/>
      <c r="AD542" s="1021"/>
      <c r="AE542" s="1022"/>
      <c r="AF542" s="1021"/>
      <c r="AG542" s="1021"/>
      <c r="AH542" s="1022"/>
      <c r="AI542" s="1021"/>
      <c r="AJ542" s="1021"/>
      <c r="AK542" s="1022"/>
      <c r="AL542" s="1021"/>
      <c r="AM542" s="1021"/>
      <c r="AN542" s="1022"/>
      <c r="AO542" s="1021"/>
      <c r="AP542" s="1021"/>
      <c r="AQ542" s="1022"/>
      <c r="AR542" s="1021"/>
      <c r="AS542" s="1021"/>
      <c r="AT542" s="1022"/>
      <c r="AU542" s="34"/>
      <c r="AV542" s="34"/>
      <c r="AW542" s="35"/>
      <c r="AX542" s="34"/>
      <c r="AY542" s="34"/>
      <c r="AZ542" s="35"/>
      <c r="BA542" s="34"/>
      <c r="BB542" s="34"/>
      <c r="BC542" s="35"/>
      <c r="BD542" s="34"/>
      <c r="BE542" s="34"/>
      <c r="BF542" s="35"/>
      <c r="BG542" s="34"/>
      <c r="BH542" s="34"/>
      <c r="BJ542" s="34"/>
      <c r="BK542" s="34"/>
      <c r="BM542" s="34"/>
      <c r="BN542" s="34"/>
      <c r="BO542" s="35"/>
      <c r="BP542" s="34"/>
      <c r="BQ542" s="34"/>
      <c r="BR542" s="35"/>
      <c r="BS542" s="34"/>
      <c r="BT542" s="34"/>
      <c r="BU542" s="35"/>
      <c r="BV542" s="34"/>
      <c r="BW542" s="34"/>
      <c r="BX542" s="1522"/>
      <c r="BY542" s="1522"/>
      <c r="BZ542" s="1522"/>
      <c r="CA542" s="1522"/>
      <c r="CB542" s="1522"/>
      <c r="CC542" s="1522"/>
      <c r="CD542" s="1522"/>
      <c r="CE542" s="1522"/>
      <c r="CF542" s="1522"/>
      <c r="CG542" s="1522"/>
      <c r="CH542" s="1522"/>
      <c r="CI542" s="1522"/>
      <c r="CJ542" s="1522"/>
      <c r="CK542" s="1522"/>
      <c r="CL542" s="1522"/>
      <c r="CM542" s="1522"/>
      <c r="CN542" s="1522"/>
      <c r="CO542" s="1522"/>
      <c r="CP542" s="1522"/>
      <c r="CQ542" s="1522"/>
      <c r="CR542" s="1522"/>
      <c r="CS542" s="1522"/>
      <c r="FD542"/>
      <c r="FE542"/>
      <c r="FF542"/>
      <c r="FG542"/>
      <c r="FH542"/>
      <c r="FI542"/>
    </row>
    <row r="543" spans="5:165" s="33" customFormat="1">
      <c r="E543" s="34"/>
      <c r="F543" s="34"/>
      <c r="G543" s="35"/>
      <c r="H543" s="34"/>
      <c r="I543" s="34"/>
      <c r="J543" s="35"/>
      <c r="K543" s="34"/>
      <c r="L543" s="34"/>
      <c r="M543" s="35"/>
      <c r="N543" s="34"/>
      <c r="O543" s="34"/>
      <c r="P543" s="35"/>
      <c r="Q543" s="36"/>
      <c r="R543" s="36"/>
      <c r="S543" s="70"/>
      <c r="T543" s="36"/>
      <c r="U543" s="36"/>
      <c r="V543" s="1022"/>
      <c r="W543" s="1021"/>
      <c r="X543" s="1021"/>
      <c r="Y543" s="1022"/>
      <c r="Z543" s="1021"/>
      <c r="AA543" s="1021"/>
      <c r="AB543" s="1022"/>
      <c r="AC543" s="1021"/>
      <c r="AD543" s="1021"/>
      <c r="AE543" s="1022"/>
      <c r="AF543" s="1021"/>
      <c r="AG543" s="1021"/>
      <c r="AH543" s="1022"/>
      <c r="AI543" s="1021"/>
      <c r="AJ543" s="1021"/>
      <c r="AK543" s="1022"/>
      <c r="AL543" s="1021"/>
      <c r="AM543" s="1021"/>
      <c r="AN543" s="1022"/>
      <c r="AO543" s="1021"/>
      <c r="AP543" s="1021"/>
      <c r="AQ543" s="1022"/>
      <c r="AR543" s="1021"/>
      <c r="AS543" s="1021"/>
      <c r="AT543" s="1022"/>
      <c r="AU543" s="34"/>
      <c r="AV543" s="34"/>
      <c r="AW543" s="35"/>
      <c r="AX543" s="34"/>
      <c r="AY543" s="34"/>
      <c r="AZ543" s="35"/>
      <c r="BA543" s="34"/>
      <c r="BB543" s="34"/>
      <c r="BC543" s="35"/>
      <c r="BD543" s="34"/>
      <c r="BE543" s="34"/>
      <c r="BF543" s="35"/>
      <c r="BG543" s="34"/>
      <c r="BH543" s="34"/>
      <c r="BJ543" s="34"/>
      <c r="BK543" s="34"/>
      <c r="BM543" s="34"/>
      <c r="BN543" s="34"/>
      <c r="BO543" s="35"/>
      <c r="BP543" s="34"/>
      <c r="BQ543" s="34"/>
      <c r="BR543" s="35"/>
      <c r="BS543" s="34"/>
      <c r="BT543" s="34"/>
      <c r="BU543" s="35"/>
      <c r="BV543" s="34"/>
      <c r="BW543" s="34"/>
      <c r="BX543" s="1162"/>
      <c r="BY543" s="1162"/>
      <c r="BZ543" s="1162"/>
      <c r="CA543" s="1162"/>
      <c r="CB543" s="1162"/>
      <c r="CC543" s="1162"/>
      <c r="CD543" s="1162"/>
      <c r="CE543" s="1162"/>
      <c r="CF543" s="1162"/>
      <c r="CG543" s="1162"/>
      <c r="CH543" s="1162"/>
      <c r="CI543" s="1162"/>
      <c r="CJ543" s="1162"/>
      <c r="CK543" s="1162"/>
      <c r="CL543" s="1162"/>
      <c r="CM543" s="1162"/>
      <c r="CN543" s="1162"/>
      <c r="CO543" s="1162"/>
      <c r="CP543" s="1162"/>
      <c r="CQ543" s="1162"/>
      <c r="CR543" s="1162"/>
      <c r="CS543" s="1162"/>
      <c r="FD543"/>
      <c r="FE543"/>
      <c r="FF543"/>
      <c r="FG543"/>
      <c r="FH543"/>
      <c r="FI543"/>
    </row>
    <row r="544" spans="5:165" s="33" customFormat="1">
      <c r="E544" s="34"/>
      <c r="F544" s="34"/>
      <c r="G544" s="35"/>
      <c r="H544" s="34"/>
      <c r="I544" s="34"/>
      <c r="J544" s="35"/>
      <c r="K544" s="34"/>
      <c r="L544" s="34"/>
      <c r="M544" s="35"/>
      <c r="N544" s="34"/>
      <c r="O544" s="34"/>
      <c r="P544" s="35"/>
      <c r="Q544" s="36"/>
      <c r="R544" s="36"/>
      <c r="S544" s="70"/>
      <c r="T544" s="36"/>
      <c r="U544" s="36"/>
      <c r="V544" s="1022"/>
      <c r="W544" s="1021"/>
      <c r="X544" s="1021"/>
      <c r="Y544" s="1022"/>
      <c r="Z544" s="1021"/>
      <c r="AA544" s="1021"/>
      <c r="AB544" s="1022"/>
      <c r="AC544" s="1021"/>
      <c r="AD544" s="1021"/>
      <c r="AE544" s="1022"/>
      <c r="AF544" s="1021"/>
      <c r="AG544" s="1021"/>
      <c r="AH544" s="1022"/>
      <c r="AI544" s="1021"/>
      <c r="AJ544" s="1021"/>
      <c r="AK544" s="1022"/>
      <c r="AL544" s="1021"/>
      <c r="AM544" s="1021"/>
      <c r="AN544" s="1022"/>
      <c r="AO544" s="1021"/>
      <c r="AP544" s="1021"/>
      <c r="AQ544" s="1022"/>
      <c r="AR544" s="1021"/>
      <c r="AS544" s="1021"/>
      <c r="AT544" s="1022"/>
      <c r="AU544" s="34"/>
      <c r="AV544" s="34"/>
      <c r="AW544" s="35"/>
      <c r="AX544" s="34"/>
      <c r="AY544" s="34"/>
      <c r="AZ544" s="35"/>
      <c r="BA544" s="34"/>
      <c r="BB544" s="34"/>
      <c r="BC544" s="35"/>
      <c r="BD544" s="34"/>
      <c r="BE544" s="34"/>
      <c r="BF544" s="35"/>
      <c r="BG544" s="34"/>
      <c r="BH544" s="34"/>
      <c r="BJ544" s="34"/>
      <c r="BK544" s="34"/>
      <c r="BM544" s="34"/>
      <c r="BN544" s="34"/>
      <c r="BO544" s="35"/>
      <c r="BP544" s="34"/>
      <c r="BQ544" s="34"/>
      <c r="BR544" s="35"/>
      <c r="BS544" s="34"/>
      <c r="BT544" s="34"/>
      <c r="BU544" s="35"/>
      <c r="BV544" s="34"/>
      <c r="BW544" s="34"/>
      <c r="BX544" s="1162"/>
      <c r="BY544" s="1162"/>
      <c r="BZ544" s="1162"/>
      <c r="CA544" s="1162"/>
      <c r="CB544" s="1162"/>
      <c r="CC544" s="1162"/>
      <c r="CD544" s="1162"/>
      <c r="CE544" s="1162"/>
      <c r="CF544" s="1162"/>
      <c r="CG544" s="1162"/>
      <c r="CH544" s="1162"/>
      <c r="CI544" s="1162"/>
      <c r="CJ544" s="1162"/>
      <c r="CK544" s="1162"/>
      <c r="CL544" s="1162"/>
      <c r="CM544" s="1162"/>
      <c r="CN544" s="1162"/>
      <c r="CO544" s="1162"/>
      <c r="CP544" s="1162"/>
      <c r="CQ544" s="1162"/>
      <c r="CR544" s="1162"/>
      <c r="CS544" s="1162"/>
      <c r="FD544"/>
      <c r="FE544"/>
      <c r="FF544"/>
      <c r="FG544"/>
      <c r="FH544"/>
      <c r="FI544"/>
    </row>
    <row r="545" spans="1:165" s="33" customFormat="1">
      <c r="E545" s="34"/>
      <c r="F545" s="34"/>
      <c r="G545" s="35"/>
      <c r="H545" s="34"/>
      <c r="I545" s="34"/>
      <c r="J545" s="35"/>
      <c r="K545" s="34"/>
      <c r="L545" s="34"/>
      <c r="M545" s="35"/>
      <c r="N545" s="34"/>
      <c r="O545" s="34"/>
      <c r="P545" s="35"/>
      <c r="Q545" s="36"/>
      <c r="R545" s="36"/>
      <c r="S545" s="70"/>
      <c r="T545" s="36"/>
      <c r="U545" s="36"/>
      <c r="V545" s="1022"/>
      <c r="W545" s="1021"/>
      <c r="X545" s="1021"/>
      <c r="Y545" s="1022"/>
      <c r="Z545" s="1021"/>
      <c r="AA545" s="1021"/>
      <c r="AB545" s="1022"/>
      <c r="AC545" s="1021"/>
      <c r="AD545" s="1021"/>
      <c r="AE545" s="1022"/>
      <c r="AF545" s="1021"/>
      <c r="AG545" s="1021"/>
      <c r="AH545" s="1022"/>
      <c r="AI545" s="1021"/>
      <c r="AJ545" s="1021"/>
      <c r="AK545" s="1022"/>
      <c r="AL545" s="1021"/>
      <c r="AM545" s="1021"/>
      <c r="AN545" s="1022"/>
      <c r="AO545" s="1021"/>
      <c r="AP545" s="1021"/>
      <c r="AQ545" s="1022"/>
      <c r="AR545" s="1021"/>
      <c r="AS545" s="1021"/>
      <c r="AT545" s="1022"/>
      <c r="AU545" s="34"/>
      <c r="AV545" s="34"/>
      <c r="AW545" s="35"/>
      <c r="AX545" s="34"/>
      <c r="AY545" s="34"/>
      <c r="AZ545" s="35"/>
      <c r="BA545" s="34"/>
      <c r="BB545" s="34"/>
      <c r="BC545" s="35"/>
      <c r="BD545" s="34"/>
      <c r="BE545" s="34"/>
      <c r="BF545" s="35"/>
      <c r="BG545" s="34"/>
      <c r="BH545" s="34"/>
      <c r="BJ545" s="34"/>
      <c r="BK545" s="34"/>
      <c r="BM545" s="34"/>
      <c r="BN545" s="34"/>
      <c r="BO545" s="35"/>
      <c r="BP545" s="34"/>
      <c r="BQ545" s="34"/>
      <c r="BR545" s="35"/>
      <c r="BS545" s="34"/>
      <c r="BT545" s="34"/>
      <c r="BU545" s="35"/>
      <c r="BV545" s="34"/>
      <c r="BW545" s="34"/>
      <c r="BX545" s="58"/>
      <c r="BY545" s="58"/>
      <c r="BZ545" s="58"/>
      <c r="CA545" s="58"/>
      <c r="CB545" s="58"/>
      <c r="CC545" s="58"/>
      <c r="CD545" s="58"/>
      <c r="CE545" s="58"/>
      <c r="CF545" s="58"/>
      <c r="CG545" s="58"/>
      <c r="CH545" s="58"/>
      <c r="CI545" s="58"/>
      <c r="CJ545" s="58"/>
      <c r="CK545" s="58"/>
      <c r="CL545" s="58"/>
      <c r="CM545" s="58"/>
      <c r="CN545" s="58"/>
      <c r="CO545" s="58"/>
      <c r="CP545" s="58"/>
      <c r="CQ545" s="58"/>
      <c r="CR545" s="58"/>
      <c r="CS545" s="58"/>
      <c r="FD545"/>
      <c r="FE545"/>
      <c r="FF545"/>
      <c r="FG545"/>
      <c r="FH545"/>
      <c r="FI545"/>
    </row>
    <row r="546" spans="1:165" s="33" customFormat="1">
      <c r="E546" s="34"/>
      <c r="F546" s="34"/>
      <c r="G546" s="35"/>
      <c r="H546" s="34"/>
      <c r="I546" s="34"/>
      <c r="J546" s="35"/>
      <c r="K546" s="34"/>
      <c r="L546" s="34"/>
      <c r="M546" s="35"/>
      <c r="N546" s="34"/>
      <c r="O546" s="34"/>
      <c r="P546" s="35"/>
      <c r="Q546" s="36"/>
      <c r="R546" s="36"/>
      <c r="S546" s="70"/>
      <c r="T546" s="36"/>
      <c r="U546" s="36"/>
      <c r="V546" s="1022"/>
      <c r="W546" s="1021"/>
      <c r="X546" s="1021"/>
      <c r="Y546" s="1022"/>
      <c r="Z546" s="1021"/>
      <c r="AA546" s="1021"/>
      <c r="AB546" s="1022"/>
      <c r="AC546" s="1021"/>
      <c r="AD546" s="1021"/>
      <c r="AE546" s="1022"/>
      <c r="AF546" s="1021"/>
      <c r="AG546" s="1021"/>
      <c r="AH546" s="1022"/>
      <c r="AI546" s="1021"/>
      <c r="AJ546" s="1021"/>
      <c r="AK546" s="1022"/>
      <c r="AL546" s="1021"/>
      <c r="AM546" s="1021"/>
      <c r="AN546" s="1022"/>
      <c r="AO546" s="1021"/>
      <c r="AP546" s="1021"/>
      <c r="AQ546" s="1022"/>
      <c r="AR546" s="1021"/>
      <c r="AS546" s="1021"/>
      <c r="AT546" s="1022"/>
      <c r="AU546" s="34"/>
      <c r="AV546" s="34"/>
      <c r="AW546" s="35"/>
      <c r="AX546" s="34"/>
      <c r="AY546" s="34"/>
      <c r="AZ546" s="35"/>
      <c r="BA546" s="34"/>
      <c r="BB546" s="34"/>
      <c r="BC546" s="35"/>
      <c r="BD546" s="34"/>
      <c r="BE546" s="34"/>
      <c r="BF546" s="35"/>
      <c r="BG546" s="34"/>
      <c r="BH546" s="34"/>
      <c r="BJ546" s="34"/>
      <c r="BK546" s="34"/>
      <c r="BM546" s="34"/>
      <c r="BN546" s="34"/>
      <c r="BO546" s="35"/>
      <c r="BP546" s="34"/>
      <c r="BQ546" s="34"/>
      <c r="BR546" s="35"/>
      <c r="BS546" s="34"/>
      <c r="BT546" s="34"/>
      <c r="BU546" s="35"/>
      <c r="BV546" s="34"/>
      <c r="BW546" s="34"/>
      <c r="BX546" s="58"/>
      <c r="BY546" s="58"/>
      <c r="BZ546" s="58"/>
      <c r="CA546" s="58"/>
      <c r="CB546" s="58"/>
      <c r="CC546" s="58"/>
      <c r="CD546" s="58"/>
      <c r="CE546" s="58"/>
      <c r="CF546" s="58"/>
      <c r="CG546" s="58"/>
      <c r="CH546" s="58"/>
      <c r="CI546" s="58"/>
      <c r="CJ546" s="58"/>
      <c r="CK546" s="58"/>
      <c r="CL546" s="58"/>
      <c r="CM546" s="58"/>
      <c r="CN546" s="58"/>
      <c r="CO546" s="58"/>
      <c r="CP546" s="58"/>
      <c r="CQ546" s="58"/>
      <c r="CR546" s="58"/>
      <c r="CS546" s="58"/>
      <c r="CT546" s="34"/>
      <c r="CU546" s="34"/>
      <c r="CV546" s="35"/>
      <c r="CW546" s="34"/>
      <c r="CX546" s="34"/>
      <c r="CY546" s="35"/>
      <c r="CZ546" s="34"/>
      <c r="DA546" s="34"/>
      <c r="DB546" s="35"/>
      <c r="DC546" s="34"/>
      <c r="DD546" s="34"/>
      <c r="DE546" s="35"/>
      <c r="DF546" s="34"/>
      <c r="DG546" s="34"/>
      <c r="DH546" s="35"/>
      <c r="DI546" s="34"/>
      <c r="DJ546" s="34"/>
      <c r="DK546" s="35"/>
      <c r="DL546" s="34"/>
      <c r="DM546" s="34"/>
      <c r="DN546" s="35"/>
      <c r="DO546" s="34"/>
      <c r="DP546" s="34"/>
      <c r="DQ546" s="35"/>
      <c r="DR546" s="34"/>
      <c r="DS546" s="34"/>
      <c r="DT546" s="35"/>
      <c r="DU546" s="34"/>
      <c r="DV546" s="34"/>
      <c r="DW546" s="35"/>
      <c r="DX546" s="34"/>
      <c r="DY546" s="34"/>
      <c r="DZ546" s="35"/>
      <c r="EA546" s="34"/>
      <c r="EB546" s="34"/>
      <c r="EC546" s="35"/>
      <c r="ED546" s="34"/>
      <c r="EE546" s="34"/>
      <c r="EF546" s="35"/>
      <c r="EG546" s="34"/>
      <c r="EH546" s="34"/>
      <c r="EI546" s="35"/>
      <c r="EJ546" s="34"/>
      <c r="EK546" s="34"/>
      <c r="EL546" s="35"/>
      <c r="EM546" s="34"/>
      <c r="EN546" s="34"/>
      <c r="EO546" s="35"/>
      <c r="EP546" s="34"/>
      <c r="EQ546" s="34"/>
      <c r="ER546" s="35"/>
      <c r="ES546" s="34"/>
      <c r="ET546" s="34"/>
      <c r="EU546" s="35"/>
      <c r="EV546" s="34"/>
      <c r="EW546" s="34"/>
      <c r="EX546" s="35"/>
      <c r="EY546" s="34"/>
      <c r="EZ546" s="34"/>
      <c r="FA546" s="35"/>
      <c r="FD546"/>
      <c r="FE546"/>
      <c r="FF546"/>
      <c r="FG546"/>
      <c r="FH546"/>
      <c r="FI546"/>
    </row>
    <row r="547" spans="1:165" s="33" customFormat="1">
      <c r="E547" s="34"/>
      <c r="F547" s="34"/>
      <c r="G547" s="35"/>
      <c r="H547" s="34"/>
      <c r="I547" s="34"/>
      <c r="J547" s="35"/>
      <c r="K547" s="34"/>
      <c r="L547" s="34"/>
      <c r="M547" s="35"/>
      <c r="N547" s="34"/>
      <c r="O547" s="34"/>
      <c r="P547" s="35"/>
      <c r="Q547" s="36"/>
      <c r="R547" s="36"/>
      <c r="S547" s="70"/>
      <c r="T547" s="36"/>
      <c r="U547" s="36"/>
      <c r="V547" s="1022"/>
      <c r="W547" s="1021"/>
      <c r="X547" s="1021"/>
      <c r="Y547" s="1022"/>
      <c r="Z547" s="1021"/>
      <c r="AA547" s="1021"/>
      <c r="AB547" s="1022"/>
      <c r="AC547" s="1021"/>
      <c r="AD547" s="1021"/>
      <c r="AE547" s="1022"/>
      <c r="AF547" s="1021"/>
      <c r="AG547" s="1021"/>
      <c r="AH547" s="1022"/>
      <c r="AI547" s="1021"/>
      <c r="AJ547" s="1021"/>
      <c r="AK547" s="1022"/>
      <c r="AL547" s="1021"/>
      <c r="AM547" s="1021"/>
      <c r="AN547" s="1022"/>
      <c r="AO547" s="1021"/>
      <c r="AP547" s="1021"/>
      <c r="AQ547" s="1022"/>
      <c r="AR547" s="1021"/>
      <c r="AS547" s="1021"/>
      <c r="AT547" s="1022"/>
      <c r="AU547" s="34"/>
      <c r="AV547" s="34"/>
      <c r="AW547" s="35"/>
      <c r="AX547" s="34"/>
      <c r="AY547" s="34"/>
      <c r="AZ547" s="35"/>
      <c r="BA547" s="34"/>
      <c r="BB547" s="34"/>
      <c r="BC547" s="35"/>
      <c r="BD547" s="34"/>
      <c r="BE547" s="34"/>
      <c r="BF547" s="35"/>
      <c r="BG547" s="34"/>
      <c r="BH547" s="34"/>
      <c r="BJ547" s="34"/>
      <c r="BK547" s="34"/>
      <c r="BM547" s="34"/>
      <c r="BN547" s="34"/>
      <c r="BO547" s="35"/>
      <c r="BP547" s="34"/>
      <c r="BQ547" s="34"/>
      <c r="BR547" s="35"/>
      <c r="BS547" s="34"/>
      <c r="BT547" s="34"/>
      <c r="BU547" s="35"/>
      <c r="BV547" s="34"/>
      <c r="BW547" s="34"/>
      <c r="BX547" s="1162"/>
      <c r="BY547" s="1162"/>
      <c r="BZ547" s="1162"/>
      <c r="CA547" s="1162"/>
      <c r="CB547" s="1162"/>
      <c r="CC547" s="1162"/>
      <c r="CD547" s="1162"/>
      <c r="CE547" s="1162"/>
      <c r="CF547" s="1162"/>
      <c r="CG547" s="1162"/>
      <c r="CH547" s="1162"/>
      <c r="CI547" s="1162"/>
      <c r="CJ547" s="1162"/>
      <c r="CK547" s="1162"/>
      <c r="CL547" s="1162"/>
      <c r="CM547" s="1162"/>
      <c r="CN547" s="1162"/>
      <c r="CO547" s="1162"/>
      <c r="CP547" s="1162"/>
      <c r="CQ547" s="1162"/>
      <c r="CR547" s="1162"/>
      <c r="CS547" s="1162"/>
      <c r="CT547" s="34"/>
      <c r="CU547" s="34"/>
      <c r="CV547" s="35"/>
      <c r="CW547" s="34"/>
      <c r="CX547" s="34"/>
      <c r="CY547" s="35"/>
      <c r="CZ547" s="34"/>
      <c r="DA547" s="34"/>
      <c r="DB547" s="35"/>
      <c r="DC547" s="34"/>
      <c r="DD547" s="34"/>
      <c r="DE547" s="35"/>
      <c r="DF547" s="34"/>
      <c r="DG547" s="34"/>
      <c r="DH547" s="35"/>
      <c r="DI547" s="34"/>
      <c r="DJ547" s="34"/>
      <c r="DK547" s="35"/>
      <c r="DL547" s="34"/>
      <c r="DM547" s="34"/>
      <c r="DN547" s="35"/>
      <c r="DO547" s="34"/>
      <c r="DP547" s="34"/>
      <c r="DQ547" s="35"/>
      <c r="DR547" s="34"/>
      <c r="DS547" s="34"/>
      <c r="DT547" s="35"/>
      <c r="DU547" s="34"/>
      <c r="DV547" s="34"/>
      <c r="DW547" s="35"/>
      <c r="DX547" s="34"/>
      <c r="DY547" s="34"/>
      <c r="DZ547" s="35"/>
      <c r="EA547" s="34"/>
      <c r="EB547" s="34"/>
      <c r="EC547" s="35"/>
      <c r="ED547" s="34"/>
      <c r="EE547" s="34"/>
      <c r="EF547" s="35"/>
      <c r="EG547" s="34"/>
      <c r="EH547" s="34"/>
      <c r="EI547" s="35"/>
      <c r="EJ547" s="34"/>
      <c r="EK547" s="34"/>
      <c r="EL547" s="35"/>
      <c r="EM547" s="34"/>
      <c r="EN547" s="34"/>
      <c r="EO547" s="35"/>
      <c r="EP547" s="34"/>
      <c r="EQ547" s="34"/>
      <c r="ER547" s="35"/>
      <c r="ES547" s="34"/>
      <c r="ET547" s="34"/>
      <c r="EU547" s="35"/>
      <c r="EV547" s="34"/>
      <c r="EW547" s="34"/>
      <c r="EX547" s="35"/>
      <c r="EY547" s="34"/>
      <c r="EZ547" s="34"/>
      <c r="FA547" s="35"/>
      <c r="FD547"/>
      <c r="FE547"/>
      <c r="FF547"/>
      <c r="FG547"/>
      <c r="FH547"/>
      <c r="FI547"/>
    </row>
    <row r="548" spans="1:165" s="33" customFormat="1">
      <c r="E548" s="34"/>
      <c r="F548" s="34"/>
      <c r="G548" s="35"/>
      <c r="H548" s="34"/>
      <c r="I548" s="34"/>
      <c r="J548" s="35"/>
      <c r="K548" s="34"/>
      <c r="L548" s="34"/>
      <c r="M548" s="35"/>
      <c r="N548" s="34"/>
      <c r="O548" s="34"/>
      <c r="P548" s="35"/>
      <c r="Q548" s="36"/>
      <c r="R548" s="36"/>
      <c r="S548" s="70"/>
      <c r="T548" s="36"/>
      <c r="U548" s="36"/>
      <c r="V548" s="1022"/>
      <c r="W548" s="1021"/>
      <c r="X548" s="1021"/>
      <c r="Y548" s="1022"/>
      <c r="Z548" s="1021"/>
      <c r="AA548" s="1021"/>
      <c r="AB548" s="1022"/>
      <c r="AC548" s="1021"/>
      <c r="AD548" s="1021"/>
      <c r="AE548" s="1022"/>
      <c r="AF548" s="1021"/>
      <c r="AG548" s="1021"/>
      <c r="AH548" s="1022"/>
      <c r="AI548" s="1021"/>
      <c r="AJ548" s="1021"/>
      <c r="AK548" s="1022"/>
      <c r="AL548" s="1021"/>
      <c r="AM548" s="1021"/>
      <c r="AN548" s="1022"/>
      <c r="AO548" s="1021"/>
      <c r="AP548" s="1021"/>
      <c r="AQ548" s="1022"/>
      <c r="AR548" s="1021"/>
      <c r="AS548" s="1021"/>
      <c r="AT548" s="1022"/>
      <c r="AU548" s="34"/>
      <c r="AV548" s="34"/>
      <c r="AW548" s="35"/>
      <c r="AX548" s="34"/>
      <c r="AY548" s="34"/>
      <c r="AZ548" s="35"/>
      <c r="BA548" s="34"/>
      <c r="BB548" s="34"/>
      <c r="BC548" s="35"/>
      <c r="BD548" s="34"/>
      <c r="BE548" s="34"/>
      <c r="BF548" s="35"/>
      <c r="BG548" s="34"/>
      <c r="BH548" s="34"/>
      <c r="BJ548" s="34"/>
      <c r="BK548" s="34"/>
      <c r="BM548" s="34"/>
      <c r="BN548" s="34"/>
      <c r="BO548" s="35"/>
      <c r="BP548" s="34"/>
      <c r="BQ548" s="34"/>
      <c r="BR548" s="35"/>
      <c r="BS548" s="34"/>
      <c r="BT548" s="34"/>
      <c r="BU548" s="35"/>
      <c r="BV548" s="34"/>
      <c r="BW548" s="34"/>
      <c r="BX548" s="1162"/>
      <c r="BY548" s="1162"/>
      <c r="BZ548" s="1162"/>
      <c r="CA548" s="1162"/>
      <c r="CB548" s="1162"/>
      <c r="CC548" s="1162"/>
      <c r="CD548" s="1162"/>
      <c r="CE548" s="1162"/>
      <c r="CF548" s="1162"/>
      <c r="CG548" s="1162"/>
      <c r="CH548" s="1162"/>
      <c r="CI548" s="1162"/>
      <c r="CJ548" s="1162"/>
      <c r="CK548" s="1162"/>
      <c r="CL548" s="1162"/>
      <c r="CM548" s="1162"/>
      <c r="CN548" s="1162"/>
      <c r="CO548" s="1162"/>
      <c r="CP548" s="1162"/>
      <c r="CQ548" s="1162"/>
      <c r="CR548" s="1162"/>
      <c r="CS548" s="1162"/>
      <c r="CT548" s="34"/>
      <c r="CU548" s="34"/>
      <c r="CV548" s="35"/>
      <c r="CW548" s="34"/>
      <c r="CX548" s="34"/>
      <c r="CY548" s="35"/>
      <c r="CZ548" s="34"/>
      <c r="DA548" s="34"/>
      <c r="DB548" s="35"/>
      <c r="DC548" s="34"/>
      <c r="DD548" s="34"/>
      <c r="DE548" s="35"/>
      <c r="DF548" s="34"/>
      <c r="DG548" s="34"/>
      <c r="DH548" s="35"/>
      <c r="DI548" s="34"/>
      <c r="DJ548" s="34"/>
      <c r="DK548" s="35"/>
      <c r="DL548" s="34"/>
      <c r="DM548" s="34"/>
      <c r="DN548" s="35"/>
      <c r="DO548" s="34"/>
      <c r="DP548" s="34"/>
      <c r="DQ548" s="35"/>
      <c r="DR548" s="34"/>
      <c r="DS548" s="34"/>
      <c r="DT548" s="35"/>
      <c r="DU548" s="34"/>
      <c r="DV548" s="34"/>
      <c r="DW548" s="35"/>
      <c r="DX548" s="34"/>
      <c r="DY548" s="34"/>
      <c r="DZ548" s="35"/>
      <c r="EA548" s="34"/>
      <c r="EB548" s="34"/>
      <c r="EC548" s="35"/>
      <c r="ED548" s="34"/>
      <c r="EE548" s="34"/>
      <c r="EF548" s="35"/>
      <c r="EG548" s="34"/>
      <c r="EH548" s="34"/>
      <c r="EI548" s="35"/>
      <c r="EJ548" s="34"/>
      <c r="EK548" s="34"/>
      <c r="EL548" s="35"/>
      <c r="EM548" s="34"/>
      <c r="EN548" s="34"/>
      <c r="EO548" s="35"/>
      <c r="EP548" s="34"/>
      <c r="EQ548" s="34"/>
      <c r="ER548" s="35"/>
      <c r="ES548" s="34"/>
      <c r="ET548" s="34"/>
      <c r="EU548" s="35"/>
      <c r="EV548" s="34"/>
      <c r="EW548" s="34"/>
      <c r="EX548" s="35"/>
      <c r="EY548" s="34"/>
      <c r="EZ548" s="34"/>
      <c r="FA548" s="35"/>
      <c r="FD548"/>
      <c r="FE548"/>
      <c r="FF548"/>
      <c r="FG548"/>
      <c r="FH548"/>
      <c r="FI548"/>
    </row>
    <row r="549" spans="1:165" s="33" customFormat="1">
      <c r="E549" s="34"/>
      <c r="F549" s="34"/>
      <c r="G549" s="35"/>
      <c r="H549" s="34"/>
      <c r="I549" s="34"/>
      <c r="J549" s="35"/>
      <c r="K549" s="34"/>
      <c r="L549" s="34"/>
      <c r="M549" s="35"/>
      <c r="N549" s="34"/>
      <c r="O549" s="34"/>
      <c r="P549" s="35"/>
      <c r="Q549" s="36"/>
      <c r="R549" s="36"/>
      <c r="S549" s="70"/>
      <c r="T549" s="36"/>
      <c r="U549" s="36"/>
      <c r="V549" s="1022"/>
      <c r="W549" s="1021"/>
      <c r="X549" s="1021"/>
      <c r="Y549" s="1022"/>
      <c r="Z549" s="1021"/>
      <c r="AA549" s="1021"/>
      <c r="AB549" s="1022"/>
      <c r="AC549" s="1021"/>
      <c r="AD549" s="1021"/>
      <c r="AE549" s="1022"/>
      <c r="AF549" s="1021"/>
      <c r="AG549" s="1021"/>
      <c r="AH549" s="1022"/>
      <c r="AI549" s="1021"/>
      <c r="AJ549" s="1021"/>
      <c r="AK549" s="1022"/>
      <c r="AL549" s="1021"/>
      <c r="AM549" s="1021"/>
      <c r="AN549" s="1022"/>
      <c r="AO549" s="1021"/>
      <c r="AP549" s="1021"/>
      <c r="AQ549" s="1022"/>
      <c r="AR549" s="1021"/>
      <c r="AS549" s="1021"/>
      <c r="AT549" s="1022"/>
      <c r="AU549" s="34"/>
      <c r="AV549" s="34"/>
      <c r="AW549" s="35"/>
      <c r="AX549" s="34"/>
      <c r="AY549" s="34"/>
      <c r="AZ549" s="35"/>
      <c r="BA549" s="34"/>
      <c r="BB549" s="34"/>
      <c r="BC549" s="35"/>
      <c r="BD549" s="34"/>
      <c r="BE549" s="34"/>
      <c r="BF549" s="35"/>
      <c r="BG549" s="34"/>
      <c r="BH549" s="34"/>
      <c r="BJ549" s="34"/>
      <c r="BK549" s="34"/>
      <c r="BM549" s="34"/>
      <c r="BN549" s="34"/>
      <c r="BO549" s="35"/>
      <c r="BP549" s="34"/>
      <c r="BQ549" s="34"/>
      <c r="BR549" s="35"/>
      <c r="BS549" s="34"/>
      <c r="BT549" s="34"/>
      <c r="BU549" s="35"/>
      <c r="BV549" s="34"/>
      <c r="BW549" s="34"/>
      <c r="BX549" s="1162"/>
      <c r="BY549" s="1162"/>
      <c r="BZ549" s="1162"/>
      <c r="CA549" s="1162"/>
      <c r="CB549" s="1162"/>
      <c r="CC549" s="1162"/>
      <c r="CD549" s="1162"/>
      <c r="CE549" s="1162"/>
      <c r="CF549" s="1162"/>
      <c r="CG549" s="1162"/>
      <c r="CH549" s="1162"/>
      <c r="CI549" s="1162"/>
      <c r="CJ549" s="1162"/>
      <c r="CK549" s="1162"/>
      <c r="CL549" s="1162"/>
      <c r="CM549" s="1162"/>
      <c r="CN549" s="1162"/>
      <c r="CO549" s="1162"/>
      <c r="CP549" s="1162"/>
      <c r="CQ549" s="1162"/>
      <c r="CR549" s="1162"/>
      <c r="CS549" s="1162"/>
      <c r="CT549" s="34"/>
      <c r="CU549" s="34"/>
      <c r="CV549" s="35"/>
      <c r="CW549" s="34"/>
      <c r="CX549" s="34"/>
      <c r="CY549" s="35"/>
      <c r="CZ549" s="34"/>
      <c r="DA549" s="34"/>
      <c r="DB549" s="35"/>
      <c r="DC549" s="34"/>
      <c r="DD549" s="34"/>
      <c r="DE549" s="35"/>
      <c r="DF549" s="34"/>
      <c r="DG549" s="34"/>
      <c r="DH549" s="35"/>
      <c r="DI549" s="34"/>
      <c r="DJ549" s="34"/>
      <c r="DK549" s="35"/>
      <c r="DL549" s="34"/>
      <c r="DM549" s="34"/>
      <c r="DN549" s="35"/>
      <c r="DO549" s="34"/>
      <c r="DP549" s="34"/>
      <c r="DQ549" s="35"/>
      <c r="DR549" s="34"/>
      <c r="DS549" s="34"/>
      <c r="DT549" s="35"/>
      <c r="DU549" s="34"/>
      <c r="DV549" s="34"/>
      <c r="DW549" s="35"/>
      <c r="DX549" s="34"/>
      <c r="DY549" s="34"/>
      <c r="DZ549" s="35"/>
      <c r="EA549" s="34"/>
      <c r="EB549" s="34"/>
      <c r="EC549" s="35"/>
      <c r="ED549" s="34"/>
      <c r="EE549" s="34"/>
      <c r="EF549" s="35"/>
      <c r="EG549" s="34"/>
      <c r="EH549" s="34"/>
      <c r="EI549" s="35"/>
      <c r="EJ549" s="34"/>
      <c r="EK549" s="34"/>
      <c r="EL549" s="35"/>
      <c r="EM549" s="34"/>
      <c r="EN549" s="34"/>
      <c r="EO549" s="35"/>
      <c r="EP549" s="34"/>
      <c r="EQ549" s="34"/>
      <c r="ER549" s="35"/>
      <c r="ES549" s="34"/>
      <c r="ET549" s="34"/>
      <c r="EU549" s="35"/>
      <c r="EV549" s="34"/>
      <c r="EW549" s="34"/>
      <c r="EX549" s="35"/>
      <c r="EY549" s="34"/>
      <c r="EZ549" s="34"/>
      <c r="FA549" s="35"/>
      <c r="FD549"/>
      <c r="FE549"/>
      <c r="FF549"/>
      <c r="FG549"/>
      <c r="FH549"/>
      <c r="FI549"/>
    </row>
    <row r="550" spans="1:165" s="33" customFormat="1">
      <c r="E550" s="34"/>
      <c r="F550" s="34"/>
      <c r="G550" s="35"/>
      <c r="H550" s="34"/>
      <c r="I550" s="34"/>
      <c r="J550" s="35"/>
      <c r="K550" s="34"/>
      <c r="L550" s="34"/>
      <c r="M550" s="35"/>
      <c r="N550" s="34"/>
      <c r="O550" s="34"/>
      <c r="P550" s="35"/>
      <c r="Q550" s="36"/>
      <c r="R550" s="36"/>
      <c r="S550" s="70"/>
      <c r="T550" s="36"/>
      <c r="U550" s="36"/>
      <c r="V550" s="1022"/>
      <c r="W550" s="1021"/>
      <c r="X550" s="1021"/>
      <c r="Y550" s="1022"/>
      <c r="Z550" s="1021"/>
      <c r="AA550" s="1021"/>
      <c r="AB550" s="1022"/>
      <c r="AC550" s="1021"/>
      <c r="AD550" s="1021"/>
      <c r="AE550" s="1022"/>
      <c r="AF550" s="1021"/>
      <c r="AG550" s="1021"/>
      <c r="AH550" s="1022"/>
      <c r="AI550" s="1021"/>
      <c r="AJ550" s="1021"/>
      <c r="AK550" s="1022"/>
      <c r="AL550" s="1021"/>
      <c r="AM550" s="1021"/>
      <c r="AN550" s="1022"/>
      <c r="AO550" s="1021"/>
      <c r="AP550" s="1021"/>
      <c r="AQ550" s="1022"/>
      <c r="AR550" s="1021"/>
      <c r="AS550" s="1021"/>
      <c r="AT550" s="1022"/>
      <c r="AU550" s="34"/>
      <c r="AV550" s="34"/>
      <c r="AW550" s="35"/>
      <c r="AX550" s="34"/>
      <c r="AY550" s="34"/>
      <c r="AZ550" s="35"/>
      <c r="BA550" s="34"/>
      <c r="BB550" s="34"/>
      <c r="BC550" s="35"/>
      <c r="BD550" s="34"/>
      <c r="BE550" s="34"/>
      <c r="BF550" s="35"/>
      <c r="BG550" s="34"/>
      <c r="BH550" s="34"/>
      <c r="BJ550" s="34"/>
      <c r="BK550" s="34"/>
      <c r="BM550" s="34"/>
      <c r="BN550" s="34"/>
      <c r="BO550" s="35"/>
      <c r="BP550" s="34"/>
      <c r="BQ550" s="34"/>
      <c r="BR550" s="35"/>
      <c r="BS550" s="34"/>
      <c r="BT550" s="34"/>
      <c r="BU550" s="35"/>
      <c r="BV550" s="34"/>
      <c r="BW550" s="34"/>
      <c r="BX550" s="1162"/>
      <c r="BY550" s="1162"/>
      <c r="BZ550" s="1162"/>
      <c r="CA550" s="1162"/>
      <c r="CB550" s="1162"/>
      <c r="CC550" s="1162"/>
      <c r="CD550" s="1162"/>
      <c r="CE550" s="1162"/>
      <c r="CF550" s="1162"/>
      <c r="CG550" s="1162"/>
      <c r="CH550" s="1162"/>
      <c r="CI550" s="1162"/>
      <c r="CJ550" s="1162"/>
      <c r="CK550" s="1162"/>
      <c r="CL550" s="1162"/>
      <c r="CM550" s="1162"/>
      <c r="CN550" s="1162"/>
      <c r="CO550" s="1162"/>
      <c r="CP550" s="1162"/>
      <c r="CQ550" s="1162"/>
      <c r="CR550" s="1162"/>
      <c r="CS550" s="1162"/>
      <c r="CT550" s="34"/>
      <c r="CU550" s="34"/>
      <c r="CV550" s="35"/>
      <c r="CW550" s="34"/>
      <c r="CX550" s="34"/>
      <c r="CY550" s="35"/>
      <c r="CZ550" s="34"/>
      <c r="DA550" s="34"/>
      <c r="DB550" s="35"/>
      <c r="DC550" s="34"/>
      <c r="DD550" s="34"/>
      <c r="DE550" s="35"/>
      <c r="DF550" s="34"/>
      <c r="DG550" s="34"/>
      <c r="DH550" s="35"/>
      <c r="DI550" s="34"/>
      <c r="DJ550" s="34"/>
      <c r="DK550" s="35"/>
      <c r="DL550" s="34"/>
      <c r="DM550" s="34"/>
      <c r="DN550" s="35"/>
      <c r="DO550" s="34"/>
      <c r="DP550" s="34"/>
      <c r="DQ550" s="35"/>
      <c r="DR550" s="34"/>
      <c r="DS550" s="34"/>
      <c r="DT550" s="35"/>
      <c r="DU550" s="34"/>
      <c r="DV550" s="34"/>
      <c r="DW550" s="35"/>
      <c r="DX550" s="34"/>
      <c r="DY550" s="34"/>
      <c r="DZ550" s="35"/>
      <c r="EA550" s="34"/>
      <c r="EB550" s="34"/>
      <c r="EC550" s="35"/>
      <c r="ED550" s="34"/>
      <c r="EE550" s="34"/>
      <c r="EF550" s="35"/>
      <c r="EG550" s="34"/>
      <c r="EH550" s="34"/>
      <c r="EI550" s="35"/>
      <c r="EJ550" s="34"/>
      <c r="EK550" s="34"/>
      <c r="EL550" s="35"/>
      <c r="EM550" s="34"/>
      <c r="EN550" s="34"/>
      <c r="EO550" s="35"/>
      <c r="EP550" s="34"/>
      <c r="EQ550" s="34"/>
      <c r="ER550" s="35"/>
      <c r="ES550" s="34"/>
      <c r="ET550" s="34"/>
      <c r="EU550" s="35"/>
      <c r="EV550" s="34"/>
      <c r="EW550" s="34"/>
      <c r="EX550" s="35"/>
      <c r="EY550" s="34"/>
      <c r="EZ550" s="34"/>
      <c r="FA550" s="35"/>
      <c r="FD550"/>
      <c r="FE550"/>
      <c r="FF550"/>
      <c r="FG550"/>
      <c r="FH550"/>
      <c r="FI550"/>
    </row>
    <row r="551" spans="1:165" s="33" customFormat="1">
      <c r="A551" s="58"/>
      <c r="B551" s="58" t="s">
        <v>745</v>
      </c>
      <c r="C551" s="58"/>
      <c r="D551" s="58"/>
      <c r="E551" s="1451"/>
      <c r="F551" s="1451"/>
      <c r="G551" s="1451"/>
      <c r="H551" s="1451"/>
      <c r="I551" s="1451"/>
      <c r="J551" s="1451"/>
      <c r="K551" s="1451"/>
      <c r="L551" s="1451"/>
      <c r="M551" s="1451"/>
      <c r="N551" s="1451"/>
      <c r="O551" s="1451"/>
      <c r="P551" s="1451"/>
      <c r="Q551" s="1451"/>
      <c r="R551" s="1451"/>
      <c r="S551" s="1451"/>
      <c r="T551" s="1451"/>
      <c r="U551" s="1451"/>
      <c r="V551" s="1451"/>
      <c r="W551" s="1451"/>
      <c r="X551" s="1451"/>
      <c r="Y551" s="1451"/>
      <c r="Z551" s="1451"/>
      <c r="AA551" s="1451"/>
      <c r="AB551" s="1451"/>
      <c r="AC551" s="1451"/>
      <c r="AD551" s="1451"/>
      <c r="AE551" s="1451"/>
      <c r="AF551" s="1451"/>
      <c r="AG551" s="1451"/>
      <c r="AH551" s="1451"/>
      <c r="AI551" s="1451"/>
      <c r="AJ551" s="1451"/>
      <c r="AK551" s="1451"/>
      <c r="AL551" s="1451"/>
      <c r="AM551" s="1451"/>
      <c r="AN551" s="1451"/>
      <c r="AO551" s="1451"/>
      <c r="AP551" s="1451"/>
      <c r="AQ551" s="1451"/>
      <c r="AR551" s="1451"/>
      <c r="AS551" s="1451"/>
      <c r="AT551" s="1451"/>
      <c r="AU551" s="1451"/>
      <c r="AV551" s="1451"/>
      <c r="AW551" s="1451"/>
      <c r="AX551" s="1451"/>
      <c r="AY551" s="1451"/>
      <c r="AZ551" s="1451"/>
      <c r="BA551" s="1451"/>
      <c r="BB551" s="1451"/>
      <c r="BC551" s="1451"/>
      <c r="BD551" s="1451"/>
      <c r="BE551" s="1451"/>
      <c r="BF551" s="1451"/>
      <c r="BG551" s="1451"/>
      <c r="BH551" s="1451"/>
      <c r="BI551" s="1451"/>
      <c r="BJ551" s="1451"/>
      <c r="BK551" s="1451"/>
      <c r="BL551" s="1451"/>
      <c r="BM551" s="1451"/>
      <c r="BN551" s="1451"/>
      <c r="BO551" s="1451"/>
      <c r="BP551" s="1451"/>
      <c r="BQ551" s="1451"/>
      <c r="BR551" s="1451"/>
      <c r="BS551" s="1451"/>
      <c r="BT551" s="1451"/>
      <c r="BU551" s="1451"/>
      <c r="BV551" s="1451"/>
      <c r="BW551" s="1451"/>
      <c r="BX551" s="1451"/>
      <c r="BY551" s="1451"/>
      <c r="BZ551" s="1451"/>
      <c r="CA551" s="1451"/>
      <c r="CB551" s="1451"/>
      <c r="CC551" s="1451"/>
      <c r="CD551" s="1451"/>
      <c r="CE551" s="1451"/>
      <c r="CF551" s="1451"/>
      <c r="CG551" s="1451"/>
      <c r="CH551" s="1451"/>
      <c r="CI551" s="1451"/>
      <c r="CJ551" s="1451"/>
      <c r="CK551" s="1451"/>
      <c r="CL551" s="1451"/>
      <c r="CM551" s="1451"/>
      <c r="CN551" s="1451"/>
      <c r="CO551" s="1451"/>
      <c r="CP551" s="1451"/>
      <c r="CQ551" s="1451"/>
      <c r="CR551" s="1451"/>
      <c r="CS551" s="1451"/>
      <c r="CT551" s="1451"/>
      <c r="CU551" s="1451"/>
      <c r="CV551" s="1451"/>
      <c r="CW551" s="1451"/>
      <c r="CX551" s="1451"/>
      <c r="CY551" s="1451"/>
      <c r="CZ551" s="1451"/>
      <c r="DA551" s="1451"/>
      <c r="DB551" s="1451"/>
      <c r="DC551" s="1451"/>
      <c r="DD551" s="1451"/>
      <c r="DE551" s="1451"/>
      <c r="DF551" s="1451"/>
      <c r="DG551" s="1451"/>
      <c r="DH551" s="1451"/>
      <c r="DI551" s="1451"/>
      <c r="DJ551" s="1451"/>
      <c r="DK551" s="1451"/>
      <c r="DL551" s="1451"/>
      <c r="DM551" s="1451"/>
      <c r="DN551" s="1451"/>
      <c r="DO551" s="1451"/>
      <c r="DP551" s="1451"/>
      <c r="DQ551" s="1451"/>
      <c r="DR551" s="1451"/>
      <c r="DS551" s="1451"/>
      <c r="DT551" s="1451"/>
      <c r="DU551" s="1451"/>
      <c r="DV551" s="1451"/>
      <c r="DW551" s="1451"/>
      <c r="DX551" s="1451"/>
      <c r="DY551" s="1451"/>
      <c r="DZ551" s="1451"/>
      <c r="EA551" s="1451"/>
      <c r="EB551" s="1451"/>
      <c r="EC551" s="1451"/>
      <c r="ED551" s="1451"/>
      <c r="EE551" s="1451"/>
      <c r="EF551" s="1451"/>
      <c r="EG551" s="1451"/>
      <c r="EH551" s="1451"/>
      <c r="EI551" s="1451"/>
      <c r="EJ551" s="1451"/>
      <c r="EK551" s="1451"/>
      <c r="EL551" s="1451"/>
      <c r="EM551" s="1451"/>
      <c r="EN551" s="1451"/>
      <c r="EO551" s="1451"/>
      <c r="EP551" s="1451"/>
      <c r="EQ551" s="1451"/>
      <c r="ER551" s="1451"/>
      <c r="ES551" s="1451"/>
      <c r="ET551" s="1451"/>
      <c r="EU551" s="1451"/>
      <c r="EV551" s="1451"/>
      <c r="EW551" s="1451"/>
      <c r="EX551" s="1451"/>
      <c r="EY551" s="1451"/>
      <c r="EZ551" s="1451"/>
      <c r="FA551" s="1451"/>
      <c r="FB551" s="1451"/>
      <c r="FC551" s="1451"/>
      <c r="FD551"/>
      <c r="FE551"/>
      <c r="FF551"/>
      <c r="FG551"/>
      <c r="FH551"/>
      <c r="FI551"/>
    </row>
    <row r="552" spans="1:165" s="33" customFormat="1">
      <c r="A552" s="58"/>
      <c r="B552" s="58" t="s">
        <v>181</v>
      </c>
      <c r="C552" s="58"/>
      <c r="D552" s="58"/>
      <c r="E552" s="1487"/>
      <c r="F552" s="1487"/>
      <c r="G552" s="1487"/>
      <c r="H552" s="1487"/>
      <c r="I552" s="1487"/>
      <c r="J552" s="1487"/>
      <c r="K552" s="1487"/>
      <c r="L552" s="1487"/>
      <c r="M552" s="1487"/>
      <c r="N552" s="1487"/>
      <c r="O552" s="1487"/>
      <c r="P552" s="1487"/>
      <c r="Q552" s="1487"/>
      <c r="R552" s="1487"/>
      <c r="S552" s="1487"/>
      <c r="T552" s="1487"/>
      <c r="U552" s="1487"/>
      <c r="V552" s="1487"/>
      <c r="W552" s="1487"/>
      <c r="X552" s="1487"/>
      <c r="Y552" s="1487"/>
      <c r="Z552" s="1487"/>
      <c r="AA552" s="1487"/>
      <c r="AB552" s="1487"/>
      <c r="AC552" s="1487"/>
      <c r="AD552" s="1487"/>
      <c r="AE552" s="1487"/>
      <c r="AF552" s="1487"/>
      <c r="AG552" s="1487"/>
      <c r="AH552" s="1487"/>
      <c r="AI552" s="1487"/>
      <c r="AJ552" s="1487"/>
      <c r="AK552" s="1487"/>
      <c r="AL552" s="1487"/>
      <c r="AM552" s="1487">
        <f>AM62</f>
        <v>0.15331801267867182</v>
      </c>
      <c r="AN552" s="1487">
        <f>AN62</f>
        <v>0.15331801267867182</v>
      </c>
      <c r="AO552" s="1487">
        <f>AO62</f>
        <v>0.1268546050480239</v>
      </c>
      <c r="AP552" s="1487"/>
      <c r="AQ552" s="1487">
        <f>AQ62</f>
        <v>0.16107382550335569</v>
      </c>
      <c r="AR552" s="1487"/>
      <c r="AS552" s="1487">
        <f>AS62</f>
        <v>0.19494667227922122</v>
      </c>
      <c r="AT552" s="1487">
        <f>AT62</f>
        <v>0.16589955614145763</v>
      </c>
      <c r="AU552" s="1487"/>
      <c r="AV552" s="1487">
        <f>AV62</f>
        <v>0.20455631315499237</v>
      </c>
      <c r="AW552" s="1487"/>
      <c r="AX552" s="1487">
        <f>AX62</f>
        <v>0.12347049087795499</v>
      </c>
      <c r="AY552" s="1487">
        <f>AY62</f>
        <v>0.21385751664293048</v>
      </c>
      <c r="AZ552" s="1487"/>
      <c r="BA552" s="1487"/>
      <c r="BB552" s="1487"/>
      <c r="BC552" s="1487">
        <f>BC62</f>
        <v>0.17922285757068121</v>
      </c>
      <c r="BD552" s="1487">
        <f>BD62</f>
        <v>0.18410661150719307</v>
      </c>
      <c r="BE552" s="1487"/>
      <c r="BF552" s="1487">
        <f>BF62</f>
        <v>0.17420984726503541</v>
      </c>
      <c r="BG552" s="1487"/>
      <c r="BH552" s="1487">
        <f>BH62</f>
        <v>0.13937791827910098</v>
      </c>
      <c r="BI552" s="1487">
        <f>BI62</f>
        <v>0.146882671047046</v>
      </c>
      <c r="BJ552" s="1487"/>
      <c r="BK552" s="1487"/>
      <c r="BL552" s="1487"/>
      <c r="BM552" s="1487"/>
      <c r="BN552" s="1487"/>
      <c r="BO552" s="1487">
        <f>BO62</f>
        <v>0.244035311392928</v>
      </c>
      <c r="BP552" s="1487"/>
      <c r="BQ552" s="1487"/>
      <c r="BR552" s="1487"/>
      <c r="BS552" s="1487"/>
      <c r="BT552" s="1487"/>
      <c r="BU552" s="1487"/>
      <c r="BV552" s="1487">
        <f>BV61</f>
        <v>511.36799999999999</v>
      </c>
      <c r="BW552" s="1487">
        <f t="shared" ref="BW552:DT552" si="1094">BW61</f>
        <v>494.31</v>
      </c>
      <c r="BX552" s="1487">
        <f t="shared" si="1094"/>
        <v>1005.678</v>
      </c>
      <c r="BY552" s="1487">
        <f t="shared" si="1094"/>
        <v>637.62900000000002</v>
      </c>
      <c r="BZ552" s="1487">
        <f t="shared" si="1094"/>
        <v>640.33210510000015</v>
      </c>
      <c r="CA552" s="1487">
        <f t="shared" si="1094"/>
        <v>1277.9611051000002</v>
      </c>
      <c r="CB552" s="1487">
        <f t="shared" si="1094"/>
        <v>807.83575000000008</v>
      </c>
      <c r="CC552" s="1487">
        <f t="shared" si="1094"/>
        <v>572.70474999999999</v>
      </c>
      <c r="CD552" s="1487">
        <f t="shared" si="1094"/>
        <v>1380.5405000000001</v>
      </c>
      <c r="CE552" s="1487">
        <f t="shared" si="1094"/>
        <v>649.19100000000003</v>
      </c>
      <c r="CF552" s="1487">
        <f t="shared" si="1094"/>
        <v>560.29762872660967</v>
      </c>
      <c r="CG552" s="1487">
        <f t="shared" si="1094"/>
        <v>1209.4886287266097</v>
      </c>
      <c r="CH552" s="1487">
        <f t="shared" si="1094"/>
        <v>648.69999999999993</v>
      </c>
      <c r="CI552" s="1487">
        <f t="shared" si="1094"/>
        <v>630.17241733751473</v>
      </c>
      <c r="CJ552" s="1487">
        <f t="shared" si="1094"/>
        <v>1278.8724173375147</v>
      </c>
      <c r="CK552" s="1487">
        <f t="shared" si="1094"/>
        <v>802.91024999999991</v>
      </c>
      <c r="CL552" s="1487">
        <f t="shared" si="1094"/>
        <v>713.93754137945234</v>
      </c>
      <c r="CM552" s="1487">
        <f t="shared" si="1094"/>
        <v>1516.8477913794522</v>
      </c>
      <c r="CN552" s="1487">
        <f t="shared" si="1094"/>
        <v>833</v>
      </c>
      <c r="CO552" s="1487">
        <f t="shared" si="1094"/>
        <v>833.60000000000014</v>
      </c>
      <c r="CP552" s="1487">
        <f t="shared" si="1094"/>
        <v>1666.6000000000001</v>
      </c>
      <c r="CQ552" s="1487">
        <f t="shared" si="1094"/>
        <v>890.59999999999991</v>
      </c>
      <c r="CR552" s="1487">
        <f t="shared" si="1094"/>
        <v>914.40000000000009</v>
      </c>
      <c r="CS552" s="1487">
        <f t="shared" si="1094"/>
        <v>1805</v>
      </c>
      <c r="CT552" s="1487">
        <f t="shared" si="1094"/>
        <v>824.34936488726157</v>
      </c>
      <c r="CU552" s="1487">
        <f t="shared" si="1094"/>
        <v>740.65063511273866</v>
      </c>
      <c r="CV552" s="1487">
        <f t="shared" si="1094"/>
        <v>1565.0000000000002</v>
      </c>
      <c r="CW552" s="1487">
        <f t="shared" si="1094"/>
        <v>1125</v>
      </c>
      <c r="CX552" s="1487">
        <f t="shared" si="1094"/>
        <v>725.3</v>
      </c>
      <c r="CY552" s="1487">
        <f t="shared" si="1094"/>
        <v>1850.3</v>
      </c>
      <c r="CZ552" s="1487">
        <f t="shared" si="1094"/>
        <v>1502.3090930720516</v>
      </c>
      <c r="DA552" s="1487">
        <f t="shared" si="1094"/>
        <v>935.7909069279483</v>
      </c>
      <c r="DB552" s="1487">
        <f t="shared" si="1094"/>
        <v>2438.1</v>
      </c>
      <c r="DC552" s="1487">
        <f t="shared" si="1094"/>
        <v>1589.2</v>
      </c>
      <c r="DD552" s="1487">
        <f t="shared" si="1094"/>
        <v>1017.1000000000001</v>
      </c>
      <c r="DE552" s="1487">
        <f t="shared" si="1094"/>
        <v>2606.3000000000002</v>
      </c>
      <c r="DF552" s="1487">
        <f t="shared" si="1094"/>
        <v>1668.4190000000001</v>
      </c>
      <c r="DG552" s="1487">
        <f t="shared" si="1094"/>
        <v>1120.6110874999997</v>
      </c>
      <c r="DH552" s="1487">
        <f t="shared" si="1094"/>
        <v>2789.0300874999998</v>
      </c>
      <c r="DI552" s="1487">
        <f t="shared" si="1094"/>
        <v>2405.831545</v>
      </c>
      <c r="DJ552" s="1487">
        <f t="shared" si="1094"/>
        <v>840.85427625000011</v>
      </c>
      <c r="DK552" s="1487">
        <f t="shared" si="1094"/>
        <v>3246.6858212500001</v>
      </c>
      <c r="DL552" s="1487">
        <f t="shared" si="1094"/>
        <v>2278.6235962499995</v>
      </c>
      <c r="DM552" s="1487">
        <f t="shared" si="1094"/>
        <v>900.47640375000083</v>
      </c>
      <c r="DN552" s="1487">
        <f t="shared" si="1094"/>
        <v>3179.1000000000004</v>
      </c>
      <c r="DO552" s="1487">
        <f t="shared" si="1094"/>
        <v>2459.3018085000003</v>
      </c>
      <c r="DP552" s="1487">
        <f t="shared" si="1094"/>
        <v>1303.9963594942442</v>
      </c>
      <c r="DQ552" s="1487">
        <f t="shared" si="1094"/>
        <v>3763.2981679942445</v>
      </c>
      <c r="DR552" s="1487">
        <f t="shared" si="1094"/>
        <v>2844.9791249999998</v>
      </c>
      <c r="DS552" s="1487">
        <f t="shared" si="1094"/>
        <v>1461.0284750000001</v>
      </c>
      <c r="DT552" s="1487">
        <f t="shared" si="1094"/>
        <v>4306.0075999999999</v>
      </c>
      <c r="DU552" s="1487">
        <f>DU61</f>
        <v>2932</v>
      </c>
      <c r="DV552" s="1487">
        <f t="shared" ref="DV552:DZ552" si="1095">DV61</f>
        <v>1640</v>
      </c>
      <c r="DW552" s="1487">
        <f t="shared" si="1095"/>
        <v>4572</v>
      </c>
      <c r="DX552" s="1487">
        <f t="shared" si="1095"/>
        <v>2854</v>
      </c>
      <c r="DY552" s="1487">
        <f t="shared" si="1095"/>
        <v>2153.0171988996017</v>
      </c>
      <c r="DZ552" s="1487">
        <f t="shared" si="1095"/>
        <v>5007.0171988996017</v>
      </c>
      <c r="EA552" s="1487">
        <f t="shared" ref="EA552:EF552" si="1096">EA61</f>
        <v>3018.6757380767485</v>
      </c>
      <c r="EB552" s="1487">
        <f t="shared" si="1096"/>
        <v>2246.8012172453191</v>
      </c>
      <c r="EC552" s="1487">
        <f t="shared" si="1096"/>
        <v>5265.4769553220676</v>
      </c>
      <c r="ED552" s="1487">
        <f t="shared" si="1096"/>
        <v>3249.5087308111761</v>
      </c>
      <c r="EE552" s="1487">
        <f t="shared" si="1096"/>
        <v>2414.3838689007971</v>
      </c>
      <c r="EF552" s="1487">
        <f t="shared" si="1096"/>
        <v>5663.8925997119732</v>
      </c>
      <c r="EG552" s="1487">
        <f t="shared" ref="EG552:EL552" si="1097">EG61</f>
        <v>3496.6721707886104</v>
      </c>
      <c r="EH552" s="1487">
        <f t="shared" si="1097"/>
        <v>2649.9814847776647</v>
      </c>
      <c r="EI552" s="1487">
        <f t="shared" si="1097"/>
        <v>6146.6536555662751</v>
      </c>
      <c r="EJ552" s="1487">
        <f t="shared" si="1097"/>
        <v>3766.3132453942872</v>
      </c>
      <c r="EK552" s="1487">
        <f t="shared" si="1097"/>
        <v>2909.2286988498354</v>
      </c>
      <c r="EL552" s="1487">
        <f t="shared" si="1097"/>
        <v>6675.5419442441225</v>
      </c>
      <c r="EM552" s="1487">
        <f t="shared" ref="EM552:ER552" si="1098">EM61</f>
        <v>4080.497533636672</v>
      </c>
      <c r="EN552" s="1487">
        <f t="shared" si="1098"/>
        <v>3155.6126883638922</v>
      </c>
      <c r="EO552" s="1487">
        <f t="shared" si="1098"/>
        <v>7236.1102220005641</v>
      </c>
      <c r="EP552" s="1487">
        <f t="shared" si="1098"/>
        <v>4375.6651036605917</v>
      </c>
      <c r="EQ552" s="1487">
        <f t="shared" si="1098"/>
        <v>3431.7631338497276</v>
      </c>
      <c r="ER552" s="1487">
        <f t="shared" si="1098"/>
        <v>7807.4282375103194</v>
      </c>
      <c r="ES552" s="1487">
        <f t="shared" ref="ES552:FA552" si="1099">ES61</f>
        <v>4654.6915042635637</v>
      </c>
      <c r="ET552" s="1487">
        <f t="shared" si="1099"/>
        <v>3683.8132893068332</v>
      </c>
      <c r="EU552" s="1487">
        <f t="shared" si="1099"/>
        <v>8338.5047935703969</v>
      </c>
      <c r="EV552" s="1487">
        <f t="shared" si="1099"/>
        <v>4907.1596494561909</v>
      </c>
      <c r="EW552" s="1487">
        <f t="shared" si="1099"/>
        <v>3904.6621734758646</v>
      </c>
      <c r="EX552" s="1487">
        <f t="shared" si="1099"/>
        <v>8811.8218229320555</v>
      </c>
      <c r="EY552" s="1487">
        <f t="shared" si="1099"/>
        <v>5175.3975416541389</v>
      </c>
      <c r="EZ552" s="1487">
        <f t="shared" si="1099"/>
        <v>4140.0462454736016</v>
      </c>
      <c r="FA552" s="1487">
        <f t="shared" si="1099"/>
        <v>9315.4437871277405</v>
      </c>
      <c r="FB552" s="1487"/>
      <c r="FC552" s="1487"/>
      <c r="FD552"/>
      <c r="FE552"/>
      <c r="FF552"/>
      <c r="FG552"/>
      <c r="FH552"/>
      <c r="FI552"/>
    </row>
    <row r="553" spans="1:165" s="33" customFormat="1">
      <c r="A553" s="58"/>
      <c r="B553" s="58" t="s">
        <v>746</v>
      </c>
      <c r="C553" s="58"/>
      <c r="D553" s="58"/>
      <c r="E553" s="1487"/>
      <c r="F553" s="1487"/>
      <c r="G553" s="1487"/>
      <c r="H553" s="1487"/>
      <c r="I553" s="1487"/>
      <c r="J553" s="1487"/>
      <c r="K553" s="1487">
        <f>K83</f>
        <v>0</v>
      </c>
      <c r="L553" s="1487"/>
      <c r="M553" s="1487">
        <f>M83</f>
        <v>0</v>
      </c>
      <c r="N553" s="1487"/>
      <c r="O553" s="1487">
        <f>O83</f>
        <v>0</v>
      </c>
      <c r="P553" s="1487">
        <f>P83</f>
        <v>0</v>
      </c>
      <c r="Q553" s="1487"/>
      <c r="R553" s="1487">
        <f>R83</f>
        <v>0</v>
      </c>
      <c r="S553" s="1487"/>
      <c r="T553" s="1487">
        <f>T83</f>
        <v>0</v>
      </c>
      <c r="U553" s="1487">
        <f>U83</f>
        <v>0</v>
      </c>
      <c r="V553" s="1487"/>
      <c r="W553" s="1487">
        <f>W83</f>
        <v>0</v>
      </c>
      <c r="X553" s="1487"/>
      <c r="Y553" s="1487">
        <f>Y83</f>
        <v>0</v>
      </c>
      <c r="Z553" s="1487">
        <f>Z83</f>
        <v>0</v>
      </c>
      <c r="AA553" s="1487"/>
      <c r="AB553" s="1487">
        <f>AB83</f>
        <v>0</v>
      </c>
      <c r="AC553" s="1487"/>
      <c r="AD553" s="1487">
        <f>AD83</f>
        <v>0</v>
      </c>
      <c r="AE553" s="1487">
        <f>AE83</f>
        <v>0</v>
      </c>
      <c r="AF553" s="1487"/>
      <c r="AG553" s="1487">
        <f>AG83</f>
        <v>0</v>
      </c>
      <c r="AH553" s="1487"/>
      <c r="AI553" s="1487">
        <f t="shared" ref="AI553:AO553" si="1100">AI83</f>
        <v>0</v>
      </c>
      <c r="AJ553" s="1487">
        <f t="shared" si="1100"/>
        <v>0</v>
      </c>
      <c r="AK553" s="1487">
        <f t="shared" si="1100"/>
        <v>0</v>
      </c>
      <c r="AL553" s="1487">
        <f t="shared" si="1100"/>
        <v>0</v>
      </c>
      <c r="AM553" s="1487">
        <f t="shared" si="1100"/>
        <v>0</v>
      </c>
      <c r="AN553" s="1487">
        <f t="shared" si="1100"/>
        <v>0</v>
      </c>
      <c r="AO553" s="1487">
        <f t="shared" si="1100"/>
        <v>0</v>
      </c>
      <c r="AP553" s="1487"/>
      <c r="AQ553" s="1487">
        <f>AQ83</f>
        <v>0</v>
      </c>
      <c r="AR553" s="1487"/>
      <c r="AS553" s="1487">
        <f>AS83</f>
        <v>0</v>
      </c>
      <c r="AT553" s="1487">
        <f>AT83</f>
        <v>0</v>
      </c>
      <c r="AU553" s="1487"/>
      <c r="AV553" s="1487">
        <f>AV83</f>
        <v>0</v>
      </c>
      <c r="AW553" s="1487"/>
      <c r="AX553" s="1487">
        <f>AX83</f>
        <v>0</v>
      </c>
      <c r="AY553" s="1487">
        <f>AY83</f>
        <v>0</v>
      </c>
      <c r="AZ553" s="1487"/>
      <c r="BA553" s="1487">
        <f>BA83</f>
        <v>0</v>
      </c>
      <c r="BB553" s="1487"/>
      <c r="BC553" s="1487">
        <f>BC83</f>
        <v>0</v>
      </c>
      <c r="BD553" s="1487">
        <f>BD83</f>
        <v>0</v>
      </c>
      <c r="BE553" s="1487"/>
      <c r="BF553" s="1487">
        <f>BF83</f>
        <v>0</v>
      </c>
      <c r="BG553" s="1487"/>
      <c r="BH553" s="1487">
        <f>BH83</f>
        <v>0</v>
      </c>
      <c r="BI553" s="1487">
        <f>BI83</f>
        <v>0</v>
      </c>
      <c r="BJ553" s="1487"/>
      <c r="BK553" s="1487">
        <f>BK83</f>
        <v>0</v>
      </c>
      <c r="BL553" s="1487"/>
      <c r="BM553" s="1487">
        <f t="shared" ref="BM553:BU553" si="1101">BM83</f>
        <v>0</v>
      </c>
      <c r="BN553" s="1487">
        <f t="shared" si="1101"/>
        <v>0</v>
      </c>
      <c r="BO553" s="1487">
        <f t="shared" si="1101"/>
        <v>0</v>
      </c>
      <c r="BP553" s="1487">
        <f t="shared" si="1101"/>
        <v>0</v>
      </c>
      <c r="BQ553" s="1487">
        <f t="shared" si="1101"/>
        <v>0</v>
      </c>
      <c r="BR553" s="1487">
        <f t="shared" si="1101"/>
        <v>0</v>
      </c>
      <c r="BS553" s="1487">
        <f t="shared" si="1101"/>
        <v>0</v>
      </c>
      <c r="BT553" s="1487">
        <f t="shared" si="1101"/>
        <v>0</v>
      </c>
      <c r="BU553" s="1487">
        <f t="shared" si="1101"/>
        <v>0</v>
      </c>
      <c r="BV553" s="1487">
        <f>BV81</f>
        <v>142.36600000000001</v>
      </c>
      <c r="BW553" s="1487">
        <f t="shared" ref="BW553:DT553" si="1102">BW81</f>
        <v>107.85599999999999</v>
      </c>
      <c r="BX553" s="1487">
        <f t="shared" si="1102"/>
        <v>250.22200000000001</v>
      </c>
      <c r="BY553" s="1487">
        <f t="shared" si="1102"/>
        <v>137.989</v>
      </c>
      <c r="BZ553" s="1487">
        <f t="shared" si="1102"/>
        <v>85.825999999999993</v>
      </c>
      <c r="CA553" s="1487">
        <f t="shared" si="1102"/>
        <v>223.815</v>
      </c>
      <c r="CB553" s="1487">
        <f t="shared" si="1102"/>
        <v>193.95</v>
      </c>
      <c r="CC553" s="1487">
        <f t="shared" si="1102"/>
        <v>132.60399999999998</v>
      </c>
      <c r="CD553" s="1487">
        <f t="shared" si="1102"/>
        <v>326.55399999999997</v>
      </c>
      <c r="CE553" s="1487">
        <f t="shared" si="1102"/>
        <v>146.774</v>
      </c>
      <c r="CF553" s="1487">
        <f t="shared" si="1102"/>
        <v>110.74399999999997</v>
      </c>
      <c r="CG553" s="1487">
        <f t="shared" si="1102"/>
        <v>257.51799999999997</v>
      </c>
      <c r="CH553" s="1487">
        <f t="shared" si="1102"/>
        <v>129.6</v>
      </c>
      <c r="CI553" s="1487">
        <f t="shared" si="1102"/>
        <v>116.5</v>
      </c>
      <c r="CJ553" s="1487">
        <f t="shared" si="1102"/>
        <v>246.1</v>
      </c>
      <c r="CK553" s="1487">
        <f t="shared" si="1102"/>
        <v>150.80000000000001</v>
      </c>
      <c r="CL553" s="1487">
        <f t="shared" si="1102"/>
        <v>100.29999999999998</v>
      </c>
      <c r="CM553" s="1487">
        <f t="shared" si="1102"/>
        <v>251.1</v>
      </c>
      <c r="CN553" s="1487">
        <f t="shared" si="1102"/>
        <v>156.69999999999999</v>
      </c>
      <c r="CO553" s="1487">
        <f t="shared" si="1102"/>
        <v>140.60000000000002</v>
      </c>
      <c r="CP553" s="1487">
        <f t="shared" si="1102"/>
        <v>297.3</v>
      </c>
      <c r="CQ553" s="1487">
        <f t="shared" si="1102"/>
        <v>164.8</v>
      </c>
      <c r="CR553" s="1487">
        <f t="shared" si="1102"/>
        <v>170.2</v>
      </c>
      <c r="CS553" s="1487">
        <f t="shared" si="1102"/>
        <v>335</v>
      </c>
      <c r="CT553" s="1487">
        <f t="shared" si="1102"/>
        <v>175.9</v>
      </c>
      <c r="CU553" s="1487">
        <f t="shared" si="1102"/>
        <v>141.99999999999997</v>
      </c>
      <c r="CV553" s="1487">
        <f t="shared" si="1102"/>
        <v>317.89999999999998</v>
      </c>
      <c r="CW553" s="1487">
        <f t="shared" si="1102"/>
        <v>251.00000000000011</v>
      </c>
      <c r="CX553" s="1487">
        <f t="shared" si="1102"/>
        <v>103.48545389986958</v>
      </c>
      <c r="CY553" s="1487">
        <f t="shared" si="1102"/>
        <v>354.4854538998697</v>
      </c>
      <c r="CZ553" s="1487">
        <f t="shared" si="1102"/>
        <v>337.79999999999995</v>
      </c>
      <c r="DA553" s="1487">
        <f t="shared" si="1102"/>
        <v>214.5</v>
      </c>
      <c r="DB553" s="1487">
        <f t="shared" si="1102"/>
        <v>552.29999999999995</v>
      </c>
      <c r="DC553" s="1487">
        <f t="shared" si="1102"/>
        <v>299.7</v>
      </c>
      <c r="DD553" s="1487">
        <f t="shared" si="1102"/>
        <v>122.69999999999999</v>
      </c>
      <c r="DE553" s="1487">
        <f t="shared" si="1102"/>
        <v>422.4</v>
      </c>
      <c r="DF553" s="1487">
        <f t="shared" si="1102"/>
        <v>313.3</v>
      </c>
      <c r="DG553" s="1487">
        <f t="shared" si="1102"/>
        <v>156.90000000000003</v>
      </c>
      <c r="DH553" s="1487">
        <f t="shared" si="1102"/>
        <v>470.20000000000005</v>
      </c>
      <c r="DI553" s="1487">
        <f t="shared" si="1102"/>
        <v>440.9</v>
      </c>
      <c r="DJ553" s="1487">
        <f t="shared" si="1102"/>
        <v>151.80000000000007</v>
      </c>
      <c r="DK553" s="1487">
        <f t="shared" si="1102"/>
        <v>592.70000000000005</v>
      </c>
      <c r="DL553" s="1487">
        <f t="shared" si="1102"/>
        <v>384.1</v>
      </c>
      <c r="DM553" s="1487">
        <f t="shared" si="1102"/>
        <v>169.69999999999993</v>
      </c>
      <c r="DN553" s="1487">
        <f t="shared" si="1102"/>
        <v>553.79999999999995</v>
      </c>
      <c r="DO553" s="1487">
        <f t="shared" si="1102"/>
        <v>357.6</v>
      </c>
      <c r="DP553" s="1487">
        <f t="shared" si="1102"/>
        <v>146.39999999999969</v>
      </c>
      <c r="DQ553" s="1487">
        <f t="shared" si="1102"/>
        <v>503.99999999999972</v>
      </c>
      <c r="DR553" s="1487">
        <f t="shared" si="1102"/>
        <v>490.99491999999998</v>
      </c>
      <c r="DS553" s="1487">
        <f t="shared" si="1102"/>
        <v>231.00508000000002</v>
      </c>
      <c r="DT553" s="1487">
        <f t="shared" si="1102"/>
        <v>722</v>
      </c>
      <c r="DU553" s="1487">
        <f>DU81</f>
        <v>508.0000000000004</v>
      </c>
      <c r="DV553" s="1487">
        <f t="shared" ref="DV553:DZ553" si="1103">DV81</f>
        <v>136.9999999999996</v>
      </c>
      <c r="DW553" s="1487">
        <f t="shared" si="1103"/>
        <v>645</v>
      </c>
      <c r="DX553" s="1487">
        <f t="shared" si="1103"/>
        <v>537</v>
      </c>
      <c r="DY553" s="1487">
        <f t="shared" si="1103"/>
        <v>319.05706823705202</v>
      </c>
      <c r="DZ553" s="1487">
        <f t="shared" si="1103"/>
        <v>856.05706823705202</v>
      </c>
      <c r="EA553" s="1487">
        <f t="shared" ref="EA553:EF553" si="1104">EA81</f>
        <v>523.87567452996564</v>
      </c>
      <c r="EB553" s="1487">
        <f t="shared" si="1104"/>
        <v>378.66068441742152</v>
      </c>
      <c r="EC553" s="1487">
        <f t="shared" si="1104"/>
        <v>902.53635894738716</v>
      </c>
      <c r="ED553" s="1487">
        <f t="shared" si="1104"/>
        <v>567.86499345686707</v>
      </c>
      <c r="EE553" s="1487">
        <f t="shared" si="1104"/>
        <v>410.73743211474039</v>
      </c>
      <c r="EF553" s="1487">
        <f t="shared" si="1104"/>
        <v>978.60242557160745</v>
      </c>
      <c r="EG553" s="1487">
        <f t="shared" ref="EG553:EL553" si="1105">EG81</f>
        <v>615.0393526468963</v>
      </c>
      <c r="EH553" s="1487">
        <f t="shared" si="1105"/>
        <v>456.20165860920065</v>
      </c>
      <c r="EI553" s="1487">
        <f t="shared" si="1105"/>
        <v>1071.241011256097</v>
      </c>
      <c r="EJ553" s="1487">
        <f t="shared" si="1105"/>
        <v>668.34584679189038</v>
      </c>
      <c r="EK553" s="1487">
        <f t="shared" si="1105"/>
        <v>507.74897689085037</v>
      </c>
      <c r="EL553" s="1487">
        <f t="shared" si="1105"/>
        <v>1176.0948236827408</v>
      </c>
      <c r="EM553" s="1487">
        <f t="shared" ref="EM553:ER553" si="1106">EM81</f>
        <v>730.91690192060969</v>
      </c>
      <c r="EN553" s="1487">
        <f t="shared" si="1106"/>
        <v>557.84143628245988</v>
      </c>
      <c r="EO553" s="1487">
        <f t="shared" si="1106"/>
        <v>1288.7583382030696</v>
      </c>
      <c r="EP553" s="1487">
        <f t="shared" si="1106"/>
        <v>790.89800007154213</v>
      </c>
      <c r="EQ553" s="1487">
        <f t="shared" si="1106"/>
        <v>614.36894256179335</v>
      </c>
      <c r="ER553" s="1487">
        <f t="shared" si="1106"/>
        <v>1405.2669426333355</v>
      </c>
      <c r="ES553" s="1487">
        <f t="shared" ref="ES553:FA553" si="1107">ES81</f>
        <v>848.24814815197703</v>
      </c>
      <c r="ET553" s="1487">
        <f t="shared" si="1107"/>
        <v>666.74139342688215</v>
      </c>
      <c r="EU553" s="1487">
        <f t="shared" si="1107"/>
        <v>1514.9895415788592</v>
      </c>
      <c r="EV553" s="1487">
        <f t="shared" si="1107"/>
        <v>900.91871306976259</v>
      </c>
      <c r="EW553" s="1487">
        <f t="shared" si="1107"/>
        <v>713.54641105403994</v>
      </c>
      <c r="EX553" s="1487">
        <f t="shared" si="1107"/>
        <v>1614.4651241238025</v>
      </c>
      <c r="EY553" s="1487">
        <f t="shared" si="1107"/>
        <v>956.89230354721349</v>
      </c>
      <c r="EZ553" s="1487">
        <f t="shared" si="1107"/>
        <v>763.44858635284368</v>
      </c>
      <c r="FA553" s="1487">
        <f t="shared" si="1107"/>
        <v>1720.3408899000572</v>
      </c>
      <c r="FB553" s="1487"/>
      <c r="FC553" s="1487"/>
      <c r="FD553"/>
      <c r="FE553"/>
      <c r="FF553"/>
      <c r="FG553"/>
      <c r="FH553"/>
      <c r="FI553"/>
    </row>
    <row r="554" spans="1:165" s="33" customFormat="1">
      <c r="A554" s="58"/>
      <c r="B554" s="58" t="s">
        <v>747</v>
      </c>
      <c r="C554" s="58"/>
      <c r="D554" s="58"/>
      <c r="E554" s="1524"/>
      <c r="F554" s="1524"/>
      <c r="G554" s="1524"/>
      <c r="H554" s="1524"/>
      <c r="I554" s="1524"/>
      <c r="J554" s="1524"/>
      <c r="K554" s="1524">
        <f>K76*K84</f>
        <v>0</v>
      </c>
      <c r="L554" s="1524"/>
      <c r="M554" s="1524">
        <f>M76*M84</f>
        <v>0</v>
      </c>
      <c r="N554" s="1524"/>
      <c r="O554" s="1524">
        <f>O76*O84</f>
        <v>0</v>
      </c>
      <c r="P554" s="1524">
        <f>P76*P84</f>
        <v>0</v>
      </c>
      <c r="Q554" s="1524"/>
      <c r="R554" s="1524">
        <f>R76*R84</f>
        <v>0</v>
      </c>
      <c r="S554" s="1524"/>
      <c r="T554" s="1524">
        <f>T76*T84</f>
        <v>0</v>
      </c>
      <c r="U554" s="1524">
        <f>U76*U84</f>
        <v>0</v>
      </c>
      <c r="V554" s="1524"/>
      <c r="W554" s="1524">
        <f>W76*W84</f>
        <v>0</v>
      </c>
      <c r="X554" s="1524"/>
      <c r="Y554" s="1524">
        <f>Y76*Y84</f>
        <v>0</v>
      </c>
      <c r="Z554" s="1524">
        <f>Z76*Z84</f>
        <v>0</v>
      </c>
      <c r="AA554" s="1524"/>
      <c r="AB554" s="1524">
        <f>AB76*AB84</f>
        <v>0</v>
      </c>
      <c r="AC554" s="1524"/>
      <c r="AD554" s="1524">
        <f>AD76*AD84</f>
        <v>0</v>
      </c>
      <c r="AE554" s="1524">
        <f>AE76*AE84</f>
        <v>0</v>
      </c>
      <c r="AF554" s="1524"/>
      <c r="AG554" s="1524">
        <f>AG76*AG84</f>
        <v>0</v>
      </c>
      <c r="AH554" s="1524"/>
      <c r="AI554" s="1524">
        <f t="shared" ref="AI554:AO554" si="1108">AI76*AI84</f>
        <v>0</v>
      </c>
      <c r="AJ554" s="1524">
        <f t="shared" si="1108"/>
        <v>0</v>
      </c>
      <c r="AK554" s="1524">
        <f t="shared" si="1108"/>
        <v>0</v>
      </c>
      <c r="AL554" s="1524">
        <f t="shared" si="1108"/>
        <v>0</v>
      </c>
      <c r="AM554" s="1524">
        <f t="shared" si="1108"/>
        <v>0</v>
      </c>
      <c r="AN554" s="1524">
        <f t="shared" si="1108"/>
        <v>0</v>
      </c>
      <c r="AO554" s="1524">
        <f t="shared" si="1108"/>
        <v>0</v>
      </c>
      <c r="AP554" s="1524"/>
      <c r="AQ554" s="1524">
        <f>AQ76*AQ84</f>
        <v>0</v>
      </c>
      <c r="AR554" s="1524"/>
      <c r="AS554" s="1524">
        <f>AS76*AS84</f>
        <v>0</v>
      </c>
      <c r="AT554" s="1524">
        <f>AT76*AT84</f>
        <v>0</v>
      </c>
      <c r="AU554" s="1524"/>
      <c r="AV554" s="1524">
        <f>AV76*AV84</f>
        <v>0</v>
      </c>
      <c r="AW554" s="1524"/>
      <c r="AX554" s="1524">
        <f>AX76*AX84</f>
        <v>0</v>
      </c>
      <c r="AY554" s="1524">
        <f>AY76*AY84</f>
        <v>0</v>
      </c>
      <c r="AZ554" s="1524"/>
      <c r="BA554" s="1524">
        <f>BA76*BA84</f>
        <v>0</v>
      </c>
      <c r="BB554" s="1524"/>
      <c r="BC554" s="1524">
        <f>BC76*BC84</f>
        <v>0</v>
      </c>
      <c r="BD554" s="1524">
        <f>BD76*BD84</f>
        <v>0</v>
      </c>
      <c r="BE554" s="1524"/>
      <c r="BF554" s="1524">
        <f>BF76*BF84</f>
        <v>0</v>
      </c>
      <c r="BG554" s="1524"/>
      <c r="BH554" s="1524">
        <f>BH76*BH84</f>
        <v>0</v>
      </c>
      <c r="BI554" s="1524">
        <f>BI76*BI84</f>
        <v>0</v>
      </c>
      <c r="BJ554" s="1524"/>
      <c r="BK554" s="1524">
        <f>BK76*BK84</f>
        <v>0</v>
      </c>
      <c r="BL554" s="1524"/>
      <c r="BM554" s="1524">
        <f t="shared" ref="BM554:BU554" si="1109">BM76*BM84</f>
        <v>0</v>
      </c>
      <c r="BN554" s="1524">
        <f t="shared" si="1109"/>
        <v>0</v>
      </c>
      <c r="BO554" s="1524">
        <f t="shared" si="1109"/>
        <v>0</v>
      </c>
      <c r="BP554" s="1524">
        <f t="shared" si="1109"/>
        <v>0</v>
      </c>
      <c r="BQ554" s="1524">
        <f t="shared" si="1109"/>
        <v>0</v>
      </c>
      <c r="BR554" s="1524">
        <f t="shared" si="1109"/>
        <v>0</v>
      </c>
      <c r="BS554" s="1524">
        <f t="shared" si="1109"/>
        <v>0</v>
      </c>
      <c r="BT554" s="1524">
        <f t="shared" si="1109"/>
        <v>0</v>
      </c>
      <c r="BU554" s="1524">
        <f t="shared" si="1109"/>
        <v>0</v>
      </c>
      <c r="BV554" s="1524">
        <f>BV75*BV82</f>
        <v>2.5658661396799798</v>
      </c>
      <c r="BW554" s="1524">
        <f t="shared" ref="BW554:DT554" si="1110">BW75*BW82</f>
        <v>1.3501597205649454</v>
      </c>
      <c r="BX554" s="1524">
        <f t="shared" si="1110"/>
        <v>3.8428609593875791</v>
      </c>
      <c r="BY554" s="1524">
        <f t="shared" si="1110"/>
        <v>-2.941598384611297</v>
      </c>
      <c r="BZ554" s="1524">
        <f t="shared" si="1110"/>
        <v>3.4209001285268332</v>
      </c>
      <c r="CA554" s="1524">
        <f t="shared" si="1110"/>
        <v>1.876797673697383</v>
      </c>
      <c r="CB554" s="1524">
        <f t="shared" si="1110"/>
        <v>-3.63711230994498</v>
      </c>
      <c r="CC554" s="1524">
        <f t="shared" si="1110"/>
        <v>-1.6602604983885192</v>
      </c>
      <c r="CD554" s="1524">
        <f t="shared" si="1110"/>
        <v>-5.2856365100710061</v>
      </c>
      <c r="CE554" s="1524">
        <f t="shared" si="1110"/>
        <v>-2.4811352866895726</v>
      </c>
      <c r="CF554" s="1524">
        <f t="shared" si="1110"/>
        <v>-0.79800689546991843</v>
      </c>
      <c r="CG554" s="1524">
        <f t="shared" si="1110"/>
        <v>-3.2043344221908883</v>
      </c>
      <c r="CH554" s="1524">
        <f t="shared" si="1110"/>
        <v>0</v>
      </c>
      <c r="CI554" s="1524">
        <f t="shared" si="1110"/>
        <v>-3.8392633607137241</v>
      </c>
      <c r="CJ554" s="1524">
        <f t="shared" si="1110"/>
        <v>-4.0621435557086611</v>
      </c>
      <c r="CK554" s="1524">
        <f t="shared" si="1110"/>
        <v>2.4718928295073517</v>
      </c>
      <c r="CL554" s="1524">
        <f t="shared" si="1110"/>
        <v>0.81711763057667719</v>
      </c>
      <c r="CM554" s="1524">
        <f t="shared" si="1110"/>
        <v>3.1396554554862073</v>
      </c>
      <c r="CN554" s="1524">
        <f t="shared" si="1110"/>
        <v>3.046510468594219</v>
      </c>
      <c r="CO554" s="1524">
        <f t="shared" si="1110"/>
        <v>3.0332709814191281</v>
      </c>
      <c r="CP554" s="1524">
        <f t="shared" si="1110"/>
        <v>6.0968459764383223</v>
      </c>
      <c r="CQ554" s="1524">
        <f t="shared" si="1110"/>
        <v>4.0959626604434085</v>
      </c>
      <c r="CR554" s="1524">
        <f t="shared" si="1110"/>
        <v>4.395381114903298</v>
      </c>
      <c r="CS554" s="1524">
        <f t="shared" si="1110"/>
        <v>8.4907834101382491</v>
      </c>
      <c r="CT554" s="1524">
        <f t="shared" si="1110"/>
        <v>6.0670669391926415</v>
      </c>
      <c r="CU554" s="1524">
        <f t="shared" si="1110"/>
        <v>6.3363372093023234</v>
      </c>
      <c r="CV554" s="1524">
        <f t="shared" si="1110"/>
        <v>12.471328528691865</v>
      </c>
      <c r="CW554" s="1524">
        <f t="shared" si="1110"/>
        <v>9.0754377662091841</v>
      </c>
      <c r="CX554" s="1524">
        <f t="shared" si="1110"/>
        <v>6.5794420402684048</v>
      </c>
      <c r="CY554" s="1524">
        <f t="shared" si="1110"/>
        <v>16.495940347970166</v>
      </c>
      <c r="CZ554" s="1524">
        <f t="shared" si="1110"/>
        <v>12.123201769355468</v>
      </c>
      <c r="DA554" s="1524">
        <f t="shared" si="1110"/>
        <v>12.010324974967768</v>
      </c>
      <c r="DB554" s="1524">
        <f t="shared" si="1110"/>
        <v>23.993043135192003</v>
      </c>
      <c r="DC554" s="1524">
        <f t="shared" si="1110"/>
        <v>19.003163516844698</v>
      </c>
      <c r="DD554" s="1524">
        <f t="shared" si="1110"/>
        <v>9.7942659248325139</v>
      </c>
      <c r="DE554" s="1524">
        <f t="shared" si="1110"/>
        <v>29.391721840160599</v>
      </c>
      <c r="DF554" s="1524">
        <f t="shared" si="1110"/>
        <v>14.190906744379674</v>
      </c>
      <c r="DG554" s="1524">
        <f t="shared" si="1110"/>
        <v>11.341832735564564</v>
      </c>
      <c r="DH554" s="1524">
        <f t="shared" si="1110"/>
        <v>26.287133028530327</v>
      </c>
      <c r="DI554" s="1524">
        <f t="shared" si="1110"/>
        <v>20.955245986272153</v>
      </c>
      <c r="DJ554" s="1524">
        <f t="shared" si="1110"/>
        <v>12.405824194747616</v>
      </c>
      <c r="DK554" s="1524">
        <f t="shared" si="1110"/>
        <v>33.148974917012971</v>
      </c>
      <c r="DL554" s="1524">
        <f t="shared" si="1110"/>
        <v>12.498863226886771</v>
      </c>
      <c r="DM554" s="1524">
        <f t="shared" si="1110"/>
        <v>16.999929811708032</v>
      </c>
      <c r="DN554" s="1524">
        <f t="shared" si="1110"/>
        <v>27.892874424944615</v>
      </c>
      <c r="DO554" s="1524">
        <f t="shared" si="1110"/>
        <v>27.360289359999996</v>
      </c>
      <c r="DP554" s="1524">
        <f t="shared" si="1110"/>
        <v>33.904908494052471</v>
      </c>
      <c r="DQ554" s="1524">
        <f t="shared" si="1110"/>
        <v>62.988088793940037</v>
      </c>
      <c r="DR554" s="1524">
        <f t="shared" si="1110"/>
        <v>44.858477845000003</v>
      </c>
      <c r="DS554" s="1524">
        <f t="shared" si="1110"/>
        <v>39.116437956341123</v>
      </c>
      <c r="DT554" s="1524">
        <f t="shared" si="1110"/>
        <v>83.914757234042568</v>
      </c>
      <c r="DU554" s="1524">
        <f>DU75*DU82</f>
        <v>42.460843373494008</v>
      </c>
      <c r="DV554" s="1524">
        <f t="shared" ref="DV554:DZ554" si="1111">DV75*DV82</f>
        <v>18.370898716119775</v>
      </c>
      <c r="DW554" s="1524">
        <f t="shared" si="1111"/>
        <v>65.167570231641207</v>
      </c>
      <c r="DX554" s="1524">
        <f t="shared" si="1111"/>
        <v>40.563266871165645</v>
      </c>
      <c r="DY554" s="1524">
        <f t="shared" si="1111"/>
        <v>33.123656667282894</v>
      </c>
      <c r="DZ554" s="1524">
        <f t="shared" si="1111"/>
        <v>74.86</v>
      </c>
      <c r="EA554" s="1524">
        <f t="shared" ref="EA554:EF554" si="1112">EA75*EA82</f>
        <v>36.691575107302675</v>
      </c>
      <c r="EB554" s="1524">
        <f t="shared" si="1112"/>
        <v>36.676293003130063</v>
      </c>
      <c r="EC554" s="1524">
        <f t="shared" si="1112"/>
        <v>73.367868110432738</v>
      </c>
      <c r="ED554" s="1524">
        <f t="shared" si="1112"/>
        <v>35.976043062940697</v>
      </c>
      <c r="EE554" s="1524">
        <f t="shared" si="1112"/>
        <v>35.718275021966832</v>
      </c>
      <c r="EF554" s="1524">
        <f t="shared" si="1112"/>
        <v>71.694318084907536</v>
      </c>
      <c r="EG554" s="1524">
        <f t="shared" ref="EG554:EL554" si="1113">EG75*EG82</f>
        <v>34.9881188355956</v>
      </c>
      <c r="EH554" s="1524">
        <f t="shared" si="1113"/>
        <v>34.217635023981991</v>
      </c>
      <c r="EI554" s="1524">
        <f t="shared" si="1113"/>
        <v>69.205753859577598</v>
      </c>
      <c r="EJ554" s="1524">
        <f t="shared" si="1113"/>
        <v>32.083090031883323</v>
      </c>
      <c r="EK554" s="1524">
        <f t="shared" si="1113"/>
        <v>31.05656986102013</v>
      </c>
      <c r="EL554" s="1524">
        <f t="shared" si="1113"/>
        <v>63.139659892903445</v>
      </c>
      <c r="EM554" s="1524">
        <f t="shared" ref="EM554:ER554" si="1114">EM75*EM82</f>
        <v>28.39215347557586</v>
      </c>
      <c r="EN554" s="1524">
        <f t="shared" si="1114"/>
        <v>27.010922977565897</v>
      </c>
      <c r="EO554" s="1524">
        <f t="shared" si="1114"/>
        <v>55.403076453141757</v>
      </c>
      <c r="EP554" s="1524">
        <f t="shared" si="1114"/>
        <v>23.644842744228612</v>
      </c>
      <c r="EQ554" s="1524">
        <f t="shared" si="1114"/>
        <v>22.097561870409269</v>
      </c>
      <c r="ER554" s="1524">
        <f t="shared" si="1114"/>
        <v>45.742404614637884</v>
      </c>
      <c r="ES554" s="1524">
        <f t="shared" ref="ES554:FA554" si="1115">ES75*ES82</f>
        <v>18.392427198983103</v>
      </c>
      <c r="ET554" s="1524">
        <f t="shared" si="1115"/>
        <v>16.705119662821957</v>
      </c>
      <c r="EU554" s="1524">
        <f t="shared" si="1115"/>
        <v>35.097546861805064</v>
      </c>
      <c r="EV554" s="1524">
        <f t="shared" si="1115"/>
        <v>12.71669341354252</v>
      </c>
      <c r="EW554" s="1524">
        <f t="shared" si="1115"/>
        <v>10.893112089434331</v>
      </c>
      <c r="EX554" s="1524">
        <f t="shared" si="1115"/>
        <v>23.609805502976851</v>
      </c>
      <c r="EY554" s="1524">
        <f t="shared" si="1115"/>
        <v>6.6736301895283621</v>
      </c>
      <c r="EZ554" s="1524">
        <f t="shared" si="1115"/>
        <v>4.6829485901733561</v>
      </c>
      <c r="FA554" s="1524">
        <f t="shared" si="1115"/>
        <v>11.356578779701717</v>
      </c>
      <c r="FB554" s="1524"/>
      <c r="FC554" s="1524"/>
      <c r="FD554"/>
      <c r="FE554"/>
      <c r="FF554"/>
      <c r="FG554"/>
      <c r="FH554"/>
      <c r="FI554"/>
    </row>
    <row r="555" spans="1:165" s="33" customFormat="1">
      <c r="A555" s="58"/>
      <c r="B555" s="58" t="s">
        <v>748</v>
      </c>
      <c r="C555" s="58"/>
      <c r="D555" s="58"/>
      <c r="E555" s="1524"/>
      <c r="F555" s="1524"/>
      <c r="G555" s="1524"/>
      <c r="H555" s="1524"/>
      <c r="I555" s="1524"/>
      <c r="J555" s="1524"/>
      <c r="K555" s="1524">
        <f>K35*K84</f>
        <v>0</v>
      </c>
      <c r="L555" s="1524"/>
      <c r="M555" s="1524">
        <f>M35*M84</f>
        <v>0</v>
      </c>
      <c r="N555" s="1524"/>
      <c r="O555" s="1524">
        <f>O35*O84</f>
        <v>0</v>
      </c>
      <c r="P555" s="1524">
        <f>P35*P84</f>
        <v>0</v>
      </c>
      <c r="Q555" s="1524"/>
      <c r="R555" s="1524">
        <f>R35*R84</f>
        <v>0</v>
      </c>
      <c r="S555" s="1524"/>
      <c r="T555" s="1524">
        <f>T35*T84</f>
        <v>0</v>
      </c>
      <c r="U555" s="1524">
        <f>U35*U84</f>
        <v>0</v>
      </c>
      <c r="V555" s="1524"/>
      <c r="W555" s="1524">
        <f>W35*W84</f>
        <v>0</v>
      </c>
      <c r="X555" s="1524"/>
      <c r="Y555" s="1524">
        <f>Y35*Y84</f>
        <v>0</v>
      </c>
      <c r="Z555" s="1524">
        <f>Z35*Z84</f>
        <v>0</v>
      </c>
      <c r="AA555" s="1524"/>
      <c r="AB555" s="1524">
        <f>AB35*AB84</f>
        <v>0</v>
      </c>
      <c r="AC555" s="1524"/>
      <c r="AD555" s="1524">
        <f>AD35*AD84</f>
        <v>0</v>
      </c>
      <c r="AE555" s="1524">
        <f>AE35*AE84</f>
        <v>0</v>
      </c>
      <c r="AF555" s="1524"/>
      <c r="AG555" s="1524">
        <f>AG35*AG84</f>
        <v>0</v>
      </c>
      <c r="AH555" s="1524"/>
      <c r="AI555" s="1524">
        <f t="shared" ref="AI555:AO555" si="1116">AI35*AI84</f>
        <v>0</v>
      </c>
      <c r="AJ555" s="1524">
        <f t="shared" si="1116"/>
        <v>0</v>
      </c>
      <c r="AK555" s="1524">
        <f t="shared" si="1116"/>
        <v>0</v>
      </c>
      <c r="AL555" s="1524">
        <f t="shared" si="1116"/>
        <v>0</v>
      </c>
      <c r="AM555" s="1524">
        <f t="shared" si="1116"/>
        <v>0</v>
      </c>
      <c r="AN555" s="1524">
        <f t="shared" si="1116"/>
        <v>0</v>
      </c>
      <c r="AO555" s="1524">
        <f t="shared" si="1116"/>
        <v>0</v>
      </c>
      <c r="AP555" s="1524"/>
      <c r="AQ555" s="1524">
        <f>AQ35*AQ84</f>
        <v>0</v>
      </c>
      <c r="AR555" s="1524"/>
      <c r="AS555" s="1524">
        <f>AS35*AS84</f>
        <v>0</v>
      </c>
      <c r="AT555" s="1524">
        <f>AT35*AT84</f>
        <v>0</v>
      </c>
      <c r="AU555" s="1524"/>
      <c r="AV555" s="1524">
        <f>AV35*AV84</f>
        <v>0</v>
      </c>
      <c r="AW555" s="1524"/>
      <c r="AX555" s="1524">
        <f>AX35*AX84</f>
        <v>0</v>
      </c>
      <c r="AY555" s="1524">
        <f>AY35*AY84</f>
        <v>0</v>
      </c>
      <c r="AZ555" s="1524"/>
      <c r="BA555" s="1524">
        <f>BA35*BA84</f>
        <v>0</v>
      </c>
      <c r="BB555" s="1524"/>
      <c r="BC555" s="1524">
        <f>BC35*BC84</f>
        <v>0</v>
      </c>
      <c r="BD555" s="1524">
        <f>BD35*BD84</f>
        <v>0</v>
      </c>
      <c r="BE555" s="1524"/>
      <c r="BF555" s="1524">
        <f>BF35*BF84</f>
        <v>0</v>
      </c>
      <c r="BG555" s="1524"/>
      <c r="BH555" s="1524">
        <f>BH35*BH84</f>
        <v>0</v>
      </c>
      <c r="BI555" s="1524">
        <f>BI35*BI84</f>
        <v>0</v>
      </c>
      <c r="BJ555" s="1524"/>
      <c r="BK555" s="1524">
        <f>BK35*BK84</f>
        <v>0</v>
      </c>
      <c r="BL555" s="1524"/>
      <c r="BM555" s="1524">
        <f t="shared" ref="BM555:BU555" si="1117">BM35*BM84</f>
        <v>0</v>
      </c>
      <c r="BN555" s="1524">
        <f t="shared" si="1117"/>
        <v>0</v>
      </c>
      <c r="BO555" s="1524">
        <f t="shared" si="1117"/>
        <v>0</v>
      </c>
      <c r="BP555" s="1524">
        <f t="shared" si="1117"/>
        <v>0</v>
      </c>
      <c r="BQ555" s="1524">
        <f t="shared" si="1117"/>
        <v>0</v>
      </c>
      <c r="BR555" s="1524">
        <f t="shared" si="1117"/>
        <v>0</v>
      </c>
      <c r="BS555" s="1524">
        <f t="shared" si="1117"/>
        <v>0</v>
      </c>
      <c r="BT555" s="1524">
        <f t="shared" si="1117"/>
        <v>0</v>
      </c>
      <c r="BU555" s="1524">
        <f t="shared" si="1117"/>
        <v>0</v>
      </c>
      <c r="BV555" s="1524">
        <f t="shared" ref="BV555:DA555" si="1118">BV34*BV83</f>
        <v>0</v>
      </c>
      <c r="BW555" s="1524">
        <f t="shared" si="1118"/>
        <v>0</v>
      </c>
      <c r="BX555" s="1524">
        <f t="shared" si="1118"/>
        <v>0</v>
      </c>
      <c r="BY555" s="1524">
        <f t="shared" si="1118"/>
        <v>0</v>
      </c>
      <c r="BZ555" s="1524">
        <f t="shared" si="1118"/>
        <v>0</v>
      </c>
      <c r="CA555" s="1524">
        <f t="shared" si="1118"/>
        <v>0</v>
      </c>
      <c r="CB555" s="1524">
        <f t="shared" si="1118"/>
        <v>0</v>
      </c>
      <c r="CC555" s="1524">
        <f t="shared" si="1118"/>
        <v>0</v>
      </c>
      <c r="CD555" s="1524">
        <f t="shared" si="1118"/>
        <v>0</v>
      </c>
      <c r="CE555" s="1524">
        <f t="shared" si="1118"/>
        <v>0</v>
      </c>
      <c r="CF555" s="1524">
        <f t="shared" si="1118"/>
        <v>0</v>
      </c>
      <c r="CG555" s="1524">
        <f t="shared" si="1118"/>
        <v>0</v>
      </c>
      <c r="CH555" s="1524">
        <f t="shared" si="1118"/>
        <v>0</v>
      </c>
      <c r="CI555" s="1524">
        <f t="shared" si="1118"/>
        <v>0</v>
      </c>
      <c r="CJ555" s="1524">
        <f t="shared" si="1118"/>
        <v>0</v>
      </c>
      <c r="CK555" s="1524">
        <f t="shared" si="1118"/>
        <v>0</v>
      </c>
      <c r="CL555" s="1524">
        <f t="shared" si="1118"/>
        <v>0</v>
      </c>
      <c r="CM555" s="1524">
        <f t="shared" si="1118"/>
        <v>0</v>
      </c>
      <c r="CN555" s="1524">
        <f t="shared" si="1118"/>
        <v>0</v>
      </c>
      <c r="CO555" s="1524">
        <f t="shared" si="1118"/>
        <v>0</v>
      </c>
      <c r="CP555" s="1524">
        <f t="shared" si="1118"/>
        <v>0</v>
      </c>
      <c r="CQ555" s="1524">
        <f t="shared" si="1118"/>
        <v>0</v>
      </c>
      <c r="CR555" s="1524">
        <f t="shared" si="1118"/>
        <v>0</v>
      </c>
      <c r="CS555" s="1524">
        <f t="shared" si="1118"/>
        <v>0</v>
      </c>
      <c r="CT555" s="1524">
        <f t="shared" si="1118"/>
        <v>0</v>
      </c>
      <c r="CU555" s="1524">
        <f t="shared" si="1118"/>
        <v>0</v>
      </c>
      <c r="CV555" s="1524">
        <f t="shared" si="1118"/>
        <v>0</v>
      </c>
      <c r="CW555" s="1524">
        <f t="shared" si="1118"/>
        <v>0</v>
      </c>
      <c r="CX555" s="1524">
        <f t="shared" si="1118"/>
        <v>0</v>
      </c>
      <c r="CY555" s="1524">
        <f t="shared" si="1118"/>
        <v>0</v>
      </c>
      <c r="CZ555" s="1524">
        <f t="shared" si="1118"/>
        <v>0</v>
      </c>
      <c r="DA555" s="1524">
        <f t="shared" si="1118"/>
        <v>0</v>
      </c>
      <c r="DB555" s="1524">
        <f t="shared" ref="DB555:EC555" si="1119">DB34*DB83</f>
        <v>0</v>
      </c>
      <c r="DC555" s="1524">
        <f t="shared" si="1119"/>
        <v>0</v>
      </c>
      <c r="DD555" s="1524">
        <f t="shared" si="1119"/>
        <v>0</v>
      </c>
      <c r="DE555" s="1524">
        <f t="shared" si="1119"/>
        <v>0</v>
      </c>
      <c r="DF555" s="1524">
        <f t="shared" si="1119"/>
        <v>0</v>
      </c>
      <c r="DG555" s="1524">
        <f t="shared" si="1119"/>
        <v>0</v>
      </c>
      <c r="DH555" s="1524">
        <f t="shared" si="1119"/>
        <v>0</v>
      </c>
      <c r="DI555" s="1524">
        <f t="shared" si="1119"/>
        <v>0</v>
      </c>
      <c r="DJ555" s="1524">
        <f t="shared" si="1119"/>
        <v>0</v>
      </c>
      <c r="DK555" s="1524">
        <f t="shared" si="1119"/>
        <v>0</v>
      </c>
      <c r="DL555" s="1524">
        <f t="shared" si="1119"/>
        <v>0</v>
      </c>
      <c r="DM555" s="1524">
        <f t="shared" si="1119"/>
        <v>0</v>
      </c>
      <c r="DN555" s="1524">
        <f t="shared" si="1119"/>
        <v>0</v>
      </c>
      <c r="DO555" s="1524">
        <f t="shared" si="1119"/>
        <v>2047.1932985000001</v>
      </c>
      <c r="DP555" s="1524">
        <f t="shared" si="1119"/>
        <v>234.28395944893498</v>
      </c>
      <c r="DQ555" s="1524">
        <f t="shared" si="1119"/>
        <v>5165.1509847885136</v>
      </c>
      <c r="DR555" s="1524">
        <f t="shared" si="1119"/>
        <v>1060.3709999999999</v>
      </c>
      <c r="DS555" s="1524">
        <f t="shared" si="1119"/>
        <v>1480.8612000000005</v>
      </c>
      <c r="DT555" s="1524">
        <f t="shared" si="1119"/>
        <v>5108.0044000000007</v>
      </c>
      <c r="DU555" s="1524">
        <f>DU34*DU83</f>
        <v>1332</v>
      </c>
      <c r="DV555" s="1524">
        <f t="shared" si="1119"/>
        <v>2400</v>
      </c>
      <c r="DW555" s="1524">
        <f t="shared" si="1119"/>
        <v>7372</v>
      </c>
      <c r="DX555" s="1524">
        <f t="shared" si="1119"/>
        <v>2250</v>
      </c>
      <c r="DY555" s="1524">
        <f t="shared" si="1119"/>
        <v>1829.6774379336759</v>
      </c>
      <c r="DZ555" s="1524">
        <f t="shared" si="1119"/>
        <v>8159.3548758673514</v>
      </c>
      <c r="EA555" s="1524">
        <f t="shared" si="1119"/>
        <v>2020.7201527861087</v>
      </c>
      <c r="EB555" s="1524">
        <f t="shared" si="1119"/>
        <v>1736.4872063999701</v>
      </c>
      <c r="EC555" s="1524">
        <f t="shared" si="1119"/>
        <v>7515.6854713933108</v>
      </c>
      <c r="ED555" s="1524">
        <f t="shared" ref="ED555:EL555" si="1120">ED34*ED83</f>
        <v>2421.0542799095551</v>
      </c>
      <c r="EE555" s="1524">
        <f t="shared" si="1120"/>
        <v>2294.1060160173338</v>
      </c>
      <c r="EF555" s="1524">
        <f t="shared" si="1120"/>
        <v>9446.1178907158028</v>
      </c>
      <c r="EG555" s="1524">
        <f t="shared" si="1120"/>
        <v>3106.0121903756226</v>
      </c>
      <c r="EH555" s="1524">
        <f t="shared" si="1120"/>
        <v>3181.6764851727362</v>
      </c>
      <c r="EI555" s="1524">
        <f t="shared" si="1120"/>
        <v>12624.763424307901</v>
      </c>
      <c r="EJ555" s="1524">
        <f t="shared" si="1120"/>
        <v>5030.863634333532</v>
      </c>
      <c r="EK555" s="1524">
        <f t="shared" si="1120"/>
        <v>5053.8738668773094</v>
      </c>
      <c r="EL555" s="1524">
        <f t="shared" si="1120"/>
        <v>20238.315842642398</v>
      </c>
      <c r="EM555" s="1524">
        <f t="shared" ref="EM555:ER555" si="1121">EM34*EM83</f>
        <v>7613.6530349135128</v>
      </c>
      <c r="EN555" s="1524">
        <f t="shared" si="1121"/>
        <v>7578.4904476518414</v>
      </c>
      <c r="EO555" s="1524">
        <f t="shared" si="1121"/>
        <v>30481.234032601475</v>
      </c>
      <c r="EP555" s="1524">
        <f t="shared" si="1121"/>
        <v>11108.40296685224</v>
      </c>
      <c r="EQ555" s="1524">
        <f t="shared" si="1121"/>
        <v>10816.274703607294</v>
      </c>
      <c r="ER555" s="1524">
        <f t="shared" si="1121"/>
        <v>43963.060821936277</v>
      </c>
      <c r="ES555" s="1524">
        <f t="shared" ref="ES555:FA555" si="1122">ES34*ES83</f>
        <v>15231.637457626344</v>
      </c>
      <c r="ET555" s="1524">
        <f t="shared" si="1122"/>
        <v>14601.745255521277</v>
      </c>
      <c r="EU555" s="1524">
        <f t="shared" si="1122"/>
        <v>59796.634548521892</v>
      </c>
      <c r="EV555" s="1524">
        <f t="shared" si="1122"/>
        <v>19987.288582163066</v>
      </c>
      <c r="EW555" s="1524">
        <f t="shared" si="1122"/>
        <v>18950.043448396355</v>
      </c>
      <c r="EX555" s="1524">
        <f t="shared" si="1122"/>
        <v>78021.72379724108</v>
      </c>
      <c r="EY555" s="1524">
        <f t="shared" si="1122"/>
        <v>25394.627201795563</v>
      </c>
      <c r="EZ555" s="1524">
        <f t="shared" si="1122"/>
        <v>23900.352705726491</v>
      </c>
      <c r="FA555" s="1524">
        <f t="shared" si="1122"/>
        <v>98758.222167280663</v>
      </c>
      <c r="FB555" s="1524"/>
      <c r="FC555" s="1524"/>
      <c r="FD555"/>
      <c r="FE555"/>
      <c r="FF555"/>
      <c r="FG555"/>
      <c r="FH555"/>
      <c r="FI555"/>
    </row>
    <row r="556" spans="1:165" s="33" customFormat="1">
      <c r="A556" s="58"/>
      <c r="B556" s="58" t="s">
        <v>749</v>
      </c>
      <c r="C556" s="58"/>
      <c r="D556" s="58"/>
      <c r="E556" s="1487"/>
      <c r="F556" s="1487"/>
      <c r="G556" s="1487"/>
      <c r="H556" s="1487"/>
      <c r="I556" s="1487"/>
      <c r="J556" s="1487"/>
      <c r="K556" s="1487">
        <f>SUM(K553:K555)</f>
        <v>0</v>
      </c>
      <c r="L556" s="1487"/>
      <c r="M556" s="1487">
        <f>SUM(M553:M555)</f>
        <v>0</v>
      </c>
      <c r="N556" s="1487"/>
      <c r="O556" s="1487">
        <f>SUM(O553:O555)</f>
        <v>0</v>
      </c>
      <c r="P556" s="1487">
        <f>SUM(P553:P555)</f>
        <v>0</v>
      </c>
      <c r="Q556" s="1487"/>
      <c r="R556" s="1487">
        <f>SUM(R553:R555)</f>
        <v>0</v>
      </c>
      <c r="S556" s="1487"/>
      <c r="T556" s="1487">
        <f>SUM(T553:T555)</f>
        <v>0</v>
      </c>
      <c r="U556" s="1487">
        <f>SUM(U553:U555)</f>
        <v>0</v>
      </c>
      <c r="V556" s="1487"/>
      <c r="W556" s="1487">
        <f>SUM(W553:W555)</f>
        <v>0</v>
      </c>
      <c r="X556" s="1487"/>
      <c r="Y556" s="1487">
        <f>SUM(Y553:Y555)</f>
        <v>0</v>
      </c>
      <c r="Z556" s="1487">
        <f>SUM(Z553:Z555)</f>
        <v>0</v>
      </c>
      <c r="AA556" s="1487"/>
      <c r="AB556" s="1487">
        <f>SUM(AB553:AB555)</f>
        <v>0</v>
      </c>
      <c r="AC556" s="1487"/>
      <c r="AD556" s="1487">
        <f>SUM(AD553:AD555)</f>
        <v>0</v>
      </c>
      <c r="AE556" s="1487">
        <f>SUM(AE553:AE555)</f>
        <v>0</v>
      </c>
      <c r="AF556" s="1487"/>
      <c r="AG556" s="1487">
        <f>SUM(AG553:AG555)</f>
        <v>0</v>
      </c>
      <c r="AH556" s="1487"/>
      <c r="AI556" s="1487">
        <f t="shared" ref="AI556:AO556" si="1123">SUM(AI553:AI555)</f>
        <v>0</v>
      </c>
      <c r="AJ556" s="1487">
        <f t="shared" si="1123"/>
        <v>0</v>
      </c>
      <c r="AK556" s="1487">
        <f t="shared" si="1123"/>
        <v>0</v>
      </c>
      <c r="AL556" s="1487">
        <f t="shared" si="1123"/>
        <v>0</v>
      </c>
      <c r="AM556" s="1487">
        <f t="shared" si="1123"/>
        <v>0</v>
      </c>
      <c r="AN556" s="1487">
        <f t="shared" si="1123"/>
        <v>0</v>
      </c>
      <c r="AO556" s="1487">
        <f t="shared" si="1123"/>
        <v>0</v>
      </c>
      <c r="AP556" s="1487"/>
      <c r="AQ556" s="1487">
        <f>SUM(AQ553:AQ555)</f>
        <v>0</v>
      </c>
      <c r="AR556" s="1487"/>
      <c r="AS556" s="1487">
        <f>SUM(AS553:AS555)</f>
        <v>0</v>
      </c>
      <c r="AT556" s="1487">
        <f>SUM(AT553:AT555)</f>
        <v>0</v>
      </c>
      <c r="AU556" s="1487"/>
      <c r="AV556" s="1487">
        <f>SUM(AV553:AV555)</f>
        <v>0</v>
      </c>
      <c r="AW556" s="1487"/>
      <c r="AX556" s="1487">
        <f>SUM(AX553:AX555)</f>
        <v>0</v>
      </c>
      <c r="AY556" s="1487">
        <f>SUM(AY553:AY555)</f>
        <v>0</v>
      </c>
      <c r="AZ556" s="1487"/>
      <c r="BA556" s="1487">
        <f>SUM(BA553:BA555)</f>
        <v>0</v>
      </c>
      <c r="BB556" s="1487"/>
      <c r="BC556" s="1487">
        <f>SUM(BC553:BC555)</f>
        <v>0</v>
      </c>
      <c r="BD556" s="1487">
        <f>SUM(BD553:BD555)</f>
        <v>0</v>
      </c>
      <c r="BE556" s="1487"/>
      <c r="BF556" s="1487">
        <f>SUM(BF553:BF555)</f>
        <v>0</v>
      </c>
      <c r="BG556" s="1487"/>
      <c r="BH556" s="1487">
        <f>SUM(BH553:BH555)</f>
        <v>0</v>
      </c>
      <c r="BI556" s="1487">
        <f>SUM(BI553:BI555)</f>
        <v>0</v>
      </c>
      <c r="BJ556" s="1487"/>
      <c r="BK556" s="1487">
        <f>SUM(BK553:BK555)</f>
        <v>0</v>
      </c>
      <c r="BL556" s="1487"/>
      <c r="BM556" s="1487">
        <f t="shared" ref="BM556:BV556" si="1124">SUM(BM553:BM555)</f>
        <v>0</v>
      </c>
      <c r="BN556" s="1487">
        <f t="shared" si="1124"/>
        <v>0</v>
      </c>
      <c r="BO556" s="1487">
        <f t="shared" si="1124"/>
        <v>0</v>
      </c>
      <c r="BP556" s="1487">
        <f t="shared" si="1124"/>
        <v>0</v>
      </c>
      <c r="BQ556" s="1487">
        <f t="shared" si="1124"/>
        <v>0</v>
      </c>
      <c r="BR556" s="1487">
        <f t="shared" si="1124"/>
        <v>0</v>
      </c>
      <c r="BS556" s="1487">
        <f t="shared" si="1124"/>
        <v>0</v>
      </c>
      <c r="BT556" s="1487">
        <f t="shared" si="1124"/>
        <v>0</v>
      </c>
      <c r="BU556" s="1487">
        <f t="shared" si="1124"/>
        <v>0</v>
      </c>
      <c r="BV556" s="1487">
        <f t="shared" si="1124"/>
        <v>144.93186613967998</v>
      </c>
      <c r="BW556" s="1487">
        <f t="shared" ref="BW556:DT556" si="1125">SUM(BW553:BW555)</f>
        <v>109.20615972056494</v>
      </c>
      <c r="BX556" s="1487">
        <f t="shared" si="1125"/>
        <v>254.0648609593876</v>
      </c>
      <c r="BY556" s="1487">
        <f t="shared" si="1125"/>
        <v>135.04740161538871</v>
      </c>
      <c r="BZ556" s="1487">
        <f t="shared" si="1125"/>
        <v>89.246900128526832</v>
      </c>
      <c r="CA556" s="1487">
        <f t="shared" si="1125"/>
        <v>225.69179767369738</v>
      </c>
      <c r="CB556" s="1487">
        <f t="shared" si="1125"/>
        <v>190.31288769005502</v>
      </c>
      <c r="CC556" s="1487">
        <f t="shared" si="1125"/>
        <v>130.94373950161147</v>
      </c>
      <c r="CD556" s="1487">
        <f t="shared" si="1125"/>
        <v>321.26836348992896</v>
      </c>
      <c r="CE556" s="1487">
        <f t="shared" si="1125"/>
        <v>144.29286471331042</v>
      </c>
      <c r="CF556" s="1487">
        <f t="shared" si="1125"/>
        <v>109.94599310453005</v>
      </c>
      <c r="CG556" s="1487">
        <f t="shared" si="1125"/>
        <v>254.31366557780908</v>
      </c>
      <c r="CH556" s="1487">
        <f t="shared" si="1125"/>
        <v>129.6</v>
      </c>
      <c r="CI556" s="1487">
        <f t="shared" si="1125"/>
        <v>112.66073663928627</v>
      </c>
      <c r="CJ556" s="1487">
        <f t="shared" si="1125"/>
        <v>242.03785644429132</v>
      </c>
      <c r="CK556" s="1487">
        <f t="shared" si="1125"/>
        <v>153.27189282950735</v>
      </c>
      <c r="CL556" s="1487">
        <f t="shared" si="1125"/>
        <v>101.11711763057666</v>
      </c>
      <c r="CM556" s="1487">
        <f t="shared" si="1125"/>
        <v>254.2396554554862</v>
      </c>
      <c r="CN556" s="1487">
        <f t="shared" si="1125"/>
        <v>159.74651046859421</v>
      </c>
      <c r="CO556" s="1487">
        <f t="shared" si="1125"/>
        <v>143.63327098141914</v>
      </c>
      <c r="CP556" s="1487">
        <f t="shared" si="1125"/>
        <v>303.39684597643833</v>
      </c>
      <c r="CQ556" s="1487">
        <f t="shared" si="1125"/>
        <v>168.89596266044342</v>
      </c>
      <c r="CR556" s="1487">
        <f t="shared" si="1125"/>
        <v>174.59538111490329</v>
      </c>
      <c r="CS556" s="1487">
        <f t="shared" si="1125"/>
        <v>343.49078341013825</v>
      </c>
      <c r="CT556" s="1487">
        <f t="shared" si="1125"/>
        <v>181.96706693919265</v>
      </c>
      <c r="CU556" s="1487">
        <f t="shared" si="1125"/>
        <v>148.33633720930229</v>
      </c>
      <c r="CV556" s="1487">
        <f t="shared" si="1125"/>
        <v>330.37132852869183</v>
      </c>
      <c r="CW556" s="1487">
        <f t="shared" si="1125"/>
        <v>260.07543776620929</v>
      </c>
      <c r="CX556" s="1487">
        <f t="shared" si="1125"/>
        <v>110.06489594013799</v>
      </c>
      <c r="CY556" s="1487">
        <f t="shared" si="1125"/>
        <v>370.98139424783989</v>
      </c>
      <c r="CZ556" s="1487">
        <f t="shared" si="1125"/>
        <v>349.92320176935544</v>
      </c>
      <c r="DA556" s="1487">
        <f t="shared" si="1125"/>
        <v>226.51032497496777</v>
      </c>
      <c r="DB556" s="1487">
        <f t="shared" si="1125"/>
        <v>576.29304313519197</v>
      </c>
      <c r="DC556" s="1487">
        <f t="shared" si="1125"/>
        <v>318.70316351684471</v>
      </c>
      <c r="DD556" s="1487">
        <f t="shared" si="1125"/>
        <v>132.49426592483249</v>
      </c>
      <c r="DE556" s="1487">
        <f t="shared" si="1125"/>
        <v>451.79172184016056</v>
      </c>
      <c r="DF556" s="1487">
        <f t="shared" si="1125"/>
        <v>327.49090674437969</v>
      </c>
      <c r="DG556" s="1487">
        <f t="shared" si="1125"/>
        <v>168.2418327355646</v>
      </c>
      <c r="DH556" s="1487">
        <f t="shared" si="1125"/>
        <v>496.48713302853037</v>
      </c>
      <c r="DI556" s="1487">
        <f t="shared" si="1125"/>
        <v>461.85524598627211</v>
      </c>
      <c r="DJ556" s="1487">
        <f t="shared" si="1125"/>
        <v>164.20582419474769</v>
      </c>
      <c r="DK556" s="1487">
        <f t="shared" si="1125"/>
        <v>625.84897491701304</v>
      </c>
      <c r="DL556" s="1487">
        <f t="shared" si="1125"/>
        <v>396.59886322688681</v>
      </c>
      <c r="DM556" s="1487">
        <f t="shared" si="1125"/>
        <v>186.69992981170796</v>
      </c>
      <c r="DN556" s="1487">
        <f t="shared" si="1125"/>
        <v>581.69287442494453</v>
      </c>
      <c r="DO556" s="1487">
        <f t="shared" si="1125"/>
        <v>2432.1535878600002</v>
      </c>
      <c r="DP556" s="1487">
        <f t="shared" si="1125"/>
        <v>414.58886794298712</v>
      </c>
      <c r="DQ556" s="1487">
        <f t="shared" si="1125"/>
        <v>5732.1390735824534</v>
      </c>
      <c r="DR556" s="1487">
        <f t="shared" si="1125"/>
        <v>1596.2243978449999</v>
      </c>
      <c r="DS556" s="1487">
        <f t="shared" si="1125"/>
        <v>1750.9827179563417</v>
      </c>
      <c r="DT556" s="1487">
        <f t="shared" si="1125"/>
        <v>5913.9191572340433</v>
      </c>
      <c r="DU556" s="1487">
        <f t="shared" ref="DU556:DZ556" si="1126">SUM(DU553:DU555)</f>
        <v>1882.4608433734943</v>
      </c>
      <c r="DV556" s="1487">
        <f t="shared" si="1126"/>
        <v>2555.3708987161194</v>
      </c>
      <c r="DW556" s="1487">
        <f t="shared" si="1126"/>
        <v>8082.1675702316415</v>
      </c>
      <c r="DX556" s="1487">
        <f t="shared" si="1126"/>
        <v>2827.5632668711655</v>
      </c>
      <c r="DY556" s="1487">
        <f t="shared" si="1126"/>
        <v>2181.8581628380107</v>
      </c>
      <c r="DZ556" s="1487">
        <f t="shared" si="1126"/>
        <v>9090.2719441044028</v>
      </c>
      <c r="EA556" s="1487">
        <f t="shared" ref="EA556:EF556" si="1127">SUM(EA553:EA555)</f>
        <v>2581.287402423377</v>
      </c>
      <c r="EB556" s="1487">
        <f t="shared" si="1127"/>
        <v>2151.8241838205217</v>
      </c>
      <c r="EC556" s="1487">
        <f t="shared" si="1127"/>
        <v>8491.589698451131</v>
      </c>
      <c r="ED556" s="1487">
        <f t="shared" si="1127"/>
        <v>3024.895316429363</v>
      </c>
      <c r="EE556" s="1487">
        <f t="shared" si="1127"/>
        <v>2740.5617231540409</v>
      </c>
      <c r="EF556" s="1487">
        <f t="shared" si="1127"/>
        <v>10496.414634372319</v>
      </c>
      <c r="EG556" s="1487">
        <f t="shared" ref="EG556:EL556" si="1128">SUM(EG553:EG555)</f>
        <v>3756.0396618581144</v>
      </c>
      <c r="EH556" s="1487">
        <f t="shared" si="1128"/>
        <v>3672.0957788059186</v>
      </c>
      <c r="EI556" s="1487">
        <f t="shared" si="1128"/>
        <v>13765.210189423575</v>
      </c>
      <c r="EJ556" s="1487">
        <f t="shared" si="1128"/>
        <v>5731.2925711573062</v>
      </c>
      <c r="EK556" s="1487">
        <f t="shared" si="1128"/>
        <v>5592.6794136291801</v>
      </c>
      <c r="EL556" s="1487">
        <f t="shared" si="1128"/>
        <v>21477.550326218043</v>
      </c>
      <c r="EM556" s="1487">
        <f t="shared" ref="EM556:ER556" si="1129">SUM(EM553:EM555)</f>
        <v>8372.9620903096984</v>
      </c>
      <c r="EN556" s="1487">
        <f t="shared" si="1129"/>
        <v>8163.3428069118672</v>
      </c>
      <c r="EO556" s="1487">
        <f t="shared" si="1129"/>
        <v>31825.395447257684</v>
      </c>
      <c r="EP556" s="1487">
        <f t="shared" si="1129"/>
        <v>11922.94580966801</v>
      </c>
      <c r="EQ556" s="1487">
        <f t="shared" si="1129"/>
        <v>11452.741208039497</v>
      </c>
      <c r="ER556" s="1487">
        <f t="shared" si="1129"/>
        <v>45414.070169184248</v>
      </c>
      <c r="ES556" s="1487">
        <f t="shared" ref="ES556:FA556" si="1130">SUM(ES553:ES555)</f>
        <v>16098.278032977305</v>
      </c>
      <c r="ET556" s="1487">
        <f t="shared" si="1130"/>
        <v>15285.191768610981</v>
      </c>
      <c r="EU556" s="1487">
        <f t="shared" si="1130"/>
        <v>61346.721636962553</v>
      </c>
      <c r="EV556" s="1487">
        <f t="shared" si="1130"/>
        <v>20900.923988646373</v>
      </c>
      <c r="EW556" s="1487">
        <f t="shared" si="1130"/>
        <v>19674.48297153983</v>
      </c>
      <c r="EX556" s="1487">
        <f t="shared" si="1130"/>
        <v>79659.798726867855</v>
      </c>
      <c r="EY556" s="1487">
        <f t="shared" si="1130"/>
        <v>26358.193135532307</v>
      </c>
      <c r="EZ556" s="1487">
        <f t="shared" si="1130"/>
        <v>24668.48424066951</v>
      </c>
      <c r="FA556" s="1487">
        <f t="shared" si="1130"/>
        <v>100489.91963596042</v>
      </c>
      <c r="FB556" s="1487"/>
      <c r="FC556" s="1487"/>
      <c r="FD556"/>
      <c r="FE556"/>
      <c r="FF556"/>
      <c r="FG556"/>
      <c r="FH556"/>
      <c r="FI556"/>
    </row>
    <row r="557" spans="1:165" s="33" customFormat="1">
      <c r="A557" s="58"/>
      <c r="B557" s="58" t="s">
        <v>750</v>
      </c>
      <c r="C557" s="58"/>
      <c r="D557" s="58"/>
      <c r="E557" s="1487"/>
      <c r="F557" s="1487"/>
      <c r="G557" s="1487"/>
      <c r="H557" s="1487"/>
      <c r="I557" s="1487"/>
      <c r="J557" s="1487"/>
      <c r="K557" s="1487"/>
      <c r="L557" s="1487"/>
      <c r="M557" s="1487"/>
      <c r="N557" s="1487"/>
      <c r="O557" s="1487"/>
      <c r="P557" s="1487"/>
      <c r="Q557" s="1487"/>
      <c r="R557" s="1487"/>
      <c r="S557" s="1487"/>
      <c r="T557" s="1487"/>
      <c r="U557" s="1487"/>
      <c r="V557" s="1487"/>
      <c r="W557" s="1487"/>
      <c r="X557" s="1487"/>
      <c r="Y557" s="1487"/>
      <c r="Z557" s="1487"/>
      <c r="AA557" s="1487"/>
      <c r="AB557" s="1487"/>
      <c r="AC557" s="1487"/>
      <c r="AD557" s="1487"/>
      <c r="AE557" s="1487"/>
      <c r="AF557" s="1487"/>
      <c r="AG557" s="1487"/>
      <c r="AH557" s="1487"/>
      <c r="AI557" s="1487"/>
      <c r="AJ557" s="1487"/>
      <c r="AK557" s="1487"/>
      <c r="AL557" s="1487"/>
      <c r="AM557" s="1487">
        <f>AM552-AM556</f>
        <v>0.15331801267867182</v>
      </c>
      <c r="AN557" s="1487">
        <f>AN552-AN556</f>
        <v>0.15331801267867182</v>
      </c>
      <c r="AO557" s="1487">
        <f>AO552-AO556</f>
        <v>0.1268546050480239</v>
      </c>
      <c r="AP557" s="1487"/>
      <c r="AQ557" s="1487">
        <f>AQ552-AQ556</f>
        <v>0.16107382550335569</v>
      </c>
      <c r="AR557" s="1487"/>
      <c r="AS557" s="1487">
        <f>AS552-AS556</f>
        <v>0.19494667227922122</v>
      </c>
      <c r="AT557" s="1487">
        <f>AT552-AT556</f>
        <v>0.16589955614145763</v>
      </c>
      <c r="AU557" s="1487"/>
      <c r="AV557" s="1487">
        <f>AV552-AV556</f>
        <v>0.20455631315499237</v>
      </c>
      <c r="AW557" s="1487"/>
      <c r="AX557" s="1487">
        <f>AX552-AX556</f>
        <v>0.12347049087795499</v>
      </c>
      <c r="AY557" s="1487">
        <f>AY552-AY556</f>
        <v>0.21385751664293048</v>
      </c>
      <c r="AZ557" s="1487"/>
      <c r="BA557" s="1487"/>
      <c r="BB557" s="1487"/>
      <c r="BC557" s="1487">
        <f>BC552-BC556</f>
        <v>0.17922285757068121</v>
      </c>
      <c r="BD557" s="1487">
        <f>BD552-BD556</f>
        <v>0.18410661150719307</v>
      </c>
      <c r="BE557" s="1487"/>
      <c r="BF557" s="1487">
        <f>BF552-BF556</f>
        <v>0.17420984726503541</v>
      </c>
      <c r="BG557" s="1487"/>
      <c r="BH557" s="1487">
        <f>BH552-BH556</f>
        <v>0.13937791827910098</v>
      </c>
      <c r="BI557" s="1487">
        <f>BI552-BI556</f>
        <v>0.146882671047046</v>
      </c>
      <c r="BJ557" s="1487"/>
      <c r="BK557" s="1487"/>
      <c r="BL557" s="1487"/>
      <c r="BM557" s="1487"/>
      <c r="BN557" s="1487"/>
      <c r="BO557" s="1487">
        <f>BO552-BO556</f>
        <v>0.244035311392928</v>
      </c>
      <c r="BP557" s="1487"/>
      <c r="BQ557" s="1487"/>
      <c r="BR557" s="1487"/>
      <c r="BS557" s="1487"/>
      <c r="BT557" s="1487"/>
      <c r="BU557" s="1487"/>
      <c r="BV557" s="1487">
        <f>BV552-BV556</f>
        <v>366.43613386032001</v>
      </c>
      <c r="BW557" s="1487">
        <f t="shared" ref="BW557:DT557" si="1131">BW552-BW556</f>
        <v>385.10384027943508</v>
      </c>
      <c r="BX557" s="1487">
        <f t="shared" si="1131"/>
        <v>751.6131390406124</v>
      </c>
      <c r="BY557" s="1487">
        <f t="shared" si="1131"/>
        <v>502.58159838461131</v>
      </c>
      <c r="BZ557" s="1487">
        <f t="shared" si="1131"/>
        <v>551.08520497147333</v>
      </c>
      <c r="CA557" s="1487">
        <f t="shared" si="1131"/>
        <v>1052.2693074263027</v>
      </c>
      <c r="CB557" s="1487">
        <f t="shared" si="1131"/>
        <v>617.52286230994503</v>
      </c>
      <c r="CC557" s="1487">
        <f t="shared" si="1131"/>
        <v>441.76101049838849</v>
      </c>
      <c r="CD557" s="1487">
        <f t="shared" si="1131"/>
        <v>1059.272136510071</v>
      </c>
      <c r="CE557" s="1487">
        <f t="shared" si="1131"/>
        <v>504.89813528668958</v>
      </c>
      <c r="CF557" s="1487">
        <f t="shared" si="1131"/>
        <v>450.35163562207964</v>
      </c>
      <c r="CG557" s="1487">
        <f t="shared" si="1131"/>
        <v>955.17496314880066</v>
      </c>
      <c r="CH557" s="1487">
        <f t="shared" si="1131"/>
        <v>519.09999999999991</v>
      </c>
      <c r="CI557" s="1487">
        <f t="shared" si="1131"/>
        <v>517.51168069822847</v>
      </c>
      <c r="CJ557" s="1487">
        <f t="shared" si="1131"/>
        <v>1036.8345608932234</v>
      </c>
      <c r="CK557" s="1487">
        <f t="shared" si="1131"/>
        <v>649.63835717049255</v>
      </c>
      <c r="CL557" s="1487">
        <f t="shared" si="1131"/>
        <v>612.82042374887567</v>
      </c>
      <c r="CM557" s="1487">
        <f t="shared" si="1131"/>
        <v>1262.6081359239661</v>
      </c>
      <c r="CN557" s="1487">
        <f t="shared" si="1131"/>
        <v>673.25348953140576</v>
      </c>
      <c r="CO557" s="1487">
        <f t="shared" si="1131"/>
        <v>689.96672901858096</v>
      </c>
      <c r="CP557" s="1487">
        <f t="shared" si="1131"/>
        <v>1363.2031540235619</v>
      </c>
      <c r="CQ557" s="1487">
        <f t="shared" si="1131"/>
        <v>721.70403733955652</v>
      </c>
      <c r="CR557" s="1487">
        <f t="shared" si="1131"/>
        <v>739.80461888509683</v>
      </c>
      <c r="CS557" s="1487">
        <f t="shared" si="1131"/>
        <v>1461.5092165898618</v>
      </c>
      <c r="CT557" s="1487">
        <f t="shared" si="1131"/>
        <v>642.38229794806898</v>
      </c>
      <c r="CU557" s="1487">
        <f t="shared" si="1131"/>
        <v>592.31429790343634</v>
      </c>
      <c r="CV557" s="1487">
        <f t="shared" si="1131"/>
        <v>1234.6286714713083</v>
      </c>
      <c r="CW557" s="1487">
        <f t="shared" si="1131"/>
        <v>864.92456223379077</v>
      </c>
      <c r="CX557" s="1487">
        <f t="shared" si="1131"/>
        <v>615.23510405986201</v>
      </c>
      <c r="CY557" s="1487">
        <f t="shared" si="1131"/>
        <v>1479.31860575216</v>
      </c>
      <c r="CZ557" s="1487">
        <f t="shared" si="1131"/>
        <v>1152.3858913026961</v>
      </c>
      <c r="DA557" s="1487">
        <f t="shared" si="1131"/>
        <v>709.28058195298058</v>
      </c>
      <c r="DB557" s="1487">
        <f t="shared" si="1131"/>
        <v>1861.8069568648079</v>
      </c>
      <c r="DC557" s="1487">
        <f t="shared" si="1131"/>
        <v>1270.4968364831552</v>
      </c>
      <c r="DD557" s="1487">
        <f t="shared" si="1131"/>
        <v>884.60573407516767</v>
      </c>
      <c r="DE557" s="1487">
        <f t="shared" si="1131"/>
        <v>2154.5082781598394</v>
      </c>
      <c r="DF557" s="1487">
        <f t="shared" si="1131"/>
        <v>1340.9280932556203</v>
      </c>
      <c r="DG557" s="1487">
        <f t="shared" si="1131"/>
        <v>952.36925476443514</v>
      </c>
      <c r="DH557" s="1487">
        <f t="shared" si="1131"/>
        <v>2292.5429544714693</v>
      </c>
      <c r="DI557" s="1487">
        <f t="shared" si="1131"/>
        <v>1943.9762990137278</v>
      </c>
      <c r="DJ557" s="1487">
        <f t="shared" si="1131"/>
        <v>676.64845205525239</v>
      </c>
      <c r="DK557" s="1487">
        <f t="shared" si="1131"/>
        <v>2620.8368463329871</v>
      </c>
      <c r="DL557" s="1487">
        <f t="shared" si="1131"/>
        <v>1882.0247330231127</v>
      </c>
      <c r="DM557" s="1487">
        <f t="shared" si="1131"/>
        <v>713.77647393829284</v>
      </c>
      <c r="DN557" s="1487">
        <f t="shared" si="1131"/>
        <v>2597.4071255750559</v>
      </c>
      <c r="DO557" s="1487">
        <f t="shared" si="1131"/>
        <v>27.14822064000009</v>
      </c>
      <c r="DP557" s="1487">
        <f t="shared" si="1131"/>
        <v>889.40749155125707</v>
      </c>
      <c r="DQ557" s="1487">
        <f t="shared" si="1131"/>
        <v>-1968.8409055882089</v>
      </c>
      <c r="DR557" s="1487">
        <f t="shared" si="1131"/>
        <v>1248.754727155</v>
      </c>
      <c r="DS557" s="1487">
        <f t="shared" si="1131"/>
        <v>-289.95424295634166</v>
      </c>
      <c r="DT557" s="1487">
        <f t="shared" si="1131"/>
        <v>-1607.9115572340434</v>
      </c>
      <c r="DU557" s="1487">
        <f t="shared" ref="DU557:DZ557" si="1132">DU552-DU556</f>
        <v>1049.5391566265057</v>
      </c>
      <c r="DV557" s="1487">
        <f t="shared" si="1132"/>
        <v>-915.37089871611943</v>
      </c>
      <c r="DW557" s="1487">
        <f t="shared" si="1132"/>
        <v>-3510.1675702316415</v>
      </c>
      <c r="DX557" s="1487">
        <f t="shared" si="1132"/>
        <v>26.436733128834476</v>
      </c>
      <c r="DY557" s="1487">
        <f t="shared" si="1132"/>
        <v>-28.840963938409004</v>
      </c>
      <c r="DZ557" s="1487">
        <f t="shared" si="1132"/>
        <v>-4083.2547452048011</v>
      </c>
      <c r="EA557" s="1487">
        <f t="shared" ref="EA557:EF557" si="1133">EA552-EA556</f>
        <v>437.38833565337154</v>
      </c>
      <c r="EB557" s="1487">
        <f t="shared" si="1133"/>
        <v>94.977033424797355</v>
      </c>
      <c r="EC557" s="1487">
        <f t="shared" si="1133"/>
        <v>-3226.1127431290633</v>
      </c>
      <c r="ED557" s="1487">
        <f t="shared" si="1133"/>
        <v>224.61341438181307</v>
      </c>
      <c r="EE557" s="1487">
        <f t="shared" si="1133"/>
        <v>-326.17785425324382</v>
      </c>
      <c r="EF557" s="1487">
        <f t="shared" si="1133"/>
        <v>-4832.5220346603455</v>
      </c>
      <c r="EG557" s="1487">
        <f t="shared" ref="EG557:EL557" si="1134">EG552-EG556</f>
        <v>-259.36749106950401</v>
      </c>
      <c r="EH557" s="1487">
        <f t="shared" si="1134"/>
        <v>-1022.1142940282539</v>
      </c>
      <c r="EI557" s="1487">
        <f t="shared" si="1134"/>
        <v>-7618.5565338572997</v>
      </c>
      <c r="EJ557" s="1487">
        <f t="shared" si="1134"/>
        <v>-1964.979325763019</v>
      </c>
      <c r="EK557" s="1487">
        <f t="shared" si="1134"/>
        <v>-2683.4507147793447</v>
      </c>
      <c r="EL557" s="1487">
        <f t="shared" si="1134"/>
        <v>-14802.008381973919</v>
      </c>
      <c r="EM557" s="1487">
        <f t="shared" ref="EM557:ER557" si="1135">EM552-EM556</f>
        <v>-4292.4645566730269</v>
      </c>
      <c r="EN557" s="1487">
        <f t="shared" si="1135"/>
        <v>-5007.7301185479755</v>
      </c>
      <c r="EO557" s="1487">
        <f t="shared" si="1135"/>
        <v>-24589.285225257121</v>
      </c>
      <c r="EP557" s="1487">
        <f t="shared" si="1135"/>
        <v>-7547.2807060074183</v>
      </c>
      <c r="EQ557" s="1487">
        <f t="shared" si="1135"/>
        <v>-8020.9780741897694</v>
      </c>
      <c r="ER557" s="1487">
        <f t="shared" si="1135"/>
        <v>-37606.641931673927</v>
      </c>
      <c r="ES557" s="1487">
        <f t="shared" ref="ES557:FA557" si="1136">ES552-ES556</f>
        <v>-11443.586528713742</v>
      </c>
      <c r="ET557" s="1487">
        <f t="shared" si="1136"/>
        <v>-11601.378479304149</v>
      </c>
      <c r="EU557" s="1487">
        <f t="shared" si="1136"/>
        <v>-53008.216843392154</v>
      </c>
      <c r="EV557" s="1487">
        <f t="shared" si="1136"/>
        <v>-15993.764339190182</v>
      </c>
      <c r="EW557" s="1487">
        <f t="shared" si="1136"/>
        <v>-15769.820798063965</v>
      </c>
      <c r="EX557" s="1487">
        <f t="shared" si="1136"/>
        <v>-70847.976903935807</v>
      </c>
      <c r="EY557" s="1487">
        <f t="shared" si="1136"/>
        <v>-21182.795593878167</v>
      </c>
      <c r="EZ557" s="1487">
        <f t="shared" si="1136"/>
        <v>-20528.437995195909</v>
      </c>
      <c r="FA557" s="1487">
        <f t="shared" si="1136"/>
        <v>-91174.475848832692</v>
      </c>
      <c r="FB557" s="1487"/>
      <c r="FC557" s="1487"/>
      <c r="FD557"/>
      <c r="FE557"/>
      <c r="FF557"/>
      <c r="FG557"/>
      <c r="FH557"/>
      <c r="FI557"/>
    </row>
    <row r="558" spans="1:165" s="33" customFormat="1">
      <c r="A558" s="58"/>
      <c r="B558" s="58"/>
      <c r="C558" s="58"/>
      <c r="D558" s="58"/>
      <c r="E558" s="1457"/>
      <c r="F558" s="1457"/>
      <c r="G558" s="1457"/>
      <c r="H558" s="1457"/>
      <c r="I558" s="1457"/>
      <c r="J558" s="1457"/>
      <c r="K558" s="1457"/>
      <c r="L558" s="1457"/>
      <c r="M558" s="1457"/>
      <c r="N558" s="1457"/>
      <c r="O558" s="1457"/>
      <c r="P558" s="1457"/>
      <c r="Q558" s="1457"/>
      <c r="R558" s="1457"/>
      <c r="S558" s="1457"/>
      <c r="T558" s="1457"/>
      <c r="U558" s="1457"/>
      <c r="V558" s="1457"/>
      <c r="W558" s="1457"/>
      <c r="X558" s="1457"/>
      <c r="Y558" s="1457"/>
      <c r="Z558" s="1457"/>
      <c r="AA558" s="1457"/>
      <c r="AB558" s="1457"/>
      <c r="AC558" s="1457"/>
      <c r="AD558" s="1457"/>
      <c r="AE558" s="1457"/>
      <c r="AF558" s="1457"/>
      <c r="AG558" s="1457"/>
      <c r="AH558" s="1457"/>
      <c r="AI558" s="1457"/>
      <c r="AJ558" s="1457"/>
      <c r="AK558" s="1457"/>
      <c r="AL558" s="1457"/>
      <c r="AM558" s="1457"/>
      <c r="AN558" s="1457"/>
      <c r="AO558" s="1457"/>
      <c r="AP558" s="1457"/>
      <c r="AQ558" s="1457"/>
      <c r="AR558" s="1457"/>
      <c r="AS558" s="1457"/>
      <c r="AT558" s="1457"/>
      <c r="AU558" s="1457"/>
      <c r="AV558" s="1457"/>
      <c r="AW558" s="1457"/>
      <c r="AX558" s="1457"/>
      <c r="AY558" s="1457"/>
      <c r="AZ558" s="1457"/>
      <c r="BA558" s="1457"/>
      <c r="BB558" s="1457"/>
      <c r="BC558" s="1457"/>
      <c r="BD558" s="1457"/>
      <c r="BE558" s="1457"/>
      <c r="BF558" s="1457"/>
      <c r="BG558" s="1457"/>
      <c r="BH558" s="1457"/>
      <c r="BI558" s="1457"/>
      <c r="BJ558" s="1457"/>
      <c r="BK558" s="1457"/>
      <c r="BL558" s="1457"/>
      <c r="BM558" s="1457"/>
      <c r="BN558" s="1457"/>
      <c r="BO558" s="1457"/>
      <c r="BP558" s="1457"/>
      <c r="BQ558" s="1457"/>
      <c r="BR558" s="1457"/>
      <c r="BS558" s="1457"/>
      <c r="BT558" s="1457"/>
      <c r="BU558" s="1457"/>
      <c r="BV558" s="1457"/>
      <c r="BW558" s="1457"/>
      <c r="BX558" s="1457"/>
      <c r="BY558" s="1457"/>
      <c r="BZ558" s="1457"/>
      <c r="CA558" s="1457"/>
      <c r="CB558" s="1457"/>
      <c r="CC558" s="1457"/>
      <c r="CD558" s="1457"/>
      <c r="CE558" s="1457"/>
      <c r="CF558" s="1457"/>
      <c r="CG558" s="1457"/>
      <c r="CH558" s="1457"/>
      <c r="CI558" s="1457"/>
      <c r="CJ558" s="1457"/>
      <c r="CK558" s="1457"/>
      <c r="CL558" s="1457"/>
      <c r="CM558" s="1457"/>
      <c r="CN558" s="1457"/>
      <c r="CO558" s="1457"/>
      <c r="CP558" s="1457"/>
      <c r="CQ558" s="1457"/>
      <c r="CR558" s="1457"/>
      <c r="CS558" s="1457"/>
      <c r="CT558" s="1457"/>
      <c r="CU558" s="1457"/>
      <c r="CV558" s="1457"/>
      <c r="CW558" s="1457"/>
      <c r="CX558" s="1457"/>
      <c r="CY558" s="1457"/>
      <c r="CZ558" s="1457"/>
      <c r="DA558" s="1457"/>
      <c r="DB558" s="1457"/>
      <c r="DC558" s="1457"/>
      <c r="DD558" s="1457"/>
      <c r="DE558" s="1457"/>
      <c r="DF558" s="1457"/>
      <c r="DG558" s="1457"/>
      <c r="DH558" s="1457"/>
      <c r="DI558" s="1457"/>
      <c r="DJ558" s="1457"/>
      <c r="DK558" s="1457"/>
      <c r="DL558" s="1457"/>
      <c r="DM558" s="1457"/>
      <c r="DN558" s="1457"/>
      <c r="DO558" s="1457"/>
      <c r="DP558" s="1457"/>
      <c r="DQ558" s="1457"/>
      <c r="DR558" s="1457"/>
      <c r="DS558" s="1457"/>
      <c r="DT558" s="1457"/>
      <c r="DU558" s="1457"/>
      <c r="DV558" s="1457"/>
      <c r="DW558" s="1457"/>
      <c r="DX558" s="1457"/>
      <c r="DY558" s="1457"/>
      <c r="DZ558" s="1457"/>
      <c r="EA558" s="1457"/>
      <c r="EB558" s="1457"/>
      <c r="EC558" s="1457"/>
      <c r="ED558" s="1457"/>
      <c r="EE558" s="1457"/>
      <c r="EF558" s="1457"/>
      <c r="EG558" s="1457"/>
      <c r="EH558" s="1457"/>
      <c r="EI558" s="1457"/>
      <c r="EJ558" s="1457"/>
      <c r="EK558" s="1457"/>
      <c r="EL558" s="1457"/>
      <c r="EM558" s="1457"/>
      <c r="EN558" s="1457"/>
      <c r="EO558" s="1457"/>
      <c r="EP558" s="1457"/>
      <c r="EQ558" s="1457"/>
      <c r="ER558" s="1457"/>
      <c r="ES558" s="1457"/>
      <c r="ET558" s="1457"/>
      <c r="EU558" s="1457"/>
      <c r="EV558" s="1457"/>
      <c r="EW558" s="1457"/>
      <c r="EX558" s="1457"/>
      <c r="EY558" s="1457"/>
      <c r="EZ558" s="1457"/>
      <c r="FA558" s="1457"/>
      <c r="FB558" s="1457"/>
      <c r="FC558" s="1457"/>
      <c r="FD558"/>
      <c r="FE558"/>
      <c r="FF558"/>
      <c r="FG558"/>
      <c r="FH558"/>
      <c r="FI558"/>
    </row>
    <row r="559" spans="1:165" s="33" customFormat="1">
      <c r="A559" s="58"/>
      <c r="B559" s="58" t="s">
        <v>751</v>
      </c>
      <c r="C559" s="58"/>
      <c r="D559" s="58"/>
      <c r="E559" s="1457"/>
      <c r="F559" s="1457"/>
      <c r="G559" s="1457"/>
      <c r="H559" s="1457"/>
      <c r="I559" s="1457"/>
      <c r="J559" s="1457"/>
      <c r="K559" s="1457"/>
      <c r="L559" s="1457"/>
      <c r="M559" s="1457"/>
      <c r="N559" s="1457"/>
      <c r="O559" s="1457"/>
      <c r="P559" s="1457"/>
      <c r="Q559" s="1457"/>
      <c r="R559" s="1457"/>
      <c r="S559" s="1457"/>
      <c r="T559" s="1457"/>
      <c r="U559" s="1457"/>
      <c r="V559" s="1457"/>
      <c r="W559" s="1457"/>
      <c r="X559" s="1457"/>
      <c r="Y559" s="1457"/>
      <c r="Z559" s="1457"/>
      <c r="AA559" s="1457"/>
      <c r="AB559" s="1457"/>
      <c r="AC559" s="1457"/>
      <c r="AD559" s="1457"/>
      <c r="AE559" s="1457"/>
      <c r="AF559" s="1457"/>
      <c r="AG559" s="1457"/>
      <c r="AH559" s="1457"/>
      <c r="AI559" s="1457"/>
      <c r="AJ559" s="1457"/>
      <c r="AK559" s="1457"/>
      <c r="AL559" s="1457"/>
      <c r="AM559" s="1457"/>
      <c r="AN559" s="1457"/>
      <c r="AO559" s="1457"/>
      <c r="AP559" s="1457"/>
      <c r="AQ559" s="1457"/>
      <c r="AR559" s="1457"/>
      <c r="AS559" s="1457"/>
      <c r="AT559" s="1457"/>
      <c r="AU559" s="1457"/>
      <c r="AV559" s="1457"/>
      <c r="AW559" s="1457"/>
      <c r="AX559" s="1457"/>
      <c r="AY559" s="1457"/>
      <c r="AZ559" s="1457"/>
      <c r="BA559" s="1457"/>
      <c r="BB559" s="1457"/>
      <c r="BC559" s="1457"/>
      <c r="BD559" s="1457"/>
      <c r="BE559" s="1457"/>
      <c r="BF559" s="1457"/>
      <c r="BG559" s="1457"/>
      <c r="BH559" s="1457"/>
      <c r="BI559" s="1457"/>
      <c r="BJ559" s="1457"/>
      <c r="BK559" s="1457"/>
      <c r="BL559" s="1457"/>
      <c r="BM559" s="1457"/>
      <c r="BN559" s="1457"/>
      <c r="BO559" s="1457"/>
      <c r="BP559" s="1457"/>
      <c r="BQ559" s="1457"/>
      <c r="BR559" s="1457"/>
      <c r="BS559" s="1457"/>
      <c r="BT559" s="1457"/>
      <c r="BU559" s="1457"/>
      <c r="BV559" s="1457"/>
      <c r="BW559" s="1457"/>
      <c r="BX559" s="1457"/>
      <c r="BY559" s="1457"/>
      <c r="BZ559" s="1457"/>
      <c r="CA559" s="1457"/>
      <c r="CB559" s="1457"/>
      <c r="CC559" s="1457"/>
      <c r="CD559" s="1457"/>
      <c r="CE559" s="1457"/>
      <c r="CF559" s="1457"/>
      <c r="CG559" s="1457"/>
      <c r="CH559" s="1457"/>
      <c r="CI559" s="1457"/>
      <c r="CJ559" s="1457"/>
      <c r="CK559" s="1457"/>
      <c r="CL559" s="1457"/>
      <c r="CM559" s="1457"/>
      <c r="CN559" s="1457"/>
      <c r="CO559" s="1457"/>
      <c r="CP559" s="1457"/>
      <c r="CQ559" s="1457"/>
      <c r="CR559" s="1457"/>
      <c r="CS559" s="1457"/>
      <c r="CT559" s="1457"/>
      <c r="CU559" s="1457"/>
      <c r="CV559" s="1457"/>
      <c r="CW559" s="1457"/>
      <c r="CX559" s="1457"/>
      <c r="CY559" s="1457"/>
      <c r="CZ559" s="1457"/>
      <c r="DA559" s="1457"/>
      <c r="DB559" s="1457"/>
      <c r="DC559" s="1457"/>
      <c r="DD559" s="1457"/>
      <c r="DE559" s="1457"/>
      <c r="DF559" s="1457"/>
      <c r="DG559" s="1457"/>
      <c r="DH559" s="1457"/>
      <c r="DI559" s="1457"/>
      <c r="DJ559" s="1457"/>
      <c r="DK559" s="1457"/>
      <c r="DL559" s="1457"/>
      <c r="DM559" s="1457"/>
      <c r="DN559" s="1457"/>
      <c r="DO559" s="1457"/>
      <c r="DP559" s="1457"/>
      <c r="DQ559" s="1457"/>
      <c r="DR559" s="1457"/>
      <c r="DS559" s="1457"/>
      <c r="DT559" s="1457"/>
      <c r="DU559" s="1457"/>
      <c r="DV559" s="1457"/>
      <c r="DW559" s="1457"/>
      <c r="DX559" s="1457"/>
      <c r="DY559" s="1457"/>
      <c r="DZ559" s="1457"/>
      <c r="EA559" s="1457"/>
      <c r="EB559" s="1457"/>
      <c r="EC559" s="1457"/>
      <c r="ED559" s="1457"/>
      <c r="EE559" s="1457"/>
      <c r="EF559" s="1457"/>
      <c r="EG559" s="1457"/>
      <c r="EH559" s="1457"/>
      <c r="EI559" s="1457"/>
      <c r="EJ559" s="1457"/>
      <c r="EK559" s="1457"/>
      <c r="EL559" s="1457"/>
      <c r="EM559" s="1457"/>
      <c r="EN559" s="1457"/>
      <c r="EO559" s="1457"/>
      <c r="EP559" s="1457"/>
      <c r="EQ559" s="1457"/>
      <c r="ER559" s="1457"/>
      <c r="ES559" s="1457"/>
      <c r="ET559" s="1457"/>
      <c r="EU559" s="1457"/>
      <c r="EV559" s="1457"/>
      <c r="EW559" s="1457"/>
      <c r="EX559" s="1457"/>
      <c r="EY559" s="1457"/>
      <c r="EZ559" s="1457"/>
      <c r="FA559" s="1457"/>
      <c r="FB559" s="1457"/>
      <c r="FC559" s="1457"/>
      <c r="FD559"/>
      <c r="FE559"/>
      <c r="FF559"/>
      <c r="FG559"/>
      <c r="FH559"/>
      <c r="FI559"/>
    </row>
    <row r="560" spans="1:165" s="33" customFormat="1">
      <c r="A560" s="58"/>
      <c r="B560" s="58" t="s">
        <v>752</v>
      </c>
      <c r="C560" s="58"/>
      <c r="D560" s="58"/>
      <c r="E560" s="1487"/>
      <c r="F560" s="1487"/>
      <c r="G560" s="1487"/>
      <c r="H560" s="1487"/>
      <c r="I560" s="1487"/>
      <c r="J560" s="1487"/>
      <c r="K560" s="1487">
        <f>K317</f>
        <v>0</v>
      </c>
      <c r="L560" s="1487"/>
      <c r="M560" s="1487">
        <f>M317</f>
        <v>0</v>
      </c>
      <c r="N560" s="1487"/>
      <c r="O560" s="1487">
        <f>O317</f>
        <v>0</v>
      </c>
      <c r="P560" s="1487">
        <f>P317</f>
        <v>0</v>
      </c>
      <c r="Q560" s="1487"/>
      <c r="R560" s="1487">
        <f>R317</f>
        <v>0</v>
      </c>
      <c r="S560" s="1487"/>
      <c r="T560" s="1487">
        <f>T317</f>
        <v>0</v>
      </c>
      <c r="U560" s="1487">
        <f>U317</f>
        <v>0</v>
      </c>
      <c r="V560" s="1487"/>
      <c r="W560" s="1487">
        <f>W317</f>
        <v>0</v>
      </c>
      <c r="X560" s="1487"/>
      <c r="Y560" s="1487">
        <f>Y317</f>
        <v>0</v>
      </c>
      <c r="Z560" s="1487">
        <f>Z317</f>
        <v>0</v>
      </c>
      <c r="AA560" s="1487"/>
      <c r="AB560" s="1487">
        <f>AB317</f>
        <v>0</v>
      </c>
      <c r="AC560" s="1487"/>
      <c r="AD560" s="1487">
        <f>AD317</f>
        <v>0</v>
      </c>
      <c r="AE560" s="1487">
        <f>AE317</f>
        <v>0</v>
      </c>
      <c r="AF560" s="1487"/>
      <c r="AG560" s="1487">
        <f>AG317</f>
        <v>0</v>
      </c>
      <c r="AH560" s="1487"/>
      <c r="AI560" s="1487">
        <f t="shared" ref="AI560:AO560" si="1137">AI317</f>
        <v>0</v>
      </c>
      <c r="AJ560" s="1487">
        <f t="shared" si="1137"/>
        <v>0</v>
      </c>
      <c r="AK560" s="1487">
        <f t="shared" si="1137"/>
        <v>0</v>
      </c>
      <c r="AL560" s="1487">
        <f t="shared" si="1137"/>
        <v>0</v>
      </c>
      <c r="AM560" s="1487">
        <f t="shared" si="1137"/>
        <v>0</v>
      </c>
      <c r="AN560" s="1487">
        <f t="shared" si="1137"/>
        <v>0</v>
      </c>
      <c r="AO560" s="1487">
        <f t="shared" si="1137"/>
        <v>0</v>
      </c>
      <c r="AP560" s="1487"/>
      <c r="AQ560" s="1487">
        <f>AQ317</f>
        <v>0</v>
      </c>
      <c r="AR560" s="1487"/>
      <c r="AS560" s="1487">
        <f>AS317</f>
        <v>0</v>
      </c>
      <c r="AT560" s="1487">
        <f>AT317</f>
        <v>0</v>
      </c>
      <c r="AU560" s="1487"/>
      <c r="AV560" s="1487">
        <f>AV317</f>
        <v>0</v>
      </c>
      <c r="AW560" s="1487"/>
      <c r="AX560" s="1487">
        <f>AX317</f>
        <v>0</v>
      </c>
      <c r="AY560" s="1487">
        <f>AY317</f>
        <v>0</v>
      </c>
      <c r="AZ560" s="1487"/>
      <c r="BA560" s="1487">
        <f>BA317</f>
        <v>0</v>
      </c>
      <c r="BB560" s="1487"/>
      <c r="BC560" s="1487">
        <f>BC317</f>
        <v>0</v>
      </c>
      <c r="BD560" s="1487">
        <f>BD317</f>
        <v>0</v>
      </c>
      <c r="BE560" s="1487"/>
      <c r="BF560" s="1487">
        <f>BF317</f>
        <v>0</v>
      </c>
      <c r="BG560" s="1487"/>
      <c r="BH560" s="1487">
        <f>BH317</f>
        <v>0</v>
      </c>
      <c r="BI560" s="1487">
        <f>BI317</f>
        <v>0</v>
      </c>
      <c r="BJ560" s="1487"/>
      <c r="BK560" s="1487">
        <f>BK317</f>
        <v>0</v>
      </c>
      <c r="BL560" s="1487"/>
      <c r="BM560" s="1487">
        <f t="shared" ref="BM560:BU560" si="1138">BM317</f>
        <v>0</v>
      </c>
      <c r="BN560" s="1487">
        <f t="shared" si="1138"/>
        <v>0</v>
      </c>
      <c r="BO560" s="1487">
        <f t="shared" si="1138"/>
        <v>0</v>
      </c>
      <c r="BP560" s="1487">
        <f t="shared" si="1138"/>
        <v>0</v>
      </c>
      <c r="BQ560" s="1487">
        <f t="shared" si="1138"/>
        <v>0</v>
      </c>
      <c r="BR560" s="1487">
        <f t="shared" si="1138"/>
        <v>0</v>
      </c>
      <c r="BS560" s="1487">
        <f t="shared" si="1138"/>
        <v>0</v>
      </c>
      <c r="BT560" s="1487">
        <f t="shared" si="1138"/>
        <v>0</v>
      </c>
      <c r="BU560" s="1487">
        <f t="shared" si="1138"/>
        <v>0</v>
      </c>
      <c r="BV560" s="1487">
        <f>BV315</f>
        <v>0</v>
      </c>
      <c r="BW560" s="1487">
        <f t="shared" ref="BW560:DT560" si="1139">BW315</f>
        <v>2699.998</v>
      </c>
      <c r="BX560" s="1487">
        <f t="shared" si="1139"/>
        <v>2699.998</v>
      </c>
      <c r="BY560" s="1487">
        <f t="shared" si="1139"/>
        <v>0</v>
      </c>
      <c r="BZ560" s="1487">
        <f t="shared" si="1139"/>
        <v>4432</v>
      </c>
      <c r="CA560" s="1487">
        <f t="shared" si="1139"/>
        <v>4432</v>
      </c>
      <c r="CB560" s="1487">
        <f t="shared" si="1139"/>
        <v>0</v>
      </c>
      <c r="CC560" s="1487">
        <f t="shared" si="1139"/>
        <v>3590.0030000000002</v>
      </c>
      <c r="CD560" s="1487">
        <f t="shared" si="1139"/>
        <v>3590.0030000000002</v>
      </c>
      <c r="CE560" s="1487">
        <f t="shared" si="1139"/>
        <v>0</v>
      </c>
      <c r="CF560" s="1487">
        <f t="shared" si="1139"/>
        <v>3916.0010000000002</v>
      </c>
      <c r="CG560" s="1487">
        <f t="shared" si="1139"/>
        <v>3916.0010000000002</v>
      </c>
      <c r="CH560" s="1487">
        <f t="shared" si="1139"/>
        <v>3372.4630000000002</v>
      </c>
      <c r="CI560" s="1487">
        <f t="shared" si="1139"/>
        <v>3428.3</v>
      </c>
      <c r="CJ560" s="1487">
        <f t="shared" si="1139"/>
        <v>3428.3</v>
      </c>
      <c r="CK560" s="1487">
        <f t="shared" si="1139"/>
        <v>3006.8</v>
      </c>
      <c r="CL560" s="1487">
        <f t="shared" si="1139"/>
        <v>3006.8</v>
      </c>
      <c r="CM560" s="1487">
        <f t="shared" si="1139"/>
        <v>3006.8</v>
      </c>
      <c r="CN560" s="1487">
        <f t="shared" si="1139"/>
        <v>3292.5999999999995</v>
      </c>
      <c r="CO560" s="1487">
        <f t="shared" si="1139"/>
        <v>3162</v>
      </c>
      <c r="CP560" s="1487">
        <f t="shared" si="1139"/>
        <v>3162</v>
      </c>
      <c r="CQ560" s="1487">
        <f t="shared" si="1139"/>
        <v>2998.1</v>
      </c>
      <c r="CR560" s="1487">
        <f t="shared" si="1139"/>
        <v>2746.9</v>
      </c>
      <c r="CS560" s="1487">
        <f t="shared" si="1139"/>
        <v>2746.9</v>
      </c>
      <c r="CT560" s="1487">
        <f t="shared" si="1139"/>
        <v>2846.7000000000003</v>
      </c>
      <c r="CU560" s="1487">
        <f t="shared" si="1139"/>
        <v>2567.2000000000003</v>
      </c>
      <c r="CV560" s="1487">
        <f t="shared" si="1139"/>
        <v>2567.2000000000003</v>
      </c>
      <c r="CW560" s="1487">
        <f t="shared" si="1139"/>
        <v>2906.8</v>
      </c>
      <c r="CX560" s="1487">
        <f t="shared" si="1139"/>
        <v>3163.7999999999993</v>
      </c>
      <c r="CY560" s="1487">
        <f t="shared" si="1139"/>
        <v>3163.7999999999993</v>
      </c>
      <c r="CZ560" s="1487">
        <f t="shared" si="1139"/>
        <v>3843</v>
      </c>
      <c r="DA560" s="1487">
        <f t="shared" si="1139"/>
        <v>4079.9000000000005</v>
      </c>
      <c r="DB560" s="1487">
        <f t="shared" si="1139"/>
        <v>4079.9000000000005</v>
      </c>
      <c r="DC560" s="1487">
        <f t="shared" si="1139"/>
        <v>4852.0999999999995</v>
      </c>
      <c r="DD560" s="1487">
        <f t="shared" si="1139"/>
        <v>5251.2999999999993</v>
      </c>
      <c r="DE560" s="1487">
        <f t="shared" si="1139"/>
        <v>5251.2999999999993</v>
      </c>
      <c r="DF560" s="1487">
        <f t="shared" si="1139"/>
        <v>6079.4000000000005</v>
      </c>
      <c r="DG560" s="1487">
        <f t="shared" si="1139"/>
        <v>6527.5900000000011</v>
      </c>
      <c r="DH560" s="1487">
        <f t="shared" si="1139"/>
        <v>6527.5900000000011</v>
      </c>
      <c r="DI560" s="1487">
        <f t="shared" si="1139"/>
        <v>8154.2999999999993</v>
      </c>
      <c r="DJ560" s="1487">
        <f t="shared" si="1139"/>
        <v>8381.6</v>
      </c>
      <c r="DK560" s="1487">
        <f t="shared" si="1139"/>
        <v>8381.6</v>
      </c>
      <c r="DL560" s="1487">
        <f t="shared" si="1139"/>
        <v>14033.2</v>
      </c>
      <c r="DM560" s="1487">
        <f t="shared" si="1139"/>
        <v>14577.5</v>
      </c>
      <c r="DN560" s="1487">
        <f t="shared" si="1139"/>
        <v>14577.5</v>
      </c>
      <c r="DO560" s="1487">
        <f t="shared" si="1139"/>
        <v>15675.800000000001</v>
      </c>
      <c r="DP560" s="1487">
        <f t="shared" si="1139"/>
        <v>15786</v>
      </c>
      <c r="DQ560" s="1487">
        <f t="shared" si="1139"/>
        <v>15786</v>
      </c>
      <c r="DR560" s="1487">
        <f t="shared" si="1139"/>
        <v>17177</v>
      </c>
      <c r="DS560" s="1487">
        <f t="shared" si="1139"/>
        <v>17363</v>
      </c>
      <c r="DT560" s="1487">
        <f t="shared" si="1139"/>
        <v>17363</v>
      </c>
      <c r="DU560" s="1487">
        <f t="shared" ref="DU560:DZ560" si="1140">DU315</f>
        <v>18559</v>
      </c>
      <c r="DV560" s="1487">
        <f t="shared" si="1140"/>
        <v>19335</v>
      </c>
      <c r="DW560" s="1487">
        <f t="shared" si="1140"/>
        <v>19335</v>
      </c>
      <c r="DX560" s="1487">
        <f t="shared" si="1140"/>
        <v>18658</v>
      </c>
      <c r="DY560" s="1487">
        <f t="shared" si="1140"/>
        <v>18970.599307729066</v>
      </c>
      <c r="DZ560" s="1487">
        <f t="shared" si="1140"/>
        <v>18970.599307729066</v>
      </c>
      <c r="EA560" s="1487">
        <f t="shared" ref="EA560:EF560" si="1141">EA315</f>
        <v>19769.598516811926</v>
      </c>
      <c r="EB560" s="1487">
        <f t="shared" si="1141"/>
        <v>20057.012884004816</v>
      </c>
      <c r="EC560" s="1487">
        <f t="shared" si="1141"/>
        <v>20057.012884004816</v>
      </c>
      <c r="ED560" s="1487">
        <f t="shared" si="1141"/>
        <v>21095.733984740364</v>
      </c>
      <c r="EE560" s="1487">
        <f t="shared" si="1141"/>
        <v>21450.750826254945</v>
      </c>
      <c r="EF560" s="1487">
        <f t="shared" si="1141"/>
        <v>21450.750826254945</v>
      </c>
      <c r="EG560" s="1487">
        <f t="shared" ref="EG560:EL560" si="1142">EG315</f>
        <v>22994.959921998099</v>
      </c>
      <c r="EH560" s="1487">
        <f t="shared" si="1142"/>
        <v>23846.43306915346</v>
      </c>
      <c r="EI560" s="1487">
        <f t="shared" si="1142"/>
        <v>23846.43306915346</v>
      </c>
      <c r="EJ560" s="1487">
        <f t="shared" si="1142"/>
        <v>25515.655725560973</v>
      </c>
      <c r="EK560" s="1487">
        <f t="shared" si="1142"/>
        <v>26505.289108277364</v>
      </c>
      <c r="EL560" s="1487">
        <f t="shared" si="1142"/>
        <v>26505.289108277364</v>
      </c>
      <c r="EM560" s="1487">
        <f t="shared" ref="EM560:ER560" si="1143">EM315</f>
        <v>28329.049480803787</v>
      </c>
      <c r="EN560" s="1487">
        <f t="shared" si="1143"/>
        <v>29436.765168580572</v>
      </c>
      <c r="EO560" s="1487">
        <f t="shared" si="1143"/>
        <v>29436.765168580572</v>
      </c>
      <c r="EP560" s="1487">
        <f t="shared" si="1143"/>
        <v>31406.969206807767</v>
      </c>
      <c r="EQ560" s="1487">
        <f t="shared" si="1143"/>
        <v>32663.932595086706</v>
      </c>
      <c r="ER560" s="1487">
        <f t="shared" si="1143"/>
        <v>32663.932595086706</v>
      </c>
      <c r="ES560" s="1487">
        <f t="shared" ref="ES560:FA560" si="1144">ES315</f>
        <v>34755.563397137994</v>
      </c>
      <c r="ET560" s="1487">
        <f t="shared" si="1144"/>
        <v>36147.847625324372</v>
      </c>
      <c r="EU560" s="1487">
        <f t="shared" si="1144"/>
        <v>36147.847625324372</v>
      </c>
      <c r="EV560" s="1487">
        <f t="shared" si="1144"/>
        <v>38349.624599948998</v>
      </c>
      <c r="EW560" s="1487">
        <f t="shared" si="1144"/>
        <v>39860.319223367551</v>
      </c>
      <c r="EX560" s="1487">
        <f t="shared" si="1144"/>
        <v>39860.319223367551</v>
      </c>
      <c r="EY560" s="1487">
        <f t="shared" si="1144"/>
        <v>42197.983452784982</v>
      </c>
      <c r="EZ560" s="1487">
        <f t="shared" si="1144"/>
        <v>43835.249547234685</v>
      </c>
      <c r="FA560" s="1487">
        <f t="shared" si="1144"/>
        <v>43835.249547234685</v>
      </c>
      <c r="FB560" s="1487"/>
      <c r="FC560" s="1487"/>
      <c r="FD560"/>
      <c r="FE560"/>
      <c r="FF560"/>
      <c r="FG560"/>
      <c r="FH560"/>
      <c r="FI560"/>
    </row>
    <row r="561" spans="1:165" s="33" customFormat="1">
      <c r="A561" s="58"/>
      <c r="B561" s="58" t="s">
        <v>689</v>
      </c>
      <c r="C561" s="58"/>
      <c r="D561" s="58"/>
      <c r="E561" s="1487"/>
      <c r="F561" s="1487"/>
      <c r="G561" s="1487"/>
      <c r="H561" s="1487"/>
      <c r="I561" s="1487"/>
      <c r="J561" s="1487"/>
      <c r="K561" s="1487"/>
      <c r="L561" s="1487"/>
      <c r="M561" s="1487"/>
      <c r="N561" s="1487"/>
      <c r="O561" s="1487"/>
      <c r="P561" s="1487"/>
      <c r="Q561" s="1487"/>
      <c r="R561" s="1487"/>
      <c r="S561" s="1487"/>
      <c r="T561" s="1487"/>
      <c r="U561" s="1487"/>
      <c r="V561" s="1487"/>
      <c r="W561" s="1487"/>
      <c r="X561" s="1487"/>
      <c r="Y561" s="1487"/>
      <c r="Z561" s="1487"/>
      <c r="AA561" s="1487"/>
      <c r="AB561" s="1487"/>
      <c r="AC561" s="1487"/>
      <c r="AD561" s="1487"/>
      <c r="AE561" s="1487">
        <f>AE318</f>
        <v>0</v>
      </c>
      <c r="AF561" s="1487"/>
      <c r="AG561" s="1487">
        <f>AG318</f>
        <v>0</v>
      </c>
      <c r="AH561" s="1487"/>
      <c r="AI561" s="1487">
        <f t="shared" ref="AI561:AO561" si="1145">AI318-12</f>
        <v>-12</v>
      </c>
      <c r="AJ561" s="1487">
        <f t="shared" si="1145"/>
        <v>-12</v>
      </c>
      <c r="AK561" s="1487">
        <f t="shared" si="1145"/>
        <v>-12</v>
      </c>
      <c r="AL561" s="1487">
        <f t="shared" si="1145"/>
        <v>-12</v>
      </c>
      <c r="AM561" s="1487">
        <f t="shared" si="1145"/>
        <v>-12</v>
      </c>
      <c r="AN561" s="1487">
        <f t="shared" si="1145"/>
        <v>-12</v>
      </c>
      <c r="AO561" s="1487">
        <f t="shared" si="1145"/>
        <v>-12</v>
      </c>
      <c r="AP561" s="1487"/>
      <c r="AQ561" s="1487">
        <f>AQ318-12</f>
        <v>-12</v>
      </c>
      <c r="AR561" s="1487"/>
      <c r="AS561" s="1487">
        <f>AS318-12</f>
        <v>-12</v>
      </c>
      <c r="AT561" s="1487">
        <f>AT318-12</f>
        <v>-12</v>
      </c>
      <c r="AU561" s="1487"/>
      <c r="AV561" s="1487">
        <f>AV318-12</f>
        <v>-12</v>
      </c>
      <c r="AW561" s="1487"/>
      <c r="AX561" s="1487">
        <f>AX318-12</f>
        <v>-12</v>
      </c>
      <c r="AY561" s="1487">
        <f>AY318-12</f>
        <v>-12</v>
      </c>
      <c r="AZ561" s="1487"/>
      <c r="BA561" s="1487">
        <f>BA318-12</f>
        <v>-12</v>
      </c>
      <c r="BB561" s="1487"/>
      <c r="BC561" s="1487">
        <f>BC318-12</f>
        <v>-12</v>
      </c>
      <c r="BD561" s="1487">
        <f>BD318-12</f>
        <v>-12</v>
      </c>
      <c r="BE561" s="1487"/>
      <c r="BF561" s="1487">
        <f>BF318-12</f>
        <v>-12</v>
      </c>
      <c r="BG561" s="1487"/>
      <c r="BH561" s="1487">
        <f>BH318-12</f>
        <v>-12</v>
      </c>
      <c r="BI561" s="1487">
        <f>BI318-12</f>
        <v>-12</v>
      </c>
      <c r="BJ561" s="1487"/>
      <c r="BK561" s="1487">
        <f>BK318-12</f>
        <v>-12</v>
      </c>
      <c r="BL561" s="1487"/>
      <c r="BM561" s="1487">
        <f t="shared" ref="BM561:BU561" si="1146">BM318-12</f>
        <v>-12</v>
      </c>
      <c r="BN561" s="1487">
        <f t="shared" si="1146"/>
        <v>-12</v>
      </c>
      <c r="BO561" s="1487">
        <f t="shared" si="1146"/>
        <v>-12</v>
      </c>
      <c r="BP561" s="1487">
        <f t="shared" si="1146"/>
        <v>-12</v>
      </c>
      <c r="BQ561" s="1487">
        <f t="shared" si="1146"/>
        <v>-12</v>
      </c>
      <c r="BR561" s="1487">
        <f t="shared" si="1146"/>
        <v>-12</v>
      </c>
      <c r="BS561" s="1487">
        <f t="shared" si="1146"/>
        <v>-12</v>
      </c>
      <c r="BT561" s="1487">
        <f t="shared" si="1146"/>
        <v>-12</v>
      </c>
      <c r="BU561" s="1487">
        <f t="shared" si="1146"/>
        <v>-12</v>
      </c>
      <c r="BV561" s="1487">
        <f>BV318</f>
        <v>0</v>
      </c>
      <c r="BW561" s="1487">
        <f t="shared" ref="BW561:DT561" si="1147">BW318</f>
        <v>0</v>
      </c>
      <c r="BX561" s="1487">
        <f t="shared" si="1147"/>
        <v>0</v>
      </c>
      <c r="BY561" s="1487">
        <f t="shared" si="1147"/>
        <v>0</v>
      </c>
      <c r="BZ561" s="1487">
        <f t="shared" si="1147"/>
        <v>0</v>
      </c>
      <c r="CA561" s="1487">
        <f t="shared" si="1147"/>
        <v>0</v>
      </c>
      <c r="CB561" s="1487">
        <f t="shared" si="1147"/>
        <v>0</v>
      </c>
      <c r="CC561" s="1487">
        <f t="shared" si="1147"/>
        <v>0</v>
      </c>
      <c r="CD561" s="1487">
        <f t="shared" si="1147"/>
        <v>0</v>
      </c>
      <c r="CE561" s="1487">
        <f t="shared" si="1147"/>
        <v>0</v>
      </c>
      <c r="CF561" s="1487">
        <f t="shared" si="1147"/>
        <v>0</v>
      </c>
      <c r="CG561" s="1487">
        <f t="shared" si="1147"/>
        <v>0</v>
      </c>
      <c r="CH561" s="1487">
        <f t="shared" si="1147"/>
        <v>0</v>
      </c>
      <c r="CI561" s="1487">
        <f t="shared" si="1147"/>
        <v>0</v>
      </c>
      <c r="CJ561" s="1487">
        <f t="shared" si="1147"/>
        <v>0</v>
      </c>
      <c r="CK561" s="1487">
        <f t="shared" si="1147"/>
        <v>0</v>
      </c>
      <c r="CL561" s="1487">
        <f t="shared" si="1147"/>
        <v>0</v>
      </c>
      <c r="CM561" s="1487">
        <f t="shared" si="1147"/>
        <v>0</v>
      </c>
      <c r="CN561" s="1487">
        <f t="shared" si="1147"/>
        <v>0</v>
      </c>
      <c r="CO561" s="1487">
        <f t="shared" si="1147"/>
        <v>0</v>
      </c>
      <c r="CP561" s="1487">
        <f t="shared" si="1147"/>
        <v>0</v>
      </c>
      <c r="CQ561" s="1487">
        <f t="shared" si="1147"/>
        <v>0</v>
      </c>
      <c r="CR561" s="1487">
        <f t="shared" si="1147"/>
        <v>0</v>
      </c>
      <c r="CS561" s="1487">
        <f t="shared" si="1147"/>
        <v>0</v>
      </c>
      <c r="CT561" s="1487">
        <f t="shared" si="1147"/>
        <v>0</v>
      </c>
      <c r="CU561" s="1487">
        <f t="shared" si="1147"/>
        <v>0</v>
      </c>
      <c r="CV561" s="1487">
        <f t="shared" si="1147"/>
        <v>0</v>
      </c>
      <c r="CW561" s="1487">
        <f t="shared" si="1147"/>
        <v>0</v>
      </c>
      <c r="CX561" s="1487">
        <f t="shared" si="1147"/>
        <v>0</v>
      </c>
      <c r="CY561" s="1487">
        <f t="shared" si="1147"/>
        <v>0</v>
      </c>
      <c r="CZ561" s="1487">
        <f t="shared" si="1147"/>
        <v>0</v>
      </c>
      <c r="DA561" s="1487">
        <f t="shared" si="1147"/>
        <v>0</v>
      </c>
      <c r="DB561" s="1487">
        <f t="shared" si="1147"/>
        <v>0</v>
      </c>
      <c r="DC561" s="1487">
        <f t="shared" si="1147"/>
        <v>0</v>
      </c>
      <c r="DD561" s="1487">
        <f t="shared" si="1147"/>
        <v>0</v>
      </c>
      <c r="DE561" s="1487">
        <f t="shared" si="1147"/>
        <v>0</v>
      </c>
      <c r="DF561" s="1487">
        <f t="shared" si="1147"/>
        <v>0</v>
      </c>
      <c r="DG561" s="1487">
        <f t="shared" si="1147"/>
        <v>0</v>
      </c>
      <c r="DH561" s="1487">
        <f t="shared" si="1147"/>
        <v>0</v>
      </c>
      <c r="DI561" s="1487">
        <f t="shared" si="1147"/>
        <v>0</v>
      </c>
      <c r="DJ561" s="1487">
        <f t="shared" si="1147"/>
        <v>0</v>
      </c>
      <c r="DK561" s="1487">
        <f t="shared" si="1147"/>
        <v>0</v>
      </c>
      <c r="DL561" s="1487">
        <f t="shared" si="1147"/>
        <v>0</v>
      </c>
      <c r="DM561" s="1487">
        <f t="shared" si="1147"/>
        <v>0</v>
      </c>
      <c r="DN561" s="1487">
        <f t="shared" si="1147"/>
        <v>0</v>
      </c>
      <c r="DO561" s="1487">
        <f t="shared" si="1147"/>
        <v>0</v>
      </c>
      <c r="DP561" s="1487">
        <f t="shared" si="1147"/>
        <v>0</v>
      </c>
      <c r="DQ561" s="1487">
        <f t="shared" si="1147"/>
        <v>0</v>
      </c>
      <c r="DR561" s="1487">
        <f t="shared" si="1147"/>
        <v>0</v>
      </c>
      <c r="DS561" s="1487">
        <f t="shared" si="1147"/>
        <v>0</v>
      </c>
      <c r="DT561" s="1487">
        <f t="shared" si="1147"/>
        <v>0</v>
      </c>
      <c r="DU561" s="1487">
        <f t="shared" ref="DU561:DZ561" si="1148">DU318</f>
        <v>0</v>
      </c>
      <c r="DV561" s="1487">
        <f t="shared" si="1148"/>
        <v>0</v>
      </c>
      <c r="DW561" s="1487">
        <f t="shared" si="1148"/>
        <v>0</v>
      </c>
      <c r="DX561" s="1487">
        <f t="shared" si="1148"/>
        <v>0</v>
      </c>
      <c r="DY561" s="1487">
        <f t="shared" si="1148"/>
        <v>0</v>
      </c>
      <c r="DZ561" s="1487">
        <f t="shared" si="1148"/>
        <v>0</v>
      </c>
      <c r="EA561" s="1487">
        <f t="shared" ref="EA561:EF561" si="1149">EA318</f>
        <v>0</v>
      </c>
      <c r="EB561" s="1487">
        <f t="shared" si="1149"/>
        <v>0</v>
      </c>
      <c r="EC561" s="1487">
        <f t="shared" si="1149"/>
        <v>0</v>
      </c>
      <c r="ED561" s="1487">
        <f t="shared" si="1149"/>
        <v>0</v>
      </c>
      <c r="EE561" s="1487">
        <f t="shared" si="1149"/>
        <v>0</v>
      </c>
      <c r="EF561" s="1487">
        <f t="shared" si="1149"/>
        <v>0</v>
      </c>
      <c r="EG561" s="1487">
        <f t="shared" ref="EG561:EL561" si="1150">EG318</f>
        <v>0</v>
      </c>
      <c r="EH561" s="1487">
        <f t="shared" si="1150"/>
        <v>0</v>
      </c>
      <c r="EI561" s="1487">
        <f t="shared" si="1150"/>
        <v>0</v>
      </c>
      <c r="EJ561" s="1487">
        <f t="shared" si="1150"/>
        <v>0</v>
      </c>
      <c r="EK561" s="1487">
        <f t="shared" si="1150"/>
        <v>0</v>
      </c>
      <c r="EL561" s="1487">
        <f t="shared" si="1150"/>
        <v>0</v>
      </c>
      <c r="EM561" s="1487">
        <f t="shared" ref="EM561:ER561" si="1151">EM318</f>
        <v>0</v>
      </c>
      <c r="EN561" s="1487">
        <f t="shared" si="1151"/>
        <v>0</v>
      </c>
      <c r="EO561" s="1487">
        <f t="shared" si="1151"/>
        <v>0</v>
      </c>
      <c r="EP561" s="1487">
        <f t="shared" si="1151"/>
        <v>0</v>
      </c>
      <c r="EQ561" s="1487">
        <f t="shared" si="1151"/>
        <v>0</v>
      </c>
      <c r="ER561" s="1487">
        <f t="shared" si="1151"/>
        <v>0</v>
      </c>
      <c r="ES561" s="1487">
        <f t="shared" ref="ES561:FA561" si="1152">ES318</f>
        <v>0</v>
      </c>
      <c r="ET561" s="1487">
        <f t="shared" si="1152"/>
        <v>0</v>
      </c>
      <c r="EU561" s="1487">
        <f t="shared" si="1152"/>
        <v>0</v>
      </c>
      <c r="EV561" s="1487">
        <f t="shared" si="1152"/>
        <v>0</v>
      </c>
      <c r="EW561" s="1487">
        <f t="shared" si="1152"/>
        <v>0</v>
      </c>
      <c r="EX561" s="1487">
        <f t="shared" si="1152"/>
        <v>0</v>
      </c>
      <c r="EY561" s="1487">
        <f t="shared" si="1152"/>
        <v>0</v>
      </c>
      <c r="EZ561" s="1487">
        <f t="shared" si="1152"/>
        <v>0</v>
      </c>
      <c r="FA561" s="1487">
        <f t="shared" si="1152"/>
        <v>0</v>
      </c>
      <c r="FB561" s="1487"/>
      <c r="FC561" s="1487"/>
      <c r="FD561"/>
      <c r="FE561"/>
      <c r="FF561"/>
      <c r="FG561"/>
      <c r="FH561"/>
      <c r="FI561"/>
    </row>
    <row r="562" spans="1:165" s="33" customFormat="1">
      <c r="A562" s="58"/>
      <c r="B562" s="58" t="s">
        <v>753</v>
      </c>
      <c r="C562" s="58"/>
      <c r="D562" s="58"/>
      <c r="E562" s="1487"/>
      <c r="F562" s="1487"/>
      <c r="G562" s="1487"/>
      <c r="H562" s="1487"/>
      <c r="I562" s="1487"/>
      <c r="J562" s="1487"/>
      <c r="K562" s="1487">
        <f>SUM(K560:K561)</f>
        <v>0</v>
      </c>
      <c r="L562" s="1487"/>
      <c r="M562" s="1487">
        <f>SUM(M560:M561)</f>
        <v>0</v>
      </c>
      <c r="N562" s="1487"/>
      <c r="O562" s="1487">
        <f>SUM(O560:O561)</f>
        <v>0</v>
      </c>
      <c r="P562" s="1487">
        <f>SUM(P560:P561)</f>
        <v>0</v>
      </c>
      <c r="Q562" s="1487"/>
      <c r="R562" s="1487">
        <f>SUM(R560:R561)</f>
        <v>0</v>
      </c>
      <c r="S562" s="1487"/>
      <c r="T562" s="1487">
        <f>SUM(T560:T561)</f>
        <v>0</v>
      </c>
      <c r="U562" s="1487">
        <f>SUM(U560:U561)</f>
        <v>0</v>
      </c>
      <c r="V562" s="1487"/>
      <c r="W562" s="1487">
        <f>SUM(W560:W561)</f>
        <v>0</v>
      </c>
      <c r="X562" s="1487"/>
      <c r="Y562" s="1487">
        <f>SUM(Y560:Y561)</f>
        <v>0</v>
      </c>
      <c r="Z562" s="1487">
        <f>SUM(Z560:Z561)</f>
        <v>0</v>
      </c>
      <c r="AA562" s="1487"/>
      <c r="AB562" s="1487">
        <f>SUM(AB560:AB561)</f>
        <v>0</v>
      </c>
      <c r="AC562" s="1487"/>
      <c r="AD562" s="1487">
        <f>SUM(AD560:AD561)</f>
        <v>0</v>
      </c>
      <c r="AE562" s="1487">
        <f>SUM(AE560:AE561)</f>
        <v>0</v>
      </c>
      <c r="AF562" s="1487"/>
      <c r="AG562" s="1487">
        <f>SUM(AG560:AG561)</f>
        <v>0</v>
      </c>
      <c r="AH562" s="1487"/>
      <c r="AI562" s="1487">
        <f t="shared" ref="AI562:AO562" si="1153">SUM(AI560:AI561)</f>
        <v>-12</v>
      </c>
      <c r="AJ562" s="1487">
        <f t="shared" si="1153"/>
        <v>-12</v>
      </c>
      <c r="AK562" s="1487">
        <f t="shared" si="1153"/>
        <v>-12</v>
      </c>
      <c r="AL562" s="1487">
        <f t="shared" si="1153"/>
        <v>-12</v>
      </c>
      <c r="AM562" s="1487">
        <f t="shared" si="1153"/>
        <v>-12</v>
      </c>
      <c r="AN562" s="1487">
        <f t="shared" si="1153"/>
        <v>-12</v>
      </c>
      <c r="AO562" s="1487">
        <f t="shared" si="1153"/>
        <v>-12</v>
      </c>
      <c r="AP562" s="1487"/>
      <c r="AQ562" s="1487">
        <f>SUM(AQ560:AQ561)</f>
        <v>-12</v>
      </c>
      <c r="AR562" s="1487"/>
      <c r="AS562" s="1487">
        <f>SUM(AS560:AS561)</f>
        <v>-12</v>
      </c>
      <c r="AT562" s="1487">
        <f>SUM(AT560:AT561)</f>
        <v>-12</v>
      </c>
      <c r="AU562" s="1487"/>
      <c r="AV562" s="1487">
        <f>SUM(AV560:AV561)</f>
        <v>-12</v>
      </c>
      <c r="AW562" s="1487"/>
      <c r="AX562" s="1487">
        <f>SUM(AX560:AX561)</f>
        <v>-12</v>
      </c>
      <c r="AY562" s="1487">
        <f>SUM(AY560:AY561)</f>
        <v>-12</v>
      </c>
      <c r="AZ562" s="1487"/>
      <c r="BA562" s="1487">
        <f>SUM(BA560:BA561)</f>
        <v>-12</v>
      </c>
      <c r="BB562" s="1487"/>
      <c r="BC562" s="1487">
        <f>SUM(BC560:BC561)</f>
        <v>-12</v>
      </c>
      <c r="BD562" s="1487">
        <f>SUM(BD560:BD561)</f>
        <v>-12</v>
      </c>
      <c r="BE562" s="1487"/>
      <c r="BF562" s="1487">
        <f>SUM(BF560:BF561)</f>
        <v>-12</v>
      </c>
      <c r="BG562" s="1487"/>
      <c r="BH562" s="1487">
        <f>SUM(BH560:BH561)</f>
        <v>-12</v>
      </c>
      <c r="BI562" s="1487">
        <f>SUM(BI560:BI561)</f>
        <v>-12</v>
      </c>
      <c r="BJ562" s="1487"/>
      <c r="BK562" s="1487">
        <f>SUM(BK560:BK561)</f>
        <v>-12</v>
      </c>
      <c r="BL562" s="1487"/>
      <c r="BM562" s="1487">
        <f t="shared" ref="BM562:BV562" si="1154">SUM(BM560:BM561)</f>
        <v>-12</v>
      </c>
      <c r="BN562" s="1487">
        <f t="shared" si="1154"/>
        <v>-12</v>
      </c>
      <c r="BO562" s="1487">
        <f t="shared" si="1154"/>
        <v>-12</v>
      </c>
      <c r="BP562" s="1487">
        <f t="shared" si="1154"/>
        <v>-12</v>
      </c>
      <c r="BQ562" s="1487">
        <f t="shared" si="1154"/>
        <v>-12</v>
      </c>
      <c r="BR562" s="1487">
        <f t="shared" si="1154"/>
        <v>-12</v>
      </c>
      <c r="BS562" s="1487">
        <f t="shared" si="1154"/>
        <v>-12</v>
      </c>
      <c r="BT562" s="1487">
        <f t="shared" si="1154"/>
        <v>-12</v>
      </c>
      <c r="BU562" s="1487">
        <f t="shared" si="1154"/>
        <v>-12</v>
      </c>
      <c r="BV562" s="1487">
        <f t="shared" si="1154"/>
        <v>0</v>
      </c>
      <c r="BW562" s="1487">
        <f t="shared" ref="BW562:DT562" si="1155">SUM(BW560:BW561)</f>
        <v>2699.998</v>
      </c>
      <c r="BX562" s="1487">
        <f t="shared" si="1155"/>
        <v>2699.998</v>
      </c>
      <c r="BY562" s="1487">
        <f t="shared" si="1155"/>
        <v>0</v>
      </c>
      <c r="BZ562" s="1487">
        <f t="shared" si="1155"/>
        <v>4432</v>
      </c>
      <c r="CA562" s="1487">
        <f t="shared" si="1155"/>
        <v>4432</v>
      </c>
      <c r="CB562" s="1487">
        <f t="shared" si="1155"/>
        <v>0</v>
      </c>
      <c r="CC562" s="1487">
        <f t="shared" si="1155"/>
        <v>3590.0030000000002</v>
      </c>
      <c r="CD562" s="1487">
        <f t="shared" si="1155"/>
        <v>3590.0030000000002</v>
      </c>
      <c r="CE562" s="1487">
        <f t="shared" si="1155"/>
        <v>0</v>
      </c>
      <c r="CF562" s="1487">
        <f t="shared" si="1155"/>
        <v>3916.0010000000002</v>
      </c>
      <c r="CG562" s="1487">
        <f t="shared" si="1155"/>
        <v>3916.0010000000002</v>
      </c>
      <c r="CH562" s="1487">
        <f t="shared" si="1155"/>
        <v>3372.4630000000002</v>
      </c>
      <c r="CI562" s="1487">
        <f t="shared" si="1155"/>
        <v>3428.3</v>
      </c>
      <c r="CJ562" s="1487">
        <f t="shared" si="1155"/>
        <v>3428.3</v>
      </c>
      <c r="CK562" s="1487">
        <f t="shared" si="1155"/>
        <v>3006.8</v>
      </c>
      <c r="CL562" s="1487">
        <f t="shared" si="1155"/>
        <v>3006.8</v>
      </c>
      <c r="CM562" s="1487">
        <f t="shared" si="1155"/>
        <v>3006.8</v>
      </c>
      <c r="CN562" s="1487">
        <f t="shared" si="1155"/>
        <v>3292.5999999999995</v>
      </c>
      <c r="CO562" s="1487">
        <f t="shared" si="1155"/>
        <v>3162</v>
      </c>
      <c r="CP562" s="1487">
        <f t="shared" si="1155"/>
        <v>3162</v>
      </c>
      <c r="CQ562" s="1487">
        <f t="shared" si="1155"/>
        <v>2998.1</v>
      </c>
      <c r="CR562" s="1487">
        <f t="shared" si="1155"/>
        <v>2746.9</v>
      </c>
      <c r="CS562" s="1487">
        <f t="shared" si="1155"/>
        <v>2746.9</v>
      </c>
      <c r="CT562" s="1487">
        <f t="shared" si="1155"/>
        <v>2846.7000000000003</v>
      </c>
      <c r="CU562" s="1487">
        <f t="shared" si="1155"/>
        <v>2567.2000000000003</v>
      </c>
      <c r="CV562" s="1487">
        <f t="shared" si="1155"/>
        <v>2567.2000000000003</v>
      </c>
      <c r="CW562" s="1487">
        <f t="shared" si="1155"/>
        <v>2906.8</v>
      </c>
      <c r="CX562" s="1487">
        <f t="shared" si="1155"/>
        <v>3163.7999999999993</v>
      </c>
      <c r="CY562" s="1487">
        <f t="shared" si="1155"/>
        <v>3163.7999999999993</v>
      </c>
      <c r="CZ562" s="1487">
        <f t="shared" si="1155"/>
        <v>3843</v>
      </c>
      <c r="DA562" s="1487">
        <f t="shared" si="1155"/>
        <v>4079.9000000000005</v>
      </c>
      <c r="DB562" s="1487">
        <f t="shared" si="1155"/>
        <v>4079.9000000000005</v>
      </c>
      <c r="DC562" s="1487">
        <f t="shared" si="1155"/>
        <v>4852.0999999999995</v>
      </c>
      <c r="DD562" s="1487">
        <f t="shared" si="1155"/>
        <v>5251.2999999999993</v>
      </c>
      <c r="DE562" s="1487">
        <f t="shared" si="1155"/>
        <v>5251.2999999999993</v>
      </c>
      <c r="DF562" s="1487">
        <f t="shared" si="1155"/>
        <v>6079.4000000000005</v>
      </c>
      <c r="DG562" s="1487">
        <f t="shared" si="1155"/>
        <v>6527.5900000000011</v>
      </c>
      <c r="DH562" s="1487">
        <f t="shared" si="1155"/>
        <v>6527.5900000000011</v>
      </c>
      <c r="DI562" s="1487">
        <f t="shared" si="1155"/>
        <v>8154.2999999999993</v>
      </c>
      <c r="DJ562" s="1487">
        <f t="shared" si="1155"/>
        <v>8381.6</v>
      </c>
      <c r="DK562" s="1487">
        <f t="shared" si="1155"/>
        <v>8381.6</v>
      </c>
      <c r="DL562" s="1487">
        <f t="shared" si="1155"/>
        <v>14033.2</v>
      </c>
      <c r="DM562" s="1487">
        <f t="shared" si="1155"/>
        <v>14577.5</v>
      </c>
      <c r="DN562" s="1487">
        <f t="shared" si="1155"/>
        <v>14577.5</v>
      </c>
      <c r="DO562" s="1487">
        <f t="shared" si="1155"/>
        <v>15675.800000000001</v>
      </c>
      <c r="DP562" s="1487">
        <f t="shared" si="1155"/>
        <v>15786</v>
      </c>
      <c r="DQ562" s="1487">
        <f t="shared" si="1155"/>
        <v>15786</v>
      </c>
      <c r="DR562" s="1487">
        <f t="shared" si="1155"/>
        <v>17177</v>
      </c>
      <c r="DS562" s="1487">
        <f t="shared" si="1155"/>
        <v>17363</v>
      </c>
      <c r="DT562" s="1487">
        <f t="shared" si="1155"/>
        <v>17363</v>
      </c>
      <c r="DU562" s="1487">
        <f t="shared" ref="DU562:DZ562" si="1156">SUM(DU560:DU561)</f>
        <v>18559</v>
      </c>
      <c r="DV562" s="1487">
        <f t="shared" si="1156"/>
        <v>19335</v>
      </c>
      <c r="DW562" s="1487">
        <f t="shared" si="1156"/>
        <v>19335</v>
      </c>
      <c r="DX562" s="1487">
        <f t="shared" si="1156"/>
        <v>18658</v>
      </c>
      <c r="DY562" s="1487">
        <f t="shared" si="1156"/>
        <v>18970.599307729066</v>
      </c>
      <c r="DZ562" s="1487">
        <f t="shared" si="1156"/>
        <v>18970.599307729066</v>
      </c>
      <c r="EA562" s="1487">
        <f t="shared" ref="EA562:EF562" si="1157">SUM(EA560:EA561)</f>
        <v>19769.598516811926</v>
      </c>
      <c r="EB562" s="1487">
        <f t="shared" si="1157"/>
        <v>20057.012884004816</v>
      </c>
      <c r="EC562" s="1487">
        <f t="shared" si="1157"/>
        <v>20057.012884004816</v>
      </c>
      <c r="ED562" s="1487">
        <f t="shared" si="1157"/>
        <v>21095.733984740364</v>
      </c>
      <c r="EE562" s="1487">
        <f t="shared" si="1157"/>
        <v>21450.750826254945</v>
      </c>
      <c r="EF562" s="1487">
        <f t="shared" si="1157"/>
        <v>21450.750826254945</v>
      </c>
      <c r="EG562" s="1487">
        <f t="shared" ref="EG562:EL562" si="1158">SUM(EG560:EG561)</f>
        <v>22994.959921998099</v>
      </c>
      <c r="EH562" s="1487">
        <f t="shared" si="1158"/>
        <v>23846.43306915346</v>
      </c>
      <c r="EI562" s="1487">
        <f t="shared" si="1158"/>
        <v>23846.43306915346</v>
      </c>
      <c r="EJ562" s="1487">
        <f t="shared" si="1158"/>
        <v>25515.655725560973</v>
      </c>
      <c r="EK562" s="1487">
        <f t="shared" si="1158"/>
        <v>26505.289108277364</v>
      </c>
      <c r="EL562" s="1487">
        <f t="shared" si="1158"/>
        <v>26505.289108277364</v>
      </c>
      <c r="EM562" s="1487">
        <f t="shared" ref="EM562:ER562" si="1159">SUM(EM560:EM561)</f>
        <v>28329.049480803787</v>
      </c>
      <c r="EN562" s="1487">
        <f t="shared" si="1159"/>
        <v>29436.765168580572</v>
      </c>
      <c r="EO562" s="1487">
        <f t="shared" si="1159"/>
        <v>29436.765168580572</v>
      </c>
      <c r="EP562" s="1487">
        <f t="shared" si="1159"/>
        <v>31406.969206807767</v>
      </c>
      <c r="EQ562" s="1487">
        <f t="shared" si="1159"/>
        <v>32663.932595086706</v>
      </c>
      <c r="ER562" s="1487">
        <f t="shared" si="1159"/>
        <v>32663.932595086706</v>
      </c>
      <c r="ES562" s="1487">
        <f t="shared" ref="ES562:FA562" si="1160">SUM(ES560:ES561)</f>
        <v>34755.563397137994</v>
      </c>
      <c r="ET562" s="1487">
        <f t="shared" si="1160"/>
        <v>36147.847625324372</v>
      </c>
      <c r="EU562" s="1487">
        <f t="shared" si="1160"/>
        <v>36147.847625324372</v>
      </c>
      <c r="EV562" s="1487">
        <f t="shared" si="1160"/>
        <v>38349.624599948998</v>
      </c>
      <c r="EW562" s="1487">
        <f t="shared" si="1160"/>
        <v>39860.319223367551</v>
      </c>
      <c r="EX562" s="1487">
        <f t="shared" si="1160"/>
        <v>39860.319223367551</v>
      </c>
      <c r="EY562" s="1487">
        <f t="shared" si="1160"/>
        <v>42197.983452784982</v>
      </c>
      <c r="EZ562" s="1487">
        <f t="shared" si="1160"/>
        <v>43835.249547234685</v>
      </c>
      <c r="FA562" s="1487">
        <f t="shared" si="1160"/>
        <v>43835.249547234685</v>
      </c>
      <c r="FB562" s="1487"/>
      <c r="FC562" s="1487"/>
      <c r="FD562"/>
      <c r="FE562"/>
      <c r="FF562"/>
      <c r="FG562"/>
      <c r="FH562"/>
      <c r="FI562"/>
    </row>
    <row r="563" spans="1:165" s="33" customFormat="1">
      <c r="A563" s="58"/>
      <c r="B563" s="58"/>
      <c r="C563" s="58"/>
      <c r="D563" s="58"/>
      <c r="E563" s="1487"/>
      <c r="F563" s="1487"/>
      <c r="G563" s="1487"/>
      <c r="H563" s="1487"/>
      <c r="I563" s="1487"/>
      <c r="J563" s="1487"/>
      <c r="K563" s="1487"/>
      <c r="L563" s="1487"/>
      <c r="M563" s="1487"/>
      <c r="N563" s="1487"/>
      <c r="O563" s="1487"/>
      <c r="P563" s="1487"/>
      <c r="Q563" s="1487"/>
      <c r="R563" s="1487"/>
      <c r="S563" s="1487"/>
      <c r="T563" s="1487"/>
      <c r="U563" s="1487"/>
      <c r="V563" s="1487"/>
      <c r="W563" s="1487"/>
      <c r="X563" s="1487"/>
      <c r="Y563" s="1487"/>
      <c r="Z563" s="1487"/>
      <c r="AA563" s="1487"/>
      <c r="AB563" s="1487"/>
      <c r="AC563" s="1487"/>
      <c r="AD563" s="1487"/>
      <c r="AE563" s="1487"/>
      <c r="AF563" s="1487"/>
      <c r="AG563" s="1487"/>
      <c r="AH563" s="1487"/>
      <c r="AI563" s="1487"/>
      <c r="AJ563" s="1487"/>
      <c r="AK563" s="1487"/>
      <c r="AL563" s="1487"/>
      <c r="AM563" s="1487"/>
      <c r="AN563" s="1487"/>
      <c r="AO563" s="1487"/>
      <c r="AP563" s="1487"/>
      <c r="AQ563" s="1487"/>
      <c r="AR563" s="1487"/>
      <c r="AS563" s="1487"/>
      <c r="AT563" s="1487"/>
      <c r="AU563" s="1487"/>
      <c r="AV563" s="1487"/>
      <c r="AW563" s="1487"/>
      <c r="AX563" s="1487"/>
      <c r="AY563" s="1487"/>
      <c r="AZ563" s="1487"/>
      <c r="BA563" s="1487"/>
      <c r="BB563" s="1487"/>
      <c r="BC563" s="1487"/>
      <c r="BD563" s="1487"/>
      <c r="BE563" s="1487"/>
      <c r="BF563" s="1487"/>
      <c r="BG563" s="1487"/>
      <c r="BH563" s="1487"/>
      <c r="BI563" s="1487"/>
      <c r="BJ563" s="1487"/>
      <c r="BK563" s="1487"/>
      <c r="BL563" s="1487"/>
      <c r="BM563" s="1487"/>
      <c r="BN563" s="1487"/>
      <c r="BO563" s="1487"/>
      <c r="BP563" s="1487"/>
      <c r="BQ563" s="1487"/>
      <c r="BR563" s="1487"/>
      <c r="BS563" s="1487"/>
      <c r="BT563" s="1487"/>
      <c r="BU563" s="1487"/>
      <c r="BV563" s="1487"/>
      <c r="BW563" s="1487"/>
      <c r="BX563" s="1487"/>
      <c r="BY563" s="1487"/>
      <c r="BZ563" s="1487"/>
      <c r="CA563" s="1487"/>
      <c r="CB563" s="1487"/>
      <c r="CC563" s="1487"/>
      <c r="CD563" s="1487"/>
      <c r="CE563" s="1487"/>
      <c r="CF563" s="1487"/>
      <c r="CG563" s="1487"/>
      <c r="CH563" s="1487"/>
      <c r="CI563" s="1487"/>
      <c r="CJ563" s="1487"/>
      <c r="CK563" s="1487"/>
      <c r="CL563" s="1487"/>
      <c r="CM563" s="1487"/>
      <c r="CN563" s="1487"/>
      <c r="CO563" s="1487"/>
      <c r="CP563" s="1487"/>
      <c r="CQ563" s="1487"/>
      <c r="CR563" s="1487"/>
      <c r="CS563" s="1487"/>
      <c r="CT563" s="1487"/>
      <c r="CU563" s="1487"/>
      <c r="CV563" s="1487"/>
      <c r="CW563" s="1487"/>
      <c r="CX563" s="1487"/>
      <c r="CY563" s="1487"/>
      <c r="CZ563" s="1487"/>
      <c r="DA563" s="1487"/>
      <c r="DB563" s="1487"/>
      <c r="DC563" s="1487"/>
      <c r="DD563" s="1487"/>
      <c r="DE563" s="1487"/>
      <c r="DF563" s="1487"/>
      <c r="DG563" s="1487"/>
      <c r="DH563" s="1487"/>
      <c r="DI563" s="1487"/>
      <c r="DJ563" s="1487"/>
      <c r="DK563" s="1487"/>
      <c r="DL563" s="1487"/>
      <c r="DM563" s="1487"/>
      <c r="DN563" s="1487"/>
      <c r="DO563" s="1487"/>
      <c r="DP563" s="1487"/>
      <c r="DQ563" s="1487"/>
      <c r="DR563" s="1487"/>
      <c r="DS563" s="1487"/>
      <c r="DT563" s="1487"/>
      <c r="DU563" s="1487"/>
      <c r="DV563" s="1487"/>
      <c r="DW563" s="1487"/>
      <c r="DX563" s="1487"/>
      <c r="DY563" s="1487"/>
      <c r="DZ563" s="1487"/>
      <c r="EA563" s="1487"/>
      <c r="EB563" s="1487"/>
      <c r="EC563" s="1487"/>
      <c r="ED563" s="1487"/>
      <c r="EE563" s="1487"/>
      <c r="EF563" s="1487"/>
      <c r="EG563" s="1487"/>
      <c r="EH563" s="1487"/>
      <c r="EI563" s="1487"/>
      <c r="EJ563" s="1487"/>
      <c r="EK563" s="1487"/>
      <c r="EL563" s="1487"/>
      <c r="EM563" s="1487"/>
      <c r="EN563" s="1487"/>
      <c r="EO563" s="1487"/>
      <c r="EP563" s="1487"/>
      <c r="EQ563" s="1487"/>
      <c r="ER563" s="1487"/>
      <c r="ES563" s="1487"/>
      <c r="ET563" s="1487"/>
      <c r="EU563" s="1487"/>
      <c r="EV563" s="1487"/>
      <c r="EW563" s="1487"/>
      <c r="EX563" s="1487"/>
      <c r="EY563" s="1487"/>
      <c r="EZ563" s="1487"/>
      <c r="FA563" s="1487"/>
      <c r="FB563" s="1487"/>
      <c r="FC563" s="1487"/>
      <c r="FD563"/>
      <c r="FE563"/>
      <c r="FF563"/>
      <c r="FG563"/>
      <c r="FH563"/>
      <c r="FI563"/>
    </row>
    <row r="564" spans="1:165" s="33" customFormat="1">
      <c r="A564" s="58"/>
      <c r="B564" s="58" t="s">
        <v>754</v>
      </c>
      <c r="C564" s="58"/>
      <c r="D564" s="58"/>
      <c r="E564" s="1487"/>
      <c r="F564" s="1487"/>
      <c r="G564" s="1487"/>
      <c r="H564" s="1487"/>
      <c r="I564" s="1487"/>
      <c r="J564" s="1487"/>
      <c r="K564" s="1487">
        <f t="shared" ref="K564:AD564" si="1161">K244-K235-K230</f>
        <v>0</v>
      </c>
      <c r="L564" s="1487"/>
      <c r="M564" s="1487">
        <f t="shared" si="1161"/>
        <v>0</v>
      </c>
      <c r="N564" s="1487"/>
      <c r="O564" s="1487">
        <f t="shared" si="1161"/>
        <v>0</v>
      </c>
      <c r="P564" s="1487">
        <f t="shared" si="1161"/>
        <v>0</v>
      </c>
      <c r="Q564" s="1487"/>
      <c r="R564" s="1487">
        <f t="shared" si="1161"/>
        <v>0</v>
      </c>
      <c r="S564" s="1487"/>
      <c r="T564" s="1487">
        <f t="shared" si="1161"/>
        <v>0</v>
      </c>
      <c r="U564" s="1487">
        <f t="shared" si="1161"/>
        <v>0</v>
      </c>
      <c r="V564" s="1487"/>
      <c r="W564" s="1487">
        <f t="shared" si="1161"/>
        <v>0</v>
      </c>
      <c r="X564" s="1487"/>
      <c r="Y564" s="1487">
        <f t="shared" si="1161"/>
        <v>0</v>
      </c>
      <c r="Z564" s="1487">
        <f t="shared" si="1161"/>
        <v>0</v>
      </c>
      <c r="AA564" s="1487"/>
      <c r="AB564" s="1487">
        <f t="shared" si="1161"/>
        <v>0</v>
      </c>
      <c r="AC564" s="1487"/>
      <c r="AD564" s="1487">
        <f t="shared" si="1161"/>
        <v>0</v>
      </c>
      <c r="AE564" s="1487">
        <f>AE244-AE235-AE230</f>
        <v>0</v>
      </c>
      <c r="AF564" s="1487"/>
      <c r="AG564" s="1487">
        <f>AG244-AG235-AG230</f>
        <v>0</v>
      </c>
      <c r="AH564" s="1487"/>
      <c r="AI564" s="1487">
        <f t="shared" ref="AI564:AO564" si="1162">AI244-AI235-AI230</f>
        <v>0</v>
      </c>
      <c r="AJ564" s="1487">
        <f t="shared" si="1162"/>
        <v>0</v>
      </c>
      <c r="AK564" s="1487">
        <f t="shared" si="1162"/>
        <v>0</v>
      </c>
      <c r="AL564" s="1487">
        <f t="shared" si="1162"/>
        <v>0</v>
      </c>
      <c r="AM564" s="1487">
        <f t="shared" si="1162"/>
        <v>0</v>
      </c>
      <c r="AN564" s="1487">
        <f t="shared" si="1162"/>
        <v>0</v>
      </c>
      <c r="AO564" s="1487">
        <f t="shared" si="1162"/>
        <v>0</v>
      </c>
      <c r="AP564" s="1487"/>
      <c r="AQ564" s="1487">
        <f>AQ244-AQ235-AQ230</f>
        <v>0</v>
      </c>
      <c r="AR564" s="1487"/>
      <c r="AS564" s="1487">
        <f>AS244-AS235-AS230</f>
        <v>0</v>
      </c>
      <c r="AT564" s="1487">
        <f>AT244-AT235-AT230</f>
        <v>0</v>
      </c>
      <c r="AU564" s="1487"/>
      <c r="AV564" s="1487">
        <f>AV244-AV235-AV230</f>
        <v>0</v>
      </c>
      <c r="AW564" s="1487"/>
      <c r="AX564" s="1487">
        <f>AX244-AX235-AX230</f>
        <v>0</v>
      </c>
      <c r="AY564" s="1487">
        <f>AY244-AY235-AY230</f>
        <v>0</v>
      </c>
      <c r="AZ564" s="1487"/>
      <c r="BA564" s="1487">
        <f>BA244-BA235-BA230</f>
        <v>0</v>
      </c>
      <c r="BB564" s="1487"/>
      <c r="BC564" s="1487">
        <f>BC244-BC235-BC230</f>
        <v>0</v>
      </c>
      <c r="BD564" s="1487">
        <f>BD244-BD235-BD230</f>
        <v>0</v>
      </c>
      <c r="BE564" s="1487"/>
      <c r="BF564" s="1487">
        <f>BF244-BF235-BF230</f>
        <v>0</v>
      </c>
      <c r="BG564" s="1487"/>
      <c r="BH564" s="1487">
        <f>BH244-BH235-BH230</f>
        <v>0</v>
      </c>
      <c r="BI564" s="1487">
        <f>BI244-BI235-BI230</f>
        <v>0</v>
      </c>
      <c r="BJ564" s="1487"/>
      <c r="BK564" s="1487">
        <f>BK244-BK235-BK230</f>
        <v>0</v>
      </c>
      <c r="BL564" s="1487"/>
      <c r="BM564" s="1487">
        <f t="shared" ref="BM564:BU564" si="1163">BM244-BM235-BM230</f>
        <v>0</v>
      </c>
      <c r="BN564" s="1487">
        <f t="shared" si="1163"/>
        <v>0</v>
      </c>
      <c r="BO564" s="1487">
        <f t="shared" si="1163"/>
        <v>0</v>
      </c>
      <c r="BP564" s="1487">
        <f t="shared" si="1163"/>
        <v>0</v>
      </c>
      <c r="BQ564" s="1487">
        <f t="shared" si="1163"/>
        <v>0</v>
      </c>
      <c r="BR564" s="1487">
        <f t="shared" si="1163"/>
        <v>0</v>
      </c>
      <c r="BS564" s="1487">
        <f t="shared" si="1163"/>
        <v>0</v>
      </c>
      <c r="BT564" s="1487">
        <f t="shared" si="1163"/>
        <v>0</v>
      </c>
      <c r="BU564" s="1487">
        <f t="shared" si="1163"/>
        <v>0</v>
      </c>
      <c r="BV564" s="1487">
        <f>BV242-BV233-BV228</f>
        <v>0</v>
      </c>
      <c r="BW564" s="1487">
        <f t="shared" ref="BW564:DT564" si="1164">BW242-BW233-BW228</f>
        <v>1836</v>
      </c>
      <c r="BX564" s="1487">
        <f t="shared" si="1164"/>
        <v>1836</v>
      </c>
      <c r="BY564" s="1487">
        <f t="shared" si="1164"/>
        <v>0</v>
      </c>
      <c r="BZ564" s="1487">
        <f t="shared" si="1164"/>
        <v>1965</v>
      </c>
      <c r="CA564" s="1487">
        <f t="shared" si="1164"/>
        <v>1965</v>
      </c>
      <c r="CB564" s="1487">
        <f t="shared" si="1164"/>
        <v>0</v>
      </c>
      <c r="CC564" s="1487">
        <f t="shared" si="1164"/>
        <v>1991</v>
      </c>
      <c r="CD564" s="1487">
        <f t="shared" si="1164"/>
        <v>1991</v>
      </c>
      <c r="CE564" s="1487">
        <f t="shared" si="1164"/>
        <v>0</v>
      </c>
      <c r="CF564" s="1487">
        <f t="shared" si="1164"/>
        <v>2453</v>
      </c>
      <c r="CG564" s="1487">
        <f t="shared" si="1164"/>
        <v>2453</v>
      </c>
      <c r="CH564" s="1487">
        <f t="shared" si="1164"/>
        <v>2230.3850000000002</v>
      </c>
      <c r="CI564" s="1487">
        <f t="shared" si="1164"/>
        <v>2242.1</v>
      </c>
      <c r="CJ564" s="1487">
        <f t="shared" si="1164"/>
        <v>2242.1</v>
      </c>
      <c r="CK564" s="1487">
        <f t="shared" si="1164"/>
        <v>2497.1000000000004</v>
      </c>
      <c r="CL564" s="1487">
        <f t="shared" si="1164"/>
        <v>2497.1000000000004</v>
      </c>
      <c r="CM564" s="1487">
        <f t="shared" si="1164"/>
        <v>2497.1000000000004</v>
      </c>
      <c r="CN564" s="1487">
        <f t="shared" si="1164"/>
        <v>2673</v>
      </c>
      <c r="CO564" s="1487">
        <f t="shared" si="1164"/>
        <v>2598.8999999999996</v>
      </c>
      <c r="CP564" s="1487">
        <f t="shared" si="1164"/>
        <v>2598.8999999999996</v>
      </c>
      <c r="CQ564" s="1487">
        <f t="shared" si="1164"/>
        <v>2567.6000000000004</v>
      </c>
      <c r="CR564" s="1487">
        <f t="shared" si="1164"/>
        <v>2782.3</v>
      </c>
      <c r="CS564" s="1487">
        <f t="shared" si="1164"/>
        <v>2782.3</v>
      </c>
      <c r="CT564" s="1487">
        <f t="shared" si="1164"/>
        <v>2955.3</v>
      </c>
      <c r="CU564" s="1487">
        <f t="shared" si="1164"/>
        <v>3261.4</v>
      </c>
      <c r="CV564" s="1487">
        <f t="shared" si="1164"/>
        <v>3261.4</v>
      </c>
      <c r="CW564" s="1487">
        <f t="shared" si="1164"/>
        <v>3339.8999999999996</v>
      </c>
      <c r="CX564" s="1487">
        <f t="shared" si="1164"/>
        <v>3757.6000000000004</v>
      </c>
      <c r="CY564" s="1487">
        <f t="shared" si="1164"/>
        <v>3757.6000000000004</v>
      </c>
      <c r="CZ564" s="1487">
        <f t="shared" si="1164"/>
        <v>4167.6999999999989</v>
      </c>
      <c r="DA564" s="1487">
        <f t="shared" si="1164"/>
        <v>4179</v>
      </c>
      <c r="DB564" s="1487">
        <f t="shared" si="1164"/>
        <v>4179</v>
      </c>
      <c r="DC564" s="1487">
        <f t="shared" si="1164"/>
        <v>4902.1000000000004</v>
      </c>
      <c r="DD564" s="1487">
        <f t="shared" si="1164"/>
        <v>4882.3</v>
      </c>
      <c r="DE564" s="1487">
        <f t="shared" si="1164"/>
        <v>4882.3</v>
      </c>
      <c r="DF564" s="1487">
        <f t="shared" si="1164"/>
        <v>5238.3</v>
      </c>
      <c r="DG564" s="1487">
        <f t="shared" si="1164"/>
        <v>5251.7899999999991</v>
      </c>
      <c r="DH564" s="1487">
        <f t="shared" si="1164"/>
        <v>5251.7899999999991</v>
      </c>
      <c r="DI564" s="1487">
        <f t="shared" si="1164"/>
        <v>5719.7999999999993</v>
      </c>
      <c r="DJ564" s="1487">
        <f t="shared" si="1164"/>
        <v>5580.9000000000005</v>
      </c>
      <c r="DK564" s="1487">
        <f t="shared" si="1164"/>
        <v>5580.9000000000005</v>
      </c>
      <c r="DL564" s="1487">
        <f t="shared" si="1164"/>
        <v>6123.0000000000009</v>
      </c>
      <c r="DM564" s="1487">
        <f t="shared" si="1164"/>
        <v>6024.2999999999975</v>
      </c>
      <c r="DN564" s="1487">
        <f t="shared" si="1164"/>
        <v>6024.2999999999975</v>
      </c>
      <c r="DO564" s="1487">
        <f t="shared" si="1164"/>
        <v>8093.7000000000007</v>
      </c>
      <c r="DP564" s="1487">
        <f t="shared" si="1164"/>
        <v>7711</v>
      </c>
      <c r="DQ564" s="1487">
        <f t="shared" si="1164"/>
        <v>7711</v>
      </c>
      <c r="DR564" s="1487">
        <f t="shared" si="1164"/>
        <v>9129</v>
      </c>
      <c r="DS564" s="1487">
        <f t="shared" si="1164"/>
        <v>9111</v>
      </c>
      <c r="DT564" s="1487">
        <f t="shared" si="1164"/>
        <v>9111</v>
      </c>
      <c r="DU564" s="1487">
        <f t="shared" ref="DU564:DZ564" si="1165">DU242-DU233-DU228</f>
        <v>9784</v>
      </c>
      <c r="DV564" s="1487">
        <f t="shared" si="1165"/>
        <v>9693</v>
      </c>
      <c r="DW564" s="1487">
        <f t="shared" si="1165"/>
        <v>9693</v>
      </c>
      <c r="DX564" s="1487">
        <f t="shared" si="1165"/>
        <v>10704</v>
      </c>
      <c r="DY564" s="1487">
        <f t="shared" si="1165"/>
        <v>10965.082837623362</v>
      </c>
      <c r="DZ564" s="1487">
        <f t="shared" si="1165"/>
        <v>10965.082837623362</v>
      </c>
      <c r="EA564" s="1487">
        <f t="shared" ref="EA564:EF564" si="1166">EA242-EA233-EA228</f>
        <v>11024.377101035887</v>
      </c>
      <c r="EB564" s="1487">
        <f t="shared" si="1166"/>
        <v>11565.526416742492</v>
      </c>
      <c r="EC564" s="1487">
        <f t="shared" si="1166"/>
        <v>11565.526416742492</v>
      </c>
      <c r="ED564" s="1487">
        <f t="shared" si="1166"/>
        <v>11526.470655324532</v>
      </c>
      <c r="EE564" s="1487">
        <f t="shared" si="1166"/>
        <v>12189.112675364267</v>
      </c>
      <c r="EF564" s="1487">
        <f t="shared" si="1166"/>
        <v>12189.112675364267</v>
      </c>
      <c r="EG564" s="1487">
        <f t="shared" ref="EG564:EL564" si="1167">EG242-EG233-EG228</f>
        <v>12192.302949673704</v>
      </c>
      <c r="EH564" s="1487">
        <f t="shared" si="1167"/>
        <v>12940.94289232645</v>
      </c>
      <c r="EI564" s="1487">
        <f t="shared" si="1167"/>
        <v>12940.94289232645</v>
      </c>
      <c r="EJ564" s="1487">
        <f t="shared" si="1167"/>
        <v>12906.108121675155</v>
      </c>
      <c r="EK564" s="1487">
        <f t="shared" si="1167"/>
        <v>13753.255411455693</v>
      </c>
      <c r="EL564" s="1487">
        <f t="shared" si="1167"/>
        <v>13753.255411455693</v>
      </c>
      <c r="EM564" s="1487">
        <f t="shared" ref="EM564:ER564" si="1168">EM242-EM233-EM228</f>
        <v>13606.597303163393</v>
      </c>
      <c r="EN564" s="1487">
        <f t="shared" si="1168"/>
        <v>14487.592497903244</v>
      </c>
      <c r="EO564" s="1487">
        <f t="shared" si="1168"/>
        <v>14487.592497903244</v>
      </c>
      <c r="EP564" s="1487">
        <f t="shared" si="1168"/>
        <v>14335.624348265153</v>
      </c>
      <c r="EQ564" s="1487">
        <f t="shared" si="1168"/>
        <v>15277.681891356238</v>
      </c>
      <c r="ER564" s="1487">
        <f t="shared" si="1168"/>
        <v>15277.681891356238</v>
      </c>
      <c r="ES564" s="1487">
        <f t="shared" ref="ES564:FA564" si="1169">ES242-ES233-ES228</f>
        <v>15124.260904056648</v>
      </c>
      <c r="ET564" s="1487">
        <f t="shared" si="1169"/>
        <v>16124.63888006402</v>
      </c>
      <c r="EU564" s="1487">
        <f t="shared" si="1169"/>
        <v>16124.63888006402</v>
      </c>
      <c r="EV564" s="1487">
        <f t="shared" si="1169"/>
        <v>15961.827371979281</v>
      </c>
      <c r="EW564" s="1487">
        <f t="shared" si="1169"/>
        <v>17024.058308787389</v>
      </c>
      <c r="EX564" s="1487">
        <f t="shared" si="1169"/>
        <v>17024.058308787389</v>
      </c>
      <c r="EY564" s="1487">
        <f t="shared" si="1169"/>
        <v>16851.529768103283</v>
      </c>
      <c r="EZ564" s="1487">
        <f t="shared" si="1169"/>
        <v>17979.335923696373</v>
      </c>
      <c r="FA564" s="1487">
        <f t="shared" si="1169"/>
        <v>17979.335923696373</v>
      </c>
      <c r="FB564" s="1487"/>
      <c r="FC564" s="1487"/>
      <c r="FD564"/>
      <c r="FE564"/>
      <c r="FF564"/>
      <c r="FG564"/>
      <c r="FH564"/>
      <c r="FI564"/>
    </row>
    <row r="565" spans="1:165" s="33" customFormat="1">
      <c r="A565" s="58"/>
      <c r="B565" s="58" t="s">
        <v>755</v>
      </c>
      <c r="C565" s="58" t="s">
        <v>756</v>
      </c>
      <c r="D565" s="58"/>
      <c r="E565" s="1487"/>
      <c r="F565" s="1487"/>
      <c r="G565" s="1487"/>
      <c r="H565" s="1487"/>
      <c r="I565" s="1487"/>
      <c r="J565" s="1487"/>
      <c r="K565" s="1487">
        <f t="shared" ref="K565:AD565" si="1170">-(K285-K268)</f>
        <v>0</v>
      </c>
      <c r="L565" s="1487"/>
      <c r="M565" s="1487">
        <f t="shared" si="1170"/>
        <v>0</v>
      </c>
      <c r="N565" s="1487"/>
      <c r="O565" s="1487">
        <f t="shared" si="1170"/>
        <v>0</v>
      </c>
      <c r="P565" s="1487">
        <f t="shared" si="1170"/>
        <v>0</v>
      </c>
      <c r="Q565" s="1487"/>
      <c r="R565" s="1487">
        <f t="shared" si="1170"/>
        <v>0</v>
      </c>
      <c r="S565" s="1487"/>
      <c r="T565" s="1487">
        <f t="shared" si="1170"/>
        <v>0</v>
      </c>
      <c r="U565" s="1487">
        <f t="shared" si="1170"/>
        <v>0</v>
      </c>
      <c r="V565" s="1487"/>
      <c r="W565" s="1487">
        <f t="shared" si="1170"/>
        <v>0</v>
      </c>
      <c r="X565" s="1487"/>
      <c r="Y565" s="1487">
        <f t="shared" si="1170"/>
        <v>0</v>
      </c>
      <c r="Z565" s="1487">
        <f t="shared" si="1170"/>
        <v>0</v>
      </c>
      <c r="AA565" s="1487"/>
      <c r="AB565" s="1487">
        <f t="shared" si="1170"/>
        <v>0</v>
      </c>
      <c r="AC565" s="1487"/>
      <c r="AD565" s="1487">
        <f t="shared" si="1170"/>
        <v>0</v>
      </c>
      <c r="AE565" s="1487">
        <f>-(AE285-AE268)</f>
        <v>0</v>
      </c>
      <c r="AF565" s="1487"/>
      <c r="AG565" s="1487">
        <f>-(AG285-AG268)</f>
        <v>0</v>
      </c>
      <c r="AH565" s="1487"/>
      <c r="AI565" s="1487">
        <f t="shared" ref="AI565:AO565" si="1171">-(AI285-AI268)</f>
        <v>0</v>
      </c>
      <c r="AJ565" s="1487">
        <f t="shared" si="1171"/>
        <v>0</v>
      </c>
      <c r="AK565" s="1487">
        <f t="shared" si="1171"/>
        <v>0</v>
      </c>
      <c r="AL565" s="1487">
        <f t="shared" si="1171"/>
        <v>0</v>
      </c>
      <c r="AM565" s="1487">
        <f t="shared" si="1171"/>
        <v>0</v>
      </c>
      <c r="AN565" s="1487">
        <f t="shared" si="1171"/>
        <v>0</v>
      </c>
      <c r="AO565" s="1487">
        <f t="shared" si="1171"/>
        <v>0</v>
      </c>
      <c r="AP565" s="1487"/>
      <c r="AQ565" s="1487">
        <f>-(AQ285-AQ268)</f>
        <v>0</v>
      </c>
      <c r="AR565" s="1487"/>
      <c r="AS565" s="1487">
        <f>-(AS285-AS268)</f>
        <v>0</v>
      </c>
      <c r="AT565" s="1487">
        <f>-(AT285-AT268)</f>
        <v>0</v>
      </c>
      <c r="AU565" s="1487"/>
      <c r="AV565" s="1487">
        <f>-(AV285-AV268)</f>
        <v>0</v>
      </c>
      <c r="AW565" s="1487"/>
      <c r="AX565" s="1487">
        <f>-(AX285-AX268)</f>
        <v>0</v>
      </c>
      <c r="AY565" s="1487">
        <f>-(AY285-AY268)</f>
        <v>0</v>
      </c>
      <c r="AZ565" s="1487"/>
      <c r="BA565" s="1487">
        <f>-(BA285-BA268)</f>
        <v>0</v>
      </c>
      <c r="BB565" s="1487"/>
      <c r="BC565" s="1487">
        <f>-(BC285-BC268)</f>
        <v>0</v>
      </c>
      <c r="BD565" s="1487">
        <f>-(BD285-BD268)</f>
        <v>0</v>
      </c>
      <c r="BE565" s="1487"/>
      <c r="BF565" s="1487">
        <f>-(BF285-BF268)</f>
        <v>0</v>
      </c>
      <c r="BG565" s="1487"/>
      <c r="BH565" s="1487">
        <f>-(BH285-BH268)</f>
        <v>0</v>
      </c>
      <c r="BI565" s="1487">
        <f>-(BI285-BI268)</f>
        <v>0</v>
      </c>
      <c r="BJ565" s="1487"/>
      <c r="BK565" s="1487">
        <f>-(BK285-BK268)</f>
        <v>0</v>
      </c>
      <c r="BL565" s="1487"/>
      <c r="BM565" s="1487">
        <f t="shared" ref="BM565:BU565" si="1172">-(BM285-BM268)</f>
        <v>0</v>
      </c>
      <c r="BN565" s="1487">
        <f t="shared" si="1172"/>
        <v>0</v>
      </c>
      <c r="BO565" s="1487">
        <f t="shared" si="1172"/>
        <v>0</v>
      </c>
      <c r="BP565" s="1487">
        <f t="shared" si="1172"/>
        <v>0</v>
      </c>
      <c r="BQ565" s="1487">
        <f t="shared" si="1172"/>
        <v>0</v>
      </c>
      <c r="BR565" s="1487">
        <f t="shared" si="1172"/>
        <v>0</v>
      </c>
      <c r="BS565" s="1487">
        <f t="shared" si="1172"/>
        <v>0</v>
      </c>
      <c r="BT565" s="1487">
        <f t="shared" si="1172"/>
        <v>0</v>
      </c>
      <c r="BU565" s="1487">
        <f t="shared" si="1172"/>
        <v>0</v>
      </c>
      <c r="BV565" s="1487">
        <f>-(BV283-BV266)</f>
        <v>0</v>
      </c>
      <c r="BW565" s="1487">
        <f t="shared" ref="BW565:DT565" si="1173">-(BW283-BW266)</f>
        <v>-681</v>
      </c>
      <c r="BX565" s="1487">
        <f t="shared" si="1173"/>
        <v>-681</v>
      </c>
      <c r="BY565" s="1487">
        <f t="shared" si="1173"/>
        <v>0</v>
      </c>
      <c r="BZ565" s="1487">
        <f t="shared" si="1173"/>
        <v>-725</v>
      </c>
      <c r="CA565" s="1487">
        <f t="shared" si="1173"/>
        <v>-725</v>
      </c>
      <c r="CB565" s="1487">
        <f t="shared" si="1173"/>
        <v>0</v>
      </c>
      <c r="CC565" s="1487">
        <f t="shared" si="1173"/>
        <v>-648</v>
      </c>
      <c r="CD565" s="1487">
        <f t="shared" si="1173"/>
        <v>-648</v>
      </c>
      <c r="CE565" s="1487">
        <f t="shared" si="1173"/>
        <v>0</v>
      </c>
      <c r="CF565" s="1487">
        <f t="shared" si="1173"/>
        <v>-773</v>
      </c>
      <c r="CG565" s="1487">
        <f t="shared" si="1173"/>
        <v>-773</v>
      </c>
      <c r="CH565" s="1487">
        <f t="shared" si="1173"/>
        <v>-637.02200000000016</v>
      </c>
      <c r="CI565" s="1487">
        <f t="shared" si="1173"/>
        <v>-770.09999999999991</v>
      </c>
      <c r="CJ565" s="1487">
        <f t="shared" si="1173"/>
        <v>-770.09999999999991</v>
      </c>
      <c r="CK565" s="1487">
        <f t="shared" si="1173"/>
        <v>-900.9</v>
      </c>
      <c r="CL565" s="1487">
        <f t="shared" si="1173"/>
        <v>-900.9</v>
      </c>
      <c r="CM565" s="1487">
        <f t="shared" si="1173"/>
        <v>-900.9</v>
      </c>
      <c r="CN565" s="1487">
        <f t="shared" si="1173"/>
        <v>-782.6</v>
      </c>
      <c r="CO565" s="1487">
        <f t="shared" si="1173"/>
        <v>-839.69999999999993</v>
      </c>
      <c r="CP565" s="1487">
        <f t="shared" si="1173"/>
        <v>-839.69999999999993</v>
      </c>
      <c r="CQ565" s="1487">
        <f t="shared" si="1173"/>
        <v>-784.1</v>
      </c>
      <c r="CR565" s="1487">
        <f t="shared" si="1173"/>
        <v>-932.89999999999986</v>
      </c>
      <c r="CS565" s="1487">
        <f t="shared" si="1173"/>
        <v>-932.89999999999986</v>
      </c>
      <c r="CT565" s="1487">
        <f t="shared" si="1173"/>
        <v>-1139.3</v>
      </c>
      <c r="CU565" s="1487">
        <f t="shared" si="1173"/>
        <v>-1312.1000000000001</v>
      </c>
      <c r="CV565" s="1487">
        <f t="shared" si="1173"/>
        <v>-1312.1000000000001</v>
      </c>
      <c r="CW565" s="1487">
        <f t="shared" si="1173"/>
        <v>-1235.4000000000001</v>
      </c>
      <c r="CX565" s="1487">
        <f t="shared" si="1173"/>
        <v>-1495.6</v>
      </c>
      <c r="CY565" s="1487">
        <f t="shared" si="1173"/>
        <v>-1495.6</v>
      </c>
      <c r="CZ565" s="1487">
        <f t="shared" si="1173"/>
        <v>-1428</v>
      </c>
      <c r="DA565" s="1487">
        <f t="shared" si="1173"/>
        <v>-1689</v>
      </c>
      <c r="DB565" s="1487">
        <f t="shared" si="1173"/>
        <v>-1689</v>
      </c>
      <c r="DC565" s="1487">
        <f t="shared" si="1173"/>
        <v>-1360.9</v>
      </c>
      <c r="DD565" s="1487">
        <f t="shared" si="1173"/>
        <v>-1767.6000000000004</v>
      </c>
      <c r="DE565" s="1487">
        <f t="shared" si="1173"/>
        <v>-1767.6000000000004</v>
      </c>
      <c r="DF565" s="1487">
        <f t="shared" si="1173"/>
        <v>-1764.15</v>
      </c>
      <c r="DG565" s="1487">
        <f t="shared" si="1173"/>
        <v>-1939.2</v>
      </c>
      <c r="DH565" s="1487">
        <f t="shared" si="1173"/>
        <v>-1939.2</v>
      </c>
      <c r="DI565" s="1487">
        <f t="shared" si="1173"/>
        <v>-2223.6000000000004</v>
      </c>
      <c r="DJ565" s="1487">
        <f t="shared" si="1173"/>
        <v>-2629.5</v>
      </c>
      <c r="DK565" s="1487">
        <f t="shared" si="1173"/>
        <v>-2629.5</v>
      </c>
      <c r="DL565" s="1487">
        <f t="shared" si="1173"/>
        <v>-2152.3000000000002</v>
      </c>
      <c r="DM565" s="1487">
        <f t="shared" si="1173"/>
        <v>-2614.1999999999998</v>
      </c>
      <c r="DN565" s="1487">
        <f t="shared" si="1173"/>
        <v>-2614.1999999999998</v>
      </c>
      <c r="DO565" s="1487">
        <f t="shared" si="1173"/>
        <v>-3113.4</v>
      </c>
      <c r="DP565" s="1487">
        <f t="shared" si="1173"/>
        <v>-3553</v>
      </c>
      <c r="DQ565" s="1487">
        <f t="shared" si="1173"/>
        <v>-3553</v>
      </c>
      <c r="DR565" s="1487">
        <f t="shared" si="1173"/>
        <v>-3298</v>
      </c>
      <c r="DS565" s="1487">
        <f t="shared" si="1173"/>
        <v>-4006</v>
      </c>
      <c r="DT565" s="1487">
        <f t="shared" si="1173"/>
        <v>-4006</v>
      </c>
      <c r="DU565" s="1487">
        <f t="shared" ref="DU565:DZ565" si="1174">-(DU283-DU266)</f>
        <v>-3436</v>
      </c>
      <c r="DV565" s="1487">
        <f t="shared" si="1174"/>
        <v>-4011</v>
      </c>
      <c r="DW565" s="1487">
        <f t="shared" si="1174"/>
        <v>-4011</v>
      </c>
      <c r="DX565" s="1487">
        <f t="shared" si="1174"/>
        <v>-3891</v>
      </c>
      <c r="DY565" s="1487">
        <f t="shared" si="1174"/>
        <v>-4589.2968137170674</v>
      </c>
      <c r="DZ565" s="1487">
        <f t="shared" si="1174"/>
        <v>-4589.2968137170674</v>
      </c>
      <c r="EA565" s="1487">
        <f t="shared" ref="EA565:EF565" si="1175">-(EA283-EA266)</f>
        <v>-4004.7010304711403</v>
      </c>
      <c r="EB565" s="1487">
        <f t="shared" si="1175"/>
        <v>-4762.9417235029323</v>
      </c>
      <c r="EC565" s="1487">
        <f t="shared" si="1175"/>
        <v>-4762.9417235029323</v>
      </c>
      <c r="ED565" s="1487">
        <f t="shared" si="1175"/>
        <v>-4156.1260706534304</v>
      </c>
      <c r="EE565" s="1487">
        <f t="shared" si="1175"/>
        <v>-4940.3983738569013</v>
      </c>
      <c r="EF565" s="1487">
        <f t="shared" si="1175"/>
        <v>-4940.3983738569013</v>
      </c>
      <c r="EG565" s="1487">
        <f t="shared" ref="EG565:EL565" si="1176">-(EG283-EG266)</f>
        <v>-4356.9326356158781</v>
      </c>
      <c r="EH565" s="1487">
        <f t="shared" si="1176"/>
        <v>-5157.8353974432439</v>
      </c>
      <c r="EI565" s="1487">
        <f t="shared" si="1176"/>
        <v>-5157.8353974432439</v>
      </c>
      <c r="EJ565" s="1487">
        <f t="shared" si="1176"/>
        <v>-4572.2072112988553</v>
      </c>
      <c r="EK565" s="1487">
        <f t="shared" si="1176"/>
        <v>-5390.6417583154534</v>
      </c>
      <c r="EL565" s="1487">
        <f t="shared" si="1176"/>
        <v>-5390.6417583154534</v>
      </c>
      <c r="EM565" s="1487">
        <f t="shared" ref="EM565:ER565" si="1177">-(EM283-EM266)</f>
        <v>-4783.4658533349921</v>
      </c>
      <c r="EN565" s="1487">
        <f t="shared" si="1177"/>
        <v>-5598.1541797106338</v>
      </c>
      <c r="EO565" s="1487">
        <f t="shared" si="1177"/>
        <v>-5598.1541797106338</v>
      </c>
      <c r="EP565" s="1487">
        <f t="shared" si="1177"/>
        <v>-5003.3311526513944</v>
      </c>
      <c r="EQ565" s="1487">
        <f t="shared" si="1177"/>
        <v>-5819.7739182416381</v>
      </c>
      <c r="ER565" s="1487">
        <f t="shared" si="1177"/>
        <v>-5819.7739182416381</v>
      </c>
      <c r="ES565" s="1487">
        <f t="shared" ref="ES565:FA565" si="1178">-(ES283-ES266)</f>
        <v>-5241.1739234456563</v>
      </c>
      <c r="ET565" s="1487">
        <f t="shared" si="1178"/>
        <v>-6055.3337760896329</v>
      </c>
      <c r="EU565" s="1487">
        <f t="shared" si="1178"/>
        <v>-6055.3337760896329</v>
      </c>
      <c r="EV565" s="1487">
        <f t="shared" si="1178"/>
        <v>-5493.77333440645</v>
      </c>
      <c r="EW565" s="1487">
        <f t="shared" si="1178"/>
        <v>-6302.8249527148027</v>
      </c>
      <c r="EX565" s="1487">
        <f t="shared" si="1178"/>
        <v>-6302.8249527148027</v>
      </c>
      <c r="EY565" s="1487">
        <f t="shared" si="1178"/>
        <v>-5762.0962792692435</v>
      </c>
      <c r="EZ565" s="1487">
        <f t="shared" si="1178"/>
        <v>-6562.8444741063058</v>
      </c>
      <c r="FA565" s="1487">
        <f t="shared" si="1178"/>
        <v>-6562.8444741063058</v>
      </c>
      <c r="FB565" s="1487"/>
      <c r="FC565" s="1487"/>
      <c r="FD565"/>
      <c r="FE565"/>
      <c r="FF565"/>
      <c r="FG565"/>
      <c r="FH565"/>
      <c r="FI565"/>
    </row>
    <row r="566" spans="1:165" s="33" customFormat="1">
      <c r="A566" s="58"/>
      <c r="B566" s="58" t="s">
        <v>757</v>
      </c>
      <c r="C566" s="58" t="s">
        <v>758</v>
      </c>
      <c r="D566" s="58"/>
      <c r="E566" s="1487"/>
      <c r="F566" s="1487"/>
      <c r="G566" s="1487"/>
      <c r="H566" s="1487"/>
      <c r="I566" s="1487"/>
      <c r="J566" s="1487"/>
      <c r="K566" s="1487">
        <f t="shared" ref="K566:AD566" si="1179">SUM(K564:K565)</f>
        <v>0</v>
      </c>
      <c r="L566" s="1487"/>
      <c r="M566" s="1487">
        <f t="shared" si="1179"/>
        <v>0</v>
      </c>
      <c r="N566" s="1487"/>
      <c r="O566" s="1487">
        <f t="shared" si="1179"/>
        <v>0</v>
      </c>
      <c r="P566" s="1487">
        <f t="shared" si="1179"/>
        <v>0</v>
      </c>
      <c r="Q566" s="1487"/>
      <c r="R566" s="1487">
        <f t="shared" si="1179"/>
        <v>0</v>
      </c>
      <c r="S566" s="1487"/>
      <c r="T566" s="1487">
        <f t="shared" si="1179"/>
        <v>0</v>
      </c>
      <c r="U566" s="1487">
        <f t="shared" si="1179"/>
        <v>0</v>
      </c>
      <c r="V566" s="1487"/>
      <c r="W566" s="1487">
        <f t="shared" si="1179"/>
        <v>0</v>
      </c>
      <c r="X566" s="1487"/>
      <c r="Y566" s="1487">
        <f t="shared" si="1179"/>
        <v>0</v>
      </c>
      <c r="Z566" s="1487">
        <f t="shared" si="1179"/>
        <v>0</v>
      </c>
      <c r="AA566" s="1487"/>
      <c r="AB566" s="1487">
        <f t="shared" si="1179"/>
        <v>0</v>
      </c>
      <c r="AC566" s="1487"/>
      <c r="AD566" s="1487">
        <f t="shared" si="1179"/>
        <v>0</v>
      </c>
      <c r="AE566" s="1487">
        <f>SUM(AE564:AE565)</f>
        <v>0</v>
      </c>
      <c r="AF566" s="1487"/>
      <c r="AG566" s="1487">
        <f>SUM(AG564:AG565)</f>
        <v>0</v>
      </c>
      <c r="AH566" s="1487"/>
      <c r="AI566" s="1487">
        <f t="shared" ref="AI566:AO566" si="1180">SUM(AI564:AI565)</f>
        <v>0</v>
      </c>
      <c r="AJ566" s="1487">
        <f t="shared" si="1180"/>
        <v>0</v>
      </c>
      <c r="AK566" s="1487">
        <f t="shared" si="1180"/>
        <v>0</v>
      </c>
      <c r="AL566" s="1487">
        <f t="shared" si="1180"/>
        <v>0</v>
      </c>
      <c r="AM566" s="1487">
        <f t="shared" si="1180"/>
        <v>0</v>
      </c>
      <c r="AN566" s="1487">
        <f t="shared" si="1180"/>
        <v>0</v>
      </c>
      <c r="AO566" s="1487">
        <f t="shared" si="1180"/>
        <v>0</v>
      </c>
      <c r="AP566" s="1487"/>
      <c r="AQ566" s="1487">
        <f>SUM(AQ564:AQ565)</f>
        <v>0</v>
      </c>
      <c r="AR566" s="1487"/>
      <c r="AS566" s="1487">
        <f>SUM(AS564:AS565)</f>
        <v>0</v>
      </c>
      <c r="AT566" s="1487">
        <f>SUM(AT564:AT565)</f>
        <v>0</v>
      </c>
      <c r="AU566" s="1487"/>
      <c r="AV566" s="1487">
        <f>SUM(AV564:AV565)</f>
        <v>0</v>
      </c>
      <c r="AW566" s="1487"/>
      <c r="AX566" s="1487">
        <f>SUM(AX564:AX565)</f>
        <v>0</v>
      </c>
      <c r="AY566" s="1487">
        <f>SUM(AY564:AY565)</f>
        <v>0</v>
      </c>
      <c r="AZ566" s="1487"/>
      <c r="BA566" s="1487">
        <f>SUM(BA564:BA565)</f>
        <v>0</v>
      </c>
      <c r="BB566" s="1487"/>
      <c r="BC566" s="1487">
        <f>SUM(BC564:BC565)</f>
        <v>0</v>
      </c>
      <c r="BD566" s="1487">
        <f>SUM(BD564:BD565)</f>
        <v>0</v>
      </c>
      <c r="BE566" s="1487"/>
      <c r="BF566" s="1487">
        <f>SUM(BF564:BF565)</f>
        <v>0</v>
      </c>
      <c r="BG566" s="1487"/>
      <c r="BH566" s="1487">
        <f>SUM(BH564:BH565)</f>
        <v>0</v>
      </c>
      <c r="BI566" s="1487">
        <f>SUM(BI564:BI565)</f>
        <v>0</v>
      </c>
      <c r="BJ566" s="1487"/>
      <c r="BK566" s="1487">
        <f>SUM(BK564:BK565)</f>
        <v>0</v>
      </c>
      <c r="BL566" s="1487"/>
      <c r="BM566" s="1487">
        <f t="shared" ref="BM566:BV566" si="1181">SUM(BM564:BM565)</f>
        <v>0</v>
      </c>
      <c r="BN566" s="1487">
        <f t="shared" si="1181"/>
        <v>0</v>
      </c>
      <c r="BO566" s="1487">
        <f t="shared" si="1181"/>
        <v>0</v>
      </c>
      <c r="BP566" s="1487">
        <f t="shared" si="1181"/>
        <v>0</v>
      </c>
      <c r="BQ566" s="1487">
        <f t="shared" si="1181"/>
        <v>0</v>
      </c>
      <c r="BR566" s="1487">
        <f t="shared" si="1181"/>
        <v>0</v>
      </c>
      <c r="BS566" s="1487">
        <f t="shared" si="1181"/>
        <v>0</v>
      </c>
      <c r="BT566" s="1487">
        <f t="shared" si="1181"/>
        <v>0</v>
      </c>
      <c r="BU566" s="1487">
        <f t="shared" si="1181"/>
        <v>0</v>
      </c>
      <c r="BV566" s="1487">
        <f t="shared" si="1181"/>
        <v>0</v>
      </c>
      <c r="BW566" s="1487">
        <f t="shared" ref="BW566:DT566" si="1182">SUM(BW564:BW565)</f>
        <v>1155</v>
      </c>
      <c r="BX566" s="1487">
        <f t="shared" si="1182"/>
        <v>1155</v>
      </c>
      <c r="BY566" s="1487">
        <f t="shared" si="1182"/>
        <v>0</v>
      </c>
      <c r="BZ566" s="1487">
        <f t="shared" si="1182"/>
        <v>1240</v>
      </c>
      <c r="CA566" s="1487">
        <f t="shared" si="1182"/>
        <v>1240</v>
      </c>
      <c r="CB566" s="1487">
        <f t="shared" si="1182"/>
        <v>0</v>
      </c>
      <c r="CC566" s="1487">
        <f t="shared" si="1182"/>
        <v>1343</v>
      </c>
      <c r="CD566" s="1487">
        <f t="shared" si="1182"/>
        <v>1343</v>
      </c>
      <c r="CE566" s="1487">
        <f t="shared" si="1182"/>
        <v>0</v>
      </c>
      <c r="CF566" s="1487">
        <f t="shared" si="1182"/>
        <v>1680</v>
      </c>
      <c r="CG566" s="1487">
        <f t="shared" si="1182"/>
        <v>1680</v>
      </c>
      <c r="CH566" s="1487">
        <f t="shared" si="1182"/>
        <v>1593.3630000000001</v>
      </c>
      <c r="CI566" s="1487">
        <f t="shared" si="1182"/>
        <v>1472</v>
      </c>
      <c r="CJ566" s="1487">
        <f t="shared" si="1182"/>
        <v>1472</v>
      </c>
      <c r="CK566" s="1487">
        <f t="shared" si="1182"/>
        <v>1596.2000000000003</v>
      </c>
      <c r="CL566" s="1487">
        <f t="shared" si="1182"/>
        <v>1596.2000000000003</v>
      </c>
      <c r="CM566" s="1487">
        <f t="shared" si="1182"/>
        <v>1596.2000000000003</v>
      </c>
      <c r="CN566" s="1487">
        <f t="shared" si="1182"/>
        <v>1890.4</v>
      </c>
      <c r="CO566" s="1487">
        <f t="shared" si="1182"/>
        <v>1759.1999999999998</v>
      </c>
      <c r="CP566" s="1487">
        <f t="shared" si="1182"/>
        <v>1759.1999999999998</v>
      </c>
      <c r="CQ566" s="1487">
        <f t="shared" si="1182"/>
        <v>1783.5000000000005</v>
      </c>
      <c r="CR566" s="1487">
        <f t="shared" si="1182"/>
        <v>1849.4000000000003</v>
      </c>
      <c r="CS566" s="1487">
        <f t="shared" si="1182"/>
        <v>1849.4000000000003</v>
      </c>
      <c r="CT566" s="1487">
        <f t="shared" si="1182"/>
        <v>1816.0000000000002</v>
      </c>
      <c r="CU566" s="1487">
        <f t="shared" si="1182"/>
        <v>1949.3</v>
      </c>
      <c r="CV566" s="1487">
        <f t="shared" si="1182"/>
        <v>1949.3</v>
      </c>
      <c r="CW566" s="1487">
        <f t="shared" si="1182"/>
        <v>2104.4999999999995</v>
      </c>
      <c r="CX566" s="1487">
        <f t="shared" si="1182"/>
        <v>2262.0000000000005</v>
      </c>
      <c r="CY566" s="1487">
        <f t="shared" si="1182"/>
        <v>2262.0000000000005</v>
      </c>
      <c r="CZ566" s="1487">
        <f t="shared" si="1182"/>
        <v>2739.6999999999989</v>
      </c>
      <c r="DA566" s="1487">
        <f t="shared" si="1182"/>
        <v>2490</v>
      </c>
      <c r="DB566" s="1487">
        <f t="shared" si="1182"/>
        <v>2490</v>
      </c>
      <c r="DC566" s="1487">
        <f t="shared" si="1182"/>
        <v>3541.2000000000003</v>
      </c>
      <c r="DD566" s="1487">
        <f t="shared" si="1182"/>
        <v>3114.7</v>
      </c>
      <c r="DE566" s="1487">
        <f t="shared" si="1182"/>
        <v>3114.7</v>
      </c>
      <c r="DF566" s="1487">
        <f t="shared" si="1182"/>
        <v>3474.15</v>
      </c>
      <c r="DG566" s="1487">
        <f t="shared" si="1182"/>
        <v>3312.5899999999992</v>
      </c>
      <c r="DH566" s="1487">
        <f t="shared" si="1182"/>
        <v>3312.5899999999992</v>
      </c>
      <c r="DI566" s="1487">
        <f t="shared" si="1182"/>
        <v>3496.1999999999989</v>
      </c>
      <c r="DJ566" s="1487">
        <f t="shared" si="1182"/>
        <v>2951.4000000000005</v>
      </c>
      <c r="DK566" s="1487">
        <f t="shared" si="1182"/>
        <v>2951.4000000000005</v>
      </c>
      <c r="DL566" s="1487">
        <f t="shared" si="1182"/>
        <v>3970.7000000000007</v>
      </c>
      <c r="DM566" s="1487">
        <f t="shared" si="1182"/>
        <v>3410.0999999999976</v>
      </c>
      <c r="DN566" s="1487">
        <f t="shared" si="1182"/>
        <v>3410.0999999999976</v>
      </c>
      <c r="DO566" s="1487">
        <f t="shared" si="1182"/>
        <v>4980.3000000000011</v>
      </c>
      <c r="DP566" s="1487">
        <f t="shared" si="1182"/>
        <v>4158</v>
      </c>
      <c r="DQ566" s="1487">
        <f t="shared" si="1182"/>
        <v>4158</v>
      </c>
      <c r="DR566" s="1487">
        <f t="shared" si="1182"/>
        <v>5831</v>
      </c>
      <c r="DS566" s="1487">
        <f t="shared" si="1182"/>
        <v>5105</v>
      </c>
      <c r="DT566" s="1487">
        <f t="shared" si="1182"/>
        <v>5105</v>
      </c>
      <c r="DU566" s="1487">
        <f t="shared" ref="DU566:DZ566" si="1183">SUM(DU564:DU565)</f>
        <v>6348</v>
      </c>
      <c r="DV566" s="1487">
        <f t="shared" si="1183"/>
        <v>5682</v>
      </c>
      <c r="DW566" s="1487">
        <f t="shared" si="1183"/>
        <v>5682</v>
      </c>
      <c r="DX566" s="1487">
        <f t="shared" si="1183"/>
        <v>6813</v>
      </c>
      <c r="DY566" s="1487">
        <f t="shared" si="1183"/>
        <v>6375.7860239062948</v>
      </c>
      <c r="DZ566" s="1487">
        <f t="shared" si="1183"/>
        <v>6375.7860239062948</v>
      </c>
      <c r="EA566" s="1487">
        <f t="shared" ref="EA566:EF566" si="1184">SUM(EA564:EA565)</f>
        <v>7019.6760705647466</v>
      </c>
      <c r="EB566" s="1487">
        <f t="shared" si="1184"/>
        <v>6802.5846932395598</v>
      </c>
      <c r="EC566" s="1487">
        <f t="shared" si="1184"/>
        <v>6802.5846932395598</v>
      </c>
      <c r="ED566" s="1487">
        <f t="shared" si="1184"/>
        <v>7370.344584671102</v>
      </c>
      <c r="EE566" s="1487">
        <f t="shared" si="1184"/>
        <v>7248.7143015073661</v>
      </c>
      <c r="EF566" s="1487">
        <f t="shared" si="1184"/>
        <v>7248.7143015073661</v>
      </c>
      <c r="EG566" s="1487">
        <f t="shared" ref="EG566:EL566" si="1185">SUM(EG564:EG565)</f>
        <v>7835.3703140578255</v>
      </c>
      <c r="EH566" s="1487">
        <f t="shared" si="1185"/>
        <v>7783.1074948832056</v>
      </c>
      <c r="EI566" s="1487">
        <f t="shared" si="1185"/>
        <v>7783.1074948832056</v>
      </c>
      <c r="EJ566" s="1487">
        <f t="shared" si="1185"/>
        <v>8333.9009103763001</v>
      </c>
      <c r="EK566" s="1487">
        <f t="shared" si="1185"/>
        <v>8362.6136531402408</v>
      </c>
      <c r="EL566" s="1487">
        <f t="shared" si="1185"/>
        <v>8362.6136531402408</v>
      </c>
      <c r="EM566" s="1487">
        <f t="shared" ref="EM566:ER566" si="1186">SUM(EM564:EM565)</f>
        <v>8823.1314498284009</v>
      </c>
      <c r="EN566" s="1487">
        <f t="shared" si="1186"/>
        <v>8889.4383181926096</v>
      </c>
      <c r="EO566" s="1487">
        <f t="shared" si="1186"/>
        <v>8889.4383181926096</v>
      </c>
      <c r="EP566" s="1487">
        <f t="shared" si="1186"/>
        <v>9332.2931956137581</v>
      </c>
      <c r="EQ566" s="1487">
        <f t="shared" si="1186"/>
        <v>9457.9079731146012</v>
      </c>
      <c r="ER566" s="1487">
        <f t="shared" si="1186"/>
        <v>9457.9079731146012</v>
      </c>
      <c r="ES566" s="1487">
        <f t="shared" ref="ES566:FA566" si="1187">SUM(ES564:ES565)</f>
        <v>9883.0869806109913</v>
      </c>
      <c r="ET566" s="1487">
        <f t="shared" si="1187"/>
        <v>10069.305103974388</v>
      </c>
      <c r="EU566" s="1487">
        <f t="shared" si="1187"/>
        <v>10069.305103974388</v>
      </c>
      <c r="EV566" s="1487">
        <f t="shared" si="1187"/>
        <v>10468.054037572831</v>
      </c>
      <c r="EW566" s="1487">
        <f t="shared" si="1187"/>
        <v>10721.233356072586</v>
      </c>
      <c r="EX566" s="1487">
        <f t="shared" si="1187"/>
        <v>10721.233356072586</v>
      </c>
      <c r="EY566" s="1487">
        <f t="shared" si="1187"/>
        <v>11089.433488834038</v>
      </c>
      <c r="EZ566" s="1487">
        <f t="shared" si="1187"/>
        <v>11416.491449590067</v>
      </c>
      <c r="FA566" s="1487">
        <f t="shared" si="1187"/>
        <v>11416.491449590067</v>
      </c>
      <c r="FB566" s="1487"/>
      <c r="FC566" s="1487"/>
      <c r="FD566"/>
      <c r="FE566"/>
      <c r="FF566"/>
      <c r="FG566"/>
      <c r="FH566"/>
      <c r="FI566"/>
    </row>
    <row r="567" spans="1:165" s="33" customFormat="1">
      <c r="A567" s="58"/>
      <c r="B567" s="58"/>
      <c r="C567" s="58"/>
      <c r="D567" s="58"/>
      <c r="E567" s="1487"/>
      <c r="F567" s="1487"/>
      <c r="G567" s="1487"/>
      <c r="H567" s="1487"/>
      <c r="I567" s="1487"/>
      <c r="J567" s="1487"/>
      <c r="K567" s="1487"/>
      <c r="L567" s="1487"/>
      <c r="M567" s="1487"/>
      <c r="N567" s="1487"/>
      <c r="O567" s="1487"/>
      <c r="P567" s="1487"/>
      <c r="Q567" s="1487"/>
      <c r="R567" s="1487"/>
      <c r="S567" s="1487"/>
      <c r="T567" s="1487"/>
      <c r="U567" s="1487"/>
      <c r="V567" s="1487"/>
      <c r="W567" s="1487"/>
      <c r="X567" s="1487"/>
      <c r="Y567" s="1487"/>
      <c r="Z567" s="1487"/>
      <c r="AA567" s="1487"/>
      <c r="AB567" s="1487"/>
      <c r="AC567" s="1487"/>
      <c r="AD567" s="1487"/>
      <c r="AE567" s="1487"/>
      <c r="AF567" s="1487"/>
      <c r="AG567" s="1487"/>
      <c r="AH567" s="1487"/>
      <c r="AI567" s="1487"/>
      <c r="AJ567" s="1487"/>
      <c r="AK567" s="1487"/>
      <c r="AL567" s="1487"/>
      <c r="AM567" s="1487"/>
      <c r="AN567" s="1487"/>
      <c r="AO567" s="1487"/>
      <c r="AP567" s="1487"/>
      <c r="AQ567" s="1487"/>
      <c r="AR567" s="1487"/>
      <c r="AS567" s="1487"/>
      <c r="AT567" s="1487"/>
      <c r="AU567" s="1487"/>
      <c r="AV567" s="1487"/>
      <c r="AW567" s="1487"/>
      <c r="AX567" s="1487"/>
      <c r="AY567" s="1487"/>
      <c r="AZ567" s="1487"/>
      <c r="BA567" s="1487"/>
      <c r="BB567" s="1487"/>
      <c r="BC567" s="1487"/>
      <c r="BD567" s="1487"/>
      <c r="BE567" s="1487"/>
      <c r="BF567" s="1487"/>
      <c r="BG567" s="1487"/>
      <c r="BH567" s="1487"/>
      <c r="BI567" s="1487"/>
      <c r="BJ567" s="1487"/>
      <c r="BK567" s="1487"/>
      <c r="BL567" s="1487"/>
      <c r="BM567" s="1487"/>
      <c r="BN567" s="1487"/>
      <c r="BO567" s="1487"/>
      <c r="BP567" s="1487"/>
      <c r="BQ567" s="1487"/>
      <c r="BR567" s="1487"/>
      <c r="BS567" s="1487"/>
      <c r="BT567" s="1487"/>
      <c r="BU567" s="1487"/>
      <c r="BV567" s="1487"/>
      <c r="BW567" s="1487"/>
      <c r="BX567" s="1487"/>
      <c r="BY567" s="1487"/>
      <c r="BZ567" s="1487"/>
      <c r="CA567" s="1487"/>
      <c r="CB567" s="1487"/>
      <c r="CC567" s="1487"/>
      <c r="CD567" s="1487"/>
      <c r="CE567" s="1487"/>
      <c r="CF567" s="1487"/>
      <c r="CG567" s="1487"/>
      <c r="CH567" s="1487"/>
      <c r="CI567" s="1487"/>
      <c r="CJ567" s="1487"/>
      <c r="CK567" s="1487"/>
      <c r="CL567" s="1487"/>
      <c r="CM567" s="1487"/>
      <c r="CN567" s="1487"/>
      <c r="CO567" s="1487"/>
      <c r="CP567" s="1487"/>
      <c r="CQ567" s="1487"/>
      <c r="CR567" s="1487"/>
      <c r="CS567" s="1487"/>
      <c r="CT567" s="1487"/>
      <c r="CU567" s="1487"/>
      <c r="CV567" s="1487"/>
      <c r="CW567" s="1487"/>
      <c r="CX567" s="1487"/>
      <c r="CY567" s="1487"/>
      <c r="CZ567" s="1487"/>
      <c r="DA567" s="1487"/>
      <c r="DB567" s="1487"/>
      <c r="DC567" s="1487"/>
      <c r="DD567" s="1487"/>
      <c r="DE567" s="1487"/>
      <c r="DF567" s="1487"/>
      <c r="DG567" s="1487"/>
      <c r="DH567" s="1487"/>
      <c r="DI567" s="1487"/>
      <c r="DJ567" s="1487"/>
      <c r="DK567" s="1487"/>
      <c r="DL567" s="1487"/>
      <c r="DM567" s="1487"/>
      <c r="DN567" s="1487"/>
      <c r="DO567" s="1487"/>
      <c r="DP567" s="1487"/>
      <c r="DQ567" s="1487"/>
      <c r="DR567" s="1487"/>
      <c r="DS567" s="1487"/>
      <c r="DT567" s="1487"/>
      <c r="DU567" s="1487"/>
      <c r="DV567" s="1487"/>
      <c r="DW567" s="1487"/>
      <c r="DX567" s="1487"/>
      <c r="DY567" s="1487"/>
      <c r="DZ567" s="1487"/>
      <c r="EA567" s="1487"/>
      <c r="EB567" s="1487"/>
      <c r="EC567" s="1487"/>
      <c r="ED567" s="1487"/>
      <c r="EE567" s="1487"/>
      <c r="EF567" s="1487"/>
      <c r="EG567" s="1487"/>
      <c r="EH567" s="1487"/>
      <c r="EI567" s="1487"/>
      <c r="EJ567" s="1487"/>
      <c r="EK567" s="1487"/>
      <c r="EL567" s="1487"/>
      <c r="EM567" s="1487"/>
      <c r="EN567" s="1487"/>
      <c r="EO567" s="1487"/>
      <c r="EP567" s="1487"/>
      <c r="EQ567" s="1487"/>
      <c r="ER567" s="1487"/>
      <c r="ES567" s="1487"/>
      <c r="ET567" s="1487"/>
      <c r="EU567" s="1487"/>
      <c r="EV567" s="1487"/>
      <c r="EW567" s="1487"/>
      <c r="EX567" s="1487"/>
      <c r="EY567" s="1487"/>
      <c r="EZ567" s="1487"/>
      <c r="FA567" s="1487"/>
      <c r="FB567" s="1487"/>
      <c r="FC567" s="1487"/>
      <c r="FD567"/>
      <c r="FE567"/>
      <c r="FF567"/>
      <c r="FG567"/>
      <c r="FH567"/>
      <c r="FI567"/>
    </row>
    <row r="568" spans="1:165" s="33" customFormat="1">
      <c r="A568" s="58"/>
      <c r="B568" s="58" t="s">
        <v>759</v>
      </c>
      <c r="C568" s="58"/>
      <c r="D568" s="58"/>
      <c r="E568" s="1487"/>
      <c r="F568" s="1487"/>
      <c r="G568" s="1487"/>
      <c r="H568" s="1487"/>
      <c r="I568" s="1487"/>
      <c r="J568" s="1487"/>
      <c r="K568" s="1487">
        <f t="shared" ref="K568:AD568" si="1188">K247</f>
        <v>0</v>
      </c>
      <c r="L568" s="1487"/>
      <c r="M568" s="1487">
        <f t="shared" si="1188"/>
        <v>0</v>
      </c>
      <c r="N568" s="1487"/>
      <c r="O568" s="1487">
        <f t="shared" si="1188"/>
        <v>0</v>
      </c>
      <c r="P568" s="1487">
        <f t="shared" si="1188"/>
        <v>0</v>
      </c>
      <c r="Q568" s="1487"/>
      <c r="R568" s="1487">
        <f t="shared" si="1188"/>
        <v>0</v>
      </c>
      <c r="S568" s="1487"/>
      <c r="T568" s="1487">
        <f t="shared" si="1188"/>
        <v>0</v>
      </c>
      <c r="U568" s="1487">
        <f t="shared" si="1188"/>
        <v>0</v>
      </c>
      <c r="V568" s="1487"/>
      <c r="W568" s="1487">
        <f t="shared" si="1188"/>
        <v>0</v>
      </c>
      <c r="X568" s="1487"/>
      <c r="Y568" s="1487">
        <f t="shared" si="1188"/>
        <v>0</v>
      </c>
      <c r="Z568" s="1487">
        <f t="shared" si="1188"/>
        <v>0</v>
      </c>
      <c r="AA568" s="1487"/>
      <c r="AB568" s="1487">
        <f t="shared" si="1188"/>
        <v>0</v>
      </c>
      <c r="AC568" s="1487"/>
      <c r="AD568" s="1487">
        <f t="shared" si="1188"/>
        <v>0</v>
      </c>
      <c r="AE568" s="1487">
        <f>AE247</f>
        <v>0</v>
      </c>
      <c r="AF568" s="1487"/>
      <c r="AG568" s="1487">
        <f>AG247</f>
        <v>0</v>
      </c>
      <c r="AH568" s="1487"/>
      <c r="AI568" s="1487">
        <f t="shared" ref="AI568:AO568" si="1189">AI247</f>
        <v>0</v>
      </c>
      <c r="AJ568" s="1487">
        <f t="shared" si="1189"/>
        <v>0</v>
      </c>
      <c r="AK568" s="1487">
        <f t="shared" si="1189"/>
        <v>0</v>
      </c>
      <c r="AL568" s="1487">
        <f t="shared" si="1189"/>
        <v>0</v>
      </c>
      <c r="AM568" s="1487">
        <f t="shared" si="1189"/>
        <v>0</v>
      </c>
      <c r="AN568" s="1487">
        <f t="shared" si="1189"/>
        <v>0</v>
      </c>
      <c r="AO568" s="1487">
        <f t="shared" si="1189"/>
        <v>0</v>
      </c>
      <c r="AP568" s="1487"/>
      <c r="AQ568" s="1487">
        <f>AQ247</f>
        <v>0</v>
      </c>
      <c r="AR568" s="1487"/>
      <c r="AS568" s="1487">
        <f>AS247</f>
        <v>0</v>
      </c>
      <c r="AT568" s="1487">
        <f>AT247</f>
        <v>0</v>
      </c>
      <c r="AU568" s="1487"/>
      <c r="AV568" s="1487">
        <f>AV247</f>
        <v>0</v>
      </c>
      <c r="AW568" s="1487"/>
      <c r="AX568" s="1487">
        <f>AX247</f>
        <v>0</v>
      </c>
      <c r="AY568" s="1487">
        <f>AY247</f>
        <v>0</v>
      </c>
      <c r="AZ568" s="1487"/>
      <c r="BA568" s="1487">
        <f>BA247</f>
        <v>0</v>
      </c>
      <c r="BB568" s="1487"/>
      <c r="BC568" s="1487">
        <f>BC247</f>
        <v>0</v>
      </c>
      <c r="BD568" s="1487">
        <f>BD247</f>
        <v>0</v>
      </c>
      <c r="BE568" s="1487"/>
      <c r="BF568" s="1487">
        <f>BF247</f>
        <v>0</v>
      </c>
      <c r="BG568" s="1487"/>
      <c r="BH568" s="1487">
        <f>BH247</f>
        <v>0</v>
      </c>
      <c r="BI568" s="1487">
        <f>BI247</f>
        <v>0</v>
      </c>
      <c r="BJ568" s="1487"/>
      <c r="BK568" s="1487">
        <f>BK247</f>
        <v>0</v>
      </c>
      <c r="BL568" s="1487"/>
      <c r="BM568" s="1487">
        <f t="shared" ref="BM568:BU568" si="1190">BM247</f>
        <v>0</v>
      </c>
      <c r="BN568" s="1487">
        <f t="shared" si="1190"/>
        <v>0</v>
      </c>
      <c r="BO568" s="1487">
        <f t="shared" si="1190"/>
        <v>0</v>
      </c>
      <c r="BP568" s="1487">
        <f t="shared" si="1190"/>
        <v>0</v>
      </c>
      <c r="BQ568" s="1487">
        <f t="shared" si="1190"/>
        <v>0</v>
      </c>
      <c r="BR568" s="1487">
        <f t="shared" si="1190"/>
        <v>0</v>
      </c>
      <c r="BS568" s="1487">
        <f t="shared" si="1190"/>
        <v>0</v>
      </c>
      <c r="BT568" s="1487">
        <f t="shared" si="1190"/>
        <v>0</v>
      </c>
      <c r="BU568" s="1487">
        <f t="shared" si="1190"/>
        <v>0</v>
      </c>
      <c r="BV568" s="1487">
        <f>BV245</f>
        <v>0</v>
      </c>
      <c r="BW568" s="1487">
        <f t="shared" ref="BW568:DT568" si="1191">BW245</f>
        <v>939</v>
      </c>
      <c r="BX568" s="1487">
        <f t="shared" si="1191"/>
        <v>939</v>
      </c>
      <c r="BY568" s="1487">
        <f t="shared" si="1191"/>
        <v>0</v>
      </c>
      <c r="BZ568" s="1487">
        <f t="shared" si="1191"/>
        <v>972</v>
      </c>
      <c r="CA568" s="1487">
        <f t="shared" si="1191"/>
        <v>972</v>
      </c>
      <c r="CB568" s="1487">
        <f t="shared" si="1191"/>
        <v>0</v>
      </c>
      <c r="CC568" s="1487">
        <f t="shared" si="1191"/>
        <v>1029</v>
      </c>
      <c r="CD568" s="1487">
        <f t="shared" si="1191"/>
        <v>1029</v>
      </c>
      <c r="CE568" s="1487">
        <f t="shared" si="1191"/>
        <v>0</v>
      </c>
      <c r="CF568" s="1487">
        <f t="shared" si="1191"/>
        <v>1297</v>
      </c>
      <c r="CG568" s="1487">
        <f t="shared" si="1191"/>
        <v>1297</v>
      </c>
      <c r="CH568" s="1487">
        <f t="shared" si="1191"/>
        <v>1262.326</v>
      </c>
      <c r="CI568" s="1487">
        <f t="shared" si="1191"/>
        <v>1361.7</v>
      </c>
      <c r="CJ568" s="1487">
        <f t="shared" si="1191"/>
        <v>1361.7</v>
      </c>
      <c r="CK568" s="1487">
        <f t="shared" si="1191"/>
        <v>1587.2</v>
      </c>
      <c r="CL568" s="1487">
        <f t="shared" si="1191"/>
        <v>1587.2</v>
      </c>
      <c r="CM568" s="1487">
        <f t="shared" si="1191"/>
        <v>1587.2</v>
      </c>
      <c r="CN568" s="1487">
        <f t="shared" si="1191"/>
        <v>1684.4</v>
      </c>
      <c r="CO568" s="1487">
        <f t="shared" si="1191"/>
        <v>1831</v>
      </c>
      <c r="CP568" s="1487">
        <f t="shared" si="1191"/>
        <v>1831</v>
      </c>
      <c r="CQ568" s="1487">
        <f t="shared" si="1191"/>
        <v>1752.6</v>
      </c>
      <c r="CR568" s="1487">
        <f t="shared" si="1191"/>
        <v>1841.3</v>
      </c>
      <c r="CS568" s="1487">
        <f t="shared" si="1191"/>
        <v>1841.3</v>
      </c>
      <c r="CT568" s="1487">
        <f t="shared" si="1191"/>
        <v>2146.8000000000002</v>
      </c>
      <c r="CU568" s="1487">
        <f t="shared" si="1191"/>
        <v>2389.6</v>
      </c>
      <c r="CV568" s="1487">
        <f t="shared" si="1191"/>
        <v>2389.6</v>
      </c>
      <c r="CW568" s="1487">
        <f t="shared" si="1191"/>
        <v>2521.4</v>
      </c>
      <c r="CX568" s="1487">
        <f t="shared" si="1191"/>
        <v>2942.7</v>
      </c>
      <c r="CY568" s="1487">
        <f t="shared" si="1191"/>
        <v>2942.7</v>
      </c>
      <c r="CZ568" s="1487">
        <f t="shared" si="1191"/>
        <v>3193</v>
      </c>
      <c r="DA568" s="1487">
        <f t="shared" si="1191"/>
        <v>3551.4</v>
      </c>
      <c r="DB568" s="1487">
        <f t="shared" si="1191"/>
        <v>3551.4</v>
      </c>
      <c r="DC568" s="1487">
        <f t="shared" si="1191"/>
        <v>3786.9</v>
      </c>
      <c r="DD568" s="1487">
        <f t="shared" si="1191"/>
        <v>4484.3</v>
      </c>
      <c r="DE568" s="1487">
        <f t="shared" si="1191"/>
        <v>4484.3</v>
      </c>
      <c r="DF568" s="1487">
        <f t="shared" si="1191"/>
        <v>5868.2</v>
      </c>
      <c r="DG568" s="1487">
        <f t="shared" si="1191"/>
        <v>6305.4</v>
      </c>
      <c r="DH568" s="1487">
        <f t="shared" si="1191"/>
        <v>6305.4</v>
      </c>
      <c r="DI568" s="1487">
        <f t="shared" si="1191"/>
        <v>6842.9000000000005</v>
      </c>
      <c r="DJ568" s="1487">
        <f t="shared" si="1191"/>
        <v>7536</v>
      </c>
      <c r="DK568" s="1487">
        <f t="shared" si="1191"/>
        <v>7536</v>
      </c>
      <c r="DL568" s="1487">
        <f t="shared" si="1191"/>
        <v>7734.7999999999993</v>
      </c>
      <c r="DM568" s="1487">
        <f t="shared" si="1191"/>
        <v>8308.6</v>
      </c>
      <c r="DN568" s="1487">
        <f t="shared" si="1191"/>
        <v>8308.6</v>
      </c>
      <c r="DO568" s="1487">
        <f t="shared" si="1191"/>
        <v>8740.1999999999989</v>
      </c>
      <c r="DP568" s="1487">
        <f t="shared" si="1191"/>
        <v>9352</v>
      </c>
      <c r="DQ568" s="1487">
        <f t="shared" si="1191"/>
        <v>9352</v>
      </c>
      <c r="DR568" s="1487">
        <f t="shared" si="1191"/>
        <v>9562</v>
      </c>
      <c r="DS568" s="1487">
        <f t="shared" si="1191"/>
        <v>9658</v>
      </c>
      <c r="DT568" s="1487">
        <f t="shared" si="1191"/>
        <v>9658</v>
      </c>
      <c r="DU568" s="1487">
        <f t="shared" ref="DU568:DZ568" si="1192">DU245</f>
        <v>9601</v>
      </c>
      <c r="DV568" s="1487">
        <f t="shared" si="1192"/>
        <v>9797</v>
      </c>
      <c r="DW568" s="1487">
        <f t="shared" si="1192"/>
        <v>9797</v>
      </c>
      <c r="DX568" s="1487">
        <f t="shared" si="1192"/>
        <v>9315</v>
      </c>
      <c r="DY568" s="1487">
        <f t="shared" si="1192"/>
        <v>9521.6172259852574</v>
      </c>
      <c r="DZ568" s="1487">
        <f t="shared" si="1192"/>
        <v>9521.6172259852574</v>
      </c>
      <c r="EA568" s="1487">
        <f t="shared" ref="EA568:EF568" si="1193">EA245</f>
        <v>9665.3941853724955</v>
      </c>
      <c r="EB568" s="1487">
        <f t="shared" si="1193"/>
        <v>9800.8562596785923</v>
      </c>
      <c r="EC568" s="1487">
        <f t="shared" si="1193"/>
        <v>9800.8562596785923</v>
      </c>
      <c r="ED568" s="1487">
        <f t="shared" si="1193"/>
        <v>10018.337450803869</v>
      </c>
      <c r="EE568" s="1487">
        <f t="shared" si="1193"/>
        <v>10224.690022037781</v>
      </c>
      <c r="EF568" s="1487">
        <f t="shared" si="1193"/>
        <v>10224.690022037781</v>
      </c>
      <c r="EG568" s="1487">
        <f t="shared" ref="EG568:EL568" si="1194">EG245</f>
        <v>10430.341330284591</v>
      </c>
      <c r="EH568" s="1487">
        <f t="shared" si="1194"/>
        <v>10629.398326449314</v>
      </c>
      <c r="EI568" s="1487">
        <f t="shared" si="1194"/>
        <v>10629.398326449314</v>
      </c>
      <c r="EJ568" s="1487">
        <f t="shared" si="1194"/>
        <v>10745.300917564302</v>
      </c>
      <c r="EK568" s="1487">
        <f t="shared" si="1194"/>
        <v>10865.363284392764</v>
      </c>
      <c r="EL568" s="1487">
        <f t="shared" si="1194"/>
        <v>10865.363284392764</v>
      </c>
      <c r="EM568" s="1487">
        <f t="shared" ref="EM568:ER568" si="1195">EM245</f>
        <v>10880.162512139568</v>
      </c>
      <c r="EN568" s="1487">
        <f t="shared" si="1195"/>
        <v>10909.182789202179</v>
      </c>
      <c r="EO568" s="1487">
        <f t="shared" si="1195"/>
        <v>10909.182789202179</v>
      </c>
      <c r="EP568" s="1487">
        <f t="shared" si="1195"/>
        <v>10924.304520168049</v>
      </c>
      <c r="EQ568" s="1487">
        <f t="shared" si="1195"/>
        <v>10955.657509092371</v>
      </c>
      <c r="ER568" s="1487">
        <f t="shared" si="1195"/>
        <v>10955.657509092371</v>
      </c>
      <c r="ES568" s="1487">
        <f t="shared" ref="ES568:FA568" si="1196">ES245</f>
        <v>10971.2104520298</v>
      </c>
      <c r="ET568" s="1487">
        <f t="shared" si="1196"/>
        <v>11003.982534130344</v>
      </c>
      <c r="EU568" s="1487">
        <f t="shared" si="1196"/>
        <v>11003.982534130344</v>
      </c>
      <c r="EV568" s="1487">
        <f t="shared" si="1196"/>
        <v>11021.055901281192</v>
      </c>
      <c r="EW568" s="1487">
        <f t="shared" si="1196"/>
        <v>11055.339228917221</v>
      </c>
      <c r="EX568" s="1487">
        <f t="shared" si="1196"/>
        <v>11055.339228917221</v>
      </c>
      <c r="EY568" s="1487">
        <f t="shared" si="1196"/>
        <v>11074.028082700388</v>
      </c>
      <c r="EZ568" s="1487">
        <f t="shared" si="1196"/>
        <v>11109.920973899303</v>
      </c>
      <c r="FA568" s="1487">
        <f t="shared" si="1196"/>
        <v>11109.920973899303</v>
      </c>
      <c r="FB568" s="1487"/>
      <c r="FC568" s="1487"/>
      <c r="FD568"/>
      <c r="FE568"/>
      <c r="FF568"/>
      <c r="FG568"/>
      <c r="FH568"/>
      <c r="FI568"/>
    </row>
    <row r="569" spans="1:165" s="33" customFormat="1">
      <c r="A569" s="58"/>
      <c r="B569" s="58" t="s">
        <v>760</v>
      </c>
      <c r="C569" s="58"/>
      <c r="D569" s="58"/>
      <c r="E569" s="1487"/>
      <c r="F569" s="1487"/>
      <c r="G569" s="1487"/>
      <c r="H569" s="1487"/>
      <c r="I569" s="1487"/>
      <c r="J569" s="1487"/>
      <c r="K569" s="1487">
        <f t="shared" ref="K569:AD569" si="1197">(K263-K253-K247-K244)-(K302-K288-K285)</f>
        <v>0</v>
      </c>
      <c r="L569" s="1487"/>
      <c r="M569" s="1487">
        <f t="shared" si="1197"/>
        <v>0</v>
      </c>
      <c r="N569" s="1487"/>
      <c r="O569" s="1487">
        <f t="shared" si="1197"/>
        <v>0</v>
      </c>
      <c r="P569" s="1487">
        <f t="shared" si="1197"/>
        <v>0</v>
      </c>
      <c r="Q569" s="1487"/>
      <c r="R569" s="1487">
        <f t="shared" si="1197"/>
        <v>0</v>
      </c>
      <c r="S569" s="1487"/>
      <c r="T569" s="1487">
        <f t="shared" si="1197"/>
        <v>0</v>
      </c>
      <c r="U569" s="1487">
        <f t="shared" si="1197"/>
        <v>0</v>
      </c>
      <c r="V569" s="1487"/>
      <c r="W569" s="1487">
        <f t="shared" si="1197"/>
        <v>0</v>
      </c>
      <c r="X569" s="1487"/>
      <c r="Y569" s="1487">
        <f t="shared" si="1197"/>
        <v>0</v>
      </c>
      <c r="Z569" s="1487">
        <f t="shared" si="1197"/>
        <v>0</v>
      </c>
      <c r="AA569" s="1487"/>
      <c r="AB569" s="1487">
        <f t="shared" si="1197"/>
        <v>0</v>
      </c>
      <c r="AC569" s="1487"/>
      <c r="AD569" s="1487">
        <f t="shared" si="1197"/>
        <v>0</v>
      </c>
      <c r="AE569" s="1487">
        <f>(AE263-AE253-AE247-AE244)-(AE302-AE288-AE285)</f>
        <v>0</v>
      </c>
      <c r="AF569" s="1487"/>
      <c r="AG569" s="1487">
        <f>(AG263-AG253-AG247-AG244)-(AG302-AG288-AG285)</f>
        <v>0</v>
      </c>
      <c r="AH569" s="1487"/>
      <c r="AI569" s="1487">
        <f t="shared" ref="AI569:AO569" si="1198">(AI263-AI253-AI247-AI244)-(AI302-AI288-AI285)</f>
        <v>0</v>
      </c>
      <c r="AJ569" s="1487">
        <f t="shared" si="1198"/>
        <v>0</v>
      </c>
      <c r="AK569" s="1487">
        <f t="shared" si="1198"/>
        <v>0</v>
      </c>
      <c r="AL569" s="1487">
        <f t="shared" si="1198"/>
        <v>0</v>
      </c>
      <c r="AM569" s="1487">
        <f t="shared" si="1198"/>
        <v>0</v>
      </c>
      <c r="AN569" s="1487">
        <f t="shared" si="1198"/>
        <v>0</v>
      </c>
      <c r="AO569" s="1487">
        <f t="shared" si="1198"/>
        <v>0</v>
      </c>
      <c r="AP569" s="1487"/>
      <c r="AQ569" s="1487">
        <f>(AQ263-AQ253-AQ247-AQ244)-(AQ302-AQ288-AQ285)</f>
        <v>0</v>
      </c>
      <c r="AR569" s="1487"/>
      <c r="AS569" s="1487">
        <f>(AS263-AS253-AS247-AS244)-(AS302-AS288-AS285)</f>
        <v>0</v>
      </c>
      <c r="AT569" s="1487">
        <f>(AT263-AT253-AT247-AT244)-(AT302-AT288-AT285)</f>
        <v>0</v>
      </c>
      <c r="AU569" s="1487"/>
      <c r="AV569" s="1487">
        <f>(AV263-AV253-AV247-AV244)-(AV302-AV288-AV285)</f>
        <v>0</v>
      </c>
      <c r="AW569" s="1487"/>
      <c r="AX569" s="1487">
        <f>(AX263-AX253-AX247-AX244)-(AX302-AX288-AX285)</f>
        <v>0</v>
      </c>
      <c r="AY569" s="1487">
        <f>(AY263-AY253-AY247-AY244)-(AY302-AY288-AY285)</f>
        <v>0</v>
      </c>
      <c r="AZ569" s="1487"/>
      <c r="BA569" s="1487">
        <f>(BA263-BA253-BA247-BA244)-(BA302-BA288-BA285)</f>
        <v>0</v>
      </c>
      <c r="BB569" s="1487"/>
      <c r="BC569" s="1487">
        <f>(BC263-BC253-BC247-BC244)-(BC302-BC288-BC285)</f>
        <v>0</v>
      </c>
      <c r="BD569" s="1487">
        <f>(BD263-BD253-BD247-BD244)-(BD302-BD288-BD285)</f>
        <v>0</v>
      </c>
      <c r="BE569" s="1487"/>
      <c r="BF569" s="1487">
        <f>(BF263-BF253-BF247-BF244)-(BF302-BF288-BF285)</f>
        <v>0</v>
      </c>
      <c r="BG569" s="1487"/>
      <c r="BH569" s="1487">
        <f>(BH263-BH253-BH247-BH244)-(BH302-BH288-BH285)</f>
        <v>0</v>
      </c>
      <c r="BI569" s="1487">
        <f>(BI263-BI253-BI247-BI244)-(BI302-BI288-BI285)</f>
        <v>0</v>
      </c>
      <c r="BJ569" s="1487"/>
      <c r="BK569" s="1487">
        <f>(BK263-BK253-BK247-BK244)-(BK302-BK288-BK285)</f>
        <v>0</v>
      </c>
      <c r="BL569" s="1487"/>
      <c r="BM569" s="1487">
        <f t="shared" ref="BM569:BU569" si="1199">(BM263-BM253-BM247-BM244)-(BM302-BM288-BM285)</f>
        <v>0</v>
      </c>
      <c r="BN569" s="1487">
        <f t="shared" si="1199"/>
        <v>0</v>
      </c>
      <c r="BO569" s="1487">
        <f t="shared" si="1199"/>
        <v>0</v>
      </c>
      <c r="BP569" s="1487">
        <f t="shared" si="1199"/>
        <v>0</v>
      </c>
      <c r="BQ569" s="1487">
        <f t="shared" si="1199"/>
        <v>0</v>
      </c>
      <c r="BR569" s="1487">
        <f t="shared" si="1199"/>
        <v>0</v>
      </c>
      <c r="BS569" s="1487">
        <f t="shared" si="1199"/>
        <v>0</v>
      </c>
      <c r="BT569" s="1487">
        <f t="shared" si="1199"/>
        <v>0</v>
      </c>
      <c r="BU569" s="1487">
        <f t="shared" si="1199"/>
        <v>0</v>
      </c>
      <c r="BV569" s="1487">
        <f>(BV261-BV251-BV245-BV242)-(BV300-BV286-BV283)</f>
        <v>0</v>
      </c>
      <c r="BW569" s="1487">
        <f t="shared" ref="BW569:DT569" si="1200">(BW261-BW251-BW245-BW242)-(BW300-BW286-BW283)</f>
        <v>-28</v>
      </c>
      <c r="BX569" s="1487">
        <f t="shared" si="1200"/>
        <v>-28</v>
      </c>
      <c r="BY569" s="1487">
        <f t="shared" si="1200"/>
        <v>0</v>
      </c>
      <c r="BZ569" s="1487">
        <f t="shared" si="1200"/>
        <v>-39</v>
      </c>
      <c r="CA569" s="1487">
        <f t="shared" si="1200"/>
        <v>-39</v>
      </c>
      <c r="CB569" s="1487">
        <f t="shared" si="1200"/>
        <v>0</v>
      </c>
      <c r="CC569" s="1487">
        <f t="shared" si="1200"/>
        <v>-55</v>
      </c>
      <c r="CD569" s="1487">
        <f t="shared" si="1200"/>
        <v>-55</v>
      </c>
      <c r="CE569" s="1487">
        <f t="shared" si="1200"/>
        <v>0</v>
      </c>
      <c r="CF569" s="1487">
        <f t="shared" si="1200"/>
        <v>-112</v>
      </c>
      <c r="CG569" s="1487">
        <f t="shared" si="1200"/>
        <v>-112</v>
      </c>
      <c r="CH569" s="1487">
        <f t="shared" si="1200"/>
        <v>-131.58100000000036</v>
      </c>
      <c r="CI569" s="1487">
        <f t="shared" si="1200"/>
        <v>-142.2000000000005</v>
      </c>
      <c r="CJ569" s="1487">
        <f t="shared" si="1200"/>
        <v>-142.2000000000005</v>
      </c>
      <c r="CK569" s="1487">
        <f t="shared" si="1200"/>
        <v>-115.59999999999957</v>
      </c>
      <c r="CL569" s="1487">
        <f t="shared" si="1200"/>
        <v>-115.59999999999957</v>
      </c>
      <c r="CM569" s="1487">
        <f t="shared" si="1200"/>
        <v>-115.59999999999957</v>
      </c>
      <c r="CN569" s="1487">
        <f t="shared" si="1200"/>
        <v>-80.000000000000341</v>
      </c>
      <c r="CO569" s="1487">
        <f t="shared" si="1200"/>
        <v>-70.700000000000273</v>
      </c>
      <c r="CP569" s="1487">
        <f t="shared" si="1200"/>
        <v>-70.700000000000273</v>
      </c>
      <c r="CQ569" s="1487">
        <f t="shared" si="1200"/>
        <v>-119.39999999999952</v>
      </c>
      <c r="CR569" s="1487">
        <f t="shared" si="1200"/>
        <v>-146.59999999999945</v>
      </c>
      <c r="CS569" s="1487">
        <f t="shared" si="1200"/>
        <v>-146.59999999999945</v>
      </c>
      <c r="CT569" s="1487">
        <f t="shared" si="1200"/>
        <v>-50</v>
      </c>
      <c r="CU569" s="1487">
        <f t="shared" si="1200"/>
        <v>-127.59999999999991</v>
      </c>
      <c r="CV569" s="1487">
        <f t="shared" si="1200"/>
        <v>-127.59999999999991</v>
      </c>
      <c r="CW569" s="1487">
        <f t="shared" si="1200"/>
        <v>-27.399999999999864</v>
      </c>
      <c r="CX569" s="1487">
        <f t="shared" si="1200"/>
        <v>34.400000000001</v>
      </c>
      <c r="CY569" s="1487">
        <f t="shared" si="1200"/>
        <v>34.400000000001</v>
      </c>
      <c r="CZ569" s="1487">
        <f t="shared" si="1200"/>
        <v>-176.80000000000018</v>
      </c>
      <c r="DA569" s="1487">
        <f t="shared" si="1200"/>
        <v>-192.39999999999941</v>
      </c>
      <c r="DB569" s="1487">
        <f t="shared" si="1200"/>
        <v>-192.39999999999941</v>
      </c>
      <c r="DC569" s="1487">
        <f t="shared" si="1200"/>
        <v>-323.09999999999923</v>
      </c>
      <c r="DD569" s="1487">
        <f t="shared" si="1200"/>
        <v>-220.99999999999864</v>
      </c>
      <c r="DE569" s="1487">
        <f t="shared" si="1200"/>
        <v>-220.99999999999864</v>
      </c>
      <c r="DF569" s="1487">
        <f t="shared" si="1200"/>
        <v>-208.25000000000227</v>
      </c>
      <c r="DG569" s="1487">
        <f t="shared" si="1200"/>
        <v>-432.20000000000164</v>
      </c>
      <c r="DH569" s="1487">
        <f t="shared" si="1200"/>
        <v>-432.20000000000164</v>
      </c>
      <c r="DI569" s="1487">
        <f t="shared" si="1200"/>
        <v>-636.60000000000264</v>
      </c>
      <c r="DJ569" s="1487">
        <f t="shared" si="1200"/>
        <v>-777.39999999999873</v>
      </c>
      <c r="DK569" s="1487">
        <f t="shared" si="1200"/>
        <v>-777.39999999999873</v>
      </c>
      <c r="DL569" s="1487">
        <f t="shared" si="1200"/>
        <v>-1116.2000000000007</v>
      </c>
      <c r="DM569" s="1487">
        <f t="shared" si="1200"/>
        <v>-557.90000000000236</v>
      </c>
      <c r="DN569" s="1487">
        <f t="shared" si="1200"/>
        <v>-557.90000000000236</v>
      </c>
      <c r="DO569" s="1487">
        <f t="shared" si="1200"/>
        <v>-1485.9000000000005</v>
      </c>
      <c r="DP569" s="1487">
        <f t="shared" si="1200"/>
        <v>-1451</v>
      </c>
      <c r="DQ569" s="1487">
        <f t="shared" si="1200"/>
        <v>-1451</v>
      </c>
      <c r="DR569" s="1487">
        <f t="shared" si="1200"/>
        <v>-1608</v>
      </c>
      <c r="DS569" s="1487">
        <f t="shared" si="1200"/>
        <v>-1182</v>
      </c>
      <c r="DT569" s="1487">
        <f t="shared" si="1200"/>
        <v>-1182</v>
      </c>
      <c r="DU569" s="1487">
        <f t="shared" ref="DU569:DZ569" si="1201">(DU261-DU251-DU245-DU242)-(DU300-DU286-DU283)</f>
        <v>-1245</v>
      </c>
      <c r="DV569" s="1487">
        <f t="shared" si="1201"/>
        <v>-916</v>
      </c>
      <c r="DW569" s="1487">
        <f t="shared" si="1201"/>
        <v>-916</v>
      </c>
      <c r="DX569" s="1487">
        <f t="shared" si="1201"/>
        <v>-778</v>
      </c>
      <c r="DY569" s="1487">
        <f t="shared" si="1201"/>
        <v>-778.00000000000091</v>
      </c>
      <c r="DZ569" s="1487">
        <f t="shared" si="1201"/>
        <v>-778.00000000000091</v>
      </c>
      <c r="EA569" s="1487">
        <f t="shared" ref="EA569:EF569" si="1202">(EA261-EA251-EA245-EA242)-(EA300-EA286-EA283)</f>
        <v>-777.99999999999818</v>
      </c>
      <c r="EB569" s="1487">
        <f t="shared" si="1202"/>
        <v>-777.99999999999818</v>
      </c>
      <c r="EC569" s="1487">
        <f t="shared" si="1202"/>
        <v>-777.99999999999818</v>
      </c>
      <c r="ED569" s="1487">
        <f t="shared" si="1202"/>
        <v>-778</v>
      </c>
      <c r="EE569" s="1487">
        <f t="shared" si="1202"/>
        <v>-777.99999999999727</v>
      </c>
      <c r="EF569" s="1487">
        <f t="shared" si="1202"/>
        <v>-777.99999999999727</v>
      </c>
      <c r="EG569" s="1487">
        <f t="shared" ref="EG569:EL569" si="1203">(EG261-EG251-EG245-EG242)-(EG300-EG286-EG283)</f>
        <v>-777.99999999999636</v>
      </c>
      <c r="EH569" s="1487">
        <f t="shared" si="1203"/>
        <v>-777.99999999999545</v>
      </c>
      <c r="EI569" s="1487">
        <f t="shared" si="1203"/>
        <v>-777.99999999999545</v>
      </c>
      <c r="EJ569" s="1487">
        <f t="shared" si="1203"/>
        <v>-778.00000000000182</v>
      </c>
      <c r="EK569" s="1487">
        <f t="shared" si="1203"/>
        <v>-778.00000000000091</v>
      </c>
      <c r="EL569" s="1487">
        <f t="shared" si="1203"/>
        <v>-778.00000000000091</v>
      </c>
      <c r="EM569" s="1487">
        <f t="shared" ref="EM569:ER569" si="1204">(EM261-EM251-EM245-EM242)-(EM300-EM286-EM283)</f>
        <v>-778.00000000000546</v>
      </c>
      <c r="EN569" s="1487">
        <f t="shared" si="1204"/>
        <v>-777.99999999999909</v>
      </c>
      <c r="EO569" s="1487">
        <f t="shared" si="1204"/>
        <v>-777.99999999999909</v>
      </c>
      <c r="EP569" s="1487">
        <f t="shared" si="1204"/>
        <v>-777.99999999999909</v>
      </c>
      <c r="EQ569" s="1487">
        <f t="shared" si="1204"/>
        <v>-777.99999999999909</v>
      </c>
      <c r="ER569" s="1487">
        <f t="shared" si="1204"/>
        <v>-777.99999999999909</v>
      </c>
      <c r="ES569" s="1487">
        <f t="shared" ref="ES569:FA569" si="1205">(ES261-ES251-ES245-ES242)-(ES300-ES286-ES283)</f>
        <v>-777.99999999999818</v>
      </c>
      <c r="ET569" s="1487">
        <f t="shared" si="1205"/>
        <v>-778.00000000000273</v>
      </c>
      <c r="EU569" s="1487">
        <f t="shared" si="1205"/>
        <v>-778.00000000000273</v>
      </c>
      <c r="EV569" s="1487">
        <f t="shared" si="1205"/>
        <v>-778.00000000000091</v>
      </c>
      <c r="EW569" s="1487">
        <f t="shared" si="1205"/>
        <v>-778.00000000000091</v>
      </c>
      <c r="EX569" s="1487">
        <f t="shared" si="1205"/>
        <v>-778.00000000000091</v>
      </c>
      <c r="EY569" s="1487">
        <f t="shared" si="1205"/>
        <v>-778.00000000000091</v>
      </c>
      <c r="EZ569" s="1487">
        <f t="shared" si="1205"/>
        <v>-777.99999999999363</v>
      </c>
      <c r="FA569" s="1487">
        <f t="shared" si="1205"/>
        <v>-777.99999999999363</v>
      </c>
      <c r="FB569" s="1487"/>
      <c r="FC569" s="1487"/>
      <c r="FD569"/>
      <c r="FE569"/>
      <c r="FF569"/>
      <c r="FG569"/>
      <c r="FH569"/>
      <c r="FI569"/>
    </row>
    <row r="570" spans="1:165" s="33" customFormat="1">
      <c r="A570" s="58"/>
      <c r="B570" s="58"/>
      <c r="C570" s="58"/>
      <c r="D570" s="58"/>
      <c r="E570" s="1487"/>
      <c r="F570" s="1487"/>
      <c r="G570" s="1487"/>
      <c r="H570" s="1487"/>
      <c r="I570" s="1487"/>
      <c r="J570" s="1487"/>
      <c r="K570" s="1487"/>
      <c r="L570" s="1487"/>
      <c r="M570" s="1487"/>
      <c r="N570" s="1487"/>
      <c r="O570" s="1487"/>
      <c r="P570" s="1487"/>
      <c r="Q570" s="1487"/>
      <c r="R570" s="1487"/>
      <c r="S570" s="1487"/>
      <c r="T570" s="1487"/>
      <c r="U570" s="1487"/>
      <c r="V570" s="1487"/>
      <c r="W570" s="1487"/>
      <c r="X570" s="1487"/>
      <c r="Y570" s="1487"/>
      <c r="Z570" s="1487"/>
      <c r="AA570" s="1487"/>
      <c r="AB570" s="1487"/>
      <c r="AC570" s="1487"/>
      <c r="AD570" s="1487"/>
      <c r="AE570" s="1487"/>
      <c r="AF570" s="1487"/>
      <c r="AG570" s="1487"/>
      <c r="AH570" s="1487"/>
      <c r="AI570" s="1487"/>
      <c r="AJ570" s="1487"/>
      <c r="AK570" s="1487"/>
      <c r="AL570" s="1487"/>
      <c r="AM570" s="1487"/>
      <c r="AN570" s="1487"/>
      <c r="AO570" s="1487"/>
      <c r="AP570" s="1487"/>
      <c r="AQ570" s="1487"/>
      <c r="AR570" s="1487"/>
      <c r="AS570" s="1487"/>
      <c r="AT570" s="1487"/>
      <c r="AU570" s="1487"/>
      <c r="AV570" s="1487"/>
      <c r="AW570" s="1487"/>
      <c r="AX570" s="1487"/>
      <c r="AY570" s="1487"/>
      <c r="AZ570" s="1487"/>
      <c r="BA570" s="1487"/>
      <c r="BB570" s="1487"/>
      <c r="BC570" s="1487"/>
      <c r="BD570" s="1487"/>
      <c r="BE570" s="1487"/>
      <c r="BF570" s="1487"/>
      <c r="BG570" s="1487"/>
      <c r="BH570" s="1487"/>
      <c r="BI570" s="1487"/>
      <c r="BJ570" s="1487"/>
      <c r="BK570" s="1487"/>
      <c r="BL570" s="1487"/>
      <c r="BM570" s="1487"/>
      <c r="BN570" s="1487"/>
      <c r="BO570" s="1487"/>
      <c r="BP570" s="1487"/>
      <c r="BQ570" s="1487"/>
      <c r="BR570" s="1487"/>
      <c r="BS570" s="1487"/>
      <c r="BT570" s="1487"/>
      <c r="BU570" s="1487"/>
      <c r="BV570" s="1487"/>
      <c r="BW570" s="1487"/>
      <c r="BX570" s="1487"/>
      <c r="BY570" s="1487"/>
      <c r="BZ570" s="1487"/>
      <c r="CA570" s="1487"/>
      <c r="CB570" s="1487"/>
      <c r="CC570" s="1487"/>
      <c r="CD570" s="1487"/>
      <c r="CE570" s="1487"/>
      <c r="CF570" s="1487"/>
      <c r="CG570" s="1487"/>
      <c r="CH570" s="1487"/>
      <c r="CI570" s="1487"/>
      <c r="CJ570" s="1487"/>
      <c r="CK570" s="1487"/>
      <c r="CL570" s="1487"/>
      <c r="CM570" s="1487"/>
      <c r="CN570" s="1487"/>
      <c r="CO570" s="1487"/>
      <c r="CP570" s="1487"/>
      <c r="CQ570" s="1487"/>
      <c r="CR570" s="1487"/>
      <c r="CS570" s="1487"/>
      <c r="CT570" s="1487"/>
      <c r="CU570" s="1487"/>
      <c r="CV570" s="1487"/>
      <c r="CW570" s="1487"/>
      <c r="CX570" s="1487"/>
      <c r="CY570" s="1487"/>
      <c r="CZ570" s="1487"/>
      <c r="DA570" s="1487"/>
      <c r="DB570" s="1487"/>
      <c r="DC570" s="1487"/>
      <c r="DD570" s="1487"/>
      <c r="DE570" s="1487"/>
      <c r="DF570" s="1487"/>
      <c r="DG570" s="1487"/>
      <c r="DH570" s="1487"/>
      <c r="DI570" s="1487"/>
      <c r="DJ570" s="1487"/>
      <c r="DK570" s="1487"/>
      <c r="DL570" s="1487"/>
      <c r="DM570" s="1487"/>
      <c r="DN570" s="1487"/>
      <c r="DO570" s="1487"/>
      <c r="DP570" s="1487"/>
      <c r="DQ570" s="1487"/>
      <c r="DR570" s="1487"/>
      <c r="DS570" s="1487"/>
      <c r="DT570" s="1487"/>
      <c r="DU570" s="1487"/>
      <c r="DV570" s="1487"/>
      <c r="DW570" s="1487"/>
      <c r="DX570" s="1487"/>
      <c r="DY570" s="1487"/>
      <c r="DZ570" s="1487"/>
      <c r="EA570" s="1487"/>
      <c r="EB570" s="1487"/>
      <c r="EC570" s="1487"/>
      <c r="ED570" s="1487"/>
      <c r="EE570" s="1487"/>
      <c r="EF570" s="1487"/>
      <c r="EG570" s="1487"/>
      <c r="EH570" s="1487"/>
      <c r="EI570" s="1487"/>
      <c r="EJ570" s="1487"/>
      <c r="EK570" s="1487"/>
      <c r="EL570" s="1487"/>
      <c r="EM570" s="1487"/>
      <c r="EN570" s="1487"/>
      <c r="EO570" s="1487"/>
      <c r="EP570" s="1487"/>
      <c r="EQ570" s="1487"/>
      <c r="ER570" s="1487"/>
      <c r="ES570" s="1487"/>
      <c r="ET570" s="1487"/>
      <c r="EU570" s="1487"/>
      <c r="EV570" s="1487"/>
      <c r="EW570" s="1487"/>
      <c r="EX570" s="1487"/>
      <c r="EY570" s="1487"/>
      <c r="EZ570" s="1487"/>
      <c r="FA570" s="1487"/>
      <c r="FB570" s="1487"/>
      <c r="FC570" s="1487"/>
      <c r="FD570"/>
      <c r="FE570"/>
      <c r="FF570"/>
      <c r="FG570"/>
      <c r="FH570"/>
      <c r="FI570"/>
    </row>
    <row r="571" spans="1:165" s="33" customFormat="1">
      <c r="A571" s="58"/>
      <c r="B571" s="58" t="s">
        <v>761</v>
      </c>
      <c r="C571" s="58"/>
      <c r="D571" s="58"/>
      <c r="E571" s="1487"/>
      <c r="F571" s="1487"/>
      <c r="G571" s="1487"/>
      <c r="H571" s="1487"/>
      <c r="I571" s="1487"/>
      <c r="J571" s="1487"/>
      <c r="K571" s="1487">
        <f t="shared" ref="K571:AD571" si="1206">K566+K568+K569</f>
        <v>0</v>
      </c>
      <c r="L571" s="1487"/>
      <c r="M571" s="1487">
        <f t="shared" si="1206"/>
        <v>0</v>
      </c>
      <c r="N571" s="1487"/>
      <c r="O571" s="1487">
        <f>O566+O568+O569</f>
        <v>0</v>
      </c>
      <c r="P571" s="1487">
        <f t="shared" si="1206"/>
        <v>0</v>
      </c>
      <c r="Q571" s="1487"/>
      <c r="R571" s="1487">
        <f t="shared" si="1206"/>
        <v>0</v>
      </c>
      <c r="S571" s="1487"/>
      <c r="T571" s="1487">
        <f>T566+T568+T569</f>
        <v>0</v>
      </c>
      <c r="U571" s="1487">
        <f t="shared" si="1206"/>
        <v>0</v>
      </c>
      <c r="V571" s="1487"/>
      <c r="W571" s="1487">
        <f t="shared" si="1206"/>
        <v>0</v>
      </c>
      <c r="X571" s="1487"/>
      <c r="Y571" s="1487">
        <f t="shared" si="1206"/>
        <v>0</v>
      </c>
      <c r="Z571" s="1487">
        <f t="shared" si="1206"/>
        <v>0</v>
      </c>
      <c r="AA571" s="1487"/>
      <c r="AB571" s="1487">
        <f t="shared" si="1206"/>
        <v>0</v>
      </c>
      <c r="AC571" s="1487"/>
      <c r="AD571" s="1487">
        <f t="shared" si="1206"/>
        <v>0</v>
      </c>
      <c r="AE571" s="1487">
        <f>AE566+AE568+AE569</f>
        <v>0</v>
      </c>
      <c r="AF571" s="1487"/>
      <c r="AG571" s="1487">
        <f>AG566+AG568+AG569</f>
        <v>0</v>
      </c>
      <c r="AH571" s="1487"/>
      <c r="AI571" s="1487">
        <f t="shared" ref="AI571:AO571" si="1207">AI566+AI568+AI569</f>
        <v>0</v>
      </c>
      <c r="AJ571" s="1487">
        <f t="shared" si="1207"/>
        <v>0</v>
      </c>
      <c r="AK571" s="1487">
        <f t="shared" si="1207"/>
        <v>0</v>
      </c>
      <c r="AL571" s="1487">
        <f t="shared" si="1207"/>
        <v>0</v>
      </c>
      <c r="AM571" s="1487">
        <f t="shared" si="1207"/>
        <v>0</v>
      </c>
      <c r="AN571" s="1487">
        <f t="shared" si="1207"/>
        <v>0</v>
      </c>
      <c r="AO571" s="1487">
        <f t="shared" si="1207"/>
        <v>0</v>
      </c>
      <c r="AP571" s="1487"/>
      <c r="AQ571" s="1487">
        <f>AQ566+AQ568+AQ569</f>
        <v>0</v>
      </c>
      <c r="AR571" s="1487"/>
      <c r="AS571" s="1487">
        <f>AS566+AS568+AS569</f>
        <v>0</v>
      </c>
      <c r="AT571" s="1487">
        <f>AT566+AT568+AT569</f>
        <v>0</v>
      </c>
      <c r="AU571" s="1487"/>
      <c r="AV571" s="1487">
        <f>AV566+AV568+AV569</f>
        <v>0</v>
      </c>
      <c r="AW571" s="1487"/>
      <c r="AX571" s="1487">
        <f>AX566+AX568+AX569</f>
        <v>0</v>
      </c>
      <c r="AY571" s="1487">
        <f>AY566+AY568+AY569</f>
        <v>0</v>
      </c>
      <c r="AZ571" s="1487"/>
      <c r="BA571" s="1487">
        <f>BA566+BA568+BA569</f>
        <v>0</v>
      </c>
      <c r="BB571" s="1487"/>
      <c r="BC571" s="1487">
        <f>BC566+BC568+BC569</f>
        <v>0</v>
      </c>
      <c r="BD571" s="1487">
        <f>BD566+BD568+BD569</f>
        <v>0</v>
      </c>
      <c r="BE571" s="1487"/>
      <c r="BF571" s="1487">
        <f>BF566+BF568+BF569</f>
        <v>0</v>
      </c>
      <c r="BG571" s="1487"/>
      <c r="BH571" s="1487">
        <f>BH566+BH568+BH569</f>
        <v>0</v>
      </c>
      <c r="BI571" s="1487">
        <f>BI566+BI568+BI569</f>
        <v>0</v>
      </c>
      <c r="BJ571" s="1487"/>
      <c r="BK571" s="1487">
        <f>BK566+BK568+BK569</f>
        <v>0</v>
      </c>
      <c r="BL571" s="1487"/>
      <c r="BM571" s="1487">
        <f>BM566+BM568+BM569</f>
        <v>0</v>
      </c>
      <c r="BN571" s="1487">
        <f>BN566+BN568+BN569</f>
        <v>0</v>
      </c>
      <c r="BO571" s="1487">
        <f t="shared" ref="BO571:DT571" si="1208">BO566+BO568+BO569</f>
        <v>0</v>
      </c>
      <c r="BP571" s="1487">
        <f t="shared" si="1208"/>
        <v>0</v>
      </c>
      <c r="BQ571" s="1487">
        <f t="shared" si="1208"/>
        <v>0</v>
      </c>
      <c r="BR571" s="1487">
        <f t="shared" si="1208"/>
        <v>0</v>
      </c>
      <c r="BS571" s="1487">
        <f t="shared" si="1208"/>
        <v>0</v>
      </c>
      <c r="BT571" s="1487">
        <f t="shared" si="1208"/>
        <v>0</v>
      </c>
      <c r="BU571" s="1487">
        <f t="shared" si="1208"/>
        <v>0</v>
      </c>
      <c r="BV571" s="1487">
        <f t="shared" si="1208"/>
        <v>0</v>
      </c>
      <c r="BW571" s="1487">
        <f t="shared" si="1208"/>
        <v>2066</v>
      </c>
      <c r="BX571" s="1487">
        <f t="shared" si="1208"/>
        <v>2066</v>
      </c>
      <c r="BY571" s="1487">
        <f t="shared" si="1208"/>
        <v>0</v>
      </c>
      <c r="BZ571" s="1487">
        <f t="shared" si="1208"/>
        <v>2173</v>
      </c>
      <c r="CA571" s="1487">
        <f t="shared" si="1208"/>
        <v>2173</v>
      </c>
      <c r="CB571" s="1487">
        <f t="shared" si="1208"/>
        <v>0</v>
      </c>
      <c r="CC571" s="1487">
        <f t="shared" si="1208"/>
        <v>2317</v>
      </c>
      <c r="CD571" s="1487">
        <f t="shared" si="1208"/>
        <v>2317</v>
      </c>
      <c r="CE571" s="1487">
        <f t="shared" si="1208"/>
        <v>0</v>
      </c>
      <c r="CF571" s="1487">
        <f t="shared" si="1208"/>
        <v>2865</v>
      </c>
      <c r="CG571" s="1487">
        <f t="shared" si="1208"/>
        <v>2865</v>
      </c>
      <c r="CH571" s="1487">
        <f t="shared" si="1208"/>
        <v>2724.1080000000002</v>
      </c>
      <c r="CI571" s="1487">
        <f t="shared" si="1208"/>
        <v>2691.4999999999991</v>
      </c>
      <c r="CJ571" s="1487">
        <f t="shared" si="1208"/>
        <v>2691.4999999999991</v>
      </c>
      <c r="CK571" s="1487">
        <f t="shared" si="1208"/>
        <v>3067.8000000000011</v>
      </c>
      <c r="CL571" s="1487">
        <f t="shared" si="1208"/>
        <v>3067.8000000000011</v>
      </c>
      <c r="CM571" s="1487">
        <f t="shared" si="1208"/>
        <v>3067.8000000000011</v>
      </c>
      <c r="CN571" s="1487">
        <f t="shared" si="1208"/>
        <v>3494.7999999999997</v>
      </c>
      <c r="CO571" s="1487">
        <f t="shared" si="1208"/>
        <v>3519.4999999999995</v>
      </c>
      <c r="CP571" s="1487">
        <f t="shared" si="1208"/>
        <v>3519.4999999999995</v>
      </c>
      <c r="CQ571" s="1487">
        <f t="shared" si="1208"/>
        <v>3416.7000000000007</v>
      </c>
      <c r="CR571" s="1487">
        <f t="shared" si="1208"/>
        <v>3544.1000000000008</v>
      </c>
      <c r="CS571" s="1487">
        <f t="shared" si="1208"/>
        <v>3544.1000000000008</v>
      </c>
      <c r="CT571" s="1487">
        <f t="shared" si="1208"/>
        <v>3912.8</v>
      </c>
      <c r="CU571" s="1487">
        <f t="shared" si="1208"/>
        <v>4211.2999999999993</v>
      </c>
      <c r="CV571" s="1487">
        <f t="shared" si="1208"/>
        <v>4211.2999999999993</v>
      </c>
      <c r="CW571" s="1487">
        <f t="shared" si="1208"/>
        <v>4598.5</v>
      </c>
      <c r="CX571" s="1487">
        <f t="shared" si="1208"/>
        <v>5239.1000000000022</v>
      </c>
      <c r="CY571" s="1487">
        <f t="shared" si="1208"/>
        <v>5239.1000000000022</v>
      </c>
      <c r="CZ571" s="1487">
        <f t="shared" si="1208"/>
        <v>5755.8999999999987</v>
      </c>
      <c r="DA571" s="1487">
        <f t="shared" si="1208"/>
        <v>5849</v>
      </c>
      <c r="DB571" s="1487">
        <f t="shared" si="1208"/>
        <v>5849</v>
      </c>
      <c r="DC571" s="1487">
        <f t="shared" si="1208"/>
        <v>7005.0000000000009</v>
      </c>
      <c r="DD571" s="1487">
        <f t="shared" si="1208"/>
        <v>7378.0000000000018</v>
      </c>
      <c r="DE571" s="1487">
        <f t="shared" si="1208"/>
        <v>7378.0000000000018</v>
      </c>
      <c r="DF571" s="1487">
        <f t="shared" si="1208"/>
        <v>9134.0999999999985</v>
      </c>
      <c r="DG571" s="1487">
        <f t="shared" si="1208"/>
        <v>9185.7899999999972</v>
      </c>
      <c r="DH571" s="1487">
        <f t="shared" si="1208"/>
        <v>9185.7899999999972</v>
      </c>
      <c r="DI571" s="1487">
        <f t="shared" si="1208"/>
        <v>9702.4999999999964</v>
      </c>
      <c r="DJ571" s="1487">
        <f t="shared" si="1208"/>
        <v>9710.0000000000036</v>
      </c>
      <c r="DK571" s="1487">
        <f t="shared" si="1208"/>
        <v>9710.0000000000036</v>
      </c>
      <c r="DL571" s="1487">
        <f t="shared" si="1208"/>
        <v>10589.3</v>
      </c>
      <c r="DM571" s="1487">
        <f t="shared" si="1208"/>
        <v>11160.799999999996</v>
      </c>
      <c r="DN571" s="1487">
        <f t="shared" si="1208"/>
        <v>11160.799999999996</v>
      </c>
      <c r="DO571" s="1487">
        <f t="shared" si="1208"/>
        <v>12234.599999999999</v>
      </c>
      <c r="DP571" s="1487">
        <f t="shared" si="1208"/>
        <v>12059</v>
      </c>
      <c r="DQ571" s="1487">
        <f t="shared" si="1208"/>
        <v>12059</v>
      </c>
      <c r="DR571" s="1487">
        <f t="shared" si="1208"/>
        <v>13785</v>
      </c>
      <c r="DS571" s="1487">
        <f t="shared" si="1208"/>
        <v>13581</v>
      </c>
      <c r="DT571" s="1487">
        <f t="shared" si="1208"/>
        <v>13581</v>
      </c>
      <c r="DU571" s="1487">
        <f t="shared" ref="DU571:DZ571" si="1209">DU566+DU568+DU569</f>
        <v>14704</v>
      </c>
      <c r="DV571" s="1487">
        <f t="shared" si="1209"/>
        <v>14563</v>
      </c>
      <c r="DW571" s="1487">
        <f t="shared" si="1209"/>
        <v>14563</v>
      </c>
      <c r="DX571" s="1487">
        <f t="shared" si="1209"/>
        <v>15350</v>
      </c>
      <c r="DY571" s="1487">
        <f t="shared" si="1209"/>
        <v>15119.403249891551</v>
      </c>
      <c r="DZ571" s="1487">
        <f t="shared" si="1209"/>
        <v>15119.403249891551</v>
      </c>
      <c r="EA571" s="1487">
        <f t="shared" ref="EA571:EF571" si="1210">EA566+EA568+EA569</f>
        <v>15907.070255937246</v>
      </c>
      <c r="EB571" s="1487">
        <f t="shared" si="1210"/>
        <v>15825.440952918152</v>
      </c>
      <c r="EC571" s="1487">
        <f t="shared" si="1210"/>
        <v>15825.440952918152</v>
      </c>
      <c r="ED571" s="1487">
        <f t="shared" si="1210"/>
        <v>16610.682035474973</v>
      </c>
      <c r="EE571" s="1487">
        <f t="shared" si="1210"/>
        <v>16695.40432354515</v>
      </c>
      <c r="EF571" s="1487">
        <f t="shared" si="1210"/>
        <v>16695.40432354515</v>
      </c>
      <c r="EG571" s="1487">
        <f t="shared" ref="EG571:EL571" si="1211">EG566+EG568+EG569</f>
        <v>17487.71164434242</v>
      </c>
      <c r="EH571" s="1487">
        <f t="shared" si="1211"/>
        <v>17634.505821332525</v>
      </c>
      <c r="EI571" s="1487">
        <f t="shared" si="1211"/>
        <v>17634.505821332525</v>
      </c>
      <c r="EJ571" s="1487">
        <f t="shared" si="1211"/>
        <v>18301.201827940604</v>
      </c>
      <c r="EK571" s="1487">
        <f t="shared" si="1211"/>
        <v>18449.976937533007</v>
      </c>
      <c r="EL571" s="1487">
        <f t="shared" si="1211"/>
        <v>18449.976937533007</v>
      </c>
      <c r="EM571" s="1487">
        <f t="shared" ref="EM571:ER571" si="1212">EM566+EM568+EM569</f>
        <v>18925.29396196796</v>
      </c>
      <c r="EN571" s="1487">
        <f t="shared" si="1212"/>
        <v>19020.621107394789</v>
      </c>
      <c r="EO571" s="1487">
        <f t="shared" si="1212"/>
        <v>19020.621107394789</v>
      </c>
      <c r="EP571" s="1487">
        <f t="shared" si="1212"/>
        <v>19478.597715781805</v>
      </c>
      <c r="EQ571" s="1487">
        <f t="shared" si="1212"/>
        <v>19635.56548220697</v>
      </c>
      <c r="ER571" s="1487">
        <f t="shared" si="1212"/>
        <v>19635.56548220697</v>
      </c>
      <c r="ES571" s="1487">
        <f t="shared" ref="ES571:FA571" si="1213">ES566+ES568+ES569</f>
        <v>20076.297432640793</v>
      </c>
      <c r="ET571" s="1487">
        <f t="shared" si="1213"/>
        <v>20295.287638104728</v>
      </c>
      <c r="EU571" s="1487">
        <f t="shared" si="1213"/>
        <v>20295.287638104728</v>
      </c>
      <c r="EV571" s="1487">
        <f t="shared" si="1213"/>
        <v>20711.109938854024</v>
      </c>
      <c r="EW571" s="1487">
        <f t="shared" si="1213"/>
        <v>20998.572584989808</v>
      </c>
      <c r="EX571" s="1487">
        <f t="shared" si="1213"/>
        <v>20998.572584989808</v>
      </c>
      <c r="EY571" s="1487">
        <f t="shared" si="1213"/>
        <v>21385.461571534426</v>
      </c>
      <c r="EZ571" s="1487">
        <f t="shared" si="1213"/>
        <v>21748.412423489375</v>
      </c>
      <c r="FA571" s="1487">
        <f t="shared" si="1213"/>
        <v>21748.412423489375</v>
      </c>
      <c r="FB571" s="1487"/>
      <c r="FC571" s="1487"/>
      <c r="FD571"/>
      <c r="FE571"/>
      <c r="FF571"/>
      <c r="FG571"/>
      <c r="FH571"/>
      <c r="FI571"/>
    </row>
    <row r="572" spans="1:165" s="33" customFormat="1">
      <c r="A572" s="58"/>
      <c r="B572" s="58" t="s">
        <v>559</v>
      </c>
      <c r="C572" s="58"/>
      <c r="D572" s="58"/>
      <c r="E572" s="1487"/>
      <c r="F572" s="1487"/>
      <c r="G572" s="1487"/>
      <c r="H572" s="1487"/>
      <c r="I572" s="1487"/>
      <c r="J572" s="1487"/>
      <c r="K572" s="1487">
        <f t="shared" ref="K572:AD572" si="1214">K253</f>
        <v>0</v>
      </c>
      <c r="L572" s="1487"/>
      <c r="M572" s="1487">
        <f t="shared" si="1214"/>
        <v>0</v>
      </c>
      <c r="N572" s="1487"/>
      <c r="O572" s="1487">
        <f t="shared" si="1214"/>
        <v>0</v>
      </c>
      <c r="P572" s="1487">
        <f t="shared" si="1214"/>
        <v>0</v>
      </c>
      <c r="Q572" s="1487"/>
      <c r="R572" s="1487">
        <f t="shared" si="1214"/>
        <v>0</v>
      </c>
      <c r="S572" s="1487"/>
      <c r="T572" s="1487">
        <f t="shared" si="1214"/>
        <v>0</v>
      </c>
      <c r="U572" s="1487">
        <f t="shared" si="1214"/>
        <v>0</v>
      </c>
      <c r="V572" s="1487"/>
      <c r="W572" s="1487">
        <f t="shared" si="1214"/>
        <v>0</v>
      </c>
      <c r="X572" s="1487"/>
      <c r="Y572" s="1487">
        <f t="shared" si="1214"/>
        <v>0</v>
      </c>
      <c r="Z572" s="1487">
        <f t="shared" si="1214"/>
        <v>0</v>
      </c>
      <c r="AA572" s="1487"/>
      <c r="AB572" s="1487">
        <f t="shared" si="1214"/>
        <v>0</v>
      </c>
      <c r="AC572" s="1487"/>
      <c r="AD572" s="1487">
        <f t="shared" si="1214"/>
        <v>0</v>
      </c>
      <c r="AE572" s="1487">
        <f>AE253</f>
        <v>0</v>
      </c>
      <c r="AF572" s="1487"/>
      <c r="AG572" s="1487">
        <f>AG253</f>
        <v>0</v>
      </c>
      <c r="AH572" s="1487"/>
      <c r="AI572" s="1487">
        <f t="shared" ref="AI572:AO572" si="1215">AI253</f>
        <v>0</v>
      </c>
      <c r="AJ572" s="1487">
        <f t="shared" si="1215"/>
        <v>0</v>
      </c>
      <c r="AK572" s="1487">
        <f t="shared" si="1215"/>
        <v>0</v>
      </c>
      <c r="AL572" s="1487">
        <f t="shared" si="1215"/>
        <v>0</v>
      </c>
      <c r="AM572" s="1487">
        <f t="shared" si="1215"/>
        <v>0</v>
      </c>
      <c r="AN572" s="1487">
        <f t="shared" si="1215"/>
        <v>0</v>
      </c>
      <c r="AO572" s="1487">
        <f t="shared" si="1215"/>
        <v>0</v>
      </c>
      <c r="AP572" s="1487"/>
      <c r="AQ572" s="1487">
        <f>AQ253</f>
        <v>0</v>
      </c>
      <c r="AR572" s="1487"/>
      <c r="AS572" s="1487">
        <f>AS253</f>
        <v>0</v>
      </c>
      <c r="AT572" s="1487">
        <f>AT253</f>
        <v>0</v>
      </c>
      <c r="AU572" s="1487"/>
      <c r="AV572" s="1487">
        <f>AV253</f>
        <v>0</v>
      </c>
      <c r="AW572" s="1487"/>
      <c r="AX572" s="1487">
        <f>AX253</f>
        <v>0</v>
      </c>
      <c r="AY572" s="1487">
        <f>AY253</f>
        <v>0</v>
      </c>
      <c r="AZ572" s="1487"/>
      <c r="BA572" s="1487">
        <f>BA253</f>
        <v>0</v>
      </c>
      <c r="BB572" s="1487"/>
      <c r="BC572" s="1487">
        <f>BC253</f>
        <v>0</v>
      </c>
      <c r="BD572" s="1487">
        <f>BD253</f>
        <v>0</v>
      </c>
      <c r="BE572" s="1487"/>
      <c r="BF572" s="1487">
        <f>BF253</f>
        <v>0</v>
      </c>
      <c r="BG572" s="1487"/>
      <c r="BH572" s="1487">
        <f>BH253</f>
        <v>0</v>
      </c>
      <c r="BI572" s="1487">
        <f>BI253</f>
        <v>0</v>
      </c>
      <c r="BJ572" s="1487"/>
      <c r="BK572" s="1487">
        <f>BK253</f>
        <v>0</v>
      </c>
      <c r="BL572" s="1487"/>
      <c r="BM572" s="1487">
        <f t="shared" ref="BM572:BU572" si="1216">BM253</f>
        <v>0</v>
      </c>
      <c r="BN572" s="1487">
        <f t="shared" si="1216"/>
        <v>0</v>
      </c>
      <c r="BO572" s="1487">
        <f t="shared" si="1216"/>
        <v>0</v>
      </c>
      <c r="BP572" s="1487">
        <f t="shared" si="1216"/>
        <v>0</v>
      </c>
      <c r="BQ572" s="1487">
        <f t="shared" si="1216"/>
        <v>0</v>
      </c>
      <c r="BR572" s="1487">
        <f t="shared" si="1216"/>
        <v>0</v>
      </c>
      <c r="BS572" s="1487">
        <f t="shared" si="1216"/>
        <v>0</v>
      </c>
      <c r="BT572" s="1487">
        <f t="shared" si="1216"/>
        <v>0</v>
      </c>
      <c r="BU572" s="1487">
        <f t="shared" si="1216"/>
        <v>0</v>
      </c>
      <c r="BV572" s="1487">
        <f>BV251</f>
        <v>0</v>
      </c>
      <c r="BW572" s="1487">
        <f t="shared" ref="BW572:DT572" si="1217">BW251</f>
        <v>876</v>
      </c>
      <c r="BX572" s="1487">
        <f t="shared" si="1217"/>
        <v>876</v>
      </c>
      <c r="BY572" s="1487">
        <f t="shared" si="1217"/>
        <v>0</v>
      </c>
      <c r="BZ572" s="1487">
        <f t="shared" si="1217"/>
        <v>791</v>
      </c>
      <c r="CA572" s="1487">
        <f t="shared" si="1217"/>
        <v>791</v>
      </c>
      <c r="CB572" s="1487">
        <f t="shared" si="1217"/>
        <v>0</v>
      </c>
      <c r="CC572" s="1487">
        <f t="shared" si="1217"/>
        <v>814</v>
      </c>
      <c r="CD572" s="1487">
        <f t="shared" si="1217"/>
        <v>814</v>
      </c>
      <c r="CE572" s="1487">
        <f t="shared" si="1217"/>
        <v>0</v>
      </c>
      <c r="CF572" s="1487">
        <f t="shared" si="1217"/>
        <v>983</v>
      </c>
      <c r="CG572" s="1487">
        <f t="shared" si="1217"/>
        <v>983</v>
      </c>
      <c r="CH572" s="1487">
        <f t="shared" si="1217"/>
        <v>870.15599999999995</v>
      </c>
      <c r="CI572" s="1487">
        <f t="shared" si="1217"/>
        <v>853.3</v>
      </c>
      <c r="CJ572" s="1487">
        <f t="shared" si="1217"/>
        <v>853.3</v>
      </c>
      <c r="CK572" s="1487">
        <f t="shared" si="1217"/>
        <v>855.7</v>
      </c>
      <c r="CL572" s="1487">
        <f t="shared" si="1217"/>
        <v>855.7</v>
      </c>
      <c r="CM572" s="1487">
        <f t="shared" si="1217"/>
        <v>855.7</v>
      </c>
      <c r="CN572" s="1487">
        <f t="shared" si="1217"/>
        <v>895.7</v>
      </c>
      <c r="CO572" s="1487">
        <f t="shared" si="1217"/>
        <v>924.1</v>
      </c>
      <c r="CP572" s="1487">
        <f t="shared" si="1217"/>
        <v>924.1</v>
      </c>
      <c r="CQ572" s="1487">
        <f t="shared" si="1217"/>
        <v>850.9</v>
      </c>
      <c r="CR572" s="1487">
        <f t="shared" si="1217"/>
        <v>926.9</v>
      </c>
      <c r="CS572" s="1487">
        <f t="shared" si="1217"/>
        <v>926.9</v>
      </c>
      <c r="CT572" s="1487">
        <f t="shared" si="1217"/>
        <v>916.3</v>
      </c>
      <c r="CU572" s="1487">
        <f t="shared" si="1217"/>
        <v>942.6</v>
      </c>
      <c r="CV572" s="1487">
        <f t="shared" si="1217"/>
        <v>942.6</v>
      </c>
      <c r="CW572" s="1487">
        <f t="shared" si="1217"/>
        <v>952.8</v>
      </c>
      <c r="CX572" s="1487">
        <f t="shared" si="1217"/>
        <v>1055.4000000000001</v>
      </c>
      <c r="CY572" s="1487">
        <f t="shared" si="1217"/>
        <v>1055.4000000000001</v>
      </c>
      <c r="CZ572" s="1487">
        <f t="shared" si="1217"/>
        <v>1690.4</v>
      </c>
      <c r="DA572" s="1487">
        <f t="shared" si="1217"/>
        <v>1802.5</v>
      </c>
      <c r="DB572" s="1487">
        <f t="shared" si="1217"/>
        <v>1802.5</v>
      </c>
      <c r="DC572" s="1487">
        <f t="shared" si="1217"/>
        <v>1829.8</v>
      </c>
      <c r="DD572" s="1487">
        <f t="shared" si="1217"/>
        <v>1878.3</v>
      </c>
      <c r="DE572" s="1487">
        <f t="shared" si="1217"/>
        <v>1878.3</v>
      </c>
      <c r="DF572" s="1487">
        <f t="shared" si="1217"/>
        <v>1885.5</v>
      </c>
      <c r="DG572" s="1487">
        <f t="shared" si="1217"/>
        <v>2140.1999999999998</v>
      </c>
      <c r="DH572" s="1487">
        <f t="shared" si="1217"/>
        <v>2140.1999999999998</v>
      </c>
      <c r="DI572" s="1487">
        <f t="shared" si="1217"/>
        <v>2154.5</v>
      </c>
      <c r="DJ572" s="1487">
        <f t="shared" si="1217"/>
        <v>2669.7</v>
      </c>
      <c r="DK572" s="1487">
        <f t="shared" si="1217"/>
        <v>2669.7</v>
      </c>
      <c r="DL572" s="1487">
        <f t="shared" si="1217"/>
        <v>2678.3</v>
      </c>
      <c r="DM572" s="1487">
        <f t="shared" si="1217"/>
        <v>2638.1</v>
      </c>
      <c r="DN572" s="1487">
        <f t="shared" si="1217"/>
        <v>2638.1</v>
      </c>
      <c r="DO572" s="1487">
        <f t="shared" si="1217"/>
        <v>16257.2</v>
      </c>
      <c r="DP572" s="1487">
        <f t="shared" si="1217"/>
        <v>16446</v>
      </c>
      <c r="DQ572" s="1487">
        <f t="shared" si="1217"/>
        <v>16446</v>
      </c>
      <c r="DR572" s="1487">
        <f t="shared" si="1217"/>
        <v>16467</v>
      </c>
      <c r="DS572" s="1487">
        <f t="shared" si="1217"/>
        <v>16346</v>
      </c>
      <c r="DT572" s="1487">
        <f t="shared" si="1217"/>
        <v>16346</v>
      </c>
      <c r="DU572" s="1487">
        <f t="shared" ref="DU572:DZ572" si="1218">DU251</f>
        <v>16282</v>
      </c>
      <c r="DV572" s="1487">
        <f t="shared" si="1218"/>
        <v>16185</v>
      </c>
      <c r="DW572" s="1487">
        <f t="shared" si="1218"/>
        <v>16185</v>
      </c>
      <c r="DX572" s="1487">
        <f t="shared" si="1218"/>
        <v>15103</v>
      </c>
      <c r="DY572" s="1487">
        <f t="shared" si="1218"/>
        <v>15199</v>
      </c>
      <c r="DZ572" s="1487">
        <f t="shared" si="1218"/>
        <v>15199</v>
      </c>
      <c r="EA572" s="1487">
        <f t="shared" ref="EA572:EF572" si="1219">EA251</f>
        <v>15305</v>
      </c>
      <c r="EB572" s="1487">
        <f t="shared" si="1219"/>
        <v>15437</v>
      </c>
      <c r="EC572" s="1487">
        <f t="shared" si="1219"/>
        <v>15437</v>
      </c>
      <c r="ED572" s="1487">
        <f t="shared" si="1219"/>
        <v>15550.5</v>
      </c>
      <c r="EE572" s="1487">
        <f t="shared" si="1219"/>
        <v>15690</v>
      </c>
      <c r="EF572" s="1487">
        <f t="shared" si="1219"/>
        <v>15690</v>
      </c>
      <c r="EG572" s="1487">
        <f t="shared" ref="EG572:EL572" si="1220">EG251</f>
        <v>15811.225</v>
      </c>
      <c r="EH572" s="1487">
        <f t="shared" si="1220"/>
        <v>15958.45</v>
      </c>
      <c r="EI572" s="1487">
        <f t="shared" si="1220"/>
        <v>15958.45</v>
      </c>
      <c r="EJ572" s="1487">
        <f t="shared" si="1220"/>
        <v>16087.63175</v>
      </c>
      <c r="EK572" s="1487">
        <f t="shared" si="1220"/>
        <v>16242.8135</v>
      </c>
      <c r="EL572" s="1487">
        <f t="shared" si="1220"/>
        <v>16242.8135</v>
      </c>
      <c r="EM572" s="1487">
        <f t="shared" ref="EM572:ER572" si="1221">EM251</f>
        <v>16380.1907025</v>
      </c>
      <c r="EN572" s="1487">
        <f t="shared" si="1221"/>
        <v>16543.567905</v>
      </c>
      <c r="EO572" s="1487">
        <f t="shared" si="1221"/>
        <v>16543.567905</v>
      </c>
      <c r="EP572" s="1487">
        <f t="shared" si="1221"/>
        <v>16689.386423575001</v>
      </c>
      <c r="EQ572" s="1487">
        <f t="shared" si="1221"/>
        <v>16861.204942150001</v>
      </c>
      <c r="ER572" s="1487">
        <f t="shared" si="1221"/>
        <v>16861.204942150001</v>
      </c>
      <c r="ES572" s="1487">
        <f t="shared" ref="ES572:FA572" si="1222">ES251</f>
        <v>17015.718016282251</v>
      </c>
      <c r="ET572" s="1487">
        <f t="shared" si="1222"/>
        <v>17196.231090414502</v>
      </c>
      <c r="EU572" s="1487">
        <f t="shared" si="1222"/>
        <v>17196.231090414502</v>
      </c>
      <c r="EV572" s="1487">
        <f t="shared" si="1222"/>
        <v>17359.69955677072</v>
      </c>
      <c r="EW572" s="1487">
        <f t="shared" si="1222"/>
        <v>17549.168023126938</v>
      </c>
      <c r="EX572" s="1487">
        <f t="shared" si="1222"/>
        <v>17549.168023126938</v>
      </c>
      <c r="EY572" s="1487">
        <f t="shared" si="1222"/>
        <v>17721.860543473842</v>
      </c>
      <c r="EZ572" s="1487">
        <f t="shared" si="1222"/>
        <v>17920.553063820746</v>
      </c>
      <c r="FA572" s="1487">
        <f t="shared" si="1222"/>
        <v>17920.553063820746</v>
      </c>
      <c r="FB572" s="1487"/>
      <c r="FC572" s="1487"/>
      <c r="FD572"/>
      <c r="FE572"/>
      <c r="FF572"/>
      <c r="FG572"/>
      <c r="FH572"/>
      <c r="FI572"/>
    </row>
    <row r="573" spans="1:165" s="33" customFormat="1">
      <c r="A573" s="58"/>
      <c r="B573" s="58"/>
      <c r="C573" s="58"/>
      <c r="D573" s="58"/>
      <c r="E573" s="1487"/>
      <c r="F573" s="1487"/>
      <c r="G573" s="1487"/>
      <c r="H573" s="1487"/>
      <c r="I573" s="1487"/>
      <c r="J573" s="1487"/>
      <c r="K573" s="1487"/>
      <c r="L573" s="1487"/>
      <c r="M573" s="1487"/>
      <c r="N573" s="1487"/>
      <c r="O573" s="1487"/>
      <c r="P573" s="1487"/>
      <c r="Q573" s="1487"/>
      <c r="R573" s="1487"/>
      <c r="S573" s="1487"/>
      <c r="T573" s="1487"/>
      <c r="U573" s="1487"/>
      <c r="V573" s="1487"/>
      <c r="W573" s="1487"/>
      <c r="X573" s="1487"/>
      <c r="Y573" s="1487"/>
      <c r="Z573" s="1487"/>
      <c r="AA573" s="1487"/>
      <c r="AB573" s="1487"/>
      <c r="AC573" s="1487"/>
      <c r="AD573" s="1487"/>
      <c r="AE573" s="1487"/>
      <c r="AF573" s="1487"/>
      <c r="AG573" s="1487"/>
      <c r="AH573" s="1487"/>
      <c r="AI573" s="1487"/>
      <c r="AJ573" s="1487"/>
      <c r="AK573" s="1487"/>
      <c r="AL573" s="1487"/>
      <c r="AM573" s="1487"/>
      <c r="AN573" s="1487"/>
      <c r="AO573" s="1487"/>
      <c r="AP573" s="1487"/>
      <c r="AQ573" s="1487"/>
      <c r="AR573" s="1487"/>
      <c r="AS573" s="1487"/>
      <c r="AT573" s="1487"/>
      <c r="AU573" s="1487"/>
      <c r="AV573" s="1487"/>
      <c r="AW573" s="1487"/>
      <c r="AX573" s="1487"/>
      <c r="AY573" s="1487"/>
      <c r="AZ573" s="1487"/>
      <c r="BA573" s="1487"/>
      <c r="BB573" s="1487"/>
      <c r="BC573" s="1487"/>
      <c r="BD573" s="1487"/>
      <c r="BE573" s="1487"/>
      <c r="BF573" s="1487"/>
      <c r="BG573" s="1487"/>
      <c r="BH573" s="1487"/>
      <c r="BI573" s="1487"/>
      <c r="BJ573" s="1487"/>
      <c r="BK573" s="1487"/>
      <c r="BL573" s="1487"/>
      <c r="BM573" s="1487"/>
      <c r="BN573" s="1487"/>
      <c r="BO573" s="1487"/>
      <c r="BP573" s="1487"/>
      <c r="BQ573" s="1487"/>
      <c r="BR573" s="1487"/>
      <c r="BS573" s="1487"/>
      <c r="BT573" s="1487"/>
      <c r="BU573" s="1487"/>
      <c r="BV573" s="1487"/>
      <c r="BW573" s="1487"/>
      <c r="BX573" s="1487"/>
      <c r="BY573" s="1487"/>
      <c r="BZ573" s="1487"/>
      <c r="CA573" s="1487"/>
      <c r="CB573" s="1487"/>
      <c r="CC573" s="1487"/>
      <c r="CD573" s="1487"/>
      <c r="CE573" s="1487"/>
      <c r="CF573" s="1487"/>
      <c r="CG573" s="1487"/>
      <c r="CH573" s="1487"/>
      <c r="CI573" s="1487"/>
      <c r="CJ573" s="1487"/>
      <c r="CK573" s="1487"/>
      <c r="CL573" s="1487"/>
      <c r="CM573" s="1487"/>
      <c r="CN573" s="1487"/>
      <c r="CO573" s="1487"/>
      <c r="CP573" s="1487"/>
      <c r="CQ573" s="1487"/>
      <c r="CR573" s="1487"/>
      <c r="CS573" s="1487"/>
      <c r="CT573" s="1487"/>
      <c r="CU573" s="1487"/>
      <c r="CV573" s="1487"/>
      <c r="CW573" s="1487"/>
      <c r="CX573" s="1487"/>
      <c r="CY573" s="1487"/>
      <c r="CZ573" s="1487"/>
      <c r="DA573" s="1487"/>
      <c r="DB573" s="1487"/>
      <c r="DC573" s="1487"/>
      <c r="DD573" s="1487"/>
      <c r="DE573" s="1487"/>
      <c r="DF573" s="1487"/>
      <c r="DG573" s="1487"/>
      <c r="DH573" s="1487"/>
      <c r="DI573" s="1487"/>
      <c r="DJ573" s="1487"/>
      <c r="DK573" s="1487"/>
      <c r="DL573" s="1487"/>
      <c r="DM573" s="1487"/>
      <c r="DN573" s="1487"/>
      <c r="DO573" s="1487"/>
      <c r="DP573" s="1487"/>
      <c r="DQ573" s="1487"/>
      <c r="DR573" s="1487"/>
      <c r="DS573" s="1487"/>
      <c r="DT573" s="1487"/>
      <c r="DU573" s="1487"/>
      <c r="DV573" s="1487"/>
      <c r="DW573" s="1487"/>
      <c r="DX573" s="1487"/>
      <c r="DY573" s="1487"/>
      <c r="DZ573" s="1487"/>
      <c r="EA573" s="1487"/>
      <c r="EB573" s="1487"/>
      <c r="EC573" s="1487"/>
      <c r="ED573" s="1487"/>
      <c r="EE573" s="1487"/>
      <c r="EF573" s="1487"/>
      <c r="EG573" s="1487"/>
      <c r="EH573" s="1487"/>
      <c r="EI573" s="1487"/>
      <c r="EJ573" s="1487"/>
      <c r="EK573" s="1487"/>
      <c r="EL573" s="1487"/>
      <c r="EM573" s="1487"/>
      <c r="EN573" s="1487"/>
      <c r="EO573" s="1487"/>
      <c r="EP573" s="1487"/>
      <c r="EQ573" s="1487"/>
      <c r="ER573" s="1487"/>
      <c r="ES573" s="1487"/>
      <c r="ET573" s="1487"/>
      <c r="EU573" s="1487"/>
      <c r="EV573" s="1487"/>
      <c r="EW573" s="1487"/>
      <c r="EX573" s="1487"/>
      <c r="EY573" s="1487"/>
      <c r="EZ573" s="1487"/>
      <c r="FA573" s="1487"/>
      <c r="FB573" s="1487"/>
      <c r="FC573" s="1487"/>
      <c r="FD573"/>
      <c r="FE573"/>
      <c r="FF573"/>
      <c r="FG573"/>
      <c r="FH573"/>
      <c r="FI573"/>
    </row>
    <row r="574" spans="1:165" s="33" customFormat="1">
      <c r="A574" s="58"/>
      <c r="B574" s="58" t="s">
        <v>762</v>
      </c>
      <c r="C574" s="58"/>
      <c r="D574" s="58"/>
      <c r="E574" s="1487"/>
      <c r="F574" s="1487"/>
      <c r="G574" s="1487"/>
      <c r="H574" s="1487"/>
      <c r="I574" s="1487"/>
      <c r="J574" s="1487"/>
      <c r="K574" s="1487">
        <f t="shared" ref="K574:AD574" si="1223">K571+K572</f>
        <v>0</v>
      </c>
      <c r="L574" s="1487"/>
      <c r="M574" s="1487">
        <f t="shared" si="1223"/>
        <v>0</v>
      </c>
      <c r="N574" s="1487"/>
      <c r="O574" s="1487">
        <f>O571+O572</f>
        <v>0</v>
      </c>
      <c r="P574" s="1487">
        <f t="shared" si="1223"/>
        <v>0</v>
      </c>
      <c r="Q574" s="1487"/>
      <c r="R574" s="1487">
        <f t="shared" si="1223"/>
        <v>0</v>
      </c>
      <c r="S574" s="1487"/>
      <c r="T574" s="1487">
        <f t="shared" si="1223"/>
        <v>0</v>
      </c>
      <c r="U574" s="1487">
        <f t="shared" si="1223"/>
        <v>0</v>
      </c>
      <c r="V574" s="1487"/>
      <c r="W574" s="1487">
        <f t="shared" si="1223"/>
        <v>0</v>
      </c>
      <c r="X574" s="1487"/>
      <c r="Y574" s="1487">
        <f t="shared" si="1223"/>
        <v>0</v>
      </c>
      <c r="Z574" s="1487">
        <f t="shared" si="1223"/>
        <v>0</v>
      </c>
      <c r="AA574" s="1487"/>
      <c r="AB574" s="1487">
        <f t="shared" si="1223"/>
        <v>0</v>
      </c>
      <c r="AC574" s="1487"/>
      <c r="AD574" s="1487">
        <f t="shared" si="1223"/>
        <v>0</v>
      </c>
      <c r="AE574" s="1487">
        <f>AE571+AE572</f>
        <v>0</v>
      </c>
      <c r="AF574" s="1487"/>
      <c r="AG574" s="1487">
        <f>AG571+AG572</f>
        <v>0</v>
      </c>
      <c r="AH574" s="1487"/>
      <c r="AI574" s="1487">
        <f t="shared" ref="AI574:AO574" si="1224">AI571+AI572</f>
        <v>0</v>
      </c>
      <c r="AJ574" s="1487">
        <f t="shared" si="1224"/>
        <v>0</v>
      </c>
      <c r="AK574" s="1487">
        <f t="shared" si="1224"/>
        <v>0</v>
      </c>
      <c r="AL574" s="1487">
        <f t="shared" si="1224"/>
        <v>0</v>
      </c>
      <c r="AM574" s="1487">
        <f t="shared" si="1224"/>
        <v>0</v>
      </c>
      <c r="AN574" s="1487">
        <f t="shared" si="1224"/>
        <v>0</v>
      </c>
      <c r="AO574" s="1487">
        <f t="shared" si="1224"/>
        <v>0</v>
      </c>
      <c r="AP574" s="1487"/>
      <c r="AQ574" s="1487">
        <f>AQ571+AQ572</f>
        <v>0</v>
      </c>
      <c r="AR574" s="1487"/>
      <c r="AS574" s="1487">
        <f>AS571+AS572</f>
        <v>0</v>
      </c>
      <c r="AT574" s="1487">
        <f>AT571+AT572</f>
        <v>0</v>
      </c>
      <c r="AU574" s="1487"/>
      <c r="AV574" s="1487">
        <f>AV571+AV572</f>
        <v>0</v>
      </c>
      <c r="AW574" s="1487"/>
      <c r="AX574" s="1487">
        <f>AX571+AX572</f>
        <v>0</v>
      </c>
      <c r="AY574" s="1487">
        <f>AY571+AY572</f>
        <v>0</v>
      </c>
      <c r="AZ574" s="1487"/>
      <c r="BA574" s="1487">
        <f>BA571+BA572</f>
        <v>0</v>
      </c>
      <c r="BB574" s="1487"/>
      <c r="BC574" s="1487">
        <f>BC571+BC572</f>
        <v>0</v>
      </c>
      <c r="BD574" s="1487">
        <f>BD571+BD572</f>
        <v>0</v>
      </c>
      <c r="BE574" s="1487"/>
      <c r="BF574" s="1487">
        <f>BF571+BF572</f>
        <v>0</v>
      </c>
      <c r="BG574" s="1487"/>
      <c r="BH574" s="1487">
        <f>BH571+BH572</f>
        <v>0</v>
      </c>
      <c r="BI574" s="1487">
        <f>BI571+BI572</f>
        <v>0</v>
      </c>
      <c r="BJ574" s="1487"/>
      <c r="BK574" s="1487">
        <f>BK571+BK572</f>
        <v>0</v>
      </c>
      <c r="BL574" s="1487"/>
      <c r="BM574" s="1487">
        <f t="shared" ref="BM574:BV574" si="1225">BM571+BM572</f>
        <v>0</v>
      </c>
      <c r="BN574" s="1487">
        <f t="shared" si="1225"/>
        <v>0</v>
      </c>
      <c r="BO574" s="1487">
        <f t="shared" si="1225"/>
        <v>0</v>
      </c>
      <c r="BP574" s="1487">
        <f t="shared" si="1225"/>
        <v>0</v>
      </c>
      <c r="BQ574" s="1487">
        <f t="shared" si="1225"/>
        <v>0</v>
      </c>
      <c r="BR574" s="1487">
        <f t="shared" si="1225"/>
        <v>0</v>
      </c>
      <c r="BS574" s="1487">
        <f t="shared" si="1225"/>
        <v>0</v>
      </c>
      <c r="BT574" s="1487">
        <f t="shared" si="1225"/>
        <v>0</v>
      </c>
      <c r="BU574" s="1487">
        <f t="shared" si="1225"/>
        <v>0</v>
      </c>
      <c r="BV574" s="1487">
        <f t="shared" si="1225"/>
        <v>0</v>
      </c>
      <c r="BW574" s="1487">
        <f t="shared" ref="BW574:DQ574" si="1226">BW571+BW572</f>
        <v>2942</v>
      </c>
      <c r="BX574" s="1487">
        <f t="shared" si="1226"/>
        <v>2942</v>
      </c>
      <c r="BY574" s="1487">
        <f t="shared" si="1226"/>
        <v>0</v>
      </c>
      <c r="BZ574" s="1487">
        <f t="shared" si="1226"/>
        <v>2964</v>
      </c>
      <c r="CA574" s="1487">
        <f t="shared" si="1226"/>
        <v>2964</v>
      </c>
      <c r="CB574" s="1487">
        <f t="shared" si="1226"/>
        <v>0</v>
      </c>
      <c r="CC574" s="1487">
        <f t="shared" si="1226"/>
        <v>3131</v>
      </c>
      <c r="CD574" s="1487">
        <f t="shared" si="1226"/>
        <v>3131</v>
      </c>
      <c r="CE574" s="1487">
        <f t="shared" si="1226"/>
        <v>0</v>
      </c>
      <c r="CF574" s="1487">
        <f t="shared" si="1226"/>
        <v>3848</v>
      </c>
      <c r="CG574" s="1487">
        <f t="shared" si="1226"/>
        <v>3848</v>
      </c>
      <c r="CH574" s="1487">
        <f t="shared" si="1226"/>
        <v>3594.2640000000001</v>
      </c>
      <c r="CI574" s="1487">
        <f t="shared" si="1226"/>
        <v>3544.7999999999993</v>
      </c>
      <c r="CJ574" s="1487">
        <f t="shared" si="1226"/>
        <v>3544.7999999999993</v>
      </c>
      <c r="CK574" s="1487">
        <f t="shared" si="1226"/>
        <v>3923.5000000000009</v>
      </c>
      <c r="CL574" s="1487">
        <f t="shared" si="1226"/>
        <v>3923.5000000000009</v>
      </c>
      <c r="CM574" s="1487">
        <f t="shared" si="1226"/>
        <v>3923.5000000000009</v>
      </c>
      <c r="CN574" s="1487">
        <f t="shared" si="1226"/>
        <v>4390.5</v>
      </c>
      <c r="CO574" s="1487">
        <f t="shared" si="1226"/>
        <v>4443.5999999999995</v>
      </c>
      <c r="CP574" s="1487">
        <f t="shared" si="1226"/>
        <v>4443.5999999999995</v>
      </c>
      <c r="CQ574" s="1487">
        <f t="shared" si="1226"/>
        <v>4267.6000000000004</v>
      </c>
      <c r="CR574" s="1487">
        <f t="shared" si="1226"/>
        <v>4471.0000000000009</v>
      </c>
      <c r="CS574" s="1487">
        <f t="shared" si="1226"/>
        <v>4471.0000000000009</v>
      </c>
      <c r="CT574" s="1487">
        <f t="shared" si="1226"/>
        <v>4829.1000000000004</v>
      </c>
      <c r="CU574" s="1487">
        <f t="shared" si="1226"/>
        <v>5153.8999999999996</v>
      </c>
      <c r="CV574" s="1487">
        <f t="shared" si="1226"/>
        <v>5153.8999999999996</v>
      </c>
      <c r="CW574" s="1487">
        <f t="shared" si="1226"/>
        <v>5551.3</v>
      </c>
      <c r="CX574" s="1487">
        <f t="shared" si="1226"/>
        <v>6294.5000000000018</v>
      </c>
      <c r="CY574" s="1487">
        <f t="shared" si="1226"/>
        <v>6294.5000000000018</v>
      </c>
      <c r="CZ574" s="1487">
        <f t="shared" si="1226"/>
        <v>7446.2999999999993</v>
      </c>
      <c r="DA574" s="1487">
        <f t="shared" si="1226"/>
        <v>7651.5</v>
      </c>
      <c r="DB574" s="1487">
        <f t="shared" si="1226"/>
        <v>7651.5</v>
      </c>
      <c r="DC574" s="1487">
        <f t="shared" si="1226"/>
        <v>8834.8000000000011</v>
      </c>
      <c r="DD574" s="1487">
        <f t="shared" si="1226"/>
        <v>9256.3000000000011</v>
      </c>
      <c r="DE574" s="1487">
        <f t="shared" si="1226"/>
        <v>9256.3000000000011</v>
      </c>
      <c r="DF574" s="1487">
        <f t="shared" si="1226"/>
        <v>11019.599999999999</v>
      </c>
      <c r="DG574" s="1487">
        <f t="shared" si="1226"/>
        <v>11325.989999999998</v>
      </c>
      <c r="DH574" s="1487">
        <f t="shared" si="1226"/>
        <v>11325.989999999998</v>
      </c>
      <c r="DI574" s="1487">
        <f t="shared" si="1226"/>
        <v>11856.999999999996</v>
      </c>
      <c r="DJ574" s="1487">
        <f t="shared" si="1226"/>
        <v>12379.700000000004</v>
      </c>
      <c r="DK574" s="1487">
        <f t="shared" si="1226"/>
        <v>12379.700000000004</v>
      </c>
      <c r="DL574" s="1487">
        <f t="shared" si="1226"/>
        <v>13267.599999999999</v>
      </c>
      <c r="DM574" s="1487">
        <f t="shared" si="1226"/>
        <v>13798.899999999996</v>
      </c>
      <c r="DN574" s="1487">
        <f t="shared" si="1226"/>
        <v>13798.899999999996</v>
      </c>
      <c r="DO574" s="1487">
        <f t="shared" si="1226"/>
        <v>28491.8</v>
      </c>
      <c r="DP574" s="1487">
        <f t="shared" si="1226"/>
        <v>28505</v>
      </c>
      <c r="DQ574" s="1487">
        <f t="shared" si="1226"/>
        <v>28505</v>
      </c>
      <c r="DR574" s="1487">
        <f t="shared" ref="DR574:DZ574" si="1227">DR571+DR572</f>
        <v>30252</v>
      </c>
      <c r="DS574" s="1487">
        <f t="shared" si="1227"/>
        <v>29927</v>
      </c>
      <c r="DT574" s="1487">
        <f t="shared" si="1227"/>
        <v>29927</v>
      </c>
      <c r="DU574" s="1487">
        <f t="shared" si="1227"/>
        <v>30986</v>
      </c>
      <c r="DV574" s="1487">
        <f t="shared" si="1227"/>
        <v>30748</v>
      </c>
      <c r="DW574" s="1487">
        <f t="shared" si="1227"/>
        <v>30748</v>
      </c>
      <c r="DX574" s="1487">
        <f t="shared" si="1227"/>
        <v>30453</v>
      </c>
      <c r="DY574" s="1487">
        <f t="shared" si="1227"/>
        <v>30318.403249891551</v>
      </c>
      <c r="DZ574" s="1487">
        <f t="shared" si="1227"/>
        <v>30318.403249891551</v>
      </c>
      <c r="EA574" s="1487">
        <f t="shared" ref="EA574:EF574" si="1228">EA571+EA572</f>
        <v>31212.070255937244</v>
      </c>
      <c r="EB574" s="1487">
        <f t="shared" si="1228"/>
        <v>31262.44095291815</v>
      </c>
      <c r="EC574" s="1487">
        <f t="shared" si="1228"/>
        <v>31262.44095291815</v>
      </c>
      <c r="ED574" s="1487">
        <f t="shared" si="1228"/>
        <v>32161.182035474973</v>
      </c>
      <c r="EE574" s="1487">
        <f t="shared" si="1228"/>
        <v>32385.40432354515</v>
      </c>
      <c r="EF574" s="1487">
        <f t="shared" si="1228"/>
        <v>32385.40432354515</v>
      </c>
      <c r="EG574" s="1487">
        <f t="shared" ref="EG574:EL574" si="1229">EG571+EG572</f>
        <v>33298.936644342422</v>
      </c>
      <c r="EH574" s="1487">
        <f t="shared" si="1229"/>
        <v>33592.955821332522</v>
      </c>
      <c r="EI574" s="1487">
        <f t="shared" si="1229"/>
        <v>33592.955821332522</v>
      </c>
      <c r="EJ574" s="1487">
        <f t="shared" si="1229"/>
        <v>34388.833577940604</v>
      </c>
      <c r="EK574" s="1487">
        <f t="shared" si="1229"/>
        <v>34692.790437533011</v>
      </c>
      <c r="EL574" s="1487">
        <f t="shared" si="1229"/>
        <v>34692.790437533011</v>
      </c>
      <c r="EM574" s="1487">
        <f t="shared" ref="EM574:ER574" si="1230">EM571+EM572</f>
        <v>35305.484664467964</v>
      </c>
      <c r="EN574" s="1487">
        <f t="shared" si="1230"/>
        <v>35564.189012394789</v>
      </c>
      <c r="EO574" s="1487">
        <f t="shared" si="1230"/>
        <v>35564.189012394789</v>
      </c>
      <c r="EP574" s="1487">
        <f t="shared" si="1230"/>
        <v>36167.984139356806</v>
      </c>
      <c r="EQ574" s="1487">
        <f t="shared" si="1230"/>
        <v>36496.770424356975</v>
      </c>
      <c r="ER574" s="1487">
        <f t="shared" si="1230"/>
        <v>36496.770424356975</v>
      </c>
      <c r="ES574" s="1487">
        <f t="shared" ref="ES574:FA574" si="1231">ES571+ES572</f>
        <v>37092.015448923048</v>
      </c>
      <c r="ET574" s="1487">
        <f t="shared" si="1231"/>
        <v>37491.51872851923</v>
      </c>
      <c r="EU574" s="1487">
        <f t="shared" si="1231"/>
        <v>37491.51872851923</v>
      </c>
      <c r="EV574" s="1487">
        <f t="shared" si="1231"/>
        <v>38070.809495624744</v>
      </c>
      <c r="EW574" s="1487">
        <f t="shared" si="1231"/>
        <v>38547.740608116743</v>
      </c>
      <c r="EX574" s="1487">
        <f t="shared" si="1231"/>
        <v>38547.740608116743</v>
      </c>
      <c r="EY574" s="1487">
        <f t="shared" si="1231"/>
        <v>39107.322115008268</v>
      </c>
      <c r="EZ574" s="1487">
        <f t="shared" si="1231"/>
        <v>39668.965487310124</v>
      </c>
      <c r="FA574" s="1487">
        <f t="shared" si="1231"/>
        <v>39668.965487310124</v>
      </c>
      <c r="FB574" s="1487"/>
      <c r="FC574" s="1487"/>
      <c r="FD574"/>
      <c r="FE574"/>
      <c r="FF574"/>
      <c r="FG574"/>
      <c r="FH574"/>
      <c r="FI574"/>
    </row>
    <row r="575" spans="1:165" s="33" customFormat="1">
      <c r="A575" s="58"/>
      <c r="B575" s="58" t="s">
        <v>763</v>
      </c>
      <c r="C575" s="58"/>
      <c r="D575" s="58"/>
      <c r="E575" s="1487"/>
      <c r="F575" s="1487"/>
      <c r="G575" s="1487"/>
      <c r="H575" s="1487"/>
      <c r="I575" s="1487"/>
      <c r="J575" s="1487"/>
      <c r="K575" s="1487">
        <f t="shared" ref="K575:AD575" si="1232">K230-K268-K288</f>
        <v>0</v>
      </c>
      <c r="L575" s="1487"/>
      <c r="M575" s="1487">
        <f t="shared" si="1232"/>
        <v>0</v>
      </c>
      <c r="N575" s="1487"/>
      <c r="O575" s="1487">
        <f t="shared" si="1232"/>
        <v>0</v>
      </c>
      <c r="P575" s="1487">
        <f t="shared" si="1232"/>
        <v>0</v>
      </c>
      <c r="Q575" s="1487"/>
      <c r="R575" s="1487">
        <f t="shared" si="1232"/>
        <v>0</v>
      </c>
      <c r="S575" s="1487"/>
      <c r="T575" s="1487">
        <f t="shared" si="1232"/>
        <v>0</v>
      </c>
      <c r="U575" s="1487">
        <f t="shared" si="1232"/>
        <v>0</v>
      </c>
      <c r="V575" s="1487"/>
      <c r="W575" s="1487">
        <f t="shared" si="1232"/>
        <v>0</v>
      </c>
      <c r="X575" s="1487"/>
      <c r="Y575" s="1487">
        <f t="shared" si="1232"/>
        <v>0</v>
      </c>
      <c r="Z575" s="1487">
        <f t="shared" si="1232"/>
        <v>0</v>
      </c>
      <c r="AA575" s="1487"/>
      <c r="AB575" s="1487">
        <f t="shared" si="1232"/>
        <v>0</v>
      </c>
      <c r="AC575" s="1487"/>
      <c r="AD575" s="1487">
        <f t="shared" si="1232"/>
        <v>0</v>
      </c>
      <c r="AE575" s="1487">
        <f>AE230-AE268-AE288</f>
        <v>0</v>
      </c>
      <c r="AF575" s="1487"/>
      <c r="AG575" s="1487">
        <f>AG230-AG268-AG288</f>
        <v>0</v>
      </c>
      <c r="AH575" s="1487"/>
      <c r="AI575" s="1487">
        <f t="shared" ref="AI575:AO575" si="1233">AI230-AI268-AI288</f>
        <v>0</v>
      </c>
      <c r="AJ575" s="1487">
        <f t="shared" si="1233"/>
        <v>0</v>
      </c>
      <c r="AK575" s="1487">
        <f t="shared" si="1233"/>
        <v>0</v>
      </c>
      <c r="AL575" s="1487">
        <f t="shared" si="1233"/>
        <v>0</v>
      </c>
      <c r="AM575" s="1487">
        <f t="shared" si="1233"/>
        <v>0</v>
      </c>
      <c r="AN575" s="1487">
        <f t="shared" si="1233"/>
        <v>0</v>
      </c>
      <c r="AO575" s="1487">
        <f t="shared" si="1233"/>
        <v>0</v>
      </c>
      <c r="AP575" s="1487"/>
      <c r="AQ575" s="1487">
        <f>AQ230-AQ268-AQ288</f>
        <v>0</v>
      </c>
      <c r="AR575" s="1487"/>
      <c r="AS575" s="1487">
        <f>AS230-AS268-AS288</f>
        <v>0</v>
      </c>
      <c r="AT575" s="1487">
        <f>AT230-AT268-AT288</f>
        <v>0</v>
      </c>
      <c r="AU575" s="1487"/>
      <c r="AV575" s="1487">
        <f>AV230-AV268-AV288</f>
        <v>0</v>
      </c>
      <c r="AW575" s="1487"/>
      <c r="AX575" s="1487">
        <f>AX230-AX268-AX288</f>
        <v>0</v>
      </c>
      <c r="AY575" s="1487">
        <f>AY230-AY268-AY288</f>
        <v>0</v>
      </c>
      <c r="AZ575" s="1487"/>
      <c r="BA575" s="1487">
        <f>BA230-BA268-BA288</f>
        <v>0</v>
      </c>
      <c r="BB575" s="1487"/>
      <c r="BC575" s="1487">
        <f>BC230-BC268-BC288</f>
        <v>0</v>
      </c>
      <c r="BD575" s="1487">
        <f>BD230-BD268-BD288</f>
        <v>0</v>
      </c>
      <c r="BE575" s="1487"/>
      <c r="BF575" s="1487">
        <f>BF230-BF268-BF288</f>
        <v>0</v>
      </c>
      <c r="BG575" s="1487"/>
      <c r="BH575" s="1487">
        <f>BH230-BH268-BH288</f>
        <v>0</v>
      </c>
      <c r="BI575" s="1487">
        <f>BI230-BI268-BI288</f>
        <v>0</v>
      </c>
      <c r="BJ575" s="1487"/>
      <c r="BK575" s="1487">
        <f>BK230-BK268-BK288</f>
        <v>0</v>
      </c>
      <c r="BL575" s="1487"/>
      <c r="BM575" s="1487">
        <f t="shared" ref="BM575:BU575" si="1234">BM230-BM268-BM288</f>
        <v>0</v>
      </c>
      <c r="BN575" s="1487">
        <f t="shared" si="1234"/>
        <v>0</v>
      </c>
      <c r="BO575" s="1487">
        <f t="shared" si="1234"/>
        <v>0</v>
      </c>
      <c r="BP575" s="1487">
        <f t="shared" si="1234"/>
        <v>0</v>
      </c>
      <c r="BQ575" s="1487">
        <f t="shared" si="1234"/>
        <v>0</v>
      </c>
      <c r="BR575" s="1487">
        <f t="shared" si="1234"/>
        <v>0</v>
      </c>
      <c r="BS575" s="1487">
        <f t="shared" si="1234"/>
        <v>0</v>
      </c>
      <c r="BT575" s="1487">
        <f t="shared" si="1234"/>
        <v>0</v>
      </c>
      <c r="BU575" s="1487">
        <f t="shared" si="1234"/>
        <v>0</v>
      </c>
      <c r="BV575" s="1487">
        <f>BV228-BV266-BV286</f>
        <v>0</v>
      </c>
      <c r="BW575" s="1487">
        <f t="shared" ref="BW575:DQ575" si="1235">BW228-BW266-BW286</f>
        <v>-242</v>
      </c>
      <c r="BX575" s="1487">
        <f t="shared" si="1235"/>
        <v>-242</v>
      </c>
      <c r="BY575" s="1487">
        <f t="shared" si="1235"/>
        <v>0</v>
      </c>
      <c r="BZ575" s="1487">
        <f t="shared" si="1235"/>
        <v>1468</v>
      </c>
      <c r="CA575" s="1487">
        <f t="shared" si="1235"/>
        <v>1468</v>
      </c>
      <c r="CB575" s="1487">
        <f t="shared" si="1235"/>
        <v>0</v>
      </c>
      <c r="CC575" s="1487">
        <f t="shared" si="1235"/>
        <v>459</v>
      </c>
      <c r="CD575" s="1487">
        <f t="shared" si="1235"/>
        <v>459</v>
      </c>
      <c r="CE575" s="1487">
        <f t="shared" si="1235"/>
        <v>0</v>
      </c>
      <c r="CF575" s="1487">
        <f t="shared" si="1235"/>
        <v>68</v>
      </c>
      <c r="CG575" s="1487">
        <f t="shared" si="1235"/>
        <v>68</v>
      </c>
      <c r="CH575" s="1487">
        <f t="shared" si="1235"/>
        <v>-221.80500000000006</v>
      </c>
      <c r="CI575" s="1487">
        <f t="shared" si="1235"/>
        <v>-116.50000000000023</v>
      </c>
      <c r="CJ575" s="1487">
        <f t="shared" si="1235"/>
        <v>-116.50000000000023</v>
      </c>
      <c r="CK575" s="1487">
        <f t="shared" si="1235"/>
        <v>-916.7</v>
      </c>
      <c r="CL575" s="1487">
        <f t="shared" si="1235"/>
        <v>-916.7</v>
      </c>
      <c r="CM575" s="1487">
        <f t="shared" si="1235"/>
        <v>-916.7</v>
      </c>
      <c r="CN575" s="1487">
        <f t="shared" si="1235"/>
        <v>-1097.9000000000001</v>
      </c>
      <c r="CO575" s="1487">
        <f t="shared" si="1235"/>
        <v>-1281.5999999999999</v>
      </c>
      <c r="CP575" s="1487">
        <f t="shared" si="1235"/>
        <v>-1281.5999999999999</v>
      </c>
      <c r="CQ575" s="1487">
        <f t="shared" si="1235"/>
        <v>-1269.5</v>
      </c>
      <c r="CR575" s="1487">
        <f t="shared" si="1235"/>
        <v>-1724.1</v>
      </c>
      <c r="CS575" s="1487">
        <f t="shared" si="1235"/>
        <v>-1724.1</v>
      </c>
      <c r="CT575" s="1487">
        <f t="shared" si="1235"/>
        <v>-1982.3999999999999</v>
      </c>
      <c r="CU575" s="1487">
        <f t="shared" si="1235"/>
        <v>-2586.6999999999998</v>
      </c>
      <c r="CV575" s="1487">
        <f t="shared" si="1235"/>
        <v>-2586.6999999999998</v>
      </c>
      <c r="CW575" s="1487">
        <f t="shared" si="1235"/>
        <v>-2644.5</v>
      </c>
      <c r="CX575" s="1487">
        <f t="shared" si="1235"/>
        <v>-3130.7</v>
      </c>
      <c r="CY575" s="1487">
        <f t="shared" si="1235"/>
        <v>-3130.7</v>
      </c>
      <c r="CZ575" s="1487">
        <f t="shared" si="1235"/>
        <v>-3603.2999999999997</v>
      </c>
      <c r="DA575" s="1487">
        <f t="shared" si="1235"/>
        <v>-3571.6000000000004</v>
      </c>
      <c r="DB575" s="1487">
        <f t="shared" si="1235"/>
        <v>-3571.6000000000004</v>
      </c>
      <c r="DC575" s="1487">
        <f t="shared" si="1235"/>
        <v>-3982.7</v>
      </c>
      <c r="DD575" s="1487">
        <f t="shared" si="1235"/>
        <v>-4005</v>
      </c>
      <c r="DE575" s="1487">
        <f t="shared" si="1235"/>
        <v>-4005</v>
      </c>
      <c r="DF575" s="1487">
        <f t="shared" si="1235"/>
        <v>-4940.2</v>
      </c>
      <c r="DG575" s="1487">
        <f t="shared" si="1235"/>
        <v>-4798.3999999999996</v>
      </c>
      <c r="DH575" s="1487">
        <f t="shared" si="1235"/>
        <v>-4798.3999999999996</v>
      </c>
      <c r="DI575" s="1487">
        <f t="shared" si="1235"/>
        <v>-3702.7</v>
      </c>
      <c r="DJ575" s="1487">
        <f t="shared" si="1235"/>
        <v>-3998.1000000000004</v>
      </c>
      <c r="DK575" s="1487">
        <f t="shared" si="1235"/>
        <v>-3998.1000000000004</v>
      </c>
      <c r="DL575" s="1487">
        <f t="shared" si="1235"/>
        <v>765.60000000000036</v>
      </c>
      <c r="DM575" s="1487">
        <f t="shared" si="1235"/>
        <v>778.59999999999945</v>
      </c>
      <c r="DN575" s="1487">
        <f t="shared" si="1235"/>
        <v>778.59999999999945</v>
      </c>
      <c r="DO575" s="1487">
        <f t="shared" si="1235"/>
        <v>-10610.7</v>
      </c>
      <c r="DP575" s="1487">
        <f t="shared" si="1235"/>
        <v>-10679</v>
      </c>
      <c r="DQ575" s="1487">
        <f t="shared" si="1235"/>
        <v>-10679</v>
      </c>
      <c r="DR575" s="1487">
        <f t="shared" ref="DR575:DZ575" si="1236">DR228-DR266-DR286</f>
        <v>-11090</v>
      </c>
      <c r="DS575" s="1487">
        <f t="shared" si="1236"/>
        <v>-10526</v>
      </c>
      <c r="DT575" s="1487">
        <f t="shared" si="1236"/>
        <v>-10526</v>
      </c>
      <c r="DU575" s="1487">
        <f t="shared" si="1236"/>
        <v>-10440</v>
      </c>
      <c r="DV575" s="1487">
        <f t="shared" si="1236"/>
        <v>-9341</v>
      </c>
      <c r="DW575" s="1487">
        <f t="shared" si="1236"/>
        <v>-9341</v>
      </c>
      <c r="DX575" s="1487">
        <f t="shared" si="1236"/>
        <v>-9993</v>
      </c>
      <c r="DY575" s="1487">
        <f t="shared" si="1236"/>
        <v>-9444.1551956106159</v>
      </c>
      <c r="DZ575" s="1487">
        <f t="shared" si="1236"/>
        <v>-9444.1551956106159</v>
      </c>
      <c r="EA575" s="1487">
        <f t="shared" ref="EA575:EF575" si="1237">EA228-EA266-EA286</f>
        <v>-9429.4003687164841</v>
      </c>
      <c r="EB575" s="1487">
        <f t="shared" si="1237"/>
        <v>-9098.7331472943515</v>
      </c>
      <c r="EC575" s="1487">
        <f t="shared" si="1237"/>
        <v>-9098.7331472943515</v>
      </c>
      <c r="ED575" s="1487">
        <f t="shared" si="1237"/>
        <v>-8849.8588574418154</v>
      </c>
      <c r="EE575" s="1487">
        <f t="shared" si="1237"/>
        <v>-8621.8141708771764</v>
      </c>
      <c r="EF575" s="1487">
        <f t="shared" si="1237"/>
        <v>-8621.8141708771764</v>
      </c>
      <c r="EG575" s="1487">
        <f t="shared" ref="EG575:EL575" si="1238">EG228-EG266-EG286</f>
        <v>-7877.9143036408896</v>
      </c>
      <c r="EH575" s="1487">
        <f t="shared" si="1238"/>
        <v>-7219.415763003205</v>
      </c>
      <c r="EI575" s="1487">
        <f t="shared" si="1238"/>
        <v>-7219.415763003205</v>
      </c>
      <c r="EJ575" s="1487">
        <f t="shared" si="1238"/>
        <v>-6228.3135395557583</v>
      </c>
      <c r="EK575" s="1487">
        <f t="shared" si="1238"/>
        <v>-5437.6215365518528</v>
      </c>
      <c r="EL575" s="1487">
        <f t="shared" si="1238"/>
        <v>-5437.6215365518528</v>
      </c>
      <c r="EM575" s="1487">
        <f t="shared" ref="EM575:ER575" si="1239">EM228-EM266-EM286</f>
        <v>-4104.0475294089028</v>
      </c>
      <c r="EN575" s="1487">
        <f t="shared" si="1239"/>
        <v>-3145.8642215067357</v>
      </c>
      <c r="EO575" s="1487">
        <f t="shared" si="1239"/>
        <v>-3145.8642215067357</v>
      </c>
      <c r="EP575" s="1487">
        <f t="shared" si="1239"/>
        <v>-1651.9690620472447</v>
      </c>
      <c r="EQ575" s="1487">
        <f t="shared" si="1239"/>
        <v>-610.26829600956262</v>
      </c>
      <c r="ER575" s="1487">
        <f t="shared" si="1239"/>
        <v>-610.26829600956262</v>
      </c>
      <c r="ES575" s="1487">
        <f t="shared" ref="ES575:FA575" si="1240">ES228-ES266-ES286</f>
        <v>1018.822196506253</v>
      </c>
      <c r="ET575" s="1487">
        <f t="shared" si="1240"/>
        <v>2129.6838910554688</v>
      </c>
      <c r="EU575" s="1487">
        <f t="shared" si="1240"/>
        <v>2129.6838910554688</v>
      </c>
      <c r="EV575" s="1487">
        <f t="shared" si="1240"/>
        <v>3890.3463273727939</v>
      </c>
      <c r="EW575" s="1487">
        <f t="shared" si="1240"/>
        <v>5046.9638275605466</v>
      </c>
      <c r="EX575" s="1487">
        <f t="shared" si="1240"/>
        <v>5046.9638275605466</v>
      </c>
      <c r="EY575" s="1487">
        <f t="shared" si="1240"/>
        <v>6968.9610910313786</v>
      </c>
      <c r="EZ575" s="1487">
        <f t="shared" si="1240"/>
        <v>8172.4386050737376</v>
      </c>
      <c r="FA575" s="1487">
        <f t="shared" si="1240"/>
        <v>8172.4386050737376</v>
      </c>
      <c r="FB575" s="1487"/>
      <c r="FC575" s="1487"/>
      <c r="FD575"/>
      <c r="FE575"/>
      <c r="FF575"/>
      <c r="FG575"/>
      <c r="FH575"/>
      <c r="FI575"/>
    </row>
    <row r="576" spans="1:165" s="33" customFormat="1">
      <c r="A576" s="58"/>
      <c r="B576" s="58" t="s">
        <v>764</v>
      </c>
      <c r="C576" s="58"/>
      <c r="D576" s="58"/>
      <c r="E576" s="1487"/>
      <c r="F576" s="1487"/>
      <c r="G576" s="1487"/>
      <c r="H576" s="1487"/>
      <c r="I576" s="1487"/>
      <c r="J576" s="1487"/>
      <c r="K576" s="1487">
        <f t="shared" ref="K576:AD576" si="1241">K235+K250</f>
        <v>0</v>
      </c>
      <c r="L576" s="1487"/>
      <c r="M576" s="1487">
        <f t="shared" si="1241"/>
        <v>0</v>
      </c>
      <c r="N576" s="1487"/>
      <c r="O576" s="1487">
        <f t="shared" si="1241"/>
        <v>0</v>
      </c>
      <c r="P576" s="1487">
        <f t="shared" si="1241"/>
        <v>0</v>
      </c>
      <c r="Q576" s="1487"/>
      <c r="R576" s="1487">
        <f t="shared" si="1241"/>
        <v>0</v>
      </c>
      <c r="S576" s="1487"/>
      <c r="T576" s="1487">
        <f t="shared" si="1241"/>
        <v>0</v>
      </c>
      <c r="U576" s="1487">
        <f t="shared" si="1241"/>
        <v>0</v>
      </c>
      <c r="V576" s="1487"/>
      <c r="W576" s="1487">
        <f t="shared" si="1241"/>
        <v>0</v>
      </c>
      <c r="X576" s="1487"/>
      <c r="Y576" s="1487">
        <f t="shared" si="1241"/>
        <v>0</v>
      </c>
      <c r="Z576" s="1487">
        <f t="shared" si="1241"/>
        <v>0</v>
      </c>
      <c r="AA576" s="1487"/>
      <c r="AB576" s="1487">
        <f t="shared" si="1241"/>
        <v>0</v>
      </c>
      <c r="AC576" s="1487"/>
      <c r="AD576" s="1487">
        <f t="shared" si="1241"/>
        <v>0</v>
      </c>
      <c r="AE576" s="1487">
        <f>AE235+AE250</f>
        <v>0</v>
      </c>
      <c r="AF576" s="1487"/>
      <c r="AG576" s="1487">
        <f>-(AG235+AG250)</f>
        <v>0</v>
      </c>
      <c r="AH576" s="1487"/>
      <c r="AI576" s="1487">
        <f t="shared" ref="AI576:AO576" si="1242">(AI235+AI250)</f>
        <v>0</v>
      </c>
      <c r="AJ576" s="1487">
        <f t="shared" si="1242"/>
        <v>0</v>
      </c>
      <c r="AK576" s="1487">
        <f t="shared" si="1242"/>
        <v>0</v>
      </c>
      <c r="AL576" s="1487">
        <f t="shared" si="1242"/>
        <v>0</v>
      </c>
      <c r="AM576" s="1487">
        <f t="shared" si="1242"/>
        <v>0</v>
      </c>
      <c r="AN576" s="1487">
        <f t="shared" si="1242"/>
        <v>0</v>
      </c>
      <c r="AO576" s="1487">
        <f t="shared" si="1242"/>
        <v>0</v>
      </c>
      <c r="AP576" s="1487"/>
      <c r="AQ576" s="1487">
        <f>(AQ235+AQ250)</f>
        <v>0</v>
      </c>
      <c r="AR576" s="1487"/>
      <c r="AS576" s="1487">
        <f>(AS235+AS250)</f>
        <v>0</v>
      </c>
      <c r="AT576" s="1487">
        <f>(AT235+AT250)</f>
        <v>0</v>
      </c>
      <c r="AU576" s="1487"/>
      <c r="AV576" s="1487">
        <f>(AV235+AV250)</f>
        <v>0</v>
      </c>
      <c r="AW576" s="1487"/>
      <c r="AX576" s="1487">
        <f>(AX235+AX250)</f>
        <v>0</v>
      </c>
      <c r="AY576" s="1487">
        <f>(AY235+AY250)</f>
        <v>0</v>
      </c>
      <c r="AZ576" s="1487"/>
      <c r="BA576" s="1487">
        <f>(BA235+BA250)</f>
        <v>0</v>
      </c>
      <c r="BB576" s="1487"/>
      <c r="BC576" s="1487">
        <f>(BC235+BC250)</f>
        <v>0</v>
      </c>
      <c r="BD576" s="1487">
        <f>(BD235+BD250)</f>
        <v>0</v>
      </c>
      <c r="BE576" s="1487"/>
      <c r="BF576" s="1487">
        <f>(BF235+BF250)</f>
        <v>0</v>
      </c>
      <c r="BG576" s="1487"/>
      <c r="BH576" s="1487">
        <f>(BH235+BH250)</f>
        <v>0</v>
      </c>
      <c r="BI576" s="1487">
        <f>(BI235+BI250)</f>
        <v>0</v>
      </c>
      <c r="BJ576" s="1487"/>
      <c r="BK576" s="1487">
        <f>(BK235+BK250)</f>
        <v>0</v>
      </c>
      <c r="BL576" s="1487"/>
      <c r="BM576" s="1487">
        <f t="shared" ref="BM576:BU576" si="1243">(BM235+BM250)</f>
        <v>0</v>
      </c>
      <c r="BN576" s="1487">
        <f t="shared" si="1243"/>
        <v>0</v>
      </c>
      <c r="BO576" s="1487">
        <f t="shared" si="1243"/>
        <v>0</v>
      </c>
      <c r="BP576" s="1487">
        <f t="shared" si="1243"/>
        <v>0</v>
      </c>
      <c r="BQ576" s="1487">
        <f t="shared" si="1243"/>
        <v>0</v>
      </c>
      <c r="BR576" s="1487">
        <f t="shared" si="1243"/>
        <v>0</v>
      </c>
      <c r="BS576" s="1487">
        <f t="shared" si="1243"/>
        <v>0</v>
      </c>
      <c r="BT576" s="1487">
        <f t="shared" si="1243"/>
        <v>0</v>
      </c>
      <c r="BU576" s="1487">
        <f t="shared" si="1243"/>
        <v>0</v>
      </c>
      <c r="BV576" s="1487">
        <f>(BV233+BV248)</f>
        <v>0</v>
      </c>
      <c r="BW576" s="1487">
        <f t="shared" ref="BW576:DQ576" si="1244">(BW233+BW248)</f>
        <v>0</v>
      </c>
      <c r="BX576" s="1487">
        <f t="shared" si="1244"/>
        <v>0</v>
      </c>
      <c r="BY576" s="1487">
        <f t="shared" si="1244"/>
        <v>0</v>
      </c>
      <c r="BZ576" s="1487">
        <f t="shared" si="1244"/>
        <v>0</v>
      </c>
      <c r="CA576" s="1487">
        <f t="shared" si="1244"/>
        <v>0</v>
      </c>
      <c r="CB576" s="1487">
        <f t="shared" si="1244"/>
        <v>0</v>
      </c>
      <c r="CC576" s="1487">
        <f t="shared" si="1244"/>
        <v>0</v>
      </c>
      <c r="CD576" s="1487">
        <f t="shared" si="1244"/>
        <v>0</v>
      </c>
      <c r="CE576" s="1487">
        <f t="shared" si="1244"/>
        <v>0</v>
      </c>
      <c r="CF576" s="1487">
        <f t="shared" si="1244"/>
        <v>0</v>
      </c>
      <c r="CG576" s="1487">
        <f t="shared" si="1244"/>
        <v>0</v>
      </c>
      <c r="CH576" s="1487">
        <f t="shared" si="1244"/>
        <v>0</v>
      </c>
      <c r="CI576" s="1487">
        <f t="shared" si="1244"/>
        <v>0</v>
      </c>
      <c r="CJ576" s="1487">
        <f t="shared" si="1244"/>
        <v>0</v>
      </c>
      <c r="CK576" s="1487">
        <f t="shared" si="1244"/>
        <v>0</v>
      </c>
      <c r="CL576" s="1487">
        <f t="shared" si="1244"/>
        <v>0</v>
      </c>
      <c r="CM576" s="1487">
        <f t="shared" si="1244"/>
        <v>0</v>
      </c>
      <c r="CN576" s="1487">
        <f t="shared" si="1244"/>
        <v>0</v>
      </c>
      <c r="CO576" s="1487">
        <f t="shared" si="1244"/>
        <v>0</v>
      </c>
      <c r="CP576" s="1487">
        <f t="shared" si="1244"/>
        <v>0</v>
      </c>
      <c r="CQ576" s="1487">
        <f t="shared" si="1244"/>
        <v>0</v>
      </c>
      <c r="CR576" s="1487">
        <f t="shared" si="1244"/>
        <v>0</v>
      </c>
      <c r="CS576" s="1487">
        <f t="shared" si="1244"/>
        <v>0</v>
      </c>
      <c r="CT576" s="1487">
        <f t="shared" si="1244"/>
        <v>1.3</v>
      </c>
      <c r="CU576" s="1487">
        <f t="shared" si="1244"/>
        <v>0</v>
      </c>
      <c r="CV576" s="1487">
        <f t="shared" si="1244"/>
        <v>0</v>
      </c>
      <c r="CW576" s="1487">
        <f t="shared" si="1244"/>
        <v>0</v>
      </c>
      <c r="CX576" s="1487">
        <f t="shared" si="1244"/>
        <v>0</v>
      </c>
      <c r="CY576" s="1487">
        <f t="shared" si="1244"/>
        <v>0</v>
      </c>
      <c r="CZ576" s="1487">
        <f t="shared" si="1244"/>
        <v>0</v>
      </c>
      <c r="DA576" s="1487">
        <f t="shared" si="1244"/>
        <v>0</v>
      </c>
      <c r="DB576" s="1487">
        <f t="shared" si="1244"/>
        <v>0</v>
      </c>
      <c r="DC576" s="1487">
        <f t="shared" si="1244"/>
        <v>0</v>
      </c>
      <c r="DD576" s="1487">
        <f t="shared" si="1244"/>
        <v>0</v>
      </c>
      <c r="DE576" s="1487">
        <f t="shared" si="1244"/>
        <v>0</v>
      </c>
      <c r="DF576" s="1487">
        <f t="shared" si="1244"/>
        <v>0</v>
      </c>
      <c r="DG576" s="1487">
        <f t="shared" si="1244"/>
        <v>0</v>
      </c>
      <c r="DH576" s="1487">
        <f t="shared" si="1244"/>
        <v>0</v>
      </c>
      <c r="DI576" s="1487">
        <f t="shared" si="1244"/>
        <v>0</v>
      </c>
      <c r="DJ576" s="1487">
        <f t="shared" si="1244"/>
        <v>0</v>
      </c>
      <c r="DK576" s="1487">
        <f t="shared" si="1244"/>
        <v>0</v>
      </c>
      <c r="DL576" s="1487">
        <f t="shared" si="1244"/>
        <v>0</v>
      </c>
      <c r="DM576" s="1487">
        <f t="shared" si="1244"/>
        <v>0</v>
      </c>
      <c r="DN576" s="1487">
        <f t="shared" si="1244"/>
        <v>0</v>
      </c>
      <c r="DO576" s="1487">
        <f t="shared" si="1244"/>
        <v>0</v>
      </c>
      <c r="DP576" s="1487">
        <f t="shared" si="1244"/>
        <v>0</v>
      </c>
      <c r="DQ576" s="1487">
        <f t="shared" si="1244"/>
        <v>0</v>
      </c>
      <c r="DR576" s="1487">
        <f t="shared" ref="DR576:DZ576" si="1245">(DR233+DR248)</f>
        <v>0</v>
      </c>
      <c r="DS576" s="1487">
        <f t="shared" si="1245"/>
        <v>0</v>
      </c>
      <c r="DT576" s="1487">
        <f t="shared" si="1245"/>
        <v>0</v>
      </c>
      <c r="DU576" s="1487">
        <f t="shared" si="1245"/>
        <v>0</v>
      </c>
      <c r="DV576" s="1487">
        <f t="shared" si="1245"/>
        <v>0</v>
      </c>
      <c r="DW576" s="1487">
        <f t="shared" si="1245"/>
        <v>0</v>
      </c>
      <c r="DX576" s="1487">
        <f t="shared" si="1245"/>
        <v>0</v>
      </c>
      <c r="DY576" s="1487">
        <f t="shared" si="1245"/>
        <v>0</v>
      </c>
      <c r="DZ576" s="1487">
        <f t="shared" si="1245"/>
        <v>0</v>
      </c>
      <c r="EA576" s="1487">
        <f t="shared" ref="EA576:EF576" si="1246">(EA233+EA248)</f>
        <v>0</v>
      </c>
      <c r="EB576" s="1487">
        <f t="shared" si="1246"/>
        <v>0</v>
      </c>
      <c r="EC576" s="1487">
        <f t="shared" si="1246"/>
        <v>0</v>
      </c>
      <c r="ED576" s="1487">
        <f t="shared" si="1246"/>
        <v>0</v>
      </c>
      <c r="EE576" s="1487">
        <f t="shared" si="1246"/>
        <v>0</v>
      </c>
      <c r="EF576" s="1487">
        <f t="shared" si="1246"/>
        <v>0</v>
      </c>
      <c r="EG576" s="1487">
        <f t="shared" ref="EG576:EL576" si="1247">(EG233+EG248)</f>
        <v>0</v>
      </c>
      <c r="EH576" s="1487">
        <f t="shared" si="1247"/>
        <v>0</v>
      </c>
      <c r="EI576" s="1487">
        <f t="shared" si="1247"/>
        <v>0</v>
      </c>
      <c r="EJ576" s="1487">
        <f t="shared" si="1247"/>
        <v>0</v>
      </c>
      <c r="EK576" s="1487">
        <f t="shared" si="1247"/>
        <v>0</v>
      </c>
      <c r="EL576" s="1487">
        <f t="shared" si="1247"/>
        <v>0</v>
      </c>
      <c r="EM576" s="1487">
        <f t="shared" ref="EM576:ER576" si="1248">(EM233+EM248)</f>
        <v>0</v>
      </c>
      <c r="EN576" s="1487">
        <f t="shared" si="1248"/>
        <v>0</v>
      </c>
      <c r="EO576" s="1487">
        <f t="shared" si="1248"/>
        <v>0</v>
      </c>
      <c r="EP576" s="1487">
        <f t="shared" si="1248"/>
        <v>0</v>
      </c>
      <c r="EQ576" s="1487">
        <f t="shared" si="1248"/>
        <v>0</v>
      </c>
      <c r="ER576" s="1487">
        <f t="shared" si="1248"/>
        <v>0</v>
      </c>
      <c r="ES576" s="1487">
        <f t="shared" ref="ES576:FA576" si="1249">(ES233+ES248)</f>
        <v>0</v>
      </c>
      <c r="ET576" s="1487">
        <f t="shared" si="1249"/>
        <v>0</v>
      </c>
      <c r="EU576" s="1487">
        <f t="shared" si="1249"/>
        <v>0</v>
      </c>
      <c r="EV576" s="1487">
        <f t="shared" si="1249"/>
        <v>0</v>
      </c>
      <c r="EW576" s="1487">
        <f t="shared" si="1249"/>
        <v>0</v>
      </c>
      <c r="EX576" s="1487">
        <f t="shared" si="1249"/>
        <v>0</v>
      </c>
      <c r="EY576" s="1487">
        <f t="shared" si="1249"/>
        <v>0</v>
      </c>
      <c r="EZ576" s="1487">
        <f t="shared" si="1249"/>
        <v>0</v>
      </c>
      <c r="FA576" s="1487">
        <f t="shared" si="1249"/>
        <v>0</v>
      </c>
      <c r="FB576" s="1487"/>
      <c r="FC576" s="1487"/>
      <c r="FD576"/>
      <c r="FE576"/>
      <c r="FF576"/>
      <c r="FG576"/>
      <c r="FH576"/>
      <c r="FI576"/>
    </row>
    <row r="577" spans="1:165" s="33" customFormat="1">
      <c r="A577" s="58"/>
      <c r="B577" s="58" t="s">
        <v>765</v>
      </c>
      <c r="C577" s="58"/>
      <c r="D577" s="58"/>
      <c r="E577" s="1487"/>
      <c r="F577" s="1487"/>
      <c r="G577" s="1487"/>
      <c r="H577" s="1487"/>
      <c r="I577" s="1487"/>
      <c r="J577" s="1487"/>
      <c r="K577" s="1487">
        <f t="shared" ref="K577:AD577" si="1250">SUM(K574:K576)</f>
        <v>0</v>
      </c>
      <c r="L577" s="1487"/>
      <c r="M577" s="1487">
        <f t="shared" si="1250"/>
        <v>0</v>
      </c>
      <c r="N577" s="1487"/>
      <c r="O577" s="1487">
        <f t="shared" si="1250"/>
        <v>0</v>
      </c>
      <c r="P577" s="1487">
        <f t="shared" si="1250"/>
        <v>0</v>
      </c>
      <c r="Q577" s="1487"/>
      <c r="R577" s="1487">
        <f t="shared" si="1250"/>
        <v>0</v>
      </c>
      <c r="S577" s="1487"/>
      <c r="T577" s="1487">
        <f t="shared" si="1250"/>
        <v>0</v>
      </c>
      <c r="U577" s="1487">
        <f t="shared" si="1250"/>
        <v>0</v>
      </c>
      <c r="V577" s="1487"/>
      <c r="W577" s="1487">
        <f t="shared" si="1250"/>
        <v>0</v>
      </c>
      <c r="X577" s="1487"/>
      <c r="Y577" s="1487">
        <f t="shared" si="1250"/>
        <v>0</v>
      </c>
      <c r="Z577" s="1487">
        <f t="shared" si="1250"/>
        <v>0</v>
      </c>
      <c r="AA577" s="1487"/>
      <c r="AB577" s="1487">
        <f t="shared" si="1250"/>
        <v>0</v>
      </c>
      <c r="AC577" s="1487"/>
      <c r="AD577" s="1487">
        <f t="shared" si="1250"/>
        <v>0</v>
      </c>
      <c r="AE577" s="1487">
        <f>SUM(AE574:AE576)</f>
        <v>0</v>
      </c>
      <c r="AF577" s="1487"/>
      <c r="AG577" s="1487">
        <f>SUM(AG574:AG576)</f>
        <v>0</v>
      </c>
      <c r="AH577" s="1487"/>
      <c r="AI577" s="1487">
        <f t="shared" ref="AI577:AO577" si="1251">SUM(AI574:AI576)</f>
        <v>0</v>
      </c>
      <c r="AJ577" s="1487">
        <f t="shared" si="1251"/>
        <v>0</v>
      </c>
      <c r="AK577" s="1487">
        <f t="shared" si="1251"/>
        <v>0</v>
      </c>
      <c r="AL577" s="1487">
        <f t="shared" si="1251"/>
        <v>0</v>
      </c>
      <c r="AM577" s="1487">
        <f t="shared" si="1251"/>
        <v>0</v>
      </c>
      <c r="AN577" s="1487">
        <f t="shared" si="1251"/>
        <v>0</v>
      </c>
      <c r="AO577" s="1487">
        <f t="shared" si="1251"/>
        <v>0</v>
      </c>
      <c r="AP577" s="1487"/>
      <c r="AQ577" s="1487">
        <f>SUM(AQ574:AQ576)</f>
        <v>0</v>
      </c>
      <c r="AR577" s="1487"/>
      <c r="AS577" s="1487">
        <f>SUM(AS574:AS576)</f>
        <v>0</v>
      </c>
      <c r="AT577" s="1487">
        <f>SUM(AT574:AT576)</f>
        <v>0</v>
      </c>
      <c r="AU577" s="1487"/>
      <c r="AV577" s="1487">
        <f>SUM(AV574:AV576)</f>
        <v>0</v>
      </c>
      <c r="AW577" s="1487"/>
      <c r="AX577" s="1487">
        <f>SUM(AX574:AX576)</f>
        <v>0</v>
      </c>
      <c r="AY577" s="1487">
        <f>SUM(AY574:AY576)</f>
        <v>0</v>
      </c>
      <c r="AZ577" s="1487"/>
      <c r="BA577" s="1487">
        <f>SUM(BA574:BA576)</f>
        <v>0</v>
      </c>
      <c r="BB577" s="1487"/>
      <c r="BC577" s="1487">
        <f>SUM(BC574:BC576)</f>
        <v>0</v>
      </c>
      <c r="BD577" s="1487">
        <f>SUM(BD574:BD576)</f>
        <v>0</v>
      </c>
      <c r="BE577" s="1487"/>
      <c r="BF577" s="1487">
        <f>SUM(BF574:BF576)</f>
        <v>0</v>
      </c>
      <c r="BG577" s="1487"/>
      <c r="BH577" s="1487">
        <f>SUM(BH574:BH576)</f>
        <v>0</v>
      </c>
      <c r="BI577" s="1487">
        <f>SUM(BI574:BI576)</f>
        <v>0</v>
      </c>
      <c r="BJ577" s="1487"/>
      <c r="BK577" s="1487">
        <f>SUM(BK574:BK576)</f>
        <v>0</v>
      </c>
      <c r="BL577" s="1487"/>
      <c r="BM577" s="1487">
        <f t="shared" ref="BM577:BV577" si="1252">SUM(BM574:BM576)</f>
        <v>0</v>
      </c>
      <c r="BN577" s="1487">
        <f t="shared" si="1252"/>
        <v>0</v>
      </c>
      <c r="BO577" s="1487">
        <f t="shared" si="1252"/>
        <v>0</v>
      </c>
      <c r="BP577" s="1487">
        <f t="shared" si="1252"/>
        <v>0</v>
      </c>
      <c r="BQ577" s="1487">
        <f t="shared" si="1252"/>
        <v>0</v>
      </c>
      <c r="BR577" s="1487">
        <f t="shared" si="1252"/>
        <v>0</v>
      </c>
      <c r="BS577" s="1487">
        <f t="shared" si="1252"/>
        <v>0</v>
      </c>
      <c r="BT577" s="1487">
        <f t="shared" si="1252"/>
        <v>0</v>
      </c>
      <c r="BU577" s="1487">
        <f t="shared" si="1252"/>
        <v>0</v>
      </c>
      <c r="BV577" s="1487">
        <f t="shared" si="1252"/>
        <v>0</v>
      </c>
      <c r="BW577" s="1487">
        <f t="shared" ref="BW577:DQ577" si="1253">SUM(BW574:BW576)</f>
        <v>2700</v>
      </c>
      <c r="BX577" s="1487">
        <f t="shared" si="1253"/>
        <v>2700</v>
      </c>
      <c r="BY577" s="1487">
        <f t="shared" si="1253"/>
        <v>0</v>
      </c>
      <c r="BZ577" s="1487">
        <f t="shared" si="1253"/>
        <v>4432</v>
      </c>
      <c r="CA577" s="1487">
        <f t="shared" si="1253"/>
        <v>4432</v>
      </c>
      <c r="CB577" s="1487">
        <f t="shared" si="1253"/>
        <v>0</v>
      </c>
      <c r="CC577" s="1487">
        <f t="shared" si="1253"/>
        <v>3590</v>
      </c>
      <c r="CD577" s="1487">
        <f t="shared" si="1253"/>
        <v>3590</v>
      </c>
      <c r="CE577" s="1487">
        <f t="shared" si="1253"/>
        <v>0</v>
      </c>
      <c r="CF577" s="1487">
        <f t="shared" si="1253"/>
        <v>3916</v>
      </c>
      <c r="CG577" s="1487">
        <f t="shared" si="1253"/>
        <v>3916</v>
      </c>
      <c r="CH577" s="1487">
        <f t="shared" si="1253"/>
        <v>3372.4589999999998</v>
      </c>
      <c r="CI577" s="1487">
        <f t="shared" si="1253"/>
        <v>3428.2999999999993</v>
      </c>
      <c r="CJ577" s="1487">
        <f t="shared" si="1253"/>
        <v>3428.2999999999993</v>
      </c>
      <c r="CK577" s="1487">
        <f t="shared" si="1253"/>
        <v>3006.8000000000011</v>
      </c>
      <c r="CL577" s="1487">
        <f t="shared" si="1253"/>
        <v>3006.8000000000011</v>
      </c>
      <c r="CM577" s="1487">
        <f t="shared" si="1253"/>
        <v>3006.8000000000011</v>
      </c>
      <c r="CN577" s="1487">
        <f t="shared" si="1253"/>
        <v>3292.6</v>
      </c>
      <c r="CO577" s="1487">
        <f t="shared" si="1253"/>
        <v>3161.9999999999995</v>
      </c>
      <c r="CP577" s="1487">
        <f t="shared" si="1253"/>
        <v>3161.9999999999995</v>
      </c>
      <c r="CQ577" s="1487">
        <f t="shared" si="1253"/>
        <v>2998.1000000000004</v>
      </c>
      <c r="CR577" s="1487">
        <f t="shared" si="1253"/>
        <v>2746.900000000001</v>
      </c>
      <c r="CS577" s="1487">
        <f t="shared" si="1253"/>
        <v>2746.900000000001</v>
      </c>
      <c r="CT577" s="1487">
        <f t="shared" si="1253"/>
        <v>2848.0000000000009</v>
      </c>
      <c r="CU577" s="1487">
        <f t="shared" si="1253"/>
        <v>2567.1999999999998</v>
      </c>
      <c r="CV577" s="1487">
        <f t="shared" si="1253"/>
        <v>2567.1999999999998</v>
      </c>
      <c r="CW577" s="1487">
        <f t="shared" si="1253"/>
        <v>2906.8</v>
      </c>
      <c r="CX577" s="1487">
        <f t="shared" si="1253"/>
        <v>3163.800000000002</v>
      </c>
      <c r="CY577" s="1487">
        <f t="shared" si="1253"/>
        <v>3163.800000000002</v>
      </c>
      <c r="CZ577" s="1487">
        <f t="shared" si="1253"/>
        <v>3842.9999999999995</v>
      </c>
      <c r="DA577" s="1487">
        <f t="shared" si="1253"/>
        <v>4079.8999999999996</v>
      </c>
      <c r="DB577" s="1487">
        <f t="shared" si="1253"/>
        <v>4079.8999999999996</v>
      </c>
      <c r="DC577" s="1487">
        <f t="shared" si="1253"/>
        <v>4852.1000000000013</v>
      </c>
      <c r="DD577" s="1487">
        <f t="shared" si="1253"/>
        <v>5251.3000000000011</v>
      </c>
      <c r="DE577" s="1487">
        <f t="shared" si="1253"/>
        <v>5251.3000000000011</v>
      </c>
      <c r="DF577" s="1487">
        <f t="shared" si="1253"/>
        <v>6079.3999999999987</v>
      </c>
      <c r="DG577" s="1487">
        <f t="shared" si="1253"/>
        <v>6527.5899999999983</v>
      </c>
      <c r="DH577" s="1487">
        <f t="shared" si="1253"/>
        <v>6527.5899999999983</v>
      </c>
      <c r="DI577" s="1487">
        <f t="shared" si="1253"/>
        <v>8154.2999999999965</v>
      </c>
      <c r="DJ577" s="1487">
        <f t="shared" si="1253"/>
        <v>8381.600000000004</v>
      </c>
      <c r="DK577" s="1487">
        <f t="shared" si="1253"/>
        <v>8381.600000000004</v>
      </c>
      <c r="DL577" s="1487">
        <f t="shared" si="1253"/>
        <v>14033.199999999999</v>
      </c>
      <c r="DM577" s="1487">
        <f t="shared" si="1253"/>
        <v>14577.499999999996</v>
      </c>
      <c r="DN577" s="1487">
        <f t="shared" si="1253"/>
        <v>14577.499999999996</v>
      </c>
      <c r="DO577" s="1487">
        <f t="shared" si="1253"/>
        <v>17881.099999999999</v>
      </c>
      <c r="DP577" s="1487">
        <f t="shared" si="1253"/>
        <v>17826</v>
      </c>
      <c r="DQ577" s="1487">
        <f t="shared" si="1253"/>
        <v>17826</v>
      </c>
      <c r="DR577" s="1487">
        <f t="shared" ref="DR577:DZ577" si="1254">SUM(DR574:DR576)</f>
        <v>19162</v>
      </c>
      <c r="DS577" s="1487">
        <f t="shared" si="1254"/>
        <v>19401</v>
      </c>
      <c r="DT577" s="1487">
        <f t="shared" si="1254"/>
        <v>19401</v>
      </c>
      <c r="DU577" s="1487">
        <f t="shared" si="1254"/>
        <v>20546</v>
      </c>
      <c r="DV577" s="1487">
        <f t="shared" si="1254"/>
        <v>21407</v>
      </c>
      <c r="DW577" s="1487">
        <f t="shared" si="1254"/>
        <v>21407</v>
      </c>
      <c r="DX577" s="1487">
        <f t="shared" si="1254"/>
        <v>20460</v>
      </c>
      <c r="DY577" s="1487">
        <f t="shared" si="1254"/>
        <v>20874.248054280935</v>
      </c>
      <c r="DZ577" s="1487">
        <f t="shared" si="1254"/>
        <v>20874.248054280935</v>
      </c>
      <c r="EA577" s="1487">
        <f t="shared" ref="EA577:EF577" si="1255">SUM(EA574:EA576)</f>
        <v>21782.66988722076</v>
      </c>
      <c r="EB577" s="1487">
        <f t="shared" si="1255"/>
        <v>22163.707805623799</v>
      </c>
      <c r="EC577" s="1487">
        <f t="shared" si="1255"/>
        <v>22163.707805623799</v>
      </c>
      <c r="ED577" s="1487">
        <f t="shared" si="1255"/>
        <v>23311.323178033155</v>
      </c>
      <c r="EE577" s="1487">
        <f t="shared" si="1255"/>
        <v>23763.590152667974</v>
      </c>
      <c r="EF577" s="1487">
        <f t="shared" si="1255"/>
        <v>23763.590152667974</v>
      </c>
      <c r="EG577" s="1487">
        <f t="shared" ref="EG577:EL577" si="1256">SUM(EG574:EG576)</f>
        <v>25421.022340701533</v>
      </c>
      <c r="EH577" s="1487">
        <f t="shared" si="1256"/>
        <v>26373.540058329316</v>
      </c>
      <c r="EI577" s="1487">
        <f t="shared" si="1256"/>
        <v>26373.540058329316</v>
      </c>
      <c r="EJ577" s="1487">
        <f t="shared" si="1256"/>
        <v>28160.520038384846</v>
      </c>
      <c r="EK577" s="1487">
        <f t="shared" si="1256"/>
        <v>29255.16890098116</v>
      </c>
      <c r="EL577" s="1487">
        <f t="shared" si="1256"/>
        <v>29255.16890098116</v>
      </c>
      <c r="EM577" s="1487">
        <f t="shared" ref="EM577:ER577" si="1257">SUM(EM574:EM576)</f>
        <v>31201.437135059059</v>
      </c>
      <c r="EN577" s="1487">
        <f t="shared" si="1257"/>
        <v>32418.324790888051</v>
      </c>
      <c r="EO577" s="1487">
        <f t="shared" si="1257"/>
        <v>32418.324790888051</v>
      </c>
      <c r="EP577" s="1487">
        <f t="shared" si="1257"/>
        <v>34516.015077309559</v>
      </c>
      <c r="EQ577" s="1487">
        <f t="shared" si="1257"/>
        <v>35886.502128347413</v>
      </c>
      <c r="ER577" s="1487">
        <f t="shared" si="1257"/>
        <v>35886.502128347413</v>
      </c>
      <c r="ES577" s="1487">
        <f t="shared" ref="ES577:FA577" si="1258">SUM(ES574:ES576)</f>
        <v>38110.837645429303</v>
      </c>
      <c r="ET577" s="1487">
        <f t="shared" si="1258"/>
        <v>39621.202619574702</v>
      </c>
      <c r="EU577" s="1487">
        <f t="shared" si="1258"/>
        <v>39621.202619574702</v>
      </c>
      <c r="EV577" s="1487">
        <f t="shared" si="1258"/>
        <v>41961.155822997534</v>
      </c>
      <c r="EW577" s="1487">
        <f t="shared" si="1258"/>
        <v>43594.704435677289</v>
      </c>
      <c r="EX577" s="1487">
        <f t="shared" si="1258"/>
        <v>43594.704435677289</v>
      </c>
      <c r="EY577" s="1487">
        <f t="shared" si="1258"/>
        <v>46076.283206039647</v>
      </c>
      <c r="EZ577" s="1487">
        <f t="shared" si="1258"/>
        <v>47841.404092383862</v>
      </c>
      <c r="FA577" s="1487">
        <f t="shared" si="1258"/>
        <v>47841.404092383862</v>
      </c>
      <c r="FB577" s="1487"/>
      <c r="FC577" s="1487"/>
      <c r="FD577"/>
      <c r="FE577"/>
      <c r="FF577"/>
      <c r="FG577"/>
      <c r="FH577"/>
      <c r="FI577"/>
    </row>
    <row r="578" spans="1:165" s="33" customFormat="1">
      <c r="E578" s="1347"/>
      <c r="F578" s="1347"/>
      <c r="G578" s="1347"/>
      <c r="H578" s="1347"/>
      <c r="I578" s="1347"/>
      <c r="J578" s="1347"/>
      <c r="K578" s="1347"/>
      <c r="L578" s="1347"/>
      <c r="M578" s="1347"/>
      <c r="N578" s="1347"/>
      <c r="O578" s="1347"/>
      <c r="P578" s="1347"/>
      <c r="Q578" s="1347"/>
      <c r="R578" s="1347"/>
      <c r="S578" s="1347"/>
      <c r="T578" s="1347"/>
      <c r="U578" s="1347"/>
      <c r="V578" s="1347"/>
      <c r="W578" s="1347"/>
      <c r="X578" s="1347"/>
      <c r="Y578" s="1347"/>
      <c r="Z578" s="1347"/>
      <c r="AA578" s="1347"/>
      <c r="AB578" s="1347"/>
      <c r="AC578" s="1347"/>
      <c r="AD578" s="1347"/>
      <c r="AE578" s="1347"/>
      <c r="AF578" s="1347"/>
      <c r="AG578" s="1347"/>
      <c r="AH578" s="1347"/>
      <c r="AI578" s="1347"/>
      <c r="AJ578" s="1347"/>
      <c r="AK578" s="1347"/>
      <c r="AL578" s="1347"/>
      <c r="AM578" s="1347"/>
      <c r="AN578" s="1347"/>
      <c r="AO578" s="1347"/>
      <c r="AP578" s="1347"/>
      <c r="AQ578" s="1347"/>
      <c r="AR578" s="1347"/>
      <c r="AS578" s="1347"/>
      <c r="AT578" s="1347"/>
      <c r="AU578" s="1347"/>
      <c r="AV578" s="1347"/>
      <c r="AW578" s="1347"/>
      <c r="AX578" s="1347"/>
      <c r="AY578" s="1347"/>
      <c r="AZ578" s="1347"/>
      <c r="BA578" s="1347"/>
      <c r="BB578" s="1347"/>
      <c r="BC578" s="1347"/>
      <c r="BD578" s="1347"/>
      <c r="BE578" s="1347"/>
      <c r="BF578" s="1347"/>
      <c r="BG578" s="1347"/>
      <c r="BH578" s="1347"/>
      <c r="BI578" s="1347"/>
      <c r="BJ578" s="1347"/>
      <c r="BK578" s="1347"/>
      <c r="BL578" s="1347"/>
      <c r="BM578" s="1347"/>
      <c r="BN578" s="1347"/>
      <c r="BO578" s="1347"/>
      <c r="BP578" s="1347"/>
      <c r="BQ578" s="1347"/>
      <c r="BR578" s="1347"/>
      <c r="BS578" s="1347"/>
      <c r="BT578" s="1347"/>
      <c r="BU578" s="1347"/>
      <c r="BV578" s="1347"/>
      <c r="BW578" s="1347"/>
      <c r="BX578" s="1347"/>
      <c r="BY578" s="1347"/>
      <c r="BZ578" s="1347"/>
      <c r="CA578" s="1347"/>
      <c r="CB578" s="1347"/>
      <c r="CC578" s="1347"/>
      <c r="CD578" s="1347"/>
      <c r="CE578" s="1347"/>
      <c r="CF578" s="1347"/>
      <c r="CG578" s="1347"/>
      <c r="CH578" s="1347"/>
      <c r="CI578" s="1347"/>
      <c r="CJ578" s="1347"/>
      <c r="CK578" s="1347"/>
      <c r="CL578" s="1347"/>
      <c r="CM578" s="1347"/>
      <c r="CN578" s="1347"/>
      <c r="CO578" s="1347"/>
      <c r="CP578" s="1347"/>
      <c r="CQ578" s="1347"/>
      <c r="CR578" s="1347"/>
      <c r="CS578" s="1347"/>
      <c r="CT578" s="1347"/>
      <c r="CU578" s="1347"/>
      <c r="CV578" s="1347"/>
      <c r="CW578" s="1347"/>
      <c r="CX578" s="1347"/>
      <c r="CY578" s="1347"/>
      <c r="CZ578" s="1347"/>
      <c r="DA578" s="1347"/>
      <c r="DB578" s="1347"/>
      <c r="DC578" s="1347"/>
      <c r="DD578" s="1347"/>
      <c r="DE578" s="1347"/>
      <c r="DF578" s="1347"/>
      <c r="DG578" s="1347"/>
      <c r="DH578" s="1347"/>
      <c r="DI578" s="1347"/>
      <c r="DJ578" s="1347"/>
      <c r="DK578" s="1347"/>
      <c r="DL578" s="1347"/>
      <c r="DM578" s="1347"/>
      <c r="DN578" s="1347"/>
      <c r="DO578" s="1347"/>
      <c r="DP578" s="1347"/>
      <c r="DQ578" s="1347"/>
      <c r="DR578" s="1347"/>
      <c r="DS578" s="1347"/>
      <c r="DT578" s="1347"/>
      <c r="DU578" s="1347"/>
      <c r="DV578" s="1347"/>
      <c r="DW578" s="1347"/>
      <c r="DX578" s="1347"/>
      <c r="DY578" s="1347"/>
      <c r="DZ578" s="1347"/>
      <c r="EA578" s="1347"/>
      <c r="EB578" s="1347"/>
      <c r="EC578" s="1347"/>
      <c r="ED578" s="1347"/>
      <c r="EE578" s="1347"/>
      <c r="EF578" s="1347"/>
      <c r="EG578" s="1347"/>
      <c r="EH578" s="1347"/>
      <c r="EI578" s="1347"/>
      <c r="EJ578" s="1347"/>
      <c r="EK578" s="1347"/>
      <c r="EL578" s="1347"/>
      <c r="EM578" s="1347"/>
      <c r="EN578" s="1347"/>
      <c r="EO578" s="1347"/>
      <c r="EP578" s="1347"/>
      <c r="EQ578" s="1347"/>
      <c r="ER578" s="1347"/>
      <c r="ES578" s="1347"/>
      <c r="ET578" s="1347"/>
      <c r="EU578" s="1347"/>
      <c r="EV578" s="1347"/>
      <c r="EW578" s="1347"/>
      <c r="EX578" s="1347"/>
      <c r="EY578" s="1347"/>
      <c r="EZ578" s="1347"/>
      <c r="FA578" s="1347"/>
      <c r="FB578" s="1347"/>
      <c r="FC578" s="1347"/>
      <c r="FD578"/>
      <c r="FE578"/>
      <c r="FF578"/>
      <c r="FG578"/>
      <c r="FH578"/>
      <c r="FI578"/>
    </row>
    <row r="579" spans="1:165" s="33" customFormat="1">
      <c r="B579" s="33" t="s">
        <v>745</v>
      </c>
      <c r="E579" s="418"/>
      <c r="F579" s="418"/>
      <c r="G579" s="418"/>
      <c r="H579" s="418"/>
      <c r="I579" s="418"/>
      <c r="J579" s="418"/>
      <c r="K579" s="418"/>
      <c r="L579" s="418"/>
      <c r="M579" s="418"/>
      <c r="N579" s="418"/>
      <c r="O579" s="418"/>
      <c r="P579" s="418"/>
      <c r="Q579" s="418"/>
      <c r="R579" s="418"/>
      <c r="S579" s="418"/>
      <c r="T579" s="418"/>
      <c r="U579" s="418"/>
      <c r="V579" s="418"/>
      <c r="W579" s="418"/>
      <c r="X579" s="418"/>
      <c r="Y579" s="418"/>
      <c r="Z579" s="418"/>
      <c r="AA579" s="418"/>
      <c r="AB579" s="418"/>
      <c r="AC579" s="418"/>
      <c r="AD579" s="418"/>
      <c r="AE579" s="418"/>
      <c r="AF579" s="418"/>
      <c r="AG579" s="418"/>
      <c r="AH579" s="418"/>
      <c r="AI579" s="418"/>
      <c r="AJ579" s="418"/>
      <c r="AK579" s="418"/>
      <c r="AL579" s="418"/>
      <c r="AM579" s="418"/>
      <c r="AN579" s="418"/>
      <c r="AO579" s="418"/>
      <c r="AP579" s="418"/>
      <c r="AQ579" s="418"/>
      <c r="AR579" s="418"/>
      <c r="AS579" s="418"/>
      <c r="AT579" s="418"/>
      <c r="AU579" s="418"/>
      <c r="AV579" s="418"/>
      <c r="AW579" s="418"/>
      <c r="AX579" s="418"/>
      <c r="AY579" s="418"/>
      <c r="AZ579" s="418"/>
      <c r="BA579" s="418"/>
      <c r="BB579" s="418"/>
      <c r="BC579" s="418"/>
      <c r="BD579" s="418"/>
      <c r="BE579" s="418"/>
      <c r="BF579" s="418"/>
      <c r="BG579" s="418"/>
      <c r="BH579" s="418"/>
      <c r="BI579" s="418"/>
      <c r="BJ579" s="418"/>
      <c r="BK579" s="418"/>
      <c r="BL579" s="418"/>
      <c r="BM579" s="418"/>
      <c r="BN579" s="418"/>
      <c r="BO579" s="418"/>
      <c r="BP579" s="418"/>
      <c r="BQ579" s="418"/>
      <c r="BR579" s="418"/>
      <c r="BS579" s="418"/>
      <c r="BT579" s="418"/>
      <c r="BU579" s="418"/>
      <c r="BV579" s="418"/>
      <c r="BW579" s="418">
        <f>BW557/BW574</f>
        <v>0.13089865407186779</v>
      </c>
      <c r="BX579" s="418">
        <f>BX557/BX574</f>
        <v>0.25547693373236313</v>
      </c>
      <c r="BY579" s="418"/>
      <c r="BZ579" s="418">
        <f>BZ557/BZ574</f>
        <v>0.18592618251399234</v>
      </c>
      <c r="CA579" s="418">
        <f>CA557/CA574</f>
        <v>0.35501663543397527</v>
      </c>
      <c r="CB579" s="418"/>
      <c r="CC579" s="418">
        <f t="shared" ref="CC579:DT579" si="1259">CC557/CC574</f>
        <v>0.14109262551848881</v>
      </c>
      <c r="CD579" s="418">
        <f t="shared" si="1259"/>
        <v>0.33831751405623478</v>
      </c>
      <c r="CE579" s="418"/>
      <c r="CF579" s="418">
        <f t="shared" si="1259"/>
        <v>0.11703524834253629</v>
      </c>
      <c r="CG579" s="418">
        <f t="shared" si="1259"/>
        <v>0.24822634177463634</v>
      </c>
      <c r="CH579" s="418">
        <f t="shared" si="1259"/>
        <v>0.14442456091149672</v>
      </c>
      <c r="CI579" s="418">
        <f t="shared" si="1259"/>
        <v>0.14599178534705162</v>
      </c>
      <c r="CJ579" s="418">
        <f t="shared" si="1259"/>
        <v>0.29249451616261102</v>
      </c>
      <c r="CK579" s="418">
        <f t="shared" si="1259"/>
        <v>0.165576234782845</v>
      </c>
      <c r="CL579" s="418">
        <f t="shared" si="1259"/>
        <v>0.15619228335641022</v>
      </c>
      <c r="CM579" s="418">
        <f t="shared" si="1259"/>
        <v>0.32180658491753938</v>
      </c>
      <c r="CN579" s="418">
        <f t="shared" si="1259"/>
        <v>0.15334323870434022</v>
      </c>
      <c r="CO579" s="418">
        <f t="shared" si="1259"/>
        <v>0.15527201571216603</v>
      </c>
      <c r="CP579" s="418">
        <f t="shared" si="1259"/>
        <v>0.30677899766485778</v>
      </c>
      <c r="CQ579" s="418">
        <f t="shared" si="1259"/>
        <v>0.16911239041605503</v>
      </c>
      <c r="CR579" s="418">
        <f t="shared" si="1259"/>
        <v>0.16546737170322001</v>
      </c>
      <c r="CS579" s="418">
        <f t="shared" si="1259"/>
        <v>0.32688642732942552</v>
      </c>
      <c r="CT579" s="418">
        <f t="shared" si="1259"/>
        <v>0.13302319230251369</v>
      </c>
      <c r="CU579" s="418">
        <f t="shared" si="1259"/>
        <v>0.11492545410338509</v>
      </c>
      <c r="CV579" s="418">
        <f t="shared" si="1259"/>
        <v>0.23955231406727107</v>
      </c>
      <c r="CW579" s="418">
        <f t="shared" si="1259"/>
        <v>0.15580576842069258</v>
      </c>
      <c r="CX579" s="418">
        <f t="shared" si="1259"/>
        <v>9.7741695775655224E-2</v>
      </c>
      <c r="CY579" s="418">
        <f t="shared" si="1259"/>
        <v>0.23501765124349186</v>
      </c>
      <c r="CZ579" s="418">
        <f t="shared" si="1259"/>
        <v>0.15475953041143872</v>
      </c>
      <c r="DA579" s="418">
        <f t="shared" si="1259"/>
        <v>9.2698239816111944E-2</v>
      </c>
      <c r="DB579" s="418">
        <f t="shared" si="1259"/>
        <v>0.2433257474828214</v>
      </c>
      <c r="DC579" s="418">
        <f t="shared" si="1259"/>
        <v>0.14380595333037025</v>
      </c>
      <c r="DD579" s="418">
        <f t="shared" si="1259"/>
        <v>9.5567962801029305E-2</v>
      </c>
      <c r="DE579" s="418">
        <f t="shared" si="1259"/>
        <v>0.23276128454780409</v>
      </c>
      <c r="DF579" s="418">
        <f t="shared" si="1259"/>
        <v>0.1216857320824368</v>
      </c>
      <c r="DG579" s="418">
        <f t="shared" si="1259"/>
        <v>8.4087064774420184E-2</v>
      </c>
      <c r="DH579" s="418">
        <f t="shared" si="1259"/>
        <v>0.20241435446009309</v>
      </c>
      <c r="DI579" s="418">
        <f t="shared" si="1259"/>
        <v>0.16395178367325028</v>
      </c>
      <c r="DJ579" s="418">
        <f t="shared" si="1259"/>
        <v>5.4657903830888643E-2</v>
      </c>
      <c r="DK579" s="418">
        <f t="shared" si="1259"/>
        <v>0.21170439076334532</v>
      </c>
      <c r="DL579" s="418">
        <f t="shared" si="1259"/>
        <v>0.14185118130054516</v>
      </c>
      <c r="DM579" s="418">
        <f t="shared" si="1259"/>
        <v>5.1727056065214841E-2</v>
      </c>
      <c r="DN579" s="418">
        <f t="shared" si="1259"/>
        <v>0.18823291172303999</v>
      </c>
      <c r="DO579" s="418">
        <f t="shared" si="1259"/>
        <v>9.5284329666781638E-4</v>
      </c>
      <c r="DP579" s="418">
        <f t="shared" si="1259"/>
        <v>3.1201806404183723E-2</v>
      </c>
      <c r="DQ579" s="418">
        <f t="shared" si="1259"/>
        <v>-6.9070019490903661E-2</v>
      </c>
      <c r="DR579" s="418">
        <f t="shared" si="1259"/>
        <v>4.1278418853464234E-2</v>
      </c>
      <c r="DS579" s="418">
        <f t="shared" si="1259"/>
        <v>-9.6887173106673455E-3</v>
      </c>
      <c r="DT579" s="418">
        <f t="shared" si="1259"/>
        <v>-5.372778952898865E-2</v>
      </c>
      <c r="DU579" s="418">
        <f t="shared" ref="DU579:DZ579" si="1260">DU557/DU574</f>
        <v>3.3871398587313813E-2</v>
      </c>
      <c r="DV579" s="418">
        <f t="shared" si="1260"/>
        <v>-2.9770095574220095E-2</v>
      </c>
      <c r="DW579" s="418">
        <f t="shared" si="1260"/>
        <v>-0.11415921589149348</v>
      </c>
      <c r="DX579" s="418">
        <f t="shared" si="1260"/>
        <v>8.6811588772319566E-4</v>
      </c>
      <c r="DY579" s="418">
        <f t="shared" si="1260"/>
        <v>-9.512692241967647E-4</v>
      </c>
      <c r="DZ579" s="418">
        <f t="shared" si="1260"/>
        <v>-0.13467908291705324</v>
      </c>
      <c r="EA579" s="418">
        <f t="shared" ref="EA579:EF579" si="1261">EA557/EA574</f>
        <v>1.4013435573699901E-2</v>
      </c>
      <c r="EB579" s="418">
        <f t="shared" si="1261"/>
        <v>3.0380555877845441E-3</v>
      </c>
      <c r="EC579" s="418">
        <f t="shared" si="1261"/>
        <v>-0.10319452495688525</v>
      </c>
      <c r="ED579" s="418">
        <f t="shared" si="1261"/>
        <v>6.9839912641909791E-3</v>
      </c>
      <c r="EE579" s="418">
        <f t="shared" si="1261"/>
        <v>-1.0071754886694524E-2</v>
      </c>
      <c r="EF579" s="418">
        <f t="shared" si="1261"/>
        <v>-0.1492191354593328</v>
      </c>
      <c r="EG579" s="418">
        <f t="shared" ref="EG579:EL579" si="1262">EG557/EG574</f>
        <v>-7.7890622706587613E-3</v>
      </c>
      <c r="EH579" s="418">
        <f t="shared" si="1262"/>
        <v>-3.0426447123750304E-2</v>
      </c>
      <c r="EI579" s="418">
        <f t="shared" si="1262"/>
        <v>-0.22679030015629917</v>
      </c>
      <c r="EJ579" s="418">
        <f t="shared" si="1262"/>
        <v>-5.7140039987383977E-2</v>
      </c>
      <c r="EK579" s="418">
        <f t="shared" si="1262"/>
        <v>-7.7348944288903487E-2</v>
      </c>
      <c r="EL579" s="418">
        <f t="shared" si="1262"/>
        <v>-0.42665949309053286</v>
      </c>
      <c r="EM579" s="418">
        <f t="shared" ref="EM579:ER579" si="1263">EM557/EM574</f>
        <v>-0.12158067216658368</v>
      </c>
      <c r="EN579" s="418">
        <f t="shared" si="1263"/>
        <v>-0.14080821909934985</v>
      </c>
      <c r="EO579" s="418">
        <f t="shared" si="1263"/>
        <v>-0.69140576259695652</v>
      </c>
      <c r="EP579" s="418">
        <f t="shared" si="1263"/>
        <v>-0.20867297101567561</v>
      </c>
      <c r="EQ579" s="418">
        <f t="shared" si="1263"/>
        <v>-0.2197722697358663</v>
      </c>
      <c r="ER579" s="418">
        <f t="shared" si="1263"/>
        <v>-1.0304101292912278</v>
      </c>
      <c r="ES579" s="418">
        <f t="shared" ref="ES579:FA579" si="1264">ES557/ES574</f>
        <v>-0.30851886558906311</v>
      </c>
      <c r="ET579" s="418">
        <f t="shared" si="1264"/>
        <v>-0.3094400779896696</v>
      </c>
      <c r="EU579" s="418">
        <f t="shared" si="1264"/>
        <v>-1.4138722207342753</v>
      </c>
      <c r="EV579" s="418">
        <f t="shared" si="1264"/>
        <v>-0.42010570699917088</v>
      </c>
      <c r="EW579" s="418">
        <f t="shared" si="1264"/>
        <v>-0.40909844647920607</v>
      </c>
      <c r="EX579" s="418">
        <f t="shared" si="1264"/>
        <v>-1.8379281323953347</v>
      </c>
      <c r="EY579" s="418">
        <f t="shared" si="1264"/>
        <v>-0.54165804376947657</v>
      </c>
      <c r="EZ579" s="418">
        <f t="shared" si="1264"/>
        <v>-0.51749365638896838</v>
      </c>
      <c r="FA579" s="418">
        <f t="shared" si="1264"/>
        <v>-2.2983829986188797</v>
      </c>
      <c r="FB579" s="418"/>
      <c r="FC579" s="418"/>
      <c r="FD579"/>
      <c r="FE579"/>
      <c r="FF579"/>
      <c r="FG579"/>
      <c r="FH579"/>
      <c r="FI579"/>
    </row>
    <row r="580" spans="1:165" s="33" customFormat="1">
      <c r="B580" s="33" t="s">
        <v>766</v>
      </c>
      <c r="E580" s="1021"/>
      <c r="F580" s="1021"/>
      <c r="G580" s="1022"/>
      <c r="H580" s="69"/>
      <c r="I580" s="69"/>
      <c r="J580" s="69"/>
      <c r="K580" s="1705"/>
      <c r="L580" s="69"/>
      <c r="M580" s="1705"/>
      <c r="N580" s="69"/>
      <c r="O580" s="1705"/>
      <c r="P580" s="1705"/>
      <c r="Q580" s="69"/>
      <c r="R580" s="1705"/>
      <c r="S580" s="69"/>
      <c r="T580" s="1705"/>
      <c r="U580" s="1705"/>
      <c r="V580" s="69"/>
      <c r="W580" s="1705"/>
      <c r="X580" s="69"/>
      <c r="Y580" s="1705"/>
      <c r="Z580" s="1705"/>
      <c r="AA580" s="69"/>
      <c r="AB580" s="1705"/>
      <c r="AC580" s="69"/>
      <c r="AD580" s="1705"/>
      <c r="AE580" s="1705"/>
      <c r="AF580" s="69"/>
      <c r="AG580" s="1705"/>
      <c r="AH580" s="69"/>
      <c r="AI580" s="1705"/>
      <c r="AJ580" s="1705"/>
      <c r="AK580" s="1705"/>
      <c r="AL580" s="1705"/>
      <c r="AM580" s="1705"/>
      <c r="AN580" s="1705"/>
      <c r="AO580" s="1705"/>
      <c r="AP580" s="69"/>
      <c r="AQ580" s="1705"/>
      <c r="AR580" s="69"/>
      <c r="AS580" s="1705"/>
      <c r="AT580" s="1705"/>
      <c r="AU580" s="69"/>
      <c r="AV580" s="1705"/>
      <c r="AW580" s="69"/>
      <c r="AX580" s="1705"/>
      <c r="AY580" s="1705"/>
      <c r="AZ580" s="69"/>
      <c r="BA580" s="69"/>
      <c r="BB580" s="69"/>
      <c r="BC580" s="69"/>
      <c r="BD580" s="69"/>
      <c r="BE580" s="69"/>
      <c r="BF580" s="69"/>
      <c r="BG580" s="69"/>
      <c r="BH580" s="69"/>
      <c r="BI580" s="69"/>
      <c r="BJ580" s="69"/>
      <c r="BK580" s="69"/>
      <c r="BL580" s="69"/>
      <c r="BM580" s="69"/>
      <c r="BN580" s="1705"/>
      <c r="BO580" s="69"/>
      <c r="BP580" s="69"/>
      <c r="BQ580" s="69"/>
      <c r="BR580" s="69"/>
      <c r="BS580" s="69"/>
      <c r="BT580" s="69"/>
      <c r="BU580" s="69"/>
      <c r="BV580" s="69"/>
      <c r="BW580" s="69">
        <v>103.67636599404304</v>
      </c>
      <c r="BX580" s="69">
        <v>440.03772107738047</v>
      </c>
      <c r="BY580" s="69"/>
      <c r="BZ580" s="69">
        <v>414.06484090201405</v>
      </c>
      <c r="CA580" s="69">
        <v>1163.4737282433784</v>
      </c>
      <c r="CB580" s="69"/>
      <c r="CC580" s="69">
        <v>174.44752561137483</v>
      </c>
      <c r="CD580" s="69">
        <v>882.48487546188289</v>
      </c>
      <c r="CE580" s="69"/>
      <c r="CF580" s="69">
        <v>96.080032509372103</v>
      </c>
      <c r="CG580" s="69">
        <v>609.82435438947596</v>
      </c>
      <c r="CH580" s="69">
        <v>175.11345276702531</v>
      </c>
      <c r="CI580" s="69">
        <v>183.38588770529705</v>
      </c>
      <c r="CJ580" s="69">
        <v>685.64119976027916</v>
      </c>
      <c r="CK580" s="69">
        <v>219.72562274505842</v>
      </c>
      <c r="CL580" s="69">
        <v>191.50995759605433</v>
      </c>
      <c r="CM580" s="69">
        <v>689.47903953005766</v>
      </c>
      <c r="CN580" s="69">
        <v>200.33244775791059</v>
      </c>
      <c r="CO580" s="69">
        <v>198.48511368186897</v>
      </c>
      <c r="CP580" s="69">
        <v>677.55019061628025</v>
      </c>
      <c r="CQ580" s="69">
        <v>229.69160770637461</v>
      </c>
      <c r="CR580" s="69">
        <v>200.43407333157512</v>
      </c>
      <c r="CS580" s="69">
        <v>643.83607723119917</v>
      </c>
      <c r="CT580" s="69">
        <v>115.41005167755904</v>
      </c>
      <c r="CU580" s="69">
        <v>57.5706257742102</v>
      </c>
      <c r="CV580" s="69">
        <v>377.51270067349827</v>
      </c>
      <c r="CW580" s="69">
        <v>184.0172076452692</v>
      </c>
      <c r="CX580" s="69">
        <v>16.583677095018011</v>
      </c>
      <c r="CY580" s="69">
        <v>450.89734500415983</v>
      </c>
      <c r="CZ580" s="69">
        <v>239.26337537115899</v>
      </c>
      <c r="DA580" s="69">
        <v>0.80879862575512329</v>
      </c>
      <c r="DB580" s="69">
        <v>615.35396715516299</v>
      </c>
      <c r="DC580" s="69">
        <v>248.94161615428953</v>
      </c>
      <c r="DD580" s="69">
        <v>16.110793057045196</v>
      </c>
      <c r="DE580" s="69">
        <v>736.55408354588383</v>
      </c>
      <c r="DF580" s="69">
        <v>177.43173962196624</v>
      </c>
      <c r="DG580" s="69">
        <v>-54.916191849142528</v>
      </c>
      <c r="DH580" s="69">
        <v>717.4758410301589</v>
      </c>
      <c r="DI580" s="69">
        <v>582.6392796067845</v>
      </c>
      <c r="DJ580" s="69">
        <v>-317.17731325102386</v>
      </c>
      <c r="DK580" s="69">
        <v>999.1235216220557</v>
      </c>
      <c r="DL580" s="69">
        <v>692.55499742681036</v>
      </c>
      <c r="DM580" s="69">
        <v>-594.3675902093305</v>
      </c>
      <c r="DN580" s="69">
        <v>1395.5465206426152</v>
      </c>
      <c r="DO580" s="69">
        <v>-1636.9638637279531</v>
      </c>
      <c r="DP580" s="69">
        <v>-1092.7015990390209</v>
      </c>
      <c r="DQ580" s="69">
        <v>-2880.1471674448485</v>
      </c>
      <c r="DR580" s="69">
        <v>-981.50793792991828</v>
      </c>
      <c r="DS580" s="69">
        <v>-1982.5633045442571</v>
      </c>
      <c r="DT580" s="69">
        <v>-2836.9653446519087</v>
      </c>
      <c r="DU580" s="69">
        <v>-1204.5832446250504</v>
      </c>
      <c r="DV580" s="69">
        <v>-2617.4359359573295</v>
      </c>
      <c r="DW580" s="69">
        <v>-4423.9538345892015</v>
      </c>
      <c r="DX580" s="69">
        <v>-1874.7883489371836</v>
      </c>
      <c r="DY580" s="69">
        <v>-1950.7249747732731</v>
      </c>
      <c r="DZ580" s="69">
        <v>-4742.1925295546262</v>
      </c>
      <c r="EA580" s="69">
        <v>-1709.6469234801793</v>
      </c>
      <c r="EB580" s="69">
        <v>-1982.8083956753021</v>
      </c>
      <c r="EC580" s="69">
        <v>-4337.3162703047592</v>
      </c>
      <c r="ED580" s="69">
        <v>-1993.4913165359505</v>
      </c>
      <c r="EE580" s="69">
        <v>-2437.4731443673272</v>
      </c>
      <c r="EF580" s="69">
        <v>-5744.1144671128168</v>
      </c>
      <c r="EG580" s="69">
        <v>-2549.4504925104234</v>
      </c>
      <c r="EH580" s="69">
        <v>-3242.0055774463294</v>
      </c>
      <c r="EI580" s="69">
        <v>-8420.8155214081471</v>
      </c>
      <c r="EJ580" s="69">
        <v>-4213.9413446094359</v>
      </c>
      <c r="EK580" s="69">
        <v>-4968.9595528252112</v>
      </c>
      <c r="EL580" s="69">
        <v>-15188.098656911301</v>
      </c>
      <c r="EM580" s="69">
        <v>-6679.6246344368474</v>
      </c>
      <c r="EN580" s="69">
        <v>-7563.4616231463942</v>
      </c>
      <c r="EO580" s="69">
        <v>-25412.91161731692</v>
      </c>
      <c r="EP580" s="69">
        <v>-10395.290808455175</v>
      </c>
      <c r="EQ580" s="69">
        <v>-11206.359472500044</v>
      </c>
      <c r="ER580" s="69">
        <v>-40297.316744752512</v>
      </c>
      <c r="ES580" s="69">
        <v>-15283.164879219019</v>
      </c>
      <c r="ET580" s="69">
        <v>-15925.349270956356</v>
      </c>
      <c r="EU580" s="69">
        <v>-59684.278978211434</v>
      </c>
      <c r="EV580" s="69">
        <v>-21509.527947150025</v>
      </c>
      <c r="EW580" s="69">
        <v>-21867.036019655879</v>
      </c>
      <c r="EX580" s="69">
        <v>-84156.443866091126</v>
      </c>
      <c r="EY580" s="69">
        <v>-29219.645622110489</v>
      </c>
      <c r="EZ580" s="69">
        <v>-29182.953009095389</v>
      </c>
      <c r="FA580" s="69">
        <v>-114383.19967453627</v>
      </c>
      <c r="FB580" s="69"/>
      <c r="FC580" s="69"/>
      <c r="FD580"/>
      <c r="FE580"/>
      <c r="FF580"/>
      <c r="FG580"/>
      <c r="FH580"/>
      <c r="FI580"/>
    </row>
    <row r="581" spans="1:165" s="33" customFormat="1">
      <c r="E581" s="34"/>
      <c r="F581" s="34"/>
      <c r="G581" s="35"/>
      <c r="H581" s="34"/>
      <c r="I581" s="34"/>
      <c r="J581" s="35"/>
      <c r="K581" s="34"/>
      <c r="L581" s="34"/>
      <c r="M581" s="35"/>
      <c r="N581" s="34"/>
      <c r="O581" s="34"/>
      <c r="P581" s="35"/>
      <c r="Q581" s="36"/>
      <c r="R581" s="36"/>
      <c r="S581" s="70"/>
      <c r="T581" s="36"/>
      <c r="U581" s="36"/>
      <c r="V581" s="1022"/>
      <c r="W581" s="1021"/>
      <c r="X581" s="1021"/>
      <c r="Y581" s="1022"/>
      <c r="Z581" s="1021"/>
      <c r="AA581" s="1021"/>
      <c r="AB581" s="1022"/>
      <c r="AC581" s="1021"/>
      <c r="AD581" s="1021"/>
      <c r="AE581" s="1022"/>
      <c r="AF581" s="1021"/>
      <c r="AG581" s="1021"/>
      <c r="AH581" s="1022"/>
      <c r="AI581" s="1021"/>
      <c r="AJ581" s="1021"/>
      <c r="AK581" s="1022"/>
      <c r="AL581" s="1021"/>
      <c r="AM581" s="1021"/>
      <c r="AN581" s="1022"/>
      <c r="AO581" s="1021"/>
      <c r="AP581" s="1021"/>
      <c r="AQ581" s="1022"/>
      <c r="AR581" s="1021"/>
      <c r="AS581" s="1021"/>
      <c r="AT581" s="1022"/>
      <c r="AU581" s="34"/>
      <c r="AV581" s="34"/>
      <c r="AW581" s="35"/>
      <c r="AX581" s="34"/>
      <c r="AY581" s="34"/>
      <c r="AZ581" s="35"/>
      <c r="BA581" s="34"/>
      <c r="BB581" s="34"/>
      <c r="BC581" s="35"/>
      <c r="BD581" s="34"/>
      <c r="BE581" s="34"/>
      <c r="BF581" s="35"/>
      <c r="BG581" s="34"/>
      <c r="BH581" s="34"/>
      <c r="BI581" s="35"/>
      <c r="BJ581" s="1346"/>
      <c r="BK581" s="1346"/>
      <c r="BL581" s="1518"/>
      <c r="BM581" s="34"/>
      <c r="BN581" s="34"/>
      <c r="BO581" s="35"/>
      <c r="BP581" s="34"/>
      <c r="BQ581" s="34"/>
      <c r="BR581" s="35"/>
      <c r="BS581" s="34"/>
      <c r="BT581" s="34"/>
      <c r="BU581" s="35"/>
      <c r="BV581" s="34"/>
      <c r="BW581" s="34"/>
      <c r="BX581" s="1525"/>
      <c r="BY581" s="1525"/>
      <c r="BZ581" s="1525"/>
      <c r="CA581" s="1525"/>
      <c r="CB581" s="1525"/>
      <c r="CC581" s="1525"/>
      <c r="CD581" s="1525"/>
      <c r="CE581" s="1525"/>
      <c r="CF581" s="1525"/>
      <c r="CG581" s="1525"/>
      <c r="CH581" s="1525"/>
      <c r="CI581" s="1525"/>
      <c r="CJ581" s="1525"/>
      <c r="CK581" s="1525"/>
      <c r="CL581" s="1525"/>
      <c r="CM581" s="1525"/>
      <c r="CN581" s="1525"/>
      <c r="CO581" s="1525"/>
      <c r="CP581" s="1525"/>
      <c r="CQ581" s="1525"/>
      <c r="CR581" s="1525"/>
      <c r="CS581" s="1525"/>
      <c r="CT581" s="1525"/>
      <c r="CU581" s="1525"/>
      <c r="CV581" s="35"/>
      <c r="CW581" s="34"/>
      <c r="CX581" s="34"/>
      <c r="CY581" s="35"/>
      <c r="CZ581" s="34"/>
      <c r="DA581" s="34"/>
      <c r="DB581" s="35"/>
      <c r="DC581" s="34"/>
      <c r="DD581" s="34"/>
      <c r="DE581" s="35"/>
      <c r="DF581" s="34"/>
      <c r="DG581" s="34"/>
      <c r="DH581" s="35"/>
      <c r="DI581" s="34"/>
      <c r="DJ581" s="34"/>
      <c r="DK581" s="35"/>
      <c r="DL581" s="34"/>
      <c r="DM581" s="34"/>
      <c r="DN581" s="35"/>
      <c r="DO581" s="34"/>
      <c r="DP581" s="34"/>
      <c r="DQ581" s="35"/>
      <c r="DR581" s="34"/>
      <c r="DS581" s="34"/>
      <c r="DT581" s="35"/>
      <c r="DU581" s="34"/>
      <c r="DV581" s="34"/>
      <c r="DW581" s="35"/>
      <c r="DX581" s="34"/>
      <c r="DY581" s="34"/>
      <c r="DZ581" s="35"/>
      <c r="EA581" s="34"/>
      <c r="EB581" s="34"/>
      <c r="EC581" s="35"/>
      <c r="ED581" s="34"/>
      <c r="EE581" s="34"/>
      <c r="EF581" s="35"/>
      <c r="EG581" s="34"/>
      <c r="EH581" s="34"/>
      <c r="EI581" s="35"/>
      <c r="EJ581" s="34"/>
      <c r="EK581" s="34"/>
      <c r="EL581" s="35"/>
      <c r="EM581" s="34"/>
      <c r="EN581" s="34"/>
      <c r="EO581" s="35"/>
      <c r="EP581" s="34"/>
      <c r="EQ581" s="34"/>
      <c r="ER581" s="35"/>
      <c r="ES581" s="34"/>
      <c r="ET581" s="34"/>
      <c r="EU581" s="35"/>
      <c r="EV581" s="34"/>
      <c r="EW581" s="34"/>
      <c r="EX581" s="35"/>
      <c r="EY581" s="34"/>
      <c r="EZ581" s="34"/>
      <c r="FA581" s="35"/>
      <c r="FD581"/>
      <c r="FE581"/>
      <c r="FF581"/>
      <c r="FG581"/>
      <c r="FH581"/>
      <c r="FI581"/>
    </row>
    <row r="582" spans="1:165" s="33" customFormat="1">
      <c r="E582" s="34"/>
      <c r="F582" s="34"/>
      <c r="G582" s="35"/>
      <c r="H582" s="34"/>
      <c r="I582" s="34"/>
      <c r="J582" s="35"/>
      <c r="K582" s="34"/>
      <c r="L582" s="34"/>
      <c r="M582" s="35"/>
      <c r="N582" s="34"/>
      <c r="O582" s="34"/>
      <c r="P582" s="35"/>
      <c r="Q582" s="36"/>
      <c r="R582" s="36"/>
      <c r="S582" s="70"/>
      <c r="T582" s="36"/>
      <c r="U582" s="36"/>
      <c r="V582" s="1022"/>
      <c r="W582" s="1021"/>
      <c r="X582" s="1021"/>
      <c r="Y582" s="1022"/>
      <c r="Z582" s="1021"/>
      <c r="AA582" s="1021"/>
      <c r="AB582" s="1022"/>
      <c r="AC582" s="1021"/>
      <c r="AD582" s="1021"/>
      <c r="AE582" s="1022"/>
      <c r="AF582" s="1021"/>
      <c r="AG582" s="1021"/>
      <c r="AH582" s="1022"/>
      <c r="AI582" s="1021"/>
      <c r="AJ582" s="1021"/>
      <c r="AK582" s="1022"/>
      <c r="AL582" s="1021"/>
      <c r="AM582" s="1021"/>
      <c r="AN582" s="1022"/>
      <c r="AO582" s="1021"/>
      <c r="AP582" s="1021"/>
      <c r="AQ582" s="1022"/>
      <c r="AR582" s="1021"/>
      <c r="AS582" s="1021"/>
      <c r="AT582" s="1022"/>
      <c r="AU582" s="34"/>
      <c r="AV582" s="34"/>
      <c r="AW582" s="35"/>
      <c r="AX582" s="34"/>
      <c r="AY582" s="34"/>
      <c r="AZ582" s="35"/>
      <c r="BA582" s="34"/>
      <c r="BB582" s="34"/>
      <c r="BC582" s="35"/>
      <c r="BD582" s="34"/>
      <c r="BE582" s="34"/>
      <c r="BF582" s="35"/>
      <c r="BG582" s="34"/>
      <c r="BH582" s="34"/>
      <c r="BI582" s="35"/>
      <c r="BJ582" s="1526"/>
      <c r="BK582" s="1526"/>
      <c r="BL582" s="1527"/>
      <c r="BM582" s="34"/>
      <c r="BN582" s="34"/>
      <c r="BO582" s="35"/>
      <c r="BP582" s="34"/>
      <c r="BQ582" s="34"/>
      <c r="BR582" s="35"/>
      <c r="BS582" s="34"/>
      <c r="BT582" s="34"/>
      <c r="BU582" s="35"/>
      <c r="BV582" s="34"/>
      <c r="BW582" s="34"/>
      <c r="BX582" s="1518"/>
      <c r="BY582" s="1518"/>
      <c r="BZ582" s="1518"/>
      <c r="CA582" s="1518"/>
      <c r="CB582" s="1518"/>
      <c r="CC582" s="1518"/>
      <c r="CD582" s="1518"/>
      <c r="CE582" s="1518"/>
      <c r="CF582" s="1518"/>
      <c r="CG582" s="1518"/>
      <c r="CH582" s="34"/>
      <c r="CI582" s="34"/>
      <c r="CJ582" s="1518"/>
      <c r="CK582" s="1518"/>
      <c r="CL582" s="1518"/>
      <c r="CM582" s="1518"/>
      <c r="CN582" s="1518"/>
      <c r="CO582" s="1518"/>
      <c r="CP582" s="1518"/>
      <c r="CQ582" s="1518"/>
      <c r="CR582" s="1518"/>
      <c r="CS582" s="1518"/>
      <c r="CT582" s="1518"/>
      <c r="CU582" s="1518"/>
      <c r="CV582" s="35"/>
      <c r="CW582" s="34"/>
      <c r="CX582" s="34"/>
      <c r="CY582" s="35"/>
      <c r="CZ582" s="34"/>
      <c r="DA582" s="34"/>
      <c r="DB582" s="35"/>
      <c r="DC582" s="34"/>
      <c r="DD582" s="34"/>
      <c r="DE582" s="35"/>
      <c r="DF582" s="34"/>
      <c r="DG582" s="34"/>
      <c r="DH582" s="35"/>
      <c r="DI582" s="34"/>
      <c r="DJ582" s="34"/>
      <c r="DK582" s="35"/>
      <c r="DL582" s="34"/>
      <c r="DM582" s="34"/>
      <c r="DN582" s="35"/>
      <c r="DO582" s="34"/>
      <c r="DP582" s="34"/>
      <c r="DQ582" s="35"/>
      <c r="DR582" s="34"/>
      <c r="DS582" s="34"/>
      <c r="DT582" s="35"/>
      <c r="DU582" s="34"/>
      <c r="DV582" s="34"/>
      <c r="DW582" s="35"/>
      <c r="DX582" s="34"/>
      <c r="DY582" s="34"/>
      <c r="DZ582" s="35"/>
      <c r="EA582" s="34"/>
      <c r="EB582" s="34"/>
      <c r="EC582" s="35"/>
      <c r="ED582" s="34"/>
      <c r="EE582" s="34"/>
      <c r="EF582" s="35"/>
      <c r="EG582" s="34"/>
      <c r="EH582" s="34"/>
      <c r="EI582" s="35"/>
      <c r="EJ582" s="34"/>
      <c r="EK582" s="34"/>
      <c r="EL582" s="35"/>
      <c r="EM582" s="34"/>
      <c r="EN582" s="34"/>
      <c r="EO582" s="35"/>
      <c r="EP582" s="34"/>
      <c r="EQ582" s="34"/>
      <c r="ER582" s="35"/>
      <c r="ES582" s="34"/>
      <c r="ET582" s="34"/>
      <c r="EU582" s="35"/>
      <c r="EV582" s="34"/>
      <c r="EW582" s="34"/>
      <c r="EX582" s="35"/>
      <c r="EY582" s="34"/>
      <c r="EZ582" s="34"/>
      <c r="FA582" s="35"/>
      <c r="FD582"/>
      <c r="FE582"/>
      <c r="FF582"/>
      <c r="FG582"/>
      <c r="FH582"/>
      <c r="FI582"/>
    </row>
    <row r="583" spans="1:165" s="33" customFormat="1">
      <c r="E583" s="34"/>
      <c r="F583" s="34"/>
      <c r="G583" s="35"/>
      <c r="H583" s="34"/>
      <c r="I583" s="34"/>
      <c r="J583" s="35"/>
      <c r="K583" s="34"/>
      <c r="L583" s="34"/>
      <c r="M583" s="35"/>
      <c r="N583" s="34"/>
      <c r="O583" s="34"/>
      <c r="P583" s="35"/>
      <c r="Q583" s="36"/>
      <c r="R583" s="36"/>
      <c r="S583" s="70"/>
      <c r="T583" s="36"/>
      <c r="U583" s="36"/>
      <c r="V583" s="1022"/>
      <c r="W583" s="1021"/>
      <c r="X583" s="1021"/>
      <c r="Y583" s="1022"/>
      <c r="Z583" s="1021"/>
      <c r="AA583" s="1021"/>
      <c r="AB583" s="1022"/>
      <c r="AC583" s="1021"/>
      <c r="AD583" s="1021"/>
      <c r="AE583" s="1022"/>
      <c r="AF583" s="1021"/>
      <c r="AG583" s="1021"/>
      <c r="AH583" s="1022"/>
      <c r="AI583" s="1021"/>
      <c r="AJ583" s="1021"/>
      <c r="AK583" s="1022"/>
      <c r="AL583" s="1021"/>
      <c r="AM583" s="1021"/>
      <c r="AN583" s="1022"/>
      <c r="AO583" s="1021"/>
      <c r="AP583" s="1021"/>
      <c r="AQ583" s="1022"/>
      <c r="AR583" s="1021"/>
      <c r="AS583" s="1021"/>
      <c r="AT583" s="1022"/>
      <c r="AU583" s="34"/>
      <c r="AV583" s="34"/>
      <c r="AW583" s="35"/>
      <c r="AX583" s="34"/>
      <c r="AY583" s="34"/>
      <c r="AZ583" s="35"/>
      <c r="BA583" s="34"/>
      <c r="BB583" s="34"/>
      <c r="BC583" s="35"/>
      <c r="BD583" s="34"/>
      <c r="BE583" s="34"/>
      <c r="BF583" s="35"/>
      <c r="BG583" s="34"/>
      <c r="BH583" s="34"/>
      <c r="BI583" s="35"/>
      <c r="BJ583" s="34"/>
      <c r="BK583" s="34"/>
      <c r="BL583" s="35"/>
      <c r="BM583" s="34"/>
      <c r="BN583" s="34"/>
      <c r="BO583" s="35"/>
      <c r="BP583" s="34"/>
      <c r="BQ583" s="34"/>
      <c r="BR583" s="35"/>
      <c r="BS583" s="34"/>
      <c r="BT583" s="34"/>
      <c r="BU583" s="35"/>
      <c r="BV583" s="34"/>
      <c r="BW583" s="34"/>
      <c r="BX583" s="1528"/>
      <c r="BY583" s="34"/>
      <c r="BZ583" s="34"/>
      <c r="CA583" s="1525"/>
      <c r="CB583" s="1525"/>
      <c r="CC583" s="1525"/>
      <c r="CD583" s="1525"/>
      <c r="CE583" s="1525"/>
      <c r="CF583" s="1525"/>
      <c r="CG583" s="1525"/>
      <c r="CH583" s="1525"/>
      <c r="CI583" s="1525"/>
      <c r="CJ583" s="1525"/>
      <c r="CK583" s="1525"/>
      <c r="CL583" s="1525"/>
      <c r="CM583" s="1525"/>
      <c r="CN583" s="1525"/>
      <c r="CO583" s="1525"/>
      <c r="CP583" s="1525"/>
      <c r="CQ583" s="1525"/>
      <c r="CR583" s="1525"/>
      <c r="CS583" s="1525"/>
      <c r="CT583" s="34"/>
      <c r="CU583" s="34"/>
      <c r="CV583" s="35"/>
      <c r="CW583" s="34"/>
      <c r="CX583" s="34"/>
      <c r="CY583" s="35"/>
      <c r="CZ583" s="34"/>
      <c r="DA583" s="34"/>
      <c r="DB583" s="35"/>
      <c r="DC583" s="34"/>
      <c r="DD583" s="34"/>
      <c r="DE583" s="35"/>
      <c r="DF583" s="34"/>
      <c r="DG583" s="34"/>
      <c r="DH583" s="35"/>
      <c r="DI583" s="34"/>
      <c r="DJ583" s="34"/>
      <c r="DK583" s="35"/>
      <c r="DL583" s="34"/>
      <c r="DM583" s="34"/>
      <c r="DN583" s="35"/>
      <c r="DO583" s="34"/>
      <c r="DP583" s="34"/>
      <c r="DQ583" s="35"/>
      <c r="DR583" s="34"/>
      <c r="DS583" s="34"/>
      <c r="DT583" s="35"/>
      <c r="DU583" s="34"/>
      <c r="DV583" s="34"/>
      <c r="DW583" s="35"/>
      <c r="DX583" s="34"/>
      <c r="DY583" s="34"/>
      <c r="DZ583" s="35"/>
      <c r="EA583" s="34"/>
      <c r="EB583" s="34"/>
      <c r="EC583" s="35"/>
      <c r="ED583" s="34"/>
      <c r="EE583" s="34"/>
      <c r="EF583" s="35"/>
      <c r="EG583" s="34"/>
      <c r="EH583" s="34"/>
      <c r="EI583" s="35"/>
      <c r="EJ583" s="34"/>
      <c r="EK583" s="34"/>
      <c r="EL583" s="35"/>
      <c r="EM583" s="34"/>
      <c r="EN583" s="34"/>
      <c r="EO583" s="35"/>
      <c r="EP583" s="34"/>
      <c r="EQ583" s="34"/>
      <c r="ER583" s="35"/>
      <c r="ES583" s="34"/>
      <c r="ET583" s="34"/>
      <c r="EU583" s="35"/>
      <c r="EV583" s="34"/>
      <c r="EW583" s="34"/>
      <c r="EX583" s="35"/>
      <c r="EY583" s="34"/>
      <c r="EZ583" s="34"/>
      <c r="FA583" s="35"/>
      <c r="FD583"/>
      <c r="FE583"/>
      <c r="FF583"/>
      <c r="FG583"/>
      <c r="FH583"/>
      <c r="FI583"/>
    </row>
    <row r="584" spans="1:165" s="33" customFormat="1">
      <c r="E584" s="34"/>
      <c r="F584" s="34"/>
      <c r="G584" s="35"/>
      <c r="H584" s="34"/>
      <c r="I584" s="34"/>
      <c r="J584" s="35"/>
      <c r="K584" s="34"/>
      <c r="L584" s="34"/>
      <c r="M584" s="35"/>
      <c r="N584" s="34"/>
      <c r="O584" s="34"/>
      <c r="P584" s="35"/>
      <c r="Q584" s="36"/>
      <c r="R584" s="36"/>
      <c r="S584" s="70"/>
      <c r="T584" s="36"/>
      <c r="U584" s="36"/>
      <c r="V584" s="1022"/>
      <c r="W584" s="1021"/>
      <c r="X584" s="1021"/>
      <c r="Y584" s="1022"/>
      <c r="Z584" s="1021"/>
      <c r="AA584" s="1021"/>
      <c r="AB584" s="1022"/>
      <c r="AC584" s="1021"/>
      <c r="AD584" s="1021"/>
      <c r="AE584" s="1022"/>
      <c r="AF584" s="1021"/>
      <c r="AG584" s="1021"/>
      <c r="AH584" s="1022"/>
      <c r="AI584" s="1021"/>
      <c r="AJ584" s="1021"/>
      <c r="AK584" s="1022"/>
      <c r="AL584" s="1021"/>
      <c r="AM584" s="1021"/>
      <c r="AN584" s="1022"/>
      <c r="AO584" s="1021"/>
      <c r="AP584" s="1021"/>
      <c r="AQ584" s="1022"/>
      <c r="AR584" s="1021"/>
      <c r="AS584" s="1021"/>
      <c r="AT584" s="1022"/>
      <c r="AU584" s="34"/>
      <c r="AV584" s="34"/>
      <c r="AW584" s="35"/>
      <c r="AX584" s="34"/>
      <c r="AY584" s="34"/>
      <c r="AZ584" s="35"/>
      <c r="BA584" s="34"/>
      <c r="BB584" s="34"/>
      <c r="BC584" s="35"/>
      <c r="BD584" s="34"/>
      <c r="BE584" s="34"/>
      <c r="BF584" s="35"/>
      <c r="BG584" s="34"/>
      <c r="BH584" s="34"/>
      <c r="BI584" s="35"/>
      <c r="BJ584" s="1346"/>
      <c r="BK584" s="1346"/>
      <c r="BL584" s="35"/>
      <c r="BM584" s="34"/>
      <c r="BN584" s="34"/>
      <c r="BO584" s="35"/>
      <c r="BP584" s="34"/>
      <c r="BQ584" s="34"/>
      <c r="BR584" s="35"/>
      <c r="BS584" s="34"/>
      <c r="BT584" s="34"/>
      <c r="BU584" s="35"/>
      <c r="BV584" s="34"/>
      <c r="BW584" s="34"/>
      <c r="BX584" s="35"/>
      <c r="BY584" s="34"/>
      <c r="BZ584" s="34"/>
      <c r="CA584" s="35"/>
      <c r="CB584" s="34"/>
      <c r="CC584" s="34"/>
      <c r="CD584" s="35"/>
      <c r="CE584" s="34"/>
      <c r="CF584" s="34"/>
      <c r="CG584" s="35"/>
      <c r="CH584" s="34"/>
      <c r="CI584" s="34"/>
      <c r="CJ584" s="1518"/>
      <c r="CK584" s="1518"/>
      <c r="CL584" s="1518"/>
      <c r="CM584" s="1518"/>
      <c r="CN584" s="1518"/>
      <c r="CO584" s="1518"/>
      <c r="CP584" s="1518"/>
      <c r="CQ584" s="1518"/>
      <c r="CR584" s="1518"/>
      <c r="CS584" s="1518"/>
      <c r="CT584" s="34"/>
      <c r="CU584" s="34"/>
      <c r="CV584" s="35"/>
      <c r="CW584" s="34"/>
      <c r="CX584" s="34"/>
      <c r="CY584" s="35"/>
      <c r="CZ584" s="34"/>
      <c r="DA584" s="34"/>
      <c r="DB584" s="35"/>
      <c r="DC584" s="34"/>
      <c r="DD584" s="34"/>
      <c r="DE584" s="35"/>
      <c r="DF584" s="34"/>
      <c r="DG584" s="34"/>
      <c r="DH584" s="35"/>
      <c r="DI584" s="34"/>
      <c r="DJ584" s="34"/>
      <c r="DK584" s="35"/>
      <c r="DL584" s="34"/>
      <c r="DM584" s="34"/>
      <c r="DN584" s="35"/>
      <c r="DO584" s="34"/>
      <c r="DP584" s="34"/>
      <c r="DQ584" s="35"/>
      <c r="DR584" s="34"/>
      <c r="DS584" s="34"/>
      <c r="DT584" s="35"/>
      <c r="DU584" s="34"/>
      <c r="DV584" s="34"/>
      <c r="DW584" s="35"/>
      <c r="DX584" s="34"/>
      <c r="DY584" s="34"/>
      <c r="DZ584" s="35"/>
      <c r="EA584" s="34"/>
      <c r="EB584" s="34"/>
      <c r="EC584" s="35"/>
      <c r="ED584" s="34"/>
      <c r="EE584" s="34"/>
      <c r="EF584" s="35"/>
      <c r="EG584" s="34"/>
      <c r="EH584" s="34"/>
      <c r="EI584" s="35"/>
      <c r="EJ584" s="34"/>
      <c r="EK584" s="34"/>
      <c r="EL584" s="35"/>
      <c r="EM584" s="34"/>
      <c r="EN584" s="34"/>
      <c r="EO584" s="35"/>
      <c r="EP584" s="34"/>
      <c r="EQ584" s="34"/>
      <c r="ER584" s="35"/>
      <c r="ES584" s="34"/>
      <c r="ET584" s="34"/>
      <c r="EU584" s="35"/>
      <c r="EV584" s="34"/>
      <c r="EW584" s="34"/>
      <c r="EX584" s="35"/>
      <c r="EY584" s="34"/>
      <c r="EZ584" s="34"/>
      <c r="FA584" s="35"/>
      <c r="FD584"/>
      <c r="FE584"/>
      <c r="FF584"/>
      <c r="FG584"/>
      <c r="FH584"/>
      <c r="FI584"/>
    </row>
    <row r="585" spans="1:165" s="33" customFormat="1">
      <c r="E585" s="34"/>
      <c r="F585" s="34"/>
      <c r="G585" s="35"/>
      <c r="H585" s="34"/>
      <c r="I585" s="34"/>
      <c r="J585" s="35"/>
      <c r="K585" s="34"/>
      <c r="L585" s="34"/>
      <c r="M585" s="35"/>
      <c r="N585" s="34"/>
      <c r="O585" s="34"/>
      <c r="P585" s="35"/>
      <c r="Q585" s="36"/>
      <c r="R585" s="36"/>
      <c r="S585" s="70"/>
      <c r="T585" s="36"/>
      <c r="U585" s="36"/>
      <c r="V585" s="1022"/>
      <c r="W585" s="1021"/>
      <c r="X585" s="1021"/>
      <c r="Y585" s="1022"/>
      <c r="Z585" s="1021"/>
      <c r="AA585" s="1021"/>
      <c r="AB585" s="1022"/>
      <c r="AC585" s="1021"/>
      <c r="AD585" s="1021"/>
      <c r="AE585" s="1022"/>
      <c r="AF585" s="1021"/>
      <c r="AG585" s="1021"/>
      <c r="AH585" s="1022"/>
      <c r="AI585" s="1021"/>
      <c r="AJ585" s="1021"/>
      <c r="AK585" s="1022"/>
      <c r="AL585" s="1021"/>
      <c r="AM585" s="1021"/>
      <c r="AN585" s="1022"/>
      <c r="AO585" s="1021"/>
      <c r="AP585" s="1021"/>
      <c r="AQ585" s="1022"/>
      <c r="AR585" s="1021"/>
      <c r="AS585" s="1021"/>
      <c r="AT585" s="1022"/>
      <c r="AU585" s="34"/>
      <c r="AV585" s="34"/>
      <c r="AW585" s="35"/>
      <c r="AX585" s="34"/>
      <c r="AY585" s="34"/>
      <c r="AZ585" s="35"/>
      <c r="BA585" s="34"/>
      <c r="BB585" s="34"/>
      <c r="BC585" s="35"/>
      <c r="BD585" s="34"/>
      <c r="BE585" s="34"/>
      <c r="BF585" s="35"/>
      <c r="BG585" s="34"/>
      <c r="BH585" s="34"/>
      <c r="BI585" s="35"/>
      <c r="BJ585" s="1526"/>
      <c r="BK585" s="1526"/>
      <c r="BL585" s="1527"/>
      <c r="BM585" s="34"/>
      <c r="BN585" s="34"/>
      <c r="BO585" s="35"/>
      <c r="BP585" s="34"/>
      <c r="BQ585" s="34"/>
      <c r="BR585" s="35"/>
      <c r="BS585" s="34"/>
      <c r="BT585" s="34"/>
      <c r="BU585" s="35"/>
      <c r="BV585" s="34"/>
      <c r="BW585" s="34"/>
      <c r="BX585" s="35"/>
      <c r="BY585" s="34"/>
      <c r="BZ585" s="34"/>
      <c r="CA585" s="35"/>
      <c r="CB585" s="34"/>
      <c r="CC585" s="34"/>
      <c r="CD585" s="35"/>
      <c r="CE585" s="34"/>
      <c r="CF585" s="34"/>
      <c r="CG585" s="35"/>
      <c r="CH585" s="34"/>
      <c r="CI585" s="34"/>
      <c r="CJ585" s="35"/>
      <c r="CK585" s="34"/>
      <c r="CL585" s="34"/>
      <c r="CM585" s="35"/>
      <c r="CN585" s="34"/>
      <c r="CO585" s="34"/>
      <c r="CP585" s="35"/>
      <c r="CQ585" s="34"/>
      <c r="CR585" s="34"/>
      <c r="CS585" s="35"/>
      <c r="CT585" s="34"/>
      <c r="CU585" s="34"/>
      <c r="CV585" s="35"/>
      <c r="CW585" s="34"/>
      <c r="CX585" s="34"/>
      <c r="CY585" s="35"/>
      <c r="CZ585" s="34"/>
      <c r="DA585" s="34"/>
      <c r="DB585" s="35"/>
      <c r="DC585" s="34"/>
      <c r="DD585" s="34"/>
      <c r="DE585" s="35"/>
      <c r="DF585" s="34"/>
      <c r="DG585" s="34"/>
      <c r="DH585" s="35"/>
      <c r="DI585" s="34"/>
      <c r="DJ585" s="34"/>
      <c r="DK585" s="35"/>
      <c r="DL585" s="34"/>
      <c r="DM585" s="34"/>
      <c r="DN585" s="35"/>
      <c r="DO585" s="34"/>
      <c r="DP585" s="34"/>
      <c r="DQ585" s="35"/>
      <c r="DR585" s="34"/>
      <c r="DS585" s="34"/>
      <c r="DT585" s="35"/>
      <c r="DU585" s="34"/>
      <c r="DV585" s="34"/>
      <c r="DW585" s="35"/>
      <c r="DX585" s="34"/>
      <c r="DY585" s="34"/>
      <c r="DZ585" s="35"/>
      <c r="EA585" s="34"/>
      <c r="EB585" s="34"/>
      <c r="EC585" s="35"/>
      <c r="ED585" s="34"/>
      <c r="EE585" s="34"/>
      <c r="EF585" s="35"/>
      <c r="EG585" s="34"/>
      <c r="EH585" s="34"/>
      <c r="EI585" s="35"/>
      <c r="EJ585" s="34"/>
      <c r="EK585" s="34"/>
      <c r="EL585" s="35"/>
      <c r="EM585" s="34"/>
      <c r="EN585" s="34"/>
      <c r="EO585" s="35"/>
      <c r="EP585" s="34"/>
      <c r="EQ585" s="34"/>
      <c r="ER585" s="35"/>
      <c r="ES585" s="34"/>
      <c r="ET585" s="34"/>
      <c r="EU585" s="35"/>
      <c r="EV585" s="34"/>
      <c r="EW585" s="34"/>
      <c r="EX585" s="35"/>
      <c r="EY585" s="34"/>
      <c r="EZ585" s="34"/>
      <c r="FA585" s="35"/>
      <c r="FD585"/>
      <c r="FE585"/>
      <c r="FF585"/>
      <c r="FG585"/>
      <c r="FH585"/>
      <c r="FI585"/>
    </row>
    <row r="586" spans="1:165" s="33" customFormat="1">
      <c r="E586" s="34"/>
      <c r="F586" s="34"/>
      <c r="G586" s="35"/>
      <c r="H586" s="34"/>
      <c r="I586" s="34"/>
      <c r="J586" s="35"/>
      <c r="K586" s="34"/>
      <c r="L586" s="34"/>
      <c r="M586" s="35"/>
      <c r="N586" s="34"/>
      <c r="O586" s="34"/>
      <c r="P586" s="35"/>
      <c r="Q586" s="36"/>
      <c r="R586" s="36"/>
      <c r="S586" s="70"/>
      <c r="T586" s="36"/>
      <c r="U586" s="36"/>
      <c r="V586" s="1022"/>
      <c r="W586" s="1021"/>
      <c r="X586" s="1021"/>
      <c r="Y586" s="1022"/>
      <c r="Z586" s="1021"/>
      <c r="AA586" s="1021"/>
      <c r="AB586" s="1022"/>
      <c r="AC586" s="1021"/>
      <c r="AD586" s="1021"/>
      <c r="AE586" s="1022"/>
      <c r="AF586" s="1021"/>
      <c r="AG586" s="1021"/>
      <c r="AH586" s="1022"/>
      <c r="AI586" s="1021"/>
      <c r="AJ586" s="1021"/>
      <c r="AK586" s="1022"/>
      <c r="AL586" s="1021"/>
      <c r="AM586" s="1021"/>
      <c r="AN586" s="1022"/>
      <c r="AO586" s="1021"/>
      <c r="AP586" s="1021"/>
      <c r="AQ586" s="1022"/>
      <c r="AR586" s="1021"/>
      <c r="AS586" s="1021"/>
      <c r="AT586" s="1022"/>
      <c r="AU586" s="34"/>
      <c r="AV586" s="34"/>
      <c r="AW586" s="35"/>
      <c r="AX586" s="34"/>
      <c r="AY586" s="34"/>
      <c r="AZ586" s="35"/>
      <c r="BA586" s="34"/>
      <c r="BB586" s="34"/>
      <c r="BC586" s="35"/>
      <c r="BD586" s="34"/>
      <c r="BE586" s="34"/>
      <c r="BF586" s="35"/>
      <c r="BG586" s="34"/>
      <c r="BH586" s="34"/>
      <c r="BI586" s="35"/>
      <c r="BJ586" s="34"/>
      <c r="BK586" s="34"/>
      <c r="BL586" s="35"/>
      <c r="BM586" s="34"/>
      <c r="BN586" s="34"/>
      <c r="BO586" s="35"/>
      <c r="BP586" s="34"/>
      <c r="BQ586" s="34"/>
      <c r="BR586" s="35"/>
      <c r="BS586" s="34"/>
      <c r="BT586" s="34"/>
      <c r="BU586" s="35"/>
      <c r="BV586" s="34"/>
      <c r="BW586" s="34"/>
      <c r="BX586" s="35"/>
      <c r="BY586" s="34"/>
      <c r="BZ586" s="34"/>
      <c r="CA586" s="35"/>
      <c r="CB586" s="34"/>
      <c r="CC586" s="34"/>
      <c r="CD586" s="35"/>
      <c r="CE586" s="34"/>
      <c r="CF586" s="34"/>
      <c r="CG586" s="35"/>
      <c r="CH586" s="34"/>
      <c r="CI586" s="34"/>
      <c r="CJ586" s="1518"/>
      <c r="CK586" s="1518"/>
      <c r="CL586" s="1518"/>
      <c r="CM586" s="1518"/>
      <c r="CN586" s="1518"/>
      <c r="CO586" s="1518"/>
      <c r="CP586" s="1518"/>
      <c r="CQ586" s="1518"/>
      <c r="CR586" s="1518"/>
      <c r="CS586" s="1518"/>
      <c r="CT586" s="1518"/>
      <c r="CU586" s="1518"/>
      <c r="CV586" s="35"/>
      <c r="CW586" s="34"/>
      <c r="CX586" s="34"/>
      <c r="CY586" s="35"/>
      <c r="CZ586" s="34"/>
      <c r="DA586" s="34"/>
      <c r="DB586" s="35"/>
      <c r="DC586" s="34"/>
      <c r="DD586" s="34"/>
      <c r="DE586" s="35"/>
      <c r="DF586" s="34"/>
      <c r="DG586" s="34"/>
      <c r="DH586" s="35"/>
      <c r="DI586" s="34"/>
      <c r="DJ586" s="34"/>
      <c r="DK586" s="35"/>
      <c r="DL586" s="34"/>
      <c r="DM586" s="34"/>
      <c r="DN586" s="35"/>
      <c r="DO586" s="34"/>
      <c r="DP586" s="34"/>
      <c r="DQ586" s="35"/>
      <c r="DR586" s="34"/>
      <c r="DS586" s="34"/>
      <c r="DT586" s="35"/>
      <c r="DU586" s="34"/>
      <c r="DV586" s="34"/>
      <c r="DW586" s="35"/>
      <c r="DX586" s="34"/>
      <c r="DY586" s="34"/>
      <c r="DZ586" s="35"/>
      <c r="EA586" s="34"/>
      <c r="EB586" s="34"/>
      <c r="EC586" s="35"/>
      <c r="ED586" s="34"/>
      <c r="EE586" s="34"/>
      <c r="EF586" s="35"/>
      <c r="EG586" s="34"/>
      <c r="EH586" s="34"/>
      <c r="EI586" s="35"/>
      <c r="EJ586" s="34"/>
      <c r="EK586" s="34"/>
      <c r="EL586" s="35"/>
      <c r="EM586" s="34"/>
      <c r="EN586" s="34"/>
      <c r="EO586" s="35"/>
      <c r="EP586" s="34"/>
      <c r="EQ586" s="34"/>
      <c r="ER586" s="35"/>
      <c r="ES586" s="34"/>
      <c r="ET586" s="34"/>
      <c r="EU586" s="35"/>
      <c r="EV586" s="34"/>
      <c r="EW586" s="34"/>
      <c r="EX586" s="35"/>
      <c r="EY586" s="34"/>
      <c r="EZ586" s="34"/>
      <c r="FA586" s="35"/>
      <c r="FD586"/>
      <c r="FE586"/>
      <c r="FF586"/>
      <c r="FG586"/>
      <c r="FH586"/>
      <c r="FI586"/>
    </row>
    <row r="587" spans="1:165" s="33" customFormat="1">
      <c r="E587" s="34"/>
      <c r="F587" s="34"/>
      <c r="G587" s="35"/>
      <c r="H587" s="34"/>
      <c r="I587" s="34"/>
      <c r="J587" s="35"/>
      <c r="K587" s="34"/>
      <c r="L587" s="34"/>
      <c r="M587" s="35"/>
      <c r="N587" s="34"/>
      <c r="O587" s="34"/>
      <c r="P587" s="35"/>
      <c r="Q587" s="36"/>
      <c r="R587" s="36"/>
      <c r="S587" s="70"/>
      <c r="T587" s="36"/>
      <c r="U587" s="36"/>
      <c r="V587" s="1022"/>
      <c r="W587" s="1021"/>
      <c r="X587" s="1021"/>
      <c r="Y587" s="1022"/>
      <c r="Z587" s="1021"/>
      <c r="AA587" s="1021"/>
      <c r="AB587" s="1022"/>
      <c r="AC587" s="1021"/>
      <c r="AD587" s="1021"/>
      <c r="AE587" s="1022"/>
      <c r="AF587" s="1021"/>
      <c r="AG587" s="1021"/>
      <c r="AH587" s="1022"/>
      <c r="AI587" s="1021"/>
      <c r="AJ587" s="1021"/>
      <c r="AK587" s="1022"/>
      <c r="AL587" s="1021"/>
      <c r="AM587" s="1021"/>
      <c r="AN587" s="1022"/>
      <c r="AO587" s="1021"/>
      <c r="AP587" s="1021"/>
      <c r="AQ587" s="1022"/>
      <c r="AR587" s="1021"/>
      <c r="AS587" s="1021"/>
      <c r="AT587" s="1022"/>
      <c r="AU587" s="34"/>
      <c r="AV587" s="34"/>
      <c r="AW587" s="35"/>
      <c r="AX587" s="34"/>
      <c r="AY587" s="34"/>
      <c r="AZ587" s="35"/>
      <c r="BA587" s="34"/>
      <c r="BB587" s="34"/>
      <c r="BC587" s="35"/>
      <c r="BD587" s="34"/>
      <c r="BE587" s="34"/>
      <c r="BF587" s="35"/>
      <c r="BG587" s="34"/>
      <c r="BH587" s="34"/>
      <c r="BI587" s="35"/>
      <c r="BJ587" s="1346"/>
      <c r="BK587" s="1346"/>
      <c r="BL587" s="35"/>
      <c r="BM587" s="34"/>
      <c r="BN587" s="34"/>
      <c r="BO587" s="35"/>
      <c r="BP587" s="34"/>
      <c r="BQ587" s="34"/>
      <c r="BR587" s="35"/>
      <c r="BS587" s="34"/>
      <c r="BT587" s="34"/>
      <c r="BU587" s="35"/>
      <c r="BV587" s="34"/>
      <c r="BW587" s="34"/>
      <c r="BX587" s="35"/>
      <c r="BY587" s="34"/>
      <c r="BZ587" s="34"/>
      <c r="CA587" s="35"/>
      <c r="CB587" s="34"/>
      <c r="CC587" s="34"/>
      <c r="CD587" s="35"/>
      <c r="CE587" s="34"/>
      <c r="CF587" s="34"/>
      <c r="CG587" s="35"/>
      <c r="CH587" s="34"/>
      <c r="CI587" s="34"/>
      <c r="CJ587" s="35"/>
      <c r="CK587" s="34"/>
      <c r="CL587" s="34"/>
      <c r="CM587" s="35"/>
      <c r="CN587" s="34"/>
      <c r="CO587" s="34"/>
      <c r="CP587" s="35"/>
      <c r="CQ587" s="34"/>
      <c r="CR587" s="34"/>
      <c r="CS587" s="35"/>
      <c r="CT587" s="34"/>
      <c r="CU587" s="34"/>
      <c r="CV587" s="35"/>
      <c r="CW587" s="34"/>
      <c r="CX587" s="34"/>
      <c r="CY587" s="35"/>
      <c r="CZ587" s="34"/>
      <c r="DA587" s="34"/>
      <c r="DB587" s="35"/>
      <c r="DC587" s="34"/>
      <c r="DD587" s="34"/>
      <c r="DE587" s="35"/>
      <c r="DF587" s="34"/>
      <c r="DG587" s="34"/>
      <c r="DH587" s="35"/>
      <c r="DI587" s="34"/>
      <c r="DJ587" s="34"/>
      <c r="DK587" s="35"/>
      <c r="DL587" s="34"/>
      <c r="DM587" s="34"/>
      <c r="DN587" s="35"/>
      <c r="DO587" s="34"/>
      <c r="DP587" s="34"/>
      <c r="DQ587" s="35"/>
      <c r="DR587" s="34"/>
      <c r="DS587" s="34"/>
      <c r="DT587" s="35"/>
      <c r="DU587" s="34"/>
      <c r="DV587" s="34"/>
      <c r="DW587" s="35"/>
      <c r="DX587" s="34"/>
      <c r="DY587" s="34"/>
      <c r="DZ587" s="35"/>
      <c r="EA587" s="34"/>
      <c r="EB587" s="34"/>
      <c r="EC587" s="35"/>
      <c r="ED587" s="34"/>
      <c r="EE587" s="34"/>
      <c r="EF587" s="35"/>
      <c r="EG587" s="34"/>
      <c r="EH587" s="34"/>
      <c r="EI587" s="35"/>
      <c r="EJ587" s="34"/>
      <c r="EK587" s="34"/>
      <c r="EL587" s="35"/>
      <c r="EM587" s="34"/>
      <c r="EN587" s="34"/>
      <c r="EO587" s="35"/>
      <c r="EP587" s="34"/>
      <c r="EQ587" s="34"/>
      <c r="ER587" s="35"/>
      <c r="ES587" s="34"/>
      <c r="ET587" s="34"/>
      <c r="EU587" s="35"/>
      <c r="EV587" s="34"/>
      <c r="EW587" s="34"/>
      <c r="EX587" s="35"/>
      <c r="EY587" s="34"/>
      <c r="EZ587" s="34"/>
      <c r="FA587" s="35"/>
      <c r="FD587"/>
      <c r="FE587"/>
      <c r="FF587"/>
      <c r="FG587"/>
      <c r="FH587"/>
      <c r="FI587"/>
    </row>
    <row r="588" spans="1:165" s="33" customFormat="1">
      <c r="E588" s="34"/>
      <c r="F588" s="34"/>
      <c r="G588" s="35"/>
      <c r="H588" s="34"/>
      <c r="I588" s="34"/>
      <c r="J588" s="35"/>
      <c r="K588" s="34"/>
      <c r="L588" s="34"/>
      <c r="M588" s="35"/>
      <c r="N588" s="34"/>
      <c r="O588" s="34"/>
      <c r="P588" s="35"/>
      <c r="Q588" s="36"/>
      <c r="R588" s="36"/>
      <c r="S588" s="70"/>
      <c r="T588" s="36"/>
      <c r="U588" s="36"/>
      <c r="V588" s="1022"/>
      <c r="W588" s="1021"/>
      <c r="X588" s="1021"/>
      <c r="Y588" s="1022"/>
      <c r="Z588" s="1021"/>
      <c r="AA588" s="1021"/>
      <c r="AB588" s="1022"/>
      <c r="AC588" s="1021"/>
      <c r="AD588" s="1021"/>
      <c r="AE588" s="1022"/>
      <c r="AF588" s="1021"/>
      <c r="AG588" s="1021"/>
      <c r="AH588" s="1022"/>
      <c r="AI588" s="1021"/>
      <c r="AJ588" s="1021"/>
      <c r="AK588" s="1022"/>
      <c r="AL588" s="1021"/>
      <c r="AM588" s="1021"/>
      <c r="AN588" s="1022"/>
      <c r="AO588" s="1021"/>
      <c r="AP588" s="1021"/>
      <c r="AQ588" s="1022"/>
      <c r="AR588" s="1021"/>
      <c r="AS588" s="1021"/>
      <c r="AT588" s="1022"/>
      <c r="AU588" s="34"/>
      <c r="AV588" s="34"/>
      <c r="AW588" s="35"/>
      <c r="AX588" s="34"/>
      <c r="AY588" s="34"/>
      <c r="AZ588" s="35"/>
      <c r="BA588" s="34"/>
      <c r="BB588" s="34"/>
      <c r="BC588" s="35"/>
      <c r="BD588" s="34"/>
      <c r="BE588" s="34"/>
      <c r="BF588" s="35"/>
      <c r="BG588" s="34"/>
      <c r="BH588" s="34"/>
      <c r="BI588" s="35"/>
      <c r="BJ588" s="1526"/>
      <c r="BK588" s="1526"/>
      <c r="BL588" s="1527"/>
      <c r="BM588" s="34"/>
      <c r="BN588" s="34"/>
      <c r="BO588" s="35"/>
      <c r="BP588" s="34"/>
      <c r="BQ588" s="34"/>
      <c r="BR588" s="35"/>
      <c r="BS588" s="34"/>
      <c r="BT588" s="34"/>
      <c r="BU588" s="35"/>
      <c r="BV588" s="34"/>
      <c r="BW588" s="34"/>
      <c r="BX588" s="35"/>
      <c r="BY588" s="34"/>
      <c r="BZ588" s="34"/>
      <c r="CA588" s="35"/>
      <c r="CB588" s="34"/>
      <c r="CC588" s="34"/>
      <c r="CD588" s="35"/>
      <c r="CE588" s="34"/>
      <c r="CF588" s="34"/>
      <c r="CG588" s="35"/>
      <c r="CH588" s="34"/>
      <c r="CI588" s="34"/>
      <c r="CJ588" s="1347"/>
      <c r="CK588" s="1347"/>
      <c r="CL588" s="1347"/>
      <c r="CM588" s="1347"/>
      <c r="CN588" s="1347"/>
      <c r="CO588" s="1347"/>
      <c r="CP588" s="1347"/>
      <c r="CQ588" s="1347"/>
      <c r="CR588" s="1347"/>
      <c r="CS588" s="1347"/>
      <c r="CT588" s="34"/>
      <c r="CU588" s="34"/>
      <c r="CV588" s="35"/>
      <c r="CW588" s="34"/>
      <c r="CX588" s="34"/>
      <c r="CY588" s="35"/>
      <c r="CZ588" s="34"/>
      <c r="DA588" s="34"/>
      <c r="DB588" s="35"/>
      <c r="DC588" s="34"/>
      <c r="DD588" s="34"/>
      <c r="DE588" s="35"/>
      <c r="DF588" s="34"/>
      <c r="DG588" s="34"/>
      <c r="DH588" s="35"/>
      <c r="DI588" s="34"/>
      <c r="DJ588" s="34"/>
      <c r="DK588" s="35"/>
      <c r="DL588" s="34"/>
      <c r="DM588" s="34"/>
      <c r="DN588" s="35"/>
      <c r="DO588" s="34"/>
      <c r="DP588" s="34"/>
      <c r="DQ588" s="35"/>
      <c r="DR588" s="34"/>
      <c r="DS588" s="34"/>
      <c r="DT588" s="35"/>
      <c r="DU588" s="34"/>
      <c r="DV588" s="34"/>
      <c r="DW588" s="35"/>
      <c r="DX588" s="34"/>
      <c r="DY588" s="34"/>
      <c r="DZ588" s="35"/>
      <c r="EA588" s="34"/>
      <c r="EB588" s="34"/>
      <c r="EC588" s="35"/>
      <c r="ED588" s="34"/>
      <c r="EE588" s="34"/>
      <c r="EF588" s="35"/>
      <c r="EG588" s="34"/>
      <c r="EH588" s="34"/>
      <c r="EI588" s="35"/>
      <c r="EJ588" s="34"/>
      <c r="EK588" s="34"/>
      <c r="EL588" s="35"/>
      <c r="EM588" s="34"/>
      <c r="EN588" s="34"/>
      <c r="EO588" s="35"/>
      <c r="EP588" s="34"/>
      <c r="EQ588" s="34"/>
      <c r="ER588" s="35"/>
      <c r="ES588" s="34"/>
      <c r="ET588" s="34"/>
      <c r="EU588" s="35"/>
      <c r="EV588" s="34"/>
      <c r="EW588" s="34"/>
      <c r="EX588" s="35"/>
      <c r="EY588" s="34"/>
      <c r="EZ588" s="34"/>
      <c r="FA588" s="35"/>
      <c r="FD588"/>
      <c r="FE588"/>
      <c r="FF588"/>
      <c r="FG588"/>
      <c r="FH588"/>
      <c r="FI588"/>
    </row>
    <row r="589" spans="1:165" s="33" customFormat="1">
      <c r="E589" s="34"/>
      <c r="F589" s="34"/>
      <c r="G589" s="35"/>
      <c r="H589" s="34"/>
      <c r="I589" s="34"/>
      <c r="J589" s="35"/>
      <c r="K589" s="34"/>
      <c r="L589" s="34"/>
      <c r="M589" s="35"/>
      <c r="N589" s="34"/>
      <c r="O589" s="34"/>
      <c r="P589" s="35"/>
      <c r="Q589" s="36"/>
      <c r="R589" s="36"/>
      <c r="S589" s="70"/>
      <c r="T589" s="36"/>
      <c r="U589" s="36"/>
      <c r="V589" s="1022"/>
      <c r="W589" s="1021"/>
      <c r="X589" s="1021"/>
      <c r="Y589" s="1022"/>
      <c r="Z589" s="1021"/>
      <c r="AA589" s="1021"/>
      <c r="AB589" s="1022"/>
      <c r="AC589" s="1021"/>
      <c r="AD589" s="1021"/>
      <c r="AE589" s="1022"/>
      <c r="AF589" s="1021"/>
      <c r="AG589" s="1021"/>
      <c r="AH589" s="1022"/>
      <c r="AI589" s="1021"/>
      <c r="AJ589" s="1021"/>
      <c r="AK589" s="1022"/>
      <c r="AL589" s="1021"/>
      <c r="AM589" s="1021"/>
      <c r="AN589" s="1022"/>
      <c r="AO589" s="1021"/>
      <c r="AP589" s="1021"/>
      <c r="AQ589" s="1022"/>
      <c r="AR589" s="1021"/>
      <c r="AS589" s="1021"/>
      <c r="AT589" s="1022"/>
      <c r="AU589" s="34"/>
      <c r="AV589" s="34"/>
      <c r="AW589" s="35"/>
      <c r="AX589" s="34"/>
      <c r="AY589" s="34"/>
      <c r="AZ589" s="35"/>
      <c r="BA589" s="34"/>
      <c r="BB589" s="34"/>
      <c r="BC589" s="35"/>
      <c r="BD589" s="34"/>
      <c r="BE589" s="34"/>
      <c r="BF589" s="35"/>
      <c r="BG589" s="34"/>
      <c r="BH589" s="34"/>
      <c r="BI589" s="35"/>
      <c r="BJ589" s="34"/>
      <c r="BK589" s="34"/>
      <c r="BL589" s="35"/>
      <c r="BM589" s="34"/>
      <c r="BN589" s="34"/>
      <c r="BO589" s="35"/>
      <c r="BP589" s="34"/>
      <c r="BQ589" s="34"/>
      <c r="BR589" s="35"/>
      <c r="BS589" s="34"/>
      <c r="BT589" s="34"/>
      <c r="BU589" s="35"/>
      <c r="BV589" s="34"/>
      <c r="BW589" s="34"/>
      <c r="BX589" s="35"/>
      <c r="BY589" s="34"/>
      <c r="BZ589" s="34"/>
      <c r="CA589" s="35"/>
      <c r="CB589" s="34"/>
      <c r="CC589" s="34"/>
      <c r="CD589" s="35"/>
      <c r="CE589" s="34"/>
      <c r="CF589" s="34"/>
      <c r="CG589" s="35"/>
      <c r="CH589" s="34"/>
      <c r="CI589" s="34"/>
      <c r="CJ589" s="35"/>
      <c r="CK589" s="34"/>
      <c r="CL589" s="34"/>
      <c r="CM589" s="35"/>
      <c r="CN589" s="34"/>
      <c r="CO589" s="34"/>
      <c r="CP589" s="35"/>
      <c r="CQ589" s="34"/>
      <c r="CR589" s="34"/>
      <c r="CS589" s="35"/>
      <c r="CT589" s="34"/>
      <c r="CU589" s="34"/>
      <c r="CV589" s="35"/>
      <c r="CW589" s="34"/>
      <c r="CX589" s="34"/>
      <c r="CY589" s="35"/>
      <c r="CZ589" s="34"/>
      <c r="DA589" s="34"/>
      <c r="DB589" s="35"/>
      <c r="DC589" s="34"/>
      <c r="DD589" s="34"/>
      <c r="DE589" s="35"/>
      <c r="DF589" s="34"/>
      <c r="DG589" s="34"/>
      <c r="DH589" s="35"/>
      <c r="DI589" s="34"/>
      <c r="DJ589" s="34"/>
      <c r="DK589" s="35"/>
      <c r="DL589" s="34"/>
      <c r="DM589" s="34"/>
      <c r="DN589" s="35"/>
      <c r="DO589" s="34"/>
      <c r="DP589" s="34"/>
      <c r="DQ589" s="35"/>
      <c r="DR589" s="34"/>
      <c r="DS589" s="34"/>
      <c r="DT589" s="35"/>
      <c r="DU589" s="34"/>
      <c r="DV589" s="34"/>
      <c r="DW589" s="35"/>
      <c r="DX589" s="34"/>
      <c r="DY589" s="34"/>
      <c r="DZ589" s="35"/>
      <c r="EA589" s="34"/>
      <c r="EB589" s="34"/>
      <c r="EC589" s="35"/>
      <c r="ED589" s="34"/>
      <c r="EE589" s="34"/>
      <c r="EF589" s="35"/>
      <c r="EG589" s="34"/>
      <c r="EH589" s="34"/>
      <c r="EI589" s="35"/>
      <c r="EJ589" s="34"/>
      <c r="EK589" s="34"/>
      <c r="EL589" s="35"/>
      <c r="EM589" s="34"/>
      <c r="EN589" s="34"/>
      <c r="EO589" s="35"/>
      <c r="EP589" s="34"/>
      <c r="EQ589" s="34"/>
      <c r="ER589" s="35"/>
      <c r="ES589" s="34"/>
      <c r="ET589" s="34"/>
      <c r="EU589" s="35"/>
      <c r="EV589" s="34"/>
      <c r="EW589" s="34"/>
      <c r="EX589" s="35"/>
      <c r="EY589" s="34"/>
      <c r="EZ589" s="34"/>
      <c r="FA589" s="35"/>
      <c r="FD589"/>
      <c r="FE589"/>
      <c r="FF589"/>
      <c r="FG589"/>
      <c r="FH589"/>
      <c r="FI589"/>
    </row>
    <row r="590" spans="1:165" s="33" customFormat="1">
      <c r="E590" s="34"/>
      <c r="F590" s="34"/>
      <c r="G590" s="35"/>
      <c r="H590" s="34"/>
      <c r="I590" s="34"/>
      <c r="J590" s="35"/>
      <c r="K590" s="34"/>
      <c r="L590" s="34"/>
      <c r="M590" s="35"/>
      <c r="N590" s="34"/>
      <c r="O590" s="34"/>
      <c r="P590" s="35"/>
      <c r="Q590" s="36"/>
      <c r="R590" s="36"/>
      <c r="S590" s="70"/>
      <c r="T590" s="36"/>
      <c r="U590" s="36"/>
      <c r="V590" s="1022"/>
      <c r="W590" s="1021"/>
      <c r="X590" s="1021"/>
      <c r="Y590" s="1022"/>
      <c r="Z590" s="1021"/>
      <c r="AA590" s="1021"/>
      <c r="AB590" s="1022"/>
      <c r="AC590" s="1021"/>
      <c r="AD590" s="1021"/>
      <c r="AE590" s="1022"/>
      <c r="AF590" s="1021"/>
      <c r="AG590" s="1021"/>
      <c r="AH590" s="1022"/>
      <c r="AI590" s="1021"/>
      <c r="AJ590" s="1021"/>
      <c r="AK590" s="1022"/>
      <c r="AL590" s="1021"/>
      <c r="AM590" s="1021"/>
      <c r="AN590" s="1022"/>
      <c r="AO590" s="1021"/>
      <c r="AP590" s="1021"/>
      <c r="AQ590" s="1022"/>
      <c r="AR590" s="1021"/>
      <c r="AS590" s="1021"/>
      <c r="AT590" s="1022"/>
      <c r="AU590" s="34"/>
      <c r="AV590" s="34"/>
      <c r="AW590" s="35"/>
      <c r="AX590" s="34"/>
      <c r="AY590" s="34"/>
      <c r="AZ590" s="35"/>
      <c r="BA590" s="34"/>
      <c r="BB590" s="34"/>
      <c r="BC590" s="35"/>
      <c r="BD590" s="34"/>
      <c r="BE590" s="34"/>
      <c r="BF590" s="35"/>
      <c r="BG590" s="34"/>
      <c r="BH590" s="34"/>
      <c r="BI590" s="35"/>
      <c r="BJ590" s="1346"/>
      <c r="BK590" s="1346"/>
      <c r="BL590" s="1518"/>
      <c r="BM590" s="34"/>
      <c r="BN590" s="34"/>
      <c r="BO590" s="35"/>
      <c r="BP590" s="34"/>
      <c r="BQ590" s="34"/>
      <c r="BR590" s="35"/>
      <c r="BS590" s="34"/>
      <c r="BT590" s="34"/>
      <c r="BU590" s="35"/>
      <c r="BV590" s="34"/>
      <c r="BW590" s="34"/>
      <c r="BX590" s="35"/>
      <c r="BY590" s="34"/>
      <c r="BZ590" s="34"/>
      <c r="CA590" s="35"/>
      <c r="CB590" s="34"/>
      <c r="CC590" s="34"/>
      <c r="CD590" s="35"/>
      <c r="CE590" s="34"/>
      <c r="CF590" s="34"/>
      <c r="CG590" s="35"/>
      <c r="CH590" s="34"/>
      <c r="CI590" s="34"/>
      <c r="CJ590" s="1518"/>
      <c r="CK590" s="1518"/>
      <c r="CL590" s="1518"/>
      <c r="CM590" s="1518"/>
      <c r="CN590" s="1518"/>
      <c r="CO590" s="1518"/>
      <c r="CP590" s="1518"/>
      <c r="CQ590" s="1518"/>
      <c r="CR590" s="1518"/>
      <c r="CS590" s="1518"/>
      <c r="CT590" s="34"/>
      <c r="CU590" s="34"/>
      <c r="CV590" s="35"/>
      <c r="CW590" s="34"/>
      <c r="CX590" s="34"/>
      <c r="CY590" s="35"/>
      <c r="CZ590" s="34"/>
      <c r="DA590" s="34"/>
      <c r="DB590" s="35"/>
      <c r="DC590" s="34"/>
      <c r="DD590" s="34"/>
      <c r="DE590" s="35"/>
      <c r="DF590" s="34"/>
      <c r="DG590" s="34"/>
      <c r="DH590" s="35"/>
      <c r="DI590" s="34"/>
      <c r="DJ590" s="34"/>
      <c r="DK590" s="35"/>
      <c r="DL590" s="34"/>
      <c r="DM590" s="34"/>
      <c r="DN590" s="35"/>
      <c r="DO590" s="34"/>
      <c r="DP590" s="34"/>
      <c r="DQ590" s="35"/>
      <c r="DR590" s="34"/>
      <c r="DS590" s="34"/>
      <c r="DT590" s="35"/>
      <c r="DU590" s="34"/>
      <c r="DV590" s="34"/>
      <c r="DW590" s="35"/>
      <c r="DX590" s="34"/>
      <c r="DY590" s="34"/>
      <c r="DZ590" s="35"/>
      <c r="EA590" s="34"/>
      <c r="EB590" s="34"/>
      <c r="EC590" s="35"/>
      <c r="ED590" s="34"/>
      <c r="EE590" s="34"/>
      <c r="EF590" s="35"/>
      <c r="EG590" s="34"/>
      <c r="EH590" s="34"/>
      <c r="EI590" s="35"/>
      <c r="EJ590" s="34"/>
      <c r="EK590" s="34"/>
      <c r="EL590" s="35"/>
      <c r="EM590" s="34"/>
      <c r="EN590" s="34"/>
      <c r="EO590" s="35"/>
      <c r="EP590" s="34"/>
      <c r="EQ590" s="34"/>
      <c r="ER590" s="35"/>
      <c r="ES590" s="34"/>
      <c r="ET590" s="34"/>
      <c r="EU590" s="35"/>
      <c r="EV590" s="34"/>
      <c r="EW590" s="34"/>
      <c r="EX590" s="35"/>
      <c r="EY590" s="34"/>
      <c r="EZ590" s="34"/>
      <c r="FA590" s="35"/>
      <c r="FD590"/>
      <c r="FE590"/>
      <c r="FF590"/>
      <c r="FG590"/>
      <c r="FH590"/>
      <c r="FI590"/>
    </row>
    <row r="591" spans="1:165" s="33" customFormat="1">
      <c r="E591" s="34"/>
      <c r="F591" s="34"/>
      <c r="G591" s="35"/>
      <c r="H591" s="34"/>
      <c r="I591" s="34"/>
      <c r="J591" s="35"/>
      <c r="K591" s="34"/>
      <c r="L591" s="34"/>
      <c r="M591" s="35"/>
      <c r="N591" s="34"/>
      <c r="O591" s="34"/>
      <c r="P591" s="35"/>
      <c r="Q591" s="36"/>
      <c r="R591" s="36"/>
      <c r="S591" s="70"/>
      <c r="T591" s="36"/>
      <c r="U591" s="36"/>
      <c r="V591" s="1022"/>
      <c r="W591" s="1021"/>
      <c r="X591" s="1021"/>
      <c r="Y591" s="1022"/>
      <c r="Z591" s="1021"/>
      <c r="AA591" s="1021"/>
      <c r="AB591" s="1022"/>
      <c r="AC591" s="1021"/>
      <c r="AD591" s="1021"/>
      <c r="AE591" s="1022"/>
      <c r="AF591" s="1021"/>
      <c r="AG591" s="1021"/>
      <c r="AH591" s="1022"/>
      <c r="AI591" s="1021"/>
      <c r="AJ591" s="1021"/>
      <c r="AK591" s="1022"/>
      <c r="AL591" s="1021"/>
      <c r="AM591" s="1021"/>
      <c r="AN591" s="1022"/>
      <c r="AO591" s="1021"/>
      <c r="AP591" s="1021"/>
      <c r="AQ591" s="1022"/>
      <c r="AR591" s="1021"/>
      <c r="AS591" s="1021"/>
      <c r="AT591" s="1022"/>
      <c r="AU591" s="34"/>
      <c r="AV591" s="34"/>
      <c r="AW591" s="35"/>
      <c r="AX591" s="34"/>
      <c r="AY591" s="34"/>
      <c r="AZ591" s="35"/>
      <c r="BA591" s="34"/>
      <c r="BB591" s="34"/>
      <c r="BC591" s="35"/>
      <c r="BD591" s="34"/>
      <c r="BE591" s="34"/>
      <c r="BF591" s="35"/>
      <c r="BG591" s="34"/>
      <c r="BH591" s="34"/>
      <c r="BI591" s="35"/>
      <c r="BJ591" s="1526"/>
      <c r="BK591" s="1526"/>
      <c r="BL591" s="1527"/>
      <c r="BM591" s="34"/>
      <c r="BN591" s="34"/>
      <c r="BO591" s="35"/>
      <c r="BP591" s="34"/>
      <c r="BQ591" s="34"/>
      <c r="BR591" s="35"/>
      <c r="BS591" s="34"/>
      <c r="BT591" s="34"/>
      <c r="BU591" s="35"/>
      <c r="BV591" s="34"/>
      <c r="BW591" s="34"/>
      <c r="BX591" s="35"/>
      <c r="BY591" s="34"/>
      <c r="BZ591" s="34"/>
      <c r="CA591" s="35"/>
      <c r="CB591" s="34"/>
      <c r="CC591" s="34"/>
      <c r="CD591" s="35"/>
      <c r="CE591" s="34"/>
      <c r="CF591" s="34"/>
      <c r="CG591" s="35"/>
      <c r="CH591" s="34"/>
      <c r="CI591" s="34"/>
      <c r="CJ591" s="35"/>
      <c r="CK591" s="34"/>
      <c r="CL591" s="34"/>
      <c r="CM591" s="35"/>
      <c r="CN591" s="34"/>
      <c r="CO591" s="34"/>
      <c r="CP591" s="35"/>
      <c r="CQ591" s="34"/>
      <c r="CR591" s="34"/>
      <c r="CS591" s="35"/>
      <c r="CT591" s="34"/>
      <c r="CU591" s="34"/>
      <c r="CV591" s="35"/>
      <c r="CW591" s="34"/>
      <c r="CX591" s="34"/>
      <c r="CY591" s="35"/>
      <c r="CZ591" s="34"/>
      <c r="DA591" s="34"/>
      <c r="DB591" s="35"/>
      <c r="DC591" s="34"/>
      <c r="DD591" s="34"/>
      <c r="DE591" s="35"/>
      <c r="DF591" s="34"/>
      <c r="DG591" s="34"/>
      <c r="DH591" s="35"/>
      <c r="DI591" s="34"/>
      <c r="DJ591" s="34"/>
      <c r="DK591" s="35"/>
      <c r="DL591" s="34"/>
      <c r="DM591" s="34"/>
      <c r="DN591" s="35"/>
      <c r="DO591" s="34"/>
      <c r="DP591" s="34"/>
      <c r="DQ591" s="35"/>
      <c r="DR591" s="34"/>
      <c r="DS591" s="34"/>
      <c r="DT591" s="35"/>
      <c r="DU591" s="34"/>
      <c r="DV591" s="34"/>
      <c r="DW591" s="35"/>
      <c r="DX591" s="34"/>
      <c r="DY591" s="34"/>
      <c r="DZ591" s="35"/>
      <c r="EA591" s="34"/>
      <c r="EB591" s="34"/>
      <c r="EC591" s="35"/>
      <c r="ED591" s="34"/>
      <c r="EE591" s="34"/>
      <c r="EF591" s="35"/>
      <c r="EG591" s="34"/>
      <c r="EH591" s="34"/>
      <c r="EI591" s="35"/>
      <c r="EJ591" s="34"/>
      <c r="EK591" s="34"/>
      <c r="EL591" s="35"/>
      <c r="EM591" s="34"/>
      <c r="EN591" s="34"/>
      <c r="EO591" s="35"/>
      <c r="EP591" s="34"/>
      <c r="EQ591" s="34"/>
      <c r="ER591" s="35"/>
      <c r="ES591" s="34"/>
      <c r="ET591" s="34"/>
      <c r="EU591" s="35"/>
      <c r="EV591" s="34"/>
      <c r="EW591" s="34"/>
      <c r="EX591" s="35"/>
      <c r="EY591" s="34"/>
      <c r="EZ591" s="34"/>
      <c r="FA591" s="35"/>
      <c r="FD591"/>
      <c r="FE591"/>
      <c r="FF591"/>
      <c r="FG591"/>
      <c r="FH591"/>
      <c r="FI591"/>
    </row>
    <row r="592" spans="1:165" s="33" customFormat="1">
      <c r="E592" s="34"/>
      <c r="F592" s="34"/>
      <c r="G592" s="35"/>
      <c r="H592" s="34"/>
      <c r="I592" s="34"/>
      <c r="J592" s="35"/>
      <c r="K592" s="34"/>
      <c r="L592" s="34"/>
      <c r="M592" s="35"/>
      <c r="N592" s="34"/>
      <c r="O592" s="34"/>
      <c r="P592" s="35"/>
      <c r="Q592" s="36"/>
      <c r="R592" s="36"/>
      <c r="S592" s="70"/>
      <c r="T592" s="36"/>
      <c r="U592" s="36"/>
      <c r="V592" s="1022"/>
      <c r="W592" s="1021"/>
      <c r="X592" s="1021"/>
      <c r="Y592" s="1022"/>
      <c r="Z592" s="1021"/>
      <c r="AA592" s="1021"/>
      <c r="AB592" s="1022"/>
      <c r="AC592" s="1021"/>
      <c r="AD592" s="1021"/>
      <c r="AE592" s="1022"/>
      <c r="AF592" s="1021"/>
      <c r="AG592" s="1021"/>
      <c r="AH592" s="1022"/>
      <c r="AI592" s="1021"/>
      <c r="AJ592" s="1021"/>
      <c r="AK592" s="1022"/>
      <c r="AL592" s="1021"/>
      <c r="AM592" s="1021"/>
      <c r="AN592" s="1022"/>
      <c r="AO592" s="1021"/>
      <c r="AP592" s="1021"/>
      <c r="AQ592" s="1022"/>
      <c r="AR592" s="1021"/>
      <c r="AS592" s="1021"/>
      <c r="AT592" s="1022"/>
      <c r="AU592" s="34"/>
      <c r="AV592" s="34"/>
      <c r="AW592" s="35"/>
      <c r="AX592" s="34"/>
      <c r="AY592" s="34"/>
      <c r="AZ592" s="35"/>
      <c r="BA592" s="34"/>
      <c r="BB592" s="34"/>
      <c r="BC592" s="35"/>
      <c r="BD592" s="34"/>
      <c r="BE592" s="34"/>
      <c r="BF592" s="35"/>
      <c r="BG592" s="34"/>
      <c r="BH592" s="34"/>
      <c r="BI592" s="35"/>
      <c r="BJ592" s="34"/>
      <c r="BK592" s="34"/>
      <c r="BL592" s="35"/>
      <c r="BM592" s="34"/>
      <c r="BN592" s="34"/>
      <c r="BO592" s="35"/>
      <c r="BP592" s="34"/>
      <c r="BQ592" s="34"/>
      <c r="BR592" s="35"/>
      <c r="BS592" s="34"/>
      <c r="BT592" s="34"/>
      <c r="BU592" s="35"/>
      <c r="BV592" s="34"/>
      <c r="BW592" s="34"/>
      <c r="BX592" s="35"/>
      <c r="BY592" s="34"/>
      <c r="BZ592" s="34"/>
      <c r="CA592" s="35"/>
      <c r="CB592" s="34"/>
      <c r="CC592" s="34"/>
      <c r="CD592" s="35"/>
      <c r="CE592" s="34"/>
      <c r="CF592" s="34"/>
      <c r="CG592" s="35"/>
      <c r="CH592" s="34"/>
      <c r="CI592" s="34"/>
      <c r="CJ592" s="1529"/>
      <c r="CK592" s="1529"/>
      <c r="CL592" s="1529"/>
      <c r="CM592" s="1529"/>
      <c r="CN592" s="1529"/>
      <c r="CO592" s="1529"/>
      <c r="CP592" s="1529"/>
      <c r="CQ592" s="1529"/>
      <c r="CR592" s="1529"/>
      <c r="CS592" s="1529"/>
      <c r="CT592" s="1518"/>
      <c r="CU592" s="1518"/>
      <c r="CV592" s="35"/>
      <c r="CW592" s="34"/>
      <c r="CX592" s="34"/>
      <c r="CY592" s="35"/>
      <c r="CZ592" s="34"/>
      <c r="DA592" s="34"/>
      <c r="DB592" s="35"/>
      <c r="DC592" s="34"/>
      <c r="DD592" s="34"/>
      <c r="DE592" s="35"/>
      <c r="DF592" s="34"/>
      <c r="DG592" s="34"/>
      <c r="DH592" s="35"/>
      <c r="DI592" s="34"/>
      <c r="DJ592" s="34"/>
      <c r="DK592" s="35"/>
      <c r="DL592" s="34"/>
      <c r="DM592" s="34"/>
      <c r="DN592" s="35"/>
      <c r="DO592" s="34"/>
      <c r="DP592" s="34"/>
      <c r="DQ592" s="35"/>
      <c r="DR592" s="34"/>
      <c r="DS592" s="34"/>
      <c r="DT592" s="35"/>
      <c r="DU592" s="34"/>
      <c r="DV592" s="34"/>
      <c r="DW592" s="35"/>
      <c r="DX592" s="34"/>
      <c r="DY592" s="34"/>
      <c r="DZ592" s="35"/>
      <c r="EA592" s="34"/>
      <c r="EB592" s="34"/>
      <c r="EC592" s="35"/>
      <c r="ED592" s="34"/>
      <c r="EE592" s="34"/>
      <c r="EF592" s="35"/>
      <c r="EG592" s="34"/>
      <c r="EH592" s="34"/>
      <c r="EI592" s="35"/>
      <c r="EJ592" s="34"/>
      <c r="EK592" s="34"/>
      <c r="EL592" s="35"/>
      <c r="EM592" s="34"/>
      <c r="EN592" s="34"/>
      <c r="EO592" s="35"/>
      <c r="EP592" s="34"/>
      <c r="EQ592" s="34"/>
      <c r="ER592" s="35"/>
      <c r="ES592" s="34"/>
      <c r="ET592" s="34"/>
      <c r="EU592" s="35"/>
      <c r="EV592" s="34"/>
      <c r="EW592" s="34"/>
      <c r="EX592" s="35"/>
      <c r="EY592" s="34"/>
      <c r="EZ592" s="34"/>
      <c r="FA592" s="35"/>
      <c r="FD592"/>
      <c r="FE592"/>
      <c r="FF592"/>
      <c r="FG592"/>
      <c r="FH592"/>
      <c r="FI592"/>
    </row>
    <row r="593" spans="5:165" s="33" customFormat="1">
      <c r="E593" s="34"/>
      <c r="F593" s="34"/>
      <c r="G593" s="35"/>
      <c r="H593" s="34"/>
      <c r="I593" s="34"/>
      <c r="J593" s="35"/>
      <c r="K593" s="34"/>
      <c r="L593" s="34"/>
      <c r="M593" s="35"/>
      <c r="N593" s="34"/>
      <c r="O593" s="34"/>
      <c r="P593" s="35"/>
      <c r="Q593" s="36"/>
      <c r="R593" s="36"/>
      <c r="S593" s="70"/>
      <c r="T593" s="36"/>
      <c r="U593" s="36"/>
      <c r="V593" s="1022"/>
      <c r="W593" s="1021"/>
      <c r="X593" s="1021"/>
      <c r="Y593" s="1022"/>
      <c r="Z593" s="1021"/>
      <c r="AA593" s="1021"/>
      <c r="AB593" s="1022"/>
      <c r="AC593" s="1021"/>
      <c r="AD593" s="1021"/>
      <c r="AE593" s="1022"/>
      <c r="AF593" s="1021"/>
      <c r="AG593" s="1021"/>
      <c r="AH593" s="1022"/>
      <c r="AI593" s="1021"/>
      <c r="AJ593" s="1021"/>
      <c r="AK593" s="1022"/>
      <c r="AL593" s="1021"/>
      <c r="AM593" s="1021"/>
      <c r="AN593" s="1022"/>
      <c r="AO593" s="1021"/>
      <c r="AP593" s="1021"/>
      <c r="AQ593" s="1022"/>
      <c r="AR593" s="1021"/>
      <c r="AS593" s="1021"/>
      <c r="AT593" s="1022"/>
      <c r="AU593" s="34"/>
      <c r="AV593" s="34"/>
      <c r="AW593" s="35"/>
      <c r="AX593" s="34"/>
      <c r="AY593" s="34"/>
      <c r="AZ593" s="35"/>
      <c r="BA593" s="34"/>
      <c r="BB593" s="34"/>
      <c r="BC593" s="35"/>
      <c r="BD593" s="34"/>
      <c r="BE593" s="34"/>
      <c r="BF593" s="35"/>
      <c r="BG593" s="34"/>
      <c r="BH593" s="34"/>
      <c r="BI593" s="35"/>
      <c r="BJ593" s="1346"/>
      <c r="BK593" s="1346"/>
      <c r="BL593" s="1518"/>
      <c r="BM593" s="34"/>
      <c r="BN593" s="34"/>
      <c r="BO593" s="35"/>
      <c r="BP593" s="34"/>
      <c r="BQ593" s="34"/>
      <c r="BR593" s="35"/>
      <c r="BS593" s="34"/>
      <c r="BT593" s="34"/>
      <c r="BU593" s="35"/>
      <c r="BV593" s="34"/>
      <c r="BW593" s="34"/>
      <c r="BX593" s="35"/>
      <c r="BY593" s="34"/>
      <c r="BZ593" s="34"/>
      <c r="CA593" s="35"/>
      <c r="CB593" s="34"/>
      <c r="CC593" s="34"/>
      <c r="CD593" s="35"/>
      <c r="CE593" s="34"/>
      <c r="CF593" s="34"/>
      <c r="CG593" s="35"/>
      <c r="CH593" s="34"/>
      <c r="CI593" s="34"/>
      <c r="CJ593" s="35"/>
      <c r="CK593" s="34"/>
      <c r="CL593" s="34"/>
      <c r="CM593" s="35"/>
      <c r="CN593" s="34"/>
      <c r="CO593" s="34"/>
      <c r="CP593" s="35"/>
      <c r="CQ593" s="34"/>
      <c r="CR593" s="34"/>
      <c r="CS593" s="35"/>
      <c r="CT593" s="34"/>
      <c r="CU593" s="34"/>
      <c r="CV593" s="35"/>
      <c r="CW593" s="34"/>
      <c r="CX593" s="34"/>
      <c r="CY593" s="35"/>
      <c r="CZ593" s="34"/>
      <c r="DA593" s="34"/>
      <c r="DB593" s="35"/>
      <c r="DC593" s="34"/>
      <c r="DD593" s="34"/>
      <c r="DE593" s="35"/>
      <c r="DF593" s="34"/>
      <c r="DG593" s="34"/>
      <c r="DH593" s="35"/>
      <c r="DI593" s="34"/>
      <c r="DJ593" s="34"/>
      <c r="DK593" s="35"/>
      <c r="DL593" s="34"/>
      <c r="DM593" s="34"/>
      <c r="DN593" s="35"/>
      <c r="DO593" s="34"/>
      <c r="DP593" s="34"/>
      <c r="DQ593" s="35"/>
      <c r="DR593" s="34"/>
      <c r="DS593" s="34"/>
      <c r="DT593" s="35"/>
      <c r="DU593" s="34"/>
      <c r="DV593" s="34"/>
      <c r="DW593" s="35"/>
      <c r="DX593" s="34"/>
      <c r="DY593" s="34"/>
      <c r="DZ593" s="35"/>
      <c r="EA593" s="34"/>
      <c r="EB593" s="34"/>
      <c r="EC593" s="35"/>
      <c r="ED593" s="34"/>
      <c r="EE593" s="34"/>
      <c r="EF593" s="35"/>
      <c r="EG593" s="34"/>
      <c r="EH593" s="34"/>
      <c r="EI593" s="35"/>
      <c r="EJ593" s="34"/>
      <c r="EK593" s="34"/>
      <c r="EL593" s="35"/>
      <c r="EM593" s="34"/>
      <c r="EN593" s="34"/>
      <c r="EO593" s="35"/>
      <c r="EP593" s="34"/>
      <c r="EQ593" s="34"/>
      <c r="ER593" s="35"/>
      <c r="ES593" s="34"/>
      <c r="ET593" s="34"/>
      <c r="EU593" s="35"/>
      <c r="EV593" s="34"/>
      <c r="EW593" s="34"/>
      <c r="EX593" s="35"/>
      <c r="EY593" s="34"/>
      <c r="EZ593" s="34"/>
      <c r="FA593" s="35"/>
      <c r="FD593"/>
      <c r="FE593"/>
      <c r="FF593"/>
      <c r="FG593"/>
      <c r="FH593"/>
      <c r="FI593"/>
    </row>
    <row r="594" spans="5:165" s="33" customFormat="1">
      <c r="E594" s="34"/>
      <c r="F594" s="34"/>
      <c r="G594" s="35"/>
      <c r="H594" s="34"/>
      <c r="I594" s="34"/>
      <c r="J594" s="35"/>
      <c r="K594" s="34"/>
      <c r="L594" s="34"/>
      <c r="M594" s="35"/>
      <c r="N594" s="34"/>
      <c r="O594" s="34"/>
      <c r="P594" s="35"/>
      <c r="Q594" s="36"/>
      <c r="R594" s="36"/>
      <c r="S594" s="70"/>
      <c r="T594" s="36"/>
      <c r="U594" s="36"/>
      <c r="V594" s="1022"/>
      <c r="W594" s="1021"/>
      <c r="X594" s="1021"/>
      <c r="Y594" s="1022"/>
      <c r="Z594" s="1021"/>
      <c r="AA594" s="1021"/>
      <c r="AB594" s="1022"/>
      <c r="AC594" s="1021"/>
      <c r="AD594" s="1021"/>
      <c r="AE594" s="1022"/>
      <c r="AF594" s="1021"/>
      <c r="AG594" s="1021"/>
      <c r="AH594" s="1022"/>
      <c r="AI594" s="1021"/>
      <c r="AJ594" s="1021"/>
      <c r="AK594" s="1022"/>
      <c r="AL594" s="1021"/>
      <c r="AM594" s="1021"/>
      <c r="AN594" s="1022"/>
      <c r="AO594" s="1021"/>
      <c r="AP594" s="1021"/>
      <c r="AQ594" s="1022"/>
      <c r="AR594" s="1021"/>
      <c r="AS594" s="1021"/>
      <c r="AT594" s="1022"/>
      <c r="AU594" s="34"/>
      <c r="AV594" s="34"/>
      <c r="AW594" s="35"/>
      <c r="AX594" s="34"/>
      <c r="AY594" s="34"/>
      <c r="AZ594" s="35"/>
      <c r="BA594" s="34"/>
      <c r="BB594" s="34"/>
      <c r="BC594" s="35"/>
      <c r="BD594" s="34"/>
      <c r="BE594" s="34"/>
      <c r="BF594" s="35"/>
      <c r="BG594" s="34"/>
      <c r="BH594" s="34"/>
      <c r="BI594" s="35"/>
      <c r="BJ594" s="1526"/>
      <c r="BK594" s="1526"/>
      <c r="BL594" s="1527"/>
      <c r="BM594" s="34"/>
      <c r="BN594" s="34"/>
      <c r="BO594" s="35"/>
      <c r="BP594" s="34"/>
      <c r="BQ594" s="34"/>
      <c r="BR594" s="35"/>
      <c r="BS594" s="34"/>
      <c r="BT594" s="34"/>
      <c r="BU594" s="35"/>
      <c r="BV594" s="34"/>
      <c r="BW594" s="34"/>
      <c r="BX594" s="35"/>
      <c r="BY594" s="34"/>
      <c r="BZ594" s="34"/>
      <c r="CA594" s="35"/>
      <c r="CB594" s="34"/>
      <c r="CC594" s="34"/>
      <c r="CD594" s="35"/>
      <c r="CE594" s="34"/>
      <c r="CF594" s="34"/>
      <c r="CG594" s="35"/>
      <c r="CH594" s="34"/>
      <c r="CI594" s="34"/>
      <c r="CJ594" s="35"/>
      <c r="CK594" s="34"/>
      <c r="CL594" s="34"/>
      <c r="CM594" s="35"/>
      <c r="CN594" s="34"/>
      <c r="CO594" s="34"/>
      <c r="CP594" s="35"/>
      <c r="CQ594" s="34"/>
      <c r="CR594" s="34"/>
      <c r="CS594" s="35"/>
      <c r="CT594" s="34"/>
      <c r="CU594" s="34"/>
      <c r="CV594" s="35"/>
      <c r="CW594" s="34"/>
      <c r="CX594" s="34"/>
      <c r="CY594" s="35"/>
      <c r="CZ594" s="34"/>
      <c r="DA594" s="34"/>
      <c r="DB594" s="35"/>
      <c r="DC594" s="34"/>
      <c r="DD594" s="34"/>
      <c r="DE594" s="35"/>
      <c r="DF594" s="34"/>
      <c r="DG594" s="34"/>
      <c r="DH594" s="35"/>
      <c r="DI594" s="34"/>
      <c r="DJ594" s="34"/>
      <c r="DK594" s="35"/>
      <c r="DL594" s="34"/>
      <c r="DM594" s="34"/>
      <c r="DN594" s="35"/>
      <c r="DO594" s="34"/>
      <c r="DP594" s="34"/>
      <c r="DQ594" s="35"/>
      <c r="DR594" s="34"/>
      <c r="DS594" s="34"/>
      <c r="DT594" s="35"/>
      <c r="DU594" s="34"/>
      <c r="DV594" s="34"/>
      <c r="DW594" s="35"/>
      <c r="DX594" s="34"/>
      <c r="DY594" s="34"/>
      <c r="DZ594" s="35"/>
      <c r="EA594" s="34"/>
      <c r="EB594" s="34"/>
      <c r="EC594" s="35"/>
      <c r="ED594" s="34"/>
      <c r="EE594" s="34"/>
      <c r="EF594" s="35"/>
      <c r="EG594" s="34"/>
      <c r="EH594" s="34"/>
      <c r="EI594" s="35"/>
      <c r="EJ594" s="34"/>
      <c r="EK594" s="34"/>
      <c r="EL594" s="35"/>
      <c r="EM594" s="34"/>
      <c r="EN594" s="34"/>
      <c r="EO594" s="35"/>
      <c r="EP594" s="34"/>
      <c r="EQ594" s="34"/>
      <c r="ER594" s="35"/>
      <c r="ES594" s="34"/>
      <c r="ET594" s="34"/>
      <c r="EU594" s="35"/>
      <c r="EV594" s="34"/>
      <c r="EW594" s="34"/>
      <c r="EX594" s="35"/>
      <c r="EY594" s="34"/>
      <c r="EZ594" s="34"/>
      <c r="FA594" s="35"/>
      <c r="FD594"/>
      <c r="FE594"/>
      <c r="FF594"/>
      <c r="FG594"/>
      <c r="FH594"/>
      <c r="FI594"/>
    </row>
    <row r="596" spans="5:165">
      <c r="CJ596" s="12"/>
      <c r="CK596" s="12"/>
      <c r="CL596" s="12"/>
      <c r="CM596" s="12"/>
      <c r="CN596" s="12"/>
      <c r="CO596" s="12"/>
      <c r="CP596" s="12"/>
      <c r="CQ596" s="12"/>
      <c r="CR596" s="12"/>
      <c r="CS596" s="12"/>
    </row>
  </sheetData>
  <phoneticPr fontId="4" type="noConversion"/>
  <printOptions headings="1" gridLines="1"/>
  <pageMargins left="0.51" right="0.51" top="0.51" bottom="0.55000000000000004" header="0.51" footer="0.51"/>
  <pageSetup paperSize="9" scale="60" fitToHeight="17" orientation="portrait" r:id="rId1"/>
  <headerFooter alignWithMargins="0">
    <oddFooter>&amp;L&amp;"Times New Roman,Italic"&amp;8&amp;F  &amp;D  &amp;T  Page &amp;P</oddFooter>
  </headerFooter>
  <ignoredErrors>
    <ignoredError sqref="BV117:DQ118 BX488:DQ492 CI458:CI460 BX144:DQ148 BX140:DQ140 BX454:CH460 CJ454:DQ455 CI455:CI456 CP394 CN394 CO390:CO391 BX390:CL394 CM394 CM390:CM392 CN390:CN392 CQ392:DK392 CP390:CP392 CO394 CJ457:DQ460 CJ456:CR456 CU456:DQ456 BV116:CO116 CQ116:DQ116 CQ394:DQ394 CR393 CT393:CX393 CQ390:CV390 CX390:CY390 CQ391:CV391 CX391 DA391 CZ393:DK393 CB341:DU342 DR344:DU347 FB341:FC342 FB343:FC347 DC391:DH391 DB390:DH390 DJ391:DK391 DM391 DP391:DQ391 BX142:DQ142 BX141:DL141 DN141:DQ141 DM392:DQ392 BL30:BM30 BP30:CP30 DM393:DQ393 DX341:EC342 DX344:EC347" unlockedFormula="1"/>
    <ignoredError sqref="BV28:BW29 CK82 CS29 CM81:CM82 BX80:CG82 CJ82 CI80:CI82 CH82 CS60:DQ60 BX28:CR29 BX60:CH60 CJ60:CQ60 CL80:CL82 CS98:CS111 BX95:CO111 CP98:CP111 CP95:CP96 CQ95:CR111 CT98:DQ111 CS96 CN82 CO80:CO82 CQ82:DQ82 CP81:CP82 CU95 CW95:CX95 CR80 CU80 CU96 CU97 CW96:CX96 CQ81:CS81 CU81 BV60:BW72 CX80 CW81:DQ81 CW97:DQ97 BV32:BW32 CJ58:CQ58 BX58:CH58 CS58:DQ58 DA80 CZ95:DQ95 CZ96:DQ96 BV34:BW53 BV74:BW111 DD80 CT29:DQ29 CT28:CU28 DG80 DJ80 DM80 DP80 BV55:BW58 CW28:DB28" evalError="1"/>
    <ignoredError sqref="BX93:DQ94 BX39:DQ40 CH55:CH57 CJ61:CJ72 BX41:CG53 CH78:CH79 CH41:CH53 BX61:CG72 CI41:CI53 CH61:CH72 CS56:CS57 CT41:DQ52 CS42:CS53 CR70:CR72 CI78:CI79 CP89:CP91 BX83:CO91 CQ84:DQ84 CP83:CP87 CK61:CK72 CL75:CL79 CL61:CL72 CM61:CQ72 CS62:DQ68 CJ41:CQ53 CR41:CR53 CQ91:DQ91 CQ88:CU88 CW88:DH88 CZ92:DA92 CQ87:CX87 CZ87:DH87 CQ89:CX89 CZ89:DM89 BX32:DQ32 BY31:DQ31 BX37:DQ38 BX36:DA36 DC36:DQ36 CT56:DQ57 DC92:DD92 CS61:CX61 CZ61:DQ61 CX92 BX92:CA92 BX34:DQ34 CS74:DQ74 BX74:CG79 CJ74:CJ77 CH74:CH75 CR74:CR79 CK74:CK79 CM74:CQ79 CS79:DQ79 CS77:CV77 CS72:CX72 DA72:DQ72 CS76:CY76 DA76 DC76:DQ76 BX35:CY35 DF35:DQ35 CS75:DB75 CS78:DJ78 DL78:DQ78 CQ83:DN83 DJ87 DJ88 DP89 BX55:CG57 CJ55:CQ57 CQ90:DN90 DP90 CQ86:DQ86 CQ85:DP85 CT53:CX53 CZ53:DQ53 CT55:CX55 CZ55:DQ55 CS70:DQ71 CS69:CX69 CZ69:DQ69" evalError="1" unlockedFormula="1"/>
    <ignoredError sqref="BX166:DQ167 CM315:CM320 BX327:DQ336 BX344:CA347 BX350:DQ359 BX361:DQ363 BX291:CI320 CJ317:CJ320 CJ291:CJ293 CK306:CK307 CK291:CK293 CK295:CK296 CK315:CK320 CK309:CK313 CK298:CK304 CL291:CL320 CN315:CN320 CM291:CM293 CM295:CM296 CM298:CM304 CM306:CM307 CM309:CM313 CA389:CL389 CR389 CN291:CN293 CN295:CN296 CN298:CN304 CN306:CN307 CN309:CN313 CO291:CO320 CQ293:DN293 CP291:CP293 CP295:CP296 CP298:CP304 CP306:CP307 CP309:CP313 CP315:CP320 CU273:CU274 CQ295:DN296 CR294 CQ298:DN301 CR297 CQ306:DN306 CR305 CQ310:DN313 CR308 CQ315:DN315 CR314 CX314 CQ320:CW320 DF320:DN320 BX20:DQ20 BX19:CU19 CU294 CU297 CU305 CU308 CU314 CU389 CQ291:CS291 CU291:CV291 BX337:BX339 BZ337:CA339 CC337:CD339 CF337:DQ337 CF339:DQ339 CF338:DA338 DC338:DP338 CX294 CX297 CX305 CX308 CQ303:DN304 CQ302:CU302 CW302:DN302 CX389 CQ317:DN317 CR316 CX316 CU316 CW19:CY19 CX291:CY291 DA316 CJ306:CJ313 CJ315 CJ295:CJ296 CJ298:CJ304 DA294 DA297 DA305 DA308 DA314 DA389 DA19 DA291 DD291:DE291 DD294 DD297 DD305 CQ307:DA307 DD307:DN307 DD314 DC389:DH389 DD308 DC316:DN316 DI19:DO19 DG314 DG308 DG305 DG294 DG297 DG291 CQ292:DE292 DG292:DN292 CQ309:DE309 CQ319:DN319 CQ318:DE318 DG318 DI309:DJ309 DJ314 DI318:DN318 DI291:DN291 DJ294 DJ297 DJ305 DJ308 DJ389:DK389 DL309:DN309 DM305 DM294 DM297 DM308 DM314 DM389 DP389 BX17:DH17 DO14:DP14 BX349 CA349 CD349 CG349 CJ349 CM349 CP349 CS349 CV349 CY349 DB349 DE349 DH349 DK349 DN349 DQ349" formula="1"/>
    <ignoredError sqref="BX348:DQ348 BX360:DQ360 BX143:DQ143 CI454 CI457 CB344:DQ347" formula="1" unlockedFormula="1"/>
    <ignoredError sqref="CI60 CR60 CR58 CI58" evalError="1" formula="1"/>
    <ignoredError sqref="CI55:CI57 CI61:CI69 CI70:CI72 CR61:CR69 CR55:CR57 CI74:CI77" evalError="1" formula="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anchor moveWithCells="1" sizeWithCells="1">
                  <from>
                    <xdr:col>4</xdr:col>
                    <xdr:colOff>0</xdr:colOff>
                    <xdr:row>2</xdr:row>
                    <xdr:rowOff>0</xdr:rowOff>
                  </from>
                  <to>
                    <xdr:col>4</xdr:col>
                    <xdr:colOff>0</xdr:colOff>
                    <xdr:row>2</xdr:row>
                    <xdr:rowOff>0</xdr:rowOff>
                  </to>
                </anchor>
              </controlPr>
            </control>
          </mc:Choice>
        </mc:AlternateContent>
        <mc:AlternateContent xmlns:mc="http://schemas.openxmlformats.org/markup-compatibility/2006">
          <mc:Choice Requires="x14">
            <control shapeId="5122" r:id="rId5" name="Button 2">
              <controlPr defaultSize="0" print="0" autoFill="0" autoLine="0" autoPict="0">
                <anchor moveWithCells="1" sizeWithCells="1">
                  <from>
                    <xdr:col>4</xdr:col>
                    <xdr:colOff>0</xdr:colOff>
                    <xdr:row>2</xdr:row>
                    <xdr:rowOff>0</xdr:rowOff>
                  </from>
                  <to>
                    <xdr:col>4</xdr:col>
                    <xdr:colOff>0</xdr:colOff>
                    <xdr:row>2</xdr:row>
                    <xdr:rowOff>0</xdr:rowOff>
                  </to>
                </anchor>
              </controlPr>
            </control>
          </mc:Choice>
        </mc:AlternateContent>
        <mc:AlternateContent xmlns:mc="http://schemas.openxmlformats.org/markup-compatibility/2006">
          <mc:Choice Requires="x14">
            <control shapeId="5123" r:id="rId6" name="Button 3">
              <controlPr defaultSize="0" print="0" autoFill="0" autoLine="0" autoPict="0">
                <anchor moveWithCells="1" sizeWithCells="1">
                  <from>
                    <xdr:col>4</xdr:col>
                    <xdr:colOff>0</xdr:colOff>
                    <xdr:row>2</xdr:row>
                    <xdr:rowOff>0</xdr:rowOff>
                  </from>
                  <to>
                    <xdr:col>4</xdr:col>
                    <xdr:colOff>0</xdr:colOff>
                    <xdr:row>2</xdr:row>
                    <xdr:rowOff>0</xdr:rowOff>
                  </to>
                </anchor>
              </controlPr>
            </control>
          </mc:Choice>
        </mc:AlternateContent>
        <mc:AlternateContent xmlns:mc="http://schemas.openxmlformats.org/markup-compatibility/2006">
          <mc:Choice Requires="x14">
            <control shapeId="5124" r:id="rId7" name="Button 4">
              <controlPr defaultSize="0" print="0" autoFill="0" autoLine="0" autoPict="0">
                <anchor moveWithCells="1" sizeWithCells="1">
                  <from>
                    <xdr:col>4</xdr:col>
                    <xdr:colOff>0</xdr:colOff>
                    <xdr:row>2</xdr:row>
                    <xdr:rowOff>0</xdr:rowOff>
                  </from>
                  <to>
                    <xdr:col>4</xdr:col>
                    <xdr:colOff>0</xdr:colOff>
                    <xdr:row>2</xdr:row>
                    <xdr:rowOff>0</xdr:rowOff>
                  </to>
                </anchor>
              </controlPr>
            </control>
          </mc:Choice>
        </mc:AlternateContent>
        <mc:AlternateContent xmlns:mc="http://schemas.openxmlformats.org/markup-compatibility/2006">
          <mc:Choice Requires="x14">
            <control shapeId="5125" r:id="rId8" name="Button 5">
              <controlPr defaultSize="0" print="0" autoFill="0" autoLine="0" autoPict="0">
                <anchor moveWithCells="1" sizeWithCells="1">
                  <from>
                    <xdr:col>4</xdr:col>
                    <xdr:colOff>0</xdr:colOff>
                    <xdr:row>2</xdr:row>
                    <xdr:rowOff>0</xdr:rowOff>
                  </from>
                  <to>
                    <xdr:col>4</xdr:col>
                    <xdr:colOff>0</xdr:colOff>
                    <xdr:row>2</xdr:row>
                    <xdr:rowOff>0</xdr:rowOff>
                  </to>
                </anchor>
              </controlPr>
            </control>
          </mc:Choice>
        </mc:AlternateContent>
        <mc:AlternateContent xmlns:mc="http://schemas.openxmlformats.org/markup-compatibility/2006">
          <mc:Choice Requires="x14">
            <control shapeId="5126" r:id="rId9" name="Button 6">
              <controlPr defaultSize="0" print="0" autoFill="0" autoLine="0" autoPict="0">
                <anchor moveWithCells="1" sizeWithCells="1">
                  <from>
                    <xdr:col>4</xdr:col>
                    <xdr:colOff>0</xdr:colOff>
                    <xdr:row>2</xdr:row>
                    <xdr:rowOff>0</xdr:rowOff>
                  </from>
                  <to>
                    <xdr:col>4</xdr:col>
                    <xdr:colOff>0</xdr:colOff>
                    <xdr:row>2</xdr:row>
                    <xdr:rowOff>0</xdr:rowOff>
                  </to>
                </anchor>
              </controlPr>
            </control>
          </mc:Choice>
        </mc:AlternateContent>
        <mc:AlternateContent xmlns:mc="http://schemas.openxmlformats.org/markup-compatibility/2006">
          <mc:Choice Requires="x14">
            <control shapeId="5127" r:id="rId10" name="Button 7">
              <controlPr defaultSize="0" print="0" autoFill="0" autoLine="0" autoPict="0">
                <anchor moveWithCells="1" sizeWithCells="1">
                  <from>
                    <xdr:col>4</xdr:col>
                    <xdr:colOff>0</xdr:colOff>
                    <xdr:row>2</xdr:row>
                    <xdr:rowOff>0</xdr:rowOff>
                  </from>
                  <to>
                    <xdr:col>4</xdr:col>
                    <xdr:colOff>0</xdr:colOff>
                    <xdr:row>2</xdr:row>
                    <xdr:rowOff>0</xdr:rowOff>
                  </to>
                </anchor>
              </controlPr>
            </control>
          </mc:Choice>
        </mc:AlternateContent>
        <mc:AlternateContent xmlns:mc="http://schemas.openxmlformats.org/markup-compatibility/2006">
          <mc:Choice Requires="x14">
            <control shapeId="5128" r:id="rId11" name="Button 8">
              <controlPr defaultSize="0" print="0" autoFill="0" autoLine="0" autoPict="0">
                <anchor moveWithCells="1" sizeWithCells="1">
                  <from>
                    <xdr:col>4</xdr:col>
                    <xdr:colOff>0</xdr:colOff>
                    <xdr:row>2</xdr:row>
                    <xdr:rowOff>0</xdr:rowOff>
                  </from>
                  <to>
                    <xdr:col>4</xdr:col>
                    <xdr:colOff>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92D050"/>
    <pageSetUpPr fitToPage="1"/>
  </sheetPr>
  <dimension ref="A2:GR460"/>
  <sheetViews>
    <sheetView showGridLines="0" zoomScale="70" zoomScaleNormal="70" workbookViewId="0">
      <pane xSplit="4" ySplit="4" topLeftCell="DN295" activePane="bottomRight" state="frozen"/>
      <selection pane="topRight" activeCell="E1" sqref="E1"/>
      <selection pane="bottomLeft" activeCell="A5" sqref="A5"/>
      <selection pane="bottomRight" activeCell="EA300" sqref="EA300"/>
    </sheetView>
  </sheetViews>
  <sheetFormatPr defaultColWidth="9.28515625" defaultRowHeight="13.35" customHeight="1" outlineLevelRow="1" outlineLevelCol="1"/>
  <cols>
    <col min="1" max="1" width="12.28515625" style="988" bestFit="1" customWidth="1"/>
    <col min="2" max="2" width="2.28515625" style="177" customWidth="1"/>
    <col min="3" max="3" width="33.28515625" style="177" bestFit="1" customWidth="1"/>
    <col min="4" max="4" width="9.7109375" style="294" customWidth="1"/>
    <col min="5" max="6" width="9.28515625" style="177" hidden="1" customWidth="1" outlineLevel="1"/>
    <col min="7" max="7" width="9.28515625" style="177" hidden="1" customWidth="1" outlineLevel="1" collapsed="1"/>
    <col min="8" max="9" width="9.28515625" style="177" hidden="1" customWidth="1" outlineLevel="1"/>
    <col min="10" max="10" width="9.28515625" style="177" hidden="1" customWidth="1" outlineLevel="1" collapsed="1"/>
    <col min="11" max="12" width="9.28515625" style="177" hidden="1" customWidth="1" outlineLevel="1"/>
    <col min="13" max="13" width="9.28515625" style="177" hidden="1" customWidth="1" outlineLevel="1" collapsed="1"/>
    <col min="14" max="15" width="9.28515625" style="177" hidden="1" customWidth="1" outlineLevel="1"/>
    <col min="16" max="16" width="9.28515625" style="177" hidden="1" customWidth="1" outlineLevel="1" collapsed="1"/>
    <col min="17" max="18" width="9.28515625" style="177" hidden="1" customWidth="1" outlineLevel="1"/>
    <col min="19" max="19" width="9.28515625" style="177" hidden="1" customWidth="1" outlineLevel="1" collapsed="1"/>
    <col min="20" max="21" width="9.28515625" style="177" hidden="1" customWidth="1" outlineLevel="1"/>
    <col min="22" max="22" width="9.28515625" style="177" hidden="1" customWidth="1" outlineLevel="1" collapsed="1"/>
    <col min="23" max="24" width="9.28515625" style="177" hidden="1" customWidth="1" outlineLevel="1"/>
    <col min="25" max="25" width="9.28515625" style="177" hidden="1" customWidth="1" outlineLevel="1" collapsed="1"/>
    <col min="26" max="27" width="9.28515625" style="177" hidden="1" customWidth="1" outlineLevel="1"/>
    <col min="28" max="28" width="9.28515625" style="177" hidden="1" customWidth="1" outlineLevel="1" collapsed="1"/>
    <col min="29" max="30" width="9.28515625" style="177" hidden="1" customWidth="1" outlineLevel="1"/>
    <col min="31" max="31" width="9.28515625" style="177" hidden="1" customWidth="1" outlineLevel="1" collapsed="1"/>
    <col min="32" max="33" width="9.28515625" style="177" hidden="1" customWidth="1" outlineLevel="1"/>
    <col min="34" max="34" width="9.28515625" style="177" hidden="1" customWidth="1" outlineLevel="1" collapsed="1"/>
    <col min="35" max="36" width="9.28515625" style="177" hidden="1" customWidth="1" outlineLevel="1"/>
    <col min="37" max="37" width="9.28515625" style="177" hidden="1" customWidth="1" outlineLevel="1" collapsed="1"/>
    <col min="38" max="49" width="9.28515625" style="177" hidden="1" customWidth="1" outlineLevel="1"/>
    <col min="50" max="50" width="9" style="177" hidden="1" customWidth="1" outlineLevel="1"/>
    <col min="51" max="53" width="9.28515625" style="177" hidden="1" customWidth="1" outlineLevel="1"/>
    <col min="54" max="54" width="1.28515625" style="177" hidden="1" customWidth="1" outlineLevel="1"/>
    <col min="55" max="61" width="9.28515625" style="177" hidden="1" customWidth="1" outlineLevel="1"/>
    <col min="62" max="62" width="10" style="177" hidden="1" customWidth="1" outlineLevel="1"/>
    <col min="63" max="72" width="9.28515625" style="177" hidden="1" customWidth="1" outlineLevel="1"/>
    <col min="73" max="73" width="10.42578125" style="352" hidden="1" customWidth="1" outlineLevel="1"/>
    <col min="74" max="100" width="9.28515625" style="177" hidden="1" customWidth="1" outlineLevel="1"/>
    <col min="101" max="101" width="9.28515625" style="177" hidden="1" customWidth="1" outlineLevel="1" collapsed="1"/>
    <col min="102" max="102" width="9.28515625" style="177" hidden="1" customWidth="1" outlineLevel="1"/>
    <col min="103" max="114" width="9.28515625" style="560" hidden="1" customWidth="1" outlineLevel="1"/>
    <col min="115" max="115" width="9.28515625" style="561" hidden="1" customWidth="1" outlineLevel="1"/>
    <col min="116" max="117" width="9.28515625" style="560" hidden="1" customWidth="1" outlineLevel="1"/>
    <col min="118" max="118" width="9.28515625" style="561" customWidth="1" collapsed="1"/>
    <col min="119" max="120" width="9.28515625" style="560" customWidth="1" outlineLevel="1"/>
    <col min="121" max="121" width="9.28515625" style="561" customWidth="1"/>
    <col min="122" max="123" width="9.28515625" style="560" customWidth="1" outlineLevel="1"/>
    <col min="124" max="124" width="9.28515625" style="561" customWidth="1"/>
    <col min="125" max="126" width="9.28515625" style="560" customWidth="1" outlineLevel="1"/>
    <col min="127" max="127" width="9.28515625" style="561" customWidth="1"/>
    <col min="128" max="129" width="9.28515625" style="560" customWidth="1" outlineLevel="1"/>
    <col min="130" max="130" width="9.28515625" style="561" customWidth="1"/>
    <col min="131" max="132" width="9.28515625" style="560" customWidth="1" outlineLevel="1"/>
    <col min="133" max="133" width="9.28515625" style="561" customWidth="1"/>
    <col min="134" max="135" width="9.28515625" style="560" customWidth="1" outlineLevel="1"/>
    <col min="136" max="136" width="9.28515625" style="561" customWidth="1"/>
    <col min="137" max="138" width="9.28515625" style="560" customWidth="1" outlineLevel="1"/>
    <col min="139" max="139" width="9.28515625" style="561" customWidth="1"/>
    <col min="140" max="141" width="9.28515625" style="560" customWidth="1" outlineLevel="1"/>
    <col min="142" max="142" width="9.28515625" style="561" customWidth="1"/>
    <col min="143" max="144" width="9.28515625" style="560" customWidth="1" outlineLevel="1"/>
    <col min="145" max="145" width="9.28515625" style="561" customWidth="1"/>
    <col min="146" max="147" width="9.28515625" style="560" customWidth="1" outlineLevel="1"/>
    <col min="148" max="148" width="9.28515625" style="561" customWidth="1"/>
    <col min="149" max="150" width="9.28515625" style="560" customWidth="1" outlineLevel="1"/>
    <col min="151" max="151" width="9.28515625" style="561" customWidth="1"/>
    <col min="152" max="153" width="9.28515625" style="560" outlineLevel="1"/>
    <col min="154" max="154" width="9.28515625" style="561"/>
    <col min="155" max="156" width="9.28515625" style="560" outlineLevel="1"/>
    <col min="157" max="157" width="9.28515625" style="561"/>
    <col min="158" max="162" width="9.28515625" style="176"/>
    <col min="163" max="163" width="9.5703125" style="176" bestFit="1" customWidth="1"/>
    <col min="164" max="164" width="11.5703125" style="176" customWidth="1"/>
    <col min="165" max="171" width="9.28515625" style="176" customWidth="1"/>
    <col min="172" max="172" width="9.28515625" style="176"/>
    <col min="173" max="173" width="9.5703125" style="176" bestFit="1" customWidth="1"/>
    <col min="174" max="184" width="9.28515625" style="176"/>
    <col min="185" max="16384" width="9.28515625" style="177"/>
  </cols>
  <sheetData>
    <row r="2" spans="1:184" ht="13.35" customHeight="1">
      <c r="B2" s="1575" t="s">
        <v>986</v>
      </c>
      <c r="C2" s="1575"/>
      <c r="D2" s="1576"/>
      <c r="E2" s="1575"/>
      <c r="F2" s="1575"/>
      <c r="G2" s="1575"/>
      <c r="H2" s="1575"/>
      <c r="I2" s="1575"/>
      <c r="J2" s="1575"/>
      <c r="K2" s="1575"/>
      <c r="L2" s="1575"/>
      <c r="M2" s="1575"/>
      <c r="N2" s="1575"/>
      <c r="O2" s="1575"/>
      <c r="P2" s="1575"/>
      <c r="Q2" s="1575"/>
      <c r="R2" s="1575"/>
      <c r="S2" s="1575"/>
      <c r="T2" s="1575"/>
      <c r="U2" s="1575"/>
      <c r="V2" s="1575"/>
      <c r="W2" s="1575"/>
      <c r="X2" s="1575"/>
      <c r="Y2" s="1575"/>
      <c r="Z2" s="1575"/>
      <c r="AA2" s="1575"/>
      <c r="AB2" s="1575"/>
      <c r="AC2" s="1575"/>
      <c r="AD2" s="1575"/>
      <c r="AE2" s="1575"/>
      <c r="AF2" s="1575"/>
      <c r="AG2" s="1575"/>
      <c r="AH2" s="1575"/>
      <c r="AI2" s="1575"/>
      <c r="AJ2" s="1575"/>
      <c r="AK2" s="1575"/>
      <c r="AL2" s="1575"/>
      <c r="AM2" s="1575"/>
      <c r="AN2" s="1575"/>
      <c r="AO2" s="1575"/>
      <c r="AP2" s="1575"/>
      <c r="AQ2" s="1575"/>
      <c r="AR2" s="1575"/>
      <c r="AS2" s="1575"/>
      <c r="AT2" s="1575"/>
      <c r="AU2" s="1575"/>
      <c r="AV2" s="1575"/>
      <c r="AW2" s="1575"/>
      <c r="AX2" s="1575"/>
      <c r="AY2" s="1575"/>
      <c r="AZ2" s="1575"/>
      <c r="BA2" s="1575"/>
      <c r="BB2" s="1575"/>
      <c r="BC2" s="1575"/>
      <c r="BD2" s="1575"/>
      <c r="BE2" s="1575"/>
      <c r="BF2" s="1575"/>
      <c r="BG2" s="1575"/>
      <c r="BH2" s="1575"/>
      <c r="BI2" s="1575"/>
      <c r="BJ2" s="1575"/>
      <c r="BK2" s="1575"/>
      <c r="BL2" s="1575"/>
      <c r="BM2" s="1575"/>
      <c r="BN2" s="1575"/>
      <c r="BO2" s="1575"/>
      <c r="BP2" s="1575"/>
      <c r="BQ2" s="1575"/>
      <c r="BR2" s="1575"/>
      <c r="BS2" s="1575"/>
      <c r="BT2" s="1575"/>
      <c r="BU2" s="1575"/>
      <c r="BV2" s="1575"/>
      <c r="BW2" s="1575"/>
      <c r="BX2" s="1575"/>
      <c r="BY2" s="1575"/>
      <c r="BZ2" s="1575"/>
      <c r="CA2" s="1575"/>
      <c r="CB2" s="1575"/>
      <c r="CC2" s="1575"/>
      <c r="CD2" s="1575"/>
      <c r="CE2" s="1575"/>
      <c r="CF2" s="1575"/>
      <c r="CG2" s="1575"/>
      <c r="CH2" s="1575"/>
      <c r="CI2" s="1575"/>
      <c r="CJ2" s="1575"/>
      <c r="CK2" s="1575"/>
      <c r="CL2" s="1575"/>
      <c r="CM2" s="1575"/>
      <c r="CN2" s="1575"/>
      <c r="CO2" s="1575"/>
      <c r="CP2" s="1575"/>
      <c r="CQ2" s="1575"/>
      <c r="CR2" s="1575"/>
      <c r="CS2" s="1575"/>
      <c r="CT2" s="1575"/>
      <c r="CU2" s="1575"/>
      <c r="CV2" s="1575"/>
      <c r="CW2" s="1575"/>
      <c r="CX2" s="1575"/>
      <c r="CY2" s="1577"/>
      <c r="CZ2" s="1577"/>
      <c r="DA2" s="1577"/>
      <c r="DB2" s="1577"/>
      <c r="DC2" s="1577"/>
      <c r="DD2" s="1577"/>
      <c r="DE2" s="1577"/>
      <c r="DF2" s="1577"/>
      <c r="DG2" s="1577"/>
      <c r="DH2" s="1577"/>
      <c r="DI2" s="1577"/>
      <c r="DJ2" s="1577"/>
      <c r="DK2" s="1577"/>
      <c r="DL2" s="1577"/>
      <c r="DM2" s="1577"/>
      <c r="DN2" s="1577"/>
      <c r="DO2" s="1577"/>
      <c r="DP2" s="1577"/>
      <c r="DQ2" s="1577"/>
      <c r="DR2" s="1577"/>
      <c r="DS2" s="1577"/>
      <c r="DT2" s="1577"/>
      <c r="DU2" s="1577"/>
      <c r="DV2" s="1577"/>
      <c r="DW2" s="1873"/>
      <c r="DX2" s="1873"/>
      <c r="DY2" s="1873"/>
      <c r="DZ2" s="1577"/>
      <c r="EA2" s="1577"/>
      <c r="EB2" s="1577"/>
      <c r="EC2" s="1577"/>
      <c r="ED2" s="1577"/>
      <c r="EE2" s="1577"/>
      <c r="EF2" s="1577"/>
      <c r="EG2" s="1577"/>
      <c r="EH2" s="1577"/>
      <c r="EI2" s="1577"/>
      <c r="EJ2" s="1577"/>
      <c r="EK2" s="1577"/>
      <c r="EL2" s="1577"/>
      <c r="EM2" s="1577"/>
      <c r="EN2" s="1577"/>
      <c r="EO2" s="1577"/>
      <c r="EP2" s="1577"/>
      <c r="EQ2" s="1577"/>
      <c r="ER2" s="1577"/>
      <c r="ES2" s="1577"/>
      <c r="ET2" s="1577"/>
      <c r="EU2" s="1577"/>
      <c r="EV2" s="1577"/>
      <c r="EW2" s="1577"/>
      <c r="EX2" s="1577"/>
      <c r="EY2" s="1577"/>
      <c r="EZ2" s="1577"/>
      <c r="FA2" s="1577"/>
    </row>
    <row r="3" spans="1:184" ht="13.35" customHeight="1">
      <c r="DV3" s="631"/>
      <c r="DX3" s="1904"/>
      <c r="DY3" s="1863">
        <v>0.03</v>
      </c>
    </row>
    <row r="4" spans="1:184" ht="13.35" customHeight="1">
      <c r="B4" s="662" t="s">
        <v>955</v>
      </c>
      <c r="C4" s="662"/>
      <c r="D4" s="663"/>
      <c r="E4" s="1578" t="str">
        <f t="shared" ref="E4:BP4" si="0">+E5</f>
        <v>1h85</v>
      </c>
      <c r="F4" s="1578" t="str">
        <f t="shared" si="0"/>
        <v>2h85</v>
      </c>
      <c r="G4" s="1578" t="str">
        <f t="shared" si="0"/>
        <v>1985</v>
      </c>
      <c r="H4" s="1578" t="str">
        <f t="shared" si="0"/>
        <v>1h86</v>
      </c>
      <c r="I4" s="1578" t="str">
        <f t="shared" si="0"/>
        <v>2h86</v>
      </c>
      <c r="J4" s="1578" t="str">
        <f t="shared" si="0"/>
        <v>1986</v>
      </c>
      <c r="K4" s="1578" t="str">
        <f t="shared" si="0"/>
        <v>1h87</v>
      </c>
      <c r="L4" s="1578" t="str">
        <f t="shared" si="0"/>
        <v>2h87</v>
      </c>
      <c r="M4" s="1578" t="str">
        <f t="shared" si="0"/>
        <v>1987</v>
      </c>
      <c r="N4" s="1578" t="str">
        <f t="shared" si="0"/>
        <v>1h88</v>
      </c>
      <c r="O4" s="1578" t="str">
        <f t="shared" si="0"/>
        <v>2h88</v>
      </c>
      <c r="P4" s="1578" t="str">
        <f t="shared" si="0"/>
        <v>1988</v>
      </c>
      <c r="Q4" s="1578" t="str">
        <f t="shared" si="0"/>
        <v>1h89</v>
      </c>
      <c r="R4" s="1578" t="str">
        <f t="shared" si="0"/>
        <v>2h89</v>
      </c>
      <c r="S4" s="1578" t="str">
        <f t="shared" si="0"/>
        <v>1989</v>
      </c>
      <c r="T4" s="1578" t="str">
        <f t="shared" si="0"/>
        <v>1h90</v>
      </c>
      <c r="U4" s="1578" t="str">
        <f t="shared" si="0"/>
        <v>2h90</v>
      </c>
      <c r="V4" s="1578" t="str">
        <f t="shared" si="0"/>
        <v>1990</v>
      </c>
      <c r="W4" s="1578" t="str">
        <f t="shared" si="0"/>
        <v>1h91</v>
      </c>
      <c r="X4" s="1578" t="str">
        <f t="shared" si="0"/>
        <v>2h91</v>
      </c>
      <c r="Y4" s="1578" t="str">
        <f t="shared" si="0"/>
        <v>1991</v>
      </c>
      <c r="Z4" s="1578" t="str">
        <f t="shared" si="0"/>
        <v>1h92</v>
      </c>
      <c r="AA4" s="1578" t="str">
        <f t="shared" si="0"/>
        <v>2h92</v>
      </c>
      <c r="AB4" s="1578" t="str">
        <f t="shared" si="0"/>
        <v>1992</v>
      </c>
      <c r="AC4" s="1578" t="str">
        <f t="shared" si="0"/>
        <v>1h93</v>
      </c>
      <c r="AD4" s="1578" t="str">
        <f t="shared" si="0"/>
        <v>2h93</v>
      </c>
      <c r="AE4" s="1578" t="str">
        <f t="shared" si="0"/>
        <v>1993</v>
      </c>
      <c r="AF4" s="1578" t="str">
        <f t="shared" si="0"/>
        <v>1h94</v>
      </c>
      <c r="AG4" s="1578" t="str">
        <f t="shared" si="0"/>
        <v>2h94</v>
      </c>
      <c r="AH4" s="1578" t="str">
        <f t="shared" si="0"/>
        <v>1994</v>
      </c>
      <c r="AI4" s="1578" t="str">
        <f t="shared" si="0"/>
        <v>1h95</v>
      </c>
      <c r="AJ4" s="1578" t="str">
        <f t="shared" si="0"/>
        <v>2h95</v>
      </c>
      <c r="AK4" s="1578" t="str">
        <f t="shared" si="0"/>
        <v>1995</v>
      </c>
      <c r="AL4" s="1578" t="str">
        <f t="shared" si="0"/>
        <v>1h96</v>
      </c>
      <c r="AM4" s="1578" t="str">
        <f t="shared" si="0"/>
        <v>2h96</v>
      </c>
      <c r="AN4" s="1578" t="str">
        <f t="shared" si="0"/>
        <v>1996</v>
      </c>
      <c r="AO4" s="1578" t="str">
        <f t="shared" si="0"/>
        <v>1h97</v>
      </c>
      <c r="AP4" s="1578" t="str">
        <f t="shared" si="0"/>
        <v>2h97</v>
      </c>
      <c r="AQ4" s="1578" t="str">
        <f t="shared" si="0"/>
        <v>1997</v>
      </c>
      <c r="AR4" s="1578" t="str">
        <f t="shared" si="0"/>
        <v>1h98</v>
      </c>
      <c r="AS4" s="1578" t="str">
        <f t="shared" si="0"/>
        <v>2h98</v>
      </c>
      <c r="AT4" s="1578" t="str">
        <f t="shared" si="0"/>
        <v>1998a</v>
      </c>
      <c r="AU4" s="1578" t="str">
        <f t="shared" si="0"/>
        <v>1h99</v>
      </c>
      <c r="AV4" s="1578" t="str">
        <f t="shared" si="0"/>
        <v>2h99</v>
      </c>
      <c r="AW4" s="1578" t="str">
        <f t="shared" si="0"/>
        <v>1999a</v>
      </c>
      <c r="AX4" s="1578" t="str">
        <f t="shared" si="0"/>
        <v>1h00</v>
      </c>
      <c r="AY4" s="1578" t="str">
        <f t="shared" si="0"/>
        <v>2h00</v>
      </c>
      <c r="AZ4" s="1578" t="str">
        <f t="shared" si="0"/>
        <v>2000a</v>
      </c>
      <c r="BA4" s="1578" t="str">
        <f t="shared" si="0"/>
        <v>1h01</v>
      </c>
      <c r="BB4" s="1578" t="str">
        <f t="shared" si="0"/>
        <v>2h01</v>
      </c>
      <c r="BC4" s="1578" t="str">
        <f t="shared" si="0"/>
        <v>2001a</v>
      </c>
      <c r="BD4" s="1578" t="str">
        <f t="shared" si="0"/>
        <v>1h02</v>
      </c>
      <c r="BE4" s="1578" t="str">
        <f t="shared" si="0"/>
        <v>2h02f</v>
      </c>
      <c r="BF4" s="1578" t="str">
        <f t="shared" si="0"/>
        <v>2002</v>
      </c>
      <c r="BG4" s="1578" t="str">
        <f t="shared" si="0"/>
        <v>1h03</v>
      </c>
      <c r="BH4" s="1578" t="str">
        <f t="shared" si="0"/>
        <v>2h03</v>
      </c>
      <c r="BI4" s="1578" t="str">
        <f t="shared" si="0"/>
        <v>2003</v>
      </c>
      <c r="BJ4" s="1578" t="str">
        <f t="shared" si="0"/>
        <v>1h04</v>
      </c>
      <c r="BK4" s="1578" t="str">
        <f t="shared" si="0"/>
        <v>2h04</v>
      </c>
      <c r="BL4" s="1578" t="str">
        <f t="shared" si="0"/>
        <v>2004</v>
      </c>
      <c r="BM4" s="1578" t="str">
        <f t="shared" si="0"/>
        <v>1h05</v>
      </c>
      <c r="BN4" s="1578" t="str">
        <f t="shared" si="0"/>
        <v>2h05</v>
      </c>
      <c r="BO4" s="1578" t="str">
        <f t="shared" si="0"/>
        <v>2005</v>
      </c>
      <c r="BP4" s="1578" t="str">
        <f t="shared" si="0"/>
        <v>1h06</v>
      </c>
      <c r="BQ4" s="1578" t="str">
        <f t="shared" ref="BQ4:DD4" si="1">+BQ5</f>
        <v>2h06</v>
      </c>
      <c r="BR4" s="1578" t="str">
        <f t="shared" si="1"/>
        <v>2006</v>
      </c>
      <c r="BS4" s="1578" t="str">
        <f t="shared" si="1"/>
        <v>1h07</v>
      </c>
      <c r="BT4" s="1578" t="str">
        <f t="shared" si="1"/>
        <v>2h07</v>
      </c>
      <c r="BU4" s="1578" t="str">
        <f t="shared" si="1"/>
        <v>2007</v>
      </c>
      <c r="BV4" s="1578" t="str">
        <f t="shared" si="1"/>
        <v>1h08</v>
      </c>
      <c r="BW4" s="1578" t="str">
        <f t="shared" si="1"/>
        <v>2h08</v>
      </c>
      <c r="BX4" s="1578" t="str">
        <f t="shared" si="1"/>
        <v>2008</v>
      </c>
      <c r="BY4" s="1578" t="str">
        <f t="shared" si="1"/>
        <v>1h09</v>
      </c>
      <c r="BZ4" s="1578" t="str">
        <f t="shared" si="1"/>
        <v>2h09</v>
      </c>
      <c r="CA4" s="1578" t="str">
        <f t="shared" si="1"/>
        <v>2009</v>
      </c>
      <c r="CB4" s="1578" t="str">
        <f t="shared" si="1"/>
        <v>1h10</v>
      </c>
      <c r="CC4" s="1578" t="str">
        <f t="shared" si="1"/>
        <v>2h10</v>
      </c>
      <c r="CD4" s="1578" t="str">
        <f t="shared" si="1"/>
        <v>2010</v>
      </c>
      <c r="CE4" s="1578" t="str">
        <f t="shared" si="1"/>
        <v>1h11</v>
      </c>
      <c r="CF4" s="1578" t="str">
        <f t="shared" si="1"/>
        <v>2h11</v>
      </c>
      <c r="CG4" s="1578" t="str">
        <f t="shared" si="1"/>
        <v>2011</v>
      </c>
      <c r="CH4" s="1578" t="str">
        <f t="shared" si="1"/>
        <v>1h12</v>
      </c>
      <c r="CI4" s="1578" t="str">
        <f t="shared" si="1"/>
        <v>2h12</v>
      </c>
      <c r="CJ4" s="1578" t="str">
        <f t="shared" si="1"/>
        <v>2012</v>
      </c>
      <c r="CK4" s="1578" t="str">
        <f t="shared" si="1"/>
        <v>1h13</v>
      </c>
      <c r="CL4" s="1578" t="str">
        <f t="shared" si="1"/>
        <v>2h13</v>
      </c>
      <c r="CM4" s="1578" t="str">
        <f t="shared" si="1"/>
        <v>2013</v>
      </c>
      <c r="CN4" s="1578" t="str">
        <f t="shared" si="1"/>
        <v>1h14</v>
      </c>
      <c r="CO4" s="1578" t="str">
        <f t="shared" si="1"/>
        <v>2h14</v>
      </c>
      <c r="CP4" s="1578" t="str">
        <f t="shared" si="1"/>
        <v>2014</v>
      </c>
      <c r="CQ4" s="1578" t="str">
        <f t="shared" si="1"/>
        <v>1h15</v>
      </c>
      <c r="CR4" s="1578" t="str">
        <f t="shared" si="1"/>
        <v>2h15</v>
      </c>
      <c r="CS4" s="1578" t="str">
        <f t="shared" si="1"/>
        <v>2015</v>
      </c>
      <c r="CT4" s="1578" t="str">
        <f t="shared" si="1"/>
        <v>1h16</v>
      </c>
      <c r="CU4" s="1578" t="str">
        <f t="shared" si="1"/>
        <v>2h16</v>
      </c>
      <c r="CV4" s="1578" t="str">
        <f t="shared" si="1"/>
        <v>2016</v>
      </c>
      <c r="CW4" s="1578" t="str">
        <f t="shared" si="1"/>
        <v>1h17</v>
      </c>
      <c r="CX4" s="1578" t="str">
        <f t="shared" si="1"/>
        <v>2h17</v>
      </c>
      <c r="CY4" s="1578" t="str">
        <f t="shared" si="1"/>
        <v>2017</v>
      </c>
      <c r="CZ4" s="1578" t="str">
        <f t="shared" si="1"/>
        <v>1h18</v>
      </c>
      <c r="DA4" s="1578" t="str">
        <f t="shared" si="1"/>
        <v>2h18</v>
      </c>
      <c r="DB4" s="1578" t="str">
        <f t="shared" si="1"/>
        <v>2018</v>
      </c>
      <c r="DC4" s="1578" t="str">
        <f t="shared" si="1"/>
        <v>1h19</v>
      </c>
      <c r="DD4" s="1578" t="str">
        <f t="shared" si="1"/>
        <v>2h19</v>
      </c>
      <c r="DE4" s="1578" t="str">
        <f>+DE5</f>
        <v>2019</v>
      </c>
      <c r="DF4" s="1578" t="str">
        <f t="shared" ref="DF4:FA4" si="2">+DF5</f>
        <v>1h20</v>
      </c>
      <c r="DG4" s="1578" t="str">
        <f t="shared" si="2"/>
        <v>2h20</v>
      </c>
      <c r="DH4" s="1578" t="str">
        <f t="shared" si="2"/>
        <v>2020</v>
      </c>
      <c r="DI4" s="1578" t="str">
        <f t="shared" si="2"/>
        <v>1h21</v>
      </c>
      <c r="DJ4" s="1578" t="str">
        <f t="shared" si="2"/>
        <v>2h21</v>
      </c>
      <c r="DK4" s="1578" t="str">
        <f t="shared" si="2"/>
        <v>2021</v>
      </c>
      <c r="DL4" s="1578" t="str">
        <f t="shared" si="2"/>
        <v>1h22</v>
      </c>
      <c r="DM4" s="1578" t="str">
        <f t="shared" si="2"/>
        <v>2h22</v>
      </c>
      <c r="DN4" s="1578" t="str">
        <f t="shared" si="2"/>
        <v>2022</v>
      </c>
      <c r="DO4" s="1578" t="str">
        <f t="shared" si="2"/>
        <v>1h23</v>
      </c>
      <c r="DP4" s="1578" t="str">
        <f t="shared" si="2"/>
        <v>2h23</v>
      </c>
      <c r="DQ4" s="1578" t="str">
        <f t="shared" si="2"/>
        <v>2023</v>
      </c>
      <c r="DR4" s="1578" t="str">
        <f t="shared" si="2"/>
        <v>1h24</v>
      </c>
      <c r="DS4" s="1578" t="str">
        <f t="shared" si="2"/>
        <v>2h24</v>
      </c>
      <c r="DT4" s="1578" t="str">
        <f t="shared" si="2"/>
        <v>2024</v>
      </c>
      <c r="DU4" s="1578" t="str">
        <f t="shared" si="2"/>
        <v>1h25</v>
      </c>
      <c r="DV4" s="1578" t="str">
        <f t="shared" si="2"/>
        <v>2h25</v>
      </c>
      <c r="DW4" s="1578" t="str">
        <f t="shared" si="2"/>
        <v>2025</v>
      </c>
      <c r="DX4" s="1578" t="str">
        <f t="shared" si="2"/>
        <v>1h26</v>
      </c>
      <c r="DY4" s="1578" t="str">
        <f t="shared" si="2"/>
        <v>2h26E</v>
      </c>
      <c r="DZ4" s="1578" t="str">
        <f t="shared" si="2"/>
        <v>2026E</v>
      </c>
      <c r="EA4" s="1578" t="str">
        <f t="shared" si="2"/>
        <v>1h27E</v>
      </c>
      <c r="EB4" s="1578" t="str">
        <f t="shared" si="2"/>
        <v>2h27E</v>
      </c>
      <c r="EC4" s="1578" t="str">
        <f t="shared" si="2"/>
        <v>2027E</v>
      </c>
      <c r="ED4" s="1578" t="str">
        <f t="shared" si="2"/>
        <v>1h28E</v>
      </c>
      <c r="EE4" s="1578" t="str">
        <f t="shared" si="2"/>
        <v>2h28E</v>
      </c>
      <c r="EF4" s="1578" t="str">
        <f t="shared" si="2"/>
        <v>2028E</v>
      </c>
      <c r="EG4" s="1578" t="str">
        <f t="shared" si="2"/>
        <v>1h29E</v>
      </c>
      <c r="EH4" s="1578" t="str">
        <f t="shared" si="2"/>
        <v>2h29E</v>
      </c>
      <c r="EI4" s="1578" t="str">
        <f t="shared" si="2"/>
        <v>2029E</v>
      </c>
      <c r="EJ4" s="1578" t="str">
        <f t="shared" si="2"/>
        <v>1h30E</v>
      </c>
      <c r="EK4" s="1578" t="str">
        <f t="shared" si="2"/>
        <v>2h30E</v>
      </c>
      <c r="EL4" s="1578" t="str">
        <f t="shared" si="2"/>
        <v>2030E</v>
      </c>
      <c r="EM4" s="1578" t="str">
        <f t="shared" si="2"/>
        <v>1h31E</v>
      </c>
      <c r="EN4" s="1578" t="str">
        <f t="shared" si="2"/>
        <v>2h31E</v>
      </c>
      <c r="EO4" s="1578" t="str">
        <f t="shared" si="2"/>
        <v>2031E</v>
      </c>
      <c r="EP4" s="1578" t="str">
        <f t="shared" si="2"/>
        <v>1h32E</v>
      </c>
      <c r="EQ4" s="1578" t="str">
        <f t="shared" si="2"/>
        <v>2h32E</v>
      </c>
      <c r="ER4" s="1578" t="str">
        <f t="shared" si="2"/>
        <v>2032E</v>
      </c>
      <c r="ES4" s="1578" t="str">
        <f t="shared" si="2"/>
        <v>1h33E</v>
      </c>
      <c r="ET4" s="1578" t="str">
        <f t="shared" si="2"/>
        <v>2h33E</v>
      </c>
      <c r="EU4" s="1578" t="str">
        <f t="shared" si="2"/>
        <v>2033E</v>
      </c>
      <c r="EV4" s="1578" t="str">
        <f t="shared" si="2"/>
        <v>1h34E</v>
      </c>
      <c r="EW4" s="1578" t="str">
        <f t="shared" si="2"/>
        <v>2h34E</v>
      </c>
      <c r="EX4" s="1578" t="str">
        <f t="shared" si="2"/>
        <v>2034E</v>
      </c>
      <c r="EY4" s="1578" t="str">
        <f t="shared" si="2"/>
        <v>1h35E</v>
      </c>
      <c r="EZ4" s="1578" t="str">
        <f t="shared" si="2"/>
        <v>2h35E</v>
      </c>
      <c r="FA4" s="1578" t="str">
        <f t="shared" si="2"/>
        <v>2035E</v>
      </c>
    </row>
    <row r="5" spans="1:184" ht="13.15" customHeight="1" outlineLevel="1">
      <c r="A5" s="1016"/>
      <c r="B5" s="173" t="s">
        <v>789</v>
      </c>
      <c r="C5" s="173"/>
      <c r="D5" s="174" t="s">
        <v>935</v>
      </c>
      <c r="E5" s="175" t="str">
        <f>Model!E9</f>
        <v>1h85</v>
      </c>
      <c r="F5" s="175" t="str">
        <f>Model!F9</f>
        <v>2h85</v>
      </c>
      <c r="G5" s="175" t="str">
        <f>Model!G9</f>
        <v>1985</v>
      </c>
      <c r="H5" s="175" t="str">
        <f>Model!H9</f>
        <v>1h86</v>
      </c>
      <c r="I5" s="175" t="str">
        <f>Model!I9</f>
        <v>2h86</v>
      </c>
      <c r="J5" s="175" t="str">
        <f>Model!J9</f>
        <v>1986</v>
      </c>
      <c r="K5" s="175" t="str">
        <f>Model!K9</f>
        <v>1h87</v>
      </c>
      <c r="L5" s="175" t="str">
        <f>Model!L9</f>
        <v>2h87</v>
      </c>
      <c r="M5" s="175" t="str">
        <f>Model!M9</f>
        <v>1987</v>
      </c>
      <c r="N5" s="175" t="str">
        <f>Model!N9</f>
        <v>1h88</v>
      </c>
      <c r="O5" s="175" t="str">
        <f>Model!O9</f>
        <v>2h88</v>
      </c>
      <c r="P5" s="175" t="str">
        <f>Model!P9</f>
        <v>1988</v>
      </c>
      <c r="Q5" s="175" t="str">
        <f>Model!Q9</f>
        <v>1h89</v>
      </c>
      <c r="R5" s="175" t="str">
        <f>Model!R9</f>
        <v>2h89</v>
      </c>
      <c r="S5" s="175" t="str">
        <f>Model!S9</f>
        <v>1989</v>
      </c>
      <c r="T5" s="175" t="str">
        <f>Model!T9</f>
        <v>1h90</v>
      </c>
      <c r="U5" s="175" t="str">
        <f>Model!U9</f>
        <v>2h90</v>
      </c>
      <c r="V5" s="175" t="str">
        <f>Model!V9</f>
        <v>1990</v>
      </c>
      <c r="W5" s="175" t="str">
        <f>Model!W9</f>
        <v>1h91</v>
      </c>
      <c r="X5" s="175" t="str">
        <f>Model!X9</f>
        <v>2h91</v>
      </c>
      <c r="Y5" s="175" t="str">
        <f>Model!Y9</f>
        <v>1991</v>
      </c>
      <c r="Z5" s="175" t="str">
        <f>Model!Z9</f>
        <v>1h92</v>
      </c>
      <c r="AA5" s="175" t="str">
        <f>Model!AA9</f>
        <v>2h92</v>
      </c>
      <c r="AB5" s="175" t="str">
        <f>Model!AB9</f>
        <v>1992</v>
      </c>
      <c r="AC5" s="175" t="str">
        <f>Model!AC9</f>
        <v>1h93</v>
      </c>
      <c r="AD5" s="175" t="str">
        <f>Model!AD9</f>
        <v>2h93</v>
      </c>
      <c r="AE5" s="175" t="str">
        <f>Model!AE9</f>
        <v>1993</v>
      </c>
      <c r="AF5" s="175" t="str">
        <f>Model!AF9</f>
        <v>1h94</v>
      </c>
      <c r="AG5" s="175" t="str">
        <f>Model!AG9</f>
        <v>2h94</v>
      </c>
      <c r="AH5" s="175" t="str">
        <f>Model!AH9</f>
        <v>1994</v>
      </c>
      <c r="AI5" s="175" t="str">
        <f>Model!AI9</f>
        <v>1h95</v>
      </c>
      <c r="AJ5" s="175" t="str">
        <f>Model!AJ9</f>
        <v>2h95</v>
      </c>
      <c r="AK5" s="175" t="str">
        <f>Model!AK9</f>
        <v>1995</v>
      </c>
      <c r="AL5" s="175" t="str">
        <f>Model!AL9</f>
        <v>1h96</v>
      </c>
      <c r="AM5" s="175" t="str">
        <f>Model!AM9</f>
        <v>2h96</v>
      </c>
      <c r="AN5" s="175" t="str">
        <f>Model!AN9</f>
        <v>1996</v>
      </c>
      <c r="AO5" s="175" t="str">
        <f>Model!AO9</f>
        <v>1h97</v>
      </c>
      <c r="AP5" s="175" t="str">
        <f>Model!AP9</f>
        <v>2h97</v>
      </c>
      <c r="AQ5" s="175" t="str">
        <f>Model!AQ9</f>
        <v>1997</v>
      </c>
      <c r="AR5" s="175" t="str">
        <f>Model!AR9</f>
        <v>1h98</v>
      </c>
      <c r="AS5" s="175" t="str">
        <f>Model!AS9</f>
        <v>2h98</v>
      </c>
      <c r="AT5" s="175" t="str">
        <f>Model!AT9</f>
        <v>1998a</v>
      </c>
      <c r="AU5" s="175" t="str">
        <f>Model!AU9</f>
        <v>1h99</v>
      </c>
      <c r="AV5" s="175" t="str">
        <f>Model!AV9</f>
        <v>2h99</v>
      </c>
      <c r="AW5" s="175" t="str">
        <f>Model!AW9</f>
        <v>1999a</v>
      </c>
      <c r="AX5" s="175" t="str">
        <f>Model!AX9</f>
        <v>1h00</v>
      </c>
      <c r="AY5" s="175" t="str">
        <f>Model!AY9</f>
        <v>2h00</v>
      </c>
      <c r="AZ5" s="175" t="str">
        <f>Model!AZ9</f>
        <v>2000a</v>
      </c>
      <c r="BA5" s="175" t="str">
        <f>Model!BA9</f>
        <v>1h01</v>
      </c>
      <c r="BB5" s="175" t="str">
        <f>Model!BB9</f>
        <v>2h01</v>
      </c>
      <c r="BC5" s="175" t="str">
        <f>Model!BC9</f>
        <v>2001a</v>
      </c>
      <c r="BD5" s="175" t="str">
        <f>Model!BD9</f>
        <v>1h02</v>
      </c>
      <c r="BE5" s="175" t="str">
        <f>Model!BE9</f>
        <v>2h02f</v>
      </c>
      <c r="BF5" s="175" t="str">
        <f>Model!BF9</f>
        <v>2002</v>
      </c>
      <c r="BG5" s="175" t="str">
        <f>Model!BG9</f>
        <v>1h03</v>
      </c>
      <c r="BH5" s="175" t="str">
        <f>Model!BH9</f>
        <v>2h03</v>
      </c>
      <c r="BI5" s="175" t="str">
        <f>Model!BI9</f>
        <v>2003</v>
      </c>
      <c r="BJ5" s="175" t="str">
        <f>Model!BJ9</f>
        <v>1h04</v>
      </c>
      <c r="BK5" s="175" t="str">
        <f>Model!BK9</f>
        <v>2h04</v>
      </c>
      <c r="BL5" s="175" t="str">
        <f>Model!BL9</f>
        <v>2004</v>
      </c>
      <c r="BM5" s="175" t="str">
        <f>Model!BM9</f>
        <v>1h05</v>
      </c>
      <c r="BN5" s="175" t="str">
        <f>Model!BN9</f>
        <v>2h05</v>
      </c>
      <c r="BO5" s="175" t="str">
        <f>Model!BO9</f>
        <v>2005</v>
      </c>
      <c r="BP5" s="175" t="str">
        <f>Model!BP9</f>
        <v>1h06</v>
      </c>
      <c r="BQ5" s="175" t="str">
        <f>Model!BQ9</f>
        <v>2h06</v>
      </c>
      <c r="BR5" s="175" t="str">
        <f>Model!BR9</f>
        <v>2006</v>
      </c>
      <c r="BS5" s="175" t="str">
        <f>Model!BS9</f>
        <v>1h07</v>
      </c>
      <c r="BT5" s="175" t="str">
        <f>Model!BT9</f>
        <v>2h07</v>
      </c>
      <c r="BU5" s="175" t="str">
        <f>Model!BU9</f>
        <v>2007</v>
      </c>
      <c r="BV5" s="175" t="str">
        <f>Model!BV9</f>
        <v>1h08</v>
      </c>
      <c r="BW5" s="175" t="str">
        <f>Model!BW9</f>
        <v>2h08</v>
      </c>
      <c r="BX5" s="175" t="str">
        <f>Model!BX9</f>
        <v>2008</v>
      </c>
      <c r="BY5" s="175" t="str">
        <f>Model!BY9</f>
        <v>1h09</v>
      </c>
      <c r="BZ5" s="175" t="str">
        <f>Model!BZ9</f>
        <v>2h09</v>
      </c>
      <c r="CA5" s="175" t="str">
        <f>Model!CA9</f>
        <v>2009</v>
      </c>
      <c r="CB5" s="175" t="str">
        <f>Model!CB9</f>
        <v>1h10</v>
      </c>
      <c r="CC5" s="175" t="str">
        <f>Model!CC9</f>
        <v>2h10</v>
      </c>
      <c r="CD5" s="175" t="str">
        <f>Model!CD9</f>
        <v>2010</v>
      </c>
      <c r="CE5" s="175" t="str">
        <f>Model!CE9</f>
        <v>1h11</v>
      </c>
      <c r="CF5" s="175" t="str">
        <f>Model!CF9</f>
        <v>2h11</v>
      </c>
      <c r="CG5" s="175" t="str">
        <f>Model!CG9</f>
        <v>2011</v>
      </c>
      <c r="CH5" s="175" t="str">
        <f>Model!CH9</f>
        <v>1h12</v>
      </c>
      <c r="CI5" s="175" t="str">
        <f>Model!CI9</f>
        <v>2h12</v>
      </c>
      <c r="CJ5" s="175" t="str">
        <f>Model!CJ9</f>
        <v>2012</v>
      </c>
      <c r="CK5" s="175" t="str">
        <f>Model!CK9</f>
        <v>1h13</v>
      </c>
      <c r="CL5" s="175" t="str">
        <f>Model!CL9</f>
        <v>2h13</v>
      </c>
      <c r="CM5" s="175" t="str">
        <f>Model!CM9</f>
        <v>2013</v>
      </c>
      <c r="CN5" s="175" t="str">
        <f>Model!CN9</f>
        <v>1h14</v>
      </c>
      <c r="CO5" s="175" t="str">
        <f>Model!CO9</f>
        <v>2h14</v>
      </c>
      <c r="CP5" s="175" t="str">
        <f>Model!CP9</f>
        <v>2014</v>
      </c>
      <c r="CQ5" s="175" t="str">
        <f>Model!CQ9</f>
        <v>1h15</v>
      </c>
      <c r="CR5" s="175" t="str">
        <f>Model!CR9</f>
        <v>2h15</v>
      </c>
      <c r="CS5" s="175" t="str">
        <f>Model!CS9</f>
        <v>2015</v>
      </c>
      <c r="CT5" s="175" t="str">
        <f>Model!CT9</f>
        <v>1h16</v>
      </c>
      <c r="CU5" s="175" t="str">
        <f>Model!CU9</f>
        <v>2h16</v>
      </c>
      <c r="CV5" s="175" t="str">
        <f>Model!CV9</f>
        <v>2016</v>
      </c>
      <c r="CW5" s="175" t="str">
        <f>Model!CW9</f>
        <v>1h17</v>
      </c>
      <c r="CX5" s="175" t="str">
        <f>Model!CX9</f>
        <v>2h17</v>
      </c>
      <c r="CY5" s="222" t="str">
        <f>Model!CY9</f>
        <v>2017</v>
      </c>
      <c r="CZ5" s="222" t="str">
        <f>Model!CZ9</f>
        <v>1h18</v>
      </c>
      <c r="DA5" s="222" t="str">
        <f>Model!DA9</f>
        <v>2h18</v>
      </c>
      <c r="DB5" s="222" t="str">
        <f>Model!DB9</f>
        <v>2018</v>
      </c>
      <c r="DC5" s="222" t="str">
        <f>Model!DC9</f>
        <v>1h19</v>
      </c>
      <c r="DD5" s="222" t="str">
        <f>Model!DD9</f>
        <v>2h19</v>
      </c>
      <c r="DE5" s="222" t="str">
        <f>Model!DE9</f>
        <v>2019</v>
      </c>
      <c r="DF5" s="222" t="str">
        <f>Model!DF9</f>
        <v>1h20</v>
      </c>
      <c r="DG5" s="222" t="str">
        <f>Model!DG9</f>
        <v>2h20</v>
      </c>
      <c r="DH5" s="673" t="str">
        <f>Model!DH9</f>
        <v>2020</v>
      </c>
      <c r="DI5" s="222" t="str">
        <f>Model!DI9</f>
        <v>1h21</v>
      </c>
      <c r="DJ5" s="222" t="str">
        <f>Model!DJ9</f>
        <v>2h21</v>
      </c>
      <c r="DK5" s="673" t="str">
        <f>Model!DK9</f>
        <v>2021</v>
      </c>
      <c r="DL5" s="222" t="str">
        <f>Model!DL9</f>
        <v>1h22</v>
      </c>
      <c r="DM5" s="222" t="str">
        <f>Model!DM9</f>
        <v>2h22</v>
      </c>
      <c r="DN5" s="673" t="str">
        <f>Model!DN9</f>
        <v>2022</v>
      </c>
      <c r="DO5" s="222" t="str">
        <f>Model!DO9</f>
        <v>1h23</v>
      </c>
      <c r="DP5" s="222" t="str">
        <f>Model!DP9</f>
        <v>2h23</v>
      </c>
      <c r="DQ5" s="673" t="str">
        <f>Model!DQ9</f>
        <v>2023</v>
      </c>
      <c r="DR5" s="222" t="str">
        <f>Model!DR9</f>
        <v>1h24</v>
      </c>
      <c r="DS5" s="222" t="str">
        <f>Model!DS9</f>
        <v>2h24</v>
      </c>
      <c r="DT5" s="673" t="str">
        <f>Model!DT9</f>
        <v>2024</v>
      </c>
      <c r="DU5" s="222" t="str">
        <f>Model!DU9</f>
        <v>1h25</v>
      </c>
      <c r="DV5" s="222" t="str">
        <f>Model!DV9</f>
        <v>2h25</v>
      </c>
      <c r="DW5" s="673" t="str">
        <f>Model!DW9</f>
        <v>2025</v>
      </c>
      <c r="DX5" s="222" t="str">
        <f>Model!DX9</f>
        <v>1h26</v>
      </c>
      <c r="DY5" s="222" t="str">
        <f>Model!DY9</f>
        <v>2h26E</v>
      </c>
      <c r="DZ5" s="673" t="str">
        <f>Model!DZ9</f>
        <v>2026E</v>
      </c>
      <c r="EA5" s="222" t="str">
        <f>Model!EA9</f>
        <v>1h27E</v>
      </c>
      <c r="EB5" s="222" t="str">
        <f>Model!EB9</f>
        <v>2h27E</v>
      </c>
      <c r="EC5" s="673" t="str">
        <f>Model!EC9</f>
        <v>2027E</v>
      </c>
      <c r="ED5" s="222" t="str">
        <f>Model!ED9</f>
        <v>1h28E</v>
      </c>
      <c r="EE5" s="222" t="str">
        <f>Model!EE9</f>
        <v>2h28E</v>
      </c>
      <c r="EF5" s="673" t="str">
        <f>Model!EF9</f>
        <v>2028E</v>
      </c>
      <c r="EG5" s="222" t="str">
        <f>Model!EG9</f>
        <v>1h29E</v>
      </c>
      <c r="EH5" s="222" t="str">
        <f>Model!EH9</f>
        <v>2h29E</v>
      </c>
      <c r="EI5" s="673" t="str">
        <f>Model!EI9</f>
        <v>2029E</v>
      </c>
      <c r="EJ5" s="222" t="str">
        <f>Model!EJ9</f>
        <v>1h30E</v>
      </c>
      <c r="EK5" s="222" t="str">
        <f>Model!EK9</f>
        <v>2h30E</v>
      </c>
      <c r="EL5" s="673" t="str">
        <f>Model!EL9</f>
        <v>2030E</v>
      </c>
      <c r="EM5" s="222" t="str">
        <f>Model!EM9</f>
        <v>1h31E</v>
      </c>
      <c r="EN5" s="222" t="str">
        <f>Model!EN9</f>
        <v>2h31E</v>
      </c>
      <c r="EO5" s="673" t="str">
        <f>Model!EO9</f>
        <v>2031E</v>
      </c>
      <c r="EP5" s="222" t="str">
        <f>Model!EP9</f>
        <v>1h32E</v>
      </c>
      <c r="EQ5" s="222" t="str">
        <f>Model!EQ9</f>
        <v>2h32E</v>
      </c>
      <c r="ER5" s="673" t="str">
        <f>Model!ER9</f>
        <v>2032E</v>
      </c>
      <c r="ES5" s="222" t="str">
        <f>Model!ES9</f>
        <v>1h33E</v>
      </c>
      <c r="ET5" s="222" t="str">
        <f>Model!ET9</f>
        <v>2h33E</v>
      </c>
      <c r="EU5" s="673" t="str">
        <f>Model!EU9</f>
        <v>2033E</v>
      </c>
      <c r="EV5" s="222" t="str">
        <f>Model!EV9</f>
        <v>1h34E</v>
      </c>
      <c r="EW5" s="222" t="str">
        <f>Model!EW9</f>
        <v>2h34E</v>
      </c>
      <c r="EX5" s="673" t="str">
        <f>Model!EX9</f>
        <v>2034E</v>
      </c>
      <c r="EY5" s="222" t="str">
        <f>Model!EY9</f>
        <v>1h35E</v>
      </c>
      <c r="EZ5" s="222" t="str">
        <f>Model!EZ9</f>
        <v>2h35E</v>
      </c>
      <c r="FA5" s="222" t="str">
        <f>Model!FA9</f>
        <v>2035E</v>
      </c>
    </row>
    <row r="6" spans="1:184" ht="13.35" customHeight="1" outlineLevel="1">
      <c r="A6" s="989"/>
      <c r="B6" s="5"/>
      <c r="C6" s="126" t="s">
        <v>461</v>
      </c>
      <c r="D6" s="178" t="s">
        <v>357</v>
      </c>
      <c r="E6" s="8"/>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c r="AL6" s="8"/>
      <c r="AM6" s="8"/>
      <c r="AN6" s="8"/>
      <c r="AO6" s="8"/>
      <c r="AP6" s="8"/>
      <c r="AQ6" s="8"/>
      <c r="AR6" s="179"/>
      <c r="AS6" s="179"/>
      <c r="AT6" s="8"/>
      <c r="AU6" s="179"/>
      <c r="AV6" s="179"/>
      <c r="AW6" s="8"/>
      <c r="AX6" s="179"/>
      <c r="AY6" s="179"/>
      <c r="AZ6" s="8"/>
      <c r="BA6" s="179"/>
      <c r="BB6" s="179"/>
      <c r="BC6" s="8"/>
      <c r="BD6" s="179"/>
      <c r="BE6" s="179"/>
      <c r="BF6" s="8"/>
      <c r="BG6" s="179"/>
      <c r="BH6" s="179"/>
      <c r="BI6" s="8"/>
      <c r="BJ6" s="179"/>
      <c r="BK6" s="179"/>
      <c r="BL6" s="8"/>
      <c r="BM6" s="179"/>
      <c r="BN6" s="179"/>
      <c r="BO6" s="8"/>
      <c r="BP6" s="179"/>
      <c r="BQ6" s="179"/>
      <c r="BR6" s="8"/>
      <c r="BS6" s="179"/>
      <c r="BT6" s="179"/>
      <c r="BU6" s="180"/>
      <c r="BV6" s="181">
        <v>1184.2670000000005</v>
      </c>
      <c r="BW6" s="181">
        <v>1393.7329999999995</v>
      </c>
      <c r="BX6" s="96">
        <v>2578</v>
      </c>
      <c r="BY6" s="181">
        <v>1491.6800000000005</v>
      </c>
      <c r="BZ6" s="181">
        <v>1370.3199999999995</v>
      </c>
      <c r="CA6" s="96">
        <v>2862</v>
      </c>
      <c r="CB6" s="181">
        <v>1616.0500000000004</v>
      </c>
      <c r="CC6" s="181">
        <v>1564.9499999999998</v>
      </c>
      <c r="CD6" s="96">
        <v>3181</v>
      </c>
      <c r="CE6" s="181">
        <v>1667.08</v>
      </c>
      <c r="CF6" s="181">
        <v>1826.9200000000003</v>
      </c>
      <c r="CG6" s="96">
        <v>3494</v>
      </c>
      <c r="CH6" s="159">
        <v>2077.1499999999996</v>
      </c>
      <c r="CI6" s="159">
        <v>2116.2500000000005</v>
      </c>
      <c r="CJ6" s="162">
        <v>4193.3999999999996</v>
      </c>
      <c r="CK6" s="159">
        <v>2232.6999999999998</v>
      </c>
      <c r="CL6" s="159">
        <v>2268.2000000000016</v>
      </c>
      <c r="CM6" s="162">
        <v>4500.9000000000015</v>
      </c>
      <c r="CN6" s="159">
        <v>2356.8999999999996</v>
      </c>
      <c r="CO6" s="159">
        <v>2584.599999999999</v>
      </c>
      <c r="CP6" s="162">
        <v>4941.4999999999982</v>
      </c>
      <c r="CQ6" s="159">
        <v>2492.0000000000005</v>
      </c>
      <c r="CR6" s="159">
        <v>2554.7000000000016</v>
      </c>
      <c r="CS6" s="162">
        <v>5046.7000000000025</v>
      </c>
      <c r="CT6" s="159">
        <v>2604</v>
      </c>
      <c r="CU6" s="159">
        <v>2720.0000000000023</v>
      </c>
      <c r="CV6" s="162">
        <v>5324.0000000000018</v>
      </c>
      <c r="CW6" s="159">
        <v>2976.3999999999996</v>
      </c>
      <c r="CX6" s="159">
        <v>2858.4</v>
      </c>
      <c r="CY6" s="6">
        <v>5834.7999999999993</v>
      </c>
      <c r="CZ6" s="490">
        <v>3288.5304625474068</v>
      </c>
      <c r="DA6" s="490">
        <v>3388.9695374525927</v>
      </c>
      <c r="DB6" s="6">
        <v>6677.5</v>
      </c>
      <c r="DC6" s="490">
        <v>3468</v>
      </c>
      <c r="DD6" s="490">
        <v>3719.3000000000011</v>
      </c>
      <c r="DE6" s="674">
        <v>7187.3000000000011</v>
      </c>
      <c r="DF6" s="645">
        <v>3768.132415164725</v>
      </c>
      <c r="DG6" s="645">
        <v>3892.9710689872554</v>
      </c>
      <c r="DH6" s="674">
        <v>7661.1034841519804</v>
      </c>
      <c r="DI6" s="645">
        <f>DI366</f>
        <v>4256.5448291452831</v>
      </c>
      <c r="DJ6" s="645">
        <f>DJ366</f>
        <v>4171.2558953579228</v>
      </c>
      <c r="DK6" s="674">
        <f>SUM(DI6:DJ6)</f>
        <v>8427.8007245032059</v>
      </c>
      <c r="DL6" s="645">
        <f>DL366</f>
        <v>4216.1000000000004</v>
      </c>
      <c r="DM6" s="645">
        <f>DM366</f>
        <v>4143.5</v>
      </c>
      <c r="DN6" s="674">
        <f>SUM(DL6:DM6)</f>
        <v>8359.6</v>
      </c>
      <c r="DO6" s="645">
        <f>DO366</f>
        <v>4414</v>
      </c>
      <c r="DP6" s="645">
        <f>DP366</f>
        <v>4554</v>
      </c>
      <c r="DQ6" s="674">
        <f>SUM(DO6:DP6)</f>
        <v>8968</v>
      </c>
      <c r="DR6" s="645">
        <f>DR366</f>
        <v>5093</v>
      </c>
      <c r="DS6" s="645">
        <f>DS366</f>
        <v>5241</v>
      </c>
      <c r="DT6" s="674">
        <f>SUM(DR6:DS6)</f>
        <v>10334</v>
      </c>
      <c r="DU6" s="645">
        <f>DU366</f>
        <v>5611</v>
      </c>
      <c r="DV6" s="645">
        <f>DV366</f>
        <v>5319</v>
      </c>
      <c r="DW6" s="674">
        <f>SUM(DU6:DV6)</f>
        <v>10930</v>
      </c>
      <c r="DX6" s="645">
        <f>DX366</f>
        <v>5335</v>
      </c>
      <c r="DY6" s="645">
        <f>DY366</f>
        <v>6024.2196661696617</v>
      </c>
      <c r="DZ6" s="674">
        <f>SUM(DX6:DY6)</f>
        <v>11359.219666169662</v>
      </c>
      <c r="EA6" s="645">
        <f>EA366</f>
        <v>5879.3918499384254</v>
      </c>
      <c r="EB6" s="645">
        <f>EB366</f>
        <v>6366.0930183309383</v>
      </c>
      <c r="EC6" s="674">
        <f>SUM(EA6:EB6)</f>
        <v>12245.484868269363</v>
      </c>
      <c r="ED6" s="645">
        <f>ED366</f>
        <v>6294.6359348241149</v>
      </c>
      <c r="EE6" s="645">
        <f>EE366</f>
        <v>6817.5550588974711</v>
      </c>
      <c r="EF6" s="674">
        <f>SUM(ED6:EE6)</f>
        <v>13112.190993721586</v>
      </c>
      <c r="EG6" s="645">
        <f>EG366</f>
        <v>6745.360089805602</v>
      </c>
      <c r="EH6" s="645">
        <f>EH366</f>
        <v>7317.8705141992914</v>
      </c>
      <c r="EI6" s="674">
        <f>SUM(EG6:EH6)</f>
        <v>14063.230604004893</v>
      </c>
      <c r="EJ6" s="645">
        <f>EJ366</f>
        <v>7216.9993719422591</v>
      </c>
      <c r="EK6" s="645">
        <f>EK366</f>
        <v>7863.4421203993288</v>
      </c>
      <c r="EL6" s="674">
        <f>SUM(EJ6:EK6)</f>
        <v>15080.441492341588</v>
      </c>
      <c r="EM6" s="645">
        <f>EM366</f>
        <v>7674.3008430913305</v>
      </c>
      <c r="EN6" s="645">
        <f>EN366</f>
        <v>8335.2984493148415</v>
      </c>
      <c r="EO6" s="674">
        <f>SUM(EM6:EN6)</f>
        <v>16009.599292406172</v>
      </c>
      <c r="EP6" s="645">
        <f>EP366</f>
        <v>8150.3106259440119</v>
      </c>
      <c r="EQ6" s="645">
        <f>EQ366</f>
        <v>8865.1549063396433</v>
      </c>
      <c r="ER6" s="674">
        <f>SUM(EP6:EQ6)</f>
        <v>17015.465532283655</v>
      </c>
      <c r="ES6" s="645">
        <f>ES366</f>
        <v>8669.5084521493336</v>
      </c>
      <c r="ET6" s="645">
        <f>ET366</f>
        <v>9430.1896119784196</v>
      </c>
      <c r="EU6" s="674">
        <f>SUM(ES6:ET6)</f>
        <v>18099.698064127755</v>
      </c>
      <c r="EV6" s="645">
        <f>EV366</f>
        <v>9223.2284960045781</v>
      </c>
      <c r="EW6" s="645">
        <f>EW366</f>
        <v>10032.787897800315</v>
      </c>
      <c r="EX6" s="674">
        <f>SUM(EV6:EW6)</f>
        <v>19256.016393804894</v>
      </c>
      <c r="EY6" s="645">
        <f>EY366</f>
        <v>9813.8150082874035</v>
      </c>
      <c r="EZ6" s="645">
        <f>EZ366</f>
        <v>10675.499502744151</v>
      </c>
      <c r="FA6" s="6">
        <f>SUM(EY6:EZ6)</f>
        <v>20489.314511031553</v>
      </c>
    </row>
    <row r="7" spans="1:184" ht="13.35" customHeight="1" outlineLevel="1">
      <c r="B7" s="4"/>
      <c r="C7" s="3" t="s">
        <v>767</v>
      </c>
      <c r="D7" s="178" t="str">
        <f>D6</f>
        <v>US$mn</v>
      </c>
      <c r="E7" s="84"/>
      <c r="F7" s="84"/>
      <c r="G7" s="84"/>
      <c r="H7" s="84"/>
      <c r="I7" s="84"/>
      <c r="J7" s="84"/>
      <c r="K7" s="84"/>
      <c r="L7" s="84"/>
      <c r="M7" s="84"/>
      <c r="N7" s="84"/>
      <c r="O7" s="84"/>
      <c r="P7" s="84"/>
      <c r="Q7" s="84"/>
      <c r="R7" s="84"/>
      <c r="S7" s="84"/>
      <c r="T7" s="84"/>
      <c r="U7" s="84"/>
      <c r="V7" s="84"/>
      <c r="W7" s="84"/>
      <c r="X7" s="84"/>
      <c r="Y7" s="84"/>
      <c r="Z7" s="84"/>
      <c r="AA7" s="84"/>
      <c r="AB7" s="84"/>
      <c r="AC7" s="84"/>
      <c r="AD7" s="84"/>
      <c r="AE7" s="84"/>
      <c r="AF7" s="84"/>
      <c r="AG7" s="84"/>
      <c r="AH7" s="84"/>
      <c r="AI7" s="84"/>
      <c r="AJ7" s="84"/>
      <c r="AK7" s="84"/>
      <c r="AL7" s="84"/>
      <c r="AM7" s="84"/>
      <c r="AN7" s="84"/>
      <c r="AO7" s="84"/>
      <c r="AP7" s="84"/>
      <c r="AQ7" s="79"/>
      <c r="AR7" s="179"/>
      <c r="AS7" s="179"/>
      <c r="AT7" s="8"/>
      <c r="AU7" s="179"/>
      <c r="AV7" s="179"/>
      <c r="AW7" s="8"/>
      <c r="AX7" s="179"/>
      <c r="AY7" s="179"/>
      <c r="AZ7" s="8"/>
      <c r="BA7" s="179"/>
      <c r="BB7" s="179"/>
      <c r="BC7" s="84"/>
      <c r="BD7" s="179"/>
      <c r="BE7" s="179"/>
      <c r="BF7" s="84"/>
      <c r="BG7" s="179"/>
      <c r="BH7" s="179"/>
      <c r="BI7" s="84"/>
      <c r="BJ7" s="179"/>
      <c r="BK7" s="179"/>
      <c r="BL7" s="84"/>
      <c r="BM7" s="179"/>
      <c r="BN7" s="179"/>
      <c r="BO7" s="8"/>
      <c r="BP7" s="179"/>
      <c r="BQ7" s="179"/>
      <c r="BR7" s="8"/>
      <c r="BS7" s="179"/>
      <c r="BT7" s="179"/>
      <c r="BU7" s="180"/>
      <c r="BV7" s="179">
        <v>360.85417604468216</v>
      </c>
      <c r="BW7" s="179">
        <v>309.14582395531784</v>
      </c>
      <c r="BX7" s="96">
        <v>670</v>
      </c>
      <c r="BY7" s="179">
        <v>307.05227413036584</v>
      </c>
      <c r="BZ7" s="179">
        <v>337.33493752052806</v>
      </c>
      <c r="CA7" s="96">
        <v>644.38721165089396</v>
      </c>
      <c r="CB7" s="179">
        <v>475.47948677727783</v>
      </c>
      <c r="CC7" s="179">
        <v>406.118305625365</v>
      </c>
      <c r="CD7" s="96">
        <v>881.59779240264288</v>
      </c>
      <c r="CE7" s="179">
        <v>377.60814307701253</v>
      </c>
      <c r="CF7" s="179">
        <v>369.68797826026832</v>
      </c>
      <c r="CG7" s="96">
        <v>747.29612133728085</v>
      </c>
      <c r="CH7" s="633">
        <v>228.9617228589413</v>
      </c>
      <c r="CI7" s="633">
        <v>201.93827714105865</v>
      </c>
      <c r="CJ7" s="162">
        <v>430.9</v>
      </c>
      <c r="CK7" s="633">
        <v>259.59999999999991</v>
      </c>
      <c r="CL7" s="633">
        <v>200.00000000000009</v>
      </c>
      <c r="CM7" s="162">
        <v>459.6</v>
      </c>
      <c r="CN7" s="633">
        <v>217.3</v>
      </c>
      <c r="CO7" s="633">
        <v>176</v>
      </c>
      <c r="CP7" s="162">
        <v>393.3</v>
      </c>
      <c r="CQ7" s="633">
        <v>252.1</v>
      </c>
      <c r="CR7" s="633">
        <v>159.80000000000001</v>
      </c>
      <c r="CS7" s="162">
        <v>411.9</v>
      </c>
      <c r="CT7" s="633">
        <v>531.70772000000011</v>
      </c>
      <c r="CU7" s="633">
        <v>199.69227999999978</v>
      </c>
      <c r="CV7" s="162">
        <v>731.39999999999986</v>
      </c>
      <c r="CW7" s="633">
        <v>620.00000000000023</v>
      </c>
      <c r="CX7" s="633">
        <v>279.79999999999978</v>
      </c>
      <c r="CY7" s="6">
        <v>899.8</v>
      </c>
      <c r="CZ7" s="634">
        <v>791</v>
      </c>
      <c r="DA7" s="634">
        <v>297</v>
      </c>
      <c r="DB7" s="6">
        <v>1088</v>
      </c>
      <c r="DC7" s="634">
        <v>948.6</v>
      </c>
      <c r="DD7" s="634">
        <v>246.4</v>
      </c>
      <c r="DE7" s="674">
        <v>1195</v>
      </c>
      <c r="DF7" s="646">
        <v>1017.6</v>
      </c>
      <c r="DG7" s="646">
        <v>279.5</v>
      </c>
      <c r="DH7" s="674">
        <v>1297.0999999999999</v>
      </c>
      <c r="DI7" s="646">
        <f>DI18</f>
        <v>1424.8000000000002</v>
      </c>
      <c r="DJ7" s="646">
        <f>DJ18</f>
        <v>313.69999999999993</v>
      </c>
      <c r="DK7" s="674">
        <f>SUM(DI7:DJ7)</f>
        <v>1738.5</v>
      </c>
      <c r="DL7" s="646">
        <f>DL18</f>
        <v>1685</v>
      </c>
      <c r="DM7" s="646">
        <f>DM18</f>
        <v>278.99999999999994</v>
      </c>
      <c r="DN7" s="674">
        <f>SUM(DL7:DM7)</f>
        <v>1964</v>
      </c>
      <c r="DO7" s="646">
        <f>DO407</f>
        <v>1653.2</v>
      </c>
      <c r="DP7" s="646">
        <f>DP407</f>
        <v>197.79999999999995</v>
      </c>
      <c r="DQ7" s="674">
        <f>SUM(DO7:DP7)</f>
        <v>1851</v>
      </c>
      <c r="DR7" s="646">
        <f>DR407</f>
        <v>1705</v>
      </c>
      <c r="DS7" s="646">
        <f>DS407</f>
        <v>191</v>
      </c>
      <c r="DT7" s="674">
        <f>SUM(DR7:DS7)</f>
        <v>1896</v>
      </c>
      <c r="DU7" s="646">
        <f>DU407</f>
        <v>1544</v>
      </c>
      <c r="DV7" s="646">
        <f>DV407</f>
        <v>362</v>
      </c>
      <c r="DW7" s="674">
        <f>SUM(DU7:DV7)</f>
        <v>1906</v>
      </c>
      <c r="DX7" s="646">
        <f>DX407</f>
        <v>1534</v>
      </c>
      <c r="DY7" s="646">
        <f>DY407</f>
        <v>253.32632758885106</v>
      </c>
      <c r="DZ7" s="674">
        <f>SUM(DX7:DY7)</f>
        <v>1787.326327588851</v>
      </c>
      <c r="EA7" s="646">
        <f>EA407</f>
        <v>1505.4434999999999</v>
      </c>
      <c r="EB7" s="646">
        <f>EB407</f>
        <v>251.27013366983294</v>
      </c>
      <c r="EC7" s="674">
        <f>SUM(EA7:EB7)</f>
        <v>1756.7136336698327</v>
      </c>
      <c r="ED7" s="646">
        <f>ED407</f>
        <v>1494.8236264500001</v>
      </c>
      <c r="EE7" s="646">
        <f>EE407</f>
        <v>250.77388199455919</v>
      </c>
      <c r="EF7" s="674">
        <f>SUM(ED7:EE7)</f>
        <v>1745.5975084445593</v>
      </c>
      <c r="EG7" s="646">
        <f>EG407</f>
        <v>1522.7400989789999</v>
      </c>
      <c r="EH7" s="646">
        <f>EH407</f>
        <v>252.78935963445036</v>
      </c>
      <c r="EI7" s="674">
        <f>SUM(EG7:EH7)</f>
        <v>1775.5294586134503</v>
      </c>
      <c r="EJ7" s="646">
        <f>EJ407</f>
        <v>1565.4523019483699</v>
      </c>
      <c r="EK7" s="646">
        <f>EK407</f>
        <v>255.87304042348387</v>
      </c>
      <c r="EL7" s="674">
        <f>SUM(EJ7:EK7)</f>
        <v>1821.3253423718538</v>
      </c>
      <c r="EM7" s="646">
        <f>EM407</f>
        <v>1609.4458710068211</v>
      </c>
      <c r="EN7" s="646">
        <f>EN407</f>
        <v>259.04923163618838</v>
      </c>
      <c r="EO7" s="674">
        <f>SUM(EM7:EN7)</f>
        <v>1868.4951026430094</v>
      </c>
      <c r="EP7" s="646">
        <f>EP407</f>
        <v>1654.7592471370258</v>
      </c>
      <c r="EQ7" s="646">
        <f>EQ407</f>
        <v>262.32070858527402</v>
      </c>
      <c r="ER7" s="674">
        <f>SUM(EP7:EQ7)</f>
        <v>1917.0799557222999</v>
      </c>
      <c r="ES7" s="646">
        <f>ES407</f>
        <v>1701.4320245511367</v>
      </c>
      <c r="ET7" s="646">
        <f>ET407</f>
        <v>265.69032984283228</v>
      </c>
      <c r="EU7" s="674">
        <f>SUM(ES7:ET7)</f>
        <v>1967.1223543939691</v>
      </c>
      <c r="EV7" s="646">
        <f>EV407</f>
        <v>1749.5049852876707</v>
      </c>
      <c r="EW7" s="646">
        <f>EW407</f>
        <v>269.16103973811721</v>
      </c>
      <c r="EX7" s="674">
        <f>SUM(EV7:EW7)</f>
        <v>2018.6660250257878</v>
      </c>
      <c r="EY7" s="646">
        <f>EY407</f>
        <v>1799.0201348463011</v>
      </c>
      <c r="EZ7" s="646">
        <f>EZ407</f>
        <v>272.73587093026072</v>
      </c>
      <c r="FA7" s="6">
        <f>SUM(EY7:EZ7)</f>
        <v>2071.7560057765618</v>
      </c>
    </row>
    <row r="8" spans="1:184" ht="13.35" customHeight="1" outlineLevel="1">
      <c r="A8" s="760"/>
      <c r="C8" s="3" t="s">
        <v>900</v>
      </c>
      <c r="D8" s="178" t="str">
        <f>D6</f>
        <v>US$mn</v>
      </c>
      <c r="BM8" s="183"/>
      <c r="BN8" s="183"/>
      <c r="BP8" s="184"/>
      <c r="BQ8" s="184"/>
      <c r="BR8" s="185"/>
      <c r="BS8" s="184"/>
      <c r="BT8" s="184"/>
      <c r="BU8" s="186"/>
      <c r="BV8" s="184">
        <v>81.888999999999996</v>
      </c>
      <c r="BW8" s="184">
        <v>88.111000000000004</v>
      </c>
      <c r="BX8" s="187">
        <v>170</v>
      </c>
      <c r="BY8" s="188">
        <v>82</v>
      </c>
      <c r="BZ8" s="188">
        <v>59.993100913849105</v>
      </c>
      <c r="CA8" s="187">
        <v>141.9931009138491</v>
      </c>
      <c r="CB8" s="188">
        <v>41.087723595510141</v>
      </c>
      <c r="CC8" s="188">
        <v>50.218328838956836</v>
      </c>
      <c r="CD8" s="187">
        <v>91.306052434466977</v>
      </c>
      <c r="CE8" s="188">
        <v>49.810395512228382</v>
      </c>
      <c r="CF8" s="188">
        <v>43.199306702238445</v>
      </c>
      <c r="CG8" s="187">
        <v>93.009702214466827</v>
      </c>
      <c r="CH8" s="635">
        <v>81.450384615384593</v>
      </c>
      <c r="CI8" s="635">
        <v>59.900384615384617</v>
      </c>
      <c r="CJ8" s="636">
        <v>141.3507692307692</v>
      </c>
      <c r="CK8" s="635">
        <v>71.947926267281119</v>
      </c>
      <c r="CL8" s="635">
        <v>62.3520737327189</v>
      </c>
      <c r="CM8" s="636">
        <v>134.30000000000001</v>
      </c>
      <c r="CN8" s="635">
        <v>101.1</v>
      </c>
      <c r="CO8" s="635">
        <v>43.599999999999987</v>
      </c>
      <c r="CP8" s="636">
        <v>144.69999999999999</v>
      </c>
      <c r="CQ8" s="635">
        <v>91.6</v>
      </c>
      <c r="CR8" s="635">
        <v>45.300000000000004</v>
      </c>
      <c r="CS8" s="636">
        <v>136.9</v>
      </c>
      <c r="CT8" s="635">
        <v>0</v>
      </c>
      <c r="CU8" s="635">
        <v>0</v>
      </c>
      <c r="CV8" s="636">
        <v>0</v>
      </c>
      <c r="CW8" s="635">
        <v>0</v>
      </c>
      <c r="CX8" s="635">
        <v>0</v>
      </c>
      <c r="CY8" s="637">
        <v>0</v>
      </c>
      <c r="CZ8" s="638">
        <v>0</v>
      </c>
      <c r="DA8" s="638">
        <v>0</v>
      </c>
      <c r="DB8" s="632">
        <v>0</v>
      </c>
      <c r="DC8" s="639">
        <v>0</v>
      </c>
      <c r="DD8" s="639">
        <v>0</v>
      </c>
      <c r="DE8" s="675">
        <v>0</v>
      </c>
      <c r="DF8" s="631">
        <v>0</v>
      </c>
      <c r="DG8" s="631">
        <v>0</v>
      </c>
      <c r="DH8" s="675">
        <v>0</v>
      </c>
      <c r="DI8" s="631">
        <f>+DI19</f>
        <v>0</v>
      </c>
      <c r="DJ8" s="631">
        <f>+DJ19</f>
        <v>0</v>
      </c>
      <c r="DK8" s="675">
        <f>SUM(DI8:DJ8)</f>
        <v>0</v>
      </c>
      <c r="DL8" s="631">
        <f>+DL19</f>
        <v>0</v>
      </c>
      <c r="DM8" s="631">
        <f>+DM19</f>
        <v>0</v>
      </c>
      <c r="DN8" s="675">
        <f>SUM(DL8:DM8)</f>
        <v>0</v>
      </c>
      <c r="DO8" s="631">
        <f>+DO19</f>
        <v>889</v>
      </c>
      <c r="DP8" s="631">
        <f>+DP19</f>
        <v>1100</v>
      </c>
      <c r="DQ8" s="675">
        <f>SUM(DO8:DP8)</f>
        <v>1989</v>
      </c>
      <c r="DR8" s="631">
        <f>'Vifor Segment'!V7</f>
        <v>1007</v>
      </c>
      <c r="DS8" s="631">
        <f>'Vifor Segment'!W7</f>
        <v>1046</v>
      </c>
      <c r="DT8" s="675">
        <f>SUM(DR8:DS8)</f>
        <v>2053</v>
      </c>
      <c r="DU8" s="631">
        <f>'Vifor Segment'!Y7</f>
        <v>1074</v>
      </c>
      <c r="DV8" s="631">
        <f>'Vifor Segment'!Z7</f>
        <v>1151</v>
      </c>
      <c r="DW8" s="675">
        <f>SUM(DU8:DV8)</f>
        <v>2225</v>
      </c>
      <c r="DX8" s="631">
        <f>'Vifor Segment'!AB7</f>
        <v>1223</v>
      </c>
      <c r="DY8" s="631">
        <f>'Vifor Segment'!AC7</f>
        <v>1107.641261109756</v>
      </c>
      <c r="DZ8" s="675">
        <f>SUM(DX8:DY8)</f>
        <v>2330.6412611097558</v>
      </c>
      <c r="EA8" s="631">
        <f>'Vifor Segment'!AE7</f>
        <v>1259.1147302487889</v>
      </c>
      <c r="EB8" s="631">
        <f>'Vifor Segment'!AF7</f>
        <v>1073.8048425713414</v>
      </c>
      <c r="EC8" s="675">
        <f>SUM(EA8:EB8)</f>
        <v>2332.9195728201303</v>
      </c>
      <c r="ED8" s="631">
        <f>'Vifor Segment'!AH7</f>
        <v>1252.9774667612285</v>
      </c>
      <c r="EE8" s="631">
        <f>'Vifor Segment'!AI7</f>
        <v>1115.349842733445</v>
      </c>
      <c r="EF8" s="675">
        <f>SUM(ED8:EE8)</f>
        <v>2368.3273094946735</v>
      </c>
      <c r="EG8" s="631">
        <f>'Vifor Segment'!AK7</f>
        <v>1302.7751680992899</v>
      </c>
      <c r="EH8" s="631">
        <f>'Vifor Segment'!AL7</f>
        <v>1158.8169236874955</v>
      </c>
      <c r="EI8" s="675">
        <f>SUM(EG8:EH8)</f>
        <v>2461.5920917867852</v>
      </c>
      <c r="EJ8" s="631">
        <f>'Vifor Segment'!AN7</f>
        <v>1354.9357242642545</v>
      </c>
      <c r="EK8" s="631">
        <f>'Vifor Segment'!AO7</f>
        <v>1204.3047673366934</v>
      </c>
      <c r="EL8" s="675">
        <f>SUM(EJ8:EK8)</f>
        <v>2559.2404916009482</v>
      </c>
      <c r="EM8" s="631">
        <f>'Vifor Segment'!AQ7</f>
        <v>1409.5844788886673</v>
      </c>
      <c r="EN8" s="631">
        <f>'Vifor Segment'!AR7</f>
        <v>1251.9176722121892</v>
      </c>
      <c r="EO8" s="675">
        <f>SUM(EM8:EN8)</f>
        <v>2661.5021511008563</v>
      </c>
      <c r="EP8" s="631">
        <f>'Vifor Segment'!AT7</f>
        <v>1466.8542128436845</v>
      </c>
      <c r="EQ8" s="631">
        <f>'Vifor Segment'!AU7</f>
        <v>1301.7659086892475</v>
      </c>
      <c r="ER8" s="675">
        <f>SUM(EP8:EQ8)</f>
        <v>2768.620121532932</v>
      </c>
      <c r="ES8" s="631">
        <f>'Vifor Segment'!AW7</f>
        <v>1526.8856376302047</v>
      </c>
      <c r="ET8" s="631">
        <f>'Vifor Segment'!AX7</f>
        <v>1353.9660990723064</v>
      </c>
      <c r="EU8" s="675">
        <f>SUM(ES8:ET8)</f>
        <v>2880.8517367025111</v>
      </c>
      <c r="EV8" s="631">
        <f>'Vifor Segment'!AZ7</f>
        <v>1589.8279250405142</v>
      </c>
      <c r="EW8" s="631">
        <f>'Vifor Segment'!BA7</f>
        <v>1408.6416244540349</v>
      </c>
      <c r="EX8" s="675">
        <f>SUM(EV8:EW8)</f>
        <v>2998.469549494549</v>
      </c>
      <c r="EY8" s="631">
        <f>'Vifor Segment'!BC7</f>
        <v>1655.8392759958824</v>
      </c>
      <c r="EZ8" s="631">
        <f>'Vifor Segment'!BD7</f>
        <v>1465.9230604105303</v>
      </c>
      <c r="FA8" s="632">
        <f>SUM(EY8:EZ8)</f>
        <v>3121.7623364064129</v>
      </c>
    </row>
    <row r="9" spans="1:184" ht="13.35" customHeight="1" outlineLevel="1" thickBot="1">
      <c r="A9" s="760" t="s">
        <v>1025</v>
      </c>
      <c r="B9" s="30" t="s">
        <v>775</v>
      </c>
      <c r="C9" s="30"/>
      <c r="D9" s="178" t="str">
        <f>D6</f>
        <v>US$mn</v>
      </c>
      <c r="E9" s="8"/>
      <c r="F9" s="8"/>
      <c r="G9" s="8"/>
      <c r="H9" s="8"/>
      <c r="I9" s="8"/>
      <c r="J9" s="8"/>
      <c r="K9" s="8"/>
      <c r="L9" s="8"/>
      <c r="M9" s="8"/>
      <c r="N9" s="8"/>
      <c r="O9" s="8"/>
      <c r="P9" s="8"/>
      <c r="Q9" s="8"/>
      <c r="R9" s="8"/>
      <c r="S9" s="8"/>
      <c r="T9" s="8"/>
      <c r="U9" s="8"/>
      <c r="V9" s="8"/>
      <c r="W9" s="8"/>
      <c r="X9" s="8"/>
      <c r="Y9" s="8"/>
      <c r="Z9" s="8"/>
      <c r="AA9" s="8"/>
      <c r="AB9" s="8"/>
      <c r="AC9" s="8"/>
      <c r="AD9" s="8"/>
      <c r="AE9" s="8"/>
      <c r="AF9" s="8"/>
      <c r="AG9" s="8"/>
      <c r="AH9" s="8"/>
      <c r="AI9" s="8"/>
      <c r="AJ9" s="8"/>
      <c r="AK9" s="8"/>
      <c r="AL9" s="8"/>
      <c r="AM9" s="8"/>
      <c r="AN9" s="8"/>
      <c r="AO9" s="8"/>
      <c r="AP9" s="8"/>
      <c r="AQ9" s="8"/>
      <c r="AR9" s="179"/>
      <c r="AS9" s="179"/>
      <c r="AT9" s="8"/>
      <c r="AU9" s="179"/>
      <c r="AV9" s="179"/>
      <c r="AW9" s="8"/>
      <c r="AX9" s="179"/>
      <c r="AY9" s="179"/>
      <c r="AZ9" s="8"/>
      <c r="BA9" s="179"/>
      <c r="BB9" s="179"/>
      <c r="BC9" s="8"/>
      <c r="BD9" s="179"/>
      <c r="BE9" s="179"/>
      <c r="BF9" s="8"/>
      <c r="BG9" s="179"/>
      <c r="BH9" s="179"/>
      <c r="BI9" s="8"/>
      <c r="BJ9" s="179"/>
      <c r="BK9" s="179"/>
      <c r="BL9" s="8"/>
      <c r="BM9" s="179"/>
      <c r="BN9" s="179"/>
      <c r="BO9" s="84"/>
      <c r="BP9" s="179"/>
      <c r="BQ9" s="179"/>
      <c r="BR9" s="84"/>
      <c r="BS9" s="179"/>
      <c r="BT9" s="179"/>
      <c r="BU9" s="190"/>
      <c r="BV9" s="191">
        <v>1545.1211760446827</v>
      </c>
      <c r="BW9" s="191">
        <v>1702.8788239553173</v>
      </c>
      <c r="BX9" s="192">
        <v>3418</v>
      </c>
      <c r="BY9" s="191">
        <v>1798.7322741303665</v>
      </c>
      <c r="BZ9" s="191">
        <v>1707.6549375205275</v>
      </c>
      <c r="CA9" s="192">
        <v>3648.3803125647428</v>
      </c>
      <c r="CB9" s="191">
        <v>2091.5294867772782</v>
      </c>
      <c r="CC9" s="191">
        <v>1971.0683056253647</v>
      </c>
      <c r="CD9" s="192">
        <v>4153.9038448371102</v>
      </c>
      <c r="CE9" s="191">
        <v>2044.6881430770125</v>
      </c>
      <c r="CF9" s="191">
        <v>2196.6079782602687</v>
      </c>
      <c r="CG9" s="192">
        <v>4334.3058235517474</v>
      </c>
      <c r="CH9" s="640">
        <v>2306.111722858941</v>
      </c>
      <c r="CI9" s="640">
        <v>2318.1882771410592</v>
      </c>
      <c r="CJ9" s="641">
        <v>4765.6507692307687</v>
      </c>
      <c r="CK9" s="640">
        <v>2492.2999999999997</v>
      </c>
      <c r="CL9" s="640">
        <v>2468.2000000000016</v>
      </c>
      <c r="CM9" s="641">
        <v>5094.800000000002</v>
      </c>
      <c r="CN9" s="640">
        <v>2574.1999999999998</v>
      </c>
      <c r="CO9" s="640">
        <v>2760.599999999999</v>
      </c>
      <c r="CP9" s="641">
        <v>5334.7999999999993</v>
      </c>
      <c r="CQ9" s="640">
        <v>2835.7000000000003</v>
      </c>
      <c r="CR9" s="640">
        <v>2759.800000000002</v>
      </c>
      <c r="CS9" s="641">
        <v>5595.5000000000018</v>
      </c>
      <c r="CT9" s="640">
        <v>3135.7077200000003</v>
      </c>
      <c r="CU9" s="640">
        <v>2919.692280000002</v>
      </c>
      <c r="CV9" s="641">
        <v>6055.4000000000024</v>
      </c>
      <c r="CW9" s="640">
        <v>3596.3999999999996</v>
      </c>
      <c r="CX9" s="640">
        <v>3138.2</v>
      </c>
      <c r="CY9" s="642">
        <v>6734.5999999999995</v>
      </c>
      <c r="CZ9" s="643">
        <v>4079.5304625474068</v>
      </c>
      <c r="DA9" s="643">
        <v>3685.9695374525927</v>
      </c>
      <c r="DB9" s="642">
        <v>7765.5</v>
      </c>
      <c r="DC9" s="643">
        <v>4416.6000000000004</v>
      </c>
      <c r="DD9" s="643">
        <v>3965.7000000000012</v>
      </c>
      <c r="DE9" s="676">
        <v>8382.3000000000011</v>
      </c>
      <c r="DF9" s="642">
        <v>4785.7324151647254</v>
      </c>
      <c r="DG9" s="642">
        <v>4172.4710689872554</v>
      </c>
      <c r="DH9" s="676">
        <v>8958.2034841519817</v>
      </c>
      <c r="DI9" s="642">
        <f>SUM(DI6:DI8)</f>
        <v>5681.3448291452833</v>
      </c>
      <c r="DJ9" s="642">
        <f>SUM(DJ6:DJ8)</f>
        <v>4484.9558953579226</v>
      </c>
      <c r="DK9" s="676">
        <f>SUM(DI9:DJ9)</f>
        <v>10166.300724503206</v>
      </c>
      <c r="DL9" s="642">
        <f>SUM(DL6:DL8)</f>
        <v>5901.1</v>
      </c>
      <c r="DM9" s="642">
        <f>SUM(DM6:DM8)</f>
        <v>4422.5</v>
      </c>
      <c r="DN9" s="676">
        <f>SUM(DL9:DM9)</f>
        <v>10323.6</v>
      </c>
      <c r="DO9" s="642">
        <f>SUM(DO6:DO8)</f>
        <v>6956.2</v>
      </c>
      <c r="DP9" s="642">
        <f>SUM(DP6:DP8)</f>
        <v>5851.8</v>
      </c>
      <c r="DQ9" s="676">
        <f>SUM(DO9:DP9)</f>
        <v>12808</v>
      </c>
      <c r="DR9" s="642">
        <f>SUM(DR6:DR8)</f>
        <v>7805</v>
      </c>
      <c r="DS9" s="642">
        <f>SUM(DS6:DS8)</f>
        <v>6478</v>
      </c>
      <c r="DT9" s="676">
        <f>SUM(DR9:DS9)</f>
        <v>14283</v>
      </c>
      <c r="DU9" s="642">
        <f>SUM(DU6:DU8)</f>
        <v>8229</v>
      </c>
      <c r="DV9" s="642">
        <f>SUM(DV6:DV8)</f>
        <v>6832</v>
      </c>
      <c r="DW9" s="676">
        <f>SUM(DU9:DV9)</f>
        <v>15061</v>
      </c>
      <c r="DX9" s="642">
        <f>SUM(DX6:DX8)</f>
        <v>8092</v>
      </c>
      <c r="DY9" s="642">
        <f>SUM(DY6:DY8)</f>
        <v>7385.1872548682686</v>
      </c>
      <c r="DZ9" s="676">
        <f>SUM(DX9:DY9)</f>
        <v>15477.18725486827</v>
      </c>
      <c r="EA9" s="642">
        <f>SUM(EA6:EA8)</f>
        <v>8643.9500801872127</v>
      </c>
      <c r="EB9" s="642">
        <f>SUM(EB6:EB8)</f>
        <v>7691.1679945721125</v>
      </c>
      <c r="EC9" s="676">
        <f>SUM(EA9:EB9)</f>
        <v>16335.118074759324</v>
      </c>
      <c r="ED9" s="642">
        <f>SUM(ED6:ED8)</f>
        <v>9042.4370280353432</v>
      </c>
      <c r="EE9" s="642">
        <f>SUM(EE6:EE8)</f>
        <v>8183.6787836254753</v>
      </c>
      <c r="EF9" s="676">
        <f>SUM(ED9:EE9)</f>
        <v>17226.11581166082</v>
      </c>
      <c r="EG9" s="642">
        <f>SUM(EG6:EG8)</f>
        <v>9570.8753568838911</v>
      </c>
      <c r="EH9" s="642">
        <f>SUM(EH6:EH8)</f>
        <v>8729.476797521238</v>
      </c>
      <c r="EI9" s="676">
        <f>SUM(EG9:EH9)</f>
        <v>18300.352154405129</v>
      </c>
      <c r="EJ9" s="642">
        <f>SUM(EJ6:EJ8)</f>
        <v>10137.387398154884</v>
      </c>
      <c r="EK9" s="642">
        <f>SUM(EK6:EK8)</f>
        <v>9323.6199281595054</v>
      </c>
      <c r="EL9" s="676">
        <f>SUM(EJ9:EK9)</f>
        <v>19461.00732631439</v>
      </c>
      <c r="EM9" s="642">
        <f>SUM(EM6:EM8)</f>
        <v>10693.33119298682</v>
      </c>
      <c r="EN9" s="642">
        <f>SUM(EN6:EN8)</f>
        <v>9846.2653531632204</v>
      </c>
      <c r="EO9" s="676">
        <f>SUM(EM9:EN9)</f>
        <v>20539.596546150038</v>
      </c>
      <c r="EP9" s="642">
        <f>SUM(EP6:EP8)</f>
        <v>11271.924085924722</v>
      </c>
      <c r="EQ9" s="642">
        <f>SUM(EQ6:EQ8)</f>
        <v>10429.241523614164</v>
      </c>
      <c r="ER9" s="676">
        <f>SUM(EP9:EQ9)</f>
        <v>21701.165609538886</v>
      </c>
      <c r="ES9" s="642">
        <f>SUM(ES6:ES8)</f>
        <v>11897.826114330675</v>
      </c>
      <c r="ET9" s="642">
        <f>SUM(ET6:ET8)</f>
        <v>11049.846040893557</v>
      </c>
      <c r="EU9" s="676">
        <f>SUM(ES9:ET9)</f>
        <v>22947.672155224231</v>
      </c>
      <c r="EV9" s="642">
        <f>SUM(EV6:EV8)</f>
        <v>12562.561406332763</v>
      </c>
      <c r="EW9" s="642">
        <f>SUM(EW6:EW8)</f>
        <v>11710.590561992467</v>
      </c>
      <c r="EX9" s="676">
        <f>SUM(EV9:EW9)</f>
        <v>24273.15196832523</v>
      </c>
      <c r="EY9" s="642">
        <f>SUM(EY6:EY8)</f>
        <v>13268.674419129587</v>
      </c>
      <c r="EZ9" s="642">
        <f>SUM(EZ6:EZ8)</f>
        <v>12414.158434084942</v>
      </c>
      <c r="FA9" s="644">
        <f>SUM(EY9:EZ9)</f>
        <v>25682.832853214531</v>
      </c>
    </row>
    <row r="10" spans="1:184" ht="13.35" customHeight="1" outlineLevel="1" thickTop="1">
      <c r="A10" s="989"/>
      <c r="B10" s="30" t="s">
        <v>422</v>
      </c>
      <c r="C10" s="30"/>
      <c r="D10" s="178"/>
      <c r="E10" s="194"/>
      <c r="F10" s="194"/>
      <c r="G10" s="194"/>
      <c r="H10" s="194"/>
      <c r="I10" s="194"/>
      <c r="J10" s="194"/>
      <c r="K10" s="194"/>
      <c r="L10" s="194"/>
      <c r="M10" s="194"/>
      <c r="N10" s="194"/>
      <c r="O10" s="194"/>
      <c r="P10" s="194"/>
      <c r="Q10" s="194"/>
      <c r="R10" s="194"/>
      <c r="S10" s="194"/>
      <c r="T10" s="194"/>
      <c r="U10" s="194"/>
      <c r="V10" s="194"/>
      <c r="W10" s="194"/>
      <c r="X10" s="194"/>
      <c r="Y10" s="194"/>
      <c r="Z10" s="194"/>
      <c r="AA10" s="194"/>
      <c r="AB10" s="194"/>
      <c r="AC10" s="194"/>
      <c r="AD10" s="194"/>
      <c r="AE10" s="194"/>
      <c r="AF10" s="194"/>
      <c r="AG10" s="194"/>
      <c r="AH10" s="194"/>
      <c r="AI10" s="194"/>
      <c r="AJ10" s="194"/>
      <c r="AK10" s="194"/>
      <c r="AL10" s="194"/>
      <c r="AM10" s="194"/>
      <c r="AN10" s="194"/>
      <c r="AO10" s="3"/>
      <c r="AP10" s="194"/>
      <c r="AQ10" s="194"/>
      <c r="AR10" s="195"/>
      <c r="AS10" s="195"/>
      <c r="AT10" s="194"/>
      <c r="AU10" s="196"/>
      <c r="AV10" s="196"/>
      <c r="AW10" s="197"/>
      <c r="AX10" s="196"/>
      <c r="AY10" s="196"/>
      <c r="AZ10" s="197"/>
      <c r="BA10" s="196"/>
      <c r="BB10" s="196"/>
      <c r="BC10" s="197"/>
      <c r="BD10" s="196"/>
      <c r="BE10" s="196"/>
      <c r="BF10" s="197"/>
      <c r="BG10" s="196"/>
      <c r="BH10" s="196"/>
      <c r="BI10" s="197"/>
      <c r="BJ10" s="196"/>
      <c r="BK10" s="196"/>
      <c r="BL10" s="197"/>
      <c r="BM10" s="198"/>
      <c r="BN10" s="196"/>
      <c r="BO10" s="197"/>
      <c r="BP10" s="196"/>
      <c r="BQ10" s="196"/>
      <c r="BR10" s="197"/>
      <c r="BS10" s="196"/>
      <c r="BT10" s="196"/>
      <c r="BU10" s="199"/>
      <c r="BV10" s="196"/>
      <c r="BW10" s="196"/>
      <c r="BX10" s="200"/>
      <c r="BY10" s="196"/>
      <c r="BZ10" s="196"/>
      <c r="CA10" s="201"/>
      <c r="CB10" s="202"/>
      <c r="CC10" s="202"/>
      <c r="CD10" s="200"/>
      <c r="CE10" s="196"/>
      <c r="CF10" s="196"/>
      <c r="CG10" s="203"/>
      <c r="CH10" s="196"/>
      <c r="CI10" s="196"/>
      <c r="CJ10" s="96"/>
      <c r="CK10" s="196"/>
      <c r="CL10" s="196"/>
      <c r="CM10" s="96"/>
      <c r="CN10" s="196"/>
      <c r="CO10" s="196"/>
      <c r="CP10" s="96"/>
      <c r="CQ10" s="196"/>
      <c r="CR10" s="196"/>
      <c r="CS10" s="96"/>
      <c r="CT10" s="196"/>
      <c r="CU10" s="196"/>
      <c r="CV10" s="96"/>
      <c r="CW10" s="196"/>
      <c r="CX10" s="196"/>
      <c r="CY10" s="499"/>
      <c r="CZ10" s="505"/>
      <c r="DA10" s="505"/>
      <c r="DB10" s="499"/>
      <c r="DC10" s="505"/>
      <c r="DD10" s="505"/>
      <c r="DE10" s="677"/>
      <c r="DF10" s="505"/>
      <c r="DG10" s="505"/>
      <c r="DH10" s="677"/>
      <c r="DI10" s="505"/>
      <c r="DJ10" s="505"/>
      <c r="DK10" s="677"/>
      <c r="DL10" s="505"/>
      <c r="DM10" s="505"/>
      <c r="DN10" s="677"/>
      <c r="DO10" s="505"/>
      <c r="DP10" s="505"/>
      <c r="DQ10" s="677"/>
      <c r="DR10" s="505"/>
      <c r="DS10" s="505"/>
      <c r="DT10" s="741"/>
      <c r="DU10" s="505"/>
      <c r="DV10" s="505"/>
      <c r="DW10" s="741"/>
      <c r="DX10" s="505"/>
      <c r="DY10" s="505"/>
      <c r="DZ10" s="677"/>
      <c r="EA10" s="505"/>
      <c r="EB10" s="505"/>
      <c r="EC10" s="677"/>
      <c r="ED10" s="505"/>
      <c r="EE10" s="505"/>
      <c r="EF10" s="677"/>
      <c r="EG10" s="505"/>
      <c r="EH10" s="505"/>
      <c r="EI10" s="677"/>
      <c r="EJ10" s="505"/>
      <c r="EK10" s="505"/>
      <c r="EL10" s="677"/>
      <c r="EM10" s="505"/>
      <c r="EN10" s="505"/>
      <c r="EO10" s="677"/>
      <c r="EP10" s="505"/>
      <c r="EQ10" s="505"/>
      <c r="ER10" s="677"/>
      <c r="ES10" s="505"/>
      <c r="ET10" s="505"/>
      <c r="EU10" s="677"/>
      <c r="EV10" s="505"/>
      <c r="EW10" s="505"/>
      <c r="EX10" s="677"/>
      <c r="EY10" s="505"/>
      <c r="EZ10" s="505"/>
      <c r="FA10" s="499"/>
    </row>
    <row r="11" spans="1:184" ht="13.35" customHeight="1" outlineLevel="1">
      <c r="A11" s="760" t="s">
        <v>990</v>
      </c>
      <c r="B11" s="205"/>
      <c r="C11" s="126" t="s">
        <v>461</v>
      </c>
      <c r="D11" s="178" t="s">
        <v>507</v>
      </c>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194"/>
      <c r="AG11" s="194"/>
      <c r="AH11" s="194"/>
      <c r="AI11" s="194"/>
      <c r="AJ11" s="194"/>
      <c r="AK11" s="194"/>
      <c r="AL11" s="194"/>
      <c r="AM11" s="194"/>
      <c r="AN11" s="194"/>
      <c r="AO11" s="3"/>
      <c r="AP11" s="194"/>
      <c r="AQ11" s="194"/>
      <c r="AR11" s="195"/>
      <c r="AS11" s="195"/>
      <c r="AT11" s="194"/>
      <c r="AU11" s="196"/>
      <c r="AV11" s="196"/>
      <c r="AW11" s="197"/>
      <c r="AX11" s="196"/>
      <c r="AY11" s="196"/>
      <c r="AZ11" s="197"/>
      <c r="BA11" s="196"/>
      <c r="BB11" s="196"/>
      <c r="BC11" s="197"/>
      <c r="BD11" s="196"/>
      <c r="BE11" s="196"/>
      <c r="BF11" s="197"/>
      <c r="BG11" s="196"/>
      <c r="BH11" s="196"/>
      <c r="BI11" s="197"/>
      <c r="BJ11" s="196"/>
      <c r="BK11" s="196"/>
      <c r="BL11" s="197"/>
      <c r="BM11" s="196"/>
      <c r="BN11" s="196"/>
      <c r="BO11" s="197"/>
      <c r="BP11" s="196"/>
      <c r="BQ11" s="196"/>
      <c r="BR11" s="197"/>
      <c r="BS11" s="196"/>
      <c r="BT11" s="196"/>
      <c r="BU11" s="199"/>
      <c r="BV11" s="206">
        <v>0.24516104370540878</v>
      </c>
      <c r="BW11" s="206">
        <v>0.43989615742384131</v>
      </c>
      <c r="BX11" s="200">
        <v>0.3433832523770482</v>
      </c>
      <c r="BY11" s="206">
        <v>0.2595808208790753</v>
      </c>
      <c r="BZ11" s="206">
        <v>-1.6798769922216107E-2</v>
      </c>
      <c r="CA11" s="200">
        <v>0.11016291698991466</v>
      </c>
      <c r="CB11" s="206">
        <v>8.3375791054381532E-2</v>
      </c>
      <c r="CC11" s="206">
        <v>0.14203251795201152</v>
      </c>
      <c r="CD11" s="200">
        <v>0.11146051712089448</v>
      </c>
      <c r="CE11" s="206">
        <v>3.1576993286098518E-2</v>
      </c>
      <c r="CF11" s="206">
        <v>0.16739831943512606</v>
      </c>
      <c r="CG11" s="200">
        <v>9.8396730587865452E-2</v>
      </c>
      <c r="CH11" s="206">
        <v>0.24598099671281506</v>
      </c>
      <c r="CI11" s="206">
        <v>0.15837037199220552</v>
      </c>
      <c r="CJ11" s="200">
        <v>0.2001717229536347</v>
      </c>
      <c r="CK11" s="206">
        <v>7.4886262426883093E-2</v>
      </c>
      <c r="CL11" s="206">
        <v>7.1801535735381519E-2</v>
      </c>
      <c r="CM11" s="200">
        <v>7.3329517813707695E-2</v>
      </c>
      <c r="CN11" s="206">
        <v>5.5627715322255487E-2</v>
      </c>
      <c r="CO11" s="206">
        <v>0.13949387179260961</v>
      </c>
      <c r="CP11" s="200">
        <v>9.7891532804549444E-2</v>
      </c>
      <c r="CQ11" s="206">
        <v>5.7321057321057675E-2</v>
      </c>
      <c r="CR11" s="206">
        <v>-1.1568521241196849E-2</v>
      </c>
      <c r="CS11" s="200">
        <v>2.1289082262471802E-2</v>
      </c>
      <c r="CT11" s="206">
        <v>4.4943820224718913E-2</v>
      </c>
      <c r="CU11" s="206">
        <v>6.4704270560144259E-2</v>
      </c>
      <c r="CV11" s="200">
        <v>5.4946796916796943E-2</v>
      </c>
      <c r="CW11" s="206">
        <v>0.1430107526881719</v>
      </c>
      <c r="CX11" s="206">
        <v>5.0882352941175622E-2</v>
      </c>
      <c r="CY11" s="506">
        <v>9.5942900075130969E-2</v>
      </c>
      <c r="CZ11" s="507">
        <v>0.10486845267686039</v>
      </c>
      <c r="DA11" s="507">
        <v>0.18561766633521992</v>
      </c>
      <c r="DB11" s="506">
        <v>0.14442654418317694</v>
      </c>
      <c r="DC11" s="507">
        <v>5.4574388012075759E-2</v>
      </c>
      <c r="DD11" s="507">
        <v>9.7472243080623827E-2</v>
      </c>
      <c r="DE11" s="678">
        <v>7.6345937850992307E-2</v>
      </c>
      <c r="DF11" s="648">
        <v>8.6543372308167527E-2</v>
      </c>
      <c r="DG11" s="648">
        <v>4.6694557843479763E-2</v>
      </c>
      <c r="DH11" s="678">
        <v>6.5922319111763703E-2</v>
      </c>
      <c r="DI11" s="648">
        <f t="shared" ref="DI11:DR12" si="3">IF(ISERROR((DI6-DF6)/DF6),"",(DI6-DF6)/DF6)</f>
        <v>0.12961657398634888</v>
      </c>
      <c r="DJ11" s="648">
        <f t="shared" si="3"/>
        <v>7.1483918436378802E-2</v>
      </c>
      <c r="DK11" s="678">
        <f t="shared" si="3"/>
        <v>0.10007660671040947</v>
      </c>
      <c r="DL11" s="648">
        <f t="shared" si="3"/>
        <v>-9.5017980001878798E-3</v>
      </c>
      <c r="DM11" s="648">
        <f t="shared" si="3"/>
        <v>-6.6540859765548219E-3</v>
      </c>
      <c r="DN11" s="678">
        <f t="shared" si="3"/>
        <v>-8.0923513420193879E-3</v>
      </c>
      <c r="DO11" s="648">
        <f t="shared" si="3"/>
        <v>4.6939114347382564E-2</v>
      </c>
      <c r="DP11" s="648">
        <f t="shared" si="3"/>
        <v>9.9070833836128872E-2</v>
      </c>
      <c r="DQ11" s="678">
        <f t="shared" si="3"/>
        <v>7.2778601846978278E-2</v>
      </c>
      <c r="DR11" s="648">
        <f t="shared" si="3"/>
        <v>0.15382872677843226</v>
      </c>
      <c r="DS11" s="648">
        <f t="shared" ref="DS11:EB12" si="4">IF(ISERROR((DS6-DP6)/DP6),"",(DS6-DP6)/DP6)</f>
        <v>0.15085638998682477</v>
      </c>
      <c r="DT11" s="678">
        <f t="shared" si="4"/>
        <v>0.15231935771632471</v>
      </c>
      <c r="DU11" s="648">
        <f t="shared" si="4"/>
        <v>0.10170822697820538</v>
      </c>
      <c r="DV11" s="648">
        <f t="shared" si="4"/>
        <v>1.4882655981682884E-2</v>
      </c>
      <c r="DW11" s="678">
        <f t="shared" si="4"/>
        <v>5.7673698471066383E-2</v>
      </c>
      <c r="DX11" s="648">
        <f t="shared" si="4"/>
        <v>-4.9189092853323825E-2</v>
      </c>
      <c r="DY11" s="648">
        <f t="shared" si="4"/>
        <v>0.13258500962016576</v>
      </c>
      <c r="DZ11" s="678">
        <f t="shared" si="4"/>
        <v>3.9269868816986429E-2</v>
      </c>
      <c r="EA11" s="648">
        <f t="shared" si="4"/>
        <v>0.10204158386849585</v>
      </c>
      <c r="EB11" s="648">
        <f t="shared" si="4"/>
        <v>5.6749815097404586E-2</v>
      </c>
      <c r="EC11" s="678">
        <f t="shared" ref="EC11:EL12" si="5">IF(ISERROR((EC6-DZ6)/DZ6),"",(EC6-DZ6)/DZ6)</f>
        <v>7.8021662415702756E-2</v>
      </c>
      <c r="ED11" s="648">
        <f t="shared" si="5"/>
        <v>7.06270470627057E-2</v>
      </c>
      <c r="EE11" s="648">
        <f t="shared" si="5"/>
        <v>7.0916657872664421E-2</v>
      </c>
      <c r="EF11" s="678">
        <f t="shared" si="5"/>
        <v>7.0777607810209447E-2</v>
      </c>
      <c r="EG11" s="648">
        <f t="shared" si="5"/>
        <v>7.1604483507604372E-2</v>
      </c>
      <c r="EH11" s="648">
        <f t="shared" si="5"/>
        <v>7.3386346128421417E-2</v>
      </c>
      <c r="EI11" s="678">
        <f t="shared" si="5"/>
        <v>7.2530945494821322E-2</v>
      </c>
      <c r="EJ11" s="648">
        <f t="shared" si="5"/>
        <v>6.9920549215668273E-2</v>
      </c>
      <c r="EK11" s="648">
        <f t="shared" si="5"/>
        <v>7.45533287506841E-2</v>
      </c>
      <c r="EL11" s="678">
        <f t="shared" si="5"/>
        <v>7.2331238602246606E-2</v>
      </c>
      <c r="EM11" s="648">
        <f t="shared" ref="EM11:EV12" si="6">IF(ISERROR((EM6-EJ6)/EJ6),"",(EM6-EJ6)/EJ6)</f>
        <v>6.3364488145438366E-2</v>
      </c>
      <c r="EN11" s="648">
        <f t="shared" si="6"/>
        <v>6.0006333319529849E-2</v>
      </c>
      <c r="EO11" s="678">
        <f t="shared" si="6"/>
        <v>6.161343489422675E-2</v>
      </c>
      <c r="EP11" s="648">
        <f t="shared" si="6"/>
        <v>6.2026468936411547E-2</v>
      </c>
      <c r="EQ11" s="648">
        <f t="shared" si="6"/>
        <v>6.3567784674627439E-2</v>
      </c>
      <c r="ER11" s="678">
        <f t="shared" si="6"/>
        <v>6.2828945403686359E-2</v>
      </c>
      <c r="ES11" s="648">
        <f t="shared" si="6"/>
        <v>6.3702826804246548E-2</v>
      </c>
      <c r="ET11" s="648">
        <f t="shared" si="6"/>
        <v>6.3736585723359343E-2</v>
      </c>
      <c r="EU11" s="678">
        <f t="shared" si="6"/>
        <v>6.3720415394275989E-2</v>
      </c>
      <c r="EV11" s="648">
        <f t="shared" si="6"/>
        <v>6.3869831480234257E-2</v>
      </c>
      <c r="EW11" s="648">
        <f t="shared" ref="EW11:FA12" si="7">IF(ISERROR((EW6-ET6)/ET6),"",(EW6-ET6)/ET6)</f>
        <v>6.3900972368197473E-2</v>
      </c>
      <c r="EX11" s="678">
        <f t="shared" si="7"/>
        <v>6.38860563076947E-2</v>
      </c>
      <c r="EY11" s="648">
        <f t="shared" si="7"/>
        <v>6.4032514486512218E-2</v>
      </c>
      <c r="EZ11" s="648">
        <f t="shared" si="7"/>
        <v>6.4061117556840783E-2</v>
      </c>
      <c r="FA11" s="647">
        <f t="shared" si="7"/>
        <v>6.4047417285303082E-2</v>
      </c>
    </row>
    <row r="12" spans="1:184" ht="13.35" customHeight="1" outlineLevel="1">
      <c r="A12" s="988" t="s">
        <v>991</v>
      </c>
      <c r="B12" s="126"/>
      <c r="C12" s="3" t="str">
        <f>C7</f>
        <v>Seqirus</v>
      </c>
      <c r="D12" s="178" t="str">
        <f>D11</f>
        <v>%</v>
      </c>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6"/>
      <c r="AS12" s="196"/>
      <c r="AT12" s="197"/>
      <c r="AU12" s="196"/>
      <c r="AV12" s="196"/>
      <c r="AW12" s="197"/>
      <c r="AX12" s="196"/>
      <c r="AY12" s="196"/>
      <c r="AZ12" s="197"/>
      <c r="BA12" s="196"/>
      <c r="BB12" s="196"/>
      <c r="BC12" s="197"/>
      <c r="BD12" s="196"/>
      <c r="BE12" s="196"/>
      <c r="BF12" s="197"/>
      <c r="BG12" s="196"/>
      <c r="BH12" s="196"/>
      <c r="BI12" s="197"/>
      <c r="BJ12" s="196"/>
      <c r="BK12" s="196"/>
      <c r="BL12" s="197"/>
      <c r="BM12" s="196"/>
      <c r="BN12" s="196"/>
      <c r="BO12" s="197"/>
      <c r="BP12" s="196"/>
      <c r="BQ12" s="196"/>
      <c r="BR12" s="197"/>
      <c r="BS12" s="196"/>
      <c r="BT12" s="196"/>
      <c r="BU12" s="199"/>
      <c r="BV12" s="206" t="s">
        <v>187</v>
      </c>
      <c r="BW12" s="206" t="s">
        <v>187</v>
      </c>
      <c r="BX12" s="200" t="s">
        <v>187</v>
      </c>
      <c r="BY12" s="206">
        <v>-0.14909596586642906</v>
      </c>
      <c r="BZ12" s="206">
        <v>9.1183873049129435E-2</v>
      </c>
      <c r="CA12" s="200">
        <v>-3.8228042312098566E-2</v>
      </c>
      <c r="CB12" s="206">
        <v>0.54852944217375343</v>
      </c>
      <c r="CC12" s="206">
        <v>0.2039022954764394</v>
      </c>
      <c r="CD12" s="200">
        <v>0.36811807631008847</v>
      </c>
      <c r="CE12" s="206">
        <v>-0.20583715264694435</v>
      </c>
      <c r="CF12" s="206">
        <v>-8.9703731303121384E-2</v>
      </c>
      <c r="CG12" s="200">
        <v>-0.15233893757758396</v>
      </c>
      <c r="CH12" s="206">
        <v>-0.39365258123619185</v>
      </c>
      <c r="CI12" s="206">
        <v>-0.45376022749950029</v>
      </c>
      <c r="CJ12" s="200">
        <v>-0.42338788105991021</v>
      </c>
      <c r="CK12" s="206">
        <v>0.13381397011907634</v>
      </c>
      <c r="CL12" s="206">
        <v>-9.5983642551561981E-3</v>
      </c>
      <c r="CM12" s="200">
        <v>6.6604780691575882E-2</v>
      </c>
      <c r="CN12" s="206">
        <v>-0.16294298921417533</v>
      </c>
      <c r="CO12" s="206">
        <v>-0.12000000000000037</v>
      </c>
      <c r="CP12" s="200">
        <v>-0.14425587467362927</v>
      </c>
      <c r="CQ12" s="206">
        <v>0.16014726184997691</v>
      </c>
      <c r="CR12" s="206">
        <v>-9.2045454545454486E-2</v>
      </c>
      <c r="CS12" s="200">
        <v>4.7292143401983129E-2</v>
      </c>
      <c r="CT12" s="206">
        <v>1.1091143197143993</v>
      </c>
      <c r="CU12" s="206">
        <v>0.24963879849812121</v>
      </c>
      <c r="CV12" s="200">
        <v>0.77567370721048778</v>
      </c>
      <c r="CW12" s="206">
        <v>0.16605416223785524</v>
      </c>
      <c r="CX12" s="206">
        <v>0.40115581834210157</v>
      </c>
      <c r="CY12" s="506">
        <v>0.2302433688815971</v>
      </c>
      <c r="CZ12" s="507">
        <v>0.27580645161290274</v>
      </c>
      <c r="DA12" s="507">
        <v>6.1472480343103035E-2</v>
      </c>
      <c r="DB12" s="506">
        <v>0.20915759057568353</v>
      </c>
      <c r="DC12" s="507">
        <v>0.1992414664981037</v>
      </c>
      <c r="DD12" s="507">
        <v>-0.17037037037037034</v>
      </c>
      <c r="DE12" s="678">
        <v>9.8345588235294115E-2</v>
      </c>
      <c r="DF12" s="648">
        <v>7.2738772928526249E-2</v>
      </c>
      <c r="DG12" s="648">
        <v>0.13433441558441556</v>
      </c>
      <c r="DH12" s="678">
        <v>8.5439330543932976E-2</v>
      </c>
      <c r="DI12" s="648">
        <f t="shared" si="3"/>
        <v>0.40015723270440268</v>
      </c>
      <c r="DJ12" s="648">
        <f t="shared" si="3"/>
        <v>0.12236135957066165</v>
      </c>
      <c r="DK12" s="678">
        <f t="shared" si="3"/>
        <v>0.34029758692467821</v>
      </c>
      <c r="DL12" s="648">
        <f t="shared" si="3"/>
        <v>0.18262212240314415</v>
      </c>
      <c r="DM12" s="648">
        <f t="shared" si="3"/>
        <v>-0.11061523748804589</v>
      </c>
      <c r="DN12" s="678">
        <f t="shared" si="3"/>
        <v>0.12970951970089156</v>
      </c>
      <c r="DO12" s="648">
        <f t="shared" si="3"/>
        <v>-1.8872403560830833E-2</v>
      </c>
      <c r="DP12" s="648">
        <f t="shared" si="3"/>
        <v>-0.29103942652329751</v>
      </c>
      <c r="DQ12" s="678">
        <f t="shared" si="3"/>
        <v>-5.7535641547861505E-2</v>
      </c>
      <c r="DR12" s="648">
        <f t="shared" si="3"/>
        <v>3.1333172030002389E-2</v>
      </c>
      <c r="DS12" s="648">
        <f t="shared" si="4"/>
        <v>-3.4378159757330412E-2</v>
      </c>
      <c r="DT12" s="678">
        <f t="shared" si="4"/>
        <v>2.4311183144246355E-2</v>
      </c>
      <c r="DU12" s="648">
        <f t="shared" si="4"/>
        <v>-9.4428152492668616E-2</v>
      </c>
      <c r="DV12" s="648">
        <f t="shared" si="4"/>
        <v>0.89528795811518325</v>
      </c>
      <c r="DW12" s="678">
        <f t="shared" si="4"/>
        <v>5.2742616033755272E-3</v>
      </c>
      <c r="DX12" s="648">
        <f t="shared" si="4"/>
        <v>-6.4766839378238338E-3</v>
      </c>
      <c r="DY12" s="648">
        <f t="shared" si="4"/>
        <v>-0.30020351494792524</v>
      </c>
      <c r="DZ12" s="678">
        <f t="shared" si="4"/>
        <v>-6.2263206931347861E-2</v>
      </c>
      <c r="EA12" s="648">
        <f t="shared" si="4"/>
        <v>-1.8615710560625907E-2</v>
      </c>
      <c r="EB12" s="648">
        <f t="shared" si="4"/>
        <v>-8.1167794069762801E-3</v>
      </c>
      <c r="EC12" s="678">
        <f t="shared" si="5"/>
        <v>-1.7127646723760621E-2</v>
      </c>
      <c r="ED12" s="648">
        <f t="shared" si="5"/>
        <v>-7.0543155887283311E-3</v>
      </c>
      <c r="EE12" s="648">
        <f t="shared" si="5"/>
        <v>-1.9749727833783268E-3</v>
      </c>
      <c r="EF12" s="678">
        <f t="shared" si="5"/>
        <v>-6.327795841176165E-3</v>
      </c>
      <c r="EG12" s="648">
        <f t="shared" si="5"/>
        <v>1.867542901719952E-2</v>
      </c>
      <c r="EH12" s="648">
        <f t="shared" si="5"/>
        <v>8.0370317030658781E-3</v>
      </c>
      <c r="EI12" s="678">
        <f t="shared" si="5"/>
        <v>1.714710866857409E-2</v>
      </c>
      <c r="EJ12" s="648">
        <f t="shared" si="5"/>
        <v>2.8049568667698904E-2</v>
      </c>
      <c r="EK12" s="648">
        <f t="shared" si="5"/>
        <v>1.2198617827477819E-2</v>
      </c>
      <c r="EL12" s="678">
        <f t="shared" si="5"/>
        <v>2.5792804245651064E-2</v>
      </c>
      <c r="EM12" s="648">
        <f t="shared" si="6"/>
        <v>2.8102784737482282E-2</v>
      </c>
      <c r="EN12" s="648">
        <f t="shared" si="6"/>
        <v>1.241315305218455E-2</v>
      </c>
      <c r="EO12" s="678">
        <f t="shared" si="6"/>
        <v>2.5898591082979133E-2</v>
      </c>
      <c r="EP12" s="648">
        <f t="shared" si="6"/>
        <v>2.8154644369529493E-2</v>
      </c>
      <c r="EQ12" s="648">
        <f t="shared" si="6"/>
        <v>1.2628784607553428E-2</v>
      </c>
      <c r="ER12" s="678">
        <f t="shared" si="6"/>
        <v>2.6002130276160006E-2</v>
      </c>
      <c r="ES12" s="648">
        <f t="shared" si="6"/>
        <v>2.8205176973545604E-2</v>
      </c>
      <c r="ET12" s="648">
        <f t="shared" si="6"/>
        <v>1.2845426027289355E-2</v>
      </c>
      <c r="EU12" s="678">
        <f t="shared" si="6"/>
        <v>2.6103448905350764E-2</v>
      </c>
      <c r="EV12" s="648">
        <f t="shared" si="6"/>
        <v>2.8254411603200181E-2</v>
      </c>
      <c r="EW12" s="648">
        <f t="shared" si="7"/>
        <v>1.3062989147320516E-2</v>
      </c>
      <c r="EX12" s="678">
        <f t="shared" si="7"/>
        <v>2.6202574800029806E-2</v>
      </c>
      <c r="EY12" s="648">
        <f t="shared" si="7"/>
        <v>2.8302376943777952E-2</v>
      </c>
      <c r="EZ12" s="648">
        <f t="shared" si="7"/>
        <v>1.328138424350594E-2</v>
      </c>
      <c r="FA12" s="647">
        <f t="shared" si="7"/>
        <v>2.6299536472406706E-2</v>
      </c>
    </row>
    <row r="13" spans="1:184" ht="13.35" customHeight="1" outlineLevel="1">
      <c r="A13" s="760"/>
      <c r="B13" s="126"/>
      <c r="C13" s="3" t="str">
        <f>C8</f>
        <v>Vifor</v>
      </c>
      <c r="D13" s="178" t="str">
        <f>D12</f>
        <v>%</v>
      </c>
      <c r="E13" s="197"/>
      <c r="F13" s="197"/>
      <c r="G13" s="197"/>
      <c r="H13" s="197"/>
      <c r="I13" s="197"/>
      <c r="J13" s="197"/>
      <c r="K13" s="197"/>
      <c r="L13" s="197"/>
      <c r="M13" s="197"/>
      <c r="N13" s="197"/>
      <c r="O13" s="197"/>
      <c r="P13" s="197"/>
      <c r="Q13" s="197"/>
      <c r="R13" s="197"/>
      <c r="S13" s="197"/>
      <c r="T13" s="197"/>
      <c r="U13" s="197"/>
      <c r="V13" s="197"/>
      <c r="W13" s="197"/>
      <c r="X13" s="197"/>
      <c r="Y13" s="197"/>
      <c r="Z13" s="197"/>
      <c r="AA13" s="197"/>
      <c r="AB13" s="197"/>
      <c r="AC13" s="197"/>
      <c r="AD13" s="197"/>
      <c r="AE13" s="197"/>
      <c r="AF13" s="197"/>
      <c r="AG13" s="197"/>
      <c r="AH13" s="197"/>
      <c r="AI13" s="197"/>
      <c r="AJ13" s="197"/>
      <c r="AK13" s="197"/>
      <c r="AL13" s="197"/>
      <c r="AM13" s="197"/>
      <c r="AN13" s="197"/>
      <c r="AO13" s="197"/>
      <c r="AP13" s="197"/>
      <c r="AQ13" s="197"/>
      <c r="AR13" s="196"/>
      <c r="AS13" s="196"/>
      <c r="AT13" s="197"/>
      <c r="AU13" s="196"/>
      <c r="AV13" s="196"/>
      <c r="AW13" s="197"/>
      <c r="AX13" s="196"/>
      <c r="AY13" s="196"/>
      <c r="AZ13" s="197"/>
      <c r="BA13" s="196"/>
      <c r="BB13" s="196"/>
      <c r="BC13" s="197"/>
      <c r="BD13" s="196"/>
      <c r="BE13" s="196"/>
      <c r="BF13" s="197"/>
      <c r="BG13" s="196"/>
      <c r="BH13" s="196"/>
      <c r="BI13" s="197"/>
      <c r="BJ13" s="196"/>
      <c r="BK13" s="196"/>
      <c r="BL13" s="197"/>
      <c r="BM13" s="196"/>
      <c r="BN13" s="196"/>
      <c r="BO13" s="197"/>
      <c r="BP13" s="196"/>
      <c r="BQ13" s="196"/>
      <c r="BR13" s="197"/>
      <c r="BS13" s="196"/>
      <c r="BT13" s="196"/>
      <c r="BU13" s="199"/>
      <c r="BV13" s="206" t="s">
        <v>187</v>
      </c>
      <c r="BW13" s="206" t="s">
        <v>187</v>
      </c>
      <c r="BX13" s="200" t="s">
        <v>187</v>
      </c>
      <c r="BY13" s="206">
        <v>1.355493411813604E-3</v>
      </c>
      <c r="BZ13" s="206">
        <v>-0.31911905535234986</v>
      </c>
      <c r="CA13" s="200">
        <v>-0.16474646521265232</v>
      </c>
      <c r="CB13" s="206">
        <v>-0.49893020005475436</v>
      </c>
      <c r="CC13" s="206">
        <v>-0.16293160256758477</v>
      </c>
      <c r="CD13" s="200">
        <v>-0.35696838897923128</v>
      </c>
      <c r="CE13" s="206">
        <v>0.21229387158531729</v>
      </c>
      <c r="CF13" s="206">
        <v>-0.13977012574885583</v>
      </c>
      <c r="CG13" s="200">
        <v>1.8658673051522068E-2</v>
      </c>
      <c r="CH13" s="206">
        <v>0.63520854989775455</v>
      </c>
      <c r="CI13" s="206">
        <v>0.3866052302242336</v>
      </c>
      <c r="CJ13" s="200">
        <v>0.51974219748424644</v>
      </c>
      <c r="CK13" s="206">
        <v>-0.11666560437958473</v>
      </c>
      <c r="CL13" s="206">
        <v>4.0929438651794547E-2</v>
      </c>
      <c r="CM13" s="200">
        <v>-4.9881364418032335E-2</v>
      </c>
      <c r="CN13" s="206">
        <v>0.40518296002613224</v>
      </c>
      <c r="CO13" s="206">
        <v>-0.3007449890616688</v>
      </c>
      <c r="CP13" s="200">
        <v>7.7438570364854631E-2</v>
      </c>
      <c r="CQ13" s="206">
        <v>-9.3966369930761628E-2</v>
      </c>
      <c r="CR13" s="206">
        <v>3.8990825688073799E-2</v>
      </c>
      <c r="CS13" s="200">
        <v>-5.3904630269523038E-2</v>
      </c>
      <c r="CT13" s="206">
        <v>-1</v>
      </c>
      <c r="CU13" s="206">
        <v>-1</v>
      </c>
      <c r="CV13" s="200">
        <v>-1</v>
      </c>
      <c r="CW13" s="206" t="s">
        <v>187</v>
      </c>
      <c r="CX13" s="206" t="s">
        <v>187</v>
      </c>
      <c r="CY13" s="506" t="s">
        <v>187</v>
      </c>
      <c r="CZ13" s="507" t="s">
        <v>187</v>
      </c>
      <c r="DA13" s="507" t="s">
        <v>187</v>
      </c>
      <c r="DB13" s="506" t="s">
        <v>187</v>
      </c>
      <c r="DC13" s="507" t="s">
        <v>187</v>
      </c>
      <c r="DD13" s="507" t="s">
        <v>187</v>
      </c>
      <c r="DE13" s="678" t="s">
        <v>187</v>
      </c>
      <c r="DF13" s="648" t="s">
        <v>187</v>
      </c>
      <c r="DG13" s="648" t="s">
        <v>187</v>
      </c>
      <c r="DH13" s="678" t="s">
        <v>187</v>
      </c>
      <c r="DI13" s="648" t="str">
        <f>IF(ISERROR((DI8-DF8)/DF8),"",(DI8-DF8)/DF8)</f>
        <v/>
      </c>
      <c r="DJ13" s="648">
        <f>4152/DH20</f>
        <v>0.45372569027644688</v>
      </c>
      <c r="DK13" s="678" t="str">
        <f t="shared" ref="DK13:FA13" si="8">IF(ISERROR((DK8-DH8)/DH8),"",(DK8-DH8)/DH8)</f>
        <v/>
      </c>
      <c r="DL13" s="648" t="str">
        <f t="shared" si="8"/>
        <v/>
      </c>
      <c r="DM13" s="648" t="str">
        <f t="shared" si="8"/>
        <v/>
      </c>
      <c r="DN13" s="678" t="str">
        <f t="shared" si="8"/>
        <v/>
      </c>
      <c r="DO13" s="648" t="str">
        <f t="shared" si="8"/>
        <v/>
      </c>
      <c r="DP13" s="648" t="str">
        <f t="shared" si="8"/>
        <v/>
      </c>
      <c r="DQ13" s="678" t="str">
        <f t="shared" si="8"/>
        <v/>
      </c>
      <c r="DR13" s="648">
        <f t="shared" si="8"/>
        <v>0.1327334083239595</v>
      </c>
      <c r="DS13" s="648">
        <f t="shared" si="8"/>
        <v>-4.9090909090909088E-2</v>
      </c>
      <c r="DT13" s="678">
        <f t="shared" si="8"/>
        <v>3.2176973353443938E-2</v>
      </c>
      <c r="DU13" s="648">
        <f t="shared" si="8"/>
        <v>6.6534260178748764E-2</v>
      </c>
      <c r="DV13" s="648">
        <f t="shared" si="8"/>
        <v>0.10038240917782026</v>
      </c>
      <c r="DW13" s="678">
        <f t="shared" si="8"/>
        <v>8.3779834388699459E-2</v>
      </c>
      <c r="DX13" s="648">
        <f t="shared" si="8"/>
        <v>0.13873370577281191</v>
      </c>
      <c r="DY13" s="648">
        <f t="shared" si="8"/>
        <v>-3.7670494257379679E-2</v>
      </c>
      <c r="DZ13" s="678">
        <f t="shared" si="8"/>
        <v>4.7479218476294723E-2</v>
      </c>
      <c r="EA13" s="648">
        <f t="shared" si="8"/>
        <v>2.9529624079140535E-2</v>
      </c>
      <c r="EB13" s="648">
        <f t="shared" si="8"/>
        <v>-3.0548174509600311E-2</v>
      </c>
      <c r="EC13" s="678">
        <f t="shared" si="8"/>
        <v>9.7754714481012466E-4</v>
      </c>
      <c r="ED13" s="648">
        <f t="shared" si="8"/>
        <v>-4.8742686747439926E-3</v>
      </c>
      <c r="EE13" s="648">
        <f t="shared" si="8"/>
        <v>3.8689525801187161E-2</v>
      </c>
      <c r="EF13" s="678">
        <f t="shared" si="8"/>
        <v>1.5177435642044395E-2</v>
      </c>
      <c r="EG13" s="648">
        <f t="shared" si="8"/>
        <v>3.9743493126641383E-2</v>
      </c>
      <c r="EH13" s="648">
        <f t="shared" si="8"/>
        <v>3.8971701334106539E-2</v>
      </c>
      <c r="EI13" s="678">
        <f t="shared" si="8"/>
        <v>3.9380022312883546E-2</v>
      </c>
      <c r="EJ13" s="648">
        <f t="shared" si="8"/>
        <v>4.0038033762237996E-2</v>
      </c>
      <c r="EK13" s="648">
        <f t="shared" si="8"/>
        <v>3.9253692899522095E-2</v>
      </c>
      <c r="EL13" s="678">
        <f t="shared" si="8"/>
        <v>3.9668798148958698E-2</v>
      </c>
      <c r="EM13" s="648">
        <f t="shared" si="8"/>
        <v>4.0333097464152867E-2</v>
      </c>
      <c r="EN13" s="648">
        <f t="shared" si="8"/>
        <v>3.953559444989263E-2</v>
      </c>
      <c r="EO13" s="678">
        <f t="shared" si="8"/>
        <v>3.9957815545477594E-2</v>
      </c>
      <c r="EP13" s="648">
        <f t="shared" si="8"/>
        <v>4.0628805731579419E-2</v>
      </c>
      <c r="EQ13" s="648">
        <f t="shared" si="8"/>
        <v>3.9817503645406933E-2</v>
      </c>
      <c r="ER13" s="678">
        <f t="shared" si="8"/>
        <v>4.0247185367770354E-2</v>
      </c>
      <c r="ES13" s="648">
        <f t="shared" si="8"/>
        <v>4.092528368592372E-2</v>
      </c>
      <c r="ET13" s="648">
        <f t="shared" si="8"/>
        <v>4.0099521760882113E-2</v>
      </c>
      <c r="EU13" s="678">
        <f t="shared" si="8"/>
        <v>4.053702214207653E-2</v>
      </c>
      <c r="EV13" s="648">
        <f t="shared" si="8"/>
        <v>4.1222659941971024E-2</v>
      </c>
      <c r="EW13" s="648">
        <f t="shared" si="8"/>
        <v>4.0381753589835333E-2</v>
      </c>
      <c r="EX13" s="678">
        <f t="shared" si="8"/>
        <v>4.0827443944291976E-2</v>
      </c>
      <c r="EY13" s="648">
        <f t="shared" si="8"/>
        <v>4.1521066472452392E-2</v>
      </c>
      <c r="EZ13" s="648">
        <f t="shared" si="8"/>
        <v>4.0664307345522843E-2</v>
      </c>
      <c r="FA13" s="647">
        <f t="shared" si="8"/>
        <v>4.1118572283866395E-2</v>
      </c>
    </row>
    <row r="14" spans="1:184" ht="13.35" customHeight="1" outlineLevel="1" thickBot="1">
      <c r="A14" s="760"/>
      <c r="B14" s="30" t="s">
        <v>453</v>
      </c>
      <c r="C14" s="30"/>
      <c r="D14" s="178" t="s">
        <v>507</v>
      </c>
      <c r="E14" s="197"/>
      <c r="F14" s="197"/>
      <c r="G14" s="197"/>
      <c r="H14" s="197"/>
      <c r="I14" s="197"/>
      <c r="J14" s="197"/>
      <c r="K14" s="197"/>
      <c r="L14" s="197"/>
      <c r="M14" s="197"/>
      <c r="N14" s="197"/>
      <c r="O14" s="197"/>
      <c r="P14" s="197"/>
      <c r="Q14" s="197"/>
      <c r="R14" s="197"/>
      <c r="S14" s="197"/>
      <c r="T14" s="197"/>
      <c r="U14" s="197"/>
      <c r="V14" s="197"/>
      <c r="W14" s="197"/>
      <c r="X14" s="197"/>
      <c r="Y14" s="197"/>
      <c r="Z14" s="197"/>
      <c r="AA14" s="197"/>
      <c r="AB14" s="197"/>
      <c r="AC14" s="197"/>
      <c r="AD14" s="197"/>
      <c r="AE14" s="197"/>
      <c r="AF14" s="197"/>
      <c r="AG14" s="197"/>
      <c r="AH14" s="197"/>
      <c r="AI14" s="197"/>
      <c r="AJ14" s="197"/>
      <c r="AK14" s="197"/>
      <c r="AL14" s="197"/>
      <c r="AM14" s="197"/>
      <c r="AN14" s="197"/>
      <c r="AO14" s="208"/>
      <c r="AP14" s="208"/>
      <c r="AQ14" s="197"/>
      <c r="AR14" s="196"/>
      <c r="AS14" s="196"/>
      <c r="AT14" s="197"/>
      <c r="AU14" s="196"/>
      <c r="AV14" s="196"/>
      <c r="AW14" s="197"/>
      <c r="AX14" s="196"/>
      <c r="AY14" s="196"/>
      <c r="AZ14" s="197"/>
      <c r="BA14" s="196"/>
      <c r="BB14" s="196"/>
      <c r="BC14" s="197"/>
      <c r="BD14" s="196"/>
      <c r="BE14" s="196"/>
      <c r="BF14" s="197"/>
      <c r="BG14" s="196"/>
      <c r="BH14" s="196"/>
      <c r="BI14" s="197"/>
      <c r="BJ14" s="196"/>
      <c r="BK14" s="196"/>
      <c r="BL14" s="197"/>
      <c r="BM14" s="196"/>
      <c r="BN14" s="196"/>
      <c r="BO14" s="197"/>
      <c r="BP14" s="196"/>
      <c r="BQ14" s="196"/>
      <c r="BR14" s="197"/>
      <c r="BS14" s="196"/>
      <c r="BT14" s="196"/>
      <c r="BU14" s="199"/>
      <c r="BV14" s="209" t="s">
        <v>187</v>
      </c>
      <c r="BW14" s="209" t="s">
        <v>187</v>
      </c>
      <c r="BX14" s="210" t="s">
        <v>187</v>
      </c>
      <c r="BY14" s="209">
        <v>0.16413670462720378</v>
      </c>
      <c r="BZ14" s="209">
        <v>2.8047289672183248E-3</v>
      </c>
      <c r="CA14" s="210">
        <v>6.7402080914202106E-2</v>
      </c>
      <c r="CB14" s="209">
        <v>0.16277976264615057</v>
      </c>
      <c r="CC14" s="209">
        <v>0.15425444702974178</v>
      </c>
      <c r="CD14" s="210">
        <v>0.13856108436156808</v>
      </c>
      <c r="CE14" s="209">
        <v>-2.2395736706748971E-2</v>
      </c>
      <c r="CF14" s="209">
        <v>0.1144250922158411</v>
      </c>
      <c r="CG14" s="210">
        <v>4.3429502813084823E-2</v>
      </c>
      <c r="CH14" s="209">
        <v>0.12785498887303037</v>
      </c>
      <c r="CI14" s="209">
        <v>5.534911103121961E-2</v>
      </c>
      <c r="CJ14" s="210">
        <v>9.9518807218258454E-2</v>
      </c>
      <c r="CK14" s="209">
        <v>8.0736885076078083E-2</v>
      </c>
      <c r="CL14" s="209">
        <v>6.4710758974222182E-2</v>
      </c>
      <c r="CM14" s="210">
        <v>6.9067006104260101E-2</v>
      </c>
      <c r="CN14" s="209">
        <v>3.2861212534606631E-2</v>
      </c>
      <c r="CO14" s="209">
        <v>0.11846689895470268</v>
      </c>
      <c r="CP14" s="210">
        <v>4.7106854047263322E-2</v>
      </c>
      <c r="CQ14" s="209">
        <v>0.10158495843368832</v>
      </c>
      <c r="CR14" s="209">
        <v>-2.8979207418568389E-4</v>
      </c>
      <c r="CS14" s="210">
        <v>4.8867811351878718E-2</v>
      </c>
      <c r="CT14" s="209">
        <v>0.10579670628063619</v>
      </c>
      <c r="CU14" s="209">
        <v>5.7936183781433406E-2</v>
      </c>
      <c r="CV14" s="210">
        <v>8.2191046376552654E-2</v>
      </c>
      <c r="CW14" s="209">
        <v>0.1469181190139747</v>
      </c>
      <c r="CX14" s="209">
        <v>7.4839297790655401E-2</v>
      </c>
      <c r="CY14" s="509">
        <v>0.11216434917594161</v>
      </c>
      <c r="CZ14" s="510">
        <v>0.13433724350667536</v>
      </c>
      <c r="DA14" s="510">
        <v>0.1745489571896606</v>
      </c>
      <c r="DB14" s="509">
        <v>0.15307516407804481</v>
      </c>
      <c r="DC14" s="510">
        <v>8.2624591370771397E-2</v>
      </c>
      <c r="DD14" s="510">
        <v>7.5890606177047459E-2</v>
      </c>
      <c r="DE14" s="679">
        <v>7.942824029360647E-2</v>
      </c>
      <c r="DF14" s="650">
        <v>8.3578412164272281E-2</v>
      </c>
      <c r="DG14" s="650">
        <v>5.2139866602933703E-2</v>
      </c>
      <c r="DH14" s="679">
        <v>6.8704709226820856E-2</v>
      </c>
      <c r="DI14" s="650">
        <f>IF(ISERROR((DI9-DF9)/DF9),"",(DI9-DF9)/DF9)</f>
        <v>0.18714218353341239</v>
      </c>
      <c r="DJ14" s="650">
        <f>IF(ISERROR((DJ9-DG9)/DG9),"",(DJ9-DG9)/DG9)</f>
        <v>7.4892029496207796E-2</v>
      </c>
      <c r="DK14" s="679">
        <f t="shared" ref="DK14:DT14" si="9">IF(ISERROR((DK9-DH9)/DH9),"",(DK9-DH9)/DH9)</f>
        <v>0.13485932112264218</v>
      </c>
      <c r="DL14" s="650">
        <f t="shared" si="9"/>
        <v>3.8680132514994282E-2</v>
      </c>
      <c r="DM14" s="650">
        <f t="shared" si="9"/>
        <v>-1.3925643153496006E-2</v>
      </c>
      <c r="DN14" s="679">
        <f t="shared" si="9"/>
        <v>1.5472616811114568E-2</v>
      </c>
      <c r="DO14" s="650">
        <f t="shared" si="9"/>
        <v>0.1787971734083475</v>
      </c>
      <c r="DP14" s="650">
        <f t="shared" si="9"/>
        <v>0.3231882419446015</v>
      </c>
      <c r="DQ14" s="679">
        <f t="shared" si="9"/>
        <v>0.24065248556705021</v>
      </c>
      <c r="DR14" s="650">
        <f t="shared" si="9"/>
        <v>0.12202064345475981</v>
      </c>
      <c r="DS14" s="650">
        <f t="shared" si="9"/>
        <v>0.10700980894767419</v>
      </c>
      <c r="DT14" s="679">
        <f t="shared" si="9"/>
        <v>0.11516239850093692</v>
      </c>
      <c r="DU14" s="650">
        <f t="shared" ref="DU14:ED14" si="10">IF(ISERROR((DU9-DR9)/DR9),"",(DU9-DR9)/DR9)</f>
        <v>5.4324151185137733E-2</v>
      </c>
      <c r="DV14" s="650">
        <f>IF(ISERROR((DV9-DS9)/DS9),"",(DV9-DS9)/DS9)</f>
        <v>5.4646495832046928E-2</v>
      </c>
      <c r="DW14" s="679">
        <f>IF(ISERROR((DW9-DT9)/DT9),"",(DW9-DT9)/DT9)</f>
        <v>5.4470349366379615E-2</v>
      </c>
      <c r="DX14" s="650">
        <f t="shared" si="10"/>
        <v>-1.6648438449386318E-2</v>
      </c>
      <c r="DY14" s="650">
        <f t="shared" si="10"/>
        <v>8.0970031450273511E-2</v>
      </c>
      <c r="DZ14" s="679">
        <f t="shared" si="10"/>
        <v>2.7633440997826806E-2</v>
      </c>
      <c r="EA14" s="650">
        <f t="shared" si="10"/>
        <v>6.8209352469996626E-2</v>
      </c>
      <c r="EB14" s="650">
        <f t="shared" si="10"/>
        <v>4.1431683333708752E-2</v>
      </c>
      <c r="EC14" s="679">
        <f t="shared" si="10"/>
        <v>5.543195968125262E-2</v>
      </c>
      <c r="ED14" s="650">
        <f t="shared" si="10"/>
        <v>4.610009823651133E-2</v>
      </c>
      <c r="EE14" s="650">
        <f t="shared" ref="EE14:EN14" si="11">IF(ISERROR((EE9-EB9)/EB9),"",(EE9-EB9)/EB9)</f>
        <v>6.4035890179611518E-2</v>
      </c>
      <c r="EF14" s="679">
        <f t="shared" si="11"/>
        <v>5.4544921733883679E-2</v>
      </c>
      <c r="EG14" s="650">
        <f t="shared" si="11"/>
        <v>5.8439812985168448E-2</v>
      </c>
      <c r="EH14" s="650">
        <f t="shared" si="11"/>
        <v>6.6693479586202337E-2</v>
      </c>
      <c r="EI14" s="679">
        <f t="shared" si="11"/>
        <v>6.2360914932264033E-2</v>
      </c>
      <c r="EJ14" s="650">
        <f t="shared" si="11"/>
        <v>5.9191246374713978E-2</v>
      </c>
      <c r="EK14" s="650">
        <f t="shared" si="11"/>
        <v>6.8061711419746956E-2</v>
      </c>
      <c r="EL14" s="679">
        <f t="shared" si="11"/>
        <v>6.3422559419430397E-2</v>
      </c>
      <c r="EM14" s="650">
        <f t="shared" si="11"/>
        <v>5.4840934157564442E-2</v>
      </c>
      <c r="EN14" s="650">
        <f t="shared" si="11"/>
        <v>5.6056062884460141E-2</v>
      </c>
      <c r="EO14" s="679">
        <f t="shared" ref="EO14:FA14" si="12">IF(ISERROR((EO9-EL9)/EL9),"",(EO9-EL9)/EL9)</f>
        <v>5.5423093047050231E-2</v>
      </c>
      <c r="EP14" s="650">
        <f t="shared" si="12"/>
        <v>5.4107825007549598E-2</v>
      </c>
      <c r="EQ14" s="650">
        <f t="shared" si="12"/>
        <v>5.9207846786665796E-2</v>
      </c>
      <c r="ER14" s="679">
        <f t="shared" si="12"/>
        <v>5.6552671849173862E-2</v>
      </c>
      <c r="ES14" s="650">
        <f t="shared" si="12"/>
        <v>5.5527523396606153E-2</v>
      </c>
      <c r="ET14" s="650">
        <f t="shared" si="12"/>
        <v>5.9506198593081171E-2</v>
      </c>
      <c r="EU14" s="679">
        <f t="shared" si="12"/>
        <v>5.7439612604837896E-2</v>
      </c>
      <c r="EV14" s="650">
        <f t="shared" si="12"/>
        <v>5.5870314931013174E-2</v>
      </c>
      <c r="EW14" s="650">
        <f t="shared" si="12"/>
        <v>5.9796717407066977E-2</v>
      </c>
      <c r="EX14" s="679">
        <f t="shared" si="12"/>
        <v>5.776097044332415E-2</v>
      </c>
      <c r="EY14" s="650">
        <f t="shared" si="12"/>
        <v>5.620772627156069E-2</v>
      </c>
      <c r="EZ14" s="650">
        <f t="shared" si="12"/>
        <v>6.0079623514116658E-2</v>
      </c>
      <c r="FA14" s="649">
        <f t="shared" si="12"/>
        <v>5.8075724435328248E-2</v>
      </c>
    </row>
    <row r="15" spans="1:184" ht="13.35" customHeight="1" outlineLevel="1" thickTop="1">
      <c r="A15" s="760"/>
      <c r="B15" s="30"/>
      <c r="C15" s="30"/>
      <c r="D15" s="178"/>
      <c r="E15" s="197"/>
      <c r="F15" s="197"/>
      <c r="G15" s="197"/>
      <c r="H15" s="197"/>
      <c r="I15" s="197"/>
      <c r="J15" s="197"/>
      <c r="K15" s="197"/>
      <c r="L15" s="197"/>
      <c r="M15" s="197"/>
      <c r="N15" s="197"/>
      <c r="O15" s="197"/>
      <c r="P15" s="197"/>
      <c r="Q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6"/>
      <c r="AS15" s="196"/>
      <c r="AT15" s="197"/>
      <c r="AU15" s="196"/>
      <c r="AV15" s="196"/>
      <c r="AW15" s="197"/>
      <c r="AX15" s="196"/>
      <c r="AY15" s="196"/>
      <c r="AZ15" s="197"/>
      <c r="BA15" s="196"/>
      <c r="BB15" s="196"/>
      <c r="BC15" s="197"/>
      <c r="BD15" s="196"/>
      <c r="BE15" s="196"/>
      <c r="BF15" s="197"/>
      <c r="BG15" s="196"/>
      <c r="BH15" s="196"/>
      <c r="BI15" s="197"/>
      <c r="BJ15" s="196"/>
      <c r="BK15" s="196"/>
      <c r="BL15" s="197"/>
      <c r="BM15" s="196"/>
      <c r="BN15" s="196"/>
      <c r="BO15" s="197"/>
      <c r="BP15" s="196"/>
      <c r="BQ15" s="196"/>
      <c r="BR15" s="197"/>
      <c r="BS15" s="196"/>
      <c r="BT15" s="196"/>
      <c r="BU15" s="199"/>
      <c r="BV15" s="196"/>
      <c r="BW15" s="196"/>
      <c r="BX15" s="197"/>
      <c r="BY15" s="196"/>
      <c r="BZ15" s="196"/>
      <c r="CA15" s="197"/>
      <c r="CB15" s="196"/>
      <c r="CC15" s="196"/>
      <c r="CD15" s="197"/>
      <c r="CE15" s="196"/>
      <c r="CF15" s="196"/>
      <c r="CG15" s="197"/>
      <c r="CH15" s="196"/>
      <c r="CI15" s="196"/>
      <c r="CJ15" s="197"/>
      <c r="CK15" s="196"/>
      <c r="CL15" s="196"/>
      <c r="CM15" s="197"/>
      <c r="CN15" s="196"/>
      <c r="CO15" s="196"/>
      <c r="CP15" s="197"/>
      <c r="CQ15" s="196"/>
      <c r="CR15" s="196"/>
      <c r="CS15" s="197"/>
      <c r="CT15" s="196"/>
      <c r="CU15" s="196"/>
      <c r="CV15" s="197"/>
      <c r="CW15" s="196"/>
      <c r="CX15" s="196"/>
      <c r="CY15" s="516"/>
      <c r="CZ15" s="505"/>
      <c r="DA15" s="505"/>
      <c r="DB15" s="516"/>
      <c r="DC15" s="505"/>
      <c r="DD15" s="505"/>
      <c r="DE15" s="678"/>
      <c r="DF15" s="562"/>
      <c r="DG15" s="562"/>
      <c r="DH15" s="678"/>
      <c r="DI15" s="562"/>
      <c r="DJ15" s="562"/>
      <c r="DK15" s="678"/>
      <c r="DL15" s="562"/>
      <c r="DM15" s="562"/>
      <c r="DN15" s="678"/>
      <c r="DO15" s="562"/>
      <c r="DP15" s="562"/>
      <c r="DQ15" s="678"/>
      <c r="DR15" s="562"/>
      <c r="DS15" s="562"/>
      <c r="DT15" s="678"/>
      <c r="DU15" s="562"/>
      <c r="DV15" s="562"/>
      <c r="DW15" s="678"/>
      <c r="DX15" s="562"/>
      <c r="DY15" s="562"/>
      <c r="DZ15" s="678"/>
      <c r="EA15" s="562"/>
      <c r="EB15" s="562"/>
      <c r="EC15" s="678"/>
      <c r="ED15" s="562"/>
      <c r="EE15" s="562"/>
      <c r="EF15" s="678"/>
      <c r="EG15" s="562"/>
      <c r="EH15" s="562"/>
      <c r="EI15" s="678"/>
      <c r="EJ15" s="562"/>
      <c r="EK15" s="562"/>
      <c r="EL15" s="678"/>
      <c r="EM15" s="562"/>
      <c r="EN15" s="562"/>
      <c r="EO15" s="678"/>
      <c r="EP15" s="562"/>
      <c r="EQ15" s="562"/>
      <c r="ER15" s="678"/>
      <c r="ES15" s="562"/>
      <c r="ET15" s="562"/>
      <c r="EU15" s="678"/>
      <c r="EV15" s="562"/>
      <c r="EW15" s="562"/>
      <c r="EX15" s="678"/>
      <c r="EY15" s="562"/>
      <c r="EZ15" s="562"/>
      <c r="FA15" s="563"/>
    </row>
    <row r="16" spans="1:184" s="218" customFormat="1" ht="13.35" customHeight="1" outlineLevel="1">
      <c r="A16" s="989"/>
      <c r="B16" s="211" t="s">
        <v>790</v>
      </c>
      <c r="C16" s="211"/>
      <c r="D16" s="212"/>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AQ16" s="213"/>
      <c r="AR16" s="214"/>
      <c r="AS16" s="214"/>
      <c r="AT16" s="213"/>
      <c r="AU16" s="214"/>
      <c r="AV16" s="214"/>
      <c r="AW16" s="213"/>
      <c r="AX16" s="214"/>
      <c r="AY16" s="214"/>
      <c r="AZ16" s="213"/>
      <c r="BA16" s="214"/>
      <c r="BB16" s="214"/>
      <c r="BC16" s="213"/>
      <c r="BD16" s="214"/>
      <c r="BE16" s="214"/>
      <c r="BF16" s="213"/>
      <c r="BG16" s="214"/>
      <c r="BH16" s="214"/>
      <c r="BI16" s="213"/>
      <c r="BJ16" s="214"/>
      <c r="BK16" s="214"/>
      <c r="BL16" s="213"/>
      <c r="BM16" s="215"/>
      <c r="BN16" s="215"/>
      <c r="BO16" s="215"/>
      <c r="BP16" s="215"/>
      <c r="BQ16" s="215"/>
      <c r="BR16" s="215"/>
      <c r="BS16" s="215"/>
      <c r="BT16" s="215"/>
      <c r="BU16" s="216"/>
      <c r="BV16" s="215" t="str">
        <f t="shared" ref="BV16:DA16" si="13">BV5</f>
        <v>1h08</v>
      </c>
      <c r="BW16" s="215" t="str">
        <f t="shared" si="13"/>
        <v>2h08</v>
      </c>
      <c r="BX16" s="215" t="str">
        <f t="shared" si="13"/>
        <v>2008</v>
      </c>
      <c r="BY16" s="215" t="str">
        <f t="shared" si="13"/>
        <v>1h09</v>
      </c>
      <c r="BZ16" s="215" t="str">
        <f t="shared" si="13"/>
        <v>2h09</v>
      </c>
      <c r="CA16" s="215" t="str">
        <f t="shared" si="13"/>
        <v>2009</v>
      </c>
      <c r="CB16" s="215" t="str">
        <f t="shared" si="13"/>
        <v>1h10</v>
      </c>
      <c r="CC16" s="215" t="str">
        <f t="shared" si="13"/>
        <v>2h10</v>
      </c>
      <c r="CD16" s="215" t="str">
        <f t="shared" si="13"/>
        <v>2010</v>
      </c>
      <c r="CE16" s="215" t="str">
        <f t="shared" si="13"/>
        <v>1h11</v>
      </c>
      <c r="CF16" s="215" t="str">
        <f t="shared" si="13"/>
        <v>2h11</v>
      </c>
      <c r="CG16" s="215" t="str">
        <f t="shared" si="13"/>
        <v>2011</v>
      </c>
      <c r="CH16" s="215" t="str">
        <f t="shared" si="13"/>
        <v>1h12</v>
      </c>
      <c r="CI16" s="215" t="str">
        <f t="shared" si="13"/>
        <v>2h12</v>
      </c>
      <c r="CJ16" s="215" t="str">
        <f t="shared" si="13"/>
        <v>2012</v>
      </c>
      <c r="CK16" s="215" t="str">
        <f t="shared" si="13"/>
        <v>1h13</v>
      </c>
      <c r="CL16" s="215" t="str">
        <f t="shared" si="13"/>
        <v>2h13</v>
      </c>
      <c r="CM16" s="215" t="str">
        <f t="shared" si="13"/>
        <v>2013</v>
      </c>
      <c r="CN16" s="215" t="str">
        <f t="shared" si="13"/>
        <v>1h14</v>
      </c>
      <c r="CO16" s="215" t="str">
        <f t="shared" si="13"/>
        <v>2h14</v>
      </c>
      <c r="CP16" s="215" t="str">
        <f t="shared" si="13"/>
        <v>2014</v>
      </c>
      <c r="CQ16" s="215" t="str">
        <f t="shared" si="13"/>
        <v>1h15</v>
      </c>
      <c r="CR16" s="215" t="str">
        <f t="shared" si="13"/>
        <v>2h15</v>
      </c>
      <c r="CS16" s="215" t="str">
        <f t="shared" si="13"/>
        <v>2015</v>
      </c>
      <c r="CT16" s="215" t="str">
        <f t="shared" si="13"/>
        <v>1h16</v>
      </c>
      <c r="CU16" s="215" t="str">
        <f t="shared" si="13"/>
        <v>2h16</v>
      </c>
      <c r="CV16" s="215" t="str">
        <f t="shared" si="13"/>
        <v>2016</v>
      </c>
      <c r="CW16" s="215" t="str">
        <f t="shared" si="13"/>
        <v>1h17</v>
      </c>
      <c r="CX16" s="215" t="str">
        <f t="shared" si="13"/>
        <v>2h17</v>
      </c>
      <c r="CY16" s="215" t="str">
        <f t="shared" si="13"/>
        <v>2017</v>
      </c>
      <c r="CZ16" s="215" t="str">
        <f t="shared" si="13"/>
        <v>1h18</v>
      </c>
      <c r="DA16" s="215" t="str">
        <f t="shared" si="13"/>
        <v>2h18</v>
      </c>
      <c r="DB16" s="215" t="str">
        <f t="shared" ref="DB16:EG16" si="14">DB5</f>
        <v>2018</v>
      </c>
      <c r="DC16" s="215" t="str">
        <f t="shared" si="14"/>
        <v>1h19</v>
      </c>
      <c r="DD16" s="215" t="str">
        <f t="shared" si="14"/>
        <v>2h19</v>
      </c>
      <c r="DE16" s="680" t="str">
        <f t="shared" si="14"/>
        <v>2019</v>
      </c>
      <c r="DF16" s="215" t="str">
        <f t="shared" si="14"/>
        <v>1h20</v>
      </c>
      <c r="DG16" s="215" t="str">
        <f t="shared" si="14"/>
        <v>2h20</v>
      </c>
      <c r="DH16" s="680" t="str">
        <f t="shared" si="14"/>
        <v>2020</v>
      </c>
      <c r="DI16" s="215" t="str">
        <f t="shared" si="14"/>
        <v>1h21</v>
      </c>
      <c r="DJ16" s="215" t="str">
        <f t="shared" si="14"/>
        <v>2h21</v>
      </c>
      <c r="DK16" s="680" t="str">
        <f t="shared" si="14"/>
        <v>2021</v>
      </c>
      <c r="DL16" s="215" t="str">
        <f t="shared" si="14"/>
        <v>1h22</v>
      </c>
      <c r="DM16" s="215" t="str">
        <f t="shared" si="14"/>
        <v>2h22</v>
      </c>
      <c r="DN16" s="680" t="str">
        <f t="shared" si="14"/>
        <v>2022</v>
      </c>
      <c r="DO16" s="215" t="str">
        <f t="shared" si="14"/>
        <v>1h23</v>
      </c>
      <c r="DP16" s="215" t="str">
        <f t="shared" si="14"/>
        <v>2h23</v>
      </c>
      <c r="DQ16" s="680" t="str">
        <f t="shared" si="14"/>
        <v>2023</v>
      </c>
      <c r="DR16" s="215" t="str">
        <f t="shared" si="14"/>
        <v>1h24</v>
      </c>
      <c r="DS16" s="215" t="str">
        <f t="shared" si="14"/>
        <v>2h24</v>
      </c>
      <c r="DT16" s="680" t="str">
        <f t="shared" si="14"/>
        <v>2024</v>
      </c>
      <c r="DU16" s="215" t="str">
        <f t="shared" si="14"/>
        <v>1h25</v>
      </c>
      <c r="DV16" s="215" t="str">
        <f t="shared" si="14"/>
        <v>2h25</v>
      </c>
      <c r="DW16" s="680" t="str">
        <f t="shared" si="14"/>
        <v>2025</v>
      </c>
      <c r="DX16" s="215" t="str">
        <f t="shared" ref="DX16" si="15">DX5</f>
        <v>1h26</v>
      </c>
      <c r="DY16" s="215" t="str">
        <f t="shared" si="14"/>
        <v>2h26E</v>
      </c>
      <c r="DZ16" s="680" t="str">
        <f t="shared" si="14"/>
        <v>2026E</v>
      </c>
      <c r="EA16" s="215" t="str">
        <f t="shared" si="14"/>
        <v>1h27E</v>
      </c>
      <c r="EB16" s="215" t="str">
        <f t="shared" si="14"/>
        <v>2h27E</v>
      </c>
      <c r="EC16" s="680" t="str">
        <f t="shared" si="14"/>
        <v>2027E</v>
      </c>
      <c r="ED16" s="215" t="str">
        <f t="shared" si="14"/>
        <v>1h28E</v>
      </c>
      <c r="EE16" s="215" t="str">
        <f t="shared" si="14"/>
        <v>2h28E</v>
      </c>
      <c r="EF16" s="680" t="str">
        <f t="shared" si="14"/>
        <v>2028E</v>
      </c>
      <c r="EG16" s="215" t="str">
        <f t="shared" si="14"/>
        <v>1h29E</v>
      </c>
      <c r="EH16" s="215" t="str">
        <f t="shared" ref="EH16:FA16" si="16">EH5</f>
        <v>2h29E</v>
      </c>
      <c r="EI16" s="680" t="str">
        <f t="shared" si="16"/>
        <v>2029E</v>
      </c>
      <c r="EJ16" s="215" t="str">
        <f t="shared" si="16"/>
        <v>1h30E</v>
      </c>
      <c r="EK16" s="215" t="str">
        <f t="shared" si="16"/>
        <v>2h30E</v>
      </c>
      <c r="EL16" s="680" t="str">
        <f t="shared" si="16"/>
        <v>2030E</v>
      </c>
      <c r="EM16" s="215" t="str">
        <f t="shared" si="16"/>
        <v>1h31E</v>
      </c>
      <c r="EN16" s="215" t="str">
        <f t="shared" si="16"/>
        <v>2h31E</v>
      </c>
      <c r="EO16" s="680" t="str">
        <f t="shared" si="16"/>
        <v>2031E</v>
      </c>
      <c r="EP16" s="215" t="str">
        <f t="shared" si="16"/>
        <v>1h32E</v>
      </c>
      <c r="EQ16" s="215" t="str">
        <f t="shared" si="16"/>
        <v>2h32E</v>
      </c>
      <c r="ER16" s="680" t="str">
        <f t="shared" si="16"/>
        <v>2032E</v>
      </c>
      <c r="ES16" s="215" t="str">
        <f t="shared" si="16"/>
        <v>1h33E</v>
      </c>
      <c r="ET16" s="215" t="str">
        <f t="shared" si="16"/>
        <v>2h33E</v>
      </c>
      <c r="EU16" s="680" t="str">
        <f t="shared" si="16"/>
        <v>2033E</v>
      </c>
      <c r="EV16" s="215" t="str">
        <f t="shared" si="16"/>
        <v>1h34E</v>
      </c>
      <c r="EW16" s="215" t="str">
        <f t="shared" si="16"/>
        <v>2h34E</v>
      </c>
      <c r="EX16" s="680" t="str">
        <f t="shared" si="16"/>
        <v>2034E</v>
      </c>
      <c r="EY16" s="215" t="str">
        <f t="shared" si="16"/>
        <v>1h35E</v>
      </c>
      <c r="EZ16" s="215" t="str">
        <f t="shared" si="16"/>
        <v>2h35E</v>
      </c>
      <c r="FA16" s="215" t="str">
        <f t="shared" si="16"/>
        <v>2035E</v>
      </c>
      <c r="FB16" s="217"/>
      <c r="FC16" s="217"/>
      <c r="FD16" s="217"/>
      <c r="FE16" s="217"/>
      <c r="FF16" s="217"/>
      <c r="FG16" s="217"/>
      <c r="FH16" s="217"/>
      <c r="FI16" s="217"/>
      <c r="FJ16" s="217"/>
      <c r="FK16" s="217"/>
      <c r="FL16" s="217"/>
      <c r="FM16" s="217"/>
      <c r="FN16" s="217"/>
      <c r="FO16" s="217"/>
      <c r="FP16" s="217"/>
      <c r="FQ16" s="217"/>
      <c r="FR16" s="217"/>
      <c r="FS16" s="217"/>
      <c r="FT16" s="217"/>
      <c r="FU16" s="217"/>
      <c r="FV16" s="217"/>
      <c r="FW16" s="217"/>
      <c r="FX16" s="217"/>
      <c r="FY16" s="217"/>
      <c r="FZ16" s="217"/>
      <c r="GA16" s="217"/>
      <c r="GB16" s="217"/>
    </row>
    <row r="17" spans="1:158" ht="13.35" customHeight="1" outlineLevel="1">
      <c r="A17" s="760" t="s">
        <v>971</v>
      </c>
      <c r="B17" s="5"/>
      <c r="C17" s="126" t="s">
        <v>461</v>
      </c>
      <c r="D17" s="178" t="s">
        <v>357</v>
      </c>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179"/>
      <c r="AS17" s="179"/>
      <c r="AT17" s="8"/>
      <c r="AU17" s="179"/>
      <c r="AV17" s="179"/>
      <c r="AW17" s="8"/>
      <c r="AX17" s="179"/>
      <c r="AY17" s="179"/>
      <c r="AZ17" s="8"/>
      <c r="BA17" s="179"/>
      <c r="BB17" s="179"/>
      <c r="BC17" s="8"/>
      <c r="BD17" s="179"/>
      <c r="BE17" s="179"/>
      <c r="BF17" s="8"/>
      <c r="BG17" s="179"/>
      <c r="BH17" s="179"/>
      <c r="BI17" s="8"/>
      <c r="BJ17" s="179"/>
      <c r="BK17" s="179"/>
      <c r="BL17" s="8"/>
      <c r="BM17" s="179"/>
      <c r="BN17" s="179"/>
      <c r="BO17" s="8"/>
      <c r="BP17" s="179"/>
      <c r="BQ17" s="179"/>
      <c r="BR17" s="8"/>
      <c r="BS17" s="179"/>
      <c r="BT17" s="179"/>
      <c r="BU17" s="180"/>
      <c r="BV17" s="181">
        <v>1186.7840000000006</v>
      </c>
      <c r="BW17" s="181">
        <v>1403.2159999999997</v>
      </c>
      <c r="BX17" s="96">
        <v>2590</v>
      </c>
      <c r="BY17" s="181">
        <v>1494.1970000000006</v>
      </c>
      <c r="BZ17" s="181">
        <v>1381.8029999999994</v>
      </c>
      <c r="CA17" s="96">
        <v>2876</v>
      </c>
      <c r="CB17" s="181">
        <v>1619.5670000000005</v>
      </c>
      <c r="CC17" s="181">
        <v>1568.4329999999998</v>
      </c>
      <c r="CD17" s="96">
        <v>3188</v>
      </c>
      <c r="CE17" s="181">
        <v>1671.597</v>
      </c>
      <c r="CF17" s="181">
        <v>1827.4030000000002</v>
      </c>
      <c r="CG17" s="96">
        <v>3499</v>
      </c>
      <c r="CH17" s="181">
        <v>2079.4499999999998</v>
      </c>
      <c r="CI17" s="181">
        <v>2119.0500000000006</v>
      </c>
      <c r="CJ17" s="96">
        <v>4198.5</v>
      </c>
      <c r="CK17" s="181">
        <v>2234.6999999999998</v>
      </c>
      <c r="CL17" s="181">
        <v>2269.7000000000016</v>
      </c>
      <c r="CM17" s="96">
        <v>4504.4000000000015</v>
      </c>
      <c r="CN17" s="181">
        <v>2358.8999999999996</v>
      </c>
      <c r="CO17" s="181">
        <v>2588.4999999999991</v>
      </c>
      <c r="CP17" s="96">
        <v>4947.3999999999987</v>
      </c>
      <c r="CQ17" s="181">
        <v>2493.2000000000003</v>
      </c>
      <c r="CR17" s="181">
        <v>2555.8000000000015</v>
      </c>
      <c r="CS17" s="96">
        <v>5049.0000000000018</v>
      </c>
      <c r="CT17" s="181">
        <v>2604</v>
      </c>
      <c r="CU17" s="181">
        <v>2779.9000000000024</v>
      </c>
      <c r="CV17" s="96">
        <v>5383.9000000000024</v>
      </c>
      <c r="CW17" s="181">
        <v>3056.4999999999995</v>
      </c>
      <c r="CX17" s="181">
        <v>2966.5</v>
      </c>
      <c r="CY17" s="499">
        <v>6023</v>
      </c>
      <c r="CZ17" s="500">
        <v>3355.6304625474068</v>
      </c>
      <c r="DA17" s="500">
        <v>3471.3695374525928</v>
      </c>
      <c r="DB17" s="499">
        <v>6827</v>
      </c>
      <c r="DC17" s="500">
        <v>3556.2000000000003</v>
      </c>
      <c r="DD17" s="500">
        <v>3786.7000000000007</v>
      </c>
      <c r="DE17" s="674">
        <v>7342.9000000000015</v>
      </c>
      <c r="DF17" s="645">
        <v>3893.0324151647251</v>
      </c>
      <c r="DG17" s="645">
        <v>3960.7710689872551</v>
      </c>
      <c r="DH17" s="674">
        <v>7853.8034841519802</v>
      </c>
      <c r="DI17" s="645">
        <f>DI375</f>
        <v>4314.9448291452836</v>
      </c>
      <c r="DJ17" s="645">
        <f>DJ375</f>
        <v>4258.8558953579231</v>
      </c>
      <c r="DK17" s="674">
        <f>SUM(DI17:DJ17)</f>
        <v>8573.8007245032059</v>
      </c>
      <c r="DL17" s="645">
        <f>DL375</f>
        <v>4356.2000000000007</v>
      </c>
      <c r="DM17" s="645">
        <f>DM375</f>
        <v>4242.2</v>
      </c>
      <c r="DN17" s="674">
        <f>SUM(DL17:DM17)</f>
        <v>8598.4000000000015</v>
      </c>
      <c r="DO17" s="645">
        <f>DO375</f>
        <v>4557</v>
      </c>
      <c r="DP17" s="645">
        <f>DP375</f>
        <v>4733</v>
      </c>
      <c r="DQ17" s="674">
        <f>SUM(DO17:DP17)</f>
        <v>9290</v>
      </c>
      <c r="DR17" s="645">
        <f>DR375</f>
        <v>5238</v>
      </c>
      <c r="DS17" s="645">
        <f>DS375</f>
        <v>5370</v>
      </c>
      <c r="DT17" s="674">
        <f>SUM(DR17:DS17)</f>
        <v>10608</v>
      </c>
      <c r="DU17" s="645">
        <f>DU375</f>
        <v>5743</v>
      </c>
      <c r="DV17" s="645">
        <f>DV375</f>
        <v>5415</v>
      </c>
      <c r="DW17" s="674">
        <f>SUM(DU17:DV17)</f>
        <v>11158</v>
      </c>
      <c r="DX17" s="645">
        <f>DX375</f>
        <v>5450</v>
      </c>
      <c r="DY17" s="645">
        <f>DY375</f>
        <v>6118.2196661696617</v>
      </c>
      <c r="DZ17" s="674">
        <f>SUM(DX17:DY17)</f>
        <v>11568.219666169662</v>
      </c>
      <c r="EA17" s="645">
        <f>EA375</f>
        <v>5995.3518499384254</v>
      </c>
      <c r="EB17" s="645">
        <f>EB375</f>
        <v>6460.8430183309383</v>
      </c>
      <c r="EC17" s="674">
        <f>SUM(EA17:EB17)</f>
        <v>12456.194868269364</v>
      </c>
      <c r="ED17" s="645">
        <f>ED375</f>
        <v>6411.5655348241153</v>
      </c>
      <c r="EE17" s="645">
        <f>EE375</f>
        <v>6913.0625588974708</v>
      </c>
      <c r="EF17" s="674">
        <f>SUM(ED17:EE17)</f>
        <v>13324.628093721585</v>
      </c>
      <c r="EG17" s="645">
        <f>EG375</f>
        <v>6863.2689858056019</v>
      </c>
      <c r="EH17" s="645">
        <f>EH375</f>
        <v>7414.1430891992914</v>
      </c>
      <c r="EI17" s="674">
        <f>SUM(EG17:EH17)</f>
        <v>14277.412075004893</v>
      </c>
      <c r="EJ17" s="645">
        <f>EJ375</f>
        <v>7335.8973569022592</v>
      </c>
      <c r="EK17" s="645">
        <f>EK375</f>
        <v>7960.4874211493288</v>
      </c>
      <c r="EL17" s="674">
        <f>SUM(EJ17:EK17)</f>
        <v>15296.384778051588</v>
      </c>
      <c r="EM17" s="645">
        <f>EM375</f>
        <v>7794.1978079009305</v>
      </c>
      <c r="EN17" s="645">
        <f>EN375</f>
        <v>8433.1242030723406</v>
      </c>
      <c r="EO17" s="674">
        <f>SUM(EM17:EN17)</f>
        <v>16227.322010973272</v>
      </c>
      <c r="EP17" s="645">
        <f>EP375</f>
        <v>8271.2165604017082</v>
      </c>
      <c r="EQ17" s="645">
        <f>EQ375</f>
        <v>8963.7689176347176</v>
      </c>
      <c r="ER17" s="674">
        <f>SUM(EP17:EQ17)</f>
        <v>17234.985478036426</v>
      </c>
      <c r="ES17" s="645">
        <f>ES375</f>
        <v>8791.4334459516067</v>
      </c>
      <c r="ET17" s="645">
        <f>ET375</f>
        <v>9529.5997633864463</v>
      </c>
      <c r="EU17" s="674">
        <f>SUM(ES17:ET17)</f>
        <v>18321.033209338053</v>
      </c>
      <c r="EV17" s="645">
        <f>EV375</f>
        <v>9346.1827397448742</v>
      </c>
      <c r="EW17" s="645">
        <f>EW375</f>
        <v>10133.002150722421</v>
      </c>
      <c r="EX17" s="674">
        <f>SUM(EV17:EW17)</f>
        <v>19479.184890467295</v>
      </c>
      <c r="EY17" s="645">
        <f>EY375</f>
        <v>9937.8087944651015</v>
      </c>
      <c r="EZ17" s="645">
        <f>EZ375</f>
        <v>10776.525898195478</v>
      </c>
      <c r="FA17" s="6">
        <f>SUM(EY17:EZ17)</f>
        <v>20714.334692660581</v>
      </c>
    </row>
    <row r="18" spans="1:158" ht="13.35" customHeight="1" outlineLevel="1">
      <c r="A18" s="988" t="s">
        <v>972</v>
      </c>
      <c r="B18" s="4"/>
      <c r="C18" s="3" t="s">
        <v>767</v>
      </c>
      <c r="D18" s="178" t="str">
        <f>D17</f>
        <v>US$mn</v>
      </c>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79"/>
      <c r="AR18" s="179"/>
      <c r="AS18" s="179"/>
      <c r="AT18" s="8"/>
      <c r="AU18" s="179"/>
      <c r="AV18" s="179"/>
      <c r="AW18" s="8"/>
      <c r="AX18" s="179"/>
      <c r="AY18" s="179"/>
      <c r="AZ18" s="8"/>
      <c r="BA18" s="179"/>
      <c r="BB18" s="179"/>
      <c r="BC18" s="84"/>
      <c r="BD18" s="179"/>
      <c r="BE18" s="179"/>
      <c r="BF18" s="84"/>
      <c r="BG18" s="179"/>
      <c r="BH18" s="179"/>
      <c r="BI18" s="84"/>
      <c r="BJ18" s="179"/>
      <c r="BK18" s="179"/>
      <c r="BL18" s="84"/>
      <c r="BM18" s="179"/>
      <c r="BN18" s="179"/>
      <c r="BO18" s="8"/>
      <c r="BP18" s="179"/>
      <c r="BQ18" s="179"/>
      <c r="BR18" s="8"/>
      <c r="BS18" s="179"/>
      <c r="BT18" s="179"/>
      <c r="BU18" s="180"/>
      <c r="BV18" s="179">
        <v>360.85417604468216</v>
      </c>
      <c r="BW18" s="179">
        <v>309.14582395531784</v>
      </c>
      <c r="BX18" s="96">
        <v>670</v>
      </c>
      <c r="BY18" s="179">
        <v>307.05227413036584</v>
      </c>
      <c r="BZ18" s="179">
        <v>337.33493752052806</v>
      </c>
      <c r="CA18" s="96">
        <v>644.38721165089396</v>
      </c>
      <c r="CB18" s="179">
        <v>475.47948677727783</v>
      </c>
      <c r="CC18" s="179">
        <v>406.118305625365</v>
      </c>
      <c r="CD18" s="96">
        <v>881.59779240264288</v>
      </c>
      <c r="CE18" s="179">
        <v>377.60814307701253</v>
      </c>
      <c r="CF18" s="179">
        <v>369.68797826026832</v>
      </c>
      <c r="CG18" s="96">
        <v>747.29612133728085</v>
      </c>
      <c r="CH18" s="179">
        <v>228.9617228589413</v>
      </c>
      <c r="CI18" s="179">
        <v>201.93827714105865</v>
      </c>
      <c r="CJ18" s="96">
        <v>430.9</v>
      </c>
      <c r="CK18" s="179">
        <v>259.59999999999991</v>
      </c>
      <c r="CL18" s="179">
        <v>200.00000000000009</v>
      </c>
      <c r="CM18" s="96">
        <v>459.6</v>
      </c>
      <c r="CN18" s="179">
        <v>231</v>
      </c>
      <c r="CO18" s="179">
        <v>178.8</v>
      </c>
      <c r="CP18" s="96">
        <v>409.8</v>
      </c>
      <c r="CQ18" s="179">
        <v>255.1</v>
      </c>
      <c r="CR18" s="179">
        <v>170.20000000000002</v>
      </c>
      <c r="CS18" s="96">
        <v>425.3</v>
      </c>
      <c r="CT18" s="179">
        <v>531.70772000000011</v>
      </c>
      <c r="CU18" s="179">
        <v>199.69227999999978</v>
      </c>
      <c r="CV18" s="96">
        <v>731.39999999999986</v>
      </c>
      <c r="CW18" s="179">
        <v>620.00000000000023</v>
      </c>
      <c r="CX18" s="179">
        <v>279.79999999999978</v>
      </c>
      <c r="CY18" s="499">
        <v>899.8</v>
      </c>
      <c r="CZ18" s="511">
        <v>791</v>
      </c>
      <c r="DA18" s="511">
        <v>297</v>
      </c>
      <c r="DB18" s="499">
        <v>1088</v>
      </c>
      <c r="DC18" s="511">
        <v>948.6</v>
      </c>
      <c r="DD18" s="511">
        <v>246.4</v>
      </c>
      <c r="DE18" s="674">
        <v>1195</v>
      </c>
      <c r="DF18" s="646">
        <v>1017.6</v>
      </c>
      <c r="DG18" s="646">
        <v>279.5</v>
      </c>
      <c r="DH18" s="674">
        <v>1297.0999999999999</v>
      </c>
      <c r="DI18" s="646">
        <f>DI411</f>
        <v>1424.8000000000002</v>
      </c>
      <c r="DJ18" s="646">
        <f>DJ411</f>
        <v>313.69999999999993</v>
      </c>
      <c r="DK18" s="674">
        <f>SUM(DI18:DJ18)</f>
        <v>1738.5</v>
      </c>
      <c r="DL18" s="646">
        <f>DL411</f>
        <v>1685</v>
      </c>
      <c r="DM18" s="646">
        <f>DM411</f>
        <v>278.99999999999994</v>
      </c>
      <c r="DN18" s="674">
        <f>SUM(DL18:DM18)</f>
        <v>1964</v>
      </c>
      <c r="DO18" s="646">
        <f>DO411</f>
        <v>1738</v>
      </c>
      <c r="DP18" s="646">
        <f>DP411</f>
        <v>292.99999999999994</v>
      </c>
      <c r="DQ18" s="674">
        <f>SUM(DO18:DP18)</f>
        <v>2031</v>
      </c>
      <c r="DR18" s="646">
        <f>DR411</f>
        <v>1804</v>
      </c>
      <c r="DS18" s="646">
        <f>DS411</f>
        <v>324</v>
      </c>
      <c r="DT18" s="674">
        <f>SUM(DR18:DS18)</f>
        <v>2128</v>
      </c>
      <c r="DU18" s="646">
        <f>DU411</f>
        <v>1661</v>
      </c>
      <c r="DV18" s="646">
        <f>DV411</f>
        <v>505</v>
      </c>
      <c r="DW18" s="674">
        <f>DW411</f>
        <v>2166</v>
      </c>
      <c r="DX18" s="646">
        <f t="shared" ref="DX18" si="17">DX411</f>
        <v>1646</v>
      </c>
      <c r="DY18" s="646">
        <f>DY411</f>
        <v>361.32632758885109</v>
      </c>
      <c r="DZ18" s="674">
        <f>DZ411</f>
        <v>2007.3263275888512</v>
      </c>
      <c r="EA18" s="646">
        <f>EA411</f>
        <v>1617.4434999999999</v>
      </c>
      <c r="EB18" s="646">
        <f>EB411</f>
        <v>359.27013366983294</v>
      </c>
      <c r="EC18" s="674">
        <f>SUM(EA18:EB18)</f>
        <v>1976.7136336698327</v>
      </c>
      <c r="ED18" s="646">
        <f>ED411</f>
        <v>1606.8236264500001</v>
      </c>
      <c r="EE18" s="646">
        <f>EE411</f>
        <v>358.77388199455919</v>
      </c>
      <c r="EF18" s="674">
        <f>SUM(ED18:EE18)</f>
        <v>1965.5975084445593</v>
      </c>
      <c r="EG18" s="646">
        <f>EG411</f>
        <v>1634.7400989789999</v>
      </c>
      <c r="EH18" s="646">
        <f>EH411</f>
        <v>360.78935963445036</v>
      </c>
      <c r="EI18" s="674">
        <f>SUM(EG18:EH18)</f>
        <v>1995.5294586134503</v>
      </c>
      <c r="EJ18" s="646">
        <f>EJ411</f>
        <v>1677.4523019483699</v>
      </c>
      <c r="EK18" s="646">
        <f>EK411</f>
        <v>363.87304042348387</v>
      </c>
      <c r="EL18" s="674">
        <f>SUM(EJ18:EK18)</f>
        <v>2041.3253423718538</v>
      </c>
      <c r="EM18" s="646">
        <f>EM411</f>
        <v>1721.4458710068211</v>
      </c>
      <c r="EN18" s="646">
        <f>EN411</f>
        <v>367.04923163618838</v>
      </c>
      <c r="EO18" s="674">
        <f>SUM(EM18:EN18)</f>
        <v>2088.4951026430094</v>
      </c>
      <c r="EP18" s="646">
        <f>EP411</f>
        <v>1766.7592471370258</v>
      </c>
      <c r="EQ18" s="646">
        <f>EQ411</f>
        <v>370.32070858527402</v>
      </c>
      <c r="ER18" s="674">
        <f>SUM(EP18:EQ18)</f>
        <v>2137.0799557222999</v>
      </c>
      <c r="ES18" s="646">
        <f>ES411</f>
        <v>1813.4320245511367</v>
      </c>
      <c r="ET18" s="646">
        <f>ET411</f>
        <v>373.69032984283228</v>
      </c>
      <c r="EU18" s="674">
        <f>SUM(ES18:ET18)</f>
        <v>2187.1223543939691</v>
      </c>
      <c r="EV18" s="646">
        <f>EV411</f>
        <v>1861.5049852876707</v>
      </c>
      <c r="EW18" s="646">
        <f>EW411</f>
        <v>377.16103973811721</v>
      </c>
      <c r="EX18" s="674">
        <f>SUM(EV18:EW18)</f>
        <v>2238.6660250257878</v>
      </c>
      <c r="EY18" s="646">
        <f>EY411</f>
        <v>1911.0201348463011</v>
      </c>
      <c r="EZ18" s="646">
        <f>EZ411</f>
        <v>380.73587093026072</v>
      </c>
      <c r="FA18" s="6">
        <f>SUM(EY18:EZ18)</f>
        <v>2291.7560057765618</v>
      </c>
      <c r="FB18" s="219"/>
    </row>
    <row r="19" spans="1:158" ht="13.35" customHeight="1" outlineLevel="1">
      <c r="A19" s="760" t="s">
        <v>973</v>
      </c>
      <c r="C19" s="3" t="str">
        <f>C8</f>
        <v>Vifor</v>
      </c>
      <c r="D19" s="178" t="str">
        <f>D17</f>
        <v>US$mn</v>
      </c>
      <c r="BM19" s="184"/>
      <c r="BN19" s="184"/>
      <c r="BO19" s="185"/>
      <c r="BP19" s="184"/>
      <c r="BQ19" s="184"/>
      <c r="BR19" s="185"/>
      <c r="BS19" s="184"/>
      <c r="BT19" s="184"/>
      <c r="BU19" s="186"/>
      <c r="BV19" s="184">
        <v>81.888999999999996</v>
      </c>
      <c r="BW19" s="184">
        <v>88.111000000000004</v>
      </c>
      <c r="BX19" s="187">
        <v>170</v>
      </c>
      <c r="BY19" s="188">
        <v>82</v>
      </c>
      <c r="BZ19" s="188">
        <v>59.993100913849105</v>
      </c>
      <c r="CA19" s="187">
        <v>141.9931009138491</v>
      </c>
      <c r="CB19" s="188">
        <v>41.087723595510141</v>
      </c>
      <c r="CC19" s="188">
        <v>50.218328838956836</v>
      </c>
      <c r="CD19" s="187">
        <v>91.306052434466977</v>
      </c>
      <c r="CE19" s="188">
        <v>49.810395512228382</v>
      </c>
      <c r="CF19" s="188">
        <v>43.199306702238445</v>
      </c>
      <c r="CG19" s="187">
        <v>93.009702214466827</v>
      </c>
      <c r="CH19" s="188">
        <v>81.450384615384593</v>
      </c>
      <c r="CI19" s="188">
        <v>59.900384615384617</v>
      </c>
      <c r="CJ19" s="187">
        <v>141.3507692307692</v>
      </c>
      <c r="CK19" s="188">
        <v>71.947926267281119</v>
      </c>
      <c r="CL19" s="188">
        <v>62.3520737327189</v>
      </c>
      <c r="CM19" s="187">
        <v>134.30000000000001</v>
      </c>
      <c r="CN19" s="188">
        <v>101.1</v>
      </c>
      <c r="CO19" s="188">
        <v>43.599999999999987</v>
      </c>
      <c r="CP19" s="187">
        <v>144.69999999999999</v>
      </c>
      <c r="CQ19" s="188">
        <v>91.6</v>
      </c>
      <c r="CR19" s="188">
        <v>45.300000000000004</v>
      </c>
      <c r="CS19" s="187">
        <v>136.9</v>
      </c>
      <c r="CT19" s="188">
        <v>0</v>
      </c>
      <c r="CU19" s="188">
        <v>0</v>
      </c>
      <c r="CV19" s="187">
        <v>0</v>
      </c>
      <c r="CW19" s="188">
        <v>0</v>
      </c>
      <c r="CX19" s="188">
        <v>0</v>
      </c>
      <c r="CY19" s="501">
        <v>0</v>
      </c>
      <c r="CZ19" s="300">
        <v>0</v>
      </c>
      <c r="DA19" s="300">
        <v>0</v>
      </c>
      <c r="DB19" s="502">
        <v>0</v>
      </c>
      <c r="DC19" s="300">
        <v>0</v>
      </c>
      <c r="DD19" s="300">
        <v>0</v>
      </c>
      <c r="DE19" s="675">
        <v>0</v>
      </c>
      <c r="DF19" s="631">
        <v>0</v>
      </c>
      <c r="DG19" s="631">
        <v>0</v>
      </c>
      <c r="DH19" s="675">
        <v>0</v>
      </c>
      <c r="DI19" s="631">
        <v>0</v>
      </c>
      <c r="DJ19" s="631">
        <v>0</v>
      </c>
      <c r="DK19" s="675">
        <v>0</v>
      </c>
      <c r="DL19" s="631">
        <v>0</v>
      </c>
      <c r="DM19" s="631">
        <v>0</v>
      </c>
      <c r="DN19" s="675">
        <v>0</v>
      </c>
      <c r="DO19" s="631">
        <f>'Vifor Segment'!S9</f>
        <v>889</v>
      </c>
      <c r="DP19" s="631">
        <f>'Vifor Segment'!T9</f>
        <v>1100</v>
      </c>
      <c r="DQ19" s="675">
        <f>SUM(DO19:DP19)</f>
        <v>1989</v>
      </c>
      <c r="DR19" s="631">
        <f>'Vifor Segment'!V9</f>
        <v>1011</v>
      </c>
      <c r="DS19" s="631">
        <f>'Vifor Segment'!W9</f>
        <v>1053</v>
      </c>
      <c r="DT19" s="675">
        <f>SUM(DR19:DS19)</f>
        <v>2064</v>
      </c>
      <c r="DU19" s="631">
        <f>'Vifor Segment'!Y9</f>
        <v>1079</v>
      </c>
      <c r="DV19" s="631">
        <f>'Vifor Segment'!Z9</f>
        <v>1155</v>
      </c>
      <c r="DW19" s="675">
        <f>SUM(DU19:DV19)</f>
        <v>2234</v>
      </c>
      <c r="DX19" s="631">
        <f>'Vifor Segment'!AB9</f>
        <v>1236</v>
      </c>
      <c r="DY19" s="631">
        <f>'Vifor Segment'!AC9</f>
        <v>1111.841261109756</v>
      </c>
      <c r="DZ19" s="675">
        <f>SUM(DX19:DY19)</f>
        <v>2347.841261109756</v>
      </c>
      <c r="EA19" s="631">
        <f>'Vifor Segment'!AE9</f>
        <v>1260.1647302487888</v>
      </c>
      <c r="EB19" s="631">
        <f>'Vifor Segment'!AF9</f>
        <v>1078.2148425713415</v>
      </c>
      <c r="EC19" s="675">
        <f>SUM(EA19:EB19)</f>
        <v>2338.3795728201303</v>
      </c>
      <c r="ED19" s="631">
        <f>'Vifor Segment'!AH9</f>
        <v>1254.0799667612284</v>
      </c>
      <c r="EE19" s="631">
        <f>'Vifor Segment'!AI9</f>
        <v>1119.980342733445</v>
      </c>
      <c r="EF19" s="675">
        <f>SUM(ED19:EE19)</f>
        <v>2374.0603094946737</v>
      </c>
      <c r="EG19" s="631">
        <f>'Vifor Segment'!AK9</f>
        <v>1303.9327930992899</v>
      </c>
      <c r="EH19" s="631">
        <f>'Vifor Segment'!AL9</f>
        <v>1163.6789486874954</v>
      </c>
      <c r="EI19" s="675">
        <f>SUM(EG19:EH19)</f>
        <v>2467.6117417867854</v>
      </c>
      <c r="EJ19" s="631">
        <f>'Vifor Segment'!AN9</f>
        <v>1356.1512305142546</v>
      </c>
      <c r="EK19" s="631">
        <f>'Vifor Segment'!AO9</f>
        <v>1209.4098935866934</v>
      </c>
      <c r="EL19" s="675">
        <f>SUM(EJ19:EK19)</f>
        <v>2565.5611241009483</v>
      </c>
      <c r="EM19" s="631">
        <f>'Vifor Segment'!AQ9</f>
        <v>1410.8607604511672</v>
      </c>
      <c r="EN19" s="631">
        <f>'Vifor Segment'!AR9</f>
        <v>1257.2780547746893</v>
      </c>
      <c r="EO19" s="675">
        <f>SUM(EM19:EN19)</f>
        <v>2668.1388152258564</v>
      </c>
      <c r="EP19" s="631">
        <f>'Vifor Segment'!AT9</f>
        <v>1468.1943084843094</v>
      </c>
      <c r="EQ19" s="631">
        <f>'Vifor Segment'!AU9</f>
        <v>1307.3943103798724</v>
      </c>
      <c r="ER19" s="675">
        <f>SUM(EP19:EQ19)</f>
        <v>2775.5886188641816</v>
      </c>
      <c r="ES19" s="631">
        <f>'Vifor Segment'!AW9</f>
        <v>1528.2927380528608</v>
      </c>
      <c r="ET19" s="631">
        <f>'Vifor Segment'!AX9</f>
        <v>1359.8759208474626</v>
      </c>
      <c r="EU19" s="675">
        <f>SUM(ES19:ET19)</f>
        <v>2888.1686589003234</v>
      </c>
      <c r="EV19" s="631">
        <f>'Vifor Segment'!AZ9</f>
        <v>1591.3053804843032</v>
      </c>
      <c r="EW19" s="631">
        <f>'Vifor Segment'!BA9</f>
        <v>1414.8469373179489</v>
      </c>
      <c r="EX19" s="675">
        <f>SUM(EV19:EW19)</f>
        <v>3006.1523178022521</v>
      </c>
      <c r="EY19" s="631">
        <f>'Vifor Segment'!BC9</f>
        <v>1657.390604211861</v>
      </c>
      <c r="EZ19" s="631">
        <f>'Vifor Segment'!BD9</f>
        <v>1472.43863891764</v>
      </c>
      <c r="FA19" s="632">
        <f>SUM(EY19:EZ19)</f>
        <v>3129.8292431295013</v>
      </c>
      <c r="FB19" s="219"/>
    </row>
    <row r="20" spans="1:158" ht="13.35" customHeight="1" outlineLevel="1" thickBot="1">
      <c r="A20" s="989"/>
      <c r="B20" s="30" t="s">
        <v>454</v>
      </c>
      <c r="C20" s="30"/>
      <c r="D20" s="178" t="str">
        <f>D17</f>
        <v>US$mn</v>
      </c>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179"/>
      <c r="AS20" s="179"/>
      <c r="AT20" s="8"/>
      <c r="AU20" s="179"/>
      <c r="AV20" s="179"/>
      <c r="AW20" s="8"/>
      <c r="AX20" s="179"/>
      <c r="AY20" s="179"/>
      <c r="AZ20" s="8"/>
      <c r="BA20" s="179"/>
      <c r="BB20" s="179"/>
      <c r="BC20" s="8"/>
      <c r="BD20" s="179"/>
      <c r="BE20" s="179"/>
      <c r="BF20" s="8"/>
      <c r="BG20" s="179"/>
      <c r="BH20" s="179"/>
      <c r="BI20" s="8"/>
      <c r="BJ20" s="179"/>
      <c r="BK20" s="179"/>
      <c r="BL20" s="8"/>
      <c r="BM20" s="179"/>
      <c r="BN20" s="179"/>
      <c r="BO20" s="84"/>
      <c r="BP20" s="179"/>
      <c r="BQ20" s="179"/>
      <c r="BR20" s="84"/>
      <c r="BS20" s="179"/>
      <c r="BT20" s="179"/>
      <c r="BU20" s="190"/>
      <c r="BV20" s="191">
        <v>1629.5271760446826</v>
      </c>
      <c r="BW20" s="191">
        <v>1800.4728239553176</v>
      </c>
      <c r="BX20" s="192">
        <v>3430</v>
      </c>
      <c r="BY20" s="191">
        <v>1883.2492741303663</v>
      </c>
      <c r="BZ20" s="191">
        <v>1779.1310384343765</v>
      </c>
      <c r="CA20" s="192">
        <v>3662.3803125647428</v>
      </c>
      <c r="CB20" s="191">
        <v>2136.1342103727884</v>
      </c>
      <c r="CC20" s="191">
        <v>2024.7696344643218</v>
      </c>
      <c r="CD20" s="192">
        <v>4160.9038448371102</v>
      </c>
      <c r="CE20" s="191">
        <v>2099.0155385892408</v>
      </c>
      <c r="CF20" s="191">
        <v>2240.290284962507</v>
      </c>
      <c r="CG20" s="192">
        <v>4339.3058235517474</v>
      </c>
      <c r="CH20" s="191">
        <v>2389.862107474326</v>
      </c>
      <c r="CI20" s="191">
        <v>2380.888661756444</v>
      </c>
      <c r="CJ20" s="192">
        <v>4770.750769230769</v>
      </c>
      <c r="CK20" s="191">
        <v>2566.2479262672809</v>
      </c>
      <c r="CL20" s="191">
        <v>2532.0520737327206</v>
      </c>
      <c r="CM20" s="192">
        <v>5098.300000000002</v>
      </c>
      <c r="CN20" s="191">
        <v>2690.9999999999995</v>
      </c>
      <c r="CO20" s="191">
        <v>2810.8999999999992</v>
      </c>
      <c r="CP20" s="192">
        <v>5501.8999999999987</v>
      </c>
      <c r="CQ20" s="191">
        <v>2839.9</v>
      </c>
      <c r="CR20" s="191">
        <v>2771.3000000000015</v>
      </c>
      <c r="CS20" s="192">
        <v>5611.2000000000016</v>
      </c>
      <c r="CT20" s="191">
        <v>3135.7077200000003</v>
      </c>
      <c r="CU20" s="191">
        <v>2979.5922800000021</v>
      </c>
      <c r="CV20" s="192">
        <v>6115.300000000002</v>
      </c>
      <c r="CW20" s="191">
        <v>3676.5</v>
      </c>
      <c r="CX20" s="191">
        <v>3246.2999999999997</v>
      </c>
      <c r="CY20" s="503">
        <v>6922.8</v>
      </c>
      <c r="CZ20" s="504">
        <v>4146.6304625474068</v>
      </c>
      <c r="DA20" s="504">
        <v>3768.3695374525928</v>
      </c>
      <c r="DB20" s="503">
        <v>7915</v>
      </c>
      <c r="DC20" s="504">
        <v>4504.8</v>
      </c>
      <c r="DD20" s="504">
        <v>4033.1000000000008</v>
      </c>
      <c r="DE20" s="676">
        <v>8537.9000000000015</v>
      </c>
      <c r="DF20" s="642">
        <v>4910.632415164725</v>
      </c>
      <c r="DG20" s="642">
        <v>4240.2710689872547</v>
      </c>
      <c r="DH20" s="676">
        <v>9150.9034841519806</v>
      </c>
      <c r="DI20" s="642">
        <f t="shared" ref="DI20:ER20" si="18">SUM(DI17:DI19)</f>
        <v>5739.7448291452838</v>
      </c>
      <c r="DJ20" s="642">
        <f t="shared" si="18"/>
        <v>4572.555895357923</v>
      </c>
      <c r="DK20" s="676">
        <f t="shared" si="18"/>
        <v>10312.300724503206</v>
      </c>
      <c r="DL20" s="642">
        <f t="shared" si="18"/>
        <v>6041.2000000000007</v>
      </c>
      <c r="DM20" s="642">
        <f t="shared" si="18"/>
        <v>4521.2</v>
      </c>
      <c r="DN20" s="676">
        <f t="shared" si="18"/>
        <v>10562.400000000001</v>
      </c>
      <c r="DO20" s="642">
        <f t="shared" si="18"/>
        <v>7184</v>
      </c>
      <c r="DP20" s="642">
        <f t="shared" si="18"/>
        <v>6126</v>
      </c>
      <c r="DQ20" s="676">
        <f t="shared" si="18"/>
        <v>13310</v>
      </c>
      <c r="DR20" s="642">
        <f t="shared" si="18"/>
        <v>8053</v>
      </c>
      <c r="DS20" s="642">
        <f t="shared" si="18"/>
        <v>6747</v>
      </c>
      <c r="DT20" s="676">
        <f t="shared" si="18"/>
        <v>14800</v>
      </c>
      <c r="DU20" s="642">
        <f t="shared" si="18"/>
        <v>8483</v>
      </c>
      <c r="DV20" s="642">
        <f>SUM(DV17:DV19)</f>
        <v>7075</v>
      </c>
      <c r="DW20" s="676">
        <f>SUM(DW17:DW19)</f>
        <v>15558</v>
      </c>
      <c r="DX20" s="642">
        <f t="shared" ref="DX20" si="19">SUM(DX17:DX19)</f>
        <v>8332</v>
      </c>
      <c r="DY20" s="642">
        <f>SUM(DY17:DY19)</f>
        <v>7591.3872548682684</v>
      </c>
      <c r="DZ20" s="676">
        <f>SUM(DZ17:DZ19)</f>
        <v>15923.387254868268</v>
      </c>
      <c r="EA20" s="642">
        <f t="shared" si="18"/>
        <v>8872.9600801872148</v>
      </c>
      <c r="EB20" s="642">
        <f t="shared" si="18"/>
        <v>7898.3279945721124</v>
      </c>
      <c r="EC20" s="676">
        <f t="shared" si="18"/>
        <v>16771.288074759326</v>
      </c>
      <c r="ED20" s="642">
        <f t="shared" si="18"/>
        <v>9272.4691280353436</v>
      </c>
      <c r="EE20" s="642">
        <f t="shared" si="18"/>
        <v>8391.8167836254743</v>
      </c>
      <c r="EF20" s="676">
        <f t="shared" si="18"/>
        <v>17664.28591166082</v>
      </c>
      <c r="EG20" s="642">
        <f t="shared" si="18"/>
        <v>9801.9418778838917</v>
      </c>
      <c r="EH20" s="642">
        <f t="shared" si="18"/>
        <v>8938.6113975212374</v>
      </c>
      <c r="EI20" s="676">
        <f t="shared" si="18"/>
        <v>18740.553275405127</v>
      </c>
      <c r="EJ20" s="642">
        <f t="shared" si="18"/>
        <v>10369.500889364885</v>
      </c>
      <c r="EK20" s="642">
        <f t="shared" si="18"/>
        <v>9533.7703551595059</v>
      </c>
      <c r="EL20" s="676">
        <f t="shared" si="18"/>
        <v>19903.271244524389</v>
      </c>
      <c r="EM20" s="642">
        <f t="shared" si="18"/>
        <v>10926.50443935892</v>
      </c>
      <c r="EN20" s="642">
        <f t="shared" si="18"/>
        <v>10057.451489483219</v>
      </c>
      <c r="EO20" s="676">
        <f t="shared" si="18"/>
        <v>20983.955928842137</v>
      </c>
      <c r="EP20" s="642">
        <f t="shared" si="18"/>
        <v>11506.170116023044</v>
      </c>
      <c r="EQ20" s="642">
        <f t="shared" si="18"/>
        <v>10641.483936599863</v>
      </c>
      <c r="ER20" s="676">
        <f t="shared" si="18"/>
        <v>22147.654052622907</v>
      </c>
      <c r="ES20" s="642">
        <f t="shared" ref="ES20:FA20" si="20">SUM(ES17:ES19)</f>
        <v>12133.158208555604</v>
      </c>
      <c r="ET20" s="642">
        <f t="shared" si="20"/>
        <v>11263.16601407674</v>
      </c>
      <c r="EU20" s="676">
        <f t="shared" si="20"/>
        <v>23396.324222632345</v>
      </c>
      <c r="EV20" s="642">
        <f t="shared" si="20"/>
        <v>12798.993105516849</v>
      </c>
      <c r="EW20" s="642">
        <f t="shared" si="20"/>
        <v>11925.010127778487</v>
      </c>
      <c r="EX20" s="676">
        <f t="shared" si="20"/>
        <v>24724.003233295334</v>
      </c>
      <c r="EY20" s="642">
        <f t="shared" si="20"/>
        <v>13506.219533523265</v>
      </c>
      <c r="EZ20" s="642">
        <f t="shared" si="20"/>
        <v>12629.700408043378</v>
      </c>
      <c r="FA20" s="644">
        <f t="shared" si="20"/>
        <v>26135.919941566644</v>
      </c>
    </row>
    <row r="21" spans="1:158" ht="13.35" customHeight="1" outlineLevel="1" thickTop="1">
      <c r="A21" s="989"/>
      <c r="B21" s="30" t="s">
        <v>455</v>
      </c>
      <c r="C21" s="30"/>
      <c r="D21" s="178"/>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194"/>
      <c r="AK21" s="194"/>
      <c r="AL21" s="194"/>
      <c r="AM21" s="194"/>
      <c r="AN21" s="194"/>
      <c r="AO21" s="3"/>
      <c r="AP21" s="194"/>
      <c r="AQ21" s="194"/>
      <c r="AR21" s="195"/>
      <c r="AS21" s="195"/>
      <c r="AT21" s="194"/>
      <c r="AU21" s="196"/>
      <c r="AV21" s="196"/>
      <c r="AW21" s="197"/>
      <c r="AX21" s="196"/>
      <c r="AY21" s="196"/>
      <c r="AZ21" s="197"/>
      <c r="BA21" s="196"/>
      <c r="BB21" s="196"/>
      <c r="BC21" s="197"/>
      <c r="BD21" s="196"/>
      <c r="BE21" s="196"/>
      <c r="BF21" s="197"/>
      <c r="BG21" s="196"/>
      <c r="BH21" s="196"/>
      <c r="BI21" s="197"/>
      <c r="BJ21" s="196"/>
      <c r="BK21" s="196"/>
      <c r="BL21" s="197"/>
      <c r="BM21" s="198"/>
      <c r="BN21" s="196"/>
      <c r="BO21" s="197"/>
      <c r="BP21" s="196"/>
      <c r="BQ21" s="196"/>
      <c r="BR21" s="197"/>
      <c r="BS21" s="196"/>
      <c r="BT21" s="196"/>
      <c r="BU21" s="199"/>
      <c r="BV21" s="196"/>
      <c r="BW21" s="196"/>
      <c r="BX21" s="200"/>
      <c r="BY21" s="196"/>
      <c r="BZ21" s="196"/>
      <c r="CA21" s="201"/>
      <c r="CB21" s="202"/>
      <c r="CC21" s="202"/>
      <c r="CD21" s="200"/>
      <c r="CE21" s="196"/>
      <c r="CF21" s="196"/>
      <c r="CG21" s="203"/>
      <c r="CH21" s="196"/>
      <c r="CI21" s="196"/>
      <c r="CJ21" s="78"/>
      <c r="CK21" s="196"/>
      <c r="CL21" s="196"/>
      <c r="CM21" s="78"/>
      <c r="CN21" s="196"/>
      <c r="CO21" s="196"/>
      <c r="CP21" s="200"/>
      <c r="CQ21" s="196"/>
      <c r="CR21" s="196"/>
      <c r="CS21" s="200"/>
      <c r="CT21" s="196"/>
      <c r="CU21" s="196"/>
      <c r="CV21" s="200"/>
      <c r="CW21" s="196"/>
      <c r="CX21" s="196"/>
      <c r="CY21" s="506"/>
      <c r="CZ21" s="505"/>
      <c r="DA21" s="505"/>
      <c r="DB21" s="506"/>
      <c r="DC21" s="505"/>
      <c r="DD21" s="505"/>
      <c r="DE21" s="681"/>
      <c r="DF21" s="505"/>
      <c r="DG21" s="505"/>
      <c r="DH21" s="681"/>
      <c r="DI21" s="505"/>
      <c r="DJ21" s="505"/>
      <c r="DK21" s="681"/>
      <c r="DL21" s="505"/>
      <c r="DM21" s="505"/>
      <c r="DN21" s="681"/>
      <c r="DO21" s="505"/>
      <c r="DP21" s="505"/>
      <c r="DQ21" s="681"/>
      <c r="DR21" s="505"/>
      <c r="DS21" s="505"/>
      <c r="DT21" s="681"/>
      <c r="DU21" s="505"/>
      <c r="DV21" s="505"/>
      <c r="DW21" s="681"/>
      <c r="DX21" s="505"/>
      <c r="DY21" s="505"/>
      <c r="DZ21" s="681"/>
      <c r="EA21" s="505"/>
      <c r="EB21" s="505"/>
      <c r="EC21" s="681"/>
      <c r="ED21" s="505"/>
      <c r="EE21" s="505"/>
      <c r="EF21" s="681"/>
      <c r="EG21" s="505"/>
      <c r="EH21" s="505"/>
      <c r="EI21" s="681"/>
      <c r="EJ21" s="505"/>
      <c r="EK21" s="505"/>
      <c r="EL21" s="681"/>
      <c r="EM21" s="505"/>
      <c r="EN21" s="505"/>
      <c r="EO21" s="681"/>
      <c r="EP21" s="505"/>
      <c r="EQ21" s="505"/>
      <c r="ER21" s="681"/>
      <c r="ES21" s="505"/>
      <c r="ET21" s="505"/>
      <c r="EU21" s="681"/>
      <c r="EV21" s="505"/>
      <c r="EW21" s="505"/>
      <c r="EX21" s="681"/>
      <c r="EY21" s="505"/>
      <c r="EZ21" s="505"/>
      <c r="FA21" s="508"/>
    </row>
    <row r="22" spans="1:158" ht="13.35" customHeight="1" outlineLevel="1">
      <c r="A22" s="989"/>
      <c r="B22" s="205"/>
      <c r="C22" s="126" t="s">
        <v>461</v>
      </c>
      <c r="D22" s="178" t="s">
        <v>507</v>
      </c>
      <c r="E22" s="194"/>
      <c r="F22" s="194"/>
      <c r="G22" s="194"/>
      <c r="H22" s="194"/>
      <c r="I22" s="194"/>
      <c r="J22" s="194"/>
      <c r="K22" s="194"/>
      <c r="L22" s="194"/>
      <c r="M22" s="194"/>
      <c r="N22" s="194"/>
      <c r="O22" s="194"/>
      <c r="P22" s="194"/>
      <c r="Q22" s="194"/>
      <c r="R22" s="194"/>
      <c r="S22" s="194"/>
      <c r="T22" s="194"/>
      <c r="U22" s="194"/>
      <c r="V22" s="194"/>
      <c r="W22" s="194"/>
      <c r="X22" s="194"/>
      <c r="Y22" s="194"/>
      <c r="Z22" s="194"/>
      <c r="AA22" s="194"/>
      <c r="AB22" s="194"/>
      <c r="AC22" s="194"/>
      <c r="AD22" s="194"/>
      <c r="AE22" s="194"/>
      <c r="AF22" s="194"/>
      <c r="AG22" s="194"/>
      <c r="AH22" s="194"/>
      <c r="AI22" s="194"/>
      <c r="AJ22" s="194"/>
      <c r="AK22" s="194"/>
      <c r="AL22" s="194"/>
      <c r="AM22" s="194"/>
      <c r="AN22" s="194"/>
      <c r="AO22" s="3"/>
      <c r="AP22" s="194"/>
      <c r="AQ22" s="194"/>
      <c r="AR22" s="195"/>
      <c r="AS22" s="195"/>
      <c r="AT22" s="194"/>
      <c r="AU22" s="196"/>
      <c r="AV22" s="196"/>
      <c r="AW22" s="197"/>
      <c r="AX22" s="196"/>
      <c r="AY22" s="196"/>
      <c r="AZ22" s="197"/>
      <c r="BA22" s="196"/>
      <c r="BB22" s="196"/>
      <c r="BC22" s="197"/>
      <c r="BD22" s="196"/>
      <c r="BE22" s="196"/>
      <c r="BF22" s="197"/>
      <c r="BG22" s="196"/>
      <c r="BH22" s="196"/>
      <c r="BI22" s="197"/>
      <c r="BJ22" s="196"/>
      <c r="BK22" s="196"/>
      <c r="BL22" s="197"/>
      <c r="BM22" s="196"/>
      <c r="BN22" s="196"/>
      <c r="BO22" s="197"/>
      <c r="BP22" s="196"/>
      <c r="BQ22" s="196"/>
      <c r="BR22" s="197"/>
      <c r="BS22" s="196"/>
      <c r="BT22" s="196"/>
      <c r="BU22" s="199"/>
      <c r="BV22" s="206">
        <v>0.24780746579350763</v>
      </c>
      <c r="BW22" s="651">
        <v>0.4496932528939569</v>
      </c>
      <c r="BX22" s="95">
        <v>0.34963639397073498</v>
      </c>
      <c r="BY22" s="651">
        <v>0.25903028689298124</v>
      </c>
      <c r="BZ22" s="651">
        <v>-1.5259945724678342E-2</v>
      </c>
      <c r="CA22" s="95">
        <v>0.11042471042471043</v>
      </c>
      <c r="CB22" s="651">
        <v>8.3904598925041235E-2</v>
      </c>
      <c r="CC22" s="651">
        <v>0.1350626681227356</v>
      </c>
      <c r="CD22" s="95">
        <v>0.10848400556328233</v>
      </c>
      <c r="CE22" s="651">
        <v>3.2125870680249413E-2</v>
      </c>
      <c r="CF22" s="651">
        <v>0.1651138429247539</v>
      </c>
      <c r="CG22" s="95">
        <v>9.7553324968632366E-2</v>
      </c>
      <c r="CH22" s="651">
        <v>0.24399002869710812</v>
      </c>
      <c r="CI22" s="651">
        <v>0.15959643275183436</v>
      </c>
      <c r="CJ22" s="95">
        <v>0.1999142612174907</v>
      </c>
      <c r="CK22" s="651">
        <v>7.4659164682969056E-2</v>
      </c>
      <c r="CL22" s="651">
        <v>7.1093178546990848E-2</v>
      </c>
      <c r="CM22" s="95">
        <v>7.2859354531380607E-2</v>
      </c>
      <c r="CN22" s="651">
        <v>5.5577929923479583E-2</v>
      </c>
      <c r="CO22" s="651">
        <v>0.14045909150988994</v>
      </c>
      <c r="CP22" s="95">
        <v>9.8348281680134347E-2</v>
      </c>
      <c r="CQ22" s="651">
        <v>5.6933316376277354E-2</v>
      </c>
      <c r="CR22" s="651">
        <v>-1.2632798918291503E-2</v>
      </c>
      <c r="CS22" s="95">
        <v>2.0536039131665747E-2</v>
      </c>
      <c r="CT22" s="651">
        <v>4.4440879191400495E-2</v>
      </c>
      <c r="CU22" s="651">
        <v>8.768291728617289E-2</v>
      </c>
      <c r="CV22" s="95">
        <v>6.6329966329966419E-2</v>
      </c>
      <c r="CW22" s="651">
        <v>0.17377112135176634</v>
      </c>
      <c r="CX22" s="651">
        <v>6.7124716716427738E-2</v>
      </c>
      <c r="CY22" s="648">
        <v>0.1187057709095632</v>
      </c>
      <c r="CZ22" s="652">
        <v>9.7866992490563465E-2</v>
      </c>
      <c r="DA22" s="652">
        <v>0.17019030421459388</v>
      </c>
      <c r="DB22" s="648">
        <v>0.13348829486966629</v>
      </c>
      <c r="DC22" s="652">
        <v>5.9771044425533187E-2</v>
      </c>
      <c r="DD22" s="652">
        <v>9.0837480465651599E-2</v>
      </c>
      <c r="DE22" s="678">
        <v>7.5567599238318656E-2</v>
      </c>
      <c r="DF22" s="648">
        <v>9.4716949318014956E-2</v>
      </c>
      <c r="DG22" s="648">
        <v>4.5969067786530329E-2</v>
      </c>
      <c r="DH22" s="678">
        <v>6.9577889410448013E-2</v>
      </c>
      <c r="DI22" s="648">
        <f t="shared" ref="DI22:DR25" si="21">IF(ISERROR((DI17-DF17)/DF17),"",(DI17-DF17)/DF17)</f>
        <v>0.10837629102112324</v>
      </c>
      <c r="DJ22" s="648">
        <f t="shared" si="21"/>
        <v>7.5259291986013832E-2</v>
      </c>
      <c r="DK22" s="678">
        <f t="shared" si="21"/>
        <v>9.1674975291155744E-2</v>
      </c>
      <c r="DL22" s="648">
        <f t="shared" si="21"/>
        <v>9.5609961397557543E-3</v>
      </c>
      <c r="DM22" s="648">
        <f t="shared" si="21"/>
        <v>-3.910884934162237E-3</v>
      </c>
      <c r="DN22" s="678">
        <f t="shared" si="21"/>
        <v>2.8691214418470126E-3</v>
      </c>
      <c r="DO22" s="648">
        <f t="shared" si="21"/>
        <v>4.6095220605114375E-2</v>
      </c>
      <c r="DP22" s="648">
        <f t="shared" si="21"/>
        <v>0.1156946867191552</v>
      </c>
      <c r="DQ22" s="678">
        <f t="shared" si="21"/>
        <v>8.043356903609955E-2</v>
      </c>
      <c r="DR22" s="648">
        <f t="shared" si="21"/>
        <v>0.14944042132982224</v>
      </c>
      <c r="DS22" s="648">
        <f t="shared" ref="DS22:EB25" si="22">IF(ISERROR((DS17-DP17)/DP17),"",(DS17-DP17)/DP17)</f>
        <v>0.13458694274244665</v>
      </c>
      <c r="DT22" s="678">
        <f t="shared" si="22"/>
        <v>0.14187298170075349</v>
      </c>
      <c r="DU22" s="648">
        <f t="shared" si="22"/>
        <v>9.6410843833524246E-2</v>
      </c>
      <c r="DV22" s="648">
        <f t="shared" ref="DV22:DW25" si="23">IF(ISERROR((DV17-DS17)/DS17),"",(DV17-DS17)/DS17)</f>
        <v>8.3798882681564244E-3</v>
      </c>
      <c r="DW22" s="678">
        <f t="shared" si="23"/>
        <v>5.1847662141779792E-2</v>
      </c>
      <c r="DX22" s="648">
        <f t="shared" si="22"/>
        <v>-5.101863137732892E-2</v>
      </c>
      <c r="DY22" s="648">
        <f t="shared" si="22"/>
        <v>0.12986512763982672</v>
      </c>
      <c r="DZ22" s="678">
        <f t="shared" si="22"/>
        <v>3.6764623245174911E-2</v>
      </c>
      <c r="EA22" s="648">
        <f t="shared" si="22"/>
        <v>0.10006455962172943</v>
      </c>
      <c r="EB22" s="648">
        <f t="shared" si="22"/>
        <v>5.6000498650905339E-2</v>
      </c>
      <c r="EC22" s="678">
        <f t="shared" ref="EC22:EL25" si="24">IF(ISERROR((EC17-DZ17)/DZ17),"",(EC17-DZ17)/DZ17)</f>
        <v>7.6759884210749807E-2</v>
      </c>
      <c r="ED22" s="648">
        <f t="shared" si="24"/>
        <v>6.942272869105498E-2</v>
      </c>
      <c r="EE22" s="648">
        <f t="shared" si="24"/>
        <v>6.9993890779187606E-2</v>
      </c>
      <c r="EF22" s="678">
        <f t="shared" si="24"/>
        <v>6.9718981971328101E-2</v>
      </c>
      <c r="EG22" s="648">
        <f t="shared" si="24"/>
        <v>7.0451350536476734E-2</v>
      </c>
      <c r="EH22" s="648">
        <f t="shared" si="24"/>
        <v>7.2483147090417088E-2</v>
      </c>
      <c r="EI22" s="678">
        <f t="shared" si="24"/>
        <v>7.1505484024146929E-2</v>
      </c>
      <c r="EJ22" s="648">
        <f t="shared" si="24"/>
        <v>6.8863448609421021E-2</v>
      </c>
      <c r="EK22" s="648">
        <f t="shared" si="24"/>
        <v>7.3689477715359455E-2</v>
      </c>
      <c r="EL22" s="678">
        <f t="shared" si="24"/>
        <v>7.1369565975516289E-2</v>
      </c>
      <c r="EM22" s="648">
        <f t="shared" ref="EM22:ER25" si="25">IF(ISERROR((EM17-EJ17)/EJ17),"",(EM17-EJ17)/EJ17)</f>
        <v>6.2473672776713784E-2</v>
      </c>
      <c r="EN22" s="648">
        <f t="shared" si="25"/>
        <v>5.9372844515439588E-2</v>
      </c>
      <c r="EO22" s="678">
        <f t="shared" si="25"/>
        <v>6.0859951317219954E-2</v>
      </c>
      <c r="EP22" s="648">
        <f t="shared" si="25"/>
        <v>6.1201776533978486E-2</v>
      </c>
      <c r="EQ22" s="648">
        <f t="shared" si="25"/>
        <v>6.2923858558735973E-2</v>
      </c>
      <c r="ER22" s="678">
        <f t="shared" si="25"/>
        <v>6.209671974104844E-2</v>
      </c>
      <c r="ES22" s="648">
        <f t="shared" ref="ES22:FA25" si="26">IF(ISERROR((ES17-EP17)/EP17),"",(ES17-EP17)/EP17)</f>
        <v>6.2894845244462219E-2</v>
      </c>
      <c r="ET22" s="648">
        <f t="shared" si="26"/>
        <v>6.3124211584543538E-2</v>
      </c>
      <c r="EU22" s="678">
        <f t="shared" si="26"/>
        <v>6.3014136721243133E-2</v>
      </c>
      <c r="EV22" s="648">
        <f t="shared" si="26"/>
        <v>6.3101119652873627E-2</v>
      </c>
      <c r="EW22" s="648">
        <f t="shared" si="26"/>
        <v>6.3318754440695332E-2</v>
      </c>
      <c r="EX22" s="678">
        <f t="shared" si="26"/>
        <v>6.3214321370202178E-2</v>
      </c>
      <c r="EY22" s="648">
        <f t="shared" si="26"/>
        <v>6.3301357484090576E-2</v>
      </c>
      <c r="EZ22" s="648">
        <f t="shared" si="26"/>
        <v>6.3507708564650531E-2</v>
      </c>
      <c r="FA22" s="647">
        <f t="shared" si="26"/>
        <v>6.3408700576467247E-2</v>
      </c>
    </row>
    <row r="23" spans="1:158" ht="13.35" customHeight="1" outlineLevel="1">
      <c r="A23" s="760"/>
      <c r="B23" s="126"/>
      <c r="C23" s="3" t="str">
        <f>C18</f>
        <v>Seqirus</v>
      </c>
      <c r="D23" s="178" t="str">
        <f>D22</f>
        <v>%</v>
      </c>
      <c r="E23" s="197"/>
      <c r="F23" s="197"/>
      <c r="G23" s="197"/>
      <c r="H23" s="197"/>
      <c r="I23" s="197"/>
      <c r="J23" s="197"/>
      <c r="K23" s="197"/>
      <c r="L23" s="197"/>
      <c r="M23" s="197"/>
      <c r="N23" s="197"/>
      <c r="O23" s="197"/>
      <c r="P23" s="197"/>
      <c r="Q23" s="197"/>
      <c r="R23" s="197"/>
      <c r="S23" s="197"/>
      <c r="T23" s="197"/>
      <c r="U23" s="197"/>
      <c r="V23" s="197"/>
      <c r="W23" s="197"/>
      <c r="X23" s="197"/>
      <c r="Y23" s="197"/>
      <c r="Z23" s="197"/>
      <c r="AA23" s="197"/>
      <c r="AB23" s="197"/>
      <c r="AC23" s="197"/>
      <c r="AD23" s="197"/>
      <c r="AE23" s="197"/>
      <c r="AF23" s="197"/>
      <c r="AG23" s="197"/>
      <c r="AH23" s="197"/>
      <c r="AI23" s="197"/>
      <c r="AJ23" s="197"/>
      <c r="AK23" s="197"/>
      <c r="AL23" s="197"/>
      <c r="AM23" s="197"/>
      <c r="AN23" s="197"/>
      <c r="AO23" s="197"/>
      <c r="AP23" s="197"/>
      <c r="AQ23" s="197"/>
      <c r="AR23" s="196"/>
      <c r="AS23" s="196"/>
      <c r="AT23" s="197"/>
      <c r="AU23" s="196"/>
      <c r="AV23" s="196"/>
      <c r="AW23" s="197"/>
      <c r="AX23" s="196"/>
      <c r="AY23" s="196"/>
      <c r="AZ23" s="197"/>
      <c r="BA23" s="196"/>
      <c r="BB23" s="196"/>
      <c r="BC23" s="197"/>
      <c r="BD23" s="196"/>
      <c r="BE23" s="196"/>
      <c r="BF23" s="197"/>
      <c r="BG23" s="196"/>
      <c r="BH23" s="196"/>
      <c r="BI23" s="197"/>
      <c r="BJ23" s="196"/>
      <c r="BK23" s="196"/>
      <c r="BL23" s="197"/>
      <c r="BM23" s="196"/>
      <c r="BN23" s="196"/>
      <c r="BO23" s="197"/>
      <c r="BP23" s="196"/>
      <c r="BQ23" s="196"/>
      <c r="BR23" s="197"/>
      <c r="BS23" s="196"/>
      <c r="BT23" s="196"/>
      <c r="BU23" s="199"/>
      <c r="BV23" s="206" t="s">
        <v>187</v>
      </c>
      <c r="BW23" s="651" t="s">
        <v>187</v>
      </c>
      <c r="BX23" s="95" t="s">
        <v>187</v>
      </c>
      <c r="BY23" s="651">
        <v>-0.14909596586642906</v>
      </c>
      <c r="BZ23" s="651">
        <v>9.1183873049129435E-2</v>
      </c>
      <c r="CA23" s="95">
        <v>-3.8228042312098566E-2</v>
      </c>
      <c r="CB23" s="651">
        <v>0.54852944217375343</v>
      </c>
      <c r="CC23" s="651">
        <v>0.2039022954764394</v>
      </c>
      <c r="CD23" s="95">
        <v>0.36811807631008847</v>
      </c>
      <c r="CE23" s="651">
        <v>-0.20583715264694435</v>
      </c>
      <c r="CF23" s="651">
        <v>-8.9703731303121384E-2</v>
      </c>
      <c r="CG23" s="95">
        <v>-0.15233893757758396</v>
      </c>
      <c r="CH23" s="651">
        <v>-0.39365258123619185</v>
      </c>
      <c r="CI23" s="651">
        <v>-0.45376022749950029</v>
      </c>
      <c r="CJ23" s="95">
        <v>-0.42338788105991021</v>
      </c>
      <c r="CK23" s="651">
        <v>0.13381397011907634</v>
      </c>
      <c r="CL23" s="651">
        <v>-9.5983642551561981E-3</v>
      </c>
      <c r="CM23" s="95">
        <v>6.6604780691575882E-2</v>
      </c>
      <c r="CN23" s="651">
        <v>-0.11016949152542342</v>
      </c>
      <c r="CO23" s="651">
        <v>-0.10600000000000033</v>
      </c>
      <c r="CP23" s="95">
        <v>-0.10835509138381202</v>
      </c>
      <c r="CQ23" s="651">
        <v>0.1043290043290043</v>
      </c>
      <c r="CR23" s="651">
        <v>-4.8098434004474236E-2</v>
      </c>
      <c r="CS23" s="95">
        <v>3.7823328452903857E-2</v>
      </c>
      <c r="CT23" s="651">
        <v>1.0843109368874955</v>
      </c>
      <c r="CU23" s="651">
        <v>0.1732801410105744</v>
      </c>
      <c r="CV23" s="95">
        <v>0.71972725135198645</v>
      </c>
      <c r="CW23" s="651">
        <v>0.16605416223785524</v>
      </c>
      <c r="CX23" s="651">
        <v>0.40115581834210157</v>
      </c>
      <c r="CY23" s="648">
        <v>0.2302433688815971</v>
      </c>
      <c r="CZ23" s="652">
        <v>0.27580645161290274</v>
      </c>
      <c r="DA23" s="652">
        <v>6.1472480343103035E-2</v>
      </c>
      <c r="DB23" s="648">
        <v>0.20915759057568353</v>
      </c>
      <c r="DC23" s="652">
        <v>0.1992414664981037</v>
      </c>
      <c r="DD23" s="652">
        <v>-0.17037037037037034</v>
      </c>
      <c r="DE23" s="678">
        <v>9.8345588235294115E-2</v>
      </c>
      <c r="DF23" s="648">
        <v>7.2738772928526249E-2</v>
      </c>
      <c r="DG23" s="648">
        <v>0.13433441558441556</v>
      </c>
      <c r="DH23" s="678">
        <v>8.5439330543932976E-2</v>
      </c>
      <c r="DI23" s="648">
        <f t="shared" si="21"/>
        <v>0.40015723270440268</v>
      </c>
      <c r="DJ23" s="648">
        <f t="shared" si="21"/>
        <v>0.12236135957066165</v>
      </c>
      <c r="DK23" s="678">
        <f t="shared" si="21"/>
        <v>0.34029758692467821</v>
      </c>
      <c r="DL23" s="648">
        <f t="shared" si="21"/>
        <v>0.18262212240314415</v>
      </c>
      <c r="DM23" s="648">
        <f t="shared" si="21"/>
        <v>-0.11061523748804589</v>
      </c>
      <c r="DN23" s="678">
        <f t="shared" si="21"/>
        <v>0.12970951970089156</v>
      </c>
      <c r="DO23" s="648">
        <f t="shared" si="21"/>
        <v>3.1454005934718102E-2</v>
      </c>
      <c r="DP23" s="648">
        <f t="shared" si="21"/>
        <v>5.0179211469534059E-2</v>
      </c>
      <c r="DQ23" s="678">
        <f t="shared" si="21"/>
        <v>3.4114052953156823E-2</v>
      </c>
      <c r="DR23" s="648">
        <f t="shared" si="21"/>
        <v>3.7974683544303799E-2</v>
      </c>
      <c r="DS23" s="648">
        <f t="shared" si="22"/>
        <v>0.10580204778157018</v>
      </c>
      <c r="DT23" s="678">
        <f t="shared" si="22"/>
        <v>4.7759724273756771E-2</v>
      </c>
      <c r="DU23" s="648">
        <f t="shared" si="22"/>
        <v>-7.926829268292683E-2</v>
      </c>
      <c r="DV23" s="648">
        <f t="shared" si="23"/>
        <v>0.55864197530864201</v>
      </c>
      <c r="DW23" s="678">
        <f t="shared" si="23"/>
        <v>1.7857142857142856E-2</v>
      </c>
      <c r="DX23" s="648">
        <f t="shared" si="22"/>
        <v>-9.0307043949428064E-3</v>
      </c>
      <c r="DY23" s="648">
        <f t="shared" si="22"/>
        <v>-0.28450232160623545</v>
      </c>
      <c r="DZ23" s="678">
        <f t="shared" si="22"/>
        <v>-7.3256543126107479E-2</v>
      </c>
      <c r="EA23" s="648">
        <f t="shared" si="22"/>
        <v>-1.7349027946537147E-2</v>
      </c>
      <c r="EB23" s="648">
        <f t="shared" si="22"/>
        <v>-5.690683910965548E-3</v>
      </c>
      <c r="EC23" s="678">
        <f t="shared" si="24"/>
        <v>-1.5250481946196407E-2</v>
      </c>
      <c r="ED23" s="648">
        <f t="shared" si="24"/>
        <v>-6.5658389612989502E-3</v>
      </c>
      <c r="EE23" s="648">
        <f t="shared" si="24"/>
        <v>-1.3812772862711892E-3</v>
      </c>
      <c r="EF23" s="678">
        <f t="shared" si="24"/>
        <v>-5.6235385014449411E-3</v>
      </c>
      <c r="EG23" s="648">
        <f t="shared" si="24"/>
        <v>1.7373700553978275E-2</v>
      </c>
      <c r="EH23" s="648">
        <f t="shared" si="24"/>
        <v>5.6176821698568861E-3</v>
      </c>
      <c r="EI23" s="678">
        <f t="shared" si="24"/>
        <v>1.5227914178919139E-2</v>
      </c>
      <c r="EJ23" s="648">
        <f t="shared" si="24"/>
        <v>2.6127824842644157E-2</v>
      </c>
      <c r="EK23" s="648">
        <f t="shared" si="24"/>
        <v>8.5470391703288458E-3</v>
      </c>
      <c r="EL23" s="678">
        <f t="shared" si="24"/>
        <v>2.2949239642006486E-2</v>
      </c>
      <c r="EM23" s="648">
        <f t="shared" si="25"/>
        <v>2.6226420272786526E-2</v>
      </c>
      <c r="EN23" s="648">
        <f t="shared" si="25"/>
        <v>8.7288445689957805E-3</v>
      </c>
      <c r="EO23" s="678">
        <f t="shared" si="25"/>
        <v>2.3107419132095911E-2</v>
      </c>
      <c r="EP23" s="648">
        <f t="shared" si="25"/>
        <v>2.6322858530371494E-2</v>
      </c>
      <c r="EQ23" s="648">
        <f t="shared" si="25"/>
        <v>8.9129104956913764E-3</v>
      </c>
      <c r="ER23" s="678">
        <f t="shared" si="25"/>
        <v>2.3263091695932599E-2</v>
      </c>
      <c r="ES23" s="648">
        <f t="shared" si="26"/>
        <v>2.6417168886899881E-2</v>
      </c>
      <c r="ET23" s="648">
        <f t="shared" si="26"/>
        <v>9.0991974778594914E-3</v>
      </c>
      <c r="EU23" s="678">
        <f t="shared" si="26"/>
        <v>2.3416250074160472E-2</v>
      </c>
      <c r="EV23" s="648">
        <f t="shared" si="26"/>
        <v>2.6509381154462133E-2</v>
      </c>
      <c r="EW23" s="648">
        <f t="shared" si="26"/>
        <v>9.2876631213460823E-3</v>
      </c>
      <c r="EX23" s="678">
        <f t="shared" si="26"/>
        <v>2.3566889400707981E-2</v>
      </c>
      <c r="EY23" s="648">
        <f t="shared" si="26"/>
        <v>2.6599525625755148E-2</v>
      </c>
      <c r="EZ23" s="648">
        <f t="shared" si="26"/>
        <v>9.4782621095373474E-3</v>
      </c>
      <c r="FA23" s="647">
        <f t="shared" si="26"/>
        <v>2.3715007132500892E-2</v>
      </c>
    </row>
    <row r="24" spans="1:158" ht="13.35" customHeight="1" outlineLevel="1">
      <c r="A24" s="760" t="s">
        <v>992</v>
      </c>
      <c r="B24" s="126"/>
      <c r="C24" s="3" t="str">
        <f>C19</f>
        <v>Vifor</v>
      </c>
      <c r="D24" s="178" t="str">
        <f>D23</f>
        <v>%</v>
      </c>
      <c r="E24" s="197"/>
      <c r="F24" s="197"/>
      <c r="G24" s="197"/>
      <c r="H24" s="197"/>
      <c r="I24" s="197"/>
      <c r="J24" s="197"/>
      <c r="K24" s="197"/>
      <c r="L24" s="197"/>
      <c r="M24" s="197"/>
      <c r="N24" s="197"/>
      <c r="O24" s="197"/>
      <c r="P24" s="197"/>
      <c r="Q24" s="197"/>
      <c r="R24" s="197"/>
      <c r="S24" s="197"/>
      <c r="T24" s="197"/>
      <c r="U24" s="197"/>
      <c r="V24" s="197"/>
      <c r="W24" s="197"/>
      <c r="X24" s="197"/>
      <c r="Y24" s="197"/>
      <c r="Z24" s="197"/>
      <c r="AA24" s="197"/>
      <c r="AB24" s="197"/>
      <c r="AC24" s="197"/>
      <c r="AD24" s="197"/>
      <c r="AE24" s="197"/>
      <c r="AF24" s="197"/>
      <c r="AG24" s="197"/>
      <c r="AH24" s="197"/>
      <c r="AI24" s="197"/>
      <c r="AJ24" s="197"/>
      <c r="AK24" s="197"/>
      <c r="AL24" s="197"/>
      <c r="AM24" s="197"/>
      <c r="AN24" s="197"/>
      <c r="AO24" s="197"/>
      <c r="AP24" s="197"/>
      <c r="AQ24" s="197"/>
      <c r="AR24" s="196"/>
      <c r="AS24" s="196"/>
      <c r="AT24" s="197"/>
      <c r="AU24" s="196"/>
      <c r="AV24" s="196"/>
      <c r="AW24" s="197"/>
      <c r="AX24" s="196"/>
      <c r="AY24" s="196"/>
      <c r="AZ24" s="197"/>
      <c r="BA24" s="196"/>
      <c r="BB24" s="196"/>
      <c r="BC24" s="197"/>
      <c r="BD24" s="196"/>
      <c r="BE24" s="196"/>
      <c r="BF24" s="197"/>
      <c r="BG24" s="196"/>
      <c r="BH24" s="196"/>
      <c r="BI24" s="197"/>
      <c r="BJ24" s="196"/>
      <c r="BK24" s="196"/>
      <c r="BL24" s="197"/>
      <c r="BM24" s="196"/>
      <c r="BN24" s="196"/>
      <c r="BO24" s="197"/>
      <c r="BP24" s="196"/>
      <c r="BQ24" s="196"/>
      <c r="BR24" s="197"/>
      <c r="BS24" s="196"/>
      <c r="BT24" s="196"/>
      <c r="BU24" s="199"/>
      <c r="BV24" s="206">
        <v>2.8994761904761903</v>
      </c>
      <c r="BW24" s="651">
        <v>0.35555384615384622</v>
      </c>
      <c r="BX24" s="95">
        <v>0.97674418604651159</v>
      </c>
      <c r="BY24" s="651">
        <v>1.355493411813604E-3</v>
      </c>
      <c r="BZ24" s="651">
        <v>-0.31911905535234986</v>
      </c>
      <c r="CA24" s="95">
        <v>-0.16474646521265232</v>
      </c>
      <c r="CB24" s="651">
        <v>-0.49893020005475436</v>
      </c>
      <c r="CC24" s="651">
        <v>-0.16293160256758477</v>
      </c>
      <c r="CD24" s="95">
        <v>-0.35696838897923128</v>
      </c>
      <c r="CE24" s="651">
        <v>0.21229387158531729</v>
      </c>
      <c r="CF24" s="651">
        <v>-0.13977012574885583</v>
      </c>
      <c r="CG24" s="95">
        <v>1.8658673051522068E-2</v>
      </c>
      <c r="CH24" s="651">
        <v>0.63520854989775455</v>
      </c>
      <c r="CI24" s="651">
        <v>0.3866052302242336</v>
      </c>
      <c r="CJ24" s="95">
        <v>0.51974219748424644</v>
      </c>
      <c r="CK24" s="651">
        <v>-0.11666560437958473</v>
      </c>
      <c r="CL24" s="651">
        <v>4.0929438651794547E-2</v>
      </c>
      <c r="CM24" s="95">
        <v>-4.9881364418032335E-2</v>
      </c>
      <c r="CN24" s="651">
        <v>0.40518296002613224</v>
      </c>
      <c r="CO24" s="651">
        <v>-0.3007449890616688</v>
      </c>
      <c r="CP24" s="95">
        <v>7.7438570364854631E-2</v>
      </c>
      <c r="CQ24" s="651">
        <v>-9.3966369930761628E-2</v>
      </c>
      <c r="CR24" s="651">
        <v>3.8990825688073799E-2</v>
      </c>
      <c r="CS24" s="95">
        <v>-5.3904630269523038E-2</v>
      </c>
      <c r="CT24" s="651">
        <v>-1</v>
      </c>
      <c r="CU24" s="651">
        <v>-1</v>
      </c>
      <c r="CV24" s="95" t="s">
        <v>309</v>
      </c>
      <c r="CW24" s="651" t="s">
        <v>187</v>
      </c>
      <c r="CX24" s="651" t="s">
        <v>187</v>
      </c>
      <c r="CY24" s="648" t="s">
        <v>187</v>
      </c>
      <c r="CZ24" s="652" t="s">
        <v>187</v>
      </c>
      <c r="DA24" s="652" t="s">
        <v>187</v>
      </c>
      <c r="DB24" s="648" t="s">
        <v>187</v>
      </c>
      <c r="DC24" s="652" t="s">
        <v>187</v>
      </c>
      <c r="DD24" s="652" t="s">
        <v>187</v>
      </c>
      <c r="DE24" s="678" t="s">
        <v>187</v>
      </c>
      <c r="DF24" s="648" t="s">
        <v>187</v>
      </c>
      <c r="DG24" s="648" t="s">
        <v>187</v>
      </c>
      <c r="DH24" s="678" t="s">
        <v>187</v>
      </c>
      <c r="DI24" s="648" t="str">
        <f t="shared" si="21"/>
        <v/>
      </c>
      <c r="DJ24" s="648" t="str">
        <f t="shared" si="21"/>
        <v/>
      </c>
      <c r="DK24" s="678" t="str">
        <f t="shared" si="21"/>
        <v/>
      </c>
      <c r="DL24" s="648" t="str">
        <f t="shared" si="21"/>
        <v/>
      </c>
      <c r="DM24" s="648" t="str">
        <f t="shared" si="21"/>
        <v/>
      </c>
      <c r="DN24" s="678" t="str">
        <f t="shared" si="21"/>
        <v/>
      </c>
      <c r="DO24" s="648" t="str">
        <f t="shared" si="21"/>
        <v/>
      </c>
      <c r="DP24" s="648" t="str">
        <f t="shared" si="21"/>
        <v/>
      </c>
      <c r="DQ24" s="678" t="str">
        <f t="shared" si="21"/>
        <v/>
      </c>
      <c r="DR24" s="648">
        <f t="shared" si="21"/>
        <v>0.13723284589426321</v>
      </c>
      <c r="DS24" s="648">
        <f t="shared" si="22"/>
        <v>-4.2727272727272725E-2</v>
      </c>
      <c r="DT24" s="678">
        <f t="shared" si="22"/>
        <v>3.7707390648567117E-2</v>
      </c>
      <c r="DU24" s="648">
        <f t="shared" si="22"/>
        <v>6.7260138476755688E-2</v>
      </c>
      <c r="DV24" s="648">
        <f t="shared" si="23"/>
        <v>9.686609686609686E-2</v>
      </c>
      <c r="DW24" s="678">
        <f t="shared" si="23"/>
        <v>8.2364341085271311E-2</v>
      </c>
      <c r="DX24" s="648">
        <f t="shared" si="22"/>
        <v>0.14550509731232622</v>
      </c>
      <c r="DY24" s="648">
        <f t="shared" si="22"/>
        <v>-3.7366873498046724E-2</v>
      </c>
      <c r="DZ24" s="678">
        <f t="shared" si="22"/>
        <v>5.095848751555776E-2</v>
      </c>
      <c r="EA24" s="648">
        <f t="shared" si="22"/>
        <v>1.9550752628469927E-2</v>
      </c>
      <c r="EB24" s="648">
        <f t="shared" si="22"/>
        <v>-3.0243902357834068E-2</v>
      </c>
      <c r="EC24" s="678">
        <f t="shared" si="24"/>
        <v>-4.0299522997365939E-3</v>
      </c>
      <c r="ED24" s="648">
        <f t="shared" si="24"/>
        <v>-4.828546095207018E-3</v>
      </c>
      <c r="EE24" s="648">
        <f t="shared" si="24"/>
        <v>3.8735786703233098E-2</v>
      </c>
      <c r="EF24" s="678">
        <f t="shared" si="24"/>
        <v>1.5258744597871987E-2</v>
      </c>
      <c r="EG24" s="648">
        <f t="shared" si="24"/>
        <v>3.9752509935080775E-2</v>
      </c>
      <c r="EH24" s="648">
        <f t="shared" si="24"/>
        <v>3.9017297256663273E-2</v>
      </c>
      <c r="EI24" s="678">
        <f t="shared" si="24"/>
        <v>3.9405667968066251E-2</v>
      </c>
      <c r="EJ24" s="648">
        <f t="shared" si="24"/>
        <v>4.0046877945946739E-2</v>
      </c>
      <c r="EK24" s="648">
        <f t="shared" si="24"/>
        <v>3.9298592580692099E-2</v>
      </c>
      <c r="EL24" s="678">
        <f t="shared" si="24"/>
        <v>3.9694000743908865E-2</v>
      </c>
      <c r="EM24" s="648">
        <f t="shared" si="25"/>
        <v>4.0341761822659403E-2</v>
      </c>
      <c r="EN24" s="648">
        <f t="shared" si="25"/>
        <v>3.957976649755638E-2</v>
      </c>
      <c r="EO24" s="678">
        <f t="shared" si="25"/>
        <v>3.9982555925598746E-2</v>
      </c>
      <c r="EP24" s="648">
        <f t="shared" si="25"/>
        <v>4.0637283026291035E-2</v>
      </c>
      <c r="EQ24" s="648">
        <f t="shared" si="25"/>
        <v>3.9860916537005998E-2</v>
      </c>
      <c r="ER24" s="678">
        <f t="shared" si="25"/>
        <v>4.0271444283617466E-2</v>
      </c>
      <c r="ES24" s="648">
        <f t="shared" si="26"/>
        <v>4.0933566641185276E-2</v>
      </c>
      <c r="ET24" s="648">
        <f t="shared" si="26"/>
        <v>4.0142143843613066E-2</v>
      </c>
      <c r="EU24" s="678">
        <f t="shared" si="26"/>
        <v>4.0560780250717222E-2</v>
      </c>
      <c r="EV24" s="648">
        <f t="shared" si="26"/>
        <v>4.1230741246421392E-2</v>
      </c>
      <c r="EW24" s="648">
        <f t="shared" si="26"/>
        <v>4.042355308139356E-2</v>
      </c>
      <c r="EX24" s="678">
        <f t="shared" si="26"/>
        <v>4.0850681811238562E-2</v>
      </c>
      <c r="EY24" s="648">
        <f t="shared" si="26"/>
        <v>4.152893878071677E-2</v>
      </c>
      <c r="EZ24" s="648">
        <f t="shared" si="26"/>
        <v>4.0705252335538601E-2</v>
      </c>
      <c r="FA24" s="647">
        <f t="shared" si="26"/>
        <v>4.1141270385682681E-2</v>
      </c>
    </row>
    <row r="25" spans="1:158" ht="13.35" customHeight="1" outlineLevel="1" thickBot="1">
      <c r="A25" s="760"/>
      <c r="B25" s="30" t="s">
        <v>456</v>
      </c>
      <c r="C25" s="30"/>
      <c r="D25" s="178" t="s">
        <v>507</v>
      </c>
      <c r="E25" s="197"/>
      <c r="F25" s="197"/>
      <c r="G25" s="197"/>
      <c r="H25" s="197"/>
      <c r="I25" s="197"/>
      <c r="J25" s="197"/>
      <c r="K25" s="197"/>
      <c r="L25" s="197"/>
      <c r="M25" s="197"/>
      <c r="N25" s="197"/>
      <c r="O25" s="197"/>
      <c r="P25" s="197"/>
      <c r="Q25" s="197"/>
      <c r="R25" s="197"/>
      <c r="S25" s="197"/>
      <c r="T25" s="197"/>
      <c r="U25" s="197"/>
      <c r="V25" s="197"/>
      <c r="W25" s="197"/>
      <c r="X25" s="197"/>
      <c r="Y25" s="197"/>
      <c r="Z25" s="197"/>
      <c r="AA25" s="197"/>
      <c r="AB25" s="197"/>
      <c r="AC25" s="197"/>
      <c r="AD25" s="197"/>
      <c r="AE25" s="197"/>
      <c r="AF25" s="197"/>
      <c r="AG25" s="197"/>
      <c r="AH25" s="197"/>
      <c r="AI25" s="197"/>
      <c r="AJ25" s="197"/>
      <c r="AK25" s="197"/>
      <c r="AL25" s="197"/>
      <c r="AM25" s="197"/>
      <c r="AN25" s="197"/>
      <c r="AO25" s="208"/>
      <c r="AP25" s="208"/>
      <c r="AQ25" s="197"/>
      <c r="AR25" s="196"/>
      <c r="AS25" s="196"/>
      <c r="AT25" s="197"/>
      <c r="AU25" s="196"/>
      <c r="AV25" s="196"/>
      <c r="AW25" s="197"/>
      <c r="AX25" s="196"/>
      <c r="AY25" s="196"/>
      <c r="AZ25" s="197"/>
      <c r="BA25" s="196"/>
      <c r="BB25" s="196"/>
      <c r="BC25" s="197"/>
      <c r="BD25" s="196"/>
      <c r="BE25" s="196"/>
      <c r="BF25" s="197"/>
      <c r="BG25" s="196"/>
      <c r="BH25" s="196"/>
      <c r="BI25" s="197"/>
      <c r="BJ25" s="196"/>
      <c r="BK25" s="196"/>
      <c r="BL25" s="197"/>
      <c r="BM25" s="196"/>
      <c r="BN25" s="196"/>
      <c r="BO25" s="197"/>
      <c r="BP25" s="196"/>
      <c r="BQ25" s="196"/>
      <c r="BR25" s="197"/>
      <c r="BS25" s="196"/>
      <c r="BT25" s="196"/>
      <c r="BU25" s="199"/>
      <c r="BV25" s="209" t="s">
        <v>187</v>
      </c>
      <c r="BW25" s="653" t="s">
        <v>187</v>
      </c>
      <c r="BX25" s="654" t="s">
        <v>187</v>
      </c>
      <c r="BY25" s="653">
        <v>0.15570289456696146</v>
      </c>
      <c r="BZ25" s="653">
        <v>-1.1853433851923983E-2</v>
      </c>
      <c r="CA25" s="654">
        <v>6.7749362263773399E-2</v>
      </c>
      <c r="CB25" s="653">
        <v>0.13428118078484194</v>
      </c>
      <c r="CC25" s="653">
        <v>0.13806661270217943</v>
      </c>
      <c r="CD25" s="654">
        <v>0.13612008850147364</v>
      </c>
      <c r="CE25" s="653">
        <v>-1.7376563515206198E-2</v>
      </c>
      <c r="CF25" s="653">
        <v>0.10644205979274471</v>
      </c>
      <c r="CG25" s="654">
        <v>4.2875775400577944E-2</v>
      </c>
      <c r="CH25" s="653">
        <v>0.13856332339519728</v>
      </c>
      <c r="CI25" s="653">
        <v>6.2758999464343962E-2</v>
      </c>
      <c r="CJ25" s="654">
        <v>9.9427181033735351E-2</v>
      </c>
      <c r="CK25" s="653">
        <v>7.3805856095757974E-2</v>
      </c>
      <c r="CL25" s="653">
        <v>6.3490332162260549E-2</v>
      </c>
      <c r="CM25" s="654">
        <v>6.8657795515494238E-2</v>
      </c>
      <c r="CN25" s="653">
        <v>4.8612634989704952E-2</v>
      </c>
      <c r="CO25" s="653">
        <v>0.1101272478398141</v>
      </c>
      <c r="CP25" s="654">
        <v>7.9163642782887747E-2</v>
      </c>
      <c r="CQ25" s="653">
        <v>5.5332590115199025E-2</v>
      </c>
      <c r="CR25" s="653">
        <v>-1.4088014514923209E-2</v>
      </c>
      <c r="CS25" s="654">
        <v>1.9865864519530152E-2</v>
      </c>
      <c r="CT25" s="653">
        <v>0.10416131553927964</v>
      </c>
      <c r="CU25" s="653">
        <v>7.5160495074513931E-2</v>
      </c>
      <c r="CV25" s="654">
        <v>8.9838180781294588E-2</v>
      </c>
      <c r="CW25" s="653">
        <v>0.17246259163465644</v>
      </c>
      <c r="CX25" s="653">
        <v>8.9511481752126643E-2</v>
      </c>
      <c r="CY25" s="650">
        <v>0.13204585220675974</v>
      </c>
      <c r="CZ25" s="655">
        <v>0.12787446281719209</v>
      </c>
      <c r="DA25" s="655">
        <v>0.16081986798896994</v>
      </c>
      <c r="DB25" s="650">
        <v>0.14332351071820648</v>
      </c>
      <c r="DC25" s="655">
        <v>8.6376044522799969E-2</v>
      </c>
      <c r="DD25" s="655">
        <v>7.0250664091283652E-2</v>
      </c>
      <c r="DE25" s="679">
        <v>7.8698673404927533E-2</v>
      </c>
      <c r="DF25" s="650">
        <v>9.0088886335625284E-2</v>
      </c>
      <c r="DG25" s="650">
        <v>5.1367699533176422E-2</v>
      </c>
      <c r="DH25" s="679">
        <v>7.1797922691994406E-2</v>
      </c>
      <c r="DI25" s="650">
        <f t="shared" si="21"/>
        <v>0.16884025190322591</v>
      </c>
      <c r="DJ25" s="650">
        <f t="shared" si="21"/>
        <v>7.8364052902408221E-2</v>
      </c>
      <c r="DK25" s="679">
        <f t="shared" si="21"/>
        <v>0.12691612826674378</v>
      </c>
      <c r="DL25" s="650">
        <f t="shared" si="21"/>
        <v>5.2520657246640561E-2</v>
      </c>
      <c r="DM25" s="650">
        <f t="shared" si="21"/>
        <v>-1.1231332439273154E-2</v>
      </c>
      <c r="DN25" s="679">
        <f t="shared" si="21"/>
        <v>2.4252519605303124E-2</v>
      </c>
      <c r="DO25" s="650">
        <f t="shared" si="21"/>
        <v>0.18916771502350513</v>
      </c>
      <c r="DP25" s="650">
        <f t="shared" si="21"/>
        <v>0.3549500132708131</v>
      </c>
      <c r="DQ25" s="679">
        <f t="shared" si="21"/>
        <v>0.26013027342270678</v>
      </c>
      <c r="DR25" s="650">
        <f t="shared" si="21"/>
        <v>0.12096325167037862</v>
      </c>
      <c r="DS25" s="650">
        <f t="shared" si="22"/>
        <v>0.10137120470127327</v>
      </c>
      <c r="DT25" s="679">
        <f t="shared" si="22"/>
        <v>0.11194590533433509</v>
      </c>
      <c r="DU25" s="650">
        <f t="shared" si="22"/>
        <v>5.3396249844778344E-2</v>
      </c>
      <c r="DV25" s="650">
        <f t="shared" si="23"/>
        <v>4.8614198903216242E-2</v>
      </c>
      <c r="DW25" s="679">
        <f t="shared" si="23"/>
        <v>5.1216216216216214E-2</v>
      </c>
      <c r="DX25" s="650">
        <f t="shared" si="22"/>
        <v>-1.7800306495343629E-2</v>
      </c>
      <c r="DY25" s="650">
        <f t="shared" si="22"/>
        <v>7.2987597861239359E-2</v>
      </c>
      <c r="DZ25" s="679">
        <f t="shared" si="22"/>
        <v>2.3485490093088344E-2</v>
      </c>
      <c r="EA25" s="650">
        <f t="shared" si="22"/>
        <v>6.4925597718100664E-2</v>
      </c>
      <c r="EB25" s="650">
        <f t="shared" si="22"/>
        <v>4.0432760100205196E-2</v>
      </c>
      <c r="EC25" s="679">
        <f t="shared" si="24"/>
        <v>5.3248772156302894E-2</v>
      </c>
      <c r="ED25" s="650">
        <f t="shared" si="24"/>
        <v>4.5025453088672007E-2</v>
      </c>
      <c r="EE25" s="650">
        <f t="shared" si="24"/>
        <v>6.248015901498357E-2</v>
      </c>
      <c r="EF25" s="679">
        <f t="shared" si="24"/>
        <v>5.3245632232949897E-2</v>
      </c>
      <c r="EG25" s="650">
        <f t="shared" si="24"/>
        <v>5.7101592093489466E-2</v>
      </c>
      <c r="EH25" s="650">
        <f t="shared" si="24"/>
        <v>6.5158073393915814E-2</v>
      </c>
      <c r="EI25" s="679">
        <f t="shared" si="24"/>
        <v>6.0929004949689218E-2</v>
      </c>
      <c r="EJ25" s="650">
        <f t="shared" si="24"/>
        <v>5.7902711376158593E-2</v>
      </c>
      <c r="EK25" s="650">
        <f t="shared" si="24"/>
        <v>6.6582932311310877E-2</v>
      </c>
      <c r="EL25" s="679">
        <f t="shared" si="24"/>
        <v>6.2042883794962353E-2</v>
      </c>
      <c r="EM25" s="650">
        <f t="shared" si="25"/>
        <v>5.3715560270148219E-2</v>
      </c>
      <c r="EN25" s="650">
        <f t="shared" si="25"/>
        <v>5.4929069488264558E-2</v>
      </c>
      <c r="EO25" s="679">
        <f t="shared" si="25"/>
        <v>5.4296837491729234E-2</v>
      </c>
      <c r="EP25" s="650">
        <f t="shared" si="25"/>
        <v>5.305133767905508E-2</v>
      </c>
      <c r="EQ25" s="650">
        <f t="shared" si="25"/>
        <v>5.806962606057306E-2</v>
      </c>
      <c r="ER25" s="679">
        <f t="shared" si="25"/>
        <v>5.5456565374371783E-2</v>
      </c>
      <c r="ES25" s="650">
        <f t="shared" si="26"/>
        <v>5.4491467291921968E-2</v>
      </c>
      <c r="ET25" s="650">
        <f t="shared" si="26"/>
        <v>5.8420618889315802E-2</v>
      </c>
      <c r="EU25" s="679">
        <f t="shared" si="26"/>
        <v>5.6379342346715065E-2</v>
      </c>
      <c r="EV25" s="650">
        <f t="shared" si="26"/>
        <v>5.4877294560598151E-2</v>
      </c>
      <c r="EW25" s="650">
        <f t="shared" si="26"/>
        <v>5.8761818202321826E-2</v>
      </c>
      <c r="EX25" s="679">
        <f t="shared" si="26"/>
        <v>5.6747333385757388E-2</v>
      </c>
      <c r="EY25" s="650">
        <f t="shared" si="26"/>
        <v>5.525641135798208E-2</v>
      </c>
      <c r="EZ25" s="650">
        <f t="shared" si="26"/>
        <v>5.9093474363041736E-2</v>
      </c>
      <c r="FA25" s="649">
        <f t="shared" si="26"/>
        <v>5.7107123589512782E-2</v>
      </c>
    </row>
    <row r="26" spans="1:158" ht="13.35" customHeight="1" outlineLevel="1" thickTop="1">
      <c r="A26" s="760"/>
      <c r="B26" s="30"/>
      <c r="C26" s="30"/>
      <c r="D26" s="178"/>
      <c r="E26" s="197"/>
      <c r="F26" s="197"/>
      <c r="G26" s="197"/>
      <c r="H26" s="197"/>
      <c r="I26" s="197"/>
      <c r="J26" s="197"/>
      <c r="K26" s="197"/>
      <c r="L26" s="197"/>
      <c r="M26" s="197"/>
      <c r="N26" s="197"/>
      <c r="O26" s="197"/>
      <c r="P26" s="197"/>
      <c r="Q26" s="197"/>
      <c r="R26" s="197"/>
      <c r="S26" s="197"/>
      <c r="T26" s="197"/>
      <c r="U26" s="197"/>
      <c r="V26" s="197"/>
      <c r="W26" s="197"/>
      <c r="X26" s="197"/>
      <c r="Y26" s="197"/>
      <c r="Z26" s="197"/>
      <c r="AA26" s="197"/>
      <c r="AB26" s="197"/>
      <c r="AC26" s="197"/>
      <c r="AD26" s="197"/>
      <c r="AE26" s="197"/>
      <c r="AF26" s="197"/>
      <c r="AG26" s="197"/>
      <c r="AH26" s="197"/>
      <c r="AI26" s="197"/>
      <c r="AJ26" s="197"/>
      <c r="AK26" s="197"/>
      <c r="AL26" s="197"/>
      <c r="AM26" s="197"/>
      <c r="AN26" s="197"/>
      <c r="AO26" s="197"/>
      <c r="AP26" s="197"/>
      <c r="AQ26" s="197"/>
      <c r="AR26" s="196"/>
      <c r="AS26" s="196"/>
      <c r="AT26" s="197"/>
      <c r="AU26" s="196"/>
      <c r="AV26" s="196"/>
      <c r="AW26" s="197"/>
      <c r="AX26" s="196"/>
      <c r="AY26" s="196"/>
      <c r="AZ26" s="197"/>
      <c r="BA26" s="196"/>
      <c r="BB26" s="196"/>
      <c r="BC26" s="197"/>
      <c r="BD26" s="196"/>
      <c r="BE26" s="196"/>
      <c r="BF26" s="197"/>
      <c r="BG26" s="196"/>
      <c r="BH26" s="196"/>
      <c r="BI26" s="197"/>
      <c r="BJ26" s="196"/>
      <c r="BK26" s="196"/>
      <c r="BL26" s="197"/>
      <c r="BM26" s="196"/>
      <c r="BN26" s="196"/>
      <c r="BO26" s="197"/>
      <c r="BP26" s="196"/>
      <c r="BQ26" s="196"/>
      <c r="BR26" s="197"/>
      <c r="BS26" s="196"/>
      <c r="BT26" s="196"/>
      <c r="BU26" s="199"/>
      <c r="BV26" s="196"/>
      <c r="BW26" s="264"/>
      <c r="BX26" s="82"/>
      <c r="BY26" s="264"/>
      <c r="BZ26" s="264"/>
      <c r="CA26" s="82"/>
      <c r="CB26" s="264"/>
      <c r="CC26" s="264"/>
      <c r="CD26" s="82"/>
      <c r="CE26" s="264"/>
      <c r="CF26" s="264"/>
      <c r="CG26" s="82"/>
      <c r="CH26" s="264"/>
      <c r="CI26" s="264"/>
      <c r="CJ26" s="82"/>
      <c r="CK26" s="264"/>
      <c r="CL26" s="264"/>
      <c r="CM26" s="82"/>
      <c r="CN26" s="264"/>
      <c r="CO26" s="264"/>
      <c r="CP26" s="82"/>
      <c r="CQ26" s="264"/>
      <c r="CR26" s="264"/>
      <c r="CS26" s="82"/>
      <c r="CT26" s="264"/>
      <c r="CU26" s="264"/>
      <c r="CV26" s="82"/>
      <c r="CW26" s="264"/>
      <c r="CX26" s="264"/>
      <c r="CY26" s="562"/>
      <c r="CZ26" s="526"/>
      <c r="DA26" s="526"/>
      <c r="DB26" s="562"/>
      <c r="DC26" s="526"/>
      <c r="DD26" s="526"/>
      <c r="DE26" s="678"/>
      <c r="DF26" s="562"/>
      <c r="DG26" s="562"/>
      <c r="DH26" s="678"/>
      <c r="DI26" s="562"/>
      <c r="DJ26" s="562"/>
      <c r="DK26" s="678"/>
      <c r="DL26" s="562"/>
      <c r="DM26" s="562"/>
      <c r="DN26" s="678"/>
      <c r="DO26" s="562"/>
      <c r="DP26" s="562"/>
      <c r="DQ26" s="678"/>
      <c r="DR26" s="562"/>
      <c r="DS26" s="562"/>
      <c r="DT26" s="678"/>
      <c r="DU26" s="562"/>
      <c r="DV26" s="562"/>
      <c r="DW26" s="678"/>
      <c r="DX26" s="562"/>
      <c r="DY26" s="562"/>
      <c r="DZ26" s="678"/>
      <c r="EA26" s="562"/>
      <c r="EB26" s="562"/>
      <c r="EC26" s="678"/>
      <c r="ED26" s="562"/>
      <c r="EE26" s="562"/>
      <c r="EF26" s="678"/>
      <c r="EG26" s="562"/>
      <c r="EH26" s="562"/>
      <c r="EI26" s="678"/>
      <c r="EJ26" s="562"/>
      <c r="EK26" s="562"/>
      <c r="EL26" s="678"/>
      <c r="EM26" s="562"/>
      <c r="EN26" s="562"/>
      <c r="EO26" s="678"/>
      <c r="EP26" s="562"/>
      <c r="EQ26" s="562"/>
      <c r="ER26" s="678"/>
      <c r="ES26" s="562"/>
      <c r="ET26" s="562"/>
      <c r="EU26" s="678"/>
      <c r="EV26" s="562"/>
      <c r="EW26" s="562"/>
      <c r="EX26" s="678"/>
      <c r="EY26" s="562"/>
      <c r="EZ26" s="562"/>
      <c r="FA26" s="563"/>
    </row>
    <row r="27" spans="1:158" ht="13.35" customHeight="1" outlineLevel="1">
      <c r="A27" s="1016"/>
      <c r="B27" s="173" t="s">
        <v>38</v>
      </c>
      <c r="C27" s="173"/>
      <c r="D27" s="220"/>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1"/>
      <c r="AI27" s="221"/>
      <c r="AJ27" s="221"/>
      <c r="AK27" s="221"/>
      <c r="AL27" s="221"/>
      <c r="AM27" s="221"/>
      <c r="AN27" s="221"/>
      <c r="AO27" s="222"/>
      <c r="AP27" s="222"/>
      <c r="AQ27" s="221"/>
      <c r="AR27" s="221"/>
      <c r="AS27" s="221"/>
      <c r="AT27" s="221"/>
      <c r="AU27" s="221"/>
      <c r="AV27" s="221"/>
      <c r="AW27" s="221"/>
      <c r="AX27" s="221"/>
      <c r="AY27" s="221"/>
      <c r="AZ27" s="221"/>
      <c r="BA27" s="221"/>
      <c r="BB27" s="221"/>
      <c r="BC27" s="221"/>
      <c r="BD27" s="221"/>
      <c r="BE27" s="221"/>
      <c r="BF27" s="221"/>
      <c r="BG27" s="221"/>
      <c r="BH27" s="221"/>
      <c r="BI27" s="221"/>
      <c r="BJ27" s="221"/>
      <c r="BK27" s="221"/>
      <c r="BL27" s="221"/>
      <c r="BM27" s="222"/>
      <c r="BN27" s="222"/>
      <c r="BO27" s="222"/>
      <c r="BP27" s="222"/>
      <c r="BQ27" s="222"/>
      <c r="BR27" s="222"/>
      <c r="BS27" s="222"/>
      <c r="BT27" s="222"/>
      <c r="BU27" s="223"/>
      <c r="BV27" s="222" t="str">
        <f t="shared" ref="BV27:DA27" si="27">+BV5</f>
        <v>1h08</v>
      </c>
      <c r="BW27" s="222" t="str">
        <f t="shared" si="27"/>
        <v>2h08</v>
      </c>
      <c r="BX27" s="222" t="str">
        <f t="shared" si="27"/>
        <v>2008</v>
      </c>
      <c r="BY27" s="222" t="str">
        <f t="shared" si="27"/>
        <v>1h09</v>
      </c>
      <c r="BZ27" s="222" t="str">
        <f t="shared" si="27"/>
        <v>2h09</v>
      </c>
      <c r="CA27" s="222" t="str">
        <f t="shared" si="27"/>
        <v>2009</v>
      </c>
      <c r="CB27" s="222" t="str">
        <f t="shared" si="27"/>
        <v>1h10</v>
      </c>
      <c r="CC27" s="222" t="str">
        <f t="shared" si="27"/>
        <v>2h10</v>
      </c>
      <c r="CD27" s="222" t="str">
        <f t="shared" si="27"/>
        <v>2010</v>
      </c>
      <c r="CE27" s="222" t="str">
        <f t="shared" si="27"/>
        <v>1h11</v>
      </c>
      <c r="CF27" s="222" t="str">
        <f t="shared" si="27"/>
        <v>2h11</v>
      </c>
      <c r="CG27" s="222" t="str">
        <f t="shared" si="27"/>
        <v>2011</v>
      </c>
      <c r="CH27" s="222" t="str">
        <f t="shared" si="27"/>
        <v>1h12</v>
      </c>
      <c r="CI27" s="222" t="str">
        <f t="shared" si="27"/>
        <v>2h12</v>
      </c>
      <c r="CJ27" s="222" t="str">
        <f t="shared" si="27"/>
        <v>2012</v>
      </c>
      <c r="CK27" s="222" t="str">
        <f t="shared" si="27"/>
        <v>1h13</v>
      </c>
      <c r="CL27" s="222" t="str">
        <f t="shared" si="27"/>
        <v>2h13</v>
      </c>
      <c r="CM27" s="222" t="str">
        <f t="shared" si="27"/>
        <v>2013</v>
      </c>
      <c r="CN27" s="222" t="str">
        <f t="shared" si="27"/>
        <v>1h14</v>
      </c>
      <c r="CO27" s="222" t="str">
        <f t="shared" si="27"/>
        <v>2h14</v>
      </c>
      <c r="CP27" s="222" t="str">
        <f t="shared" si="27"/>
        <v>2014</v>
      </c>
      <c r="CQ27" s="222" t="str">
        <f t="shared" si="27"/>
        <v>1h15</v>
      </c>
      <c r="CR27" s="222" t="str">
        <f t="shared" si="27"/>
        <v>2h15</v>
      </c>
      <c r="CS27" s="222" t="str">
        <f t="shared" si="27"/>
        <v>2015</v>
      </c>
      <c r="CT27" s="222" t="str">
        <f t="shared" si="27"/>
        <v>1h16</v>
      </c>
      <c r="CU27" s="222" t="str">
        <f t="shared" si="27"/>
        <v>2h16</v>
      </c>
      <c r="CV27" s="222" t="str">
        <f t="shared" si="27"/>
        <v>2016</v>
      </c>
      <c r="CW27" s="222" t="str">
        <f t="shared" si="27"/>
        <v>1h17</v>
      </c>
      <c r="CX27" s="222" t="str">
        <f t="shared" si="27"/>
        <v>2h17</v>
      </c>
      <c r="CY27" s="222" t="str">
        <f t="shared" si="27"/>
        <v>2017</v>
      </c>
      <c r="CZ27" s="222" t="str">
        <f t="shared" si="27"/>
        <v>1h18</v>
      </c>
      <c r="DA27" s="222" t="str">
        <f t="shared" si="27"/>
        <v>2h18</v>
      </c>
      <c r="DB27" s="222" t="str">
        <f t="shared" ref="DB27:EG27" si="28">+DB5</f>
        <v>2018</v>
      </c>
      <c r="DC27" s="222" t="str">
        <f t="shared" si="28"/>
        <v>1h19</v>
      </c>
      <c r="DD27" s="222" t="str">
        <f t="shared" si="28"/>
        <v>2h19</v>
      </c>
      <c r="DE27" s="682" t="str">
        <f t="shared" si="28"/>
        <v>2019</v>
      </c>
      <c r="DF27" s="222" t="str">
        <f t="shared" si="28"/>
        <v>1h20</v>
      </c>
      <c r="DG27" s="222" t="str">
        <f t="shared" si="28"/>
        <v>2h20</v>
      </c>
      <c r="DH27" s="682" t="str">
        <f t="shared" si="28"/>
        <v>2020</v>
      </c>
      <c r="DI27" s="222" t="str">
        <f t="shared" si="28"/>
        <v>1h21</v>
      </c>
      <c r="DJ27" s="222" t="str">
        <f t="shared" si="28"/>
        <v>2h21</v>
      </c>
      <c r="DK27" s="682" t="str">
        <f t="shared" si="28"/>
        <v>2021</v>
      </c>
      <c r="DL27" s="222" t="str">
        <f t="shared" si="28"/>
        <v>1h22</v>
      </c>
      <c r="DM27" s="222" t="str">
        <f t="shared" si="28"/>
        <v>2h22</v>
      </c>
      <c r="DN27" s="682" t="str">
        <f t="shared" si="28"/>
        <v>2022</v>
      </c>
      <c r="DO27" s="222" t="str">
        <f t="shared" si="28"/>
        <v>1h23</v>
      </c>
      <c r="DP27" s="222" t="str">
        <f t="shared" si="28"/>
        <v>2h23</v>
      </c>
      <c r="DQ27" s="682" t="str">
        <f t="shared" si="28"/>
        <v>2023</v>
      </c>
      <c r="DR27" s="222" t="str">
        <f t="shared" si="28"/>
        <v>1h24</v>
      </c>
      <c r="DS27" s="222" t="str">
        <f t="shared" si="28"/>
        <v>2h24</v>
      </c>
      <c r="DT27" s="682" t="str">
        <f t="shared" si="28"/>
        <v>2024</v>
      </c>
      <c r="DU27" s="222" t="str">
        <f t="shared" si="28"/>
        <v>1h25</v>
      </c>
      <c r="DV27" s="222" t="str">
        <f t="shared" si="28"/>
        <v>2h25</v>
      </c>
      <c r="DW27" s="682" t="str">
        <f t="shared" si="28"/>
        <v>2025</v>
      </c>
      <c r="DX27" s="222" t="str">
        <f t="shared" ref="DX27" si="29">+DX5</f>
        <v>1h26</v>
      </c>
      <c r="DY27" s="222" t="str">
        <f t="shared" si="28"/>
        <v>2h26E</v>
      </c>
      <c r="DZ27" s="682" t="str">
        <f t="shared" si="28"/>
        <v>2026E</v>
      </c>
      <c r="EA27" s="222" t="str">
        <f t="shared" si="28"/>
        <v>1h27E</v>
      </c>
      <c r="EB27" s="222" t="str">
        <f t="shared" si="28"/>
        <v>2h27E</v>
      </c>
      <c r="EC27" s="682" t="str">
        <f t="shared" si="28"/>
        <v>2027E</v>
      </c>
      <c r="ED27" s="222" t="str">
        <f t="shared" si="28"/>
        <v>1h28E</v>
      </c>
      <c r="EE27" s="222" t="str">
        <f t="shared" si="28"/>
        <v>2h28E</v>
      </c>
      <c r="EF27" s="682" t="str">
        <f t="shared" si="28"/>
        <v>2028E</v>
      </c>
      <c r="EG27" s="222" t="str">
        <f t="shared" si="28"/>
        <v>1h29E</v>
      </c>
      <c r="EH27" s="222" t="str">
        <f t="shared" ref="EH27:FA27" si="30">+EH5</f>
        <v>2h29E</v>
      </c>
      <c r="EI27" s="682" t="str">
        <f t="shared" si="30"/>
        <v>2029E</v>
      </c>
      <c r="EJ27" s="222" t="str">
        <f t="shared" si="30"/>
        <v>1h30E</v>
      </c>
      <c r="EK27" s="222" t="str">
        <f t="shared" si="30"/>
        <v>2h30E</v>
      </c>
      <c r="EL27" s="682" t="str">
        <f t="shared" si="30"/>
        <v>2030E</v>
      </c>
      <c r="EM27" s="222" t="str">
        <f t="shared" si="30"/>
        <v>1h31E</v>
      </c>
      <c r="EN27" s="222" t="str">
        <f t="shared" si="30"/>
        <v>2h31E</v>
      </c>
      <c r="EO27" s="682" t="str">
        <f t="shared" si="30"/>
        <v>2031E</v>
      </c>
      <c r="EP27" s="222" t="str">
        <f t="shared" si="30"/>
        <v>1h32E</v>
      </c>
      <c r="EQ27" s="222" t="str">
        <f t="shared" si="30"/>
        <v>2h32E</v>
      </c>
      <c r="ER27" s="682" t="str">
        <f t="shared" si="30"/>
        <v>2032E</v>
      </c>
      <c r="ES27" s="222" t="str">
        <f t="shared" si="30"/>
        <v>1h33E</v>
      </c>
      <c r="ET27" s="222" t="str">
        <f t="shared" si="30"/>
        <v>2h33E</v>
      </c>
      <c r="EU27" s="682" t="str">
        <f t="shared" si="30"/>
        <v>2033E</v>
      </c>
      <c r="EV27" s="222" t="str">
        <f t="shared" si="30"/>
        <v>1h34E</v>
      </c>
      <c r="EW27" s="222" t="str">
        <f t="shared" si="30"/>
        <v>2h34E</v>
      </c>
      <c r="EX27" s="682" t="str">
        <f t="shared" si="30"/>
        <v>2034E</v>
      </c>
      <c r="EY27" s="222" t="str">
        <f t="shared" si="30"/>
        <v>1h35E</v>
      </c>
      <c r="EZ27" s="222" t="str">
        <f t="shared" si="30"/>
        <v>2h35E</v>
      </c>
      <c r="FA27" s="222" t="str">
        <f t="shared" si="30"/>
        <v>2035E</v>
      </c>
    </row>
    <row r="28" spans="1:158" ht="13.35" customHeight="1" outlineLevel="1">
      <c r="A28" s="760" t="s">
        <v>974</v>
      </c>
      <c r="B28" s="5"/>
      <c r="C28" s="126" t="str">
        <f>C6</f>
        <v>CSL Behring</v>
      </c>
      <c r="D28" s="178" t="s">
        <v>357</v>
      </c>
      <c r="E28" s="8"/>
      <c r="F28" s="8"/>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179"/>
      <c r="AS28" s="179"/>
      <c r="AT28" s="8"/>
      <c r="AU28" s="179"/>
      <c r="AV28" s="179"/>
      <c r="AW28" s="8"/>
      <c r="AX28" s="179"/>
      <c r="AY28" s="179"/>
      <c r="AZ28" s="8"/>
      <c r="BA28" s="179"/>
      <c r="BB28" s="179"/>
      <c r="BC28" s="8"/>
      <c r="BD28" s="179"/>
      <c r="BE28" s="179"/>
      <c r="BF28" s="8"/>
      <c r="BG28" s="179"/>
      <c r="BH28" s="179"/>
      <c r="BI28" s="8"/>
      <c r="BJ28" s="179"/>
      <c r="BK28" s="179"/>
      <c r="BL28" s="8"/>
      <c r="BM28" s="179"/>
      <c r="BN28" s="179"/>
      <c r="BO28" s="84"/>
      <c r="BP28" s="179"/>
      <c r="BQ28" s="179"/>
      <c r="BR28" s="84"/>
      <c r="BS28" s="179"/>
      <c r="BT28" s="179"/>
      <c r="BU28" s="190"/>
      <c r="BV28" s="181">
        <v>568.10957812500044</v>
      </c>
      <c r="BW28" s="181">
        <v>702.61042187499936</v>
      </c>
      <c r="BX28" s="87">
        <v>1270.7199999999998</v>
      </c>
      <c r="BY28" s="181">
        <v>850.40244968789102</v>
      </c>
      <c r="BZ28" s="181">
        <v>739.19755031210889</v>
      </c>
      <c r="CA28" s="87">
        <v>1589.6</v>
      </c>
      <c r="CB28" s="181">
        <v>912.45838647659252</v>
      </c>
      <c r="CC28" s="181">
        <v>851.72161352340731</v>
      </c>
      <c r="CD28" s="87">
        <v>1764.1799999999998</v>
      </c>
      <c r="CE28" s="181">
        <v>962.81643386113751</v>
      </c>
      <c r="CF28" s="181">
        <v>1033.5635661388626</v>
      </c>
      <c r="CG28" s="87">
        <v>1996.38</v>
      </c>
      <c r="CH28" s="181">
        <v>1096.0583853507824</v>
      </c>
      <c r="CI28" s="181">
        <v>1172.0156949425918</v>
      </c>
      <c r="CJ28" s="87">
        <v>2268.0740802933742</v>
      </c>
      <c r="CK28" s="181">
        <v>1293.641762520522</v>
      </c>
      <c r="CL28" s="181">
        <v>1375.319449859026</v>
      </c>
      <c r="CM28" s="87">
        <v>2668.9612123795478</v>
      </c>
      <c r="CN28" s="181">
        <v>1405.4163000000003</v>
      </c>
      <c r="CO28" s="181">
        <v>1515.9880885072644</v>
      </c>
      <c r="CP28" s="87">
        <v>2921.4043885072647</v>
      </c>
      <c r="CQ28" s="181">
        <v>1462.8120000000001</v>
      </c>
      <c r="CR28" s="181">
        <v>1585.6357000000005</v>
      </c>
      <c r="CS28" s="87">
        <v>3048.4477000000006</v>
      </c>
      <c r="CT28" s="181">
        <v>1383.3999999999999</v>
      </c>
      <c r="CU28" s="181">
        <v>1551.1000000000004</v>
      </c>
      <c r="CV28" s="87">
        <v>2934.5</v>
      </c>
      <c r="CW28" s="181" t="e">
        <v>#DIV/0!</v>
      </c>
      <c r="CX28" s="181" t="e">
        <v>#DIV/0!</v>
      </c>
      <c r="CY28" s="512">
        <f>CY38*CY6</f>
        <v>3401.70369150131</v>
      </c>
      <c r="CZ28" s="500">
        <v>1979.5</v>
      </c>
      <c r="DA28" s="500">
        <v>1913.5</v>
      </c>
      <c r="DB28" s="512">
        <v>3893</v>
      </c>
      <c r="DC28" s="500">
        <v>2117.3000000000002</v>
      </c>
      <c r="DD28" s="500">
        <v>2077.8000000000002</v>
      </c>
      <c r="DE28" s="674">
        <v>4195.1000000000004</v>
      </c>
      <c r="DF28" s="645">
        <v>2278.1</v>
      </c>
      <c r="DG28" s="645">
        <v>2262.2000000000003</v>
      </c>
      <c r="DH28" s="674">
        <v>4540.3</v>
      </c>
      <c r="DI28" s="645">
        <f>DI394</f>
        <v>2539.1</v>
      </c>
      <c r="DJ28" s="645">
        <f>DJ394</f>
        <v>2308.5000000000005</v>
      </c>
      <c r="DK28" s="674">
        <f>SUM(DI28:DJ28)</f>
        <v>4847.6000000000004</v>
      </c>
      <c r="DL28" s="645">
        <f>DL394</f>
        <v>2352.1999999999998</v>
      </c>
      <c r="DM28" s="645">
        <f>DM394</f>
        <v>2227.6999999999998</v>
      </c>
      <c r="DN28" s="674">
        <f>SUM(DL28:DM28)</f>
        <v>4579.8999999999996</v>
      </c>
      <c r="DO28" s="645">
        <f>DO394</f>
        <v>2231</v>
      </c>
      <c r="DP28" s="645">
        <f>DP394</f>
        <v>2330</v>
      </c>
      <c r="DQ28" s="674">
        <f>SUM(DO28:DP28)</f>
        <v>4561</v>
      </c>
      <c r="DR28" s="645">
        <f>DR394</f>
        <v>2617</v>
      </c>
      <c r="DS28" s="645">
        <f>DS394</f>
        <v>2658</v>
      </c>
      <c r="DT28" s="674">
        <f>SUM(DR28:DS28)</f>
        <v>5275</v>
      </c>
      <c r="DU28" s="645">
        <f>DU394</f>
        <v>2937</v>
      </c>
      <c r="DV28" s="645">
        <f>DV394</f>
        <v>2704</v>
      </c>
      <c r="DW28" s="674">
        <f>SUM(DU28:DV28)</f>
        <v>5641</v>
      </c>
      <c r="DX28" s="645">
        <f>DX394</f>
        <v>2788</v>
      </c>
      <c r="DY28" s="645">
        <f>DY394</f>
        <v>3071.34627241717</v>
      </c>
      <c r="DZ28" s="674">
        <f>SUM(DX28:DY28)</f>
        <v>5859.3462724171695</v>
      </c>
      <c r="EA28" s="645">
        <f>EA394</f>
        <v>3087.6062027182893</v>
      </c>
      <c r="EB28" s="645">
        <f>EB394</f>
        <v>3424.2467997153976</v>
      </c>
      <c r="EC28" s="674">
        <f>SUM(EA28:EB28)</f>
        <v>6511.8530024336869</v>
      </c>
      <c r="ED28" s="645">
        <f>ED394</f>
        <v>3430.1875611309019</v>
      </c>
      <c r="EE28" s="645">
        <f>EE394</f>
        <v>3733.0537818046346</v>
      </c>
      <c r="EF28" s="674">
        <f>SUM(ED28:EE28)</f>
        <v>7163.2413429355365</v>
      </c>
      <c r="EG28" s="645">
        <f>EG394</f>
        <v>3740.4815972640531</v>
      </c>
      <c r="EH28" s="645">
        <f>EH394</f>
        <v>4077.7786990596105</v>
      </c>
      <c r="EI28" s="674">
        <f>SUM(EG28:EH28)</f>
        <v>7818.2602963236641</v>
      </c>
      <c r="EJ28" s="645">
        <f>EJ394</f>
        <v>4071.4230330807541</v>
      </c>
      <c r="EK28" s="645">
        <f>EK394</f>
        <v>4457.8729558436244</v>
      </c>
      <c r="EL28" s="674">
        <f>SUM(EJ28:EK28)</f>
        <v>8529.2959889243793</v>
      </c>
      <c r="EM28" s="645">
        <f>EM394</f>
        <v>4442.6927505035301</v>
      </c>
      <c r="EN28" s="645">
        <f>EN394</f>
        <v>4806.8807957512336</v>
      </c>
      <c r="EO28" s="674">
        <f>SUM(EM28:EN28)</f>
        <v>9249.5735462547636</v>
      </c>
      <c r="EP28" s="645">
        <f>EP394</f>
        <v>4797.3056050329906</v>
      </c>
      <c r="EQ28" s="645">
        <f>EQ394</f>
        <v>5198.9859722281362</v>
      </c>
      <c r="ER28" s="674">
        <f>SUM(EP28:EQ28)</f>
        <v>9996.2915772611268</v>
      </c>
      <c r="ES28" s="645">
        <f>ES394</f>
        <v>5142.9885658816893</v>
      </c>
      <c r="ET28" s="645">
        <f>ET394</f>
        <v>5574.8158615810707</v>
      </c>
      <c r="EU28" s="674">
        <f>SUM(ES28:ET28)</f>
        <v>10717.804427462761</v>
      </c>
      <c r="EV28" s="645">
        <f>EV394</f>
        <v>5467.5169027507509</v>
      </c>
      <c r="EW28" s="645">
        <f>EW394</f>
        <v>5927.8062581726163</v>
      </c>
      <c r="EX28" s="674">
        <f>SUM(EV28:EW28)</f>
        <v>11395.323160923366</v>
      </c>
      <c r="EY28" s="645">
        <f>EY394</f>
        <v>5813.6181447620838</v>
      </c>
      <c r="EZ28" s="645">
        <f>EZ394</f>
        <v>6304.2676504443543</v>
      </c>
      <c r="FA28" s="6">
        <f>SUM(EY28:EZ28)</f>
        <v>12117.885795206439</v>
      </c>
    </row>
    <row r="29" spans="1:158" ht="13.35" customHeight="1" outlineLevel="1">
      <c r="A29" s="988" t="s">
        <v>975</v>
      </c>
      <c r="B29" s="126"/>
      <c r="C29" s="126" t="str">
        <f>C7</f>
        <v>Seqirus</v>
      </c>
      <c r="D29" s="178" t="str">
        <f>D28</f>
        <v>US$mn</v>
      </c>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179"/>
      <c r="AS29" s="179"/>
      <c r="AT29" s="8"/>
      <c r="AU29" s="179"/>
      <c r="AV29" s="179"/>
      <c r="AW29" s="8"/>
      <c r="AX29" s="179"/>
      <c r="AY29" s="179"/>
      <c r="AZ29" s="8"/>
      <c r="BA29" s="179"/>
      <c r="BB29" s="179"/>
      <c r="BC29" s="8"/>
      <c r="BD29" s="179"/>
      <c r="BE29" s="179"/>
      <c r="BF29" s="8"/>
      <c r="BG29" s="179"/>
      <c r="BH29" s="179"/>
      <c r="BI29" s="8"/>
      <c r="BJ29" s="179"/>
      <c r="BK29" s="179"/>
      <c r="BL29" s="8"/>
      <c r="BM29" s="179"/>
      <c r="BN29" s="179"/>
      <c r="BO29" s="84"/>
      <c r="BP29" s="179"/>
      <c r="BQ29" s="179"/>
      <c r="BR29" s="84"/>
      <c r="BS29" s="179"/>
      <c r="BT29" s="179"/>
      <c r="BU29" s="190"/>
      <c r="BV29" s="179">
        <v>216.21221082451976</v>
      </c>
      <c r="BW29" s="179">
        <v>127.18076853004627</v>
      </c>
      <c r="BX29" s="87">
        <v>343.39297935456602</v>
      </c>
      <c r="BY29" s="179">
        <v>129.94257619929527</v>
      </c>
      <c r="BZ29" s="179">
        <v>127.07259166895017</v>
      </c>
      <c r="CA29" s="87">
        <v>257.01516786824544</v>
      </c>
      <c r="CB29" s="179">
        <v>253.72127762956563</v>
      </c>
      <c r="CC29" s="179">
        <v>228.5879530588129</v>
      </c>
      <c r="CD29" s="87">
        <v>482.30923068837853</v>
      </c>
      <c r="CE29" s="179">
        <v>300.33314610509444</v>
      </c>
      <c r="CF29" s="179">
        <v>211.66638733952391</v>
      </c>
      <c r="CG29" s="87">
        <v>511.99953344461835</v>
      </c>
      <c r="CH29" s="179">
        <v>110.5344487510832</v>
      </c>
      <c r="CI29" s="179">
        <v>90.681751098955317</v>
      </c>
      <c r="CJ29" s="87">
        <v>201.21619985003852</v>
      </c>
      <c r="CK29" s="179">
        <v>95.776281070877388</v>
      </c>
      <c r="CL29" s="179">
        <v>88.068273204682569</v>
      </c>
      <c r="CM29" s="87">
        <v>183.84455427555997</v>
      </c>
      <c r="CN29" s="179">
        <v>67.02000000000001</v>
      </c>
      <c r="CO29" s="179">
        <v>71.31178785840234</v>
      </c>
      <c r="CP29" s="87">
        <v>138.33178785840235</v>
      </c>
      <c r="CQ29" s="179">
        <v>76.695173551244096</v>
      </c>
      <c r="CR29" s="179">
        <v>65.83626030437847</v>
      </c>
      <c r="CS29" s="87">
        <v>142.53143385562257</v>
      </c>
      <c r="CT29" s="179">
        <v>159.60772000000009</v>
      </c>
      <c r="CU29" s="179">
        <v>3.8922799999998006</v>
      </c>
      <c r="CV29" s="87">
        <v>163.49999999999989</v>
      </c>
      <c r="CW29" s="179">
        <v>194.39999999999992</v>
      </c>
      <c r="CX29" s="179">
        <v>43.300000000000125</v>
      </c>
      <c r="CY29" s="512">
        <f>CY39*CY7</f>
        <v>237.70000000000005</v>
      </c>
      <c r="CZ29" s="511">
        <v>378.3</v>
      </c>
      <c r="DA29" s="511">
        <v>112.09999999999997</v>
      </c>
      <c r="DB29" s="512">
        <v>490.4</v>
      </c>
      <c r="DC29" s="511">
        <v>505.59999999999991</v>
      </c>
      <c r="DD29" s="511">
        <v>76.700000000000131</v>
      </c>
      <c r="DE29" s="674">
        <v>582.30000000000007</v>
      </c>
      <c r="DF29" s="646">
        <v>563.5</v>
      </c>
      <c r="DG29" s="646">
        <v>122.60000000000002</v>
      </c>
      <c r="DH29" s="674">
        <v>686.1</v>
      </c>
      <c r="DI29" s="646">
        <f>DI449</f>
        <v>933.3</v>
      </c>
      <c r="DJ29" s="646">
        <f>DJ449</f>
        <v>62.400000000000091</v>
      </c>
      <c r="DK29" s="674">
        <f>SUM(DI29:DJ29)</f>
        <v>995.7</v>
      </c>
      <c r="DL29" s="646">
        <f>DL449</f>
        <v>1096</v>
      </c>
      <c r="DM29" s="646">
        <f>DM449</f>
        <v>56</v>
      </c>
      <c r="DN29" s="674">
        <f>SUM(DL29:DM29)</f>
        <v>1152</v>
      </c>
      <c r="DO29" s="646">
        <f>DO449</f>
        <v>1196</v>
      </c>
      <c r="DP29" s="646">
        <f>DP449</f>
        <v>63</v>
      </c>
      <c r="DQ29" s="674">
        <f>SUM(DO29:DP29)</f>
        <v>1259</v>
      </c>
      <c r="DR29" s="646">
        <f>DR449</f>
        <v>1207</v>
      </c>
      <c r="DS29" s="646">
        <f>DS449</f>
        <v>111</v>
      </c>
      <c r="DT29" s="674">
        <f>SUM(DR29:DS29)</f>
        <v>1318</v>
      </c>
      <c r="DU29" s="646">
        <f>DU449</f>
        <v>1044</v>
      </c>
      <c r="DV29" s="646">
        <f>DV449</f>
        <v>213</v>
      </c>
      <c r="DW29" s="674">
        <f>SUM(DU29:DV29)</f>
        <v>1257</v>
      </c>
      <c r="DX29" s="646">
        <f>DX449</f>
        <v>993</v>
      </c>
      <c r="DY29" s="646">
        <f>DY449</f>
        <v>165.7245640796306</v>
      </c>
      <c r="DZ29" s="674">
        <f>SUM(DX29:DY29)</f>
        <v>1158.7245640796307</v>
      </c>
      <c r="EA29" s="646">
        <f>EA449</f>
        <v>975.97503512157448</v>
      </c>
      <c r="EB29" s="646">
        <f>EB449</f>
        <v>165.62438779570465</v>
      </c>
      <c r="EC29" s="674">
        <f>SUM(EA29:EB29)</f>
        <v>1141.5994229172791</v>
      </c>
      <c r="ED29" s="646">
        <f>ED449</f>
        <v>971.769846220359</v>
      </c>
      <c r="EE29" s="646">
        <f>EE449</f>
        <v>167.06459357917217</v>
      </c>
      <c r="EF29" s="674">
        <f>SUM(ED29:EE29)</f>
        <v>1138.8344397995311</v>
      </c>
      <c r="EG29" s="646">
        <f>EG449</f>
        <v>986.98524314476595</v>
      </c>
      <c r="EH29" s="646">
        <f>EH449</f>
        <v>165.24588545075559</v>
      </c>
      <c r="EI29" s="674">
        <f>SUM(EG29:EH29)</f>
        <v>1152.2311285955216</v>
      </c>
      <c r="EJ29" s="646">
        <f>EJ449</f>
        <v>1010.2648004391089</v>
      </c>
      <c r="EK29" s="646">
        <f>EK449</f>
        <v>162.46326201427826</v>
      </c>
      <c r="EL29" s="674">
        <f>SUM(EJ29:EK29)</f>
        <v>1172.7280624533871</v>
      </c>
      <c r="EM29" s="646">
        <f>EM449</f>
        <v>1034.2427444522823</v>
      </c>
      <c r="EN29" s="646">
        <f>EN449</f>
        <v>159.59715987470659</v>
      </c>
      <c r="EO29" s="674">
        <f>SUM(EM29:EN29)</f>
        <v>1193.839904326989</v>
      </c>
      <c r="EP29" s="646">
        <f>EP449</f>
        <v>1058.9400267858509</v>
      </c>
      <c r="EQ29" s="646">
        <f>EQ449</f>
        <v>156.64507467094779</v>
      </c>
      <c r="ER29" s="674">
        <f>SUM(EP29:EQ29)</f>
        <v>1215.5851014567988</v>
      </c>
      <c r="ES29" s="646">
        <f>ES449</f>
        <v>1084.3782275894264</v>
      </c>
      <c r="ET29" s="646">
        <f>ET449</f>
        <v>153.60442691107625</v>
      </c>
      <c r="EU29" s="674">
        <f>SUM(ES29:ET29)</f>
        <v>1237.9826545005026</v>
      </c>
      <c r="EV29" s="646">
        <f>EV449</f>
        <v>1110.5795744171091</v>
      </c>
      <c r="EW29" s="646">
        <f>EW449</f>
        <v>150.47255971840849</v>
      </c>
      <c r="EX29" s="674">
        <f>SUM(EV29:EW29)</f>
        <v>1261.0521341355177</v>
      </c>
      <c r="EY29" s="646">
        <f>EY449</f>
        <v>1137.5669616496225</v>
      </c>
      <c r="EZ29" s="646">
        <f>EZ449</f>
        <v>147.24673650996075</v>
      </c>
      <c r="FA29" s="6">
        <f>SUM(EY29:EZ29)</f>
        <v>1284.8136981595833</v>
      </c>
    </row>
    <row r="30" spans="1:158" ht="13.35" customHeight="1" outlineLevel="1">
      <c r="A30" s="760" t="s">
        <v>976</v>
      </c>
      <c r="B30" s="126"/>
      <c r="C30" s="126" t="str">
        <f>C8</f>
        <v>Vifor</v>
      </c>
      <c r="D30" s="178" t="str">
        <f>D29</f>
        <v>US$mn</v>
      </c>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84"/>
      <c r="AL30" s="84"/>
      <c r="AM30" s="84"/>
      <c r="AN30" s="84"/>
      <c r="AO30" s="84"/>
      <c r="AP30" s="84"/>
      <c r="AQ30" s="84"/>
      <c r="AR30" s="179"/>
      <c r="AS30" s="179"/>
      <c r="AT30" s="8"/>
      <c r="AU30" s="179"/>
      <c r="AV30" s="179"/>
      <c r="AW30" s="8"/>
      <c r="AX30" s="179"/>
      <c r="AY30" s="179"/>
      <c r="AZ30" s="8"/>
      <c r="BA30" s="179"/>
      <c r="BB30" s="179"/>
      <c r="BC30" s="8"/>
      <c r="BD30" s="179"/>
      <c r="BE30" s="179"/>
      <c r="BF30" s="8"/>
      <c r="BG30" s="179"/>
      <c r="BH30" s="179"/>
      <c r="BI30" s="8"/>
      <c r="BJ30" s="179"/>
      <c r="BK30" s="179"/>
      <c r="BL30" s="8"/>
      <c r="BM30" s="184"/>
      <c r="BN30" s="184"/>
      <c r="BO30" s="185"/>
      <c r="BP30" s="184"/>
      <c r="BQ30" s="184"/>
      <c r="BR30" s="185"/>
      <c r="BS30" s="184"/>
      <c r="BT30" s="184"/>
      <c r="BU30" s="186"/>
      <c r="BV30" s="184">
        <v>0</v>
      </c>
      <c r="BW30" s="184">
        <v>0</v>
      </c>
      <c r="BX30" s="185">
        <v>0</v>
      </c>
      <c r="BY30" s="184">
        <v>0</v>
      </c>
      <c r="BZ30" s="184">
        <v>0</v>
      </c>
      <c r="CA30" s="185">
        <v>0</v>
      </c>
      <c r="CB30" s="184">
        <v>0</v>
      </c>
      <c r="CC30" s="184">
        <v>0</v>
      </c>
      <c r="CD30" s="185">
        <v>0</v>
      </c>
      <c r="CE30" s="184">
        <v>0</v>
      </c>
      <c r="CF30" s="184">
        <v>0</v>
      </c>
      <c r="CG30" s="185">
        <v>0</v>
      </c>
      <c r="CH30" s="184">
        <v>0</v>
      </c>
      <c r="CI30" s="184">
        <v>0</v>
      </c>
      <c r="CJ30" s="185">
        <v>0</v>
      </c>
      <c r="CK30" s="184">
        <v>0</v>
      </c>
      <c r="CL30" s="184">
        <v>0</v>
      </c>
      <c r="CM30" s="185">
        <v>0</v>
      </c>
      <c r="CN30" s="184">
        <v>0</v>
      </c>
      <c r="CO30" s="184">
        <v>0</v>
      </c>
      <c r="CP30" s="185">
        <v>0</v>
      </c>
      <c r="CQ30" s="184">
        <v>0</v>
      </c>
      <c r="CR30" s="184">
        <v>0</v>
      </c>
      <c r="CS30" s="185">
        <v>0</v>
      </c>
      <c r="CT30" s="184">
        <v>0</v>
      </c>
      <c r="CU30" s="184">
        <v>0</v>
      </c>
      <c r="CV30" s="185">
        <v>0</v>
      </c>
      <c r="CW30" s="184">
        <v>0</v>
      </c>
      <c r="CX30" s="184">
        <v>0</v>
      </c>
      <c r="CY30" s="301">
        <v>0</v>
      </c>
      <c r="CZ30" s="300">
        <v>0</v>
      </c>
      <c r="DA30" s="300">
        <v>0</v>
      </c>
      <c r="DB30" s="301">
        <v>0</v>
      </c>
      <c r="DC30" s="300">
        <v>0</v>
      </c>
      <c r="DD30" s="300">
        <v>0</v>
      </c>
      <c r="DE30" s="675">
        <v>0</v>
      </c>
      <c r="DF30" s="631">
        <v>0</v>
      </c>
      <c r="DG30" s="631">
        <v>0</v>
      </c>
      <c r="DH30" s="675">
        <v>0</v>
      </c>
      <c r="DI30" s="631">
        <f>DF30</f>
        <v>0</v>
      </c>
      <c r="DJ30" s="631">
        <f>DG30</f>
        <v>0</v>
      </c>
      <c r="DK30" s="675">
        <f>SUM(DI30:DJ30)</f>
        <v>0</v>
      </c>
      <c r="DL30" s="631">
        <f>DI30</f>
        <v>0</v>
      </c>
      <c r="DM30" s="631">
        <f>DJ30</f>
        <v>0</v>
      </c>
      <c r="DN30" s="675">
        <f>SUM(DL30:DM30)</f>
        <v>0</v>
      </c>
      <c r="DO30" s="631">
        <f>'Vifor Segment'!S80</f>
        <v>615</v>
      </c>
      <c r="DP30" s="631">
        <f>'Vifor Segment'!T80</f>
        <v>796</v>
      </c>
      <c r="DQ30" s="675">
        <f>SUM(DO30:DP30)</f>
        <v>1411</v>
      </c>
      <c r="DR30" s="631">
        <f>'Vifor Segment'!V80</f>
        <v>670</v>
      </c>
      <c r="DS30" s="631">
        <f>'Vifor Segment'!W80</f>
        <v>743</v>
      </c>
      <c r="DT30" s="675">
        <f>SUM(DR30:DS30)</f>
        <v>1413</v>
      </c>
      <c r="DU30" s="631">
        <f>'Vifor Segment'!Y80</f>
        <v>723</v>
      </c>
      <c r="DV30" s="631">
        <f>'Vifor Segment'!Z80</f>
        <v>822</v>
      </c>
      <c r="DW30" s="675">
        <f>SUM(DU30:DV30)</f>
        <v>1545</v>
      </c>
      <c r="DX30" s="631">
        <f>'Vifor Segment'!AB80</f>
        <v>849</v>
      </c>
      <c r="DY30" s="631">
        <f>'Vifor Segment'!AC80</f>
        <v>763.71620605354599</v>
      </c>
      <c r="DZ30" s="675">
        <f>SUM(DX30:DY30)</f>
        <v>1612.7162060535461</v>
      </c>
      <c r="EA30" s="631">
        <f>'Vifor Segment'!AE80</f>
        <v>844.31036926668855</v>
      </c>
      <c r="EB30" s="631">
        <f>'Vifor Segment'!AF80</f>
        <v>722.40394452279884</v>
      </c>
      <c r="EC30" s="675">
        <f>SUM(EA30:EB30)</f>
        <v>1566.7143137894873</v>
      </c>
      <c r="ED30" s="631">
        <f>'Vifor Segment'!AH80</f>
        <v>840.23357773002306</v>
      </c>
      <c r="EE30" s="631">
        <f>'Vifor Segment'!AI80</f>
        <v>750.3868296314082</v>
      </c>
      <c r="EF30" s="675">
        <f>SUM(ED30:EE30)</f>
        <v>1590.6204073614313</v>
      </c>
      <c r="EG30" s="631">
        <f>'Vifor Segment'!AK80</f>
        <v>873.63497137652428</v>
      </c>
      <c r="EH30" s="631">
        <f>'Vifor Segment'!AL80</f>
        <v>779.66489562062202</v>
      </c>
      <c r="EI30" s="675">
        <f>SUM(EG30:EH30)</f>
        <v>1653.2998669971462</v>
      </c>
      <c r="EJ30" s="631">
        <f>'Vifor Segment'!AN80</f>
        <v>908.62132444455062</v>
      </c>
      <c r="EK30" s="631">
        <f>'Vifor Segment'!AO80</f>
        <v>810.30462870308463</v>
      </c>
      <c r="EL30" s="675">
        <f>SUM(EJ30:EK30)</f>
        <v>1718.9259531476353</v>
      </c>
      <c r="EM30" s="631">
        <f>'Vifor Segment'!AQ80</f>
        <v>945.27670950228207</v>
      </c>
      <c r="EN30" s="631">
        <f>'Vifor Segment'!AR80</f>
        <v>842.37629669904186</v>
      </c>
      <c r="EO30" s="675">
        <f>SUM(EM30:EN30)</f>
        <v>1787.6530062013239</v>
      </c>
      <c r="EP30" s="631">
        <f>'Vifor Segment'!AT80</f>
        <v>983.69018668448734</v>
      </c>
      <c r="EQ30" s="631">
        <f>'Vifor Segment'!AU80</f>
        <v>875.95418795451462</v>
      </c>
      <c r="ER30" s="675">
        <f>SUM(EP30:EQ30)</f>
        <v>1859.6443746390019</v>
      </c>
      <c r="ES30" s="631">
        <f>'Vifor Segment'!AW80</f>
        <v>1023.9561344954168</v>
      </c>
      <c r="ET30" s="631">
        <f>'Vifor Segment'!AX80</f>
        <v>911.11686696779998</v>
      </c>
      <c r="EU30" s="675">
        <f>SUM(ES30:ET30)</f>
        <v>1935.0730014632168</v>
      </c>
      <c r="EV30" s="631">
        <f>'Vifor Segment'!AZ80</f>
        <v>1066.1746049244832</v>
      </c>
      <c r="EW30" s="631">
        <f>'Vifor Segment'!BA80</f>
        <v>947.94744800302578</v>
      </c>
      <c r="EX30" s="675">
        <f>SUM(EV30:EW30)</f>
        <v>2014.122052927509</v>
      </c>
      <c r="EY30" s="631">
        <f>'Vifor Segment'!BC80</f>
        <v>1110.451704821947</v>
      </c>
      <c r="EZ30" s="631">
        <f>'Vifor Segment'!BD80</f>
        <v>986.53388807481883</v>
      </c>
      <c r="FA30" s="632">
        <f>SUM(EY30:EZ30)</f>
        <v>2096.9855928967659</v>
      </c>
    </row>
    <row r="31" spans="1:158" ht="13.35" customHeight="1" outlineLevel="1" thickBot="1">
      <c r="A31" s="760" t="s">
        <v>1008</v>
      </c>
      <c r="B31" s="4"/>
      <c r="C31" s="3" t="s">
        <v>776</v>
      </c>
      <c r="D31" s="178" t="s">
        <v>357</v>
      </c>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179"/>
      <c r="AS31" s="179"/>
      <c r="AT31" s="8"/>
      <c r="AU31" s="179"/>
      <c r="AV31" s="179"/>
      <c r="AW31" s="8"/>
      <c r="AX31" s="179"/>
      <c r="AY31" s="179"/>
      <c r="AZ31" s="8"/>
      <c r="BA31" s="179"/>
      <c r="BB31" s="179"/>
      <c r="BC31" s="8"/>
      <c r="BD31" s="179"/>
      <c r="BE31" s="179"/>
      <c r="BF31" s="8"/>
      <c r="BG31" s="179"/>
      <c r="BH31" s="179"/>
      <c r="BI31" s="8"/>
      <c r="BJ31" s="179"/>
      <c r="BK31" s="179"/>
      <c r="BL31" s="8"/>
      <c r="BM31" s="179"/>
      <c r="BN31" s="179"/>
      <c r="BO31" s="84"/>
      <c r="BP31" s="179"/>
      <c r="BQ31" s="179"/>
      <c r="BR31" s="84"/>
      <c r="BS31" s="179"/>
      <c r="BT31" s="179"/>
      <c r="BU31" s="190"/>
      <c r="BV31" s="191">
        <v>784.32178894952017</v>
      </c>
      <c r="BW31" s="191">
        <v>829.79119040504565</v>
      </c>
      <c r="BX31" s="192">
        <v>1614.1129793545658</v>
      </c>
      <c r="BY31" s="191">
        <v>980.34502588718624</v>
      </c>
      <c r="BZ31" s="191">
        <v>866.27014198105906</v>
      </c>
      <c r="CA31" s="192">
        <v>1846.6151678682454</v>
      </c>
      <c r="CB31" s="191">
        <v>1166.1796641061583</v>
      </c>
      <c r="CC31" s="191">
        <v>1080.3095665822202</v>
      </c>
      <c r="CD31" s="192">
        <v>2246.4892306883785</v>
      </c>
      <c r="CE31" s="191">
        <v>1263.1495799662321</v>
      </c>
      <c r="CF31" s="191">
        <v>1245.2299534783865</v>
      </c>
      <c r="CG31" s="192">
        <v>2508.3795334446186</v>
      </c>
      <c r="CH31" s="191">
        <v>1206.5928341018655</v>
      </c>
      <c r="CI31" s="191">
        <v>1262.6974460415472</v>
      </c>
      <c r="CJ31" s="192">
        <v>2469.2902801434129</v>
      </c>
      <c r="CK31" s="191">
        <v>1389.4180435913993</v>
      </c>
      <c r="CL31" s="191">
        <v>1463.3877230637086</v>
      </c>
      <c r="CM31" s="192">
        <v>2852.8057666551076</v>
      </c>
      <c r="CN31" s="191">
        <v>1472.4363000000003</v>
      </c>
      <c r="CO31" s="191">
        <v>1587.2998763656667</v>
      </c>
      <c r="CP31" s="192">
        <v>3059.7361763656672</v>
      </c>
      <c r="CQ31" s="191">
        <v>1539.5071735512443</v>
      </c>
      <c r="CR31" s="191">
        <v>1651.4719603043791</v>
      </c>
      <c r="CS31" s="192">
        <v>3190.9791338556233</v>
      </c>
      <c r="CT31" s="191">
        <v>1543.0077200000001</v>
      </c>
      <c r="CU31" s="191">
        <v>1554.9922800000002</v>
      </c>
      <c r="CV31" s="192">
        <v>3098</v>
      </c>
      <c r="CW31" s="191" t="e">
        <v>#DIV/0!</v>
      </c>
      <c r="CX31" s="191" t="e">
        <v>#DIV/0!</v>
      </c>
      <c r="CY31" s="503">
        <f>SUM(CY28:CY30)</f>
        <v>3639.4036915013103</v>
      </c>
      <c r="CZ31" s="504">
        <v>2357.8000000000002</v>
      </c>
      <c r="DA31" s="504">
        <v>2025.6</v>
      </c>
      <c r="DB31" s="503">
        <v>4383.3999999999996</v>
      </c>
      <c r="DC31" s="504">
        <v>2622.9</v>
      </c>
      <c r="DD31" s="504">
        <v>2154.5000000000005</v>
      </c>
      <c r="DE31" s="676">
        <v>4777.4000000000005</v>
      </c>
      <c r="DF31" s="642">
        <v>2841.6</v>
      </c>
      <c r="DG31" s="642">
        <v>2384.8000000000002</v>
      </c>
      <c r="DH31" s="676">
        <v>5226.3999999999996</v>
      </c>
      <c r="DI31" s="642">
        <f>SUM(DI28:DI30)</f>
        <v>3472.3999999999996</v>
      </c>
      <c r="DJ31" s="642">
        <f>SUM(DJ28:DJ30)</f>
        <v>2370.9000000000005</v>
      </c>
      <c r="DK31" s="676">
        <f>SUM(DI31:DJ31)</f>
        <v>5843.3</v>
      </c>
      <c r="DL31" s="642">
        <f>SUM(DL28:DL30)</f>
        <v>3448.2</v>
      </c>
      <c r="DM31" s="642">
        <f>SUM(DM28:DM30)</f>
        <v>2283.6999999999998</v>
      </c>
      <c r="DN31" s="676">
        <f>SUM(DL31:DM31)</f>
        <v>5731.9</v>
      </c>
      <c r="DO31" s="642">
        <f>SUM(DO28:DO30)</f>
        <v>4042</v>
      </c>
      <c r="DP31" s="642">
        <f>SUM(DP28:DP30)</f>
        <v>3189</v>
      </c>
      <c r="DQ31" s="676">
        <f>SUM(DO31:DP31)</f>
        <v>7231</v>
      </c>
      <c r="DR31" s="642">
        <f>SUM(DR28:DR30)</f>
        <v>4494</v>
      </c>
      <c r="DS31" s="642">
        <f>SUM(DS28:DS30)</f>
        <v>3512</v>
      </c>
      <c r="DT31" s="676">
        <f>SUM(DR31:DS31)</f>
        <v>8006</v>
      </c>
      <c r="DU31" s="642">
        <f>SUM(DU28:DU30)</f>
        <v>4704</v>
      </c>
      <c r="DV31" s="642">
        <f>SUM(DV28:DV30)</f>
        <v>3739</v>
      </c>
      <c r="DW31" s="676">
        <f>SUM(DU31:DV31)</f>
        <v>8443</v>
      </c>
      <c r="DX31" s="642">
        <f>SUM(DX28:DX30)</f>
        <v>4630</v>
      </c>
      <c r="DY31" s="642">
        <f>SUM(DY28:DY30)</f>
        <v>4000.7870425503465</v>
      </c>
      <c r="DZ31" s="676">
        <f>SUM(DX31:DY31)</f>
        <v>8630.7870425503461</v>
      </c>
      <c r="EA31" s="642">
        <f>SUM(EA28:EA30)</f>
        <v>4907.8916071065523</v>
      </c>
      <c r="EB31" s="642">
        <f>SUM(EB28:EB30)</f>
        <v>4312.2751320339012</v>
      </c>
      <c r="EC31" s="676">
        <f>SUM(EA31:EB31)</f>
        <v>9220.1667391404535</v>
      </c>
      <c r="ED31" s="642">
        <f>SUM(ED28:ED30)</f>
        <v>5242.1909850812845</v>
      </c>
      <c r="EE31" s="642">
        <f>SUM(EE28:EE30)</f>
        <v>4650.5052050152153</v>
      </c>
      <c r="EF31" s="676">
        <f>SUM(ED31:EE31)</f>
        <v>9892.6961900964998</v>
      </c>
      <c r="EG31" s="642">
        <f>SUM(EG28:EG30)</f>
        <v>5601.1018117853428</v>
      </c>
      <c r="EH31" s="642">
        <f>SUM(EH28:EH30)</f>
        <v>5022.6894801309882</v>
      </c>
      <c r="EI31" s="676">
        <f>SUM(EG31:EH31)</f>
        <v>10623.791291916332</v>
      </c>
      <c r="EJ31" s="642">
        <f>SUM(EJ28:EJ30)</f>
        <v>5990.3091579644133</v>
      </c>
      <c r="EK31" s="642">
        <f>SUM(EK28:EK30)</f>
        <v>5430.6408465609875</v>
      </c>
      <c r="EL31" s="676">
        <f>SUM(EJ31:EK31)</f>
        <v>11420.950004525401</v>
      </c>
      <c r="EM31" s="642">
        <f>SUM(EM28:EM30)</f>
        <v>6422.2122044580947</v>
      </c>
      <c r="EN31" s="642">
        <f>SUM(EN28:EN30)</f>
        <v>5808.8542523249816</v>
      </c>
      <c r="EO31" s="676">
        <f>SUM(EM31:EN31)</f>
        <v>12231.066456783075</v>
      </c>
      <c r="EP31" s="642">
        <f>SUM(EP28:EP30)</f>
        <v>6839.9358185033288</v>
      </c>
      <c r="EQ31" s="642">
        <f>SUM(EQ28:EQ30)</f>
        <v>6231.5852348535991</v>
      </c>
      <c r="ER31" s="676">
        <f>SUM(EP31:EQ31)</f>
        <v>13071.521053356928</v>
      </c>
      <c r="ES31" s="642">
        <f>SUM(ES28:ES30)</f>
        <v>7251.322927966532</v>
      </c>
      <c r="ET31" s="642">
        <f>SUM(ET28:ET30)</f>
        <v>6639.5371554599469</v>
      </c>
      <c r="EU31" s="676">
        <f>SUM(ES31:ET31)</f>
        <v>13890.86008342648</v>
      </c>
      <c r="EV31" s="642">
        <f>SUM(EV28:EV30)</f>
        <v>7644.271082092343</v>
      </c>
      <c r="EW31" s="642">
        <f>SUM(EW28:EW30)</f>
        <v>7026.2262658940508</v>
      </c>
      <c r="EX31" s="676">
        <f>SUM(EV31:EW31)</f>
        <v>14670.497347986395</v>
      </c>
      <c r="EY31" s="642">
        <f>SUM(EY28:EY30)</f>
        <v>8061.6368112336531</v>
      </c>
      <c r="EZ31" s="642">
        <f>SUM(EZ28:EZ30)</f>
        <v>7438.0482750291339</v>
      </c>
      <c r="FA31" s="644">
        <f>SUM(EY31:EZ31)</f>
        <v>15499.685086262787</v>
      </c>
    </row>
    <row r="32" spans="1:158" ht="13.35" customHeight="1" outlineLevel="1" thickTop="1">
      <c r="A32" s="760"/>
      <c r="B32" s="5" t="s">
        <v>451</v>
      </c>
      <c r="C32" s="5"/>
      <c r="D32" s="178"/>
      <c r="E32" s="194"/>
      <c r="F32" s="194"/>
      <c r="G32" s="194"/>
      <c r="H32" s="194"/>
      <c r="I32" s="194"/>
      <c r="J32" s="194"/>
      <c r="K32" s="194"/>
      <c r="L32" s="194"/>
      <c r="M32" s="194"/>
      <c r="N32" s="194"/>
      <c r="O32" s="194"/>
      <c r="P32" s="194"/>
      <c r="Q32" s="194"/>
      <c r="R32" s="194"/>
      <c r="S32" s="194"/>
      <c r="T32" s="194"/>
      <c r="U32" s="194"/>
      <c r="V32" s="194"/>
      <c r="W32" s="194"/>
      <c r="X32" s="194"/>
      <c r="Y32" s="194"/>
      <c r="Z32" s="194"/>
      <c r="AA32" s="194"/>
      <c r="AB32" s="194"/>
      <c r="AC32" s="194"/>
      <c r="AD32" s="194"/>
      <c r="AE32" s="194"/>
      <c r="AF32" s="194"/>
      <c r="AG32" s="194"/>
      <c r="AH32" s="194"/>
      <c r="AI32" s="194"/>
      <c r="AJ32" s="194"/>
      <c r="AK32" s="194"/>
      <c r="AL32" s="194"/>
      <c r="AM32" s="194"/>
      <c r="AN32" s="194"/>
      <c r="AO32" s="224"/>
      <c r="AP32" s="224"/>
      <c r="AQ32" s="194"/>
      <c r="AR32" s="195"/>
      <c r="AS32" s="195"/>
      <c r="AT32" s="194"/>
      <c r="AU32" s="195"/>
      <c r="AV32" s="195"/>
      <c r="AW32" s="194"/>
      <c r="AX32" s="195"/>
      <c r="AY32" s="195"/>
      <c r="AZ32" s="194"/>
      <c r="BA32" s="195"/>
      <c r="BB32" s="195"/>
      <c r="BC32" s="194"/>
      <c r="BD32" s="195"/>
      <c r="BE32" s="195"/>
      <c r="BF32" s="194"/>
      <c r="BG32" s="195"/>
      <c r="BH32" s="195"/>
      <c r="BI32" s="194"/>
      <c r="BJ32" s="195"/>
      <c r="BK32" s="195"/>
      <c r="BL32" s="225"/>
      <c r="BM32" s="226"/>
      <c r="BN32" s="226"/>
      <c r="BO32" s="89"/>
      <c r="BP32" s="227"/>
      <c r="BQ32" s="227"/>
      <c r="BR32" s="228"/>
      <c r="BS32" s="227"/>
      <c r="BT32" s="227"/>
      <c r="BU32" s="229"/>
      <c r="BV32" s="230"/>
      <c r="BW32" s="231"/>
      <c r="BX32" s="88"/>
      <c r="BY32" s="230"/>
      <c r="BZ32" s="232"/>
      <c r="CA32" s="88"/>
      <c r="CB32" s="233"/>
      <c r="CC32" s="195"/>
      <c r="CD32" s="234"/>
      <c r="CE32" s="195"/>
      <c r="CF32" s="195"/>
      <c r="CG32" s="88"/>
      <c r="CH32" s="226"/>
      <c r="CI32" s="226"/>
      <c r="CJ32" s="87"/>
      <c r="CK32" s="226"/>
      <c r="CL32" s="226"/>
      <c r="CM32" s="87"/>
      <c r="CN32" s="226"/>
      <c r="CO32" s="226"/>
      <c r="CP32" s="87"/>
      <c r="CQ32" s="226"/>
      <c r="CR32" s="226"/>
      <c r="CS32" s="87"/>
      <c r="CT32" s="226"/>
      <c r="CU32" s="226"/>
      <c r="CV32" s="87"/>
      <c r="CW32" s="226"/>
      <c r="CX32" s="226"/>
      <c r="CY32" s="512"/>
      <c r="CZ32" s="514"/>
      <c r="DA32" s="514"/>
      <c r="DB32" s="512"/>
      <c r="DC32" s="514"/>
      <c r="DD32" s="514"/>
      <c r="DE32" s="677"/>
      <c r="DF32" s="514"/>
      <c r="DG32" s="514"/>
      <c r="DH32" s="677"/>
      <c r="DI32" s="514"/>
      <c r="DJ32" s="514"/>
      <c r="DK32" s="677"/>
      <c r="DL32" s="514"/>
      <c r="DM32" s="514"/>
      <c r="DN32" s="677"/>
      <c r="DO32" s="514"/>
      <c r="DP32" s="514"/>
      <c r="DQ32" s="677"/>
      <c r="DR32" s="514"/>
      <c r="DS32" s="514"/>
      <c r="DT32" s="741"/>
      <c r="DU32" s="514"/>
      <c r="DV32" s="514"/>
      <c r="DW32" s="741"/>
      <c r="DX32" s="514"/>
      <c r="DY32" s="514"/>
      <c r="DZ32" s="677"/>
      <c r="EA32" s="514"/>
      <c r="EB32" s="514"/>
      <c r="EC32" s="677"/>
      <c r="ED32" s="514"/>
      <c r="EE32" s="514"/>
      <c r="EF32" s="677"/>
      <c r="EG32" s="514"/>
      <c r="EH32" s="514"/>
      <c r="EI32" s="677"/>
      <c r="EJ32" s="514"/>
      <c r="EK32" s="514"/>
      <c r="EL32" s="677"/>
      <c r="EM32" s="514"/>
      <c r="EN32" s="514"/>
      <c r="EO32" s="677"/>
      <c r="EP32" s="514"/>
      <c r="EQ32" s="514"/>
      <c r="ER32" s="677"/>
      <c r="ES32" s="514"/>
      <c r="ET32" s="514"/>
      <c r="EU32" s="677"/>
      <c r="EV32" s="514"/>
      <c r="EW32" s="514"/>
      <c r="EX32" s="677"/>
      <c r="EY32" s="514"/>
      <c r="EZ32" s="514"/>
      <c r="FA32" s="499"/>
    </row>
    <row r="33" spans="1:184" ht="13.35" customHeight="1" outlineLevel="1">
      <c r="A33" s="760"/>
      <c r="B33" s="5"/>
      <c r="C33" s="126" t="str">
        <f>C28</f>
        <v>CSL Behring</v>
      </c>
      <c r="D33" s="178" t="s">
        <v>507</v>
      </c>
      <c r="E33" s="194"/>
      <c r="F33" s="194"/>
      <c r="G33" s="194"/>
      <c r="H33" s="194"/>
      <c r="I33" s="194"/>
      <c r="J33" s="194"/>
      <c r="K33" s="194"/>
      <c r="L33" s="194"/>
      <c r="M33" s="194"/>
      <c r="N33" s="194"/>
      <c r="O33" s="194"/>
      <c r="P33" s="194"/>
      <c r="Q33" s="194"/>
      <c r="R33" s="194"/>
      <c r="S33" s="194"/>
      <c r="T33" s="194"/>
      <c r="U33" s="194"/>
      <c r="V33" s="194"/>
      <c r="W33" s="194"/>
      <c r="X33" s="194"/>
      <c r="Y33" s="194"/>
      <c r="Z33" s="194"/>
      <c r="AA33" s="194"/>
      <c r="AB33" s="194"/>
      <c r="AC33" s="194"/>
      <c r="AD33" s="194"/>
      <c r="AE33" s="194"/>
      <c r="AF33" s="194"/>
      <c r="AG33" s="194"/>
      <c r="AH33" s="194"/>
      <c r="AI33" s="194"/>
      <c r="AJ33" s="194"/>
      <c r="AK33" s="194"/>
      <c r="AL33" s="194"/>
      <c r="AM33" s="194"/>
      <c r="AN33" s="194"/>
      <c r="AO33" s="194"/>
      <c r="AP33" s="194"/>
      <c r="AQ33" s="194"/>
      <c r="AR33" s="195"/>
      <c r="AS33" s="195"/>
      <c r="AT33" s="194"/>
      <c r="AU33" s="195"/>
      <c r="AV33" s="195"/>
      <c r="AW33" s="194"/>
      <c r="AX33" s="195"/>
      <c r="AY33" s="195"/>
      <c r="AZ33" s="194"/>
      <c r="BA33" s="195"/>
      <c r="BB33" s="195"/>
      <c r="BC33" s="194"/>
      <c r="BD33" s="195"/>
      <c r="BE33" s="195"/>
      <c r="BF33" s="194"/>
      <c r="BG33" s="195"/>
      <c r="BH33" s="195"/>
      <c r="BI33" s="194"/>
      <c r="BJ33" s="195"/>
      <c r="BK33" s="195"/>
      <c r="BL33" s="194"/>
      <c r="BM33" s="195"/>
      <c r="BN33" s="195"/>
      <c r="BO33" s="194"/>
      <c r="BP33" s="195"/>
      <c r="BQ33" s="195"/>
      <c r="BR33" s="194"/>
      <c r="BS33" s="195"/>
      <c r="BT33" s="195"/>
      <c r="BU33" s="235"/>
      <c r="BV33" s="206">
        <v>-8.2076495906230215E-2</v>
      </c>
      <c r="BW33" s="206">
        <v>0.12942862681980721</v>
      </c>
      <c r="BX33" s="200">
        <v>2.3947593449926783E-2</v>
      </c>
      <c r="BY33" s="206">
        <v>0.4968986308848643</v>
      </c>
      <c r="BZ33" s="206">
        <v>5.2073136546241981E-2</v>
      </c>
      <c r="CA33" s="200">
        <v>0.2509443465122137</v>
      </c>
      <c r="CB33" s="206">
        <v>7.297243418275294E-2</v>
      </c>
      <c r="CC33" s="206">
        <v>0.15222461595521761</v>
      </c>
      <c r="CD33" s="200">
        <v>0.10982637141419221</v>
      </c>
      <c r="CE33" s="206">
        <v>5.5189418093903216E-2</v>
      </c>
      <c r="CF33" s="206">
        <v>0.21349928160588805</v>
      </c>
      <c r="CG33" s="200">
        <v>0.1316192225283136</v>
      </c>
      <c r="CH33" s="206">
        <v>0.13838769967325021</v>
      </c>
      <c r="CI33" s="206">
        <v>0.13395608488885893</v>
      </c>
      <c r="CJ33" s="200">
        <v>0.13609336914483919</v>
      </c>
      <c r="CK33" s="206">
        <v>0.18026720091786447</v>
      </c>
      <c r="CL33" s="206">
        <v>0.17346504470351182</v>
      </c>
      <c r="CM33" s="200">
        <v>0.17675222144169075</v>
      </c>
      <c r="CN33" s="206">
        <v>8.6403006394674256E-2</v>
      </c>
      <c r="CO33" s="206">
        <v>0.1022807018854109</v>
      </c>
      <c r="CP33" s="200">
        <v>9.4584805113240245E-2</v>
      </c>
      <c r="CQ33" s="206">
        <v>4.0838931496667424E-2</v>
      </c>
      <c r="CR33" s="206">
        <v>4.5942057210565206E-2</v>
      </c>
      <c r="CS33" s="200">
        <v>4.3487068066482441E-2</v>
      </c>
      <c r="CT33" s="206">
        <v>-5.4287222144746045E-2</v>
      </c>
      <c r="CU33" s="206">
        <v>-2.1780349673005042E-2</v>
      </c>
      <c r="CV33" s="200">
        <v>-3.737892567420481E-2</v>
      </c>
      <c r="CW33" s="206" t="s">
        <v>187</v>
      </c>
      <c r="CX33" s="206" t="s">
        <v>187</v>
      </c>
      <c r="CY33" s="506" t="s">
        <v>187</v>
      </c>
      <c r="CZ33" s="507" t="s">
        <v>187</v>
      </c>
      <c r="DA33" s="507" t="s">
        <v>187</v>
      </c>
      <c r="DB33" s="506" t="s">
        <v>187</v>
      </c>
      <c r="DC33" s="507">
        <v>6.9613538772417369E-2</v>
      </c>
      <c r="DD33" s="507">
        <v>8.5863600731643674E-2</v>
      </c>
      <c r="DE33" s="678">
        <v>7.7600821988184007E-2</v>
      </c>
      <c r="DF33" s="648">
        <v>7.5945780002833668E-2</v>
      </c>
      <c r="DG33" s="648">
        <v>8.874771392819332E-2</v>
      </c>
      <c r="DH33" s="678">
        <v>8.2286477080403278E-2</v>
      </c>
      <c r="DI33" s="648">
        <f t="shared" ref="DI33:DR34" si="31">IF(ISERROR((DI28-DF28)/DF28),"",(DI28-DF28)/DF28)</f>
        <v>0.11456915850928406</v>
      </c>
      <c r="DJ33" s="648">
        <f t="shared" si="31"/>
        <v>2.0466802227919804E-2</v>
      </c>
      <c r="DK33" s="678">
        <f t="shared" si="31"/>
        <v>6.768275224104138E-2</v>
      </c>
      <c r="DL33" s="648">
        <f t="shared" si="31"/>
        <v>-7.3608759009097746E-2</v>
      </c>
      <c r="DM33" s="648">
        <f t="shared" si="31"/>
        <v>-3.50010829542996E-2</v>
      </c>
      <c r="DN33" s="678">
        <f t="shared" si="31"/>
        <v>-5.5223203234590457E-2</v>
      </c>
      <c r="DO33" s="648">
        <f t="shared" si="31"/>
        <v>-5.1526230762690174E-2</v>
      </c>
      <c r="DP33" s="648">
        <f t="shared" si="31"/>
        <v>4.592180275620604E-2</v>
      </c>
      <c r="DQ33" s="678">
        <f t="shared" si="31"/>
        <v>-4.1267276578090435E-3</v>
      </c>
      <c r="DR33" s="648">
        <f t="shared" si="31"/>
        <v>0.17301658449125953</v>
      </c>
      <c r="DS33" s="648">
        <f t="shared" ref="DS33:EB34" si="32">IF(ISERROR((DS28-DP28)/DP28),"",(DS28-DP28)/DP28)</f>
        <v>0.1407725321888412</v>
      </c>
      <c r="DT33" s="678">
        <f t="shared" si="32"/>
        <v>0.15654461740846307</v>
      </c>
      <c r="DU33" s="648">
        <f t="shared" si="32"/>
        <v>0.12227741688956821</v>
      </c>
      <c r="DV33" s="648">
        <f t="shared" ref="DV33:DW36" si="33">IF(ISERROR((DV28-DS28)/DS28),"",(DV28-DS28)/DS28)</f>
        <v>1.7306245297215951E-2</v>
      </c>
      <c r="DW33" s="678">
        <f t="shared" si="33"/>
        <v>6.9383886255924176E-2</v>
      </c>
      <c r="DX33" s="648">
        <f t="shared" si="32"/>
        <v>-5.0732039496084437E-2</v>
      </c>
      <c r="DY33" s="648">
        <f t="shared" si="32"/>
        <v>0.13585291139688238</v>
      </c>
      <c r="DZ33" s="678">
        <f t="shared" si="32"/>
        <v>3.8707015142203427E-2</v>
      </c>
      <c r="EA33" s="648">
        <f t="shared" si="32"/>
        <v>0.1074627699850392</v>
      </c>
      <c r="EB33" s="648">
        <f t="shared" si="32"/>
        <v>0.11490092487047791</v>
      </c>
      <c r="EC33" s="678">
        <f t="shared" ref="EC33:EL34" si="34">IF(ISERROR((EC28-DZ28)/DZ28),"",(EC28-DZ28)/DZ28)</f>
        <v>0.11136169457814571</v>
      </c>
      <c r="ED33" s="648">
        <f t="shared" si="34"/>
        <v>0.11095370844604742</v>
      </c>
      <c r="EE33" s="648">
        <f t="shared" si="34"/>
        <v>9.0182454756153413E-2</v>
      </c>
      <c r="EF33" s="678">
        <f t="shared" si="34"/>
        <v>0.10003118010471136</v>
      </c>
      <c r="EG33" s="648">
        <f t="shared" si="34"/>
        <v>9.045978699510239E-2</v>
      </c>
      <c r="EH33" s="648">
        <f t="shared" si="34"/>
        <v>9.2343946110609976E-2</v>
      </c>
      <c r="EI33" s="678">
        <f t="shared" si="34"/>
        <v>9.1441698252162626E-2</v>
      </c>
      <c r="EJ33" s="648">
        <f t="shared" si="34"/>
        <v>8.8475621978401267E-2</v>
      </c>
      <c r="EK33" s="648">
        <f t="shared" si="34"/>
        <v>9.321110458291143E-2</v>
      </c>
      <c r="EL33" s="678">
        <f t="shared" si="34"/>
        <v>9.0945512895632491E-2</v>
      </c>
      <c r="EM33" s="648">
        <f t="shared" ref="EM33:ER34" si="35">IF(ISERROR((EM28-EJ28)/EJ28),"",(EM28-EJ28)/EJ28)</f>
        <v>9.1189177446354575E-2</v>
      </c>
      <c r="EN33" s="648">
        <f t="shared" si="35"/>
        <v>7.82902167389294E-2</v>
      </c>
      <c r="EO33" s="678">
        <f t="shared" si="35"/>
        <v>8.4447480573507192E-2</v>
      </c>
      <c r="EP33" s="648">
        <f t="shared" si="35"/>
        <v>7.9819351560890414E-2</v>
      </c>
      <c r="EQ33" s="648">
        <f t="shared" si="35"/>
        <v>8.1571645550994637E-2</v>
      </c>
      <c r="ER33" s="678">
        <f t="shared" si="35"/>
        <v>8.0729995525979259E-2</v>
      </c>
      <c r="ES33" s="648">
        <f t="shared" ref="ES33:FA36" si="36">IF(ISERROR((ES28-EP28)/EP28),"",(ES28-EP28)/EP28)</f>
        <v>7.2057731841397146E-2</v>
      </c>
      <c r="ET33" s="648">
        <f t="shared" si="36"/>
        <v>7.2289075477513662E-2</v>
      </c>
      <c r="EU33" s="678">
        <f t="shared" si="36"/>
        <v>7.2178051692977988E-2</v>
      </c>
      <c r="EV33" s="648">
        <f t="shared" si="36"/>
        <v>6.3101119652873669E-2</v>
      </c>
      <c r="EW33" s="648">
        <f t="shared" si="36"/>
        <v>6.3318754440695388E-2</v>
      </c>
      <c r="EX33" s="678">
        <f t="shared" si="36"/>
        <v>6.321432137020204E-2</v>
      </c>
      <c r="EY33" s="648">
        <f t="shared" si="36"/>
        <v>6.3301357484090576E-2</v>
      </c>
      <c r="EZ33" s="648">
        <f t="shared" si="36"/>
        <v>6.3507708564650531E-2</v>
      </c>
      <c r="FA33" s="647">
        <f t="shared" si="36"/>
        <v>6.3408700576467317E-2</v>
      </c>
    </row>
    <row r="34" spans="1:184" ht="13.35" customHeight="1" outlineLevel="1">
      <c r="A34" s="760"/>
      <c r="B34" s="126"/>
      <c r="C34" s="126" t="str">
        <f>C29</f>
        <v>Seqirus</v>
      </c>
      <c r="D34" s="178" t="s">
        <v>507</v>
      </c>
      <c r="E34" s="197"/>
      <c r="F34" s="197"/>
      <c r="G34" s="197"/>
      <c r="H34" s="197"/>
      <c r="I34" s="197"/>
      <c r="J34" s="197"/>
      <c r="K34" s="197"/>
      <c r="L34" s="197"/>
      <c r="M34" s="197"/>
      <c r="N34" s="197"/>
      <c r="O34" s="197"/>
      <c r="P34" s="197"/>
      <c r="Q34" s="197"/>
      <c r="R34" s="197"/>
      <c r="S34" s="197"/>
      <c r="T34" s="197"/>
      <c r="U34" s="197"/>
      <c r="V34" s="197"/>
      <c r="W34" s="197"/>
      <c r="X34" s="197"/>
      <c r="Y34" s="197"/>
      <c r="Z34" s="197"/>
      <c r="AA34" s="197"/>
      <c r="AB34" s="197"/>
      <c r="AC34" s="197"/>
      <c r="AD34" s="197"/>
      <c r="AE34" s="197"/>
      <c r="AF34" s="197"/>
      <c r="AG34" s="197"/>
      <c r="AH34" s="197"/>
      <c r="AI34" s="197"/>
      <c r="AJ34" s="197"/>
      <c r="AK34" s="197"/>
      <c r="AL34" s="197"/>
      <c r="AM34" s="197"/>
      <c r="AN34" s="197"/>
      <c r="AO34" s="197"/>
      <c r="AP34" s="197"/>
      <c r="AQ34" s="197"/>
      <c r="AR34" s="195"/>
      <c r="AS34" s="195"/>
      <c r="AT34" s="194"/>
      <c r="AU34" s="195"/>
      <c r="AV34" s="195"/>
      <c r="AW34" s="194"/>
      <c r="AX34" s="195"/>
      <c r="AY34" s="195"/>
      <c r="AZ34" s="194"/>
      <c r="BA34" s="195"/>
      <c r="BB34" s="195"/>
      <c r="BC34" s="194"/>
      <c r="BD34" s="195"/>
      <c r="BE34" s="195"/>
      <c r="BF34" s="194"/>
      <c r="BG34" s="195"/>
      <c r="BH34" s="195"/>
      <c r="BI34" s="194"/>
      <c r="BJ34" s="195"/>
      <c r="BK34" s="195"/>
      <c r="BL34" s="194"/>
      <c r="BM34" s="195"/>
      <c r="BN34" s="195"/>
      <c r="BO34" s="194"/>
      <c r="BP34" s="195"/>
      <c r="BQ34" s="195"/>
      <c r="BR34" s="194"/>
      <c r="BS34" s="195"/>
      <c r="BT34" s="195"/>
      <c r="BU34" s="235"/>
      <c r="BV34" s="206" t="s">
        <v>187</v>
      </c>
      <c r="BW34" s="206" t="s">
        <v>187</v>
      </c>
      <c r="BX34" s="200" t="s">
        <v>187</v>
      </c>
      <c r="BY34" s="206">
        <v>-0.39900445167383208</v>
      </c>
      <c r="BZ34" s="206">
        <v>-8.5057562040554259E-4</v>
      </c>
      <c r="CA34" s="200">
        <v>-0.2515421592155857</v>
      </c>
      <c r="CB34" s="206">
        <v>0.95256462547293763</v>
      </c>
      <c r="CC34" s="206">
        <v>0.79887692583095182</v>
      </c>
      <c r="CD34" s="200">
        <v>0.87657885987346218</v>
      </c>
      <c r="CE34" s="206">
        <v>0.18371288727145058</v>
      </c>
      <c r="CF34" s="206">
        <v>-7.4026498303413568E-2</v>
      </c>
      <c r="CG34" s="200">
        <v>6.1558645091374604E-2</v>
      </c>
      <c r="CH34" s="206">
        <v>-0.63196054053785888</v>
      </c>
      <c r="CI34" s="206">
        <v>-0.57158171290797788</v>
      </c>
      <c r="CJ34" s="200">
        <v>-0.60699925154950651</v>
      </c>
      <c r="CK34" s="206">
        <v>-0.1335164543448378</v>
      </c>
      <c r="CL34" s="206">
        <v>-2.8820328926167548E-2</v>
      </c>
      <c r="CM34" s="200">
        <v>-8.6333235531856817E-2</v>
      </c>
      <c r="CN34" s="206">
        <v>-0.30024428542591719</v>
      </c>
      <c r="CO34" s="206">
        <v>-0.19026699101202874</v>
      </c>
      <c r="CP34" s="200">
        <v>-0.24756113444045605</v>
      </c>
      <c r="CQ34" s="206">
        <v>0.14436248211345992</v>
      </c>
      <c r="CR34" s="206">
        <v>-7.6782923531466526E-2</v>
      </c>
      <c r="CS34" s="200">
        <v>3.0359225903441738E-2</v>
      </c>
      <c r="CT34" s="206">
        <v>1.0810660255349411</v>
      </c>
      <c r="CU34" s="206">
        <v>-0.94087938801498205</v>
      </c>
      <c r="CV34" s="200">
        <v>0.14711538063678964</v>
      </c>
      <c r="CW34" s="206">
        <v>0.21798619766011204</v>
      </c>
      <c r="CX34" s="206">
        <v>10.124585076099958</v>
      </c>
      <c r="CY34" s="506"/>
      <c r="CZ34" s="507">
        <v>0.94598765432098852</v>
      </c>
      <c r="DA34" s="507">
        <v>1.5889145496535715</v>
      </c>
      <c r="DB34" s="506">
        <v>1.0631047538914593</v>
      </c>
      <c r="DC34" s="507">
        <v>0.33650541897964548</v>
      </c>
      <c r="DD34" s="507">
        <v>-0.31578947368420918</v>
      </c>
      <c r="DE34" s="678">
        <v>0.18739804241435581</v>
      </c>
      <c r="DF34" s="648">
        <v>0.11451740506329133</v>
      </c>
      <c r="DG34" s="648">
        <v>0.59843546284224003</v>
      </c>
      <c r="DH34" s="678">
        <v>0.17825862957238528</v>
      </c>
      <c r="DI34" s="648">
        <f t="shared" si="31"/>
        <v>0.65625554569653943</v>
      </c>
      <c r="DJ34" s="648">
        <f t="shared" si="31"/>
        <v>-0.49102773246329462</v>
      </c>
      <c r="DK34" s="678">
        <f t="shared" si="31"/>
        <v>0.45124617402710976</v>
      </c>
      <c r="DL34" s="648">
        <f t="shared" si="31"/>
        <v>0.17432765455909147</v>
      </c>
      <c r="DM34" s="648">
        <f t="shared" si="31"/>
        <v>-0.10256410256410388</v>
      </c>
      <c r="DN34" s="678">
        <f t="shared" si="31"/>
        <v>0.15697499246761068</v>
      </c>
      <c r="DO34" s="648">
        <f t="shared" si="31"/>
        <v>9.1240875912408759E-2</v>
      </c>
      <c r="DP34" s="648">
        <f t="shared" si="31"/>
        <v>0.125</v>
      </c>
      <c r="DQ34" s="678">
        <f t="shared" si="31"/>
        <v>9.2881944444444448E-2</v>
      </c>
      <c r="DR34" s="648">
        <f t="shared" si="31"/>
        <v>9.1973244147157199E-3</v>
      </c>
      <c r="DS34" s="648">
        <f t="shared" si="32"/>
        <v>0.76190476190476186</v>
      </c>
      <c r="DT34" s="678">
        <f t="shared" si="32"/>
        <v>4.6862589356632248E-2</v>
      </c>
      <c r="DU34" s="648">
        <f t="shared" si="32"/>
        <v>-0.13504556752278377</v>
      </c>
      <c r="DV34" s="648">
        <f t="shared" si="33"/>
        <v>0.91891891891891897</v>
      </c>
      <c r="DW34" s="678">
        <f t="shared" si="33"/>
        <v>-4.6282245827010619E-2</v>
      </c>
      <c r="DX34" s="648">
        <f t="shared" si="32"/>
        <v>-4.8850574712643681E-2</v>
      </c>
      <c r="DY34" s="648">
        <f t="shared" si="32"/>
        <v>-0.22195040338201599</v>
      </c>
      <c r="DZ34" s="678">
        <f t="shared" si="32"/>
        <v>-7.8182526587405987E-2</v>
      </c>
      <c r="EA34" s="648">
        <f t="shared" si="32"/>
        <v>-1.7144979736581592E-2</v>
      </c>
      <c r="EB34" s="648">
        <f t="shared" si="32"/>
        <v>-6.0447456586950113E-4</v>
      </c>
      <c r="EC34" s="678">
        <f t="shared" si="34"/>
        <v>-1.4779302772401332E-2</v>
      </c>
      <c r="ED34" s="648">
        <f t="shared" si="34"/>
        <v>-4.3087053970511146E-3</v>
      </c>
      <c r="EE34" s="648">
        <f t="shared" si="34"/>
        <v>8.695614230701294E-3</v>
      </c>
      <c r="EF34" s="678">
        <f t="shared" si="34"/>
        <v>-2.4220256792722122E-3</v>
      </c>
      <c r="EG34" s="648">
        <f t="shared" si="34"/>
        <v>1.5657407958876608E-2</v>
      </c>
      <c r="EH34" s="648">
        <f t="shared" si="34"/>
        <v>-1.0886257162291456E-2</v>
      </c>
      <c r="EI34" s="678">
        <f t="shared" si="34"/>
        <v>1.1763508660968054E-2</v>
      </c>
      <c r="EJ34" s="648">
        <f t="shared" si="34"/>
        <v>2.3586530250613261E-2</v>
      </c>
      <c r="EK34" s="648">
        <f t="shared" si="34"/>
        <v>-1.6839290302974461E-2</v>
      </c>
      <c r="EL34" s="678">
        <f t="shared" si="34"/>
        <v>1.7788908274722348E-2</v>
      </c>
      <c r="EM34" s="648">
        <f t="shared" si="35"/>
        <v>2.3734315995916608E-2</v>
      </c>
      <c r="EN34" s="648">
        <f t="shared" si="35"/>
        <v>-1.76415400259523E-2</v>
      </c>
      <c r="EO34" s="678">
        <f t="shared" si="35"/>
        <v>1.8002333660742428E-2</v>
      </c>
      <c r="EP34" s="648">
        <f t="shared" si="35"/>
        <v>2.3879579978729176E-2</v>
      </c>
      <c r="EQ34" s="648">
        <f t="shared" si="35"/>
        <v>-1.8497103620618086E-2</v>
      </c>
      <c r="ER34" s="678">
        <f t="shared" si="35"/>
        <v>1.8214500161199108E-2</v>
      </c>
      <c r="ES34" s="648">
        <f t="shared" si="36"/>
        <v>2.4022324362208487E-2</v>
      </c>
      <c r="ET34" s="648">
        <f t="shared" si="36"/>
        <v>-1.9411065213884322E-2</v>
      </c>
      <c r="EU34" s="678">
        <f t="shared" si="36"/>
        <v>1.8425327043628408E-2</v>
      </c>
      <c r="EV34" s="648">
        <f t="shared" si="36"/>
        <v>2.4162553397930508E-2</v>
      </c>
      <c r="EW34" s="648">
        <f t="shared" si="36"/>
        <v>-2.0389172731856465E-2</v>
      </c>
      <c r="EX34" s="678">
        <f t="shared" si="36"/>
        <v>1.8634735754293034E-2</v>
      </c>
      <c r="EY34" s="648">
        <f t="shared" si="36"/>
        <v>2.4300273347524659E-2</v>
      </c>
      <c r="EZ34" s="648">
        <f t="shared" si="36"/>
        <v>-2.143794997894952E-2</v>
      </c>
      <c r="FA34" s="647">
        <f t="shared" si="36"/>
        <v>1.8842650022835677E-2</v>
      </c>
    </row>
    <row r="35" spans="1:184" ht="13.35" customHeight="1" outlineLevel="1">
      <c r="A35" s="760"/>
      <c r="B35" s="126"/>
      <c r="C35" s="126" t="str">
        <f>C8</f>
        <v>Vifor</v>
      </c>
      <c r="D35" s="178" t="s">
        <v>507</v>
      </c>
      <c r="E35" s="197"/>
      <c r="F35" s="197"/>
      <c r="G35" s="197"/>
      <c r="H35" s="197"/>
      <c r="I35" s="197"/>
      <c r="J35" s="197"/>
      <c r="K35" s="197"/>
      <c r="L35" s="197"/>
      <c r="M35" s="197"/>
      <c r="N35" s="197"/>
      <c r="O35" s="197"/>
      <c r="P35" s="197"/>
      <c r="Q35" s="197"/>
      <c r="R35" s="197"/>
      <c r="S35" s="197"/>
      <c r="T35" s="197"/>
      <c r="U35" s="197"/>
      <c r="V35" s="197"/>
      <c r="W35" s="197"/>
      <c r="X35" s="197"/>
      <c r="Y35" s="197"/>
      <c r="Z35" s="197"/>
      <c r="AA35" s="197"/>
      <c r="AB35" s="197"/>
      <c r="AC35" s="197"/>
      <c r="AD35" s="197"/>
      <c r="AE35" s="197"/>
      <c r="AF35" s="197"/>
      <c r="AG35" s="197"/>
      <c r="AH35" s="197"/>
      <c r="AI35" s="197"/>
      <c r="AJ35" s="197"/>
      <c r="AK35" s="197"/>
      <c r="AL35" s="197"/>
      <c r="AM35" s="197"/>
      <c r="AN35" s="197"/>
      <c r="AO35" s="200"/>
      <c r="AP35" s="200"/>
      <c r="AQ35" s="197"/>
      <c r="AR35" s="195"/>
      <c r="AS35" s="195"/>
      <c r="AT35" s="194"/>
      <c r="AU35" s="195"/>
      <c r="AV35" s="195"/>
      <c r="AW35" s="194"/>
      <c r="AX35" s="195"/>
      <c r="AY35" s="195"/>
      <c r="AZ35" s="194"/>
      <c r="BA35" s="195"/>
      <c r="BB35" s="195"/>
      <c r="BC35" s="194"/>
      <c r="BD35" s="195"/>
      <c r="BE35" s="195"/>
      <c r="BF35" s="194"/>
      <c r="BG35" s="195"/>
      <c r="BH35" s="195"/>
      <c r="BI35" s="194"/>
      <c r="BJ35" s="195"/>
      <c r="BK35" s="195"/>
      <c r="BL35" s="194"/>
      <c r="BM35" s="195"/>
      <c r="BN35" s="195"/>
      <c r="BO35" s="194"/>
      <c r="BP35" s="195"/>
      <c r="BQ35" s="195"/>
      <c r="BR35" s="194"/>
      <c r="BS35" s="195"/>
      <c r="BT35" s="195"/>
      <c r="BU35" s="235"/>
      <c r="BV35" s="206"/>
      <c r="BW35" s="206"/>
      <c r="BX35" s="200"/>
      <c r="BY35" s="206"/>
      <c r="BZ35" s="206"/>
      <c r="CA35" s="200"/>
      <c r="CB35" s="206"/>
      <c r="CC35" s="206"/>
      <c r="CD35" s="200"/>
      <c r="CE35" s="206"/>
      <c r="CF35" s="206"/>
      <c r="CG35" s="200"/>
      <c r="CH35" s="206"/>
      <c r="CI35" s="206"/>
      <c r="CJ35" s="200"/>
      <c r="CK35" s="206"/>
      <c r="CL35" s="206"/>
      <c r="CM35" s="200"/>
      <c r="CN35" s="206"/>
      <c r="CO35" s="206"/>
      <c r="CP35" s="200"/>
      <c r="CQ35" s="206"/>
      <c r="CR35" s="206"/>
      <c r="CS35" s="200"/>
      <c r="CT35" s="206"/>
      <c r="CU35" s="206"/>
      <c r="CV35" s="200"/>
      <c r="CW35" s="206"/>
      <c r="CX35" s="206"/>
      <c r="CY35" s="506"/>
      <c r="CZ35" s="507"/>
      <c r="DA35" s="507"/>
      <c r="DB35" s="506"/>
      <c r="DC35" s="507"/>
      <c r="DD35" s="507"/>
      <c r="DE35" s="678"/>
      <c r="DF35" s="648"/>
      <c r="DG35" s="648"/>
      <c r="DH35" s="678"/>
      <c r="DI35" s="648"/>
      <c r="DJ35" s="648"/>
      <c r="DK35" s="678"/>
      <c r="DL35" s="648"/>
      <c r="DM35" s="648"/>
      <c r="DN35" s="678"/>
      <c r="DO35" s="648" t="str">
        <f t="shared" ref="DO35:ER35" si="37">IF(ISERROR((DO30-DL30)/DL30),"",(DO30-DL30)/DL30)</f>
        <v/>
      </c>
      <c r="DP35" s="648" t="str">
        <f t="shared" si="37"/>
        <v/>
      </c>
      <c r="DQ35" s="678" t="str">
        <f t="shared" si="37"/>
        <v/>
      </c>
      <c r="DR35" s="648">
        <f t="shared" si="37"/>
        <v>8.943089430894309E-2</v>
      </c>
      <c r="DS35" s="648">
        <f t="shared" si="37"/>
        <v>-6.6582914572864318E-2</v>
      </c>
      <c r="DT35" s="678">
        <f t="shared" si="37"/>
        <v>1.4174344436569809E-3</v>
      </c>
      <c r="DU35" s="648">
        <f t="shared" si="37"/>
        <v>7.9104477611940296E-2</v>
      </c>
      <c r="DV35" s="648">
        <f t="shared" si="33"/>
        <v>0.10632570659488561</v>
      </c>
      <c r="DW35" s="678">
        <f t="shared" si="33"/>
        <v>9.3418259023354558E-2</v>
      </c>
      <c r="DX35" s="648">
        <f t="shared" si="37"/>
        <v>0.17427385892116182</v>
      </c>
      <c r="DY35" s="648">
        <f t="shared" si="37"/>
        <v>-7.0904858815637489E-2</v>
      </c>
      <c r="DZ35" s="678">
        <f t="shared" si="37"/>
        <v>4.3829259581583235E-2</v>
      </c>
      <c r="EA35" s="648">
        <f t="shared" si="37"/>
        <v>-5.5237111110853316E-3</v>
      </c>
      <c r="EB35" s="648">
        <f t="shared" si="37"/>
        <v>-5.4093734299846256E-2</v>
      </c>
      <c r="EC35" s="678">
        <f t="shared" si="37"/>
        <v>-2.8524480681340315E-2</v>
      </c>
      <c r="ED35" s="648">
        <f t="shared" si="37"/>
        <v>-4.8285460952070553E-3</v>
      </c>
      <c r="EE35" s="648">
        <f t="shared" si="37"/>
        <v>3.8735786703233091E-2</v>
      </c>
      <c r="EF35" s="678">
        <f t="shared" si="37"/>
        <v>1.5258744597871941E-2</v>
      </c>
      <c r="EG35" s="648">
        <f t="shared" si="37"/>
        <v>3.9752509935080789E-2</v>
      </c>
      <c r="EH35" s="648">
        <f t="shared" si="37"/>
        <v>3.9017297256663301E-2</v>
      </c>
      <c r="EI35" s="678">
        <f t="shared" si="37"/>
        <v>3.9405667968066299E-2</v>
      </c>
      <c r="EJ35" s="648">
        <f t="shared" si="37"/>
        <v>4.0046877945946746E-2</v>
      </c>
      <c r="EK35" s="648">
        <f t="shared" si="37"/>
        <v>3.9298592580692043E-2</v>
      </c>
      <c r="EL35" s="678">
        <f t="shared" si="37"/>
        <v>3.9694000743908817E-2</v>
      </c>
      <c r="EM35" s="648">
        <f t="shared" si="37"/>
        <v>4.0341761822659465E-2</v>
      </c>
      <c r="EN35" s="648">
        <f t="shared" si="37"/>
        <v>3.9579766497556401E-2</v>
      </c>
      <c r="EO35" s="678">
        <f t="shared" si="37"/>
        <v>3.9982555925598878E-2</v>
      </c>
      <c r="EP35" s="648">
        <f t="shared" si="37"/>
        <v>4.0637283026290973E-2</v>
      </c>
      <c r="EQ35" s="648">
        <f t="shared" si="37"/>
        <v>3.9860916537006061E-2</v>
      </c>
      <c r="ER35" s="678">
        <f t="shared" si="37"/>
        <v>4.0271444283617487E-2</v>
      </c>
      <c r="ES35" s="648">
        <f t="shared" si="36"/>
        <v>4.0933566641185276E-2</v>
      </c>
      <c r="ET35" s="648">
        <f t="shared" si="36"/>
        <v>4.0142143843613011E-2</v>
      </c>
      <c r="EU35" s="678">
        <f t="shared" si="36"/>
        <v>4.0560780250717174E-2</v>
      </c>
      <c r="EV35" s="648">
        <f t="shared" si="36"/>
        <v>4.1230741246421426E-2</v>
      </c>
      <c r="EW35" s="648">
        <f t="shared" si="36"/>
        <v>4.0423553081393504E-2</v>
      </c>
      <c r="EX35" s="678">
        <f t="shared" si="36"/>
        <v>4.0850681811238555E-2</v>
      </c>
      <c r="EY35" s="648">
        <f t="shared" si="36"/>
        <v>4.1528938780716826E-2</v>
      </c>
      <c r="EZ35" s="648">
        <f t="shared" si="36"/>
        <v>4.0705252335538629E-2</v>
      </c>
      <c r="FA35" s="647">
        <f t="shared" si="36"/>
        <v>4.1141270385682646E-2</v>
      </c>
    </row>
    <row r="36" spans="1:184" ht="13.35" customHeight="1" outlineLevel="1" thickBot="1">
      <c r="A36" s="989"/>
      <c r="B36" s="4" t="s">
        <v>327</v>
      </c>
      <c r="C36" s="4"/>
      <c r="D36" s="178" t="s">
        <v>507</v>
      </c>
      <c r="E36" s="197"/>
      <c r="F36" s="197"/>
      <c r="G36" s="197"/>
      <c r="H36" s="197"/>
      <c r="I36" s="197"/>
      <c r="J36" s="197"/>
      <c r="K36" s="197"/>
      <c r="L36" s="197"/>
      <c r="M36" s="197"/>
      <c r="N36" s="197"/>
      <c r="O36" s="197"/>
      <c r="P36" s="197"/>
      <c r="Q36" s="197"/>
      <c r="R36" s="197"/>
      <c r="S36" s="197"/>
      <c r="T36" s="197"/>
      <c r="U36" s="197"/>
      <c r="V36" s="197"/>
      <c r="W36" s="197"/>
      <c r="X36" s="197"/>
      <c r="Y36" s="197"/>
      <c r="Z36" s="197"/>
      <c r="AA36" s="197"/>
      <c r="AB36" s="197"/>
      <c r="AC36" s="197"/>
      <c r="AD36" s="197"/>
      <c r="AE36" s="197"/>
      <c r="AF36" s="197"/>
      <c r="AG36" s="197"/>
      <c r="AH36" s="197"/>
      <c r="AI36" s="197"/>
      <c r="AJ36" s="197"/>
      <c r="AK36" s="197"/>
      <c r="AL36" s="197"/>
      <c r="AM36" s="197"/>
      <c r="AN36" s="197"/>
      <c r="AO36" s="208"/>
      <c r="AP36" s="208"/>
      <c r="AQ36" s="197"/>
      <c r="AR36" s="196"/>
      <c r="AS36" s="196"/>
      <c r="AT36" s="194"/>
      <c r="AU36" s="196"/>
      <c r="AV36" s="196"/>
      <c r="AW36" s="194"/>
      <c r="AX36" s="196"/>
      <c r="AY36" s="196"/>
      <c r="AZ36" s="194"/>
      <c r="BA36" s="196"/>
      <c r="BB36" s="196"/>
      <c r="BC36" s="194"/>
      <c r="BD36" s="196"/>
      <c r="BE36" s="196"/>
      <c r="BF36" s="194"/>
      <c r="BG36" s="196"/>
      <c r="BH36" s="196"/>
      <c r="BI36" s="194"/>
      <c r="BJ36" s="196"/>
      <c r="BK36" s="196"/>
      <c r="BL36" s="194"/>
      <c r="BM36" s="196"/>
      <c r="BN36" s="196"/>
      <c r="BO36" s="194"/>
      <c r="BP36" s="196"/>
      <c r="BQ36" s="196"/>
      <c r="BR36" s="194"/>
      <c r="BS36" s="196"/>
      <c r="BT36" s="196"/>
      <c r="BU36" s="235"/>
      <c r="BV36" s="209" t="s">
        <v>187</v>
      </c>
      <c r="BW36" s="209">
        <v>0.3338685216557723</v>
      </c>
      <c r="BX36" s="210" t="s">
        <v>187</v>
      </c>
      <c r="BY36" s="209">
        <v>0.24992705761777881</v>
      </c>
      <c r="BZ36" s="209">
        <v>4.3961603832172458E-2</v>
      </c>
      <c r="CA36" s="210">
        <v>0.14404331759146752</v>
      </c>
      <c r="CB36" s="209">
        <v>0.18956044383536971</v>
      </c>
      <c r="CC36" s="209">
        <v>0.24708161372349494</v>
      </c>
      <c r="CD36" s="210">
        <v>0.21654434003255399</v>
      </c>
      <c r="CE36" s="209">
        <v>8.3151780848792559E-2</v>
      </c>
      <c r="CF36" s="209">
        <v>0.15266030404407654</v>
      </c>
      <c r="CG36" s="210">
        <v>0.1165775910156447</v>
      </c>
      <c r="CH36" s="209">
        <v>-4.477438520454443E-2</v>
      </c>
      <c r="CI36" s="209">
        <v>1.402752360266275E-2</v>
      </c>
      <c r="CJ36" s="210">
        <v>-1.5583468442483478E-2</v>
      </c>
      <c r="CK36" s="209">
        <v>0.15152187574992587</v>
      </c>
      <c r="CL36" s="209">
        <v>0.15893773892654087</v>
      </c>
      <c r="CM36" s="210">
        <v>0.15531405505286347</v>
      </c>
      <c r="CN36" s="209">
        <v>5.9750380234024847E-2</v>
      </c>
      <c r="CO36" s="209">
        <v>8.4674861862677822E-2</v>
      </c>
      <c r="CP36" s="210">
        <v>7.2535751339700874E-2</v>
      </c>
      <c r="CQ36" s="209">
        <v>4.5550950863710665E-2</v>
      </c>
      <c r="CR36" s="209">
        <v>4.0428456458802768E-2</v>
      </c>
      <c r="CS36" s="210">
        <v>4.2893553536973751E-2</v>
      </c>
      <c r="CT36" s="209">
        <v>2.2738097677589635E-3</v>
      </c>
      <c r="CU36" s="209">
        <v>-5.8420416830205803E-2</v>
      </c>
      <c r="CV36" s="210">
        <v>-2.9138120293277416E-2</v>
      </c>
      <c r="CW36" s="209" t="s">
        <v>187</v>
      </c>
      <c r="CX36" s="209" t="s">
        <v>187</v>
      </c>
      <c r="CY36" s="509" t="s">
        <v>187</v>
      </c>
      <c r="CZ36" s="510" t="s">
        <v>187</v>
      </c>
      <c r="DA36" s="510" t="s">
        <v>187</v>
      </c>
      <c r="DB36" s="509" t="s">
        <v>187</v>
      </c>
      <c r="DC36" s="510">
        <v>0.1124353210620069</v>
      </c>
      <c r="DD36" s="510">
        <v>6.3635466034755409E-2</v>
      </c>
      <c r="DE36" s="679">
        <v>8.9884564493315902E-2</v>
      </c>
      <c r="DF36" s="650">
        <v>8.3380990506690997E-2</v>
      </c>
      <c r="DG36" s="650">
        <v>0.10689255047574829</v>
      </c>
      <c r="DH36" s="679">
        <v>9.3984175492945757E-2</v>
      </c>
      <c r="DI36" s="650">
        <f t="shared" ref="DI36:DX36" si="38">IF(ISERROR((DI31-DF31)/DF31),"",(DI31-DF31)/DF31)</f>
        <v>0.22198761261261252</v>
      </c>
      <c r="DJ36" s="650">
        <f t="shared" si="38"/>
        <v>-5.8285810130827053E-3</v>
      </c>
      <c r="DK36" s="679">
        <f t="shared" si="38"/>
        <v>0.11803535894688516</v>
      </c>
      <c r="DL36" s="650">
        <f t="shared" si="38"/>
        <v>-6.9692431747494015E-3</v>
      </c>
      <c r="DM36" s="650">
        <f t="shared" si="38"/>
        <v>-3.6779282129149569E-2</v>
      </c>
      <c r="DN36" s="679">
        <f t="shared" si="38"/>
        <v>-1.906456967809295E-2</v>
      </c>
      <c r="DO36" s="650">
        <f t="shared" si="38"/>
        <v>0.17220578852734766</v>
      </c>
      <c r="DP36" s="650">
        <f t="shared" si="38"/>
        <v>0.39641809344484841</v>
      </c>
      <c r="DQ36" s="679">
        <f t="shared" si="38"/>
        <v>0.261536314311136</v>
      </c>
      <c r="DR36" s="650">
        <f t="shared" si="38"/>
        <v>0.11182582879762494</v>
      </c>
      <c r="DS36" s="650">
        <f t="shared" si="38"/>
        <v>0.10128566948886798</v>
      </c>
      <c r="DT36" s="679">
        <f t="shared" si="38"/>
        <v>0.10717743050753699</v>
      </c>
      <c r="DU36" s="650">
        <f t="shared" si="38"/>
        <v>4.6728971962616821E-2</v>
      </c>
      <c r="DV36" s="650">
        <f t="shared" si="33"/>
        <v>6.4635535307517089E-2</v>
      </c>
      <c r="DW36" s="679">
        <f t="shared" si="33"/>
        <v>5.4584061953534851E-2</v>
      </c>
      <c r="DX36" s="650">
        <f t="shared" si="38"/>
        <v>-1.5731292517006803E-2</v>
      </c>
      <c r="DY36" s="650">
        <f t="shared" ref="DY36:ER36" si="39">IF(ISERROR((DY31-DV31)/DV31),"",(DY31-DV31)/DV31)</f>
        <v>7.0015256097979817E-2</v>
      </c>
      <c r="DZ36" s="679">
        <f t="shared" si="39"/>
        <v>2.224174375818383E-2</v>
      </c>
      <c r="EA36" s="650">
        <f t="shared" si="39"/>
        <v>6.0019785552171127E-2</v>
      </c>
      <c r="EB36" s="650">
        <f t="shared" si="39"/>
        <v>7.7856703236319491E-2</v>
      </c>
      <c r="EC36" s="679">
        <f t="shared" si="39"/>
        <v>6.8288059209945379E-2</v>
      </c>
      <c r="ED36" s="650">
        <f t="shared" si="39"/>
        <v>6.8114662004896714E-2</v>
      </c>
      <c r="EE36" s="650">
        <f t="shared" si="39"/>
        <v>7.8434251671179109E-2</v>
      </c>
      <c r="EF36" s="679">
        <f t="shared" si="39"/>
        <v>7.2941137615342364E-2</v>
      </c>
      <c r="EG36" s="650">
        <f t="shared" si="39"/>
        <v>6.8465805180597236E-2</v>
      </c>
      <c r="EH36" s="650">
        <f t="shared" si="39"/>
        <v>8.0030933997106479E-2</v>
      </c>
      <c r="EI36" s="679">
        <f t="shared" si="39"/>
        <v>7.3902512295053152E-2</v>
      </c>
      <c r="EJ36" s="650">
        <f t="shared" si="39"/>
        <v>6.9487639978286928E-2</v>
      </c>
      <c r="EK36" s="650">
        <f t="shared" si="39"/>
        <v>8.1221697666916143E-2</v>
      </c>
      <c r="EL36" s="679">
        <f t="shared" si="39"/>
        <v>7.5035238429018172E-2</v>
      </c>
      <c r="EM36" s="650">
        <f t="shared" si="39"/>
        <v>7.210029317425877E-2</v>
      </c>
      <c r="EN36" s="650">
        <f t="shared" si="39"/>
        <v>6.9644341515145841E-2</v>
      </c>
      <c r="EO36" s="679">
        <f t="shared" si="39"/>
        <v>7.0932492650495504E-2</v>
      </c>
      <c r="EP36" s="650">
        <f t="shared" si="39"/>
        <v>6.5043570773831452E-2</v>
      </c>
      <c r="EQ36" s="650">
        <f t="shared" si="39"/>
        <v>7.2773556396155112E-2</v>
      </c>
      <c r="ER36" s="679">
        <f t="shared" si="39"/>
        <v>6.8714743685147364E-2</v>
      </c>
      <c r="ES36" s="650">
        <f t="shared" si="36"/>
        <v>6.0144878604024718E-2</v>
      </c>
      <c r="ET36" s="650">
        <f t="shared" si="36"/>
        <v>6.5465191477226417E-2</v>
      </c>
      <c r="EU36" s="679">
        <f t="shared" si="36"/>
        <v>6.2681230954306999E-2</v>
      </c>
      <c r="EV36" s="650">
        <f t="shared" si="36"/>
        <v>5.4189857220440237E-2</v>
      </c>
      <c r="EW36" s="650">
        <f t="shared" si="36"/>
        <v>5.82403714867556E-2</v>
      </c>
      <c r="EX36" s="679">
        <f t="shared" si="36"/>
        <v>5.6125917320995762E-2</v>
      </c>
      <c r="EY36" s="650">
        <f t="shared" si="36"/>
        <v>5.4598499276018786E-2</v>
      </c>
      <c r="EZ36" s="650">
        <f t="shared" si="36"/>
        <v>5.8612118874409876E-2</v>
      </c>
      <c r="FA36" s="649">
        <f t="shared" si="36"/>
        <v>5.6520765357024716E-2</v>
      </c>
    </row>
    <row r="37" spans="1:184" ht="13.35" customHeight="1" outlineLevel="1" thickTop="1">
      <c r="A37" s="989"/>
      <c r="B37" s="5" t="s">
        <v>452</v>
      </c>
      <c r="C37" s="5"/>
      <c r="D37" s="178"/>
      <c r="E37" s="194"/>
      <c r="F37" s="194"/>
      <c r="G37" s="194"/>
      <c r="H37" s="194"/>
      <c r="I37" s="194"/>
      <c r="J37" s="194"/>
      <c r="K37" s="194"/>
      <c r="L37" s="194"/>
      <c r="M37" s="194"/>
      <c r="N37" s="194"/>
      <c r="O37" s="194"/>
      <c r="P37" s="194"/>
      <c r="Q37" s="194"/>
      <c r="R37" s="194"/>
      <c r="S37" s="194"/>
      <c r="T37" s="194"/>
      <c r="U37" s="194"/>
      <c r="V37" s="194"/>
      <c r="W37" s="194"/>
      <c r="X37" s="194"/>
      <c r="Y37" s="194"/>
      <c r="Z37" s="194"/>
      <c r="AA37" s="194"/>
      <c r="AB37" s="194"/>
      <c r="AC37" s="194"/>
      <c r="AD37" s="194"/>
      <c r="AE37" s="194"/>
      <c r="AF37" s="194"/>
      <c r="AG37" s="194"/>
      <c r="AH37" s="194"/>
      <c r="AI37" s="194"/>
      <c r="AJ37" s="194"/>
      <c r="AK37" s="194"/>
      <c r="AL37" s="194"/>
      <c r="AM37" s="194"/>
      <c r="AN37" s="194"/>
      <c r="AO37" s="194"/>
      <c r="AP37" s="194"/>
      <c r="AQ37" s="194"/>
      <c r="AR37" s="196"/>
      <c r="AS37" s="196"/>
      <c r="AT37" s="194"/>
      <c r="AU37" s="196"/>
      <c r="AV37" s="196"/>
      <c r="AW37" s="194"/>
      <c r="AX37" s="196"/>
      <c r="AY37" s="196"/>
      <c r="AZ37" s="194"/>
      <c r="BA37" s="196"/>
      <c r="BB37" s="196"/>
      <c r="BC37" s="194"/>
      <c r="BD37" s="196"/>
      <c r="BE37" s="196"/>
      <c r="BF37" s="194"/>
      <c r="BG37" s="196"/>
      <c r="BH37" s="196"/>
      <c r="BI37" s="194"/>
      <c r="BJ37" s="196"/>
      <c r="BK37" s="196"/>
      <c r="BL37" s="194"/>
      <c r="BM37" s="196"/>
      <c r="BN37" s="196"/>
      <c r="BO37" s="194"/>
      <c r="BP37" s="196"/>
      <c r="BQ37" s="196"/>
      <c r="BR37" s="194"/>
      <c r="BS37" s="196"/>
      <c r="BT37" s="196"/>
      <c r="BU37" s="235"/>
      <c r="BV37" s="196"/>
      <c r="BW37" s="196"/>
      <c r="BX37" s="224"/>
      <c r="BY37" s="196"/>
      <c r="BZ37" s="196"/>
      <c r="CA37" s="224"/>
      <c r="CB37" s="196"/>
      <c r="CC37" s="196"/>
      <c r="CD37" s="224"/>
      <c r="CE37" s="196"/>
      <c r="CF37" s="196"/>
      <c r="CG37" s="224"/>
      <c r="CH37" s="196"/>
      <c r="CI37" s="196"/>
      <c r="CJ37" s="224"/>
      <c r="CK37" s="196"/>
      <c r="CL37" s="196"/>
      <c r="CM37" s="224"/>
      <c r="CN37" s="196"/>
      <c r="CO37" s="196"/>
      <c r="CP37" s="224"/>
      <c r="CQ37" s="196"/>
      <c r="CR37" s="196"/>
      <c r="CS37" s="224"/>
      <c r="CT37" s="196"/>
      <c r="CU37" s="196"/>
      <c r="CV37" s="224"/>
      <c r="CW37" s="196"/>
      <c r="CX37" s="196"/>
      <c r="CY37" s="508"/>
      <c r="CZ37" s="505"/>
      <c r="DA37" s="505"/>
      <c r="DB37" s="508"/>
      <c r="DC37" s="505"/>
      <c r="DD37" s="505"/>
      <c r="DE37" s="678"/>
      <c r="DF37" s="526"/>
      <c r="DG37" s="526"/>
      <c r="DH37" s="678"/>
      <c r="DI37" s="526"/>
      <c r="DJ37" s="526"/>
      <c r="DK37" s="678"/>
      <c r="DL37" s="526"/>
      <c r="DM37" s="526"/>
      <c r="DN37" s="678"/>
      <c r="DO37" s="526"/>
      <c r="DP37" s="526"/>
      <c r="DQ37" s="678"/>
      <c r="DR37" s="526"/>
      <c r="DS37" s="526"/>
      <c r="DT37" s="678"/>
      <c r="DU37" s="526"/>
      <c r="DV37" s="526"/>
      <c r="DW37" s="678"/>
      <c r="DX37" s="526"/>
      <c r="DY37" s="526"/>
      <c r="DZ37" s="678"/>
      <c r="EA37" s="526"/>
      <c r="EB37" s="526"/>
      <c r="EC37" s="678"/>
      <c r="ED37" s="526"/>
      <c r="EE37" s="526"/>
      <c r="EF37" s="678"/>
      <c r="EG37" s="526"/>
      <c r="EH37" s="526"/>
      <c r="EI37" s="678"/>
      <c r="EJ37" s="526"/>
      <c r="EK37" s="526"/>
      <c r="EL37" s="678"/>
      <c r="EM37" s="526"/>
      <c r="EN37" s="526"/>
      <c r="EO37" s="678"/>
      <c r="EP37" s="526"/>
      <c r="EQ37" s="526"/>
      <c r="ER37" s="678"/>
      <c r="ES37" s="526"/>
      <c r="ET37" s="526"/>
      <c r="EU37" s="678"/>
      <c r="EV37" s="526"/>
      <c r="EW37" s="526"/>
      <c r="EX37" s="678"/>
      <c r="EY37" s="526"/>
      <c r="EZ37" s="526"/>
      <c r="FA37" s="647"/>
    </row>
    <row r="38" spans="1:184" ht="13.35" customHeight="1" outlineLevel="1">
      <c r="A38" s="760" t="s">
        <v>1024</v>
      </c>
      <c r="B38" s="5"/>
      <c r="C38" s="126" t="str">
        <f>C28</f>
        <v>CSL Behring</v>
      </c>
      <c r="D38" s="178" t="s">
        <v>507</v>
      </c>
      <c r="E38" s="194"/>
      <c r="F38" s="194"/>
      <c r="G38" s="194"/>
      <c r="H38" s="194"/>
      <c r="I38" s="194"/>
      <c r="J38" s="194"/>
      <c r="K38" s="194"/>
      <c r="L38" s="194"/>
      <c r="M38" s="194"/>
      <c r="N38" s="194"/>
      <c r="O38" s="194"/>
      <c r="P38" s="194"/>
      <c r="Q38" s="194"/>
      <c r="R38" s="194"/>
      <c r="S38" s="194"/>
      <c r="T38" s="194"/>
      <c r="U38" s="194"/>
      <c r="V38" s="194"/>
      <c r="W38" s="194"/>
      <c r="X38" s="194"/>
      <c r="Y38" s="194"/>
      <c r="Z38" s="194"/>
      <c r="AA38" s="194"/>
      <c r="AB38" s="194"/>
      <c r="AC38" s="194"/>
      <c r="AD38" s="194"/>
      <c r="AE38" s="194"/>
      <c r="AF38" s="194"/>
      <c r="AG38" s="194"/>
      <c r="AH38" s="194"/>
      <c r="AI38" s="194"/>
      <c r="AJ38" s="194"/>
      <c r="AK38" s="194"/>
      <c r="AL38" s="194"/>
      <c r="AM38" s="194"/>
      <c r="AN38" s="194"/>
      <c r="AO38" s="194"/>
      <c r="AP38" s="194"/>
      <c r="AQ38" s="194"/>
      <c r="AR38" s="196"/>
      <c r="AS38" s="196"/>
      <c r="AT38" s="194"/>
      <c r="AU38" s="196"/>
      <c r="AV38" s="196"/>
      <c r="AW38" s="194"/>
      <c r="AX38" s="196"/>
      <c r="AY38" s="196"/>
      <c r="AZ38" s="194"/>
      <c r="BA38" s="196"/>
      <c r="BB38" s="196"/>
      <c r="BC38" s="194"/>
      <c r="BD38" s="196"/>
      <c r="BE38" s="196"/>
      <c r="BF38" s="194"/>
      <c r="BG38" s="196"/>
      <c r="BH38" s="196"/>
      <c r="BI38" s="194"/>
      <c r="BJ38" s="196"/>
      <c r="BK38" s="196"/>
      <c r="BL38" s="194"/>
      <c r="BM38" s="196"/>
      <c r="BN38" s="196"/>
      <c r="BO38" s="197"/>
      <c r="BP38" s="196"/>
      <c r="BQ38" s="196"/>
      <c r="BR38" s="197"/>
      <c r="BS38" s="196"/>
      <c r="BT38" s="196"/>
      <c r="BU38" s="199"/>
      <c r="BV38" s="206">
        <v>0.47971410005091775</v>
      </c>
      <c r="BW38" s="206">
        <v>0.5041212498197285</v>
      </c>
      <c r="BX38" s="200">
        <v>0.49290923196276176</v>
      </c>
      <c r="BY38" s="206">
        <v>0.5700971050680379</v>
      </c>
      <c r="BZ38" s="206">
        <v>0.53943425645988463</v>
      </c>
      <c r="CA38" s="200">
        <v>0.55541579315164213</v>
      </c>
      <c r="CB38" s="206">
        <v>0.56462262088214621</v>
      </c>
      <c r="CC38" s="206">
        <v>0.54424845108368158</v>
      </c>
      <c r="CD38" s="200">
        <v>0.55459918264696628</v>
      </c>
      <c r="CE38" s="206">
        <v>0.57754662875275187</v>
      </c>
      <c r="CF38" s="206">
        <v>0.56574101008192057</v>
      </c>
      <c r="CG38" s="200">
        <v>0.57137378362907842</v>
      </c>
      <c r="CH38" s="206">
        <v>0.52767416188083793</v>
      </c>
      <c r="CI38" s="206">
        <v>0.55381722147316792</v>
      </c>
      <c r="CJ38" s="200">
        <v>0.54086757292253884</v>
      </c>
      <c r="CK38" s="206">
        <v>0.57940688964953735</v>
      </c>
      <c r="CL38" s="206">
        <v>0.60634840395865663</v>
      </c>
      <c r="CM38" s="200">
        <v>0.59298389486092717</v>
      </c>
      <c r="CN38" s="206">
        <v>0.59629865501294099</v>
      </c>
      <c r="CO38" s="206">
        <v>0.58654650178258338</v>
      </c>
      <c r="CP38" s="200">
        <v>0.59119789305013981</v>
      </c>
      <c r="CQ38" s="206">
        <v>0.58700321027287317</v>
      </c>
      <c r="CR38" s="206">
        <v>0.6206739343171408</v>
      </c>
      <c r="CS38" s="200">
        <v>0.60404773416291813</v>
      </c>
      <c r="CT38" s="206">
        <v>0.53125960061443922</v>
      </c>
      <c r="CU38" s="206">
        <v>0.57025735294117608</v>
      </c>
      <c r="CV38" s="200">
        <v>0.55118332081141974</v>
      </c>
      <c r="CW38" s="206" t="s">
        <v>187</v>
      </c>
      <c r="CX38" s="206" t="s">
        <v>187</v>
      </c>
      <c r="CY38" s="506">
        <v>0.58300262074129539</v>
      </c>
      <c r="CZ38" s="506">
        <v>0.58300262074129539</v>
      </c>
      <c r="DA38" s="506">
        <v>0.58300262074129539</v>
      </c>
      <c r="DB38" s="506">
        <v>0.58300262074129539</v>
      </c>
      <c r="DC38" s="507">
        <f t="shared" ref="DC38:DH39" si="40">DC28/DC17</f>
        <v>0.59538271188347114</v>
      </c>
      <c r="DD38" s="507">
        <f t="shared" si="40"/>
        <v>0.54870995853909732</v>
      </c>
      <c r="DE38" s="678">
        <f t="shared" si="40"/>
        <v>0.57131378610630668</v>
      </c>
      <c r="DF38" s="648">
        <f t="shared" si="40"/>
        <v>0.5851736530952073</v>
      </c>
      <c r="DG38" s="648">
        <f t="shared" si="40"/>
        <v>0.57115141486287191</v>
      </c>
      <c r="DH38" s="678">
        <f t="shared" si="40"/>
        <v>0.57810206343484061</v>
      </c>
      <c r="DI38" s="648">
        <f t="shared" ref="DI38:DQ38" si="41">DI28/DI17</f>
        <v>0.58844321319004023</v>
      </c>
      <c r="DJ38" s="648">
        <f t="shared" si="41"/>
        <v>0.54204698555690134</v>
      </c>
      <c r="DK38" s="678">
        <f t="shared" si="41"/>
        <v>0.56539685907860726</v>
      </c>
      <c r="DL38" s="648">
        <f t="shared" si="41"/>
        <v>0.53996602543501204</v>
      </c>
      <c r="DM38" s="648">
        <f t="shared" si="41"/>
        <v>0.52512847107632832</v>
      </c>
      <c r="DN38" s="678">
        <f t="shared" si="41"/>
        <v>0.5326456084852994</v>
      </c>
      <c r="DO38" s="648">
        <f t="shared" si="41"/>
        <v>0.48957647575159097</v>
      </c>
      <c r="DP38" s="648">
        <f t="shared" si="41"/>
        <v>0.49228818930910628</v>
      </c>
      <c r="DQ38" s="678">
        <f t="shared" si="41"/>
        <v>0.49095801937567279</v>
      </c>
      <c r="DR38" s="648">
        <f t="shared" ref="DR38:EU38" si="42">DR28/DR17</f>
        <v>0.49961817487590682</v>
      </c>
      <c r="DS38" s="648">
        <f t="shared" si="42"/>
        <v>0.49497206703910612</v>
      </c>
      <c r="DT38" s="678">
        <f t="shared" si="42"/>
        <v>0.49726621417797889</v>
      </c>
      <c r="DU38" s="648">
        <f t="shared" si="42"/>
        <v>0.51140518892564857</v>
      </c>
      <c r="DV38" s="648">
        <f t="shared" ref="DV38:DX41" si="43">DV28/DV17</f>
        <v>0.49935364727608494</v>
      </c>
      <c r="DW38" s="678">
        <f t="shared" si="43"/>
        <v>0.50555655135328914</v>
      </c>
      <c r="DX38" s="648">
        <f t="shared" si="43"/>
        <v>0.51155963302752294</v>
      </c>
      <c r="DY38" s="648">
        <f t="shared" si="42"/>
        <v>0.502</v>
      </c>
      <c r="DZ38" s="678">
        <f t="shared" si="42"/>
        <v>0.5065037180744727</v>
      </c>
      <c r="EA38" s="648">
        <f t="shared" si="42"/>
        <v>0.51500000000000001</v>
      </c>
      <c r="EB38" s="648">
        <f t="shared" si="42"/>
        <v>0.53</v>
      </c>
      <c r="EC38" s="678">
        <f t="shared" si="42"/>
        <v>0.52278027690637996</v>
      </c>
      <c r="ED38" s="648">
        <f t="shared" si="42"/>
        <v>0.53500000000000003</v>
      </c>
      <c r="EE38" s="648">
        <f t="shared" si="42"/>
        <v>0.54</v>
      </c>
      <c r="EF38" s="678">
        <f t="shared" si="42"/>
        <v>0.53759409212410025</v>
      </c>
      <c r="EG38" s="648">
        <f t="shared" si="42"/>
        <v>0.54500000000000004</v>
      </c>
      <c r="EH38" s="648">
        <f t="shared" si="42"/>
        <v>0.55000000000000004</v>
      </c>
      <c r="EI38" s="678">
        <f t="shared" si="42"/>
        <v>0.54759645902571485</v>
      </c>
      <c r="EJ38" s="648">
        <f t="shared" si="42"/>
        <v>0.55500000000000005</v>
      </c>
      <c r="EK38" s="648">
        <f t="shared" si="42"/>
        <v>0.56000000000000005</v>
      </c>
      <c r="EL38" s="678">
        <f t="shared" si="42"/>
        <v>0.5576020813207353</v>
      </c>
      <c r="EM38" s="648">
        <f t="shared" si="42"/>
        <v>0.56999999999999995</v>
      </c>
      <c r="EN38" s="648">
        <f t="shared" si="42"/>
        <v>0.56999999999999995</v>
      </c>
      <c r="EO38" s="678">
        <f t="shared" si="42"/>
        <v>0.56999999999999995</v>
      </c>
      <c r="EP38" s="648">
        <f t="shared" si="42"/>
        <v>0.57999999999999996</v>
      </c>
      <c r="EQ38" s="648">
        <f t="shared" si="42"/>
        <v>0.57999999999999996</v>
      </c>
      <c r="ER38" s="678">
        <f t="shared" si="42"/>
        <v>0.57999999999999996</v>
      </c>
      <c r="ES38" s="648">
        <f t="shared" si="42"/>
        <v>0.58499999999999996</v>
      </c>
      <c r="ET38" s="648">
        <f t="shared" si="42"/>
        <v>0.58499999999999996</v>
      </c>
      <c r="EU38" s="678">
        <f t="shared" si="42"/>
        <v>0.58499999999999996</v>
      </c>
      <c r="EV38" s="648">
        <f t="shared" ref="EV38:FA41" si="44">EV28/EV17</f>
        <v>0.58499999999999996</v>
      </c>
      <c r="EW38" s="648">
        <f t="shared" si="44"/>
        <v>0.58499999999999996</v>
      </c>
      <c r="EX38" s="678">
        <f t="shared" si="44"/>
        <v>0.58499999999999996</v>
      </c>
      <c r="EY38" s="648">
        <f t="shared" si="44"/>
        <v>0.58499999999999996</v>
      </c>
      <c r="EZ38" s="648">
        <f t="shared" si="44"/>
        <v>0.58499999999999996</v>
      </c>
      <c r="FA38" s="647">
        <f t="shared" si="44"/>
        <v>0.58499999999999996</v>
      </c>
    </row>
    <row r="39" spans="1:184" ht="13.35" customHeight="1" outlineLevel="1">
      <c r="A39" s="760"/>
      <c r="B39" s="126"/>
      <c r="C39" s="126" t="str">
        <f>C29</f>
        <v>Seqirus</v>
      </c>
      <c r="D39" s="178" t="str">
        <f>D38</f>
        <v>%</v>
      </c>
      <c r="E39" s="197"/>
      <c r="F39" s="197"/>
      <c r="G39" s="197"/>
      <c r="H39" s="197"/>
      <c r="I39" s="197"/>
      <c r="J39" s="197"/>
      <c r="K39" s="197"/>
      <c r="L39" s="197"/>
      <c r="M39" s="197"/>
      <c r="N39" s="197"/>
      <c r="O39" s="197"/>
      <c r="P39" s="197"/>
      <c r="Q39" s="197"/>
      <c r="R39" s="197"/>
      <c r="S39" s="197"/>
      <c r="T39" s="197"/>
      <c r="U39" s="197"/>
      <c r="V39" s="197"/>
      <c r="W39" s="197"/>
      <c r="X39" s="197"/>
      <c r="Y39" s="197"/>
      <c r="Z39" s="197"/>
      <c r="AA39" s="197"/>
      <c r="AB39" s="197"/>
      <c r="AC39" s="197"/>
      <c r="AD39" s="197"/>
      <c r="AE39" s="197"/>
      <c r="AF39" s="197"/>
      <c r="AG39" s="197"/>
      <c r="AH39" s="197"/>
      <c r="AI39" s="197"/>
      <c r="AJ39" s="197"/>
      <c r="AK39" s="197"/>
      <c r="AL39" s="197"/>
      <c r="AM39" s="197"/>
      <c r="AN39" s="197"/>
      <c r="AO39" s="196"/>
      <c r="AP39" s="196"/>
      <c r="AQ39" s="194"/>
      <c r="AR39" s="196"/>
      <c r="AS39" s="196"/>
      <c r="AT39" s="194"/>
      <c r="AU39" s="196"/>
      <c r="AV39" s="196"/>
      <c r="AW39" s="194"/>
      <c r="AX39" s="196"/>
      <c r="AY39" s="196"/>
      <c r="AZ39" s="194"/>
      <c r="BA39" s="196"/>
      <c r="BB39" s="196"/>
      <c r="BC39" s="194"/>
      <c r="BD39" s="196"/>
      <c r="BE39" s="196"/>
      <c r="BF39" s="194"/>
      <c r="BG39" s="196"/>
      <c r="BH39" s="196"/>
      <c r="BI39" s="194"/>
      <c r="BJ39" s="196"/>
      <c r="BK39" s="196"/>
      <c r="BL39" s="194"/>
      <c r="BM39" s="196"/>
      <c r="BN39" s="196"/>
      <c r="BO39" s="197"/>
      <c r="BP39" s="196"/>
      <c r="BQ39" s="196"/>
      <c r="BR39" s="197"/>
      <c r="BS39" s="196"/>
      <c r="BT39" s="196"/>
      <c r="BU39" s="199"/>
      <c r="BV39" s="206">
        <v>0.59916782228882293</v>
      </c>
      <c r="BW39" s="206">
        <v>0.41139410166649459</v>
      </c>
      <c r="BX39" s="200">
        <v>0.51252683485756123</v>
      </c>
      <c r="BY39" s="206">
        <v>0.42319366162429162</v>
      </c>
      <c r="BZ39" s="206">
        <v>0.37669561475889918</v>
      </c>
      <c r="CA39" s="200">
        <v>0.39885206165060755</v>
      </c>
      <c r="CB39" s="206">
        <v>0.53361140634950821</v>
      </c>
      <c r="CC39" s="206">
        <v>0.56286050121976072</v>
      </c>
      <c r="CD39" s="200">
        <v>0.54708534304960976</v>
      </c>
      <c r="CE39" s="206">
        <v>0.79535664580157639</v>
      </c>
      <c r="CF39" s="206">
        <v>0.57255415319593161</v>
      </c>
      <c r="CG39" s="200">
        <v>0.68513607768818474</v>
      </c>
      <c r="CH39" s="206">
        <v>0.48276387586051339</v>
      </c>
      <c r="CI39" s="206">
        <v>0.44905677310306047</v>
      </c>
      <c r="CJ39" s="200">
        <v>0.46696727744265148</v>
      </c>
      <c r="CK39" s="206">
        <v>0.36893790859351855</v>
      </c>
      <c r="CL39" s="206">
        <v>0.44034136602341267</v>
      </c>
      <c r="CM39" s="200">
        <v>0.40000990921575275</v>
      </c>
      <c r="CN39" s="206">
        <v>0.30842153704555919</v>
      </c>
      <c r="CO39" s="206">
        <v>0.40518061283183149</v>
      </c>
      <c r="CP39" s="200">
        <v>0.35172079292754221</v>
      </c>
      <c r="CQ39" s="206">
        <v>0.30422520250394325</v>
      </c>
      <c r="CR39" s="206">
        <v>0.411991616422894</v>
      </c>
      <c r="CS39" s="200">
        <v>0.34603407102603201</v>
      </c>
      <c r="CT39" s="206">
        <v>0.30017942940531323</v>
      </c>
      <c r="CU39" s="206">
        <v>1.9491389451809577E-2</v>
      </c>
      <c r="CV39" s="200">
        <v>0.2235438884331418</v>
      </c>
      <c r="CW39" s="206">
        <v>0.31354838709677396</v>
      </c>
      <c r="CX39" s="206">
        <v>0.15475339528234511</v>
      </c>
      <c r="CY39" s="506">
        <v>0.26416981551455887</v>
      </c>
      <c r="CZ39" s="507">
        <v>0.47825537294563847</v>
      </c>
      <c r="DA39" s="507">
        <v>0.3774410774410773</v>
      </c>
      <c r="DB39" s="506">
        <v>0.45073529411764701</v>
      </c>
      <c r="DC39" s="507">
        <f t="shared" si="40"/>
        <v>0.53299599409656329</v>
      </c>
      <c r="DD39" s="507">
        <f t="shared" si="40"/>
        <v>0.31128246753246808</v>
      </c>
      <c r="DE39" s="678">
        <f t="shared" si="40"/>
        <v>0.4872803347280335</v>
      </c>
      <c r="DF39" s="648">
        <f t="shared" si="40"/>
        <v>0.55375393081761004</v>
      </c>
      <c r="DG39" s="648">
        <f t="shared" si="40"/>
        <v>0.43864042933810382</v>
      </c>
      <c r="DH39" s="678">
        <f t="shared" si="40"/>
        <v>0.52894919435664178</v>
      </c>
      <c r="DI39" s="648">
        <f t="shared" ref="DI39:DQ39" si="45">DI29/DI18</f>
        <v>0.65503930376193142</v>
      </c>
      <c r="DJ39" s="648">
        <f t="shared" si="45"/>
        <v>0.19891616193815781</v>
      </c>
      <c r="DK39" s="678">
        <f t="shared" si="45"/>
        <v>0.57273511647972397</v>
      </c>
      <c r="DL39" s="648">
        <f t="shared" si="45"/>
        <v>0.65044510385756682</v>
      </c>
      <c r="DM39" s="648">
        <f t="shared" si="45"/>
        <v>0.20071684587813624</v>
      </c>
      <c r="DN39" s="678">
        <f t="shared" si="45"/>
        <v>0.5865580448065173</v>
      </c>
      <c r="DO39" s="648">
        <f t="shared" si="45"/>
        <v>0.68814729574223243</v>
      </c>
      <c r="DP39" s="648">
        <f t="shared" si="45"/>
        <v>0.21501706484641642</v>
      </c>
      <c r="DQ39" s="678">
        <f t="shared" si="45"/>
        <v>0.61989167897587394</v>
      </c>
      <c r="DR39" s="648">
        <f t="shared" ref="DR39:EU39" si="46">DR29/DR18</f>
        <v>0.66906873614190687</v>
      </c>
      <c r="DS39" s="648">
        <f t="shared" si="46"/>
        <v>0.34259259259259262</v>
      </c>
      <c r="DT39" s="678">
        <f t="shared" si="46"/>
        <v>0.61936090225563911</v>
      </c>
      <c r="DU39" s="648">
        <f t="shared" si="46"/>
        <v>0.6285370258880193</v>
      </c>
      <c r="DV39" s="648">
        <f t="shared" si="43"/>
        <v>0.42178217821782177</v>
      </c>
      <c r="DW39" s="678">
        <f t="shared" si="43"/>
        <v>0.58033240997229918</v>
      </c>
      <c r="DX39" s="648">
        <f t="shared" si="43"/>
        <v>0.60328068043742411</v>
      </c>
      <c r="DY39" s="648">
        <f t="shared" si="46"/>
        <v>0.45865621026156334</v>
      </c>
      <c r="DZ39" s="678">
        <f t="shared" si="46"/>
        <v>0.57724772905831456</v>
      </c>
      <c r="EA39" s="648">
        <f t="shared" si="46"/>
        <v>0.60340595212233039</v>
      </c>
      <c r="EB39" s="648">
        <f t="shared" si="46"/>
        <v>0.46100238309236263</v>
      </c>
      <c r="EC39" s="678">
        <f t="shared" si="46"/>
        <v>0.57752392833850341</v>
      </c>
      <c r="ED39" s="648">
        <f t="shared" si="46"/>
        <v>0.6047769215139791</v>
      </c>
      <c r="EE39" s="648">
        <f t="shared" si="46"/>
        <v>0.46565427965491007</v>
      </c>
      <c r="EF39" s="678">
        <f t="shared" si="46"/>
        <v>0.57938333504539674</v>
      </c>
      <c r="EG39" s="648">
        <f t="shared" si="46"/>
        <v>0.60375667285656087</v>
      </c>
      <c r="EH39" s="648">
        <f t="shared" si="46"/>
        <v>0.45801208111619962</v>
      </c>
      <c r="EI39" s="678">
        <f t="shared" si="46"/>
        <v>0.5774062235072811</v>
      </c>
      <c r="EJ39" s="648">
        <f t="shared" si="46"/>
        <v>0.60226141707020864</v>
      </c>
      <c r="EK39" s="648">
        <f t="shared" si="46"/>
        <v>0.44648337185189579</v>
      </c>
      <c r="EL39" s="678">
        <f t="shared" si="46"/>
        <v>0.574493461728532</v>
      </c>
      <c r="EM39" s="648">
        <f t="shared" si="46"/>
        <v>0.60079887603284632</v>
      </c>
      <c r="EN39" s="648">
        <f t="shared" si="46"/>
        <v>0.4348113171720136</v>
      </c>
      <c r="EO39" s="678">
        <f t="shared" si="46"/>
        <v>0.57162686319741607</v>
      </c>
      <c r="EP39" s="648">
        <f t="shared" si="46"/>
        <v>0.59936860582551232</v>
      </c>
      <c r="EQ39" s="648">
        <f t="shared" si="46"/>
        <v>0.42299842012447708</v>
      </c>
      <c r="ER39" s="678">
        <f t="shared" si="46"/>
        <v>0.5688065615897604</v>
      </c>
      <c r="ES39" s="648">
        <f t="shared" si="46"/>
        <v>0.59797015433089273</v>
      </c>
      <c r="ET39" s="648">
        <f t="shared" si="46"/>
        <v>0.41104736902257982</v>
      </c>
      <c r="EU39" s="678">
        <f t="shared" si="46"/>
        <v>0.56603264651077823</v>
      </c>
      <c r="EV39" s="648">
        <f t="shared" si="44"/>
        <v>0.59660306214301329</v>
      </c>
      <c r="EW39" s="648">
        <f t="shared" si="44"/>
        <v>0.39896103749976275</v>
      </c>
      <c r="EX39" s="678">
        <f t="shared" si="44"/>
        <v>0.56330516478937109</v>
      </c>
      <c r="EY39" s="648">
        <f t="shared" si="44"/>
        <v>0.59526686344469859</v>
      </c>
      <c r="EZ39" s="648">
        <f t="shared" si="44"/>
        <v>0.38674248410108936</v>
      </c>
      <c r="FA39" s="647">
        <f t="shared" si="44"/>
        <v>0.56062412181798738</v>
      </c>
    </row>
    <row r="40" spans="1:184" ht="13.35" customHeight="1" outlineLevel="1">
      <c r="A40" s="760"/>
      <c r="B40" s="126"/>
      <c r="C40" s="126" t="str">
        <f>C8</f>
        <v>Vifor</v>
      </c>
      <c r="D40" s="178" t="s">
        <v>507</v>
      </c>
      <c r="E40" s="197"/>
      <c r="F40" s="197"/>
      <c r="G40" s="197"/>
      <c r="H40" s="197"/>
      <c r="I40" s="197"/>
      <c r="J40" s="197"/>
      <c r="K40" s="197"/>
      <c r="L40" s="197"/>
      <c r="M40" s="197"/>
      <c r="N40" s="197"/>
      <c r="O40" s="197"/>
      <c r="P40" s="197"/>
      <c r="Q40" s="197"/>
      <c r="R40" s="197"/>
      <c r="S40" s="197"/>
      <c r="T40" s="197"/>
      <c r="U40" s="197"/>
      <c r="V40" s="197"/>
      <c r="W40" s="197"/>
      <c r="X40" s="197"/>
      <c r="Y40" s="197"/>
      <c r="Z40" s="197"/>
      <c r="AA40" s="197"/>
      <c r="AB40" s="197"/>
      <c r="AC40" s="197"/>
      <c r="AD40" s="197"/>
      <c r="AE40" s="197"/>
      <c r="AF40" s="197"/>
      <c r="AG40" s="197"/>
      <c r="AH40" s="197"/>
      <c r="AI40" s="197"/>
      <c r="AJ40" s="197"/>
      <c r="AK40" s="197"/>
      <c r="AL40" s="197"/>
      <c r="AM40" s="197"/>
      <c r="AN40" s="197"/>
      <c r="AO40" s="200"/>
      <c r="AP40" s="200"/>
      <c r="AQ40" s="197"/>
      <c r="AR40" s="196"/>
      <c r="AS40" s="196"/>
      <c r="AT40" s="194"/>
      <c r="AU40" s="196"/>
      <c r="AV40" s="196"/>
      <c r="AW40" s="194"/>
      <c r="AX40" s="196"/>
      <c r="AY40" s="196"/>
      <c r="AZ40" s="194"/>
      <c r="BA40" s="196"/>
      <c r="BB40" s="196"/>
      <c r="BC40" s="194"/>
      <c r="BD40" s="196"/>
      <c r="BE40" s="196"/>
      <c r="BF40" s="194"/>
      <c r="BG40" s="196"/>
      <c r="BH40" s="196"/>
      <c r="BI40" s="194"/>
      <c r="BJ40" s="196"/>
      <c r="BK40" s="196"/>
      <c r="BL40" s="194"/>
      <c r="BM40" s="196"/>
      <c r="BN40" s="196"/>
      <c r="BO40" s="197"/>
      <c r="BP40" s="196"/>
      <c r="BQ40" s="196"/>
      <c r="BR40" s="197"/>
      <c r="BS40" s="196"/>
      <c r="BT40" s="196"/>
      <c r="BU40" s="199"/>
      <c r="BV40" s="206"/>
      <c r="BW40" s="206"/>
      <c r="BX40" s="200"/>
      <c r="BY40" s="206"/>
      <c r="BZ40" s="206"/>
      <c r="CA40" s="200"/>
      <c r="CB40" s="206"/>
      <c r="CC40" s="206"/>
      <c r="CD40" s="200"/>
      <c r="CE40" s="206"/>
      <c r="CF40" s="206"/>
      <c r="CG40" s="200"/>
      <c r="CH40" s="206"/>
      <c r="CI40" s="206"/>
      <c r="CJ40" s="200"/>
      <c r="CK40" s="206"/>
      <c r="CL40" s="206"/>
      <c r="CM40" s="200"/>
      <c r="CN40" s="206"/>
      <c r="CO40" s="206"/>
      <c r="CP40" s="200"/>
      <c r="CQ40" s="206"/>
      <c r="CR40" s="206"/>
      <c r="CS40" s="200"/>
      <c r="CT40" s="206"/>
      <c r="CU40" s="206"/>
      <c r="CV40" s="200"/>
      <c r="CW40" s="206"/>
      <c r="CX40" s="206"/>
      <c r="CY40" s="506"/>
      <c r="CZ40" s="507"/>
      <c r="DA40" s="507"/>
      <c r="DB40" s="506"/>
      <c r="DC40" s="507"/>
      <c r="DD40" s="507"/>
      <c r="DE40" s="678"/>
      <c r="DF40" s="648"/>
      <c r="DG40" s="648"/>
      <c r="DH40" s="678"/>
      <c r="DI40" s="648"/>
      <c r="DJ40" s="648"/>
      <c r="DK40" s="678"/>
      <c r="DL40" s="648"/>
      <c r="DM40" s="648"/>
      <c r="DN40" s="678"/>
      <c r="DO40" s="648">
        <f t="shared" ref="DO40:DQ41" si="47">DO30/DO19</f>
        <v>0.69178852643419575</v>
      </c>
      <c r="DP40" s="648">
        <f t="shared" si="47"/>
        <v>0.72363636363636363</v>
      </c>
      <c r="DQ40" s="678">
        <f t="shared" si="47"/>
        <v>0.70940170940170943</v>
      </c>
      <c r="DR40" s="648">
        <f t="shared" ref="DR40:EU40" si="48">DR30/DR19</f>
        <v>0.66271018793273984</v>
      </c>
      <c r="DS40" s="648">
        <f t="shared" si="48"/>
        <v>0.70560303893637222</v>
      </c>
      <c r="DT40" s="678">
        <f t="shared" si="48"/>
        <v>0.68459302325581395</v>
      </c>
      <c r="DU40" s="648">
        <f t="shared" si="48"/>
        <v>0.67006487488415201</v>
      </c>
      <c r="DV40" s="648">
        <f t="shared" si="43"/>
        <v>0.7116883116883117</v>
      </c>
      <c r="DW40" s="678">
        <f t="shared" si="43"/>
        <v>0.69158460161145929</v>
      </c>
      <c r="DX40" s="648">
        <f t="shared" si="43"/>
        <v>0.68689320388349517</v>
      </c>
      <c r="DY40" s="648">
        <f t="shared" si="48"/>
        <v>0.68689320388349517</v>
      </c>
      <c r="DZ40" s="678">
        <f t="shared" si="48"/>
        <v>0.68689320388349517</v>
      </c>
      <c r="EA40" s="648">
        <f t="shared" si="48"/>
        <v>0.67</v>
      </c>
      <c r="EB40" s="648">
        <f t="shared" si="48"/>
        <v>0.67</v>
      </c>
      <c r="EC40" s="678">
        <f t="shared" si="48"/>
        <v>0.67</v>
      </c>
      <c r="ED40" s="648">
        <f t="shared" si="48"/>
        <v>0.67</v>
      </c>
      <c r="EE40" s="648">
        <f t="shared" si="48"/>
        <v>0.67</v>
      </c>
      <c r="EF40" s="678">
        <f t="shared" si="48"/>
        <v>0.66999999999999993</v>
      </c>
      <c r="EG40" s="648">
        <f t="shared" si="48"/>
        <v>0.67</v>
      </c>
      <c r="EH40" s="648">
        <f t="shared" si="48"/>
        <v>0.67</v>
      </c>
      <c r="EI40" s="678">
        <f t="shared" si="48"/>
        <v>0.67</v>
      </c>
      <c r="EJ40" s="648">
        <f t="shared" si="48"/>
        <v>0.67</v>
      </c>
      <c r="EK40" s="648">
        <f t="shared" si="48"/>
        <v>0.67</v>
      </c>
      <c r="EL40" s="678">
        <f t="shared" si="48"/>
        <v>0.66999999999999993</v>
      </c>
      <c r="EM40" s="648">
        <f t="shared" si="48"/>
        <v>0.67</v>
      </c>
      <c r="EN40" s="648">
        <f t="shared" si="48"/>
        <v>0.67</v>
      </c>
      <c r="EO40" s="678">
        <f t="shared" si="48"/>
        <v>0.67</v>
      </c>
      <c r="EP40" s="648">
        <f t="shared" si="48"/>
        <v>0.67</v>
      </c>
      <c r="EQ40" s="648">
        <f t="shared" si="48"/>
        <v>0.67</v>
      </c>
      <c r="ER40" s="678">
        <f t="shared" si="48"/>
        <v>0.67</v>
      </c>
      <c r="ES40" s="648">
        <f t="shared" si="48"/>
        <v>0.67</v>
      </c>
      <c r="ET40" s="648">
        <f t="shared" si="48"/>
        <v>0.67</v>
      </c>
      <c r="EU40" s="678">
        <f t="shared" si="48"/>
        <v>0.67</v>
      </c>
      <c r="EV40" s="648">
        <f t="shared" si="44"/>
        <v>0.67</v>
      </c>
      <c r="EW40" s="648">
        <f t="shared" si="44"/>
        <v>0.67</v>
      </c>
      <c r="EX40" s="678">
        <f t="shared" si="44"/>
        <v>0.67</v>
      </c>
      <c r="EY40" s="648">
        <f t="shared" si="44"/>
        <v>0.67</v>
      </c>
      <c r="EZ40" s="648">
        <f t="shared" si="44"/>
        <v>0.67</v>
      </c>
      <c r="FA40" s="647">
        <f t="shared" si="44"/>
        <v>0.67</v>
      </c>
    </row>
    <row r="41" spans="1:184" ht="13.35" customHeight="1" outlineLevel="1" thickBot="1">
      <c r="A41" s="760"/>
      <c r="B41" s="4" t="s">
        <v>327</v>
      </c>
      <c r="C41" s="4"/>
      <c r="D41" s="178" t="s">
        <v>507</v>
      </c>
      <c r="E41" s="197"/>
      <c r="F41" s="197"/>
      <c r="G41" s="197"/>
      <c r="H41" s="197"/>
      <c r="I41" s="197"/>
      <c r="J41" s="197"/>
      <c r="K41" s="197"/>
      <c r="L41" s="197"/>
      <c r="M41" s="197"/>
      <c r="N41" s="197"/>
      <c r="O41" s="197"/>
      <c r="P41" s="197"/>
      <c r="Q41" s="197"/>
      <c r="R41" s="197"/>
      <c r="S41" s="197"/>
      <c r="T41" s="197"/>
      <c r="U41" s="197"/>
      <c r="V41" s="197"/>
      <c r="W41" s="197"/>
      <c r="X41" s="197"/>
      <c r="Y41" s="197"/>
      <c r="Z41" s="197"/>
      <c r="AA41" s="197"/>
      <c r="AB41" s="197"/>
      <c r="AC41" s="197"/>
      <c r="AD41" s="197"/>
      <c r="AE41" s="197"/>
      <c r="AF41" s="197"/>
      <c r="AG41" s="197"/>
      <c r="AH41" s="197"/>
      <c r="AI41" s="197"/>
      <c r="AJ41" s="197"/>
      <c r="AK41" s="197"/>
      <c r="AL41" s="197"/>
      <c r="AM41" s="197"/>
      <c r="AN41" s="197"/>
      <c r="AO41" s="208"/>
      <c r="AP41" s="208"/>
      <c r="AQ41" s="197"/>
      <c r="AR41" s="196"/>
      <c r="AS41" s="196"/>
      <c r="AT41" s="194"/>
      <c r="AU41" s="196"/>
      <c r="AV41" s="196"/>
      <c r="AW41" s="194"/>
      <c r="AX41" s="196"/>
      <c r="AY41" s="196"/>
      <c r="AZ41" s="194"/>
      <c r="BA41" s="196"/>
      <c r="BB41" s="196"/>
      <c r="BC41" s="194"/>
      <c r="BD41" s="196"/>
      <c r="BE41" s="196"/>
      <c r="BF41" s="194"/>
      <c r="BG41" s="196"/>
      <c r="BH41" s="196"/>
      <c r="BI41" s="194"/>
      <c r="BJ41" s="196"/>
      <c r="BK41" s="196"/>
      <c r="BL41" s="194"/>
      <c r="BM41" s="196"/>
      <c r="BN41" s="196"/>
      <c r="BO41" s="197"/>
      <c r="BP41" s="196"/>
      <c r="BQ41" s="196"/>
      <c r="BR41" s="197"/>
      <c r="BS41" s="196"/>
      <c r="BT41" s="196"/>
      <c r="BU41" s="199"/>
      <c r="BV41" s="209">
        <v>0.50761183078034444</v>
      </c>
      <c r="BW41" s="209">
        <v>0.48728728006474931</v>
      </c>
      <c r="BX41" s="210">
        <v>0.47223902263152889</v>
      </c>
      <c r="BY41" s="209">
        <v>0.54501997878542197</v>
      </c>
      <c r="BZ41" s="209">
        <v>0.50728640953591109</v>
      </c>
      <c r="CA41" s="210">
        <v>0.50614656632935007</v>
      </c>
      <c r="CB41" s="209">
        <v>0.55757266224492008</v>
      </c>
      <c r="CC41" s="209">
        <v>0.54808327215198571</v>
      </c>
      <c r="CD41" s="210">
        <v>0.54081397032830725</v>
      </c>
      <c r="CE41" s="209">
        <v>0.6177712646513136</v>
      </c>
      <c r="CF41" s="209">
        <v>0.56688765851821166</v>
      </c>
      <c r="CG41" s="210">
        <v>0.57872693703674249</v>
      </c>
      <c r="CH41" s="209">
        <v>0.52321525541963942</v>
      </c>
      <c r="CI41" s="209">
        <v>0.54469149831039088</v>
      </c>
      <c r="CJ41" s="210">
        <v>0.51814335538102907</v>
      </c>
      <c r="CK41" s="209">
        <v>0.55748426898503367</v>
      </c>
      <c r="CL41" s="209">
        <v>0.59289673570363322</v>
      </c>
      <c r="CM41" s="210">
        <v>0.55994460364589516</v>
      </c>
      <c r="CN41" s="209">
        <v>0.57199763033175366</v>
      </c>
      <c r="CO41" s="209">
        <v>0.5749836544105148</v>
      </c>
      <c r="CP41" s="210">
        <v>0.57354280879614372</v>
      </c>
      <c r="CQ41" s="209">
        <v>0.54290199017923058</v>
      </c>
      <c r="CR41" s="209">
        <v>0.59840276842683449</v>
      </c>
      <c r="CS41" s="210">
        <v>0.57027595994202884</v>
      </c>
      <c r="CT41" s="209">
        <v>0.49207638523146535</v>
      </c>
      <c r="CU41" s="209">
        <v>0.5325877287314672</v>
      </c>
      <c r="CV41" s="210">
        <v>0.51160947253690903</v>
      </c>
      <c r="CW41" s="209" t="s">
        <v>187</v>
      </c>
      <c r="CX41" s="209" t="s">
        <v>187</v>
      </c>
      <c r="CY41" s="509">
        <f>CY31/CY9</f>
        <v>0.54040383860976315</v>
      </c>
      <c r="CZ41" s="510">
        <v>0.57795866991215072</v>
      </c>
      <c r="DA41" s="510">
        <v>0.54954333708354808</v>
      </c>
      <c r="DB41" s="509">
        <v>0.56447105788423146</v>
      </c>
      <c r="DC41" s="510">
        <f t="shared" ref="DC41:DN41" si="49">DC31/DC20</f>
        <v>0.58224560468833242</v>
      </c>
      <c r="DD41" s="510">
        <f t="shared" si="49"/>
        <v>0.53420445810914685</v>
      </c>
      <c r="DE41" s="679">
        <f t="shared" si="49"/>
        <v>0.55955211468862365</v>
      </c>
      <c r="DF41" s="650">
        <f t="shared" si="49"/>
        <v>0.5786627382706836</v>
      </c>
      <c r="DG41" s="650">
        <f t="shared" si="49"/>
        <v>0.5624168741102642</v>
      </c>
      <c r="DH41" s="679">
        <f t="shared" si="49"/>
        <v>0.57113486215337705</v>
      </c>
      <c r="DI41" s="650">
        <f t="shared" si="49"/>
        <v>0.60497462924969114</v>
      </c>
      <c r="DJ41" s="650">
        <f t="shared" si="49"/>
        <v>0.51850651020077143</v>
      </c>
      <c r="DK41" s="679">
        <f t="shared" si="49"/>
        <v>0.56663397975930352</v>
      </c>
      <c r="DL41" s="650">
        <f t="shared" si="49"/>
        <v>0.57078063960802483</v>
      </c>
      <c r="DM41" s="650">
        <f t="shared" si="49"/>
        <v>0.5051092630275148</v>
      </c>
      <c r="DN41" s="679">
        <f t="shared" si="49"/>
        <v>0.54267022646368235</v>
      </c>
      <c r="DO41" s="650">
        <f t="shared" si="47"/>
        <v>0.5626391982182628</v>
      </c>
      <c r="DP41" s="650">
        <f t="shared" si="47"/>
        <v>0.52056807051909892</v>
      </c>
      <c r="DQ41" s="679">
        <f t="shared" si="47"/>
        <v>0.54327573253193084</v>
      </c>
      <c r="DR41" s="650">
        <f t="shared" ref="DR41:EU41" si="50">DR31/DR20</f>
        <v>0.55805289954054393</v>
      </c>
      <c r="DS41" s="650">
        <f t="shared" si="50"/>
        <v>0.52052764191492518</v>
      </c>
      <c r="DT41" s="679">
        <f t="shared" si="50"/>
        <v>0.54094594594594592</v>
      </c>
      <c r="DU41" s="650">
        <f t="shared" si="50"/>
        <v>0.55452080631851941</v>
      </c>
      <c r="DV41" s="650">
        <f t="shared" si="43"/>
        <v>0.52848056537102472</v>
      </c>
      <c r="DW41" s="679">
        <f t="shared" si="43"/>
        <v>0.54267900758452248</v>
      </c>
      <c r="DX41" s="650">
        <f t="shared" si="43"/>
        <v>0.55568891022563616</v>
      </c>
      <c r="DY41" s="650">
        <f t="shared" si="50"/>
        <v>0.52701659238694332</v>
      </c>
      <c r="DZ41" s="679">
        <f t="shared" si="50"/>
        <v>0.54201954046628176</v>
      </c>
      <c r="EA41" s="650">
        <f t="shared" si="50"/>
        <v>0.55312900799199793</v>
      </c>
      <c r="EB41" s="650">
        <f t="shared" si="50"/>
        <v>0.5459731648264522</v>
      </c>
      <c r="EC41" s="679">
        <f t="shared" si="50"/>
        <v>0.54975901064013932</v>
      </c>
      <c r="ED41" s="650">
        <f t="shared" si="50"/>
        <v>0.56535006077631478</v>
      </c>
      <c r="EE41" s="650">
        <f t="shared" si="50"/>
        <v>0.55417144164652277</v>
      </c>
      <c r="EF41" s="679">
        <f t="shared" si="50"/>
        <v>0.56003940604052282</v>
      </c>
      <c r="EG41" s="650">
        <f t="shared" si="50"/>
        <v>0.57142777232979736</v>
      </c>
      <c r="EH41" s="650">
        <f t="shared" si="50"/>
        <v>0.5619093678827819</v>
      </c>
      <c r="EI41" s="679">
        <f t="shared" si="50"/>
        <v>0.56688781466547555</v>
      </c>
      <c r="EJ41" s="650">
        <f t="shared" si="50"/>
        <v>0.57768538928504887</v>
      </c>
      <c r="EK41" s="650">
        <f t="shared" si="50"/>
        <v>0.56962152897064711</v>
      </c>
      <c r="EL41" s="679">
        <f t="shared" si="50"/>
        <v>0.57382275828991836</v>
      </c>
      <c r="EM41" s="650">
        <f t="shared" si="50"/>
        <v>0.58776457192698484</v>
      </c>
      <c r="EN41" s="650">
        <f t="shared" si="50"/>
        <v>0.57756721555148727</v>
      </c>
      <c r="EO41" s="679">
        <f t="shared" si="50"/>
        <v>0.58287705608319806</v>
      </c>
      <c r="EP41" s="650">
        <f t="shared" si="50"/>
        <v>0.59445808201447503</v>
      </c>
      <c r="EQ41" s="650">
        <f t="shared" si="50"/>
        <v>0.58559363261555586</v>
      </c>
      <c r="ER41" s="679">
        <f t="shared" si="50"/>
        <v>0.59019889972540418</v>
      </c>
      <c r="ES41" s="650">
        <f t="shared" si="50"/>
        <v>0.59764513107999506</v>
      </c>
      <c r="ET41" s="650">
        <f t="shared" si="50"/>
        <v>0.5894911916562211</v>
      </c>
      <c r="EU41" s="679">
        <f t="shared" si="50"/>
        <v>0.5937197634656306</v>
      </c>
      <c r="EV41" s="650">
        <f t="shared" si="44"/>
        <v>0.59725566058765778</v>
      </c>
      <c r="EW41" s="650">
        <f t="shared" si="44"/>
        <v>0.58920086361410651</v>
      </c>
      <c r="EX41" s="679">
        <f t="shared" si="44"/>
        <v>0.59337062892104464</v>
      </c>
      <c r="EY41" s="650">
        <f t="shared" si="44"/>
        <v>0.59688329448697142</v>
      </c>
      <c r="EZ41" s="650">
        <f t="shared" si="44"/>
        <v>0.58893307320988564</v>
      </c>
      <c r="FA41" s="649">
        <f t="shared" si="44"/>
        <v>0.59304149694811559</v>
      </c>
    </row>
    <row r="42" spans="1:184" ht="13.35" customHeight="1" outlineLevel="1" thickTop="1" thickBot="1">
      <c r="A42" s="760"/>
      <c r="B42" s="4"/>
      <c r="C42" s="4"/>
      <c r="D42" s="178"/>
      <c r="E42" s="197"/>
      <c r="F42" s="197"/>
      <c r="G42" s="197"/>
      <c r="H42" s="197"/>
      <c r="I42" s="197"/>
      <c r="J42" s="197"/>
      <c r="K42" s="197"/>
      <c r="L42" s="197"/>
      <c r="M42" s="197"/>
      <c r="N42" s="197"/>
      <c r="O42" s="197"/>
      <c r="P42" s="197"/>
      <c r="Q42" s="197"/>
      <c r="R42" s="197"/>
      <c r="S42" s="197"/>
      <c r="T42" s="197"/>
      <c r="U42" s="197"/>
      <c r="V42" s="197"/>
      <c r="W42" s="197"/>
      <c r="X42" s="197"/>
      <c r="Y42" s="197"/>
      <c r="Z42" s="197"/>
      <c r="AA42" s="197"/>
      <c r="AB42" s="197"/>
      <c r="AC42" s="197"/>
      <c r="AD42" s="197"/>
      <c r="AE42" s="197"/>
      <c r="AF42" s="197"/>
      <c r="AG42" s="197"/>
      <c r="AH42" s="197"/>
      <c r="AI42" s="197"/>
      <c r="AJ42" s="197"/>
      <c r="AK42" s="197"/>
      <c r="AL42" s="197"/>
      <c r="AM42" s="197"/>
      <c r="AN42" s="197"/>
      <c r="AO42" s="197"/>
      <c r="AP42" s="197"/>
      <c r="AQ42" s="197"/>
      <c r="AR42" s="196"/>
      <c r="AS42" s="196"/>
      <c r="AT42" s="194"/>
      <c r="AU42" s="196"/>
      <c r="AV42" s="196"/>
      <c r="AW42" s="194"/>
      <c r="AX42" s="196"/>
      <c r="AY42" s="196"/>
      <c r="AZ42" s="194"/>
      <c r="BA42" s="196"/>
      <c r="BB42" s="196"/>
      <c r="BC42" s="194"/>
      <c r="BD42" s="196"/>
      <c r="BE42" s="196"/>
      <c r="BF42" s="194"/>
      <c r="BG42" s="196"/>
      <c r="BH42" s="196"/>
      <c r="BI42" s="194"/>
      <c r="BJ42" s="196"/>
      <c r="BK42" s="196"/>
      <c r="BL42" s="194"/>
      <c r="BM42" s="196"/>
      <c r="BN42" s="196"/>
      <c r="BO42" s="197"/>
      <c r="BP42" s="196"/>
      <c r="BQ42" s="196"/>
      <c r="BR42" s="197"/>
      <c r="BS42" s="196"/>
      <c r="BT42" s="196"/>
      <c r="BU42" s="199"/>
      <c r="BV42" s="196"/>
      <c r="BW42" s="196"/>
      <c r="BX42" s="197"/>
      <c r="BY42" s="196"/>
      <c r="BZ42" s="196"/>
      <c r="CA42" s="197"/>
      <c r="CB42" s="196"/>
      <c r="CC42" s="196"/>
      <c r="CD42" s="197"/>
      <c r="CE42" s="196"/>
      <c r="CF42" s="196"/>
      <c r="CG42" s="197"/>
      <c r="CH42" s="196"/>
      <c r="CI42" s="196"/>
      <c r="CJ42" s="197"/>
      <c r="CK42" s="196"/>
      <c r="CL42" s="196"/>
      <c r="CM42" s="197"/>
      <c r="CN42" s="196"/>
      <c r="CO42" s="196"/>
      <c r="CP42" s="197"/>
      <c r="CQ42" s="196"/>
      <c r="CR42" s="196"/>
      <c r="CS42" s="197"/>
      <c r="CT42" s="196"/>
      <c r="CU42" s="196"/>
      <c r="CV42" s="197"/>
      <c r="CW42" s="196"/>
      <c r="CX42" s="196"/>
      <c r="CY42" s="516"/>
      <c r="CZ42" s="505"/>
      <c r="DA42" s="505"/>
      <c r="DB42" s="516"/>
      <c r="DC42" s="505"/>
      <c r="DD42" s="505"/>
      <c r="DE42" s="678"/>
      <c r="DF42" s="562"/>
      <c r="DG42" s="562"/>
      <c r="DH42" s="678"/>
      <c r="DI42" s="562"/>
      <c r="DJ42" s="562"/>
      <c r="DK42" s="678"/>
      <c r="DL42" s="562"/>
      <c r="DM42" s="562"/>
      <c r="DN42" s="678"/>
      <c r="DO42" s="562"/>
      <c r="DP42" s="562"/>
      <c r="DQ42" s="678"/>
      <c r="DR42" s="562"/>
      <c r="DS42" s="562"/>
      <c r="DT42" s="678"/>
      <c r="DU42" s="562"/>
      <c r="DV42" s="562"/>
      <c r="DW42" s="678"/>
      <c r="DX42" s="562"/>
      <c r="DY42" s="562"/>
      <c r="DZ42" s="678"/>
      <c r="EA42" s="562"/>
      <c r="EB42" s="562"/>
      <c r="EC42" s="678"/>
      <c r="ED42" s="562"/>
      <c r="EE42" s="562"/>
      <c r="EF42" s="678"/>
      <c r="EG42" s="562"/>
      <c r="EH42" s="562"/>
      <c r="EI42" s="678"/>
      <c r="EJ42" s="562"/>
      <c r="EK42" s="562"/>
      <c r="EL42" s="678"/>
      <c r="EM42" s="562"/>
      <c r="EN42" s="562"/>
      <c r="EO42" s="678"/>
      <c r="EP42" s="562"/>
      <c r="EQ42" s="562"/>
      <c r="ER42" s="678"/>
      <c r="ES42" s="562"/>
      <c r="ET42" s="562"/>
      <c r="EU42" s="678"/>
      <c r="EV42" s="562"/>
      <c r="EW42" s="562"/>
      <c r="EX42" s="678"/>
      <c r="EY42" s="562"/>
      <c r="EZ42" s="562"/>
      <c r="FA42" s="563"/>
    </row>
    <row r="43" spans="1:184" ht="13.35" customHeight="1" outlineLevel="1" thickTop="1">
      <c r="A43" s="1016"/>
      <c r="B43" s="173" t="s">
        <v>907</v>
      </c>
      <c r="C43" s="173"/>
      <c r="D43" s="220"/>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5"/>
      <c r="AD43" s="175"/>
      <c r="AE43" s="175"/>
      <c r="AF43" s="175"/>
      <c r="AG43" s="175"/>
      <c r="AH43" s="175"/>
      <c r="AI43" s="175"/>
      <c r="AJ43" s="175"/>
      <c r="AK43" s="175"/>
      <c r="AL43" s="175"/>
      <c r="AM43" s="175"/>
      <c r="AN43" s="175"/>
      <c r="AO43" s="175"/>
      <c r="AP43" s="175"/>
      <c r="AQ43" s="175"/>
      <c r="AR43" s="175"/>
      <c r="AS43" s="175"/>
      <c r="AT43" s="175"/>
      <c r="AU43" s="175"/>
      <c r="AV43" s="175"/>
      <c r="AW43" s="175"/>
      <c r="AX43" s="175"/>
      <c r="AY43" s="175"/>
      <c r="AZ43" s="175"/>
      <c r="BA43" s="175"/>
      <c r="BB43" s="175"/>
      <c r="BC43" s="175" t="str">
        <f t="shared" ref="BC43:CH43" si="51">BC5</f>
        <v>2001a</v>
      </c>
      <c r="BD43" s="175" t="str">
        <f t="shared" si="51"/>
        <v>1h02</v>
      </c>
      <c r="BE43" s="175" t="str">
        <f t="shared" si="51"/>
        <v>2h02f</v>
      </c>
      <c r="BF43" s="175" t="str">
        <f t="shared" si="51"/>
        <v>2002</v>
      </c>
      <c r="BG43" s="175" t="str">
        <f t="shared" si="51"/>
        <v>1h03</v>
      </c>
      <c r="BH43" s="175" t="str">
        <f t="shared" si="51"/>
        <v>2h03</v>
      </c>
      <c r="BI43" s="175" t="str">
        <f t="shared" si="51"/>
        <v>2003</v>
      </c>
      <c r="BJ43" s="175" t="str">
        <f t="shared" si="51"/>
        <v>1h04</v>
      </c>
      <c r="BK43" s="175" t="str">
        <f t="shared" si="51"/>
        <v>2h04</v>
      </c>
      <c r="BL43" s="175" t="str">
        <f t="shared" si="51"/>
        <v>2004</v>
      </c>
      <c r="BM43" s="175" t="str">
        <f t="shared" si="51"/>
        <v>1h05</v>
      </c>
      <c r="BN43" s="175" t="str">
        <f t="shared" si="51"/>
        <v>2h05</v>
      </c>
      <c r="BO43" s="175" t="str">
        <f t="shared" si="51"/>
        <v>2005</v>
      </c>
      <c r="BP43" s="175" t="str">
        <f t="shared" si="51"/>
        <v>1h06</v>
      </c>
      <c r="BQ43" s="175" t="str">
        <f t="shared" si="51"/>
        <v>2h06</v>
      </c>
      <c r="BR43" s="175" t="str">
        <f t="shared" si="51"/>
        <v>2006</v>
      </c>
      <c r="BS43" s="175" t="str">
        <f t="shared" si="51"/>
        <v>1h07</v>
      </c>
      <c r="BT43" s="175" t="str">
        <f t="shared" si="51"/>
        <v>2h07</v>
      </c>
      <c r="BU43" s="175" t="str">
        <f t="shared" si="51"/>
        <v>2007</v>
      </c>
      <c r="BV43" s="175" t="str">
        <f t="shared" si="51"/>
        <v>1h08</v>
      </c>
      <c r="BW43" s="175" t="str">
        <f t="shared" si="51"/>
        <v>2h08</v>
      </c>
      <c r="BX43" s="175" t="str">
        <f t="shared" si="51"/>
        <v>2008</v>
      </c>
      <c r="BY43" s="175" t="str">
        <f t="shared" si="51"/>
        <v>1h09</v>
      </c>
      <c r="BZ43" s="175" t="str">
        <f t="shared" si="51"/>
        <v>2h09</v>
      </c>
      <c r="CA43" s="175" t="str">
        <f t="shared" si="51"/>
        <v>2009</v>
      </c>
      <c r="CB43" s="175" t="str">
        <f t="shared" si="51"/>
        <v>1h10</v>
      </c>
      <c r="CC43" s="175" t="str">
        <f t="shared" si="51"/>
        <v>2h10</v>
      </c>
      <c r="CD43" s="175" t="str">
        <f t="shared" si="51"/>
        <v>2010</v>
      </c>
      <c r="CE43" s="175" t="str">
        <f t="shared" si="51"/>
        <v>1h11</v>
      </c>
      <c r="CF43" s="175" t="str">
        <f t="shared" si="51"/>
        <v>2h11</v>
      </c>
      <c r="CG43" s="175" t="str">
        <f t="shared" si="51"/>
        <v>2011</v>
      </c>
      <c r="CH43" s="175" t="str">
        <f t="shared" si="51"/>
        <v>1h12</v>
      </c>
      <c r="CI43" s="175" t="str">
        <f t="shared" ref="CI43:DN43" si="52">CI5</f>
        <v>2h12</v>
      </c>
      <c r="CJ43" s="175" t="str">
        <f t="shared" si="52"/>
        <v>2012</v>
      </c>
      <c r="CK43" s="175" t="str">
        <f t="shared" si="52"/>
        <v>1h13</v>
      </c>
      <c r="CL43" s="175" t="str">
        <f t="shared" si="52"/>
        <v>2h13</v>
      </c>
      <c r="CM43" s="175" t="str">
        <f t="shared" si="52"/>
        <v>2013</v>
      </c>
      <c r="CN43" s="175" t="str">
        <f t="shared" si="52"/>
        <v>1h14</v>
      </c>
      <c r="CO43" s="175" t="str">
        <f t="shared" si="52"/>
        <v>2h14</v>
      </c>
      <c r="CP43" s="175" t="str">
        <f t="shared" si="52"/>
        <v>2014</v>
      </c>
      <c r="CQ43" s="175" t="str">
        <f t="shared" si="52"/>
        <v>1h15</v>
      </c>
      <c r="CR43" s="175" t="str">
        <f t="shared" si="52"/>
        <v>2h15</v>
      </c>
      <c r="CS43" s="175" t="str">
        <f t="shared" si="52"/>
        <v>2015</v>
      </c>
      <c r="CT43" s="175" t="str">
        <f t="shared" si="52"/>
        <v>1h16</v>
      </c>
      <c r="CU43" s="175" t="str">
        <f t="shared" si="52"/>
        <v>2h16</v>
      </c>
      <c r="CV43" s="175" t="str">
        <f t="shared" si="52"/>
        <v>2016</v>
      </c>
      <c r="CW43" s="175" t="str">
        <f t="shared" si="52"/>
        <v>1h17</v>
      </c>
      <c r="CX43" s="175" t="str">
        <f t="shared" si="52"/>
        <v>2h17</v>
      </c>
      <c r="CY43" s="222" t="str">
        <f t="shared" si="52"/>
        <v>2017</v>
      </c>
      <c r="CZ43" s="222" t="str">
        <f t="shared" si="52"/>
        <v>1h18</v>
      </c>
      <c r="DA43" s="222" t="str">
        <f t="shared" si="52"/>
        <v>2h18</v>
      </c>
      <c r="DB43" s="222" t="str">
        <f t="shared" si="52"/>
        <v>2018</v>
      </c>
      <c r="DC43" s="222" t="str">
        <f t="shared" si="52"/>
        <v>1h19</v>
      </c>
      <c r="DD43" s="222" t="str">
        <f t="shared" si="52"/>
        <v>2h19</v>
      </c>
      <c r="DE43" s="777" t="str">
        <f t="shared" si="52"/>
        <v>2019</v>
      </c>
      <c r="DF43" s="222" t="str">
        <f t="shared" si="52"/>
        <v>1h20</v>
      </c>
      <c r="DG43" s="222" t="str">
        <f t="shared" si="52"/>
        <v>2h20</v>
      </c>
      <c r="DH43" s="682" t="str">
        <f t="shared" si="52"/>
        <v>2020</v>
      </c>
      <c r="DI43" s="222" t="str">
        <f t="shared" si="52"/>
        <v>1h21</v>
      </c>
      <c r="DJ43" s="222" t="str">
        <f t="shared" si="52"/>
        <v>2h21</v>
      </c>
      <c r="DK43" s="682" t="str">
        <f t="shared" si="52"/>
        <v>2021</v>
      </c>
      <c r="DL43" s="222" t="str">
        <f t="shared" si="52"/>
        <v>1h22</v>
      </c>
      <c r="DM43" s="222" t="str">
        <f t="shared" si="52"/>
        <v>2h22</v>
      </c>
      <c r="DN43" s="682" t="str">
        <f t="shared" si="52"/>
        <v>2022</v>
      </c>
      <c r="DO43" s="222" t="str">
        <f t="shared" ref="DO43:ET43" si="53">DO5</f>
        <v>1h23</v>
      </c>
      <c r="DP43" s="222" t="str">
        <f t="shared" si="53"/>
        <v>2h23</v>
      </c>
      <c r="DQ43" s="682" t="str">
        <f t="shared" si="53"/>
        <v>2023</v>
      </c>
      <c r="DR43" s="222" t="str">
        <f t="shared" si="53"/>
        <v>1h24</v>
      </c>
      <c r="DS43" s="222" t="str">
        <f t="shared" si="53"/>
        <v>2h24</v>
      </c>
      <c r="DT43" s="682" t="str">
        <f t="shared" si="53"/>
        <v>2024</v>
      </c>
      <c r="DU43" s="222" t="str">
        <f t="shared" si="53"/>
        <v>1h25</v>
      </c>
      <c r="DV43" s="222" t="str">
        <f t="shared" si="53"/>
        <v>2h25</v>
      </c>
      <c r="DW43" s="682" t="str">
        <f t="shared" si="53"/>
        <v>2025</v>
      </c>
      <c r="DX43" s="222" t="str">
        <f t="shared" ref="DX43" si="54">DX5</f>
        <v>1h26</v>
      </c>
      <c r="DY43" s="222" t="str">
        <f t="shared" si="53"/>
        <v>2h26E</v>
      </c>
      <c r="DZ43" s="682" t="str">
        <f t="shared" si="53"/>
        <v>2026E</v>
      </c>
      <c r="EA43" s="222" t="str">
        <f t="shared" si="53"/>
        <v>1h27E</v>
      </c>
      <c r="EB43" s="222" t="str">
        <f t="shared" si="53"/>
        <v>2h27E</v>
      </c>
      <c r="EC43" s="682" t="str">
        <f t="shared" si="53"/>
        <v>2027E</v>
      </c>
      <c r="ED43" s="222" t="str">
        <f t="shared" si="53"/>
        <v>1h28E</v>
      </c>
      <c r="EE43" s="222" t="str">
        <f t="shared" si="53"/>
        <v>2h28E</v>
      </c>
      <c r="EF43" s="682" t="str">
        <f t="shared" si="53"/>
        <v>2028E</v>
      </c>
      <c r="EG43" s="222" t="str">
        <f t="shared" si="53"/>
        <v>1h29E</v>
      </c>
      <c r="EH43" s="222" t="str">
        <f t="shared" si="53"/>
        <v>2h29E</v>
      </c>
      <c r="EI43" s="682" t="str">
        <f t="shared" si="53"/>
        <v>2029E</v>
      </c>
      <c r="EJ43" s="222" t="str">
        <f t="shared" si="53"/>
        <v>1h30E</v>
      </c>
      <c r="EK43" s="222" t="str">
        <f t="shared" si="53"/>
        <v>2h30E</v>
      </c>
      <c r="EL43" s="682" t="str">
        <f t="shared" si="53"/>
        <v>2030E</v>
      </c>
      <c r="EM43" s="222" t="str">
        <f t="shared" si="53"/>
        <v>1h31E</v>
      </c>
      <c r="EN43" s="222" t="str">
        <f t="shared" si="53"/>
        <v>2h31E</v>
      </c>
      <c r="EO43" s="682" t="str">
        <f t="shared" si="53"/>
        <v>2031E</v>
      </c>
      <c r="EP43" s="222" t="str">
        <f t="shared" si="53"/>
        <v>1h32E</v>
      </c>
      <c r="EQ43" s="222" t="str">
        <f t="shared" si="53"/>
        <v>2h32E</v>
      </c>
      <c r="ER43" s="682" t="str">
        <f t="shared" si="53"/>
        <v>2032E</v>
      </c>
      <c r="ES43" s="222" t="str">
        <f t="shared" si="53"/>
        <v>1h33E</v>
      </c>
      <c r="ET43" s="222" t="str">
        <f t="shared" si="53"/>
        <v>2h33E</v>
      </c>
      <c r="EU43" s="682" t="str">
        <f t="shared" ref="EU43:FA43" si="55">EU5</f>
        <v>2033E</v>
      </c>
      <c r="EV43" s="222" t="str">
        <f t="shared" si="55"/>
        <v>1h34E</v>
      </c>
      <c r="EW43" s="222" t="str">
        <f t="shared" si="55"/>
        <v>2h34E</v>
      </c>
      <c r="EX43" s="682" t="str">
        <f t="shared" si="55"/>
        <v>2034E</v>
      </c>
      <c r="EY43" s="222" t="str">
        <f t="shared" si="55"/>
        <v>1h35E</v>
      </c>
      <c r="EZ43" s="222" t="str">
        <f t="shared" si="55"/>
        <v>2h35E</v>
      </c>
      <c r="FA43" s="222" t="str">
        <f t="shared" si="55"/>
        <v>2035E</v>
      </c>
    </row>
    <row r="44" spans="1:184" ht="13.35" customHeight="1" outlineLevel="1">
      <c r="A44" s="989"/>
      <c r="B44" s="5"/>
      <c r="C44" s="126" t="s">
        <v>461</v>
      </c>
      <c r="D44" s="178" t="s">
        <v>357</v>
      </c>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c r="AL44" s="8"/>
      <c r="AM44" s="8"/>
      <c r="AN44" s="8"/>
      <c r="AO44" s="8"/>
      <c r="AP44" s="8"/>
      <c r="AQ44" s="8"/>
      <c r="AR44" s="179"/>
      <c r="AS44" s="179"/>
      <c r="AT44" s="8"/>
      <c r="AU44" s="179"/>
      <c r="AV44" s="179"/>
      <c r="AW44" s="8"/>
      <c r="AX44" s="179"/>
      <c r="AY44" s="179"/>
      <c r="AZ44" s="8"/>
      <c r="BA44" s="179"/>
      <c r="BB44" s="179"/>
      <c r="BC44" s="194"/>
      <c r="BD44" s="196"/>
      <c r="BE44" s="196"/>
      <c r="BF44" s="194"/>
      <c r="BG44" s="196"/>
      <c r="BH44" s="196"/>
      <c r="BI44" s="194"/>
      <c r="BJ44" s="196"/>
      <c r="BK44" s="196"/>
      <c r="BL44" s="194"/>
      <c r="BM44" s="196"/>
      <c r="BN44" s="196"/>
      <c r="BO44" s="197"/>
      <c r="BP44" s="196"/>
      <c r="BQ44" s="196"/>
      <c r="BR44" s="197"/>
      <c r="BS44" s="196"/>
      <c r="BT44" s="196"/>
      <c r="BU44" s="199"/>
      <c r="BV44" s="196"/>
      <c r="BW44" s="196"/>
      <c r="BX44" s="197"/>
      <c r="BY44" s="196"/>
      <c r="BZ44" s="196"/>
      <c r="CA44" s="197"/>
      <c r="CB44" s="196"/>
      <c r="CC44" s="196"/>
      <c r="CD44" s="197"/>
      <c r="CE44" s="196"/>
      <c r="CF44" s="196"/>
      <c r="CG44" s="197"/>
      <c r="CH44" s="196"/>
      <c r="CI44" s="196"/>
      <c r="CJ44" s="197"/>
      <c r="CK44" s="196"/>
      <c r="CL44" s="196"/>
      <c r="CM44" s="197"/>
      <c r="CN44" s="196"/>
      <c r="CO44" s="196"/>
      <c r="CP44" s="197"/>
      <c r="CQ44" s="196"/>
      <c r="CR44" s="196"/>
      <c r="CS44" s="197"/>
      <c r="CT44" s="196"/>
      <c r="CU44" s="196"/>
      <c r="CV44" s="197"/>
      <c r="CW44" s="196"/>
      <c r="CX44" s="196"/>
      <c r="CY44" s="516"/>
      <c r="CZ44" s="505"/>
      <c r="DA44" s="505"/>
      <c r="DB44" s="516"/>
      <c r="DC44" s="505"/>
      <c r="DD44" s="505"/>
      <c r="DE44" s="778"/>
      <c r="DF44" s="505"/>
      <c r="DG44" s="505"/>
      <c r="DH44" s="778"/>
      <c r="DI44" s="631">
        <f t="shared" ref="DI44:DW44" si="56">DI400</f>
        <v>2132.4239826596113</v>
      </c>
      <c r="DJ44" s="631">
        <f t="shared" si="56"/>
        <v>1907.0760173403887</v>
      </c>
      <c r="DK44" s="674">
        <f t="shared" si="56"/>
        <v>4039.5</v>
      </c>
      <c r="DL44" s="631">
        <f t="shared" si="56"/>
        <v>2000.1</v>
      </c>
      <c r="DM44" s="631">
        <f t="shared" si="56"/>
        <v>1805.7999999999997</v>
      </c>
      <c r="DN44" s="674">
        <f t="shared" si="56"/>
        <v>3805.8999999999996</v>
      </c>
      <c r="DO44" s="631">
        <f t="shared" si="56"/>
        <v>1857</v>
      </c>
      <c r="DP44" s="631">
        <f t="shared" si="56"/>
        <v>1900</v>
      </c>
      <c r="DQ44" s="674">
        <f t="shared" si="56"/>
        <v>3757</v>
      </c>
      <c r="DR44" s="631">
        <f t="shared" si="56"/>
        <v>2221</v>
      </c>
      <c r="DS44" s="631">
        <f t="shared" si="56"/>
        <v>2151</v>
      </c>
      <c r="DT44" s="674">
        <f t="shared" si="56"/>
        <v>4372</v>
      </c>
      <c r="DU44" s="631">
        <f t="shared" si="56"/>
        <v>2503</v>
      </c>
      <c r="DV44" s="631">
        <f t="shared" si="56"/>
        <v>2201</v>
      </c>
      <c r="DW44" s="674">
        <f t="shared" si="56"/>
        <v>4704</v>
      </c>
      <c r="DX44" s="631">
        <f t="shared" ref="DX44" si="57">DX400</f>
        <v>2333</v>
      </c>
      <c r="DY44" s="631">
        <f t="shared" ref="DY44:ER44" si="58">DY400</f>
        <v>2539.0611614604095</v>
      </c>
      <c r="DZ44" s="674">
        <f t="shared" si="58"/>
        <v>4872.0611614604095</v>
      </c>
      <c r="EA44" s="631">
        <f t="shared" si="58"/>
        <v>2637.9548139729072</v>
      </c>
      <c r="EB44" s="631">
        <f t="shared" si="58"/>
        <v>2939.6835733405774</v>
      </c>
      <c r="EC44" s="674">
        <f t="shared" si="58"/>
        <v>5577.6383873134846</v>
      </c>
      <c r="ED44" s="631">
        <f t="shared" si="58"/>
        <v>2933.2912321820331</v>
      </c>
      <c r="EE44" s="631">
        <f t="shared" si="58"/>
        <v>3197.2914334900806</v>
      </c>
      <c r="EF44" s="674">
        <f t="shared" si="58"/>
        <v>6130.5826656721138</v>
      </c>
      <c r="EG44" s="631">
        <f t="shared" si="58"/>
        <v>3208.5782508641191</v>
      </c>
      <c r="EH44" s="631">
        <f t="shared" si="58"/>
        <v>3503.1826096466657</v>
      </c>
      <c r="EI44" s="674">
        <f t="shared" si="58"/>
        <v>6711.7608605107853</v>
      </c>
      <c r="EJ44" s="631">
        <f t="shared" si="58"/>
        <v>3502.890987920829</v>
      </c>
      <c r="EK44" s="631">
        <f t="shared" si="58"/>
        <v>3840.9351807045514</v>
      </c>
      <c r="EL44" s="674">
        <f t="shared" si="58"/>
        <v>7343.8261686253809</v>
      </c>
      <c r="EM44" s="631">
        <f t="shared" si="58"/>
        <v>3838.6424203912079</v>
      </c>
      <c r="EN44" s="631">
        <f t="shared" si="58"/>
        <v>4153.3136700131272</v>
      </c>
      <c r="EO44" s="674">
        <f t="shared" si="58"/>
        <v>7991.9560904043356</v>
      </c>
      <c r="EP44" s="631">
        <f t="shared" si="58"/>
        <v>4156.2863216018577</v>
      </c>
      <c r="EQ44" s="631">
        <f t="shared" si="58"/>
        <v>4504.2938811114454</v>
      </c>
      <c r="ER44" s="674">
        <f t="shared" si="58"/>
        <v>8660.5802027133032</v>
      </c>
      <c r="ES44" s="631">
        <f t="shared" ref="ES44:FA44" si="59">ES400</f>
        <v>4461.6524738204398</v>
      </c>
      <c r="ET44" s="631">
        <f t="shared" si="59"/>
        <v>4836.2718799186214</v>
      </c>
      <c r="EU44" s="674">
        <f t="shared" si="59"/>
        <v>9297.9243537390612</v>
      </c>
      <c r="EV44" s="631">
        <f t="shared" si="59"/>
        <v>4743.1877404205234</v>
      </c>
      <c r="EW44" s="631">
        <f t="shared" si="59"/>
        <v>5142.4985914916288</v>
      </c>
      <c r="EX44" s="674">
        <f t="shared" si="59"/>
        <v>9885.6863319121512</v>
      </c>
      <c r="EY44" s="631">
        <f t="shared" si="59"/>
        <v>5043.4379631910388</v>
      </c>
      <c r="EZ44" s="631">
        <f t="shared" si="59"/>
        <v>5469.0868933342044</v>
      </c>
      <c r="FA44" s="6">
        <f t="shared" si="59"/>
        <v>10512.524856525244</v>
      </c>
      <c r="FB44" s="236">
        <v>0.25</v>
      </c>
    </row>
    <row r="45" spans="1:184" ht="13.35" customHeight="1" outlineLevel="1">
      <c r="A45" s="760"/>
      <c r="B45" s="126"/>
      <c r="C45" s="126" t="s">
        <v>767</v>
      </c>
      <c r="D45" s="178" t="str">
        <f>D44</f>
        <v>US$mn</v>
      </c>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179"/>
      <c r="AS45" s="179"/>
      <c r="AT45" s="8"/>
      <c r="AU45" s="179"/>
      <c r="AV45" s="179"/>
      <c r="AW45" s="8"/>
      <c r="AX45" s="179"/>
      <c r="AY45" s="179"/>
      <c r="AZ45" s="8"/>
      <c r="BA45" s="179"/>
      <c r="BB45" s="179"/>
      <c r="BC45" s="194"/>
      <c r="BD45" s="196"/>
      <c r="BE45" s="196"/>
      <c r="BF45" s="194"/>
      <c r="BG45" s="196"/>
      <c r="BH45" s="196"/>
      <c r="BI45" s="194"/>
      <c r="BJ45" s="196"/>
      <c r="BK45" s="196"/>
      <c r="BL45" s="194"/>
      <c r="BM45" s="196"/>
      <c r="BN45" s="196"/>
      <c r="BO45" s="197"/>
      <c r="BP45" s="196"/>
      <c r="BQ45" s="196"/>
      <c r="BR45" s="197"/>
      <c r="BS45" s="196"/>
      <c r="BT45" s="196"/>
      <c r="BU45" s="199"/>
      <c r="BV45" s="196"/>
      <c r="BW45" s="196"/>
      <c r="BX45" s="197"/>
      <c r="BY45" s="196"/>
      <c r="BZ45" s="196"/>
      <c r="CA45" s="197"/>
      <c r="CB45" s="196"/>
      <c r="CC45" s="196"/>
      <c r="CD45" s="197"/>
      <c r="CE45" s="196"/>
      <c r="CF45" s="196"/>
      <c r="CG45" s="197"/>
      <c r="CH45" s="196"/>
      <c r="CI45" s="196"/>
      <c r="CJ45" s="197"/>
      <c r="CK45" s="196"/>
      <c r="CL45" s="196"/>
      <c r="CM45" s="197"/>
      <c r="CN45" s="196"/>
      <c r="CO45" s="196"/>
      <c r="CP45" s="197"/>
      <c r="CQ45" s="196"/>
      <c r="CR45" s="196"/>
      <c r="CS45" s="197"/>
      <c r="CT45" s="196"/>
      <c r="CU45" s="196"/>
      <c r="CV45" s="197"/>
      <c r="CW45" s="196"/>
      <c r="CX45" s="196"/>
      <c r="CY45" s="516"/>
      <c r="CZ45" s="505"/>
      <c r="DA45" s="505"/>
      <c r="DB45" s="516"/>
      <c r="DC45" s="505"/>
      <c r="DD45" s="505"/>
      <c r="DE45" s="778"/>
      <c r="DF45" s="505"/>
      <c r="DG45" s="505"/>
      <c r="DH45" s="778"/>
      <c r="DI45" s="631">
        <f t="shared" ref="DI45:DW45" si="60">DI455</f>
        <v>792.06738617625183</v>
      </c>
      <c r="DJ45" s="631">
        <f t="shared" si="60"/>
        <v>32.432613823748142</v>
      </c>
      <c r="DK45" s="674">
        <f t="shared" si="60"/>
        <v>824.5</v>
      </c>
      <c r="DL45" s="631">
        <f t="shared" si="60"/>
        <v>1016.6</v>
      </c>
      <c r="DM45" s="631">
        <f t="shared" si="60"/>
        <v>-51.599999999999994</v>
      </c>
      <c r="DN45" s="674">
        <f t="shared" si="60"/>
        <v>965</v>
      </c>
      <c r="DO45" s="631">
        <f t="shared" si="60"/>
        <v>1103</v>
      </c>
      <c r="DP45" s="631">
        <f t="shared" si="60"/>
        <v>-31</v>
      </c>
      <c r="DQ45" s="674">
        <f t="shared" si="60"/>
        <v>1072</v>
      </c>
      <c r="DR45" s="631">
        <f t="shared" si="60"/>
        <v>1118</v>
      </c>
      <c r="DS45" s="631">
        <f t="shared" si="60"/>
        <v>4</v>
      </c>
      <c r="DT45" s="674">
        <f t="shared" si="60"/>
        <v>1122</v>
      </c>
      <c r="DU45" s="631">
        <f t="shared" si="60"/>
        <v>937</v>
      </c>
      <c r="DV45" s="631">
        <f t="shared" si="60"/>
        <v>90</v>
      </c>
      <c r="DW45" s="674">
        <f t="shared" si="60"/>
        <v>1027</v>
      </c>
      <c r="DX45" s="631">
        <f t="shared" ref="DX45" si="61">DX455</f>
        <v>876</v>
      </c>
      <c r="DY45" s="631">
        <f t="shared" ref="DY45:ER45" si="62">DY455</f>
        <v>39.26034942353273</v>
      </c>
      <c r="DZ45" s="674">
        <f t="shared" si="62"/>
        <v>915.26034942353283</v>
      </c>
      <c r="EA45" s="631">
        <f t="shared" si="62"/>
        <v>861.00487139131928</v>
      </c>
      <c r="EB45" s="631">
        <f t="shared" si="62"/>
        <v>39.879841011263125</v>
      </c>
      <c r="EC45" s="674">
        <f t="shared" si="62"/>
        <v>900.88471240258241</v>
      </c>
      <c r="ED45" s="631">
        <f t="shared" si="62"/>
        <v>857.55455807051089</v>
      </c>
      <c r="EE45" s="631">
        <f t="shared" si="62"/>
        <v>41.493734881076463</v>
      </c>
      <c r="EF45" s="674">
        <f t="shared" si="62"/>
        <v>899.0482929515872</v>
      </c>
      <c r="EG45" s="631">
        <f t="shared" si="62"/>
        <v>870.78561277991605</v>
      </c>
      <c r="EH45" s="631">
        <f t="shared" si="62"/>
        <v>38.96960957869797</v>
      </c>
      <c r="EI45" s="674">
        <f t="shared" si="62"/>
        <v>909.75522235861399</v>
      </c>
      <c r="EJ45" s="631">
        <f t="shared" si="62"/>
        <v>891.02912648530616</v>
      </c>
      <c r="EK45" s="631">
        <f t="shared" si="62"/>
        <v>35.107697866058913</v>
      </c>
      <c r="EL45" s="674">
        <f t="shared" si="62"/>
        <v>926.13682435136502</v>
      </c>
      <c r="EM45" s="631">
        <f t="shared" si="62"/>
        <v>911.87994560185825</v>
      </c>
      <c r="EN45" s="631">
        <f t="shared" si="62"/>
        <v>31.129928802040666</v>
      </c>
      <c r="EO45" s="674">
        <f t="shared" si="62"/>
        <v>943.00987440389895</v>
      </c>
      <c r="EP45" s="631">
        <f t="shared" si="62"/>
        <v>933.35628929190682</v>
      </c>
      <c r="EQ45" s="631">
        <f t="shared" si="62"/>
        <v>27.032826666101897</v>
      </c>
      <c r="ER45" s="674">
        <f t="shared" si="62"/>
        <v>960.38911595800892</v>
      </c>
      <c r="ES45" s="631">
        <f t="shared" ref="ES45:FA45" si="63">ES455</f>
        <v>955.47692329265669</v>
      </c>
      <c r="ET45" s="631">
        <f t="shared" si="63"/>
        <v>22.812811466084952</v>
      </c>
      <c r="EU45" s="674">
        <f t="shared" si="63"/>
        <v>978.28973475874159</v>
      </c>
      <c r="EV45" s="631">
        <f t="shared" si="63"/>
        <v>978.26117631342902</v>
      </c>
      <c r="EW45" s="631">
        <f t="shared" si="63"/>
        <v>18.466195810067461</v>
      </c>
      <c r="EX45" s="674">
        <f t="shared" si="63"/>
        <v>996.72737212349659</v>
      </c>
      <c r="EY45" s="631">
        <f t="shared" si="63"/>
        <v>1001.7289569248246</v>
      </c>
      <c r="EZ45" s="631">
        <f t="shared" si="63"/>
        <v>13.989181684369498</v>
      </c>
      <c r="FA45" s="6">
        <f t="shared" si="63"/>
        <v>1015.7181386091942</v>
      </c>
      <c r="FB45" s="236">
        <v>0.2</v>
      </c>
    </row>
    <row r="46" spans="1:184" ht="13.35" customHeight="1" outlineLevel="1">
      <c r="A46" s="760"/>
      <c r="B46" s="126"/>
      <c r="C46" s="126" t="s">
        <v>900</v>
      </c>
      <c r="D46" s="178" t="str">
        <f>D45</f>
        <v>US$mn</v>
      </c>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179"/>
      <c r="AS46" s="179"/>
      <c r="AT46" s="8"/>
      <c r="AU46" s="179"/>
      <c r="AV46" s="179"/>
      <c r="AW46" s="8"/>
      <c r="AX46" s="179"/>
      <c r="AY46" s="179"/>
      <c r="AZ46" s="8"/>
      <c r="BA46" s="179"/>
      <c r="BB46" s="179"/>
      <c r="BC46" s="194"/>
      <c r="BD46" s="196"/>
      <c r="BE46" s="196"/>
      <c r="BF46" s="194"/>
      <c r="BG46" s="196"/>
      <c r="BH46" s="196"/>
      <c r="BI46" s="194"/>
      <c r="BJ46" s="196"/>
      <c r="BK46" s="196"/>
      <c r="BL46" s="194"/>
      <c r="BM46" s="196"/>
      <c r="BN46" s="196"/>
      <c r="BO46" s="197"/>
      <c r="BP46" s="196"/>
      <c r="BQ46" s="196"/>
      <c r="BR46" s="197"/>
      <c r="BS46" s="196"/>
      <c r="BT46" s="196"/>
      <c r="BU46" s="199"/>
      <c r="BV46" s="196"/>
      <c r="BW46" s="196"/>
      <c r="BX46" s="197"/>
      <c r="BY46" s="196"/>
      <c r="BZ46" s="196"/>
      <c r="CA46" s="197"/>
      <c r="CB46" s="196"/>
      <c r="CC46" s="196"/>
      <c r="CD46" s="197"/>
      <c r="CE46" s="196"/>
      <c r="CF46" s="196"/>
      <c r="CG46" s="197"/>
      <c r="CH46" s="196"/>
      <c r="CI46" s="196"/>
      <c r="CJ46" s="197"/>
      <c r="CK46" s="196"/>
      <c r="CL46" s="196"/>
      <c r="CM46" s="197"/>
      <c r="CN46" s="196"/>
      <c r="CO46" s="196"/>
      <c r="CP46" s="197"/>
      <c r="CQ46" s="196"/>
      <c r="CR46" s="196"/>
      <c r="CS46" s="197"/>
      <c r="CT46" s="196"/>
      <c r="CU46" s="196"/>
      <c r="CV46" s="197"/>
      <c r="CW46" s="196"/>
      <c r="CX46" s="196"/>
      <c r="CY46" s="516"/>
      <c r="CZ46" s="505"/>
      <c r="DA46" s="505"/>
      <c r="DB46" s="516"/>
      <c r="DC46" s="505"/>
      <c r="DD46" s="505"/>
      <c r="DE46" s="778"/>
      <c r="DF46" s="505"/>
      <c r="DG46" s="505"/>
      <c r="DH46" s="778"/>
      <c r="DI46" s="631"/>
      <c r="DJ46" s="631"/>
      <c r="DK46" s="674"/>
      <c r="DL46" s="631"/>
      <c r="DM46" s="631"/>
      <c r="DN46" s="674"/>
      <c r="DO46" s="631">
        <f>'Vifor Segment'!S87</f>
        <v>399</v>
      </c>
      <c r="DP46" s="631">
        <f>'Vifor Segment'!T87</f>
        <v>522</v>
      </c>
      <c r="DQ46" s="674">
        <f>SUM(DO46:DP46)</f>
        <v>921</v>
      </c>
      <c r="DR46" s="631">
        <f>'Vifor Segment'!V87</f>
        <v>448</v>
      </c>
      <c r="DS46" s="631">
        <f>'Vifor Segment'!W87</f>
        <v>508</v>
      </c>
      <c r="DT46" s="674">
        <f>SUM(DR46:DS46)</f>
        <v>956</v>
      </c>
      <c r="DU46" s="631">
        <f>'Vifor Segment'!Y87</f>
        <v>510</v>
      </c>
      <c r="DV46" s="631">
        <f>'Vifor Segment'!Z87</f>
        <v>586</v>
      </c>
      <c r="DW46" s="674">
        <f>SUM(DU46:DV46)</f>
        <v>1096</v>
      </c>
      <c r="DX46" s="631">
        <f>'Vifor Segment'!AB87</f>
        <v>636</v>
      </c>
      <c r="DY46" s="631">
        <f>'Vifor Segment'!AC87</f>
        <v>552.46636644269233</v>
      </c>
      <c r="DZ46" s="674">
        <f>SUM(DX46:DY46)</f>
        <v>1188.4663664426923</v>
      </c>
      <c r="EA46" s="631">
        <f>'Vifor Segment'!AE87</f>
        <v>604.87907051941863</v>
      </c>
      <c r="EB46" s="631">
        <f>'Vifor Segment'!AF87</f>
        <v>517.54312443424396</v>
      </c>
      <c r="EC46" s="674">
        <f>SUM(EA46:EB46)</f>
        <v>1122.4221949536627</v>
      </c>
      <c r="ED46" s="631">
        <f>'Vifor Segment'!AH87</f>
        <v>601.95838404538972</v>
      </c>
      <c r="EE46" s="631">
        <f>'Vifor Segment'!AI87</f>
        <v>537.59056451205367</v>
      </c>
      <c r="EF46" s="674">
        <f>SUM(ED46:EE46)</f>
        <v>1139.5489485574435</v>
      </c>
      <c r="EG46" s="631">
        <f>'Vifor Segment'!AK87</f>
        <v>625.88774068765917</v>
      </c>
      <c r="EH46" s="631">
        <f>'Vifor Segment'!AL87</f>
        <v>558.56589536999786</v>
      </c>
      <c r="EI46" s="674">
        <f>SUM(EG46:EH46)</f>
        <v>1184.4536360576571</v>
      </c>
      <c r="EJ46" s="631">
        <f>'Vifor Segment'!AN87</f>
        <v>650.95259064684228</v>
      </c>
      <c r="EK46" s="631">
        <f>'Vifor Segment'!AO87</f>
        <v>580.51674892161282</v>
      </c>
      <c r="EL46" s="674">
        <f>SUM(EJ46:EK46)</f>
        <v>1231.4693395684551</v>
      </c>
      <c r="EM46" s="631">
        <f>'Vifor Segment'!AQ87</f>
        <v>677.21316501656031</v>
      </c>
      <c r="EN46" s="631">
        <f>'Vifor Segment'!AR87</f>
        <v>603.49346629185084</v>
      </c>
      <c r="EO46" s="674">
        <f>SUM(EM46:EN46)</f>
        <v>1280.706631308411</v>
      </c>
      <c r="EP46" s="631">
        <f>'Vifor Segment'!AT87</f>
        <v>704.73326807246849</v>
      </c>
      <c r="EQ46" s="631">
        <f>'Vifor Segment'!AU87</f>
        <v>627.54926898233884</v>
      </c>
      <c r="ER46" s="674">
        <f>SUM(EP46:EQ46)</f>
        <v>1332.2825370548073</v>
      </c>
      <c r="ES46" s="631">
        <f>'Vifor Segment'!AW87</f>
        <v>733.58051426537327</v>
      </c>
      <c r="ET46" s="631">
        <f>'Vifor Segment'!AX87</f>
        <v>652.74044200678213</v>
      </c>
      <c r="EU46" s="674">
        <f>SUM(ES46:ET46)</f>
        <v>1386.3209562721554</v>
      </c>
      <c r="EV46" s="631">
        <f>'Vifor Segment'!AZ87</f>
        <v>763.8265826324656</v>
      </c>
      <c r="EW46" s="631">
        <f>'Vifor Segment'!BA87</f>
        <v>679.12652991261552</v>
      </c>
      <c r="EX46" s="674">
        <f>SUM(EV46:EW46)</f>
        <v>1442.9531125450812</v>
      </c>
      <c r="EY46" s="631">
        <f>'Vifor Segment'!BC87</f>
        <v>795.54749002169342</v>
      </c>
      <c r="EZ46" s="631">
        <f>'Vifor Segment'!BD87</f>
        <v>706.77054668046731</v>
      </c>
      <c r="FA46" s="6">
        <f>SUM(EY46:EZ46)</f>
        <v>1502.3180367021607</v>
      </c>
      <c r="FB46" s="236">
        <v>0.22</v>
      </c>
    </row>
    <row r="47" spans="1:184" s="218" customFormat="1" ht="13.35" customHeight="1" outlineLevel="1" thickBot="1">
      <c r="A47" s="760" t="s">
        <v>1009</v>
      </c>
      <c r="B47" s="5"/>
      <c r="C47" s="86" t="s">
        <v>776</v>
      </c>
      <c r="D47" s="178" t="s">
        <v>357</v>
      </c>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237"/>
      <c r="AS47" s="237"/>
      <c r="AT47" s="8"/>
      <c r="AU47" s="237"/>
      <c r="AV47" s="237"/>
      <c r="AW47" s="8"/>
      <c r="AX47" s="237"/>
      <c r="AY47" s="237"/>
      <c r="AZ47" s="8"/>
      <c r="BA47" s="237"/>
      <c r="BB47" s="237"/>
      <c r="BC47" s="8"/>
      <c r="BD47" s="237"/>
      <c r="BE47" s="237"/>
      <c r="BF47" s="8"/>
      <c r="BG47" s="237"/>
      <c r="BH47" s="237"/>
      <c r="BI47" s="8"/>
      <c r="BJ47" s="237"/>
      <c r="BK47" s="237"/>
      <c r="BL47" s="8"/>
      <c r="BM47" s="237"/>
      <c r="BN47" s="237"/>
      <c r="BO47" s="8"/>
      <c r="BP47" s="237"/>
      <c r="BQ47" s="237"/>
      <c r="BR47" s="8"/>
      <c r="BS47" s="237"/>
      <c r="BT47" s="237"/>
      <c r="BU47" s="180"/>
      <c r="BV47" s="238"/>
      <c r="BW47" s="238"/>
      <c r="BX47" s="239"/>
      <c r="BY47" s="238"/>
      <c r="BZ47" s="238"/>
      <c r="CA47" s="239"/>
      <c r="CB47" s="238"/>
      <c r="CC47" s="238"/>
      <c r="CD47" s="239"/>
      <c r="CE47" s="238"/>
      <c r="CF47" s="238"/>
      <c r="CG47" s="239"/>
      <c r="CH47" s="238"/>
      <c r="CI47" s="238"/>
      <c r="CJ47" s="239"/>
      <c r="CK47" s="238"/>
      <c r="CL47" s="238"/>
      <c r="CM47" s="239"/>
      <c r="CN47" s="238"/>
      <c r="CO47" s="238"/>
      <c r="CP47" s="239"/>
      <c r="CQ47" s="238"/>
      <c r="CR47" s="238"/>
      <c r="CS47" s="239"/>
      <c r="CT47" s="238"/>
      <c r="CU47" s="238"/>
      <c r="CV47" s="239"/>
      <c r="CW47" s="238"/>
      <c r="CX47" s="238"/>
      <c r="CY47" s="513"/>
      <c r="CZ47" s="517"/>
      <c r="DA47" s="517"/>
      <c r="DB47" s="513"/>
      <c r="DC47" s="517"/>
      <c r="DD47" s="517"/>
      <c r="DE47" s="683"/>
      <c r="DF47" s="517"/>
      <c r="DG47" s="517"/>
      <c r="DH47" s="683"/>
      <c r="DI47" s="644">
        <f>SUM(DI44:DI46)</f>
        <v>2924.4913688358629</v>
      </c>
      <c r="DJ47" s="644">
        <f>SUM(DJ44:DJ46)</f>
        <v>1939.5086311641369</v>
      </c>
      <c r="DK47" s="676">
        <f>SUM(DI47:DJ47)</f>
        <v>4864</v>
      </c>
      <c r="DL47" s="644">
        <f>SUM(DL44:DL46)</f>
        <v>3016.7</v>
      </c>
      <c r="DM47" s="644">
        <f>SUM(DM44:DM46)</f>
        <v>1754.1999999999998</v>
      </c>
      <c r="DN47" s="676">
        <f>SUM(DL47:DM47)</f>
        <v>4770.8999999999996</v>
      </c>
      <c r="DO47" s="644">
        <f>SUM(DO44:DO46)</f>
        <v>3359</v>
      </c>
      <c r="DP47" s="644">
        <f>SUM(DP44:DP46)</f>
        <v>2391</v>
      </c>
      <c r="DQ47" s="676">
        <f>SUM(DO47:DP47)</f>
        <v>5750</v>
      </c>
      <c r="DR47" s="644">
        <f>SUM(DR44:DR46)</f>
        <v>3787</v>
      </c>
      <c r="DS47" s="644">
        <f>SUM(DS44:DS46)</f>
        <v>2663</v>
      </c>
      <c r="DT47" s="676">
        <f>SUM(DR47:DS47)</f>
        <v>6450</v>
      </c>
      <c r="DU47" s="644">
        <f>SUM(DU44:DU46)</f>
        <v>3950</v>
      </c>
      <c r="DV47" s="644">
        <f>SUM(DV44:DV46)</f>
        <v>2877</v>
      </c>
      <c r="DW47" s="676">
        <f>SUM(DU47:DV47)</f>
        <v>6827</v>
      </c>
      <c r="DX47" s="644">
        <f>SUM(DX44:DX46)</f>
        <v>3845</v>
      </c>
      <c r="DY47" s="644">
        <f>SUM(DY44:DY46)</f>
        <v>3130.7878773266348</v>
      </c>
      <c r="DZ47" s="676">
        <f>SUM(DX47:DY47)</f>
        <v>6975.7878773266348</v>
      </c>
      <c r="EA47" s="644">
        <f>SUM(EA44:EA46)</f>
        <v>4103.8387558836448</v>
      </c>
      <c r="EB47" s="644">
        <f>SUM(EB44:EB46)</f>
        <v>3497.1065387860845</v>
      </c>
      <c r="EC47" s="676">
        <f>SUM(EA47:EB47)</f>
        <v>7600.9452946697293</v>
      </c>
      <c r="ED47" s="644">
        <f>SUM(ED44:ED46)</f>
        <v>4392.804174297934</v>
      </c>
      <c r="EE47" s="644">
        <f>SUM(EE44:EE46)</f>
        <v>3776.3757328832107</v>
      </c>
      <c r="EF47" s="676">
        <f>SUM(ED47:EE47)</f>
        <v>8169.1799071811447</v>
      </c>
      <c r="EG47" s="644">
        <f>SUM(EG44:EG46)</f>
        <v>4705.2516043316946</v>
      </c>
      <c r="EH47" s="644">
        <f>SUM(EH44:EH46)</f>
        <v>4100.7181145953618</v>
      </c>
      <c r="EI47" s="676">
        <f>SUM(EG47:EH47)</f>
        <v>8805.9697189270555</v>
      </c>
      <c r="EJ47" s="644">
        <f>SUM(EJ44:EJ46)</f>
        <v>5044.8727050529778</v>
      </c>
      <c r="EK47" s="644">
        <f>SUM(EK44:EK46)</f>
        <v>4456.5596274922227</v>
      </c>
      <c r="EL47" s="676">
        <f>SUM(EJ47:EK47)</f>
        <v>9501.4323325452006</v>
      </c>
      <c r="EM47" s="644">
        <f>SUM(EM44:EM46)</f>
        <v>5427.7355310096264</v>
      </c>
      <c r="EN47" s="644">
        <f>SUM(EN44:EN46)</f>
        <v>4787.9370651070185</v>
      </c>
      <c r="EO47" s="676">
        <f>SUM(EM47:EN47)</f>
        <v>10215.672596116645</v>
      </c>
      <c r="EP47" s="644">
        <f>SUM(EP44:EP46)</f>
        <v>5794.3758789662334</v>
      </c>
      <c r="EQ47" s="644">
        <f>SUM(EQ44:EQ46)</f>
        <v>5158.8759767598858</v>
      </c>
      <c r="ER47" s="676">
        <f>SUM(EP47:EQ47)</f>
        <v>10953.251855726119</v>
      </c>
      <c r="ES47" s="644">
        <f>SUM(ES44:ES46)</f>
        <v>6150.7099113784698</v>
      </c>
      <c r="ET47" s="644">
        <f>SUM(ET44:ET46)</f>
        <v>5511.8251333914886</v>
      </c>
      <c r="EU47" s="676">
        <f>SUM(ES47:ET47)</f>
        <v>11662.535044769958</v>
      </c>
      <c r="EV47" s="644">
        <f>SUM(EV44:EV46)</f>
        <v>6485.2754993664184</v>
      </c>
      <c r="EW47" s="644">
        <f>SUM(EW44:EW46)</f>
        <v>5840.0913172143119</v>
      </c>
      <c r="EX47" s="676">
        <f>SUM(EV47:EW47)</f>
        <v>12325.36681658073</v>
      </c>
      <c r="EY47" s="644">
        <f>SUM(EY44:EY46)</f>
        <v>6840.714410137557</v>
      </c>
      <c r="EZ47" s="644">
        <f>SUM(EZ44:EZ46)</f>
        <v>6189.846621699041</v>
      </c>
      <c r="FA47" s="644">
        <f>SUM(EY47:EZ47)</f>
        <v>13030.561031836598</v>
      </c>
      <c r="FB47" s="1869">
        <v>0.06</v>
      </c>
      <c r="FC47" s="217"/>
      <c r="FD47" s="217"/>
      <c r="FE47" s="217"/>
      <c r="FF47" s="217"/>
      <c r="FG47" s="217"/>
      <c r="FH47" s="217"/>
      <c r="FI47" s="217"/>
      <c r="FJ47" s="217"/>
      <c r="FK47" s="217"/>
      <c r="FL47" s="217"/>
      <c r="FM47" s="217"/>
      <c r="FN47" s="217"/>
      <c r="FO47" s="217"/>
      <c r="FP47" s="217"/>
      <c r="FQ47" s="217"/>
      <c r="FR47" s="217"/>
      <c r="FS47" s="217"/>
      <c r="FT47" s="217"/>
      <c r="FU47" s="217"/>
      <c r="FV47" s="217"/>
      <c r="FW47" s="217"/>
      <c r="FX47" s="217"/>
      <c r="FY47" s="217"/>
      <c r="FZ47" s="217"/>
      <c r="GA47" s="217"/>
      <c r="GB47" s="217"/>
    </row>
    <row r="48" spans="1:184" ht="13.35" customHeight="1" outlineLevel="1" thickTop="1">
      <c r="A48" s="760"/>
      <c r="B48" s="5" t="s">
        <v>1061</v>
      </c>
      <c r="C48" s="5"/>
      <c r="D48" s="178"/>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194"/>
      <c r="AK48" s="194"/>
      <c r="AL48" s="194"/>
      <c r="AM48" s="194"/>
      <c r="AN48" s="194"/>
      <c r="AO48" s="224"/>
      <c r="AP48" s="224"/>
      <c r="AQ48" s="194"/>
      <c r="AR48" s="195"/>
      <c r="AS48" s="195"/>
      <c r="AT48" s="194"/>
      <c r="AU48" s="195"/>
      <c r="AV48" s="195"/>
      <c r="AW48" s="194"/>
      <c r="AX48" s="195"/>
      <c r="AY48" s="195"/>
      <c r="AZ48" s="194"/>
      <c r="BA48" s="195"/>
      <c r="BB48" s="195"/>
      <c r="BC48" s="194"/>
      <c r="BD48" s="196"/>
      <c r="BE48" s="196"/>
      <c r="BF48" s="194"/>
      <c r="BG48" s="196"/>
      <c r="BH48" s="196"/>
      <c r="BI48" s="194"/>
      <c r="BJ48" s="196"/>
      <c r="BK48" s="196"/>
      <c r="BL48" s="194"/>
      <c r="BM48" s="196"/>
      <c r="BN48" s="196"/>
      <c r="BO48" s="197"/>
      <c r="BP48" s="196"/>
      <c r="BQ48" s="196"/>
      <c r="BR48" s="197"/>
      <c r="BS48" s="196"/>
      <c r="BT48" s="196"/>
      <c r="BU48" s="199"/>
      <c r="BV48" s="196"/>
      <c r="BW48" s="196"/>
      <c r="BX48" s="197"/>
      <c r="BY48" s="196"/>
      <c r="BZ48" s="196"/>
      <c r="CA48" s="197"/>
      <c r="CB48" s="196"/>
      <c r="CC48" s="196"/>
      <c r="CD48" s="197"/>
      <c r="CE48" s="196"/>
      <c r="CF48" s="196"/>
      <c r="CG48" s="197"/>
      <c r="CH48" s="196"/>
      <c r="CI48" s="196"/>
      <c r="CJ48" s="197"/>
      <c r="CK48" s="196"/>
      <c r="CL48" s="196"/>
      <c r="CM48" s="197"/>
      <c r="CN48" s="196"/>
      <c r="CO48" s="196"/>
      <c r="CP48" s="197"/>
      <c r="CQ48" s="196"/>
      <c r="CR48" s="196"/>
      <c r="CS48" s="197"/>
      <c r="CT48" s="196"/>
      <c r="CU48" s="196"/>
      <c r="CV48" s="197"/>
      <c r="CW48" s="196"/>
      <c r="CX48" s="196"/>
      <c r="CY48" s="516"/>
      <c r="CZ48" s="505"/>
      <c r="DA48" s="505"/>
      <c r="DB48" s="516"/>
      <c r="DC48" s="505"/>
      <c r="DD48" s="505"/>
      <c r="DE48" s="778"/>
      <c r="DF48" s="505"/>
      <c r="DG48" s="505"/>
      <c r="DH48" s="778"/>
      <c r="DI48" s="505"/>
      <c r="DJ48" s="505"/>
      <c r="DK48" s="681"/>
      <c r="DL48" s="505"/>
      <c r="DM48" s="505"/>
      <c r="DN48" s="681"/>
      <c r="DO48" s="505"/>
      <c r="DP48" s="505"/>
      <c r="DQ48" s="681"/>
      <c r="DR48" s="505"/>
      <c r="DS48" s="505"/>
      <c r="DT48" s="681"/>
      <c r="DU48" s="505"/>
      <c r="DV48" s="505"/>
      <c r="DW48" s="681"/>
      <c r="DX48" s="505"/>
      <c r="DY48" s="505"/>
      <c r="DZ48" s="681"/>
      <c r="EA48" s="505"/>
      <c r="EB48" s="505"/>
      <c r="EC48" s="681"/>
      <c r="ED48" s="505"/>
      <c r="EE48" s="505"/>
      <c r="EF48" s="681"/>
      <c r="EG48" s="505"/>
      <c r="EH48" s="505"/>
      <c r="EI48" s="681"/>
      <c r="EJ48" s="505"/>
      <c r="EK48" s="505"/>
      <c r="EL48" s="681"/>
      <c r="EM48" s="631"/>
      <c r="EN48" s="631"/>
      <c r="EO48" s="681"/>
      <c r="EP48" s="505"/>
      <c r="EQ48" s="505"/>
      <c r="ER48" s="681"/>
      <c r="ES48" s="505"/>
      <c r="ET48" s="505"/>
      <c r="EU48" s="681"/>
      <c r="EV48" s="505"/>
      <c r="EW48" s="505"/>
      <c r="EX48" s="681"/>
      <c r="EY48" s="505"/>
      <c r="EZ48" s="505"/>
      <c r="FA48" s="518"/>
      <c r="FB48" s="236">
        <v>0.05</v>
      </c>
    </row>
    <row r="49" spans="1:184" ht="13.35" customHeight="1" outlineLevel="1">
      <c r="A49" s="760"/>
      <c r="B49" s="5"/>
      <c r="C49" s="126" t="s">
        <v>461</v>
      </c>
      <c r="D49" s="178" t="s">
        <v>507</v>
      </c>
      <c r="E49" s="194"/>
      <c r="F49" s="194"/>
      <c r="G49" s="194"/>
      <c r="H49" s="194"/>
      <c r="I49" s="194"/>
      <c r="J49" s="194"/>
      <c r="K49" s="194"/>
      <c r="L49" s="194"/>
      <c r="M49" s="194"/>
      <c r="N49" s="194"/>
      <c r="O49" s="194"/>
      <c r="P49" s="194"/>
      <c r="Q49" s="194"/>
      <c r="R49" s="194"/>
      <c r="S49" s="194"/>
      <c r="T49" s="194"/>
      <c r="U49" s="194"/>
      <c r="V49" s="194"/>
      <c r="W49" s="194"/>
      <c r="X49" s="194"/>
      <c r="Y49" s="194"/>
      <c r="Z49" s="194"/>
      <c r="AA49" s="194"/>
      <c r="AB49" s="194"/>
      <c r="AC49" s="194"/>
      <c r="AD49" s="194"/>
      <c r="AE49" s="194"/>
      <c r="AF49" s="194"/>
      <c r="AG49" s="194"/>
      <c r="AH49" s="194"/>
      <c r="AI49" s="194"/>
      <c r="AJ49" s="194"/>
      <c r="AK49" s="194"/>
      <c r="AL49" s="194"/>
      <c r="AM49" s="194"/>
      <c r="AN49" s="194"/>
      <c r="AO49" s="194"/>
      <c r="AP49" s="194"/>
      <c r="AQ49" s="194"/>
      <c r="AR49" s="195"/>
      <c r="AS49" s="195"/>
      <c r="AT49" s="194"/>
      <c r="AU49" s="195"/>
      <c r="AV49" s="195"/>
      <c r="AW49" s="194"/>
      <c r="AX49" s="195"/>
      <c r="AY49" s="195"/>
      <c r="AZ49" s="194"/>
      <c r="BA49" s="195"/>
      <c r="BB49" s="195"/>
      <c r="BC49" s="194"/>
      <c r="BD49" s="196"/>
      <c r="BE49" s="196"/>
      <c r="BF49" s="194"/>
      <c r="BG49" s="196"/>
      <c r="BH49" s="196"/>
      <c r="BI49" s="194"/>
      <c r="BJ49" s="196"/>
      <c r="BK49" s="196"/>
      <c r="BL49" s="194"/>
      <c r="BM49" s="196"/>
      <c r="BN49" s="196"/>
      <c r="BO49" s="197"/>
      <c r="BP49" s="196"/>
      <c r="BQ49" s="196"/>
      <c r="BR49" s="197"/>
      <c r="BS49" s="196"/>
      <c r="BT49" s="196"/>
      <c r="BU49" s="199"/>
      <c r="BV49" s="196"/>
      <c r="BW49" s="196"/>
      <c r="BX49" s="197"/>
      <c r="BY49" s="196"/>
      <c r="BZ49" s="196"/>
      <c r="CA49" s="197"/>
      <c r="CB49" s="196"/>
      <c r="CC49" s="196"/>
      <c r="CD49" s="197"/>
      <c r="CE49" s="196"/>
      <c r="CF49" s="196"/>
      <c r="CG49" s="197"/>
      <c r="CH49" s="196"/>
      <c r="CI49" s="196"/>
      <c r="CJ49" s="197"/>
      <c r="CK49" s="196"/>
      <c r="CL49" s="196"/>
      <c r="CM49" s="197"/>
      <c r="CN49" s="196"/>
      <c r="CO49" s="196"/>
      <c r="CP49" s="197"/>
      <c r="CQ49" s="196"/>
      <c r="CR49" s="196"/>
      <c r="CS49" s="197"/>
      <c r="CT49" s="196"/>
      <c r="CU49" s="196"/>
      <c r="CV49" s="197"/>
      <c r="CW49" s="196"/>
      <c r="CX49" s="196"/>
      <c r="CY49" s="516"/>
      <c r="CZ49" s="505"/>
      <c r="DA49" s="505"/>
      <c r="DB49" s="516"/>
      <c r="DC49" s="505"/>
      <c r="DD49" s="505"/>
      <c r="DE49" s="778"/>
      <c r="DF49" s="505"/>
      <c r="DG49" s="505"/>
      <c r="DH49" s="778"/>
      <c r="DI49" s="562"/>
      <c r="DJ49" s="562"/>
      <c r="DK49" s="678"/>
      <c r="DL49" s="562">
        <f t="shared" ref="DL49:DU50" si="64">DL44/DI44-1</f>
        <v>-6.2053317602709379E-2</v>
      </c>
      <c r="DM49" s="562">
        <f t="shared" si="64"/>
        <v>-5.3105390880867298E-2</v>
      </c>
      <c r="DN49" s="678">
        <f t="shared" si="64"/>
        <v>-5.7828939225151754E-2</v>
      </c>
      <c r="DO49" s="562">
        <f t="shared" si="64"/>
        <v>-7.1546422678866017E-2</v>
      </c>
      <c r="DP49" s="562">
        <f t="shared" si="64"/>
        <v>5.2165245320633602E-2</v>
      </c>
      <c r="DQ49" s="678">
        <f t="shared" si="64"/>
        <v>-1.2848472109093678E-2</v>
      </c>
      <c r="DR49" s="562">
        <f t="shared" si="64"/>
        <v>0.19601507808292951</v>
      </c>
      <c r="DS49" s="562">
        <f t="shared" si="64"/>
        <v>0.13210526315789473</v>
      </c>
      <c r="DT49" s="678">
        <f t="shared" si="64"/>
        <v>0.16369443705083842</v>
      </c>
      <c r="DU49" s="562">
        <f t="shared" si="64"/>
        <v>0.12696983340837464</v>
      </c>
      <c r="DV49" s="562">
        <f t="shared" ref="DV49:DX52" si="65">DV44/DS44-1</f>
        <v>2.324500232450033E-2</v>
      </c>
      <c r="DW49" s="678">
        <f t="shared" si="65"/>
        <v>7.5937785910338507E-2</v>
      </c>
      <c r="DX49" s="562">
        <f t="shared" si="65"/>
        <v>-6.7918497802636812E-2</v>
      </c>
      <c r="DY49" s="562">
        <f t="shared" ref="DY49:EE50" si="66">DY44/DV44-1</f>
        <v>0.1535943486871465</v>
      </c>
      <c r="DZ49" s="678">
        <f t="shared" si="66"/>
        <v>3.5727287725427104E-2</v>
      </c>
      <c r="EA49" s="562">
        <f t="shared" si="66"/>
        <v>0.13071359364462376</v>
      </c>
      <c r="EB49" s="562">
        <f t="shared" si="66"/>
        <v>0.15778367924376391</v>
      </c>
      <c r="EC49" s="678">
        <f t="shared" si="66"/>
        <v>0.14482109367477181</v>
      </c>
      <c r="ED49" s="562">
        <f t="shared" si="66"/>
        <v>0.11195658721854018</v>
      </c>
      <c r="EE49" s="562">
        <f t="shared" si="66"/>
        <v>8.7631152715108351E-2</v>
      </c>
      <c r="EF49" s="678">
        <f t="shared" ref="EF49:EO50" si="67">EF44/EC44-1</f>
        <v>9.9135913797552488E-2</v>
      </c>
      <c r="EG49" s="562">
        <f t="shared" si="67"/>
        <v>9.3849194264050029E-2</v>
      </c>
      <c r="EH49" s="562">
        <f t="shared" si="67"/>
        <v>9.5671971892372198E-2</v>
      </c>
      <c r="EI49" s="678">
        <f t="shared" si="67"/>
        <v>9.4799830054156153E-2</v>
      </c>
      <c r="EJ49" s="562">
        <f t="shared" si="67"/>
        <v>9.1726837884488877E-2</v>
      </c>
      <c r="EK49" s="562">
        <f t="shared" si="67"/>
        <v>9.6413064545314064E-2</v>
      </c>
      <c r="EL49" s="678">
        <f t="shared" si="67"/>
        <v>9.417279924757227E-2</v>
      </c>
      <c r="EM49" s="562">
        <f t="shared" si="67"/>
        <v>9.5849809094306737E-2</v>
      </c>
      <c r="EN49" s="562">
        <f t="shared" si="67"/>
        <v>8.1328758391407074E-2</v>
      </c>
      <c r="EO49" s="678">
        <f t="shared" si="67"/>
        <v>8.8255073976005072E-2</v>
      </c>
      <c r="EP49" s="562">
        <f t="shared" ref="EP49:ER50" si="68">EP44/EM44-1</f>
        <v>8.2749020727561629E-2</v>
      </c>
      <c r="EQ49" s="562">
        <f t="shared" si="68"/>
        <v>8.4506068884801833E-2</v>
      </c>
      <c r="ER49" s="678">
        <f t="shared" si="68"/>
        <v>8.3662135370308421E-2</v>
      </c>
      <c r="ES49" s="562">
        <f t="shared" ref="ES49:FA52" si="69">ES44/EP44-1</f>
        <v>7.3470913356347367E-2</v>
      </c>
      <c r="ET49" s="562">
        <f t="shared" si="69"/>
        <v>7.3702561948568945E-2</v>
      </c>
      <c r="EU49" s="678">
        <f t="shared" si="69"/>
        <v>7.3591391812996898E-2</v>
      </c>
      <c r="EV49" s="562">
        <f t="shared" si="69"/>
        <v>6.3101119652873683E-2</v>
      </c>
      <c r="EW49" s="562">
        <f t="shared" si="69"/>
        <v>6.3318754440695457E-2</v>
      </c>
      <c r="EX49" s="678">
        <f t="shared" si="69"/>
        <v>6.3214321370202109E-2</v>
      </c>
      <c r="EY49" s="562">
        <f t="shared" si="69"/>
        <v>6.3301357484090603E-2</v>
      </c>
      <c r="EZ49" s="562">
        <f t="shared" si="69"/>
        <v>6.3507708564650489E-2</v>
      </c>
      <c r="FA49" s="563">
        <f t="shared" si="69"/>
        <v>6.3408700576467192E-2</v>
      </c>
      <c r="FB49" s="236">
        <f>1-FB44-FB45-FB46-FB47-FB48</f>
        <v>0.22000000000000008</v>
      </c>
    </row>
    <row r="50" spans="1:184" ht="13.35" customHeight="1" outlineLevel="1">
      <c r="A50" s="760"/>
      <c r="B50" s="126"/>
      <c r="C50" s="126" t="s">
        <v>767</v>
      </c>
      <c r="D50" s="178" t="s">
        <v>507</v>
      </c>
      <c r="E50" s="197"/>
      <c r="F50" s="197"/>
      <c r="G50" s="197"/>
      <c r="H50" s="197"/>
      <c r="I50" s="197"/>
      <c r="J50" s="197"/>
      <c r="K50" s="197"/>
      <c r="L50" s="197"/>
      <c r="M50" s="197"/>
      <c r="N50" s="197"/>
      <c r="O50" s="197"/>
      <c r="P50" s="197"/>
      <c r="Q50" s="197"/>
      <c r="R50" s="197"/>
      <c r="S50" s="197"/>
      <c r="T50" s="197"/>
      <c r="U50" s="197"/>
      <c r="V50" s="197"/>
      <c r="W50" s="197"/>
      <c r="X50" s="197"/>
      <c r="Y50" s="197"/>
      <c r="Z50" s="197"/>
      <c r="AA50" s="197"/>
      <c r="AB50" s="197"/>
      <c r="AC50" s="197"/>
      <c r="AD50" s="197"/>
      <c r="AE50" s="197"/>
      <c r="AF50" s="197"/>
      <c r="AG50" s="197"/>
      <c r="AH50" s="197"/>
      <c r="AI50" s="197"/>
      <c r="AJ50" s="197"/>
      <c r="AK50" s="197"/>
      <c r="AL50" s="197"/>
      <c r="AM50" s="197"/>
      <c r="AN50" s="197"/>
      <c r="AO50" s="197"/>
      <c r="AP50" s="197"/>
      <c r="AQ50" s="197"/>
      <c r="AR50" s="195"/>
      <c r="AS50" s="195"/>
      <c r="AT50" s="194"/>
      <c r="AU50" s="195"/>
      <c r="AV50" s="195"/>
      <c r="AW50" s="194"/>
      <c r="AX50" s="195"/>
      <c r="AY50" s="195"/>
      <c r="AZ50" s="194"/>
      <c r="BA50" s="195"/>
      <c r="BB50" s="195"/>
      <c r="BC50" s="194"/>
      <c r="BD50" s="196"/>
      <c r="BE50" s="196"/>
      <c r="BF50" s="194"/>
      <c r="BG50" s="196"/>
      <c r="BH50" s="196"/>
      <c r="BI50" s="194"/>
      <c r="BJ50" s="196"/>
      <c r="BK50" s="196"/>
      <c r="BL50" s="194"/>
      <c r="BM50" s="196"/>
      <c r="BN50" s="196"/>
      <c r="BO50" s="197"/>
      <c r="BP50" s="196"/>
      <c r="BQ50" s="196"/>
      <c r="BR50" s="197"/>
      <c r="BS50" s="196"/>
      <c r="BT50" s="196"/>
      <c r="BU50" s="199"/>
      <c r="BV50" s="196"/>
      <c r="BW50" s="196"/>
      <c r="BX50" s="197"/>
      <c r="BY50" s="196"/>
      <c r="BZ50" s="196"/>
      <c r="CA50" s="197"/>
      <c r="CB50" s="196"/>
      <c r="CC50" s="196"/>
      <c r="CD50" s="197"/>
      <c r="CE50" s="196"/>
      <c r="CF50" s="196"/>
      <c r="CG50" s="197"/>
      <c r="CH50" s="196"/>
      <c r="CI50" s="196"/>
      <c r="CJ50" s="197"/>
      <c r="CK50" s="196"/>
      <c r="CL50" s="196"/>
      <c r="CM50" s="197"/>
      <c r="CN50" s="196"/>
      <c r="CO50" s="196"/>
      <c r="CP50" s="197"/>
      <c r="CQ50" s="196"/>
      <c r="CR50" s="196"/>
      <c r="CS50" s="197"/>
      <c r="CT50" s="196"/>
      <c r="CU50" s="196"/>
      <c r="CV50" s="197"/>
      <c r="CW50" s="196"/>
      <c r="CX50" s="196"/>
      <c r="CY50" s="516"/>
      <c r="CZ50" s="505"/>
      <c r="DA50" s="505"/>
      <c r="DB50" s="516"/>
      <c r="DC50" s="505"/>
      <c r="DD50" s="505"/>
      <c r="DE50" s="778"/>
      <c r="DF50" s="505"/>
      <c r="DG50" s="505"/>
      <c r="DH50" s="778"/>
      <c r="DI50" s="562"/>
      <c r="DJ50" s="562"/>
      <c r="DK50" s="678"/>
      <c r="DL50" s="562">
        <f t="shared" si="64"/>
        <v>0.28347665582810011</v>
      </c>
      <c r="DM50" s="562">
        <f t="shared" si="64"/>
        <v>-2.5909911017476155</v>
      </c>
      <c r="DN50" s="678">
        <f t="shared" si="64"/>
        <v>0.17040630685263802</v>
      </c>
      <c r="DO50" s="562">
        <f t="shared" si="64"/>
        <v>8.498917961833552E-2</v>
      </c>
      <c r="DP50" s="562">
        <f t="shared" si="64"/>
        <v>-0.39922480620155032</v>
      </c>
      <c r="DQ50" s="678">
        <f t="shared" si="64"/>
        <v>0.11088082901554408</v>
      </c>
      <c r="DR50" s="562">
        <f t="shared" si="64"/>
        <v>1.3599274705349051E-2</v>
      </c>
      <c r="DS50" s="562">
        <f t="shared" si="64"/>
        <v>-1.129032258064516</v>
      </c>
      <c r="DT50" s="678">
        <f t="shared" si="64"/>
        <v>4.664179104477606E-2</v>
      </c>
      <c r="DU50" s="562">
        <f t="shared" si="64"/>
        <v>-0.16189624329159213</v>
      </c>
      <c r="DV50" s="562">
        <f t="shared" si="65"/>
        <v>21.5</v>
      </c>
      <c r="DW50" s="678">
        <f t="shared" si="65"/>
        <v>-8.4670231729055301E-2</v>
      </c>
      <c r="DX50" s="562">
        <f t="shared" si="65"/>
        <v>-6.5101387406616862E-2</v>
      </c>
      <c r="DY50" s="562">
        <f t="shared" si="66"/>
        <v>-0.56377389529408073</v>
      </c>
      <c r="DZ50" s="678">
        <f t="shared" si="66"/>
        <v>-0.10880199666647239</v>
      </c>
      <c r="EA50" s="562">
        <f t="shared" si="66"/>
        <v>-1.7117726722238213E-2</v>
      </c>
      <c r="EB50" s="562">
        <f t="shared" si="66"/>
        <v>1.5779064547985611E-2</v>
      </c>
      <c r="EC50" s="678">
        <f t="shared" si="66"/>
        <v>-1.5706609632991086E-2</v>
      </c>
      <c r="ED50" s="562">
        <f t="shared" si="66"/>
        <v>-4.0073098718163003E-3</v>
      </c>
      <c r="EE50" s="562">
        <f t="shared" si="66"/>
        <v>4.046891434089539E-2</v>
      </c>
      <c r="EF50" s="678">
        <f t="shared" si="67"/>
        <v>-2.0384622202075375E-3</v>
      </c>
      <c r="EG50" s="562">
        <f t="shared" si="67"/>
        <v>1.5428819758330992E-2</v>
      </c>
      <c r="EH50" s="562">
        <f t="shared" si="67"/>
        <v>-6.0831479971923175E-2</v>
      </c>
      <c r="EI50" s="678">
        <f t="shared" si="67"/>
        <v>1.1909181621240661E-2</v>
      </c>
      <c r="EJ50" s="562">
        <f t="shared" si="67"/>
        <v>2.3247414068733097E-2</v>
      </c>
      <c r="EK50" s="562">
        <f t="shared" si="67"/>
        <v>-9.9100600554902663E-2</v>
      </c>
      <c r="EL50" s="678">
        <f t="shared" si="67"/>
        <v>1.8006603963514944E-2</v>
      </c>
      <c r="EM50" s="562">
        <f t="shared" si="67"/>
        <v>2.3400827758345955E-2</v>
      </c>
      <c r="EN50" s="562">
        <f t="shared" si="67"/>
        <v>-0.11330190544518259</v>
      </c>
      <c r="EO50" s="678">
        <f t="shared" si="67"/>
        <v>1.821874436787585E-2</v>
      </c>
      <c r="EP50" s="562">
        <f t="shared" si="68"/>
        <v>2.3551722782842566E-2</v>
      </c>
      <c r="EQ50" s="562">
        <f t="shared" si="68"/>
        <v>-0.13161296198243122</v>
      </c>
      <c r="ER50" s="678">
        <f t="shared" si="68"/>
        <v>1.8429543556047978E-2</v>
      </c>
      <c r="ES50" s="562">
        <f t="shared" si="69"/>
        <v>2.370009636677084E-2</v>
      </c>
      <c r="ET50" s="562">
        <f t="shared" si="69"/>
        <v>-0.15610706390940166</v>
      </c>
      <c r="EU50" s="678">
        <f t="shared" si="69"/>
        <v>1.8638923019110187E-2</v>
      </c>
      <c r="EV50" s="562">
        <f t="shared" si="69"/>
        <v>2.3845947992397143E-2</v>
      </c>
      <c r="EW50" s="562">
        <f t="shared" si="69"/>
        <v>-0.19053397528311933</v>
      </c>
      <c r="EX50" s="678">
        <f t="shared" si="69"/>
        <v>1.8846806533548977E-2</v>
      </c>
      <c r="EY50" s="562">
        <f t="shared" si="69"/>
        <v>2.3989279325009827E-2</v>
      </c>
      <c r="EZ50" s="562">
        <f t="shared" si="69"/>
        <v>-0.24244376978051807</v>
      </c>
      <c r="FA50" s="563">
        <f t="shared" si="69"/>
        <v>1.9053120258188949E-2</v>
      </c>
    </row>
    <row r="51" spans="1:184" ht="13.35" customHeight="1" outlineLevel="1">
      <c r="A51" s="760"/>
      <c r="B51" s="126"/>
      <c r="C51" s="126" t="s">
        <v>900</v>
      </c>
      <c r="D51" s="178" t="s">
        <v>507</v>
      </c>
      <c r="E51" s="197"/>
      <c r="F51" s="197"/>
      <c r="G51" s="197"/>
      <c r="H51" s="197"/>
      <c r="I51" s="197"/>
      <c r="J51" s="197"/>
      <c r="K51" s="197"/>
      <c r="L51" s="197"/>
      <c r="M51" s="197"/>
      <c r="N51" s="197"/>
      <c r="O51" s="197"/>
      <c r="P51" s="197"/>
      <c r="Q51" s="197"/>
      <c r="R51" s="197"/>
      <c r="S51" s="197"/>
      <c r="T51" s="197"/>
      <c r="U51" s="197"/>
      <c r="V51" s="197"/>
      <c r="W51" s="197"/>
      <c r="X51" s="197"/>
      <c r="Y51" s="197"/>
      <c r="Z51" s="197"/>
      <c r="AA51" s="197"/>
      <c r="AB51" s="197"/>
      <c r="AC51" s="197"/>
      <c r="AD51" s="197"/>
      <c r="AE51" s="197"/>
      <c r="AF51" s="197"/>
      <c r="AG51" s="197"/>
      <c r="AH51" s="197"/>
      <c r="AI51" s="197"/>
      <c r="AJ51" s="197"/>
      <c r="AK51" s="197"/>
      <c r="AL51" s="197"/>
      <c r="AM51" s="197"/>
      <c r="AN51" s="197"/>
      <c r="AO51" s="200"/>
      <c r="AP51" s="200"/>
      <c r="AQ51" s="197"/>
      <c r="AR51" s="195"/>
      <c r="AS51" s="195"/>
      <c r="AT51" s="194"/>
      <c r="AU51" s="195"/>
      <c r="AV51" s="195"/>
      <c r="AW51" s="194"/>
      <c r="AX51" s="195"/>
      <c r="AY51" s="195"/>
      <c r="AZ51" s="194"/>
      <c r="BA51" s="195"/>
      <c r="BB51" s="195"/>
      <c r="BC51" s="194"/>
      <c r="BD51" s="196"/>
      <c r="BE51" s="196"/>
      <c r="BF51" s="194"/>
      <c r="BG51" s="196"/>
      <c r="BH51" s="196"/>
      <c r="BI51" s="194"/>
      <c r="BJ51" s="196"/>
      <c r="BK51" s="196"/>
      <c r="BL51" s="194"/>
      <c r="BM51" s="196"/>
      <c r="BN51" s="196"/>
      <c r="BO51" s="197"/>
      <c r="BP51" s="196"/>
      <c r="BQ51" s="196"/>
      <c r="BR51" s="197"/>
      <c r="BS51" s="196"/>
      <c r="BT51" s="196"/>
      <c r="BU51" s="199"/>
      <c r="BV51" s="196"/>
      <c r="BW51" s="196"/>
      <c r="BX51" s="197"/>
      <c r="BY51" s="196"/>
      <c r="BZ51" s="196"/>
      <c r="CA51" s="197"/>
      <c r="CB51" s="196"/>
      <c r="CC51" s="196"/>
      <c r="CD51" s="197"/>
      <c r="CE51" s="196"/>
      <c r="CF51" s="196"/>
      <c r="CG51" s="197"/>
      <c r="CH51" s="196"/>
      <c r="CI51" s="196"/>
      <c r="CJ51" s="197"/>
      <c r="CK51" s="196"/>
      <c r="CL51" s="196"/>
      <c r="CM51" s="197"/>
      <c r="CN51" s="196"/>
      <c r="CO51" s="196"/>
      <c r="CP51" s="197"/>
      <c r="CQ51" s="196"/>
      <c r="CR51" s="196"/>
      <c r="CS51" s="197"/>
      <c r="CT51" s="196"/>
      <c r="CU51" s="196"/>
      <c r="CV51" s="197"/>
      <c r="CW51" s="196"/>
      <c r="CX51" s="196"/>
      <c r="CY51" s="516"/>
      <c r="CZ51" s="505"/>
      <c r="DA51" s="505"/>
      <c r="DB51" s="516"/>
      <c r="DC51" s="505"/>
      <c r="DD51" s="505"/>
      <c r="DE51" s="778"/>
      <c r="DF51" s="505"/>
      <c r="DG51" s="505"/>
      <c r="DH51" s="778"/>
      <c r="DI51" s="562"/>
      <c r="DJ51" s="562"/>
      <c r="DK51" s="678"/>
      <c r="DL51" s="562"/>
      <c r="DM51" s="562"/>
      <c r="DN51" s="678"/>
      <c r="DO51" s="562"/>
      <c r="DP51" s="562"/>
      <c r="DQ51" s="678"/>
      <c r="DR51" s="562">
        <f t="shared" ref="DR51:ER52" si="70">DR46/DO46-1</f>
        <v>0.12280701754385959</v>
      </c>
      <c r="DS51" s="562">
        <f t="shared" si="70"/>
        <v>-2.6819923371647514E-2</v>
      </c>
      <c r="DT51" s="678">
        <f t="shared" si="70"/>
        <v>3.8002171552660169E-2</v>
      </c>
      <c r="DU51" s="562">
        <f t="shared" si="70"/>
        <v>0.13839285714285721</v>
      </c>
      <c r="DV51" s="562">
        <f t="shared" si="65"/>
        <v>0.15354330708661412</v>
      </c>
      <c r="DW51" s="678">
        <f t="shared" si="65"/>
        <v>0.14644351464435146</v>
      </c>
      <c r="DX51" s="562">
        <f t="shared" si="70"/>
        <v>0.24705882352941178</v>
      </c>
      <c r="DY51" s="562">
        <f t="shared" si="70"/>
        <v>-5.7224630643869734E-2</v>
      </c>
      <c r="DZ51" s="678">
        <f t="shared" si="70"/>
        <v>8.4367122666689998E-2</v>
      </c>
      <c r="EA51" s="562">
        <f t="shared" si="70"/>
        <v>-4.8932279057517847E-2</v>
      </c>
      <c r="EB51" s="562">
        <f t="shared" si="70"/>
        <v>-6.3213335923628544E-2</v>
      </c>
      <c r="EC51" s="678">
        <f t="shared" si="70"/>
        <v>-5.5570921781078697E-2</v>
      </c>
      <c r="ED51" s="562">
        <f t="shared" si="70"/>
        <v>-4.828546095206887E-3</v>
      </c>
      <c r="EE51" s="562">
        <f t="shared" si="70"/>
        <v>3.8735786703233188E-2</v>
      </c>
      <c r="EF51" s="678">
        <f t="shared" si="70"/>
        <v>1.525874459787202E-2</v>
      </c>
      <c r="EG51" s="562">
        <f t="shared" si="70"/>
        <v>3.9752509935080615E-2</v>
      </c>
      <c r="EH51" s="562">
        <f t="shared" si="70"/>
        <v>3.9017297256663142E-2</v>
      </c>
      <c r="EI51" s="678">
        <f t="shared" si="70"/>
        <v>3.9405667968066327E-2</v>
      </c>
      <c r="EJ51" s="562">
        <f t="shared" si="70"/>
        <v>4.0046877945946857E-2</v>
      </c>
      <c r="EK51" s="562">
        <f t="shared" si="70"/>
        <v>3.9298592580691905E-2</v>
      </c>
      <c r="EL51" s="678">
        <f t="shared" si="70"/>
        <v>3.9694000743908608E-2</v>
      </c>
      <c r="EM51" s="562">
        <f t="shared" si="70"/>
        <v>4.0341761822659361E-2</v>
      </c>
      <c r="EN51" s="562">
        <f t="shared" si="70"/>
        <v>3.9579766497556346E-2</v>
      </c>
      <c r="EO51" s="678">
        <f t="shared" si="70"/>
        <v>3.9982555925598851E-2</v>
      </c>
      <c r="EP51" s="562">
        <f t="shared" si="70"/>
        <v>4.0637283026290882E-2</v>
      </c>
      <c r="EQ51" s="562">
        <f t="shared" si="70"/>
        <v>3.9860916537006075E-2</v>
      </c>
      <c r="ER51" s="678">
        <f t="shared" si="70"/>
        <v>4.0271444283617619E-2</v>
      </c>
      <c r="ES51" s="562">
        <f t="shared" si="69"/>
        <v>4.0933566641185415E-2</v>
      </c>
      <c r="ET51" s="562">
        <f t="shared" si="69"/>
        <v>4.0142143843613143E-2</v>
      </c>
      <c r="EU51" s="678">
        <f t="shared" si="69"/>
        <v>4.0560780250717299E-2</v>
      </c>
      <c r="EV51" s="562">
        <f t="shared" si="69"/>
        <v>4.1230741246421454E-2</v>
      </c>
      <c r="EW51" s="562">
        <f t="shared" si="69"/>
        <v>4.0423553081393448E-2</v>
      </c>
      <c r="EX51" s="678">
        <f t="shared" si="69"/>
        <v>4.0850681811238632E-2</v>
      </c>
      <c r="EY51" s="562">
        <f t="shared" si="69"/>
        <v>4.1528938780716951E-2</v>
      </c>
      <c r="EZ51" s="562">
        <f t="shared" si="69"/>
        <v>4.0705252335538677E-2</v>
      </c>
      <c r="FA51" s="563">
        <f t="shared" si="69"/>
        <v>4.1141270385682605E-2</v>
      </c>
    </row>
    <row r="52" spans="1:184" s="218" customFormat="1" ht="13.35" customHeight="1" outlineLevel="1" thickBot="1">
      <c r="A52" s="989"/>
      <c r="B52" s="5" t="s">
        <v>327</v>
      </c>
      <c r="C52" s="5"/>
      <c r="D52" s="178" t="s">
        <v>507</v>
      </c>
      <c r="E52" s="194"/>
      <c r="F52" s="194"/>
      <c r="G52" s="194"/>
      <c r="H52" s="194"/>
      <c r="I52" s="194"/>
      <c r="J52" s="194"/>
      <c r="K52" s="194"/>
      <c r="L52" s="194"/>
      <c r="M52" s="194"/>
      <c r="N52" s="194"/>
      <c r="O52" s="194"/>
      <c r="P52" s="194"/>
      <c r="Q52" s="194"/>
      <c r="R52" s="194"/>
      <c r="S52" s="194"/>
      <c r="T52" s="194"/>
      <c r="U52" s="194"/>
      <c r="V52" s="194"/>
      <c r="W52" s="194"/>
      <c r="X52" s="194"/>
      <c r="Y52" s="194"/>
      <c r="Z52" s="194"/>
      <c r="AA52" s="194"/>
      <c r="AB52" s="194"/>
      <c r="AC52" s="194"/>
      <c r="AD52" s="194"/>
      <c r="AE52" s="194"/>
      <c r="AF52" s="194"/>
      <c r="AG52" s="194"/>
      <c r="AH52" s="194"/>
      <c r="AI52" s="194"/>
      <c r="AJ52" s="194"/>
      <c r="AK52" s="194"/>
      <c r="AL52" s="194"/>
      <c r="AM52" s="194"/>
      <c r="AN52" s="194"/>
      <c r="AO52" s="241"/>
      <c r="AP52" s="241"/>
      <c r="AQ52" s="194"/>
      <c r="AR52" s="195"/>
      <c r="AS52" s="195"/>
      <c r="AT52" s="194"/>
      <c r="AU52" s="195"/>
      <c r="AV52" s="195"/>
      <c r="AW52" s="194"/>
      <c r="AX52" s="195"/>
      <c r="AY52" s="195"/>
      <c r="AZ52" s="194"/>
      <c r="BA52" s="195"/>
      <c r="BB52" s="195"/>
      <c r="BC52" s="194"/>
      <c r="BD52" s="195"/>
      <c r="BE52" s="195"/>
      <c r="BF52" s="194"/>
      <c r="BG52" s="195"/>
      <c r="BH52" s="195"/>
      <c r="BI52" s="194"/>
      <c r="BJ52" s="195"/>
      <c r="BK52" s="195"/>
      <c r="BL52" s="194"/>
      <c r="BM52" s="195"/>
      <c r="BN52" s="195"/>
      <c r="BO52" s="194"/>
      <c r="BP52" s="195"/>
      <c r="BQ52" s="195"/>
      <c r="BR52" s="194"/>
      <c r="BS52" s="195"/>
      <c r="BT52" s="195"/>
      <c r="BU52" s="235"/>
      <c r="BV52" s="242"/>
      <c r="BW52" s="242"/>
      <c r="BX52" s="243"/>
      <c r="BY52" s="242"/>
      <c r="BZ52" s="242"/>
      <c r="CA52" s="243"/>
      <c r="CB52" s="242"/>
      <c r="CC52" s="242"/>
      <c r="CD52" s="243"/>
      <c r="CE52" s="242"/>
      <c r="CF52" s="242"/>
      <c r="CG52" s="243"/>
      <c r="CH52" s="242"/>
      <c r="CI52" s="242"/>
      <c r="CJ52" s="243"/>
      <c r="CK52" s="242"/>
      <c r="CL52" s="242"/>
      <c r="CM52" s="243"/>
      <c r="CN52" s="242"/>
      <c r="CO52" s="242"/>
      <c r="CP52" s="243"/>
      <c r="CQ52" s="242"/>
      <c r="CR52" s="242"/>
      <c r="CS52" s="243"/>
      <c r="CT52" s="242"/>
      <c r="CU52" s="242"/>
      <c r="CV52" s="243"/>
      <c r="CW52" s="242"/>
      <c r="CX52" s="242"/>
      <c r="CY52" s="515"/>
      <c r="CZ52" s="519"/>
      <c r="DA52" s="519"/>
      <c r="DB52" s="515"/>
      <c r="DC52" s="519"/>
      <c r="DD52" s="519"/>
      <c r="DE52" s="684"/>
      <c r="DF52" s="519"/>
      <c r="DG52" s="519"/>
      <c r="DH52" s="684"/>
      <c r="DI52" s="649"/>
      <c r="DJ52" s="649"/>
      <c r="DK52" s="679"/>
      <c r="DL52" s="649">
        <f t="shared" ref="DL52:DU52" si="71">DL47/DI47-1</f>
        <v>3.152980109523873E-2</v>
      </c>
      <c r="DM52" s="649">
        <f t="shared" si="71"/>
        <v>-9.5544112661623326E-2</v>
      </c>
      <c r="DN52" s="679">
        <f t="shared" si="71"/>
        <v>-1.9140625000000022E-2</v>
      </c>
      <c r="DO52" s="649">
        <f t="shared" si="71"/>
        <v>0.11346835946564138</v>
      </c>
      <c r="DP52" s="649">
        <f t="shared" si="71"/>
        <v>0.3630144795348309</v>
      </c>
      <c r="DQ52" s="679">
        <f t="shared" si="71"/>
        <v>0.20522333312372942</v>
      </c>
      <c r="DR52" s="649">
        <f t="shared" si="71"/>
        <v>0.12741887466507884</v>
      </c>
      <c r="DS52" s="649">
        <f t="shared" si="71"/>
        <v>0.11375993308239241</v>
      </c>
      <c r="DT52" s="679">
        <f t="shared" si="71"/>
        <v>0.12173913043478257</v>
      </c>
      <c r="DU52" s="649">
        <f t="shared" si="71"/>
        <v>4.3041985740691846E-2</v>
      </c>
      <c r="DV52" s="649">
        <f t="shared" si="65"/>
        <v>8.0360495681562227E-2</v>
      </c>
      <c r="DW52" s="679">
        <f t="shared" si="65"/>
        <v>5.844961240310087E-2</v>
      </c>
      <c r="DX52" s="649">
        <f t="shared" si="70"/>
        <v>-2.6582278481012689E-2</v>
      </c>
      <c r="DY52" s="649">
        <f t="shared" ref="DY52:ER52" si="72">DY47/DV47-1</f>
        <v>8.8212678945649881E-2</v>
      </c>
      <c r="DZ52" s="679">
        <f t="shared" si="72"/>
        <v>2.1794035055900718E-2</v>
      </c>
      <c r="EA52" s="649">
        <f t="shared" si="72"/>
        <v>6.7318272011350988E-2</v>
      </c>
      <c r="EB52" s="649">
        <f t="shared" si="72"/>
        <v>0.11700526379073861</v>
      </c>
      <c r="EC52" s="679">
        <f t="shared" si="72"/>
        <v>8.9618180531985558E-2</v>
      </c>
      <c r="ED52" s="649">
        <f t="shared" si="72"/>
        <v>7.0413443510664697E-2</v>
      </c>
      <c r="EE52" s="649">
        <f t="shared" si="72"/>
        <v>7.9857216530230701E-2</v>
      </c>
      <c r="EF52" s="679">
        <f t="shared" si="72"/>
        <v>7.4758413655456435E-2</v>
      </c>
      <c r="EG52" s="649">
        <f t="shared" si="72"/>
        <v>7.1127101877628496E-2</v>
      </c>
      <c r="EH52" s="649">
        <f t="shared" si="72"/>
        <v>8.5887211616128001E-2</v>
      </c>
      <c r="EI52" s="679">
        <f t="shared" si="72"/>
        <v>7.795027395419929E-2</v>
      </c>
      <c r="EJ52" s="649">
        <f t="shared" si="72"/>
        <v>7.2179158370325069E-2</v>
      </c>
      <c r="EK52" s="649">
        <f t="shared" si="72"/>
        <v>8.677541419644097E-2</v>
      </c>
      <c r="EL52" s="679">
        <f t="shared" si="72"/>
        <v>7.89762667617806E-2</v>
      </c>
      <c r="EM52" s="649">
        <f t="shared" si="72"/>
        <v>7.5891474045156837E-2</v>
      </c>
      <c r="EN52" s="649">
        <f t="shared" si="72"/>
        <v>7.4357231881415853E-2</v>
      </c>
      <c r="EO52" s="679">
        <f t="shared" si="72"/>
        <v>7.5171851840165393E-2</v>
      </c>
      <c r="EP52" s="649">
        <f t="shared" si="72"/>
        <v>6.7549412800591568E-2</v>
      </c>
      <c r="EQ52" s="649">
        <f t="shared" si="72"/>
        <v>7.7473639817898565E-2</v>
      </c>
      <c r="ER52" s="679">
        <f t="shared" si="72"/>
        <v>7.2200753564660491E-2</v>
      </c>
      <c r="ES52" s="649">
        <f t="shared" si="69"/>
        <v>6.149653385548226E-2</v>
      </c>
      <c r="ET52" s="649">
        <f t="shared" si="69"/>
        <v>6.8415902654298311E-2</v>
      </c>
      <c r="EU52" s="679">
        <f t="shared" si="69"/>
        <v>6.475548982040813E-2</v>
      </c>
      <c r="EV52" s="649">
        <f t="shared" si="69"/>
        <v>5.4394629694536789E-2</v>
      </c>
      <c r="EW52" s="649">
        <f t="shared" si="69"/>
        <v>5.9556712319143834E-2</v>
      </c>
      <c r="EX52" s="679">
        <f t="shared" si="69"/>
        <v>5.6834279105383523E-2</v>
      </c>
      <c r="EY52" s="649">
        <f t="shared" si="69"/>
        <v>5.4807064218916013E-2</v>
      </c>
      <c r="EZ52" s="649">
        <f t="shared" si="69"/>
        <v>5.9888670482563633E-2</v>
      </c>
      <c r="FA52" s="649">
        <f t="shared" si="69"/>
        <v>5.7214866360586036E-2</v>
      </c>
      <c r="FB52" s="217"/>
      <c r="FC52" s="217"/>
      <c r="FD52" s="217"/>
      <c r="FE52" s="217"/>
      <c r="FF52" s="217"/>
      <c r="FG52" s="217"/>
      <c r="FH52" s="217"/>
      <c r="FI52" s="217"/>
      <c r="FJ52" s="217"/>
      <c r="FK52" s="217"/>
      <c r="FL52" s="217"/>
      <c r="FM52" s="217"/>
      <c r="FN52" s="217"/>
      <c r="FO52" s="217"/>
      <c r="FP52" s="217"/>
      <c r="FQ52" s="217"/>
      <c r="FR52" s="217"/>
      <c r="FS52" s="217"/>
      <c r="FT52" s="217"/>
      <c r="FU52" s="217"/>
      <c r="FV52" s="217"/>
      <c r="FW52" s="217"/>
      <c r="FX52" s="217"/>
      <c r="FY52" s="217"/>
      <c r="FZ52" s="217"/>
      <c r="GA52" s="217"/>
      <c r="GB52" s="217"/>
    </row>
    <row r="53" spans="1:184" ht="13.35" customHeight="1" outlineLevel="1" thickTop="1">
      <c r="A53" s="989"/>
      <c r="B53" s="5" t="s">
        <v>908</v>
      </c>
      <c r="C53" s="5"/>
      <c r="D53" s="178"/>
      <c r="E53" s="194"/>
      <c r="F53" s="194"/>
      <c r="G53" s="194"/>
      <c r="H53" s="194"/>
      <c r="I53" s="194"/>
      <c r="J53" s="194"/>
      <c r="K53" s="194"/>
      <c r="L53" s="194"/>
      <c r="M53" s="194"/>
      <c r="N53" s="194"/>
      <c r="O53" s="194"/>
      <c r="P53" s="194"/>
      <c r="Q53" s="194"/>
      <c r="R53" s="194"/>
      <c r="S53" s="194"/>
      <c r="T53" s="194"/>
      <c r="U53" s="194"/>
      <c r="V53" s="194"/>
      <c r="W53" s="194"/>
      <c r="X53" s="194"/>
      <c r="Y53" s="194"/>
      <c r="Z53" s="194"/>
      <c r="AA53" s="194"/>
      <c r="AB53" s="194"/>
      <c r="AC53" s="194"/>
      <c r="AD53" s="194"/>
      <c r="AE53" s="194"/>
      <c r="AF53" s="194"/>
      <c r="AG53" s="194"/>
      <c r="AH53" s="194"/>
      <c r="AI53" s="194"/>
      <c r="AJ53" s="194"/>
      <c r="AK53" s="194"/>
      <c r="AL53" s="194"/>
      <c r="AM53" s="194"/>
      <c r="AN53" s="194"/>
      <c r="AO53" s="194"/>
      <c r="AP53" s="194"/>
      <c r="AQ53" s="194"/>
      <c r="AR53" s="196"/>
      <c r="AS53" s="196"/>
      <c r="AT53" s="194"/>
      <c r="AU53" s="196"/>
      <c r="AV53" s="196"/>
      <c r="AW53" s="194"/>
      <c r="AX53" s="196"/>
      <c r="AY53" s="196"/>
      <c r="AZ53" s="194"/>
      <c r="BA53" s="196"/>
      <c r="BB53" s="196"/>
      <c r="BC53" s="194"/>
      <c r="BD53" s="196"/>
      <c r="BE53" s="196"/>
      <c r="BF53" s="194"/>
      <c r="BG53" s="196"/>
      <c r="BH53" s="196"/>
      <c r="BI53" s="194"/>
      <c r="BJ53" s="196"/>
      <c r="BK53" s="196"/>
      <c r="BL53" s="194"/>
      <c r="BM53" s="196"/>
      <c r="BN53" s="196"/>
      <c r="BO53" s="197"/>
      <c r="BP53" s="196"/>
      <c r="BQ53" s="196"/>
      <c r="BR53" s="197"/>
      <c r="BS53" s="196"/>
      <c r="BT53" s="196"/>
      <c r="BU53" s="199"/>
      <c r="BV53" s="196"/>
      <c r="BW53" s="196"/>
      <c r="BX53" s="197"/>
      <c r="BY53" s="196"/>
      <c r="BZ53" s="196"/>
      <c r="CA53" s="197"/>
      <c r="CB53" s="196"/>
      <c r="CC53" s="196"/>
      <c r="CD53" s="197"/>
      <c r="CE53" s="196"/>
      <c r="CF53" s="196"/>
      <c r="CG53" s="197"/>
      <c r="CH53" s="196"/>
      <c r="CI53" s="196"/>
      <c r="CJ53" s="197"/>
      <c r="CK53" s="196"/>
      <c r="CL53" s="196"/>
      <c r="CM53" s="197"/>
      <c r="CN53" s="196"/>
      <c r="CO53" s="196"/>
      <c r="CP53" s="197"/>
      <c r="CQ53" s="196"/>
      <c r="CR53" s="196"/>
      <c r="CS53" s="197"/>
      <c r="CT53" s="196"/>
      <c r="CU53" s="196"/>
      <c r="CV53" s="197"/>
      <c r="CW53" s="196"/>
      <c r="CX53" s="196"/>
      <c r="CY53" s="516"/>
      <c r="CZ53" s="505"/>
      <c r="DA53" s="505"/>
      <c r="DB53" s="516"/>
      <c r="DC53" s="505"/>
      <c r="DD53" s="505"/>
      <c r="DE53" s="778"/>
      <c r="DF53" s="505"/>
      <c r="DG53" s="505"/>
      <c r="DH53" s="778"/>
      <c r="DI53" s="656"/>
      <c r="DJ53" s="656"/>
      <c r="DK53" s="731"/>
      <c r="DL53" s="656"/>
      <c r="DM53" s="656"/>
      <c r="DN53" s="731"/>
      <c r="DO53" s="656"/>
      <c r="DP53" s="656"/>
      <c r="DQ53" s="731"/>
      <c r="DR53" s="656"/>
      <c r="DS53" s="656"/>
      <c r="DT53" s="731"/>
      <c r="DU53" s="656"/>
      <c r="DV53" s="656"/>
      <c r="DW53" s="731"/>
      <c r="DX53" s="656"/>
      <c r="DY53" s="656"/>
      <c r="DZ53" s="731"/>
      <c r="EA53" s="656"/>
      <c r="EB53" s="656"/>
      <c r="EC53" s="731"/>
      <c r="ED53" s="656"/>
      <c r="EE53" s="656"/>
      <c r="EF53" s="731"/>
      <c r="EG53" s="656"/>
      <c r="EH53" s="656"/>
      <c r="EI53" s="731"/>
      <c r="EJ53" s="656"/>
      <c r="EK53" s="656"/>
      <c r="EL53" s="731"/>
      <c r="EM53" s="656"/>
      <c r="EN53" s="656"/>
      <c r="EO53" s="731"/>
      <c r="EP53" s="656"/>
      <c r="EQ53" s="656"/>
      <c r="ER53" s="731"/>
      <c r="ES53" s="656"/>
      <c r="ET53" s="656"/>
      <c r="EU53" s="731"/>
      <c r="EV53" s="656"/>
      <c r="EW53" s="656"/>
      <c r="EX53" s="731"/>
      <c r="EY53" s="656"/>
      <c r="EZ53" s="656"/>
      <c r="FA53" s="656"/>
    </row>
    <row r="54" spans="1:184" ht="13.35" customHeight="1" outlineLevel="1">
      <c r="A54" s="760"/>
      <c r="B54" s="5"/>
      <c r="C54" s="126" t="s">
        <v>461</v>
      </c>
      <c r="D54" s="178" t="s">
        <v>507</v>
      </c>
      <c r="E54" s="194"/>
      <c r="F54" s="194"/>
      <c r="G54" s="194"/>
      <c r="H54" s="194"/>
      <c r="I54" s="194"/>
      <c r="J54" s="194"/>
      <c r="K54" s="194"/>
      <c r="L54" s="194"/>
      <c r="M54" s="194"/>
      <c r="N54" s="194"/>
      <c r="O54" s="194"/>
      <c r="P54" s="194"/>
      <c r="Q54" s="194"/>
      <c r="R54" s="194"/>
      <c r="S54" s="194"/>
      <c r="T54" s="194"/>
      <c r="U54" s="194"/>
      <c r="V54" s="194"/>
      <c r="W54" s="194"/>
      <c r="X54" s="194"/>
      <c r="Y54" s="194"/>
      <c r="Z54" s="194"/>
      <c r="AA54" s="194"/>
      <c r="AB54" s="194"/>
      <c r="AC54" s="194"/>
      <c r="AD54" s="194"/>
      <c r="AE54" s="194"/>
      <c r="AF54" s="194"/>
      <c r="AG54" s="194"/>
      <c r="AH54" s="194"/>
      <c r="AI54" s="194"/>
      <c r="AJ54" s="194"/>
      <c r="AK54" s="194"/>
      <c r="AL54" s="194"/>
      <c r="AM54" s="194"/>
      <c r="AN54" s="194"/>
      <c r="AO54" s="194"/>
      <c r="AP54" s="194"/>
      <c r="AQ54" s="194"/>
      <c r="AR54" s="196"/>
      <c r="AS54" s="196"/>
      <c r="AT54" s="194"/>
      <c r="AU54" s="196"/>
      <c r="AV54" s="196"/>
      <c r="AW54" s="194"/>
      <c r="AX54" s="196"/>
      <c r="AY54" s="196"/>
      <c r="AZ54" s="194"/>
      <c r="BA54" s="196"/>
      <c r="BB54" s="196"/>
      <c r="BC54" s="194"/>
      <c r="BD54" s="196"/>
      <c r="BE54" s="196"/>
      <c r="BF54" s="194"/>
      <c r="BG54" s="196"/>
      <c r="BH54" s="196"/>
      <c r="BI54" s="194"/>
      <c r="BJ54" s="196"/>
      <c r="BK54" s="196"/>
      <c r="BL54" s="194"/>
      <c r="BM54" s="196"/>
      <c r="BN54" s="196"/>
      <c r="BO54" s="197"/>
      <c r="BP54" s="196"/>
      <c r="BQ54" s="196"/>
      <c r="BR54" s="197"/>
      <c r="BS54" s="196"/>
      <c r="BT54" s="196"/>
      <c r="BU54" s="199"/>
      <c r="BV54" s="196"/>
      <c r="BW54" s="196"/>
      <c r="BX54" s="197"/>
      <c r="BY54" s="196"/>
      <c r="BZ54" s="196"/>
      <c r="CA54" s="197"/>
      <c r="CB54" s="196"/>
      <c r="CC54" s="196"/>
      <c r="CD54" s="197"/>
      <c r="CE54" s="196"/>
      <c r="CF54" s="196"/>
      <c r="CG54" s="197"/>
      <c r="CH54" s="196"/>
      <c r="CI54" s="196"/>
      <c r="CJ54" s="197"/>
      <c r="CK54" s="196"/>
      <c r="CL54" s="196"/>
      <c r="CM54" s="197"/>
      <c r="CN54" s="196"/>
      <c r="CO54" s="196"/>
      <c r="CP54" s="197"/>
      <c r="CQ54" s="196"/>
      <c r="CR54" s="196"/>
      <c r="CS54" s="197"/>
      <c r="CT54" s="196"/>
      <c r="CU54" s="196"/>
      <c r="CV54" s="197"/>
      <c r="CW54" s="196"/>
      <c r="CX54" s="196"/>
      <c r="CY54" s="516"/>
      <c r="CZ54" s="505"/>
      <c r="DA54" s="505"/>
      <c r="DB54" s="516"/>
      <c r="DC54" s="505"/>
      <c r="DD54" s="505"/>
      <c r="DE54" s="778"/>
      <c r="DF54" s="505"/>
      <c r="DG54" s="505"/>
      <c r="DH54" s="778"/>
      <c r="DI54" s="648">
        <f t="shared" ref="DI54:FA54" si="73">DI44/DI6</f>
        <v>0.5009753375692283</v>
      </c>
      <c r="DJ54" s="648">
        <f t="shared" si="73"/>
        <v>0.45719468313193679</v>
      </c>
      <c r="DK54" s="678">
        <f t="shared" si="73"/>
        <v>0.4793065393982861</v>
      </c>
      <c r="DL54" s="648">
        <f t="shared" si="73"/>
        <v>0.47439576860131394</v>
      </c>
      <c r="DM54" s="648">
        <f t="shared" si="73"/>
        <v>0.43581513213466871</v>
      </c>
      <c r="DN54" s="678">
        <f t="shared" si="73"/>
        <v>0.45527297956840035</v>
      </c>
      <c r="DO54" s="648">
        <f t="shared" si="73"/>
        <v>0.42070684186678747</v>
      </c>
      <c r="DP54" s="648">
        <f t="shared" si="73"/>
        <v>0.41721563460693895</v>
      </c>
      <c r="DQ54" s="678">
        <f t="shared" si="73"/>
        <v>0.41893398751115074</v>
      </c>
      <c r="DR54" s="648">
        <f t="shared" si="73"/>
        <v>0.43608874926369529</v>
      </c>
      <c r="DS54" s="648">
        <f t="shared" si="73"/>
        <v>0.41041785918717805</v>
      </c>
      <c r="DT54" s="678">
        <f t="shared" si="73"/>
        <v>0.42306947938842654</v>
      </c>
      <c r="DU54" s="648">
        <f t="shared" si="73"/>
        <v>0.44608804134735341</v>
      </c>
      <c r="DV54" s="648">
        <f t="shared" si="73"/>
        <v>0.41379958638841885</v>
      </c>
      <c r="DW54" s="678">
        <f t="shared" si="73"/>
        <v>0.43037511436413539</v>
      </c>
      <c r="DX54" s="648">
        <f t="shared" ref="DX54" si="74">DX44/DX6</f>
        <v>0.43730084348641052</v>
      </c>
      <c r="DY54" s="648">
        <f t="shared" si="73"/>
        <v>0.42147552748102285</v>
      </c>
      <c r="DZ54" s="678">
        <f t="shared" si="73"/>
        <v>0.42890808564698463</v>
      </c>
      <c r="EA54" s="648">
        <f t="shared" si="73"/>
        <v>0.44867817646829145</v>
      </c>
      <c r="EB54" s="648">
        <f t="shared" si="73"/>
        <v>0.46177201069413581</v>
      </c>
      <c r="EC54" s="678">
        <f t="shared" si="73"/>
        <v>0.45548530313947172</v>
      </c>
      <c r="ED54" s="648">
        <f t="shared" si="73"/>
        <v>0.46599855218854613</v>
      </c>
      <c r="EE54" s="648">
        <f t="shared" si="73"/>
        <v>0.46897918768068503</v>
      </c>
      <c r="EF54" s="678">
        <f t="shared" si="73"/>
        <v>0.46754830436862732</v>
      </c>
      <c r="EG54" s="648">
        <f t="shared" si="73"/>
        <v>0.47567190011298399</v>
      </c>
      <c r="EH54" s="648">
        <f t="shared" si="73"/>
        <v>0.47871612415787296</v>
      </c>
      <c r="EI54" s="678">
        <f t="shared" si="73"/>
        <v>0.4772559769161025</v>
      </c>
      <c r="EJ54" s="648">
        <f t="shared" si="73"/>
        <v>0.48536667490080732</v>
      </c>
      <c r="EK54" s="648">
        <f t="shared" si="73"/>
        <v>0.48845468967596312</v>
      </c>
      <c r="EL54" s="678">
        <f t="shared" si="73"/>
        <v>0.4869768681742408</v>
      </c>
      <c r="EM54" s="648">
        <f t="shared" si="73"/>
        <v>0.50019441495401962</v>
      </c>
      <c r="EN54" s="648">
        <f t="shared" si="73"/>
        <v>0.49828013900984292</v>
      </c>
      <c r="EO54" s="678">
        <f t="shared" si="73"/>
        <v>0.49919775907165631</v>
      </c>
      <c r="EP54" s="648">
        <f t="shared" si="73"/>
        <v>0.50995434558918484</v>
      </c>
      <c r="EQ54" s="648">
        <f t="shared" si="73"/>
        <v>0.50808969822854855</v>
      </c>
      <c r="ER54" s="678">
        <f t="shared" si="73"/>
        <v>0.50898285364461382</v>
      </c>
      <c r="ES54" s="648">
        <f t="shared" si="73"/>
        <v>0.51463730596102164</v>
      </c>
      <c r="ET54" s="648">
        <f t="shared" si="73"/>
        <v>0.51284990852946266</v>
      </c>
      <c r="EU54" s="678">
        <f t="shared" si="73"/>
        <v>0.51370604751506055</v>
      </c>
      <c r="EV54" s="648">
        <f t="shared" si="73"/>
        <v>0.51426544864146329</v>
      </c>
      <c r="EW54" s="648">
        <f t="shared" si="73"/>
        <v>0.51256925232308748</v>
      </c>
      <c r="EX54" s="678">
        <f t="shared" si="73"/>
        <v>0.51338169482929008</v>
      </c>
      <c r="EY54" s="648">
        <f t="shared" si="73"/>
        <v>0.51391206772616382</v>
      </c>
      <c r="EZ54" s="648">
        <f t="shared" si="73"/>
        <v>0.51230266948430547</v>
      </c>
      <c r="FA54" s="647">
        <f t="shared" si="73"/>
        <v>0.51307352673342221</v>
      </c>
    </row>
    <row r="55" spans="1:184" ht="13.35" customHeight="1" outlineLevel="1">
      <c r="A55" s="760"/>
      <c r="B55" s="126"/>
      <c r="C55" s="126" t="s">
        <v>767</v>
      </c>
      <c r="D55" s="178" t="str">
        <f>D54</f>
        <v>%</v>
      </c>
      <c r="E55" s="197"/>
      <c r="F55" s="197"/>
      <c r="G55" s="197"/>
      <c r="H55" s="197"/>
      <c r="I55" s="197"/>
      <c r="J55" s="197"/>
      <c r="K55" s="197"/>
      <c r="L55" s="197"/>
      <c r="M55" s="197"/>
      <c r="N55" s="197"/>
      <c r="O55" s="197"/>
      <c r="P55" s="197"/>
      <c r="Q55" s="197"/>
      <c r="R55" s="197"/>
      <c r="S55" s="197"/>
      <c r="T55" s="197"/>
      <c r="U55" s="197"/>
      <c r="V55" s="197"/>
      <c r="W55" s="197"/>
      <c r="X55" s="197"/>
      <c r="Y55" s="197"/>
      <c r="Z55" s="197"/>
      <c r="AA55" s="197"/>
      <c r="AB55" s="197"/>
      <c r="AC55" s="197"/>
      <c r="AD55" s="197"/>
      <c r="AE55" s="197"/>
      <c r="AF55" s="197"/>
      <c r="AG55" s="197"/>
      <c r="AH55" s="197"/>
      <c r="AI55" s="197"/>
      <c r="AJ55" s="197"/>
      <c r="AK55" s="197"/>
      <c r="AL55" s="197"/>
      <c r="AM55" s="197"/>
      <c r="AN55" s="197"/>
      <c r="AO55" s="196"/>
      <c r="AP55" s="196"/>
      <c r="AQ55" s="194"/>
      <c r="AR55" s="196"/>
      <c r="AS55" s="196"/>
      <c r="AT55" s="194"/>
      <c r="AU55" s="196"/>
      <c r="AV55" s="196"/>
      <c r="AW55" s="194"/>
      <c r="AX55" s="196"/>
      <c r="AY55" s="196"/>
      <c r="AZ55" s="194"/>
      <c r="BA55" s="196"/>
      <c r="BB55" s="196"/>
      <c r="BC55" s="194"/>
      <c r="BD55" s="196"/>
      <c r="BE55" s="196"/>
      <c r="BF55" s="194"/>
      <c r="BG55" s="196"/>
      <c r="BH55" s="196"/>
      <c r="BI55" s="194"/>
      <c r="BJ55" s="196"/>
      <c r="BK55" s="196"/>
      <c r="BL55" s="194"/>
      <c r="BM55" s="196"/>
      <c r="BN55" s="196"/>
      <c r="BO55" s="197"/>
      <c r="BP55" s="196"/>
      <c r="BQ55" s="196"/>
      <c r="BR55" s="197"/>
      <c r="BS55" s="196"/>
      <c r="BT55" s="196"/>
      <c r="BU55" s="199"/>
      <c r="BV55" s="196"/>
      <c r="BW55" s="196"/>
      <c r="BX55" s="197"/>
      <c r="BY55" s="196"/>
      <c r="BZ55" s="196"/>
      <c r="CA55" s="197"/>
      <c r="CB55" s="196"/>
      <c r="CC55" s="196"/>
      <c r="CD55" s="197"/>
      <c r="CE55" s="196"/>
      <c r="CF55" s="196"/>
      <c r="CG55" s="197"/>
      <c r="CH55" s="196"/>
      <c r="CI55" s="196"/>
      <c r="CJ55" s="197"/>
      <c r="CK55" s="196"/>
      <c r="CL55" s="196"/>
      <c r="CM55" s="197"/>
      <c r="CN55" s="196"/>
      <c r="CO55" s="196"/>
      <c r="CP55" s="197"/>
      <c r="CQ55" s="196"/>
      <c r="CR55" s="196"/>
      <c r="CS55" s="197"/>
      <c r="CT55" s="196"/>
      <c r="CU55" s="196"/>
      <c r="CV55" s="197"/>
      <c r="CW55" s="196"/>
      <c r="CX55" s="196"/>
      <c r="CY55" s="516"/>
      <c r="CZ55" s="505"/>
      <c r="DA55" s="505"/>
      <c r="DB55" s="516"/>
      <c r="DC55" s="505"/>
      <c r="DD55" s="505"/>
      <c r="DE55" s="778"/>
      <c r="DF55" s="505"/>
      <c r="DG55" s="505"/>
      <c r="DH55" s="778"/>
      <c r="DI55" s="648">
        <f t="shared" ref="DI55:FA55" si="75">DI45/DI7</f>
        <v>0.5559147853567179</v>
      </c>
      <c r="DJ55" s="648">
        <f t="shared" si="75"/>
        <v>0.10338735678593608</v>
      </c>
      <c r="DK55" s="678">
        <f t="shared" si="75"/>
        <v>0.47425941903940178</v>
      </c>
      <c r="DL55" s="648">
        <f t="shared" si="75"/>
        <v>0.60332344213649858</v>
      </c>
      <c r="DM55" s="648">
        <f t="shared" si="75"/>
        <v>-0.1849462365591398</v>
      </c>
      <c r="DN55" s="678">
        <f t="shared" si="75"/>
        <v>0.49134419551934827</v>
      </c>
      <c r="DO55" s="648">
        <f t="shared" si="75"/>
        <v>0.66719090249213642</v>
      </c>
      <c r="DP55" s="648">
        <f t="shared" si="75"/>
        <v>-0.15672396359959559</v>
      </c>
      <c r="DQ55" s="678">
        <f t="shared" si="75"/>
        <v>0.57914640734737977</v>
      </c>
      <c r="DR55" s="648">
        <f t="shared" si="75"/>
        <v>0.65571847507331382</v>
      </c>
      <c r="DS55" s="648">
        <f t="shared" si="75"/>
        <v>2.0942408376963352E-2</v>
      </c>
      <c r="DT55" s="678">
        <f t="shared" si="75"/>
        <v>0.59177215189873422</v>
      </c>
      <c r="DU55" s="648">
        <f t="shared" si="75"/>
        <v>0.60686528497409331</v>
      </c>
      <c r="DV55" s="648">
        <f t="shared" si="75"/>
        <v>0.24861878453038674</v>
      </c>
      <c r="DW55" s="678">
        <f t="shared" si="75"/>
        <v>0.53882476390346279</v>
      </c>
      <c r="DX55" s="648">
        <f t="shared" ref="DX55" si="76">DX45/DX7</f>
        <v>0.57105606258148633</v>
      </c>
      <c r="DY55" s="648">
        <f t="shared" si="75"/>
        <v>0.15497934935231969</v>
      </c>
      <c r="DZ55" s="678">
        <f t="shared" si="75"/>
        <v>0.51208351563770815</v>
      </c>
      <c r="EA55" s="648">
        <f t="shared" si="75"/>
        <v>0.57192772189146879</v>
      </c>
      <c r="EB55" s="648">
        <f t="shared" si="75"/>
        <v>0.15871301705782881</v>
      </c>
      <c r="EC55" s="678">
        <f t="shared" si="75"/>
        <v>0.51282388611091068</v>
      </c>
      <c r="ED55" s="648">
        <f t="shared" si="75"/>
        <v>0.5736827695900717</v>
      </c>
      <c r="EE55" s="648">
        <f t="shared" si="75"/>
        <v>0.16546274496790186</v>
      </c>
      <c r="EF55" s="678">
        <f t="shared" si="75"/>
        <v>0.51503756656521449</v>
      </c>
      <c r="EG55" s="648">
        <f t="shared" si="75"/>
        <v>0.57185439154310014</v>
      </c>
      <c r="EH55" s="648">
        <f t="shared" si="75"/>
        <v>0.15415842516097406</v>
      </c>
      <c r="EI55" s="678">
        <f t="shared" si="75"/>
        <v>0.51238531579704782</v>
      </c>
      <c r="EJ55" s="648">
        <f t="shared" si="75"/>
        <v>0.56918318455076966</v>
      </c>
      <c r="EK55" s="648">
        <f t="shared" si="75"/>
        <v>0.13720749090233872</v>
      </c>
      <c r="EL55" s="678">
        <f t="shared" si="75"/>
        <v>0.50849609501687743</v>
      </c>
      <c r="EM55" s="648">
        <f t="shared" si="75"/>
        <v>0.56658006462274713</v>
      </c>
      <c r="EN55" s="648">
        <f t="shared" si="75"/>
        <v>0.12016993297150513</v>
      </c>
      <c r="EO55" s="678">
        <f t="shared" si="75"/>
        <v>0.50468950818763181</v>
      </c>
      <c r="EP55" s="648">
        <f t="shared" si="75"/>
        <v>0.56404355552431507</v>
      </c>
      <c r="EQ55" s="648">
        <f t="shared" si="75"/>
        <v>0.10305258327446988</v>
      </c>
      <c r="ER55" s="678">
        <f t="shared" si="75"/>
        <v>0.50096455971559217</v>
      </c>
      <c r="ES55" s="648">
        <f t="shared" si="75"/>
        <v>0.56157219889212195</v>
      </c>
      <c r="ET55" s="648">
        <f t="shared" si="75"/>
        <v>8.5862407862490706E-2</v>
      </c>
      <c r="EU55" s="678">
        <f t="shared" si="75"/>
        <v>0.49732022645847723</v>
      </c>
      <c r="EV55" s="648">
        <f t="shared" si="75"/>
        <v>0.55916455485411132</v>
      </c>
      <c r="EW55" s="648">
        <f t="shared" si="75"/>
        <v>6.8606496051710611E-2</v>
      </c>
      <c r="EX55" s="678">
        <f t="shared" si="75"/>
        <v>0.49375546017363803</v>
      </c>
      <c r="EY55" s="648">
        <f t="shared" si="75"/>
        <v>0.55681920258797279</v>
      </c>
      <c r="EZ55" s="648">
        <f t="shared" si="75"/>
        <v>5.1292049104705292E-2</v>
      </c>
      <c r="FA55" s="647">
        <f t="shared" si="75"/>
        <v>0.49026918989356078</v>
      </c>
    </row>
    <row r="56" spans="1:184" ht="13.35" customHeight="1" outlineLevel="1">
      <c r="A56" s="760"/>
      <c r="B56" s="126"/>
      <c r="C56" s="126" t="s">
        <v>900</v>
      </c>
      <c r="D56" s="178" t="s">
        <v>507</v>
      </c>
      <c r="E56" s="197"/>
      <c r="F56" s="197"/>
      <c r="G56" s="197"/>
      <c r="H56" s="197"/>
      <c r="I56" s="197"/>
      <c r="J56" s="197"/>
      <c r="K56" s="197"/>
      <c r="L56" s="197"/>
      <c r="M56" s="197"/>
      <c r="N56" s="197"/>
      <c r="O56" s="197"/>
      <c r="P56" s="197"/>
      <c r="Q56" s="197"/>
      <c r="R56" s="197"/>
      <c r="S56" s="197"/>
      <c r="T56" s="197"/>
      <c r="U56" s="197"/>
      <c r="V56" s="197"/>
      <c r="W56" s="197"/>
      <c r="X56" s="197"/>
      <c r="Y56" s="197"/>
      <c r="Z56" s="197"/>
      <c r="AA56" s="197"/>
      <c r="AB56" s="197"/>
      <c r="AC56" s="197"/>
      <c r="AD56" s="197"/>
      <c r="AE56" s="197"/>
      <c r="AF56" s="197"/>
      <c r="AG56" s="197"/>
      <c r="AH56" s="197"/>
      <c r="AI56" s="197"/>
      <c r="AJ56" s="197"/>
      <c r="AK56" s="197"/>
      <c r="AL56" s="197"/>
      <c r="AM56" s="197"/>
      <c r="AN56" s="197"/>
      <c r="AO56" s="200"/>
      <c r="AP56" s="200"/>
      <c r="AQ56" s="197"/>
      <c r="AR56" s="196"/>
      <c r="AS56" s="196"/>
      <c r="AT56" s="194"/>
      <c r="AU56" s="196"/>
      <c r="AV56" s="196"/>
      <c r="AW56" s="194"/>
      <c r="AX56" s="196"/>
      <c r="AY56" s="196"/>
      <c r="AZ56" s="194"/>
      <c r="BA56" s="196"/>
      <c r="BB56" s="196"/>
      <c r="BC56" s="194"/>
      <c r="BD56" s="196"/>
      <c r="BE56" s="196"/>
      <c r="BF56" s="194"/>
      <c r="BG56" s="196"/>
      <c r="BH56" s="196"/>
      <c r="BI56" s="194"/>
      <c r="BJ56" s="196"/>
      <c r="BK56" s="196"/>
      <c r="BL56" s="194"/>
      <c r="BM56" s="196"/>
      <c r="BN56" s="196"/>
      <c r="BO56" s="197"/>
      <c r="BP56" s="196"/>
      <c r="BQ56" s="196"/>
      <c r="BR56" s="197"/>
      <c r="BS56" s="196"/>
      <c r="BT56" s="196"/>
      <c r="BU56" s="199"/>
      <c r="BV56" s="196"/>
      <c r="BW56" s="196"/>
      <c r="BX56" s="197"/>
      <c r="BY56" s="196"/>
      <c r="BZ56" s="196"/>
      <c r="CA56" s="197"/>
      <c r="CB56" s="196"/>
      <c r="CC56" s="196"/>
      <c r="CD56" s="197"/>
      <c r="CE56" s="196"/>
      <c r="CF56" s="196"/>
      <c r="CG56" s="197"/>
      <c r="CH56" s="196"/>
      <c r="CI56" s="196"/>
      <c r="CJ56" s="197"/>
      <c r="CK56" s="196"/>
      <c r="CL56" s="196"/>
      <c r="CM56" s="197"/>
      <c r="CN56" s="196"/>
      <c r="CO56" s="196"/>
      <c r="CP56" s="197"/>
      <c r="CQ56" s="196"/>
      <c r="CR56" s="196"/>
      <c r="CS56" s="197"/>
      <c r="CT56" s="196"/>
      <c r="CU56" s="196"/>
      <c r="CV56" s="197"/>
      <c r="CW56" s="196"/>
      <c r="CX56" s="196"/>
      <c r="CY56" s="516"/>
      <c r="CZ56" s="505"/>
      <c r="DA56" s="505"/>
      <c r="DB56" s="516"/>
      <c r="DC56" s="505"/>
      <c r="DD56" s="505"/>
      <c r="DE56" s="778"/>
      <c r="DF56" s="505"/>
      <c r="DG56" s="505"/>
      <c r="DH56" s="778"/>
      <c r="DI56" s="562"/>
      <c r="DJ56" s="562"/>
      <c r="DK56" s="678"/>
      <c r="DL56" s="562"/>
      <c r="DM56" s="562"/>
      <c r="DN56" s="678"/>
      <c r="DO56" s="562">
        <f t="shared" ref="DO56:FA56" si="77">DO46/DO8</f>
        <v>0.44881889763779526</v>
      </c>
      <c r="DP56" s="562">
        <f t="shared" si="77"/>
        <v>0.47454545454545455</v>
      </c>
      <c r="DQ56" s="678">
        <f t="shared" si="77"/>
        <v>0.46304675716440424</v>
      </c>
      <c r="DR56" s="562">
        <f t="shared" si="77"/>
        <v>0.44488579940417078</v>
      </c>
      <c r="DS56" s="562">
        <f t="shared" si="77"/>
        <v>0.48565965583173998</v>
      </c>
      <c r="DT56" s="678">
        <f t="shared" si="77"/>
        <v>0.46566000974184119</v>
      </c>
      <c r="DU56" s="562">
        <f t="shared" si="77"/>
        <v>0.47486033519553073</v>
      </c>
      <c r="DV56" s="562">
        <f t="shared" si="77"/>
        <v>0.50912250217202437</v>
      </c>
      <c r="DW56" s="678">
        <f t="shared" si="77"/>
        <v>0.49258426966292135</v>
      </c>
      <c r="DX56" s="562">
        <f t="shared" ref="DX56" si="78">DX46/DX8</f>
        <v>0.52003270645952571</v>
      </c>
      <c r="DY56" s="562">
        <f t="shared" si="77"/>
        <v>0.49877734410974467</v>
      </c>
      <c r="DZ56" s="678">
        <f t="shared" si="77"/>
        <v>0.50993105900682179</v>
      </c>
      <c r="EA56" s="562">
        <f t="shared" si="77"/>
        <v>0.48040028123561096</v>
      </c>
      <c r="EB56" s="562">
        <f t="shared" si="77"/>
        <v>0.48197130792866533</v>
      </c>
      <c r="EC56" s="678">
        <f t="shared" si="77"/>
        <v>0.48112339920781411</v>
      </c>
      <c r="ED56" s="562">
        <f t="shared" si="77"/>
        <v>0.48042235396408839</v>
      </c>
      <c r="EE56" s="562">
        <f t="shared" si="77"/>
        <v>0.48199277384981998</v>
      </c>
      <c r="EF56" s="678">
        <f t="shared" si="77"/>
        <v>0.48116193398985352</v>
      </c>
      <c r="EG56" s="562">
        <f t="shared" si="77"/>
        <v>0.48042652025737542</v>
      </c>
      <c r="EH56" s="562">
        <f t="shared" si="77"/>
        <v>0.48201392640398594</v>
      </c>
      <c r="EI56" s="678">
        <f t="shared" si="77"/>
        <v>0.48117380617594646</v>
      </c>
      <c r="EJ56" s="562">
        <f t="shared" si="77"/>
        <v>0.48043060566604878</v>
      </c>
      <c r="EK56" s="562">
        <f t="shared" si="77"/>
        <v>0.48203475122449208</v>
      </c>
      <c r="EL56" s="678">
        <f t="shared" si="77"/>
        <v>0.48118547030259828</v>
      </c>
      <c r="EM56" s="562">
        <f t="shared" si="77"/>
        <v>0.48043460690662754</v>
      </c>
      <c r="EN56" s="562">
        <f t="shared" si="77"/>
        <v>0.48205523389206051</v>
      </c>
      <c r="EO56" s="678">
        <f t="shared" si="77"/>
        <v>0.48119691760485045</v>
      </c>
      <c r="EP56" s="562">
        <f t="shared" si="77"/>
        <v>0.48043852068042459</v>
      </c>
      <c r="EQ56" s="562">
        <f t="shared" si="77"/>
        <v>0.48207535993489053</v>
      </c>
      <c r="ER56" s="678">
        <f t="shared" si="77"/>
        <v>0.48120813927955852</v>
      </c>
      <c r="ES56" s="562">
        <f t="shared" si="77"/>
        <v>0.48044234367409683</v>
      </c>
      <c r="ET56" s="562">
        <f t="shared" si="77"/>
        <v>0.48209511482895967</v>
      </c>
      <c r="EU56" s="678">
        <f t="shared" si="77"/>
        <v>0.48121912648617249</v>
      </c>
      <c r="EV56" s="562">
        <f t="shared" si="77"/>
        <v>0.48044607256033744</v>
      </c>
      <c r="EW56" s="562">
        <f t="shared" si="77"/>
        <v>0.48211448399860629</v>
      </c>
      <c r="EX56" s="678">
        <f t="shared" si="77"/>
        <v>0.48122987034779768</v>
      </c>
      <c r="EY56" s="562">
        <f t="shared" si="77"/>
        <v>0.48044970399873022</v>
      </c>
      <c r="EZ56" s="562">
        <f t="shared" si="77"/>
        <v>0.48213345281746023</v>
      </c>
      <c r="FA56" s="563">
        <f t="shared" si="77"/>
        <v>0.48124036195258219</v>
      </c>
    </row>
    <row r="57" spans="1:184" s="218" customFormat="1" ht="13.35" customHeight="1" outlineLevel="1" thickBot="1">
      <c r="A57" s="989"/>
      <c r="B57" s="5" t="s">
        <v>327</v>
      </c>
      <c r="C57" s="5"/>
      <c r="D57" s="178" t="s">
        <v>507</v>
      </c>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194"/>
      <c r="AK57" s="194"/>
      <c r="AL57" s="194"/>
      <c r="AM57" s="194"/>
      <c r="AN57" s="194"/>
      <c r="AO57" s="241"/>
      <c r="AP57" s="241"/>
      <c r="AQ57" s="194"/>
      <c r="AR57" s="195"/>
      <c r="AS57" s="195"/>
      <c r="AT57" s="194"/>
      <c r="AU57" s="195"/>
      <c r="AV57" s="195"/>
      <c r="AW57" s="194"/>
      <c r="AX57" s="195"/>
      <c r="AY57" s="195"/>
      <c r="AZ57" s="194"/>
      <c r="BA57" s="195"/>
      <c r="BB57" s="195"/>
      <c r="BC57" s="194"/>
      <c r="BD57" s="195"/>
      <c r="BE57" s="195"/>
      <c r="BF57" s="194"/>
      <c r="BG57" s="195"/>
      <c r="BH57" s="195"/>
      <c r="BI57" s="194"/>
      <c r="BJ57" s="195"/>
      <c r="BK57" s="195"/>
      <c r="BL57" s="194"/>
      <c r="BM57" s="195"/>
      <c r="BN57" s="195"/>
      <c r="BO57" s="194"/>
      <c r="BP57" s="195"/>
      <c r="BQ57" s="195"/>
      <c r="BR57" s="194"/>
      <c r="BS57" s="195"/>
      <c r="BT57" s="195"/>
      <c r="BU57" s="235"/>
      <c r="BV57" s="242"/>
      <c r="BW57" s="242"/>
      <c r="BX57" s="243"/>
      <c r="BY57" s="242"/>
      <c r="BZ57" s="242"/>
      <c r="CA57" s="243"/>
      <c r="CB57" s="242"/>
      <c r="CC57" s="242"/>
      <c r="CD57" s="243"/>
      <c r="CE57" s="242"/>
      <c r="CF57" s="242"/>
      <c r="CG57" s="243"/>
      <c r="CH57" s="242"/>
      <c r="CI57" s="242"/>
      <c r="CJ57" s="243"/>
      <c r="CK57" s="242"/>
      <c r="CL57" s="242"/>
      <c r="CM57" s="243"/>
      <c r="CN57" s="242"/>
      <c r="CO57" s="242"/>
      <c r="CP57" s="243"/>
      <c r="CQ57" s="242"/>
      <c r="CR57" s="242"/>
      <c r="CS57" s="243"/>
      <c r="CT57" s="242"/>
      <c r="CU57" s="242"/>
      <c r="CV57" s="243"/>
      <c r="CW57" s="242"/>
      <c r="CX57" s="242"/>
      <c r="CY57" s="515"/>
      <c r="CZ57" s="519"/>
      <c r="DA57" s="519"/>
      <c r="DB57" s="515"/>
      <c r="DC57" s="519"/>
      <c r="DD57" s="519"/>
      <c r="DE57" s="684"/>
      <c r="DF57" s="519"/>
      <c r="DG57" s="519"/>
      <c r="DH57" s="684"/>
      <c r="DI57" s="649">
        <f t="shared" ref="DI57:DN57" si="79">DI47/DI9</f>
        <v>0.51475336505420866</v>
      </c>
      <c r="DJ57" s="649">
        <f t="shared" si="79"/>
        <v>0.43244764863163815</v>
      </c>
      <c r="DK57" s="679">
        <f t="shared" si="79"/>
        <v>0.47844345075063555</v>
      </c>
      <c r="DL57" s="649">
        <f t="shared" si="79"/>
        <v>0.51120977444883153</v>
      </c>
      <c r="DM57" s="649">
        <f t="shared" si="79"/>
        <v>0.39665347654041827</v>
      </c>
      <c r="DN57" s="679">
        <f t="shared" si="79"/>
        <v>0.4621353016389631</v>
      </c>
      <c r="DO57" s="649">
        <f t="shared" ref="DO57:FA57" si="80">DO47/DO9</f>
        <v>0.48287858313446996</v>
      </c>
      <c r="DP57" s="649">
        <f t="shared" si="80"/>
        <v>0.40859222803240025</v>
      </c>
      <c r="DQ57" s="679">
        <f t="shared" si="80"/>
        <v>0.44893816364772016</v>
      </c>
      <c r="DR57" s="649">
        <f t="shared" si="80"/>
        <v>0.48520179372197308</v>
      </c>
      <c r="DS57" s="649">
        <f t="shared" si="80"/>
        <v>0.41108366779870331</v>
      </c>
      <c r="DT57" s="679">
        <f t="shared" si="80"/>
        <v>0.4515858013022474</v>
      </c>
      <c r="DU57" s="649">
        <f t="shared" si="80"/>
        <v>0.48000972171588285</v>
      </c>
      <c r="DV57" s="649">
        <f t="shared" si="80"/>
        <v>0.42110655737704916</v>
      </c>
      <c r="DW57" s="679">
        <f t="shared" si="80"/>
        <v>0.45328995418630902</v>
      </c>
      <c r="DX57" s="649">
        <f t="shared" ref="DX57" si="81">DX47/DX9</f>
        <v>0.47516065249629263</v>
      </c>
      <c r="DY57" s="649">
        <f t="shared" si="80"/>
        <v>0.42392802907777855</v>
      </c>
      <c r="DZ57" s="679">
        <f t="shared" si="80"/>
        <v>0.45071418743301933</v>
      </c>
      <c r="EA57" s="649">
        <f t="shared" si="80"/>
        <v>0.47476428227993223</v>
      </c>
      <c r="EB57" s="649">
        <f t="shared" si="80"/>
        <v>0.45469121741380469</v>
      </c>
      <c r="EC57" s="679">
        <f t="shared" si="80"/>
        <v>0.46531315291895853</v>
      </c>
      <c r="ED57" s="649">
        <f t="shared" si="80"/>
        <v>0.48579870234964317</v>
      </c>
      <c r="EE57" s="649">
        <f t="shared" si="80"/>
        <v>0.46145209663400638</v>
      </c>
      <c r="EF57" s="679">
        <f t="shared" si="80"/>
        <v>0.47423226434198285</v>
      </c>
      <c r="EG57" s="649">
        <f t="shared" si="80"/>
        <v>0.4916218662222388</v>
      </c>
      <c r="EH57" s="649">
        <f t="shared" si="80"/>
        <v>0.46975531405957494</v>
      </c>
      <c r="EI57" s="679">
        <f t="shared" si="80"/>
        <v>0.48119127132793155</v>
      </c>
      <c r="EJ57" s="649">
        <f t="shared" si="80"/>
        <v>0.49765018410672557</v>
      </c>
      <c r="EK57" s="649">
        <f t="shared" si="80"/>
        <v>0.47798598203605169</v>
      </c>
      <c r="EL57" s="679">
        <f t="shared" si="80"/>
        <v>0.48822921512894901</v>
      </c>
      <c r="EM57" s="649">
        <f t="shared" si="80"/>
        <v>0.50758135449591102</v>
      </c>
      <c r="EN57" s="649">
        <f t="shared" si="80"/>
        <v>0.48626935120825698</v>
      </c>
      <c r="EO57" s="679">
        <f t="shared" si="80"/>
        <v>0.49736481304115393</v>
      </c>
      <c r="EP57" s="649">
        <f t="shared" si="80"/>
        <v>0.51405384163309653</v>
      </c>
      <c r="EQ57" s="649">
        <f t="shared" si="80"/>
        <v>0.49465495310267987</v>
      </c>
      <c r="ER57" s="679">
        <f t="shared" si="80"/>
        <v>0.50473103854437884</v>
      </c>
      <c r="ES57" s="649">
        <f t="shared" si="80"/>
        <v>0.51696081723450904</v>
      </c>
      <c r="ET57" s="649">
        <f t="shared" si="80"/>
        <v>0.49881465433936212</v>
      </c>
      <c r="EU57" s="679">
        <f t="shared" si="80"/>
        <v>0.50822301128765623</v>
      </c>
      <c r="EV57" s="649">
        <f t="shared" si="80"/>
        <v>0.51623831236336915</v>
      </c>
      <c r="EW57" s="649">
        <f t="shared" si="80"/>
        <v>0.49870169111442875</v>
      </c>
      <c r="EX57" s="679">
        <f t="shared" si="80"/>
        <v>0.50777776337677427</v>
      </c>
      <c r="EY57" s="649">
        <f t="shared" si="80"/>
        <v>0.51555371652463089</v>
      </c>
      <c r="EZ57" s="649">
        <f t="shared" si="80"/>
        <v>0.49861185956060339</v>
      </c>
      <c r="FA57" s="649">
        <f t="shared" si="80"/>
        <v>0.50736463170984114</v>
      </c>
      <c r="FB57" s="217"/>
      <c r="FC57" s="217"/>
      <c r="FD57" s="217"/>
      <c r="FE57" s="217"/>
      <c r="FF57" s="217"/>
      <c r="FG57" s="217"/>
      <c r="FH57" s="217"/>
      <c r="FI57" s="217"/>
      <c r="FJ57" s="217"/>
      <c r="FK57" s="217"/>
      <c r="FL57" s="217"/>
      <c r="FM57" s="217"/>
      <c r="FN57" s="217"/>
      <c r="FO57" s="217"/>
      <c r="FP57" s="217"/>
      <c r="FQ57" s="217"/>
      <c r="FR57" s="217"/>
      <c r="FS57" s="217"/>
      <c r="FT57" s="217"/>
      <c r="FU57" s="217"/>
      <c r="FV57" s="217"/>
      <c r="FW57" s="217"/>
      <c r="FX57" s="217"/>
      <c r="FY57" s="217"/>
      <c r="FZ57" s="217"/>
      <c r="GA57" s="217"/>
      <c r="GB57" s="217"/>
    </row>
    <row r="58" spans="1:184" s="218" customFormat="1" ht="13.35" customHeight="1" outlineLevel="1" thickTop="1">
      <c r="A58" s="989"/>
      <c r="B58" s="5"/>
      <c r="C58" s="5"/>
      <c r="D58" s="178"/>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194"/>
      <c r="AK58" s="194"/>
      <c r="AL58" s="194"/>
      <c r="AM58" s="194"/>
      <c r="AN58" s="194"/>
      <c r="AO58" s="194"/>
      <c r="AP58" s="194"/>
      <c r="AQ58" s="194"/>
      <c r="AR58" s="195"/>
      <c r="AS58" s="195"/>
      <c r="AT58" s="194"/>
      <c r="AU58" s="195"/>
      <c r="AV58" s="195"/>
      <c r="AW58" s="194"/>
      <c r="AX58" s="195"/>
      <c r="AY58" s="195"/>
      <c r="AZ58" s="194"/>
      <c r="BA58" s="195"/>
      <c r="BB58" s="195"/>
      <c r="BC58" s="194"/>
      <c r="BD58" s="195"/>
      <c r="BE58" s="195"/>
      <c r="BF58" s="194"/>
      <c r="BG58" s="195"/>
      <c r="BH58" s="195"/>
      <c r="BI58" s="194"/>
      <c r="BJ58" s="195"/>
      <c r="BK58" s="195"/>
      <c r="BL58" s="194"/>
      <c r="BM58" s="195"/>
      <c r="BN58" s="195"/>
      <c r="BO58" s="194"/>
      <c r="BP58" s="195"/>
      <c r="BQ58" s="195"/>
      <c r="BR58" s="194"/>
      <c r="BS58" s="195"/>
      <c r="BT58" s="195"/>
      <c r="BU58" s="235"/>
      <c r="BV58" s="195"/>
      <c r="BW58" s="195"/>
      <c r="BX58" s="194"/>
      <c r="BY58" s="195"/>
      <c r="BZ58" s="195"/>
      <c r="CA58" s="194"/>
      <c r="CB58" s="195"/>
      <c r="CC58" s="195"/>
      <c r="CD58" s="194"/>
      <c r="CE58" s="195"/>
      <c r="CF58" s="195"/>
      <c r="CG58" s="194"/>
      <c r="CH58" s="195"/>
      <c r="CI58" s="195"/>
      <c r="CJ58" s="194"/>
      <c r="CK58" s="195"/>
      <c r="CL58" s="195"/>
      <c r="CM58" s="194"/>
      <c r="CN58" s="195"/>
      <c r="CO58" s="195"/>
      <c r="CP58" s="194"/>
      <c r="CQ58" s="195"/>
      <c r="CR58" s="195"/>
      <c r="CS58" s="194"/>
      <c r="CT58" s="195"/>
      <c r="CU58" s="195"/>
      <c r="CV58" s="194"/>
      <c r="CW58" s="195"/>
      <c r="CX58" s="195"/>
      <c r="CY58" s="518"/>
      <c r="CZ58" s="844"/>
      <c r="DA58" s="844"/>
      <c r="DB58" s="518"/>
      <c r="DC58" s="844"/>
      <c r="DD58" s="844"/>
      <c r="DE58" s="681"/>
      <c r="DF58" s="844"/>
      <c r="DG58" s="844"/>
      <c r="DH58" s="681"/>
      <c r="DI58" s="563"/>
      <c r="DJ58" s="563"/>
      <c r="DK58" s="678"/>
      <c r="DL58" s="563"/>
      <c r="DM58" s="563"/>
      <c r="DN58" s="678"/>
      <c r="DO58" s="563"/>
      <c r="DP58" s="563"/>
      <c r="DQ58" s="678"/>
      <c r="DR58" s="563"/>
      <c r="DS58" s="563"/>
      <c r="DT58" s="678"/>
      <c r="DU58" s="563"/>
      <c r="DV58" s="563"/>
      <c r="DW58" s="678"/>
      <c r="DX58" s="563"/>
      <c r="DY58" s="563"/>
      <c r="DZ58" s="678"/>
      <c r="EA58" s="563"/>
      <c r="EB58" s="563"/>
      <c r="EC58" s="678"/>
      <c r="ED58" s="563"/>
      <c r="EE58" s="563"/>
      <c r="EF58" s="678"/>
      <c r="EG58" s="563"/>
      <c r="EH58" s="563"/>
      <c r="EI58" s="678"/>
      <c r="EJ58" s="563"/>
      <c r="EK58" s="563"/>
      <c r="EL58" s="678"/>
      <c r="EM58" s="563"/>
      <c r="EN58" s="563"/>
      <c r="EO58" s="678"/>
      <c r="EP58" s="563"/>
      <c r="EQ58" s="563"/>
      <c r="ER58" s="678"/>
      <c r="ES58" s="563"/>
      <c r="ET58" s="563"/>
      <c r="EU58" s="678"/>
      <c r="EV58" s="563"/>
      <c r="EW58" s="563"/>
      <c r="EX58" s="678"/>
      <c r="EY58" s="563"/>
      <c r="EZ58" s="563"/>
      <c r="FA58" s="563"/>
      <c r="FB58" s="217"/>
      <c r="FC58" s="217"/>
      <c r="FD58" s="217"/>
      <c r="FE58" s="217"/>
      <c r="FF58" s="217"/>
      <c r="FG58" s="217"/>
      <c r="FH58" s="217"/>
      <c r="FI58" s="217"/>
      <c r="FJ58" s="217"/>
      <c r="FK58" s="217"/>
      <c r="FL58" s="217"/>
      <c r="FM58" s="217"/>
      <c r="FN58" s="217"/>
      <c r="FO58" s="217"/>
      <c r="FP58" s="217"/>
      <c r="FQ58" s="217"/>
      <c r="FR58" s="217"/>
      <c r="FS58" s="217"/>
      <c r="FT58" s="217"/>
      <c r="FU58" s="217"/>
      <c r="FV58" s="217"/>
      <c r="FW58" s="217"/>
      <c r="FX58" s="217"/>
      <c r="FY58" s="217"/>
      <c r="FZ58" s="217"/>
      <c r="GA58" s="217"/>
      <c r="GB58" s="217"/>
    </row>
    <row r="59" spans="1:184" ht="13.35" customHeight="1" outlineLevel="1">
      <c r="A59" s="1016"/>
      <c r="B59" s="173" t="s">
        <v>920</v>
      </c>
      <c r="C59" s="173"/>
      <c r="D59" s="174"/>
      <c r="E59" s="175"/>
      <c r="F59" s="175"/>
      <c r="G59" s="175"/>
      <c r="H59" s="175"/>
      <c r="I59" s="175"/>
      <c r="J59" s="175"/>
      <c r="K59" s="175"/>
      <c r="L59" s="175"/>
      <c r="M59" s="175"/>
      <c r="N59" s="175"/>
      <c r="O59" s="175"/>
      <c r="P59" s="175"/>
      <c r="Q59" s="175"/>
      <c r="R59" s="175"/>
      <c r="S59" s="175"/>
      <c r="T59" s="175"/>
      <c r="U59" s="175"/>
      <c r="V59" s="175"/>
      <c r="W59" s="175"/>
      <c r="X59" s="175"/>
      <c r="Y59" s="175"/>
      <c r="Z59" s="175"/>
      <c r="AA59" s="175"/>
      <c r="AB59" s="175"/>
      <c r="AC59" s="175"/>
      <c r="AD59" s="175"/>
      <c r="AE59" s="175"/>
      <c r="AF59" s="175"/>
      <c r="AG59" s="175"/>
      <c r="AH59" s="175"/>
      <c r="AI59" s="175"/>
      <c r="AJ59" s="175"/>
      <c r="AK59" s="175"/>
      <c r="AL59" s="175"/>
      <c r="AM59" s="175"/>
      <c r="AN59" s="175"/>
      <c r="AO59" s="175"/>
      <c r="AP59" s="175"/>
      <c r="AQ59" s="175"/>
      <c r="AR59" s="175"/>
      <c r="AS59" s="175"/>
      <c r="AT59" s="175"/>
      <c r="AU59" s="175"/>
      <c r="AV59" s="175"/>
      <c r="AW59" s="175"/>
      <c r="AX59" s="175"/>
      <c r="AY59" s="175"/>
      <c r="AZ59" s="175"/>
      <c r="BA59" s="175"/>
      <c r="BB59" s="175"/>
      <c r="BC59" s="175" t="str">
        <f t="shared" ref="BC59:CH59" si="82">BC5</f>
        <v>2001a</v>
      </c>
      <c r="BD59" s="175" t="str">
        <f t="shared" si="82"/>
        <v>1h02</v>
      </c>
      <c r="BE59" s="175" t="str">
        <f t="shared" si="82"/>
        <v>2h02f</v>
      </c>
      <c r="BF59" s="175" t="str">
        <f t="shared" si="82"/>
        <v>2002</v>
      </c>
      <c r="BG59" s="175" t="str">
        <f t="shared" si="82"/>
        <v>1h03</v>
      </c>
      <c r="BH59" s="175" t="str">
        <f t="shared" si="82"/>
        <v>2h03</v>
      </c>
      <c r="BI59" s="175" t="str">
        <f t="shared" si="82"/>
        <v>2003</v>
      </c>
      <c r="BJ59" s="175" t="str">
        <f t="shared" si="82"/>
        <v>1h04</v>
      </c>
      <c r="BK59" s="175" t="str">
        <f t="shared" si="82"/>
        <v>2h04</v>
      </c>
      <c r="BL59" s="175" t="str">
        <f t="shared" si="82"/>
        <v>2004</v>
      </c>
      <c r="BM59" s="175" t="str">
        <f t="shared" si="82"/>
        <v>1h05</v>
      </c>
      <c r="BN59" s="175" t="str">
        <f t="shared" si="82"/>
        <v>2h05</v>
      </c>
      <c r="BO59" s="175" t="str">
        <f t="shared" si="82"/>
        <v>2005</v>
      </c>
      <c r="BP59" s="175" t="str">
        <f t="shared" si="82"/>
        <v>1h06</v>
      </c>
      <c r="BQ59" s="175" t="str">
        <f t="shared" si="82"/>
        <v>2h06</v>
      </c>
      <c r="BR59" s="175" t="str">
        <f t="shared" si="82"/>
        <v>2006</v>
      </c>
      <c r="BS59" s="175" t="str">
        <f t="shared" si="82"/>
        <v>1h07</v>
      </c>
      <c r="BT59" s="175" t="str">
        <f t="shared" si="82"/>
        <v>2h07</v>
      </c>
      <c r="BU59" s="175" t="str">
        <f t="shared" si="82"/>
        <v>2007</v>
      </c>
      <c r="BV59" s="175" t="str">
        <f t="shared" si="82"/>
        <v>1h08</v>
      </c>
      <c r="BW59" s="175" t="str">
        <f t="shared" si="82"/>
        <v>2h08</v>
      </c>
      <c r="BX59" s="175" t="str">
        <f t="shared" si="82"/>
        <v>2008</v>
      </c>
      <c r="BY59" s="175" t="str">
        <f t="shared" si="82"/>
        <v>1h09</v>
      </c>
      <c r="BZ59" s="175" t="str">
        <f t="shared" si="82"/>
        <v>2h09</v>
      </c>
      <c r="CA59" s="175" t="str">
        <f t="shared" si="82"/>
        <v>2009</v>
      </c>
      <c r="CB59" s="175" t="str">
        <f t="shared" si="82"/>
        <v>1h10</v>
      </c>
      <c r="CC59" s="175" t="str">
        <f t="shared" si="82"/>
        <v>2h10</v>
      </c>
      <c r="CD59" s="175" t="str">
        <f t="shared" si="82"/>
        <v>2010</v>
      </c>
      <c r="CE59" s="175" t="str">
        <f t="shared" si="82"/>
        <v>1h11</v>
      </c>
      <c r="CF59" s="175" t="str">
        <f t="shared" si="82"/>
        <v>2h11</v>
      </c>
      <c r="CG59" s="175" t="str">
        <f t="shared" si="82"/>
        <v>2011</v>
      </c>
      <c r="CH59" s="175" t="str">
        <f t="shared" si="82"/>
        <v>1h12</v>
      </c>
      <c r="CI59" s="175" t="str">
        <f t="shared" ref="CI59:DN59" si="83">CI5</f>
        <v>2h12</v>
      </c>
      <c r="CJ59" s="175" t="str">
        <f t="shared" si="83"/>
        <v>2012</v>
      </c>
      <c r="CK59" s="175" t="str">
        <f t="shared" si="83"/>
        <v>1h13</v>
      </c>
      <c r="CL59" s="175" t="str">
        <f t="shared" si="83"/>
        <v>2h13</v>
      </c>
      <c r="CM59" s="175" t="str">
        <f t="shared" si="83"/>
        <v>2013</v>
      </c>
      <c r="CN59" s="175" t="str">
        <f t="shared" si="83"/>
        <v>1h14</v>
      </c>
      <c r="CO59" s="175" t="str">
        <f t="shared" si="83"/>
        <v>2h14</v>
      </c>
      <c r="CP59" s="175" t="str">
        <f t="shared" si="83"/>
        <v>2014</v>
      </c>
      <c r="CQ59" s="175" t="str">
        <f t="shared" si="83"/>
        <v>1h15</v>
      </c>
      <c r="CR59" s="175" t="str">
        <f t="shared" si="83"/>
        <v>2h15</v>
      </c>
      <c r="CS59" s="175" t="str">
        <f t="shared" si="83"/>
        <v>2015</v>
      </c>
      <c r="CT59" s="175" t="str">
        <f t="shared" si="83"/>
        <v>1h16</v>
      </c>
      <c r="CU59" s="175" t="str">
        <f t="shared" si="83"/>
        <v>2h16</v>
      </c>
      <c r="CV59" s="175" t="str">
        <f t="shared" si="83"/>
        <v>2016</v>
      </c>
      <c r="CW59" s="175" t="str">
        <f t="shared" si="83"/>
        <v>1h17</v>
      </c>
      <c r="CX59" s="175" t="str">
        <f t="shared" si="83"/>
        <v>2h17</v>
      </c>
      <c r="CY59" s="222" t="str">
        <f t="shared" si="83"/>
        <v>2017</v>
      </c>
      <c r="CZ59" s="222" t="str">
        <f t="shared" si="83"/>
        <v>1h18</v>
      </c>
      <c r="DA59" s="222" t="str">
        <f t="shared" si="83"/>
        <v>2h18</v>
      </c>
      <c r="DB59" s="222" t="str">
        <f t="shared" si="83"/>
        <v>2018</v>
      </c>
      <c r="DC59" s="222" t="str">
        <f t="shared" si="83"/>
        <v>1h19</v>
      </c>
      <c r="DD59" s="222" t="str">
        <f t="shared" si="83"/>
        <v>2h19</v>
      </c>
      <c r="DE59" s="682" t="str">
        <f t="shared" si="83"/>
        <v>2019</v>
      </c>
      <c r="DF59" s="222" t="str">
        <f t="shared" si="83"/>
        <v>1h20</v>
      </c>
      <c r="DG59" s="222" t="str">
        <f t="shared" si="83"/>
        <v>2h20</v>
      </c>
      <c r="DH59" s="682" t="str">
        <f t="shared" si="83"/>
        <v>2020</v>
      </c>
      <c r="DI59" s="222" t="str">
        <f t="shared" si="83"/>
        <v>1h21</v>
      </c>
      <c r="DJ59" s="222" t="str">
        <f t="shared" si="83"/>
        <v>2h21</v>
      </c>
      <c r="DK59" s="682" t="str">
        <f t="shared" si="83"/>
        <v>2021</v>
      </c>
      <c r="DL59" s="222" t="str">
        <f t="shared" si="83"/>
        <v>1h22</v>
      </c>
      <c r="DM59" s="222" t="str">
        <f t="shared" si="83"/>
        <v>2h22</v>
      </c>
      <c r="DN59" s="682" t="str">
        <f t="shared" si="83"/>
        <v>2022</v>
      </c>
      <c r="DO59" s="222" t="str">
        <f t="shared" ref="DO59:ET59" si="84">DO5</f>
        <v>1h23</v>
      </c>
      <c r="DP59" s="222" t="str">
        <f t="shared" si="84"/>
        <v>2h23</v>
      </c>
      <c r="DQ59" s="682" t="str">
        <f t="shared" si="84"/>
        <v>2023</v>
      </c>
      <c r="DR59" s="222" t="str">
        <f t="shared" si="84"/>
        <v>1h24</v>
      </c>
      <c r="DS59" s="222" t="str">
        <f t="shared" si="84"/>
        <v>2h24</v>
      </c>
      <c r="DT59" s="682" t="str">
        <f t="shared" si="84"/>
        <v>2024</v>
      </c>
      <c r="DU59" s="222" t="str">
        <f t="shared" si="84"/>
        <v>1h25</v>
      </c>
      <c r="DV59" s="222" t="str">
        <f t="shared" si="84"/>
        <v>2h25</v>
      </c>
      <c r="DW59" s="682" t="str">
        <f t="shared" si="84"/>
        <v>2025</v>
      </c>
      <c r="DX59" s="222" t="str">
        <f t="shared" ref="DX59" si="85">DX5</f>
        <v>1h26</v>
      </c>
      <c r="DY59" s="222" t="str">
        <f t="shared" si="84"/>
        <v>2h26E</v>
      </c>
      <c r="DZ59" s="682" t="str">
        <f t="shared" si="84"/>
        <v>2026E</v>
      </c>
      <c r="EA59" s="222" t="str">
        <f t="shared" si="84"/>
        <v>1h27E</v>
      </c>
      <c r="EB59" s="222" t="str">
        <f t="shared" si="84"/>
        <v>2h27E</v>
      </c>
      <c r="EC59" s="682" t="str">
        <f t="shared" si="84"/>
        <v>2027E</v>
      </c>
      <c r="ED59" s="222" t="str">
        <f t="shared" si="84"/>
        <v>1h28E</v>
      </c>
      <c r="EE59" s="222" t="str">
        <f t="shared" si="84"/>
        <v>2h28E</v>
      </c>
      <c r="EF59" s="682" t="str">
        <f t="shared" si="84"/>
        <v>2028E</v>
      </c>
      <c r="EG59" s="222" t="str">
        <f t="shared" si="84"/>
        <v>1h29E</v>
      </c>
      <c r="EH59" s="222" t="str">
        <f t="shared" si="84"/>
        <v>2h29E</v>
      </c>
      <c r="EI59" s="682" t="str">
        <f t="shared" si="84"/>
        <v>2029E</v>
      </c>
      <c r="EJ59" s="222" t="str">
        <f t="shared" si="84"/>
        <v>1h30E</v>
      </c>
      <c r="EK59" s="222" t="str">
        <f t="shared" si="84"/>
        <v>2h30E</v>
      </c>
      <c r="EL59" s="682" t="str">
        <f t="shared" si="84"/>
        <v>2030E</v>
      </c>
      <c r="EM59" s="222" t="str">
        <f t="shared" si="84"/>
        <v>1h31E</v>
      </c>
      <c r="EN59" s="222" t="str">
        <f t="shared" si="84"/>
        <v>2h31E</v>
      </c>
      <c r="EO59" s="682" t="str">
        <f t="shared" si="84"/>
        <v>2031E</v>
      </c>
      <c r="EP59" s="222" t="str">
        <f t="shared" si="84"/>
        <v>1h32E</v>
      </c>
      <c r="EQ59" s="222" t="str">
        <f t="shared" si="84"/>
        <v>2h32E</v>
      </c>
      <c r="ER59" s="682" t="str">
        <f t="shared" si="84"/>
        <v>2032E</v>
      </c>
      <c r="ES59" s="222" t="str">
        <f t="shared" si="84"/>
        <v>1h33E</v>
      </c>
      <c r="ET59" s="222" t="str">
        <f t="shared" si="84"/>
        <v>2h33E</v>
      </c>
      <c r="EU59" s="682" t="str">
        <f t="shared" ref="EU59:FA59" si="86">EU5</f>
        <v>2033E</v>
      </c>
      <c r="EV59" s="222" t="str">
        <f t="shared" si="86"/>
        <v>1h34E</v>
      </c>
      <c r="EW59" s="222" t="str">
        <f t="shared" si="86"/>
        <v>2h34E</v>
      </c>
      <c r="EX59" s="682" t="str">
        <f t="shared" si="86"/>
        <v>2034E</v>
      </c>
      <c r="EY59" s="222" t="str">
        <f t="shared" si="86"/>
        <v>1h35E</v>
      </c>
      <c r="EZ59" s="222" t="str">
        <f t="shared" si="86"/>
        <v>2h35E</v>
      </c>
      <c r="FA59" s="222" t="str">
        <f t="shared" si="86"/>
        <v>2035E</v>
      </c>
    </row>
    <row r="60" spans="1:184" ht="13.35" customHeight="1" outlineLevel="1">
      <c r="A60" s="760" t="s">
        <v>977</v>
      </c>
      <c r="B60" s="4" t="s">
        <v>461</v>
      </c>
      <c r="C60" s="4"/>
      <c r="D60" s="178" t="s">
        <v>357</v>
      </c>
      <c r="E60" s="197"/>
      <c r="F60" s="197"/>
      <c r="G60" s="197"/>
      <c r="H60" s="197"/>
      <c r="I60" s="197"/>
      <c r="J60" s="197"/>
      <c r="K60" s="197"/>
      <c r="L60" s="197"/>
      <c r="M60" s="197"/>
      <c r="N60" s="197"/>
      <c r="O60" s="197"/>
      <c r="P60" s="197"/>
      <c r="Q60" s="197"/>
      <c r="R60" s="197"/>
      <c r="S60" s="197"/>
      <c r="T60" s="197"/>
      <c r="U60" s="197"/>
      <c r="V60" s="197"/>
      <c r="W60" s="197"/>
      <c r="X60" s="197"/>
      <c r="Y60" s="197"/>
      <c r="Z60" s="197"/>
      <c r="AA60" s="197"/>
      <c r="AB60" s="197"/>
      <c r="AC60" s="197"/>
      <c r="AD60" s="197"/>
      <c r="AE60" s="197"/>
      <c r="AF60" s="197"/>
      <c r="AG60" s="197"/>
      <c r="AH60" s="197"/>
      <c r="AI60" s="197"/>
      <c r="AJ60" s="197"/>
      <c r="AK60" s="197"/>
      <c r="AL60" s="197"/>
      <c r="AM60" s="197"/>
      <c r="AN60" s="197"/>
      <c r="AO60" s="197"/>
      <c r="AP60" s="197"/>
      <c r="AQ60" s="197"/>
      <c r="AR60" s="197"/>
      <c r="AS60" s="197"/>
      <c r="AT60" s="194"/>
      <c r="AU60" s="197"/>
      <c r="AV60" s="197"/>
      <c r="AW60" s="194"/>
      <c r="AX60" s="197"/>
      <c r="AY60" s="197"/>
      <c r="AZ60" s="194"/>
      <c r="BA60" s="197"/>
      <c r="BB60" s="197"/>
      <c r="BC60" s="194"/>
      <c r="BD60" s="197"/>
      <c r="BE60" s="197"/>
      <c r="BF60" s="194"/>
      <c r="BG60" s="197"/>
      <c r="BH60" s="197"/>
      <c r="BI60" s="194"/>
      <c r="BJ60" s="197"/>
      <c r="BK60" s="197"/>
      <c r="BL60" s="194"/>
      <c r="BM60" s="197"/>
      <c r="BN60" s="197"/>
      <c r="BO60" s="197"/>
      <c r="BP60" s="197"/>
      <c r="BQ60" s="197"/>
      <c r="BR60" s="197"/>
      <c r="BS60" s="197"/>
      <c r="BT60" s="197"/>
      <c r="BU60" s="197"/>
      <c r="BV60" s="197"/>
      <c r="BW60" s="197"/>
      <c r="BX60" s="197"/>
      <c r="BY60" s="197"/>
      <c r="BZ60" s="197"/>
      <c r="CA60" s="197"/>
      <c r="CB60" s="197"/>
      <c r="CC60" s="197"/>
      <c r="CD60" s="197"/>
      <c r="CE60" s="197"/>
      <c r="CF60" s="197"/>
      <c r="CG60" s="197"/>
      <c r="CH60" s="197"/>
      <c r="CI60" s="197"/>
      <c r="CJ60" s="197"/>
      <c r="CK60" s="197"/>
      <c r="CL60" s="197"/>
      <c r="CM60" s="197"/>
      <c r="CN60" s="197"/>
      <c r="CO60" s="197"/>
      <c r="CP60" s="197"/>
      <c r="CQ60" s="197"/>
      <c r="CR60" s="197"/>
      <c r="CS60" s="197"/>
      <c r="CT60" s="197"/>
      <c r="CU60" s="197"/>
      <c r="CV60" s="197"/>
      <c r="CW60" s="197"/>
      <c r="CX60" s="197"/>
      <c r="CY60" s="516"/>
      <c r="CZ60" s="516"/>
      <c r="DA60" s="516"/>
      <c r="DB60" s="516"/>
      <c r="DC60" s="516"/>
      <c r="DD60" s="516"/>
      <c r="DE60" s="778"/>
      <c r="DF60" s="631"/>
      <c r="DG60" s="631"/>
      <c r="DH60" s="674"/>
      <c r="DI60" s="631">
        <f>DI397</f>
        <v>406.66497839956878</v>
      </c>
      <c r="DJ60" s="631">
        <f t="shared" ref="DJ60:DL61" si="87">DJ397</f>
        <v>401.43502160043124</v>
      </c>
      <c r="DK60" s="674">
        <f t="shared" si="87"/>
        <v>808.1</v>
      </c>
      <c r="DL60" s="631">
        <f t="shared" si="87"/>
        <v>352.1</v>
      </c>
      <c r="DM60" s="631">
        <f t="shared" ref="DM60:DW60" si="88">DM397</f>
        <v>421.9</v>
      </c>
      <c r="DN60" s="674">
        <f t="shared" si="88"/>
        <v>774</v>
      </c>
      <c r="DO60" s="631">
        <f t="shared" si="88"/>
        <v>374</v>
      </c>
      <c r="DP60" s="631">
        <f t="shared" si="88"/>
        <v>430</v>
      </c>
      <c r="DQ60" s="674">
        <f t="shared" si="88"/>
        <v>804</v>
      </c>
      <c r="DR60" s="631">
        <f t="shared" si="88"/>
        <v>396</v>
      </c>
      <c r="DS60" s="631">
        <f t="shared" si="88"/>
        <v>507</v>
      </c>
      <c r="DT60" s="674">
        <f t="shared" si="88"/>
        <v>903</v>
      </c>
      <c r="DU60" s="631">
        <f t="shared" si="88"/>
        <v>434</v>
      </c>
      <c r="DV60" s="631">
        <f t="shared" si="88"/>
        <v>503</v>
      </c>
      <c r="DW60" s="674">
        <f t="shared" si="88"/>
        <v>937</v>
      </c>
      <c r="DX60" s="631">
        <f t="shared" ref="DX60" si="89">DX397</f>
        <v>455</v>
      </c>
      <c r="DY60" s="631">
        <f t="shared" ref="DY60:ER60" si="90">DY397</f>
        <v>532.28511095676049</v>
      </c>
      <c r="DZ60" s="674">
        <f t="shared" si="90"/>
        <v>987.28511095676049</v>
      </c>
      <c r="EA60" s="631">
        <f t="shared" si="90"/>
        <v>449.65138874538189</v>
      </c>
      <c r="EB60" s="631">
        <f t="shared" si="90"/>
        <v>484.56322637482037</v>
      </c>
      <c r="EC60" s="674">
        <f t="shared" si="90"/>
        <v>934.21461512020232</v>
      </c>
      <c r="ED60" s="631">
        <f t="shared" si="90"/>
        <v>496.89632894886893</v>
      </c>
      <c r="EE60" s="631">
        <f t="shared" si="90"/>
        <v>535.76234831455395</v>
      </c>
      <c r="EF60" s="674">
        <f t="shared" si="90"/>
        <v>1032.6586772634228</v>
      </c>
      <c r="EG60" s="631">
        <f t="shared" si="90"/>
        <v>531.90334639993409</v>
      </c>
      <c r="EH60" s="631">
        <f t="shared" si="90"/>
        <v>574.59608941294505</v>
      </c>
      <c r="EI60" s="674">
        <f t="shared" si="90"/>
        <v>1106.4994358128793</v>
      </c>
      <c r="EJ60" s="631">
        <f t="shared" si="90"/>
        <v>568.53204515992513</v>
      </c>
      <c r="EK60" s="631">
        <f t="shared" si="90"/>
        <v>616.93777513907298</v>
      </c>
      <c r="EL60" s="674">
        <f t="shared" si="90"/>
        <v>1185.469820298998</v>
      </c>
      <c r="EM60" s="631">
        <f t="shared" si="90"/>
        <v>604.05033011232206</v>
      </c>
      <c r="EN60" s="631">
        <f t="shared" si="90"/>
        <v>653.56712573810637</v>
      </c>
      <c r="EO60" s="674">
        <f t="shared" si="90"/>
        <v>1257.6174558504285</v>
      </c>
      <c r="EP60" s="631">
        <f t="shared" si="90"/>
        <v>641.01928343113241</v>
      </c>
      <c r="EQ60" s="631">
        <f t="shared" si="90"/>
        <v>694.69209111669056</v>
      </c>
      <c r="ER60" s="674">
        <f t="shared" si="90"/>
        <v>1335.711374547823</v>
      </c>
      <c r="ES60" s="631">
        <f t="shared" ref="ES60:FA60" si="91">ES397</f>
        <v>681.33609206124947</v>
      </c>
      <c r="ET60" s="631">
        <f t="shared" si="91"/>
        <v>738.5439816624496</v>
      </c>
      <c r="EU60" s="674">
        <f t="shared" si="91"/>
        <v>1419.8800737236991</v>
      </c>
      <c r="EV60" s="631">
        <f t="shared" si="91"/>
        <v>724.32916233022775</v>
      </c>
      <c r="EW60" s="631">
        <f t="shared" si="91"/>
        <v>785.30766668098761</v>
      </c>
      <c r="EX60" s="674">
        <f t="shared" si="91"/>
        <v>1509.6368290112155</v>
      </c>
      <c r="EY60" s="631">
        <f t="shared" si="91"/>
        <v>770.18018157104541</v>
      </c>
      <c r="EZ60" s="631">
        <f t="shared" si="91"/>
        <v>835.18075711014956</v>
      </c>
      <c r="FA60" s="6">
        <f t="shared" si="91"/>
        <v>1605.360938681195</v>
      </c>
    </row>
    <row r="61" spans="1:184" ht="13.35" customHeight="1" outlineLevel="1">
      <c r="B61" s="4" t="s">
        <v>120</v>
      </c>
      <c r="C61" s="4"/>
      <c r="D61" s="178" t="s">
        <v>507</v>
      </c>
      <c r="E61" s="197"/>
      <c r="F61" s="197"/>
      <c r="G61" s="197"/>
      <c r="H61" s="197"/>
      <c r="I61" s="197"/>
      <c r="J61" s="197"/>
      <c r="K61" s="197"/>
      <c r="L61" s="197"/>
      <c r="M61" s="197"/>
      <c r="N61" s="197"/>
      <c r="O61" s="197"/>
      <c r="P61" s="197"/>
      <c r="Q61" s="197"/>
      <c r="R61" s="197"/>
      <c r="S61" s="197"/>
      <c r="T61" s="197"/>
      <c r="U61" s="197"/>
      <c r="V61" s="197"/>
      <c r="W61" s="197"/>
      <c r="X61" s="197"/>
      <c r="Y61" s="197"/>
      <c r="Z61" s="197"/>
      <c r="AA61" s="197"/>
      <c r="AB61" s="197"/>
      <c r="AC61" s="197"/>
      <c r="AD61" s="197"/>
      <c r="AE61" s="197"/>
      <c r="AF61" s="197"/>
      <c r="AG61" s="197"/>
      <c r="AH61" s="197"/>
      <c r="AI61" s="197"/>
      <c r="AJ61" s="197"/>
      <c r="AK61" s="197"/>
      <c r="AL61" s="197"/>
      <c r="AM61" s="197"/>
      <c r="AN61" s="197"/>
      <c r="AO61" s="197"/>
      <c r="AP61" s="197"/>
      <c r="AQ61" s="197"/>
      <c r="AR61" s="197"/>
      <c r="AS61" s="197"/>
      <c r="AT61" s="194"/>
      <c r="AU61" s="197"/>
      <c r="AV61" s="197"/>
      <c r="AW61" s="194"/>
      <c r="AX61" s="197"/>
      <c r="AY61" s="197"/>
      <c r="AZ61" s="194"/>
      <c r="BA61" s="197"/>
      <c r="BB61" s="197"/>
      <c r="BC61" s="194"/>
      <c r="BD61" s="197"/>
      <c r="BE61" s="197"/>
      <c r="BF61" s="194"/>
      <c r="BG61" s="197"/>
      <c r="BH61" s="197"/>
      <c r="BI61" s="194"/>
      <c r="BJ61" s="197"/>
      <c r="BK61" s="197"/>
      <c r="BL61" s="194"/>
      <c r="BM61" s="197"/>
      <c r="BN61" s="197"/>
      <c r="BO61" s="197"/>
      <c r="BP61" s="197"/>
      <c r="BQ61" s="197"/>
      <c r="BR61" s="197"/>
      <c r="BS61" s="197"/>
      <c r="BT61" s="197"/>
      <c r="BU61" s="197"/>
      <c r="BV61" s="197"/>
      <c r="BW61" s="197"/>
      <c r="BX61" s="197"/>
      <c r="BY61" s="197"/>
      <c r="BZ61" s="197"/>
      <c r="CA61" s="197"/>
      <c r="CB61" s="197"/>
      <c r="CC61" s="197"/>
      <c r="CD61" s="197"/>
      <c r="CE61" s="197"/>
      <c r="CF61" s="197"/>
      <c r="CG61" s="197"/>
      <c r="CH61" s="197"/>
      <c r="CI61" s="197"/>
      <c r="CJ61" s="197"/>
      <c r="CK61" s="197"/>
      <c r="CL61" s="197"/>
      <c r="CM61" s="197"/>
      <c r="CN61" s="197"/>
      <c r="CO61" s="197"/>
      <c r="CP61" s="197"/>
      <c r="CQ61" s="197"/>
      <c r="CR61" s="197"/>
      <c r="CS61" s="197"/>
      <c r="CT61" s="197"/>
      <c r="CU61" s="197"/>
      <c r="CV61" s="197"/>
      <c r="CW61" s="197"/>
      <c r="CX61" s="197"/>
      <c r="CY61" s="516"/>
      <c r="CZ61" s="516"/>
      <c r="DA61" s="516"/>
      <c r="DB61" s="516"/>
      <c r="DC61" s="516"/>
      <c r="DD61" s="516"/>
      <c r="DE61" s="778"/>
      <c r="DF61" s="562"/>
      <c r="DG61" s="562"/>
      <c r="DH61" s="678"/>
      <c r="DI61" s="562">
        <f>DI398</f>
        <v>9.4245695947895156E-2</v>
      </c>
      <c r="DJ61" s="562">
        <f t="shared" si="87"/>
        <v>9.4258888176514316E-2</v>
      </c>
      <c r="DK61" s="678">
        <f t="shared" si="87"/>
        <v>9.4252248911094669E-2</v>
      </c>
      <c r="DL61" s="562">
        <f t="shared" si="87"/>
        <v>8.0827326569028038E-2</v>
      </c>
      <c r="DM61" s="562">
        <f t="shared" ref="DM61:DW61" si="92">DM398</f>
        <v>9.94531139503088E-2</v>
      </c>
      <c r="DN61" s="678">
        <f t="shared" si="92"/>
        <v>9.0016747301823574E-2</v>
      </c>
      <c r="DO61" s="562">
        <f t="shared" si="92"/>
        <v>8.2071538292736446E-2</v>
      </c>
      <c r="DP61" s="562">
        <f t="shared" si="92"/>
        <v>9.0851468413268535E-2</v>
      </c>
      <c r="DQ61" s="678">
        <f t="shared" si="92"/>
        <v>8.6544671689989236E-2</v>
      </c>
      <c r="DR61" s="562">
        <f t="shared" si="92"/>
        <v>7.560137457044673E-2</v>
      </c>
      <c r="DS61" s="562">
        <f t="shared" si="92"/>
        <v>9.4413407821229048E-2</v>
      </c>
      <c r="DT61" s="678">
        <f t="shared" si="92"/>
        <v>8.5124434389140274E-2</v>
      </c>
      <c r="DU61" s="562">
        <f t="shared" si="92"/>
        <v>7.5570259446282428E-2</v>
      </c>
      <c r="DV61" s="562">
        <f t="shared" si="92"/>
        <v>9.2890120036934448E-2</v>
      </c>
      <c r="DW61" s="678">
        <f t="shared" si="92"/>
        <v>8.3975622871482344E-2</v>
      </c>
      <c r="DX61" s="562">
        <f t="shared" ref="DX61" si="93">DX398</f>
        <v>8.3486238532110096E-2</v>
      </c>
      <c r="DY61" s="562">
        <f t="shared" ref="DY61:ER61" si="94">DY398</f>
        <v>8.6999999999999994E-2</v>
      </c>
      <c r="DZ61" s="678">
        <f t="shared" si="94"/>
        <v>8.5344602665524863E-2</v>
      </c>
      <c r="EA61" s="562">
        <f t="shared" si="94"/>
        <v>7.4999999999999997E-2</v>
      </c>
      <c r="EB61" s="562">
        <f t="shared" si="94"/>
        <v>7.4999999999999997E-2</v>
      </c>
      <c r="EC61" s="678">
        <f t="shared" si="94"/>
        <v>7.4999999999999997E-2</v>
      </c>
      <c r="ED61" s="562">
        <f t="shared" si="94"/>
        <v>7.7499999999999999E-2</v>
      </c>
      <c r="EE61" s="562">
        <f t="shared" si="94"/>
        <v>7.7499999999999999E-2</v>
      </c>
      <c r="EF61" s="678">
        <f t="shared" si="94"/>
        <v>7.7499999999999999E-2</v>
      </c>
      <c r="EG61" s="562">
        <f t="shared" si="94"/>
        <v>7.7499999999999999E-2</v>
      </c>
      <c r="EH61" s="562">
        <f t="shared" si="94"/>
        <v>7.7499999999999999E-2</v>
      </c>
      <c r="EI61" s="678">
        <f t="shared" si="94"/>
        <v>7.7499999999999999E-2</v>
      </c>
      <c r="EJ61" s="562">
        <f t="shared" si="94"/>
        <v>7.7499999999999999E-2</v>
      </c>
      <c r="EK61" s="562">
        <f t="shared" si="94"/>
        <v>7.7499999999999999E-2</v>
      </c>
      <c r="EL61" s="678">
        <f t="shared" si="94"/>
        <v>7.7499999999999999E-2</v>
      </c>
      <c r="EM61" s="562">
        <f t="shared" si="94"/>
        <v>7.7499999999999999E-2</v>
      </c>
      <c r="EN61" s="562">
        <f t="shared" si="94"/>
        <v>7.7499999999999999E-2</v>
      </c>
      <c r="EO61" s="678">
        <f t="shared" si="94"/>
        <v>7.7499999999999999E-2</v>
      </c>
      <c r="EP61" s="562">
        <f t="shared" si="94"/>
        <v>7.7499999999999999E-2</v>
      </c>
      <c r="EQ61" s="562">
        <f t="shared" si="94"/>
        <v>7.7499999999999999E-2</v>
      </c>
      <c r="ER61" s="678">
        <f t="shared" si="94"/>
        <v>7.7499999999999999E-2</v>
      </c>
      <c r="ES61" s="562">
        <f t="shared" ref="ES61:FA61" si="95">ES398</f>
        <v>7.7499999999999999E-2</v>
      </c>
      <c r="ET61" s="562">
        <f t="shared" si="95"/>
        <v>7.7499999999999999E-2</v>
      </c>
      <c r="EU61" s="678">
        <f t="shared" si="95"/>
        <v>7.7499999999999999E-2</v>
      </c>
      <c r="EV61" s="562">
        <f t="shared" si="95"/>
        <v>7.7499999999999999E-2</v>
      </c>
      <c r="EW61" s="562">
        <f t="shared" si="95"/>
        <v>7.7499999999999999E-2</v>
      </c>
      <c r="EX61" s="678">
        <f t="shared" si="95"/>
        <v>7.7499999999999999E-2</v>
      </c>
      <c r="EY61" s="562">
        <f t="shared" si="95"/>
        <v>7.7499999999999999E-2</v>
      </c>
      <c r="EZ61" s="562">
        <f t="shared" si="95"/>
        <v>7.7499999999999999E-2</v>
      </c>
      <c r="FA61" s="647">
        <f t="shared" si="95"/>
        <v>7.7499999999999999E-2</v>
      </c>
    </row>
    <row r="62" spans="1:184" ht="13.35" customHeight="1" outlineLevel="1">
      <c r="A62" s="988" t="s">
        <v>978</v>
      </c>
      <c r="B62" s="4" t="s">
        <v>767</v>
      </c>
      <c r="C62" s="4"/>
      <c r="D62" s="178" t="s">
        <v>357</v>
      </c>
      <c r="E62" s="197"/>
      <c r="F62" s="197"/>
      <c r="G62" s="197"/>
      <c r="H62" s="197"/>
      <c r="I62" s="197"/>
      <c r="J62" s="197"/>
      <c r="K62" s="197"/>
      <c r="L62" s="197"/>
      <c r="M62" s="197"/>
      <c r="N62" s="197"/>
      <c r="O62" s="197"/>
      <c r="P62" s="197"/>
      <c r="Q62" s="197"/>
      <c r="R62" s="197"/>
      <c r="S62" s="197"/>
      <c r="T62" s="197"/>
      <c r="U62" s="197"/>
      <c r="V62" s="197"/>
      <c r="W62" s="197"/>
      <c r="X62" s="197"/>
      <c r="Y62" s="197"/>
      <c r="Z62" s="197"/>
      <c r="AA62" s="197"/>
      <c r="AB62" s="197"/>
      <c r="AC62" s="197"/>
      <c r="AD62" s="197"/>
      <c r="AE62" s="197"/>
      <c r="AF62" s="197"/>
      <c r="AG62" s="197"/>
      <c r="AH62" s="197"/>
      <c r="AI62" s="197"/>
      <c r="AJ62" s="197"/>
      <c r="AK62" s="197"/>
      <c r="AL62" s="197"/>
      <c r="AM62" s="197"/>
      <c r="AN62" s="197"/>
      <c r="AO62" s="197"/>
      <c r="AP62" s="197"/>
      <c r="AQ62" s="197"/>
      <c r="AR62" s="197"/>
      <c r="AS62" s="197"/>
      <c r="AT62" s="194"/>
      <c r="AU62" s="197"/>
      <c r="AV62" s="197"/>
      <c r="AW62" s="194"/>
      <c r="AX62" s="197"/>
      <c r="AY62" s="197"/>
      <c r="AZ62" s="194"/>
      <c r="BA62" s="197"/>
      <c r="BB62" s="197"/>
      <c r="BC62" s="194"/>
      <c r="BD62" s="197"/>
      <c r="BE62" s="197"/>
      <c r="BF62" s="194"/>
      <c r="BG62" s="197"/>
      <c r="BH62" s="197"/>
      <c r="BI62" s="194"/>
      <c r="BJ62" s="197"/>
      <c r="BK62" s="197"/>
      <c r="BL62" s="194"/>
      <c r="BM62" s="197"/>
      <c r="BN62" s="197"/>
      <c r="BO62" s="197"/>
      <c r="BP62" s="197"/>
      <c r="BQ62" s="197"/>
      <c r="BR62" s="197"/>
      <c r="BS62" s="197"/>
      <c r="BT62" s="197"/>
      <c r="BU62" s="197"/>
      <c r="BV62" s="197"/>
      <c r="BW62" s="197"/>
      <c r="BX62" s="197"/>
      <c r="BY62" s="197"/>
      <c r="BZ62" s="197"/>
      <c r="CA62" s="197"/>
      <c r="CB62" s="197"/>
      <c r="CC62" s="197"/>
      <c r="CD62" s="197"/>
      <c r="CE62" s="197"/>
      <c r="CF62" s="197"/>
      <c r="CG62" s="197"/>
      <c r="CH62" s="197"/>
      <c r="CI62" s="197"/>
      <c r="CJ62" s="197"/>
      <c r="CK62" s="197"/>
      <c r="CL62" s="197"/>
      <c r="CM62" s="197"/>
      <c r="CN62" s="197"/>
      <c r="CO62" s="197"/>
      <c r="CP62" s="197"/>
      <c r="CQ62" s="197"/>
      <c r="CR62" s="197"/>
      <c r="CS62" s="197"/>
      <c r="CT62" s="197"/>
      <c r="CU62" s="197"/>
      <c r="CV62" s="197"/>
      <c r="CW62" s="197"/>
      <c r="CX62" s="197"/>
      <c r="CY62" s="516"/>
      <c r="CZ62" s="516"/>
      <c r="DA62" s="516"/>
      <c r="DB62" s="516"/>
      <c r="DC62" s="516"/>
      <c r="DD62" s="516"/>
      <c r="DE62" s="778"/>
      <c r="DF62" s="631"/>
      <c r="DG62" s="631"/>
      <c r="DH62" s="674"/>
      <c r="DI62" s="631">
        <f t="shared" ref="DI62:DL63" si="96">DI452</f>
        <v>141.2524478746688</v>
      </c>
      <c r="DJ62" s="631">
        <f t="shared" si="96"/>
        <v>30.847552125331191</v>
      </c>
      <c r="DK62" s="674">
        <f t="shared" si="96"/>
        <v>172.1</v>
      </c>
      <c r="DL62" s="631">
        <f t="shared" si="96"/>
        <v>79.400000000000006</v>
      </c>
      <c r="DM62" s="631">
        <f t="shared" ref="DM62:DW62" si="97">DM452</f>
        <v>107.6</v>
      </c>
      <c r="DN62" s="674">
        <f t="shared" si="97"/>
        <v>187</v>
      </c>
      <c r="DO62" s="631">
        <f t="shared" si="97"/>
        <v>93</v>
      </c>
      <c r="DP62" s="631">
        <f t="shared" si="97"/>
        <v>94</v>
      </c>
      <c r="DQ62" s="674">
        <f t="shared" si="97"/>
        <v>187</v>
      </c>
      <c r="DR62" s="631">
        <f t="shared" si="97"/>
        <v>89</v>
      </c>
      <c r="DS62" s="631">
        <f t="shared" si="97"/>
        <v>107</v>
      </c>
      <c r="DT62" s="674">
        <f t="shared" si="97"/>
        <v>196</v>
      </c>
      <c r="DU62" s="631">
        <f t="shared" si="97"/>
        <v>107</v>
      </c>
      <c r="DV62" s="631">
        <f t="shared" si="97"/>
        <v>123</v>
      </c>
      <c r="DW62" s="674">
        <f t="shared" si="97"/>
        <v>230</v>
      </c>
      <c r="DX62" s="631">
        <f t="shared" ref="DX62" si="98">DX452</f>
        <v>117</v>
      </c>
      <c r="DY62" s="631">
        <f t="shared" ref="DY62:EO62" si="99">DY452</f>
        <v>126.46421465609787</v>
      </c>
      <c r="DZ62" s="674">
        <f t="shared" si="99"/>
        <v>243.46421465609785</v>
      </c>
      <c r="EA62" s="631">
        <f t="shared" si="99"/>
        <v>114.97016373025514</v>
      </c>
      <c r="EB62" s="631">
        <f t="shared" si="99"/>
        <v>125.74454678444152</v>
      </c>
      <c r="EC62" s="674">
        <f t="shared" si="99"/>
        <v>240.71471051469666</v>
      </c>
      <c r="ED62" s="631">
        <f t="shared" si="99"/>
        <v>114.21528814984812</v>
      </c>
      <c r="EE62" s="631">
        <f t="shared" si="99"/>
        <v>125.57085869809571</v>
      </c>
      <c r="EF62" s="674">
        <f t="shared" si="99"/>
        <v>239.78614684794383</v>
      </c>
      <c r="EG62" s="631">
        <f t="shared" si="99"/>
        <v>116.19963036484992</v>
      </c>
      <c r="EH62" s="631">
        <f t="shared" si="99"/>
        <v>126.27627587205762</v>
      </c>
      <c r="EI62" s="674">
        <f t="shared" si="99"/>
        <v>242.47590623690755</v>
      </c>
      <c r="EJ62" s="631">
        <f t="shared" si="99"/>
        <v>119.23567395380272</v>
      </c>
      <c r="EK62" s="631">
        <f t="shared" si="99"/>
        <v>127.35556414821934</v>
      </c>
      <c r="EL62" s="674">
        <f t="shared" si="99"/>
        <v>246.59123810202206</v>
      </c>
      <c r="EM62" s="631">
        <f t="shared" si="99"/>
        <v>122.36279885042408</v>
      </c>
      <c r="EN62" s="631">
        <f t="shared" si="99"/>
        <v>128.46723107266592</v>
      </c>
      <c r="EO62" s="674">
        <f t="shared" si="99"/>
        <v>250.83002992309002</v>
      </c>
      <c r="EP62" s="631">
        <f t="shared" ref="EP62:FA62" si="100">EP452</f>
        <v>125.5837374939441</v>
      </c>
      <c r="EQ62" s="631">
        <f t="shared" si="100"/>
        <v>129.6122480048459</v>
      </c>
      <c r="ER62" s="674">
        <f t="shared" si="100"/>
        <v>255.19598549878998</v>
      </c>
      <c r="ES62" s="631">
        <f t="shared" si="100"/>
        <v>128.90130429676972</v>
      </c>
      <c r="ET62" s="631">
        <f t="shared" si="100"/>
        <v>130.79161544499129</v>
      </c>
      <c r="EU62" s="674">
        <f t="shared" si="100"/>
        <v>259.69291974176099</v>
      </c>
      <c r="EV62" s="631">
        <f t="shared" si="100"/>
        <v>132.3183981036801</v>
      </c>
      <c r="EW62" s="631">
        <f t="shared" si="100"/>
        <v>132.00636390834103</v>
      </c>
      <c r="EX62" s="674">
        <f t="shared" si="100"/>
        <v>264.3247620120211</v>
      </c>
      <c r="EY62" s="631">
        <f t="shared" si="100"/>
        <v>135.83800472479783</v>
      </c>
      <c r="EZ62" s="631">
        <f t="shared" si="100"/>
        <v>133.25755482559126</v>
      </c>
      <c r="FA62" s="6">
        <f t="shared" si="100"/>
        <v>269.09555955038911</v>
      </c>
    </row>
    <row r="63" spans="1:184" ht="13.35" customHeight="1" outlineLevel="1">
      <c r="A63" s="760"/>
      <c r="B63" s="4" t="s">
        <v>120</v>
      </c>
      <c r="C63" s="4"/>
      <c r="D63" s="178" t="s">
        <v>507</v>
      </c>
      <c r="E63" s="197"/>
      <c r="F63" s="197"/>
      <c r="G63" s="197"/>
      <c r="H63" s="197"/>
      <c r="I63" s="197"/>
      <c r="J63" s="197"/>
      <c r="K63" s="197"/>
      <c r="L63" s="197"/>
      <c r="M63" s="197"/>
      <c r="N63" s="197"/>
      <c r="O63" s="197"/>
      <c r="P63" s="197"/>
      <c r="Q63" s="197"/>
      <c r="R63" s="197"/>
      <c r="S63" s="197"/>
      <c r="T63" s="197"/>
      <c r="U63" s="197"/>
      <c r="V63" s="197"/>
      <c r="W63" s="197"/>
      <c r="X63" s="197"/>
      <c r="Y63" s="197"/>
      <c r="Z63" s="197"/>
      <c r="AA63" s="197"/>
      <c r="AB63" s="197"/>
      <c r="AC63" s="197"/>
      <c r="AD63" s="197"/>
      <c r="AE63" s="197"/>
      <c r="AF63" s="197"/>
      <c r="AG63" s="197"/>
      <c r="AH63" s="197"/>
      <c r="AI63" s="197"/>
      <c r="AJ63" s="197"/>
      <c r="AK63" s="197"/>
      <c r="AL63" s="197"/>
      <c r="AM63" s="197"/>
      <c r="AN63" s="197"/>
      <c r="AO63" s="197"/>
      <c r="AP63" s="197"/>
      <c r="AQ63" s="197"/>
      <c r="AR63" s="197"/>
      <c r="AS63" s="197"/>
      <c r="AT63" s="194"/>
      <c r="AU63" s="197"/>
      <c r="AV63" s="197"/>
      <c r="AW63" s="194"/>
      <c r="AX63" s="197"/>
      <c r="AY63" s="197"/>
      <c r="AZ63" s="194"/>
      <c r="BA63" s="197"/>
      <c r="BB63" s="197"/>
      <c r="BC63" s="194"/>
      <c r="BD63" s="197"/>
      <c r="BE63" s="197"/>
      <c r="BF63" s="194"/>
      <c r="BG63" s="197"/>
      <c r="BH63" s="197"/>
      <c r="BI63" s="194"/>
      <c r="BJ63" s="197"/>
      <c r="BK63" s="197"/>
      <c r="BL63" s="194"/>
      <c r="BM63" s="197"/>
      <c r="BN63" s="197"/>
      <c r="BO63" s="197"/>
      <c r="BP63" s="197"/>
      <c r="BQ63" s="197"/>
      <c r="BR63" s="197"/>
      <c r="BS63" s="197"/>
      <c r="BT63" s="197"/>
      <c r="BU63" s="197"/>
      <c r="BV63" s="197"/>
      <c r="BW63" s="197"/>
      <c r="BX63" s="197"/>
      <c r="BY63" s="197"/>
      <c r="BZ63" s="197"/>
      <c r="CA63" s="197"/>
      <c r="CB63" s="197"/>
      <c r="CC63" s="197"/>
      <c r="CD63" s="197"/>
      <c r="CE63" s="197"/>
      <c r="CF63" s="197"/>
      <c r="CG63" s="197"/>
      <c r="CH63" s="197"/>
      <c r="CI63" s="197"/>
      <c r="CJ63" s="197"/>
      <c r="CK63" s="197"/>
      <c r="CL63" s="197"/>
      <c r="CM63" s="197"/>
      <c r="CN63" s="197"/>
      <c r="CO63" s="197"/>
      <c r="CP63" s="197"/>
      <c r="CQ63" s="197"/>
      <c r="CR63" s="197"/>
      <c r="CS63" s="197"/>
      <c r="CT63" s="197"/>
      <c r="CU63" s="197"/>
      <c r="CV63" s="197"/>
      <c r="CW63" s="197"/>
      <c r="CX63" s="197"/>
      <c r="CY63" s="516"/>
      <c r="CZ63" s="516"/>
      <c r="DA63" s="516"/>
      <c r="DB63" s="516"/>
      <c r="DC63" s="516"/>
      <c r="DD63" s="516"/>
      <c r="DE63" s="778"/>
      <c r="DF63" s="562"/>
      <c r="DG63" s="562"/>
      <c r="DH63" s="678"/>
      <c r="DI63" s="562">
        <f t="shared" si="96"/>
        <v>9.9138438991204933E-2</v>
      </c>
      <c r="DJ63" s="562">
        <f t="shared" si="96"/>
        <v>9.8334562082662405E-2</v>
      </c>
      <c r="DK63" s="678">
        <f t="shared" si="96"/>
        <v>9.8993385102099513E-2</v>
      </c>
      <c r="DL63" s="562">
        <f t="shared" si="96"/>
        <v>4.7121661721068256E-2</v>
      </c>
      <c r="DM63" s="562">
        <f t="shared" ref="DM63:DW63" si="101">DM453</f>
        <v>0.38566308243727604</v>
      </c>
      <c r="DN63" s="678">
        <f t="shared" si="101"/>
        <v>9.5213849287169042E-2</v>
      </c>
      <c r="DO63" s="562">
        <f t="shared" si="101"/>
        <v>5.3509781357882626E-2</v>
      </c>
      <c r="DP63" s="562">
        <f t="shared" si="101"/>
        <v>0.3208191126279864</v>
      </c>
      <c r="DQ63" s="678">
        <f t="shared" si="101"/>
        <v>9.2072870507139346E-2</v>
      </c>
      <c r="DR63" s="562">
        <f t="shared" si="101"/>
        <v>4.9334811529933478E-2</v>
      </c>
      <c r="DS63" s="562">
        <f t="shared" si="101"/>
        <v>0.33024691358024694</v>
      </c>
      <c r="DT63" s="678">
        <f t="shared" si="101"/>
        <v>9.2105263157894732E-2</v>
      </c>
      <c r="DU63" s="562">
        <f t="shared" si="101"/>
        <v>6.4419024683925352E-2</v>
      </c>
      <c r="DV63" s="562">
        <f t="shared" si="101"/>
        <v>0.24356435643564356</v>
      </c>
      <c r="DW63" s="678">
        <f t="shared" si="101"/>
        <v>0.1061865189289012</v>
      </c>
      <c r="DX63" s="562">
        <f t="shared" ref="DX63" si="102">DX453</f>
        <v>7.1081409477521257E-2</v>
      </c>
      <c r="DY63" s="562">
        <f t="shared" ref="DY63:EO63" si="103">DY453</f>
        <v>0.35</v>
      </c>
      <c r="DZ63" s="678">
        <f t="shared" si="103"/>
        <v>0.12128781021297161</v>
      </c>
      <c r="EA63" s="562">
        <f t="shared" si="103"/>
        <v>7.1081409477521257E-2</v>
      </c>
      <c r="EB63" s="562">
        <f t="shared" si="103"/>
        <v>0.35</v>
      </c>
      <c r="EC63" s="678">
        <f t="shared" si="103"/>
        <v>0.1217752062891386</v>
      </c>
      <c r="ED63" s="562">
        <f t="shared" si="103"/>
        <v>7.1081409477521257E-2</v>
      </c>
      <c r="EE63" s="562">
        <f t="shared" si="103"/>
        <v>0.35</v>
      </c>
      <c r="EF63" s="678">
        <f t="shared" si="103"/>
        <v>0.12199147883418633</v>
      </c>
      <c r="EG63" s="562">
        <f t="shared" si="103"/>
        <v>7.1081409477521257E-2</v>
      </c>
      <c r="EH63" s="562">
        <f t="shared" si="103"/>
        <v>0.35</v>
      </c>
      <c r="EI63" s="678">
        <f t="shared" si="103"/>
        <v>0.12150955987659867</v>
      </c>
      <c r="EJ63" s="562">
        <f t="shared" si="103"/>
        <v>7.1081409477521257E-2</v>
      </c>
      <c r="EK63" s="562">
        <f t="shared" si="103"/>
        <v>0.35</v>
      </c>
      <c r="EL63" s="678">
        <f t="shared" si="103"/>
        <v>0.12079957710979236</v>
      </c>
      <c r="EM63" s="562">
        <f t="shared" si="103"/>
        <v>7.1081409477521257E-2</v>
      </c>
      <c r="EN63" s="562">
        <f t="shared" si="103"/>
        <v>0.35</v>
      </c>
      <c r="EO63" s="678">
        <f t="shared" si="103"/>
        <v>0.12010084658836995</v>
      </c>
      <c r="EP63" s="562">
        <f t="shared" ref="EP63:FA63" si="104">EP453</f>
        <v>7.1081409477521257E-2</v>
      </c>
      <c r="EQ63" s="562">
        <f t="shared" si="104"/>
        <v>0.35</v>
      </c>
      <c r="ER63" s="678">
        <f t="shared" si="104"/>
        <v>0.11941340089568042</v>
      </c>
      <c r="ES63" s="562">
        <f t="shared" si="104"/>
        <v>7.1081409477521257E-2</v>
      </c>
      <c r="ET63" s="562">
        <f t="shared" si="104"/>
        <v>0.35</v>
      </c>
      <c r="EU63" s="678">
        <f t="shared" si="104"/>
        <v>0.11873726187290491</v>
      </c>
      <c r="EV63" s="562">
        <f t="shared" si="104"/>
        <v>7.1081409477521257E-2</v>
      </c>
      <c r="EW63" s="562">
        <f t="shared" si="104"/>
        <v>0.35</v>
      </c>
      <c r="EX63" s="678">
        <f t="shared" si="104"/>
        <v>0.11807244093454104</v>
      </c>
      <c r="EY63" s="562">
        <f t="shared" si="104"/>
        <v>7.1081409477521257E-2</v>
      </c>
      <c r="EZ63" s="562">
        <f t="shared" si="104"/>
        <v>0.35</v>
      </c>
      <c r="FA63" s="647">
        <f t="shared" si="104"/>
        <v>0.1174189393949929</v>
      </c>
    </row>
    <row r="64" spans="1:184" ht="13.35" customHeight="1" outlineLevel="1">
      <c r="A64" s="760" t="s">
        <v>979</v>
      </c>
      <c r="B64" s="4" t="s">
        <v>900</v>
      </c>
      <c r="C64" s="4"/>
      <c r="D64" s="178" t="s">
        <v>357</v>
      </c>
      <c r="E64" s="197"/>
      <c r="F64" s="197"/>
      <c r="G64" s="197"/>
      <c r="H64" s="197"/>
      <c r="I64" s="197"/>
      <c r="J64" s="197"/>
      <c r="K64" s="197"/>
      <c r="L64" s="197"/>
      <c r="M64" s="197"/>
      <c r="N64" s="197"/>
      <c r="O64" s="197"/>
      <c r="P64" s="197"/>
      <c r="Q64" s="197"/>
      <c r="R64" s="197"/>
      <c r="S64" s="197"/>
      <c r="T64" s="197"/>
      <c r="U64" s="197"/>
      <c r="V64" s="197"/>
      <c r="W64" s="197"/>
      <c r="X64" s="197"/>
      <c r="Y64" s="197"/>
      <c r="Z64" s="197"/>
      <c r="AA64" s="197"/>
      <c r="AB64" s="197"/>
      <c r="AC64" s="197"/>
      <c r="AD64" s="197"/>
      <c r="AE64" s="197"/>
      <c r="AF64" s="197"/>
      <c r="AG64" s="197"/>
      <c r="AH64" s="197"/>
      <c r="AI64" s="197"/>
      <c r="AJ64" s="197"/>
      <c r="AK64" s="197"/>
      <c r="AL64" s="197"/>
      <c r="AM64" s="197"/>
      <c r="AN64" s="197"/>
      <c r="AO64" s="197"/>
      <c r="AP64" s="197"/>
      <c r="AQ64" s="197"/>
      <c r="AR64" s="197"/>
      <c r="AS64" s="197"/>
      <c r="AT64" s="194"/>
      <c r="AU64" s="197"/>
      <c r="AV64" s="197"/>
      <c r="AW64" s="194"/>
      <c r="AX64" s="197"/>
      <c r="AY64" s="197"/>
      <c r="AZ64" s="194"/>
      <c r="BA64" s="197"/>
      <c r="BB64" s="197"/>
      <c r="BC64" s="194"/>
      <c r="BD64" s="197"/>
      <c r="BE64" s="197"/>
      <c r="BF64" s="194"/>
      <c r="BG64" s="197"/>
      <c r="BH64" s="197"/>
      <c r="BI64" s="194"/>
      <c r="BJ64" s="197"/>
      <c r="BK64" s="197"/>
      <c r="BL64" s="194"/>
      <c r="BM64" s="197"/>
      <c r="BN64" s="197"/>
      <c r="BO64" s="197"/>
      <c r="BP64" s="197"/>
      <c r="BQ64" s="197"/>
      <c r="BR64" s="197"/>
      <c r="BS64" s="197"/>
      <c r="BT64" s="197"/>
      <c r="BU64" s="197"/>
      <c r="BV64" s="197"/>
      <c r="BW64" s="197"/>
      <c r="BX64" s="197"/>
      <c r="BY64" s="197"/>
      <c r="BZ64" s="197"/>
      <c r="CA64" s="197"/>
      <c r="CB64" s="197"/>
      <c r="CC64" s="197"/>
      <c r="CD64" s="197"/>
      <c r="CE64" s="197"/>
      <c r="CF64" s="197"/>
      <c r="CG64" s="197"/>
      <c r="CH64" s="197"/>
      <c r="CI64" s="197"/>
      <c r="CJ64" s="197"/>
      <c r="CK64" s="197"/>
      <c r="CL64" s="197"/>
      <c r="CM64" s="197"/>
      <c r="CN64" s="197"/>
      <c r="CO64" s="197"/>
      <c r="CP64" s="197"/>
      <c r="CQ64" s="197"/>
      <c r="CR64" s="197"/>
      <c r="CS64" s="197"/>
      <c r="CT64" s="197"/>
      <c r="CU64" s="197"/>
      <c r="CV64" s="197"/>
      <c r="CW64" s="197"/>
      <c r="CX64" s="197"/>
      <c r="CY64" s="516"/>
      <c r="CZ64" s="516"/>
      <c r="DA64" s="516"/>
      <c r="DB64" s="516"/>
      <c r="DC64" s="516"/>
      <c r="DD64" s="516"/>
      <c r="DE64" s="778"/>
      <c r="DF64" s="631"/>
      <c r="DG64" s="631"/>
      <c r="DH64" s="674"/>
      <c r="DI64" s="631"/>
      <c r="DJ64" s="631"/>
      <c r="DK64" s="674"/>
      <c r="DL64" s="631"/>
      <c r="DM64" s="631"/>
      <c r="DN64" s="674"/>
      <c r="DO64" s="631">
        <f>'Vifor Segment'!S84</f>
        <v>216</v>
      </c>
      <c r="DP64" s="631">
        <f>'Vifor Segment'!T84</f>
        <v>274</v>
      </c>
      <c r="DQ64" s="674">
        <f>SUM(DO64:DP64)</f>
        <v>490</v>
      </c>
      <c r="DR64" s="631">
        <f>'Vifor Segment'!V84</f>
        <v>222</v>
      </c>
      <c r="DS64" s="631">
        <f>'Vifor Segment'!W84</f>
        <v>235</v>
      </c>
      <c r="DT64" s="674">
        <f>SUM(DR64:DS64)</f>
        <v>457</v>
      </c>
      <c r="DU64" s="631">
        <f>'Vifor Segment'!Y84</f>
        <v>213</v>
      </c>
      <c r="DV64" s="631">
        <f>'Vifor Segment'!Z84</f>
        <v>236</v>
      </c>
      <c r="DW64" s="674">
        <f>SUM(DU64:DV64)</f>
        <v>449</v>
      </c>
      <c r="DX64" s="631">
        <f>'Vifor Segment'!AB84</f>
        <v>213</v>
      </c>
      <c r="DY64" s="631">
        <f>'Vifor Segment'!AC84</f>
        <v>211.24983961085366</v>
      </c>
      <c r="DZ64" s="674">
        <f>SUM(DX64:DY64)</f>
        <v>424.24983961085366</v>
      </c>
      <c r="EA64" s="631">
        <f>'Vifor Segment'!AE84</f>
        <v>239.43129874726989</v>
      </c>
      <c r="EB64" s="631">
        <f>'Vifor Segment'!AF84</f>
        <v>204.86082008855487</v>
      </c>
      <c r="EC64" s="674">
        <f>SUM(EA64:EB64)</f>
        <v>444.29211883582479</v>
      </c>
      <c r="ED64" s="631">
        <f>'Vifor Segment'!AH84</f>
        <v>238.27519368463339</v>
      </c>
      <c r="EE64" s="631">
        <f>'Vifor Segment'!AI84</f>
        <v>212.79626511935456</v>
      </c>
      <c r="EF64" s="674">
        <f>SUM(ED64:EE64)</f>
        <v>451.07145880398798</v>
      </c>
      <c r="EG64" s="631">
        <f>'Vifor Segment'!AK84</f>
        <v>247.7472306888651</v>
      </c>
      <c r="EH64" s="631">
        <f>'Vifor Segment'!AL84</f>
        <v>221.09900025062413</v>
      </c>
      <c r="EI64" s="674">
        <f>SUM(EG64:EH64)</f>
        <v>468.84623093948926</v>
      </c>
      <c r="EJ64" s="631">
        <f>'Vifor Segment'!AN84</f>
        <v>257.6687337977084</v>
      </c>
      <c r="EK64" s="631">
        <f>'Vifor Segment'!AO84</f>
        <v>229.78787978147176</v>
      </c>
      <c r="EL64" s="674">
        <f>SUM(EJ64:EK64)</f>
        <v>487.45661357918016</v>
      </c>
      <c r="EM64" s="631">
        <f>'Vifor Segment'!AQ84</f>
        <v>268.06354448572176</v>
      </c>
      <c r="EN64" s="631">
        <f>'Vifor Segment'!AR84</f>
        <v>238.88283040719097</v>
      </c>
      <c r="EO64" s="674">
        <f>SUM(EM64:EN64)</f>
        <v>506.94637489291273</v>
      </c>
      <c r="EP64" s="631">
        <f>'Vifor Segment'!AT84</f>
        <v>278.9569186120188</v>
      </c>
      <c r="EQ64" s="631">
        <f>'Vifor Segment'!AU84</f>
        <v>248.40491897217575</v>
      </c>
      <c r="ER64" s="674">
        <f>SUM(EP64:EQ64)</f>
        <v>527.36183758419452</v>
      </c>
      <c r="ES64" s="631">
        <f>'Vifor Segment'!AW84</f>
        <v>290.37562023004358</v>
      </c>
      <c r="ET64" s="631">
        <f>'Vifor Segment'!AX84</f>
        <v>258.3764249610179</v>
      </c>
      <c r="EU64" s="674">
        <f>SUM(ES64:ET64)</f>
        <v>548.75204519106148</v>
      </c>
      <c r="EV64" s="631">
        <f>'Vifor Segment'!AZ84</f>
        <v>302.34802229201762</v>
      </c>
      <c r="EW64" s="631">
        <f>'Vifor Segment'!BA84</f>
        <v>268.82091809041032</v>
      </c>
      <c r="EX64" s="674">
        <f>SUM(EV64:EW64)</f>
        <v>571.16894038242799</v>
      </c>
      <c r="EY64" s="631">
        <f>'Vifor Segment'!BC84</f>
        <v>314.90421480025361</v>
      </c>
      <c r="EZ64" s="631">
        <f>'Vifor Segment'!BD84</f>
        <v>279.76334139435158</v>
      </c>
      <c r="FA64" s="6">
        <f>SUM(EY64:EZ64)</f>
        <v>594.66755619460514</v>
      </c>
    </row>
    <row r="65" spans="1:168" ht="13.35" customHeight="1" outlineLevel="1">
      <c r="A65" s="760"/>
      <c r="B65" s="4" t="s">
        <v>120</v>
      </c>
      <c r="C65" s="4"/>
      <c r="D65" s="178" t="s">
        <v>507</v>
      </c>
      <c r="E65" s="197"/>
      <c r="F65" s="197"/>
      <c r="G65" s="197"/>
      <c r="H65" s="197"/>
      <c r="I65" s="197"/>
      <c r="J65" s="197"/>
      <c r="K65" s="197"/>
      <c r="L65" s="197"/>
      <c r="M65" s="197"/>
      <c r="N65" s="197"/>
      <c r="O65" s="197"/>
      <c r="P65" s="197"/>
      <c r="Q65" s="197"/>
      <c r="R65" s="197"/>
      <c r="S65" s="197"/>
      <c r="T65" s="197"/>
      <c r="U65" s="197"/>
      <c r="V65" s="197"/>
      <c r="W65" s="197"/>
      <c r="X65" s="197"/>
      <c r="Y65" s="197"/>
      <c r="Z65" s="197"/>
      <c r="AA65" s="197"/>
      <c r="AB65" s="197"/>
      <c r="AC65" s="197"/>
      <c r="AD65" s="197"/>
      <c r="AE65" s="197"/>
      <c r="AF65" s="197"/>
      <c r="AG65" s="197"/>
      <c r="AH65" s="197"/>
      <c r="AI65" s="197"/>
      <c r="AJ65" s="197"/>
      <c r="AK65" s="197"/>
      <c r="AL65" s="197"/>
      <c r="AM65" s="197"/>
      <c r="AN65" s="197"/>
      <c r="AO65" s="197"/>
      <c r="AP65" s="197"/>
      <c r="AQ65" s="197"/>
      <c r="AR65" s="197"/>
      <c r="AS65" s="197"/>
      <c r="AT65" s="194"/>
      <c r="AU65" s="197"/>
      <c r="AV65" s="197"/>
      <c r="AW65" s="194"/>
      <c r="AX65" s="197"/>
      <c r="AY65" s="197"/>
      <c r="AZ65" s="194"/>
      <c r="BA65" s="197"/>
      <c r="BB65" s="197"/>
      <c r="BC65" s="194"/>
      <c r="BD65" s="197"/>
      <c r="BE65" s="197"/>
      <c r="BF65" s="194"/>
      <c r="BG65" s="197"/>
      <c r="BH65" s="197"/>
      <c r="BI65" s="194"/>
      <c r="BJ65" s="197"/>
      <c r="BK65" s="197"/>
      <c r="BL65" s="194"/>
      <c r="BM65" s="197"/>
      <c r="BN65" s="197"/>
      <c r="BO65" s="197"/>
      <c r="BP65" s="197"/>
      <c r="BQ65" s="197"/>
      <c r="BR65" s="197"/>
      <c r="BS65" s="197"/>
      <c r="BT65" s="197"/>
      <c r="BU65" s="197"/>
      <c r="BV65" s="197"/>
      <c r="BW65" s="197"/>
      <c r="BX65" s="197"/>
      <c r="BY65" s="197"/>
      <c r="BZ65" s="197"/>
      <c r="CA65" s="197"/>
      <c r="CB65" s="197"/>
      <c r="CC65" s="197"/>
      <c r="CD65" s="197"/>
      <c r="CE65" s="197"/>
      <c r="CF65" s="197"/>
      <c r="CG65" s="197"/>
      <c r="CH65" s="197"/>
      <c r="CI65" s="197"/>
      <c r="CJ65" s="197"/>
      <c r="CK65" s="197"/>
      <c r="CL65" s="197"/>
      <c r="CM65" s="197"/>
      <c r="CN65" s="197"/>
      <c r="CO65" s="197"/>
      <c r="CP65" s="197"/>
      <c r="CQ65" s="197"/>
      <c r="CR65" s="197"/>
      <c r="CS65" s="197"/>
      <c r="CT65" s="197"/>
      <c r="CU65" s="197"/>
      <c r="CV65" s="197"/>
      <c r="CW65" s="197"/>
      <c r="CX65" s="197"/>
      <c r="CY65" s="516"/>
      <c r="CZ65" s="516"/>
      <c r="DA65" s="516"/>
      <c r="DB65" s="516"/>
      <c r="DC65" s="516"/>
      <c r="DD65" s="516"/>
      <c r="DE65" s="778"/>
      <c r="DF65" s="562"/>
      <c r="DG65" s="562"/>
      <c r="DH65" s="678"/>
      <c r="DI65" s="562"/>
      <c r="DJ65" s="562"/>
      <c r="DK65" s="678"/>
      <c r="DL65" s="562"/>
      <c r="DM65" s="562"/>
      <c r="DN65" s="678"/>
      <c r="DO65" s="562">
        <f t="shared" ref="DO65:FA65" si="105">DO64/DO8</f>
        <v>0.24296962879640044</v>
      </c>
      <c r="DP65" s="562">
        <f t="shared" si="105"/>
        <v>0.24909090909090909</v>
      </c>
      <c r="DQ65" s="678">
        <f t="shared" si="105"/>
        <v>0.24635495223730519</v>
      </c>
      <c r="DR65" s="562">
        <f t="shared" si="105"/>
        <v>0.22045680238331677</v>
      </c>
      <c r="DS65" s="562">
        <f t="shared" si="105"/>
        <v>0.22466539196940727</v>
      </c>
      <c r="DT65" s="678">
        <f t="shared" si="105"/>
        <v>0.22260107160253287</v>
      </c>
      <c r="DU65" s="562">
        <f t="shared" si="105"/>
        <v>0.19832402234636873</v>
      </c>
      <c r="DV65" s="562">
        <f t="shared" si="105"/>
        <v>0.2050390964378801</v>
      </c>
      <c r="DW65" s="678">
        <f t="shared" si="105"/>
        <v>0.20179775280898876</v>
      </c>
      <c r="DX65" s="562">
        <f t="shared" ref="DX65" si="106">DX64/DX8</f>
        <v>0.17416189697465248</v>
      </c>
      <c r="DY65" s="562">
        <f t="shared" si="105"/>
        <v>0.19072044986767692</v>
      </c>
      <c r="DZ65" s="678">
        <f t="shared" si="105"/>
        <v>0.18203137766849767</v>
      </c>
      <c r="EA65" s="562">
        <f t="shared" si="105"/>
        <v>0.1901584446557627</v>
      </c>
      <c r="EB65" s="562">
        <f t="shared" si="105"/>
        <v>0.19078030938842999</v>
      </c>
      <c r="EC65" s="678">
        <f t="shared" si="105"/>
        <v>0.19044467885309307</v>
      </c>
      <c r="ED65" s="562">
        <f t="shared" si="105"/>
        <v>0.19016718177745162</v>
      </c>
      <c r="EE65" s="562">
        <f t="shared" si="105"/>
        <v>0.19078880631555373</v>
      </c>
      <c r="EF65" s="678">
        <f t="shared" si="105"/>
        <v>0.19045993220431698</v>
      </c>
      <c r="EG65" s="562">
        <f t="shared" si="105"/>
        <v>0.19016883093521111</v>
      </c>
      <c r="EH65" s="562">
        <f t="shared" si="105"/>
        <v>0.19079717920157774</v>
      </c>
      <c r="EI65" s="678">
        <f t="shared" si="105"/>
        <v>0.19046463161131214</v>
      </c>
      <c r="EJ65" s="562">
        <f t="shared" si="105"/>
        <v>0.19017044807614431</v>
      </c>
      <c r="EK65" s="562">
        <f t="shared" si="105"/>
        <v>0.1908054223596948</v>
      </c>
      <c r="EL65" s="678">
        <f t="shared" si="105"/>
        <v>0.19046924866144516</v>
      </c>
      <c r="EM65" s="562">
        <f t="shared" si="105"/>
        <v>0.19017203190054005</v>
      </c>
      <c r="EN65" s="562">
        <f t="shared" si="105"/>
        <v>0.19081353008227397</v>
      </c>
      <c r="EO65" s="678">
        <f t="shared" si="105"/>
        <v>0.19047377988525332</v>
      </c>
      <c r="EP65" s="562">
        <f t="shared" si="105"/>
        <v>0.19017358110266808</v>
      </c>
      <c r="EQ65" s="562">
        <f t="shared" si="105"/>
        <v>0.19082149664089415</v>
      </c>
      <c r="ER65" s="678">
        <f t="shared" si="105"/>
        <v>0.19047822179815857</v>
      </c>
      <c r="ES65" s="562">
        <f t="shared" si="105"/>
        <v>0.19017509437099667</v>
      </c>
      <c r="ET65" s="562">
        <f t="shared" si="105"/>
        <v>0.19082931628646319</v>
      </c>
      <c r="EU65" s="678">
        <f t="shared" si="105"/>
        <v>0.19048257090077661</v>
      </c>
      <c r="EV65" s="562">
        <f t="shared" si="105"/>
        <v>0.19017657038846689</v>
      </c>
      <c r="EW65" s="562">
        <f t="shared" si="105"/>
        <v>0.19083698324944831</v>
      </c>
      <c r="EX65" s="678">
        <f t="shared" si="105"/>
        <v>0.19048682367933659</v>
      </c>
      <c r="EY65" s="562">
        <f t="shared" si="105"/>
        <v>0.19017800783283068</v>
      </c>
      <c r="EZ65" s="562">
        <f t="shared" si="105"/>
        <v>0.19084449174024462</v>
      </c>
      <c r="FA65" s="647">
        <f t="shared" si="105"/>
        <v>0.19049097660623041</v>
      </c>
    </row>
    <row r="66" spans="1:168" ht="13.35" customHeight="1" outlineLevel="1">
      <c r="A66" s="760" t="s">
        <v>1052</v>
      </c>
      <c r="B66" s="4" t="s">
        <v>487</v>
      </c>
      <c r="C66" s="4"/>
      <c r="D66" s="178" t="s">
        <v>357</v>
      </c>
      <c r="E66" s="197"/>
      <c r="F66" s="197"/>
      <c r="G66" s="197"/>
      <c r="H66" s="197"/>
      <c r="I66" s="197"/>
      <c r="J66" s="197"/>
      <c r="K66" s="197"/>
      <c r="L66" s="197"/>
      <c r="M66" s="197"/>
      <c r="N66" s="197"/>
      <c r="O66" s="197"/>
      <c r="P66" s="197"/>
      <c r="Q66" s="197"/>
      <c r="R66" s="197"/>
      <c r="S66" s="197"/>
      <c r="T66" s="197"/>
      <c r="U66" s="197"/>
      <c r="V66" s="197"/>
      <c r="W66" s="197"/>
      <c r="X66" s="197"/>
      <c r="Y66" s="197"/>
      <c r="Z66" s="197"/>
      <c r="AA66" s="197"/>
      <c r="AB66" s="197"/>
      <c r="AC66" s="197"/>
      <c r="AD66" s="197"/>
      <c r="AE66" s="197"/>
      <c r="AF66" s="197"/>
      <c r="AG66" s="197"/>
      <c r="AH66" s="197"/>
      <c r="AI66" s="197"/>
      <c r="AJ66" s="197"/>
      <c r="AK66" s="197"/>
      <c r="AL66" s="197"/>
      <c r="AM66" s="197"/>
      <c r="AN66" s="197"/>
      <c r="AO66" s="197"/>
      <c r="AP66" s="197"/>
      <c r="AQ66" s="197"/>
      <c r="AR66" s="197"/>
      <c r="AS66" s="197"/>
      <c r="AT66" s="194"/>
      <c r="AU66" s="197"/>
      <c r="AV66" s="197"/>
      <c r="AW66" s="194"/>
      <c r="AX66" s="197"/>
      <c r="AY66" s="197"/>
      <c r="AZ66" s="194"/>
      <c r="BA66" s="197"/>
      <c r="BB66" s="197"/>
      <c r="BC66" s="664"/>
      <c r="BD66" s="664"/>
      <c r="BE66" s="182"/>
      <c r="BF66" s="664"/>
      <c r="BG66" s="664"/>
      <c r="BH66" s="182"/>
      <c r="BI66" s="664"/>
      <c r="BJ66" s="664"/>
      <c r="BK66" s="182"/>
      <c r="BL66" s="664"/>
      <c r="BM66" s="664"/>
      <c r="BN66" s="182"/>
      <c r="BO66" s="664"/>
      <c r="BP66" s="664"/>
      <c r="BQ66" s="182"/>
      <c r="BR66" s="664"/>
      <c r="BS66" s="664"/>
      <c r="BT66" s="182"/>
      <c r="BU66" s="664"/>
      <c r="BV66" s="664">
        <v>248.49350254230868</v>
      </c>
      <c r="BW66" s="664">
        <v>331.50649745769147</v>
      </c>
      <c r="BX66" s="182">
        <v>580.00000000000011</v>
      </c>
      <c r="BY66" s="664">
        <v>338.67043615186458</v>
      </c>
      <c r="BZ66" s="664">
        <v>253.17999999999992</v>
      </c>
      <c r="CA66" s="182">
        <v>591.85043615186453</v>
      </c>
      <c r="CB66" s="664">
        <v>357.9790210494412</v>
      </c>
      <c r="CC66" s="664">
        <v>365.56430333823943</v>
      </c>
      <c r="CD66" s="182">
        <v>723.54332438768063</v>
      </c>
      <c r="CE66" s="664">
        <v>448.98204209888218</v>
      </c>
      <c r="CF66" s="664">
        <v>401.82548308682067</v>
      </c>
      <c r="CG66" s="182">
        <v>850.80752518570284</v>
      </c>
      <c r="CH66" s="664">
        <v>307.99140983376378</v>
      </c>
      <c r="CI66" s="664">
        <v>345.55371149922428</v>
      </c>
      <c r="CJ66" s="182">
        <v>653.54512133298806</v>
      </c>
      <c r="CK66" s="664">
        <v>335.76901618708291</v>
      </c>
      <c r="CL66" s="664">
        <v>384.2982354818771</v>
      </c>
      <c r="CM66" s="182">
        <v>720.06725166896001</v>
      </c>
      <c r="CN66" s="664">
        <v>365.39979999999991</v>
      </c>
      <c r="CO66" s="664">
        <v>431.19987636566691</v>
      </c>
      <c r="CP66" s="182">
        <v>796.59967636566682</v>
      </c>
      <c r="CQ66" s="664">
        <v>365.20900000000006</v>
      </c>
      <c r="CR66" s="664">
        <v>420.42760000000021</v>
      </c>
      <c r="CS66" s="182">
        <v>785.63660000000027</v>
      </c>
      <c r="CT66" s="664">
        <v>444.50771999999989</v>
      </c>
      <c r="CU66" s="664">
        <v>511.1922799999997</v>
      </c>
      <c r="CV66" s="182">
        <v>955.69999999999959</v>
      </c>
      <c r="CW66" s="664">
        <v>520.30169036037739</v>
      </c>
      <c r="CX66" s="664">
        <v>651.52369962265425</v>
      </c>
      <c r="CY66" s="499">
        <v>1171.8253899830315</v>
      </c>
      <c r="CZ66" s="301">
        <v>539.0152606347076</v>
      </c>
      <c r="DA66" s="301">
        <v>761.99049826956787</v>
      </c>
      <c r="DB66" s="499">
        <v>1301.0057589042754</v>
      </c>
      <c r="DC66" s="301">
        <v>678.90000000000009</v>
      </c>
      <c r="DD66" s="301">
        <v>762.60790000000065</v>
      </c>
      <c r="DE66" s="674">
        <v>1441.5079000000007</v>
      </c>
      <c r="DF66" s="631">
        <v>764</v>
      </c>
      <c r="DG66" s="631">
        <v>823.97881229340283</v>
      </c>
      <c r="DH66" s="674">
        <v>1587.9788122934028</v>
      </c>
      <c r="DI66" s="631">
        <f>SUM(DI60,DI62,DI64)</f>
        <v>547.91742627423764</v>
      </c>
      <c r="DJ66" s="631">
        <f>SUM(DJ60,DJ62,DJ64)</f>
        <v>432.2825737257624</v>
      </c>
      <c r="DK66" s="674">
        <f>SUM(DK60,DK62,DK64)</f>
        <v>980.2</v>
      </c>
      <c r="DL66" s="631">
        <f>SUM(DL60,DL62,DL64)</f>
        <v>431.5</v>
      </c>
      <c r="DM66" s="631">
        <f t="shared" ref="DM66:ER66" si="107">SUM(DM60,DM62,DM64)</f>
        <v>529.5</v>
      </c>
      <c r="DN66" s="674">
        <f t="shared" si="107"/>
        <v>961</v>
      </c>
      <c r="DO66" s="631">
        <f t="shared" si="107"/>
        <v>683</v>
      </c>
      <c r="DP66" s="631">
        <f t="shared" si="107"/>
        <v>798</v>
      </c>
      <c r="DQ66" s="674">
        <f t="shared" si="107"/>
        <v>1481</v>
      </c>
      <c r="DR66" s="631">
        <f t="shared" si="107"/>
        <v>707</v>
      </c>
      <c r="DS66" s="631">
        <f t="shared" si="107"/>
        <v>849</v>
      </c>
      <c r="DT66" s="674">
        <f t="shared" si="107"/>
        <v>1556</v>
      </c>
      <c r="DU66" s="631">
        <f t="shared" si="107"/>
        <v>754</v>
      </c>
      <c r="DV66" s="631">
        <f>SUM(DV60,DV62,DV64)</f>
        <v>862</v>
      </c>
      <c r="DW66" s="674">
        <f>SUM(DW60,DW62,DW64)</f>
        <v>1616</v>
      </c>
      <c r="DX66" s="631">
        <f t="shared" ref="DX66" si="108">SUM(DX60,DX62,DX64)</f>
        <v>785</v>
      </c>
      <c r="DY66" s="631">
        <f t="shared" si="107"/>
        <v>869.999165223712</v>
      </c>
      <c r="DZ66" s="674">
        <f t="shared" si="107"/>
        <v>1654.9991652237118</v>
      </c>
      <c r="EA66" s="631">
        <f t="shared" si="107"/>
        <v>804.05285122290695</v>
      </c>
      <c r="EB66" s="631">
        <f t="shared" si="107"/>
        <v>815.16859324781672</v>
      </c>
      <c r="EC66" s="674">
        <f t="shared" si="107"/>
        <v>1619.2214444707238</v>
      </c>
      <c r="ED66" s="631">
        <f t="shared" si="107"/>
        <v>849.38681078335048</v>
      </c>
      <c r="EE66" s="631">
        <f t="shared" si="107"/>
        <v>874.12947213200414</v>
      </c>
      <c r="EF66" s="674">
        <f t="shared" si="107"/>
        <v>1723.5162829153546</v>
      </c>
      <c r="EG66" s="631">
        <f t="shared" si="107"/>
        <v>895.85020745364909</v>
      </c>
      <c r="EH66" s="631">
        <f t="shared" si="107"/>
        <v>921.97136553562677</v>
      </c>
      <c r="EI66" s="674">
        <f t="shared" si="107"/>
        <v>1817.8215729892761</v>
      </c>
      <c r="EJ66" s="631">
        <f t="shared" si="107"/>
        <v>945.43645291143616</v>
      </c>
      <c r="EK66" s="631">
        <f t="shared" si="107"/>
        <v>974.08121906876409</v>
      </c>
      <c r="EL66" s="674">
        <f t="shared" si="107"/>
        <v>1919.5176719802002</v>
      </c>
      <c r="EM66" s="631">
        <f t="shared" si="107"/>
        <v>994.47667344846786</v>
      </c>
      <c r="EN66" s="631">
        <f t="shared" si="107"/>
        <v>1020.9171872179634</v>
      </c>
      <c r="EO66" s="674">
        <f t="shared" si="107"/>
        <v>2015.3938606664312</v>
      </c>
      <c r="EP66" s="631">
        <f t="shared" si="107"/>
        <v>1045.5599395370953</v>
      </c>
      <c r="EQ66" s="631">
        <f t="shared" si="107"/>
        <v>1072.7092580937122</v>
      </c>
      <c r="ER66" s="674">
        <f t="shared" si="107"/>
        <v>2118.2691976308074</v>
      </c>
      <c r="ES66" s="631">
        <f t="shared" ref="ES66:FA66" si="109">SUM(ES60,ES62,ES64)</f>
        <v>1100.6130165880627</v>
      </c>
      <c r="ET66" s="631">
        <f t="shared" si="109"/>
        <v>1127.7120220684587</v>
      </c>
      <c r="EU66" s="674">
        <f t="shared" si="109"/>
        <v>2228.3250386565214</v>
      </c>
      <c r="EV66" s="631">
        <f t="shared" si="109"/>
        <v>1158.9955827259255</v>
      </c>
      <c r="EW66" s="631">
        <f t="shared" si="109"/>
        <v>1186.134948679739</v>
      </c>
      <c r="EX66" s="674">
        <f t="shared" si="109"/>
        <v>2345.1305314056644</v>
      </c>
      <c r="EY66" s="631">
        <f t="shared" si="109"/>
        <v>1220.9224010960968</v>
      </c>
      <c r="EZ66" s="631">
        <f t="shared" si="109"/>
        <v>1248.2016533300923</v>
      </c>
      <c r="FA66" s="6">
        <f t="shared" si="109"/>
        <v>2469.1240544261891</v>
      </c>
    </row>
    <row r="67" spans="1:168" ht="13.35" customHeight="1" outlineLevel="1">
      <c r="A67" s="760"/>
      <c r="B67" s="4" t="s">
        <v>921</v>
      </c>
      <c r="C67" s="4"/>
      <c r="D67" s="178" t="s">
        <v>507</v>
      </c>
      <c r="E67" s="197"/>
      <c r="F67" s="197"/>
      <c r="G67" s="197"/>
      <c r="H67" s="197"/>
      <c r="I67" s="197"/>
      <c r="J67" s="197"/>
      <c r="K67" s="197"/>
      <c r="L67" s="197"/>
      <c r="M67" s="197"/>
      <c r="N67" s="197"/>
      <c r="O67" s="197"/>
      <c r="P67" s="197"/>
      <c r="Q67" s="197"/>
      <c r="R67" s="197"/>
      <c r="S67" s="197"/>
      <c r="T67" s="197"/>
      <c r="U67" s="197"/>
      <c r="V67" s="197"/>
      <c r="W67" s="197"/>
      <c r="X67" s="197"/>
      <c r="Y67" s="197"/>
      <c r="Z67" s="197"/>
      <c r="AA67" s="197"/>
      <c r="AB67" s="197"/>
      <c r="AC67" s="197"/>
      <c r="AD67" s="197"/>
      <c r="AE67" s="197"/>
      <c r="AF67" s="197"/>
      <c r="AG67" s="197"/>
      <c r="AH67" s="197"/>
      <c r="AI67" s="197"/>
      <c r="AJ67" s="197"/>
      <c r="AK67" s="197"/>
      <c r="AL67" s="197"/>
      <c r="AM67" s="197"/>
      <c r="AN67" s="197"/>
      <c r="AO67" s="197"/>
      <c r="AP67" s="197"/>
      <c r="AQ67" s="197"/>
      <c r="AR67" s="197"/>
      <c r="AS67" s="197"/>
      <c r="AT67" s="194"/>
      <c r="AU67" s="197"/>
      <c r="AV67" s="197"/>
      <c r="AW67" s="194"/>
      <c r="AX67" s="197"/>
      <c r="AY67" s="197"/>
      <c r="AZ67" s="194"/>
      <c r="BA67" s="197"/>
      <c r="BB67" s="197"/>
      <c r="BC67" s="665"/>
      <c r="BD67" s="665"/>
      <c r="BE67" s="207"/>
      <c r="BF67" s="665"/>
      <c r="BG67" s="665"/>
      <c r="BH67" s="207"/>
      <c r="BI67" s="665"/>
      <c r="BJ67" s="665"/>
      <c r="BK67" s="207"/>
      <c r="BL67" s="665"/>
      <c r="BM67" s="665"/>
      <c r="BN67" s="207"/>
      <c r="BO67" s="665"/>
      <c r="BP67" s="665"/>
      <c r="BQ67" s="207"/>
      <c r="BR67" s="665"/>
      <c r="BS67" s="665"/>
      <c r="BT67" s="207"/>
      <c r="BU67" s="665"/>
      <c r="BV67" s="665">
        <v>0.16082460482382424</v>
      </c>
      <c r="BW67" s="665">
        <v>0.1946741557850214</v>
      </c>
      <c r="BX67" s="207">
        <v>0.16968987712112349</v>
      </c>
      <c r="BY67" s="665">
        <v>0.18828284843868812</v>
      </c>
      <c r="BZ67" s="665">
        <v>0.1482618030359289</v>
      </c>
      <c r="CA67" s="207">
        <v>0.16222279078570206</v>
      </c>
      <c r="CB67" s="665">
        <v>0.17115657384349442</v>
      </c>
      <c r="CC67" s="665">
        <v>0.18546506089866638</v>
      </c>
      <c r="CD67" s="207">
        <v>0.17418393670498009</v>
      </c>
      <c r="CE67" s="665">
        <v>0.21958460688445994</v>
      </c>
      <c r="CF67" s="665">
        <v>0.18292999345521349</v>
      </c>
      <c r="CG67" s="207">
        <v>0.19629614517798574</v>
      </c>
      <c r="CH67" s="665">
        <v>0.13355441836614038</v>
      </c>
      <c r="CI67" s="665">
        <v>0.14906197003350549</v>
      </c>
      <c r="CJ67" s="207">
        <v>0.13713659539481485</v>
      </c>
      <c r="CK67" s="665">
        <v>0.13472255193479235</v>
      </c>
      <c r="CL67" s="665">
        <v>0.15569979559268976</v>
      </c>
      <c r="CM67" s="207">
        <v>0.14133376220243379</v>
      </c>
      <c r="CN67" s="665">
        <v>0.14194693497008776</v>
      </c>
      <c r="CO67" s="665">
        <v>0.15619788320135733</v>
      </c>
      <c r="CP67" s="207">
        <v>0.149321375940179</v>
      </c>
      <c r="CQ67" s="665">
        <v>0.12878971682476992</v>
      </c>
      <c r="CR67" s="665">
        <v>0.15233987970142759</v>
      </c>
      <c r="CS67" s="207">
        <v>0.14040507550710393</v>
      </c>
      <c r="CT67" s="665">
        <v>0.141756745108884</v>
      </c>
      <c r="CU67" s="665">
        <v>0.17508430032222413</v>
      </c>
      <c r="CV67" s="207">
        <v>0.15782607259636014</v>
      </c>
      <c r="CW67" s="665">
        <v>0.14467292024256964</v>
      </c>
      <c r="CX67" s="665">
        <v>0.20761063655046022</v>
      </c>
      <c r="CY67" s="508">
        <v>0.17400074094720275</v>
      </c>
      <c r="CZ67" s="516">
        <v>0.13212678899770414</v>
      </c>
      <c r="DA67" s="516">
        <v>0.20672729129394446</v>
      </c>
      <c r="DB67" s="508">
        <v>0.16753663755125561</v>
      </c>
      <c r="DC67" s="516">
        <v>0.15371552778155143</v>
      </c>
      <c r="DD67" s="516">
        <v>0.19230095569508546</v>
      </c>
      <c r="DE67" s="678">
        <v>0.1719704496379276</v>
      </c>
      <c r="DF67" s="562">
        <v>0.15964118628510973</v>
      </c>
      <c r="DG67" s="562">
        <v>0.19747981440010307</v>
      </c>
      <c r="DH67" s="678">
        <v>0.17726532056373881</v>
      </c>
      <c r="DI67" s="562">
        <f t="shared" ref="DI67:FA67" si="110">DI66/DI9</f>
        <v>9.6441501572554225E-2</v>
      </c>
      <c r="DJ67" s="562">
        <f t="shared" si="110"/>
        <v>9.6385022241397986E-2</v>
      </c>
      <c r="DK67" s="678">
        <f t="shared" si="110"/>
        <v>9.6416585202667146E-2</v>
      </c>
      <c r="DL67" s="562">
        <f t="shared" si="110"/>
        <v>7.3121960312484108E-2</v>
      </c>
      <c r="DM67" s="562">
        <f t="shared" si="110"/>
        <v>0.11972866026003391</v>
      </c>
      <c r="DN67" s="678">
        <f t="shared" si="110"/>
        <v>9.3087682591344104E-2</v>
      </c>
      <c r="DO67" s="562">
        <f t="shared" si="110"/>
        <v>9.8185791092838051E-2</v>
      </c>
      <c r="DP67" s="562">
        <f t="shared" si="110"/>
        <v>0.13636829693427663</v>
      </c>
      <c r="DQ67" s="678">
        <f t="shared" si="110"/>
        <v>0.11563085571517802</v>
      </c>
      <c r="DR67" s="562">
        <f t="shared" si="110"/>
        <v>9.0582959641255609E-2</v>
      </c>
      <c r="DS67" s="562">
        <f t="shared" si="110"/>
        <v>0.13105896881753629</v>
      </c>
      <c r="DT67" s="678">
        <f t="shared" si="110"/>
        <v>0.10894069873275923</v>
      </c>
      <c r="DU67" s="562">
        <f t="shared" si="110"/>
        <v>9.1627172195892573E-2</v>
      </c>
      <c r="DV67" s="562">
        <f t="shared" si="110"/>
        <v>0.12617096018735363</v>
      </c>
      <c r="DW67" s="678">
        <f t="shared" si="110"/>
        <v>0.10729699223159153</v>
      </c>
      <c r="DX67" s="562">
        <f t="shared" ref="DX67" si="111">DX66/DX9</f>
        <v>9.7009391992090951E-2</v>
      </c>
      <c r="DY67" s="562">
        <f t="shared" si="110"/>
        <v>0.11780326418266701</v>
      </c>
      <c r="DZ67" s="678">
        <f t="shared" si="110"/>
        <v>0.10693152043522251</v>
      </c>
      <c r="EA67" s="562">
        <f t="shared" si="110"/>
        <v>9.3019145617913218E-2</v>
      </c>
      <c r="EB67" s="562">
        <f t="shared" si="110"/>
        <v>0.10598762032283075</v>
      </c>
      <c r="EC67" s="678">
        <f t="shared" si="110"/>
        <v>9.9125175407988639E-2</v>
      </c>
      <c r="ED67" s="562">
        <f t="shared" si="110"/>
        <v>9.3933395184273391E-2</v>
      </c>
      <c r="EE67" s="562">
        <f t="shared" si="110"/>
        <v>0.10681375641001803</v>
      </c>
      <c r="EF67" s="678">
        <f t="shared" si="110"/>
        <v>0.10005251919580502</v>
      </c>
      <c r="EG67" s="562">
        <f t="shared" si="110"/>
        <v>9.3601700372088245E-2</v>
      </c>
      <c r="EH67" s="562">
        <f t="shared" si="110"/>
        <v>0.10561587904070303</v>
      </c>
      <c r="EI67" s="678">
        <f t="shared" si="110"/>
        <v>9.9332600687233402E-2</v>
      </c>
      <c r="EJ67" s="562">
        <f t="shared" si="110"/>
        <v>9.3262338290782495E-2</v>
      </c>
      <c r="EK67" s="562">
        <f t="shared" si="110"/>
        <v>0.10447457388592298</v>
      </c>
      <c r="EL67" s="678">
        <f t="shared" si="110"/>
        <v>9.8634034703060092E-2</v>
      </c>
      <c r="EM67" s="562">
        <f t="shared" si="110"/>
        <v>9.2999707528061193E-2</v>
      </c>
      <c r="EN67" s="562">
        <f t="shared" si="110"/>
        <v>0.1036857275931511</v>
      </c>
      <c r="EO67" s="678">
        <f t="shared" si="110"/>
        <v>9.8122368476814048E-2</v>
      </c>
      <c r="EP67" s="562">
        <f t="shared" si="110"/>
        <v>9.2757893999897353E-2</v>
      </c>
      <c r="EQ67" s="562">
        <f t="shared" si="110"/>
        <v>0.10285592251985493</v>
      </c>
      <c r="ER67" s="678">
        <f t="shared" si="110"/>
        <v>9.7610848916783927E-2</v>
      </c>
      <c r="ES67" s="562">
        <f t="shared" si="110"/>
        <v>9.2505387623912069E-2</v>
      </c>
      <c r="ET67" s="562">
        <f t="shared" si="110"/>
        <v>0.10205680856502369</v>
      </c>
      <c r="EU67" s="678">
        <f t="shared" si="110"/>
        <v>9.7104622359232395E-2</v>
      </c>
      <c r="EV67" s="562">
        <f t="shared" si="110"/>
        <v>9.2257903881104858E-2</v>
      </c>
      <c r="EW67" s="562">
        <f t="shared" si="110"/>
        <v>0.10128737251983022</v>
      </c>
      <c r="EX67" s="678">
        <f t="shared" si="110"/>
        <v>9.6614174148701257E-2</v>
      </c>
      <c r="EY67" s="562">
        <f t="shared" si="110"/>
        <v>9.2015401277453918E-2</v>
      </c>
      <c r="EZ67" s="562">
        <f t="shared" si="110"/>
        <v>0.10054661860146449</v>
      </c>
      <c r="FA67" s="647">
        <f t="shared" si="110"/>
        <v>9.6139085144462441E-2</v>
      </c>
    </row>
    <row r="68" spans="1:168" ht="13.35" customHeight="1" outlineLevel="1">
      <c r="A68" s="760"/>
      <c r="B68" s="4"/>
      <c r="C68" s="4"/>
      <c r="D68" s="178"/>
      <c r="E68" s="197"/>
      <c r="F68" s="197"/>
      <c r="G68" s="197"/>
      <c r="H68" s="197"/>
      <c r="I68" s="197"/>
      <c r="J68" s="197"/>
      <c r="K68" s="197"/>
      <c r="L68" s="197"/>
      <c r="M68" s="197"/>
      <c r="N68" s="197"/>
      <c r="O68" s="197"/>
      <c r="P68" s="197"/>
      <c r="Q68" s="197"/>
      <c r="R68" s="197"/>
      <c r="S68" s="197"/>
      <c r="T68" s="197"/>
      <c r="U68" s="197"/>
      <c r="V68" s="197"/>
      <c r="W68" s="197"/>
      <c r="X68" s="197"/>
      <c r="Y68" s="197"/>
      <c r="Z68" s="197"/>
      <c r="AA68" s="197"/>
      <c r="AB68" s="197"/>
      <c r="AC68" s="197"/>
      <c r="AD68" s="197"/>
      <c r="AE68" s="197"/>
      <c r="AF68" s="197"/>
      <c r="AG68" s="197"/>
      <c r="AH68" s="197"/>
      <c r="AI68" s="197"/>
      <c r="AJ68" s="197"/>
      <c r="AK68" s="197"/>
      <c r="AL68" s="197"/>
      <c r="AM68" s="197"/>
      <c r="AN68" s="197"/>
      <c r="AO68" s="197"/>
      <c r="AP68" s="197"/>
      <c r="AQ68" s="197"/>
      <c r="AR68" s="197"/>
      <c r="AS68" s="197"/>
      <c r="AT68" s="194"/>
      <c r="AU68" s="197"/>
      <c r="AV68" s="197"/>
      <c r="AW68" s="194"/>
      <c r="AX68" s="197"/>
      <c r="AY68" s="197"/>
      <c r="AZ68" s="194"/>
      <c r="BA68" s="197"/>
      <c r="BB68" s="197"/>
      <c r="BC68" s="665"/>
      <c r="BD68" s="665"/>
      <c r="BE68" s="207"/>
      <c r="BF68" s="665"/>
      <c r="BG68" s="665"/>
      <c r="BH68" s="207"/>
      <c r="BI68" s="665"/>
      <c r="BJ68" s="665"/>
      <c r="BK68" s="207"/>
      <c r="BL68" s="665"/>
      <c r="BM68" s="665"/>
      <c r="BN68" s="207"/>
      <c r="BO68" s="665"/>
      <c r="BP68" s="665"/>
      <c r="BQ68" s="207"/>
      <c r="BR68" s="665"/>
      <c r="BS68" s="665"/>
      <c r="BT68" s="207"/>
      <c r="BU68" s="665"/>
      <c r="BV68" s="665"/>
      <c r="BW68" s="665"/>
      <c r="BX68" s="207"/>
      <c r="BY68" s="665"/>
      <c r="BZ68" s="665"/>
      <c r="CA68" s="207"/>
      <c r="CB68" s="665"/>
      <c r="CC68" s="665"/>
      <c r="CD68" s="207"/>
      <c r="CE68" s="665"/>
      <c r="CF68" s="665"/>
      <c r="CG68" s="207"/>
      <c r="CH68" s="665"/>
      <c r="CI68" s="665"/>
      <c r="CJ68" s="207"/>
      <c r="CK68" s="665"/>
      <c r="CL68" s="665"/>
      <c r="CM68" s="207"/>
      <c r="CN68" s="665"/>
      <c r="CO68" s="665"/>
      <c r="CP68" s="207"/>
      <c r="CQ68" s="665"/>
      <c r="CR68" s="665"/>
      <c r="CS68" s="207"/>
      <c r="CT68" s="665"/>
      <c r="CU68" s="665"/>
      <c r="CV68" s="207"/>
      <c r="CW68" s="665"/>
      <c r="CX68" s="665"/>
      <c r="CY68" s="508"/>
      <c r="CZ68" s="516"/>
      <c r="DA68" s="516"/>
      <c r="DB68" s="508"/>
      <c r="DC68" s="516"/>
      <c r="DD68" s="516"/>
      <c r="DE68" s="678"/>
      <c r="DF68" s="562"/>
      <c r="DG68" s="562"/>
      <c r="DH68" s="678"/>
      <c r="DI68" s="562"/>
      <c r="DJ68" s="562"/>
      <c r="DK68" s="678"/>
      <c r="DL68" s="562"/>
      <c r="DM68" s="562"/>
      <c r="DN68" s="678"/>
      <c r="DO68" s="562"/>
      <c r="DP68" s="562"/>
      <c r="DQ68" s="678"/>
      <c r="DR68" s="562"/>
      <c r="DS68" s="562"/>
      <c r="DT68" s="678"/>
      <c r="DU68" s="562"/>
      <c r="DV68" s="562"/>
      <c r="DW68" s="678"/>
      <c r="DX68" s="562"/>
      <c r="DY68" s="562"/>
      <c r="DZ68" s="678"/>
      <c r="EA68" s="562"/>
      <c r="EB68" s="562"/>
      <c r="EC68" s="678"/>
      <c r="ED68" s="562"/>
      <c r="EE68" s="562"/>
      <c r="EF68" s="678"/>
      <c r="EG68" s="562"/>
      <c r="EH68" s="562"/>
      <c r="EI68" s="678"/>
      <c r="EJ68" s="562"/>
      <c r="EK68" s="562"/>
      <c r="EL68" s="678"/>
      <c r="EM68" s="562"/>
      <c r="EN68" s="562"/>
      <c r="EO68" s="678"/>
      <c r="EP68" s="562"/>
      <c r="EQ68" s="562"/>
      <c r="ER68" s="678"/>
      <c r="ES68" s="562"/>
      <c r="ET68" s="562"/>
      <c r="EU68" s="678"/>
      <c r="EV68" s="562"/>
      <c r="EW68" s="562"/>
      <c r="EX68" s="678"/>
      <c r="EY68" s="562"/>
      <c r="EZ68" s="562"/>
      <c r="FA68" s="647"/>
    </row>
    <row r="69" spans="1:168" ht="13.35" customHeight="1" outlineLevel="1">
      <c r="A69" s="1016"/>
      <c r="B69" s="173" t="s">
        <v>922</v>
      </c>
      <c r="C69" s="173"/>
      <c r="D69" s="174"/>
      <c r="E69" s="175"/>
      <c r="F69" s="175"/>
      <c r="G69" s="175"/>
      <c r="H69" s="175"/>
      <c r="I69" s="175"/>
      <c r="J69" s="175"/>
      <c r="K69" s="175"/>
      <c r="L69" s="175"/>
      <c r="M69" s="175"/>
      <c r="N69" s="175"/>
      <c r="O69" s="175"/>
      <c r="P69" s="175"/>
      <c r="Q69" s="175"/>
      <c r="R69" s="175"/>
      <c r="S69" s="175"/>
      <c r="T69" s="175"/>
      <c r="U69" s="175"/>
      <c r="V69" s="175"/>
      <c r="W69" s="175"/>
      <c r="X69" s="175"/>
      <c r="Y69" s="175"/>
      <c r="Z69" s="175"/>
      <c r="AA69" s="175"/>
      <c r="AB69" s="175"/>
      <c r="AC69" s="175"/>
      <c r="AD69" s="175"/>
      <c r="AE69" s="175"/>
      <c r="AF69" s="175"/>
      <c r="AG69" s="175"/>
      <c r="AH69" s="175"/>
      <c r="AI69" s="175"/>
      <c r="AJ69" s="175"/>
      <c r="AK69" s="175"/>
      <c r="AL69" s="175"/>
      <c r="AM69" s="175"/>
      <c r="AN69" s="175"/>
      <c r="AO69" s="175"/>
      <c r="AP69" s="175"/>
      <c r="AQ69" s="175"/>
      <c r="AR69" s="175"/>
      <c r="AS69" s="175"/>
      <c r="AT69" s="175"/>
      <c r="AU69" s="175"/>
      <c r="AV69" s="175"/>
      <c r="AW69" s="175"/>
      <c r="AX69" s="175"/>
      <c r="AY69" s="175"/>
      <c r="AZ69" s="175"/>
      <c r="BA69" s="175"/>
      <c r="BB69" s="175"/>
      <c r="BC69" s="175" t="str">
        <f>BC43</f>
        <v>2001a</v>
      </c>
      <c r="BD69" s="175" t="str">
        <f t="shared" ref="BD69:DO69" si="112">BD43</f>
        <v>1h02</v>
      </c>
      <c r="BE69" s="175" t="str">
        <f t="shared" si="112"/>
        <v>2h02f</v>
      </c>
      <c r="BF69" s="175" t="str">
        <f t="shared" si="112"/>
        <v>2002</v>
      </c>
      <c r="BG69" s="175" t="str">
        <f t="shared" si="112"/>
        <v>1h03</v>
      </c>
      <c r="BH69" s="175" t="str">
        <f t="shared" si="112"/>
        <v>2h03</v>
      </c>
      <c r="BI69" s="175" t="str">
        <f t="shared" si="112"/>
        <v>2003</v>
      </c>
      <c r="BJ69" s="175" t="str">
        <f t="shared" si="112"/>
        <v>1h04</v>
      </c>
      <c r="BK69" s="175" t="str">
        <f t="shared" si="112"/>
        <v>2h04</v>
      </c>
      <c r="BL69" s="175" t="str">
        <f t="shared" si="112"/>
        <v>2004</v>
      </c>
      <c r="BM69" s="175" t="str">
        <f t="shared" si="112"/>
        <v>1h05</v>
      </c>
      <c r="BN69" s="175" t="str">
        <f t="shared" si="112"/>
        <v>2h05</v>
      </c>
      <c r="BO69" s="175" t="str">
        <f t="shared" si="112"/>
        <v>2005</v>
      </c>
      <c r="BP69" s="175" t="str">
        <f t="shared" si="112"/>
        <v>1h06</v>
      </c>
      <c r="BQ69" s="175" t="str">
        <f t="shared" si="112"/>
        <v>2h06</v>
      </c>
      <c r="BR69" s="175" t="str">
        <f t="shared" si="112"/>
        <v>2006</v>
      </c>
      <c r="BS69" s="175" t="str">
        <f t="shared" si="112"/>
        <v>1h07</v>
      </c>
      <c r="BT69" s="175" t="str">
        <f t="shared" si="112"/>
        <v>2h07</v>
      </c>
      <c r="BU69" s="175" t="str">
        <f t="shared" si="112"/>
        <v>2007</v>
      </c>
      <c r="BV69" s="175" t="str">
        <f t="shared" si="112"/>
        <v>1h08</v>
      </c>
      <c r="BW69" s="175" t="str">
        <f t="shared" si="112"/>
        <v>2h08</v>
      </c>
      <c r="BX69" s="175" t="str">
        <f t="shared" si="112"/>
        <v>2008</v>
      </c>
      <c r="BY69" s="175" t="str">
        <f t="shared" si="112"/>
        <v>1h09</v>
      </c>
      <c r="BZ69" s="175" t="str">
        <f t="shared" si="112"/>
        <v>2h09</v>
      </c>
      <c r="CA69" s="175" t="str">
        <f t="shared" si="112"/>
        <v>2009</v>
      </c>
      <c r="CB69" s="175" t="str">
        <f t="shared" si="112"/>
        <v>1h10</v>
      </c>
      <c r="CC69" s="175" t="str">
        <f t="shared" si="112"/>
        <v>2h10</v>
      </c>
      <c r="CD69" s="175" t="str">
        <f t="shared" si="112"/>
        <v>2010</v>
      </c>
      <c r="CE69" s="175" t="str">
        <f t="shared" si="112"/>
        <v>1h11</v>
      </c>
      <c r="CF69" s="175" t="str">
        <f t="shared" si="112"/>
        <v>2h11</v>
      </c>
      <c r="CG69" s="175" t="str">
        <f t="shared" si="112"/>
        <v>2011</v>
      </c>
      <c r="CH69" s="175" t="str">
        <f t="shared" si="112"/>
        <v>1h12</v>
      </c>
      <c r="CI69" s="175" t="str">
        <f t="shared" si="112"/>
        <v>2h12</v>
      </c>
      <c r="CJ69" s="175" t="str">
        <f t="shared" si="112"/>
        <v>2012</v>
      </c>
      <c r="CK69" s="175" t="str">
        <f t="shared" si="112"/>
        <v>1h13</v>
      </c>
      <c r="CL69" s="175" t="str">
        <f t="shared" si="112"/>
        <v>2h13</v>
      </c>
      <c r="CM69" s="175" t="str">
        <f t="shared" si="112"/>
        <v>2013</v>
      </c>
      <c r="CN69" s="175" t="str">
        <f t="shared" si="112"/>
        <v>1h14</v>
      </c>
      <c r="CO69" s="175" t="str">
        <f t="shared" si="112"/>
        <v>2h14</v>
      </c>
      <c r="CP69" s="175" t="str">
        <f t="shared" si="112"/>
        <v>2014</v>
      </c>
      <c r="CQ69" s="175" t="str">
        <f t="shared" si="112"/>
        <v>1h15</v>
      </c>
      <c r="CR69" s="175" t="str">
        <f t="shared" si="112"/>
        <v>2h15</v>
      </c>
      <c r="CS69" s="175" t="str">
        <f t="shared" si="112"/>
        <v>2015</v>
      </c>
      <c r="CT69" s="175" t="str">
        <f t="shared" si="112"/>
        <v>1h16</v>
      </c>
      <c r="CU69" s="175" t="str">
        <f t="shared" si="112"/>
        <v>2h16</v>
      </c>
      <c r="CV69" s="175" t="str">
        <f t="shared" si="112"/>
        <v>2016</v>
      </c>
      <c r="CW69" s="175" t="str">
        <f t="shared" si="112"/>
        <v>1h17</v>
      </c>
      <c r="CX69" s="175" t="str">
        <f t="shared" si="112"/>
        <v>2h17</v>
      </c>
      <c r="CY69" s="222" t="str">
        <f t="shared" si="112"/>
        <v>2017</v>
      </c>
      <c r="CZ69" s="222" t="str">
        <f t="shared" si="112"/>
        <v>1h18</v>
      </c>
      <c r="DA69" s="222" t="str">
        <f t="shared" si="112"/>
        <v>2h18</v>
      </c>
      <c r="DB69" s="222" t="str">
        <f t="shared" si="112"/>
        <v>2018</v>
      </c>
      <c r="DC69" s="222" t="str">
        <f t="shared" si="112"/>
        <v>1h19</v>
      </c>
      <c r="DD69" s="222" t="str">
        <f t="shared" si="112"/>
        <v>2h19</v>
      </c>
      <c r="DE69" s="682" t="str">
        <f t="shared" si="112"/>
        <v>2019</v>
      </c>
      <c r="DF69" s="222" t="str">
        <f t="shared" si="112"/>
        <v>1h20</v>
      </c>
      <c r="DG69" s="222" t="str">
        <f t="shared" si="112"/>
        <v>2h20</v>
      </c>
      <c r="DH69" s="682" t="str">
        <f t="shared" si="112"/>
        <v>2020</v>
      </c>
      <c r="DI69" s="222" t="str">
        <f t="shared" si="112"/>
        <v>1h21</v>
      </c>
      <c r="DJ69" s="222" t="str">
        <f t="shared" si="112"/>
        <v>2h21</v>
      </c>
      <c r="DK69" s="682" t="str">
        <f t="shared" si="112"/>
        <v>2021</v>
      </c>
      <c r="DL69" s="222" t="str">
        <f t="shared" si="112"/>
        <v>1h22</v>
      </c>
      <c r="DM69" s="222" t="str">
        <f t="shared" si="112"/>
        <v>2h22</v>
      </c>
      <c r="DN69" s="682" t="str">
        <f t="shared" si="112"/>
        <v>2022</v>
      </c>
      <c r="DO69" s="222" t="str">
        <f t="shared" si="112"/>
        <v>1h23</v>
      </c>
      <c r="DP69" s="222" t="str">
        <f t="shared" ref="DP69:ER69" si="113">DP43</f>
        <v>2h23</v>
      </c>
      <c r="DQ69" s="682" t="str">
        <f t="shared" si="113"/>
        <v>2023</v>
      </c>
      <c r="DR69" s="222" t="str">
        <f t="shared" si="113"/>
        <v>1h24</v>
      </c>
      <c r="DS69" s="222" t="str">
        <f t="shared" si="113"/>
        <v>2h24</v>
      </c>
      <c r="DT69" s="682" t="str">
        <f t="shared" si="113"/>
        <v>2024</v>
      </c>
      <c r="DU69" s="222" t="str">
        <f t="shared" si="113"/>
        <v>1h25</v>
      </c>
      <c r="DV69" s="222" t="str">
        <f>DV43</f>
        <v>2h25</v>
      </c>
      <c r="DW69" s="682" t="str">
        <f>DW43</f>
        <v>2025</v>
      </c>
      <c r="DX69" s="222" t="str">
        <f t="shared" ref="DX69" si="114">DX43</f>
        <v>1h26</v>
      </c>
      <c r="DY69" s="222" t="str">
        <f t="shared" si="113"/>
        <v>2h26E</v>
      </c>
      <c r="DZ69" s="682" t="str">
        <f t="shared" si="113"/>
        <v>2026E</v>
      </c>
      <c r="EA69" s="222" t="str">
        <f t="shared" si="113"/>
        <v>1h27E</v>
      </c>
      <c r="EB69" s="222" t="str">
        <f t="shared" si="113"/>
        <v>2h27E</v>
      </c>
      <c r="EC69" s="682" t="str">
        <f t="shared" si="113"/>
        <v>2027E</v>
      </c>
      <c r="ED69" s="222" t="str">
        <f t="shared" si="113"/>
        <v>1h28E</v>
      </c>
      <c r="EE69" s="222" t="str">
        <f t="shared" si="113"/>
        <v>2h28E</v>
      </c>
      <c r="EF69" s="682" t="str">
        <f t="shared" si="113"/>
        <v>2028E</v>
      </c>
      <c r="EG69" s="222" t="str">
        <f t="shared" si="113"/>
        <v>1h29E</v>
      </c>
      <c r="EH69" s="222" t="str">
        <f t="shared" si="113"/>
        <v>2h29E</v>
      </c>
      <c r="EI69" s="682" t="str">
        <f t="shared" si="113"/>
        <v>2029E</v>
      </c>
      <c r="EJ69" s="222" t="str">
        <f t="shared" si="113"/>
        <v>1h30E</v>
      </c>
      <c r="EK69" s="222" t="str">
        <f t="shared" si="113"/>
        <v>2h30E</v>
      </c>
      <c r="EL69" s="682" t="str">
        <f t="shared" si="113"/>
        <v>2030E</v>
      </c>
      <c r="EM69" s="222" t="str">
        <f t="shared" si="113"/>
        <v>1h31E</v>
      </c>
      <c r="EN69" s="222" t="str">
        <f t="shared" si="113"/>
        <v>2h31E</v>
      </c>
      <c r="EO69" s="682" t="str">
        <f t="shared" si="113"/>
        <v>2031E</v>
      </c>
      <c r="EP69" s="222" t="str">
        <f t="shared" si="113"/>
        <v>1h32E</v>
      </c>
      <c r="EQ69" s="222" t="str">
        <f t="shared" si="113"/>
        <v>2h32E</v>
      </c>
      <c r="ER69" s="682" t="str">
        <f t="shared" si="113"/>
        <v>2032E</v>
      </c>
      <c r="ES69" s="222" t="str">
        <f t="shared" ref="ES69:FA69" si="115">ES43</f>
        <v>1h33E</v>
      </c>
      <c r="ET69" s="222" t="str">
        <f t="shared" si="115"/>
        <v>2h33E</v>
      </c>
      <c r="EU69" s="682" t="str">
        <f t="shared" si="115"/>
        <v>2033E</v>
      </c>
      <c r="EV69" s="222" t="str">
        <f t="shared" si="115"/>
        <v>1h34E</v>
      </c>
      <c r="EW69" s="222" t="str">
        <f t="shared" si="115"/>
        <v>2h34E</v>
      </c>
      <c r="EX69" s="682" t="str">
        <f t="shared" si="115"/>
        <v>2034E</v>
      </c>
      <c r="EY69" s="222" t="str">
        <f t="shared" si="115"/>
        <v>1h35E</v>
      </c>
      <c r="EZ69" s="222" t="str">
        <f t="shared" si="115"/>
        <v>2h35E</v>
      </c>
      <c r="FA69" s="222" t="str">
        <f t="shared" si="115"/>
        <v>2035E</v>
      </c>
    </row>
    <row r="70" spans="1:168" ht="13.35" customHeight="1" outlineLevel="1">
      <c r="A70" s="760" t="s">
        <v>480</v>
      </c>
      <c r="B70" s="4" t="s">
        <v>923</v>
      </c>
      <c r="C70" s="4"/>
      <c r="D70" s="178" t="s">
        <v>357</v>
      </c>
      <c r="E70" s="197"/>
      <c r="F70" s="197"/>
      <c r="G70" s="197"/>
      <c r="H70" s="197"/>
      <c r="I70" s="197"/>
      <c r="J70" s="197"/>
      <c r="K70" s="197"/>
      <c r="L70" s="197"/>
      <c r="M70" s="197"/>
      <c r="N70" s="197"/>
      <c r="O70" s="197"/>
      <c r="P70" s="197"/>
      <c r="Q70" s="197"/>
      <c r="R70" s="197"/>
      <c r="S70" s="197"/>
      <c r="T70" s="197"/>
      <c r="U70" s="197"/>
      <c r="V70" s="197"/>
      <c r="W70" s="197"/>
      <c r="X70" s="197"/>
      <c r="Y70" s="197"/>
      <c r="Z70" s="197"/>
      <c r="AA70" s="197"/>
      <c r="AB70" s="197"/>
      <c r="AC70" s="197"/>
      <c r="AD70" s="197"/>
      <c r="AE70" s="197"/>
      <c r="AF70" s="197"/>
      <c r="AG70" s="197"/>
      <c r="AH70" s="197"/>
      <c r="AI70" s="197"/>
      <c r="AJ70" s="197"/>
      <c r="AK70" s="197"/>
      <c r="AL70" s="197"/>
      <c r="AM70" s="197"/>
      <c r="AN70" s="197"/>
      <c r="AO70" s="197"/>
      <c r="AP70" s="197"/>
      <c r="AQ70" s="197"/>
      <c r="AR70" s="196"/>
      <c r="AS70" s="196"/>
      <c r="AT70" s="194"/>
      <c r="AU70" s="196"/>
      <c r="AV70" s="196"/>
      <c r="AW70" s="194"/>
      <c r="AX70" s="196"/>
      <c r="AY70" s="196"/>
      <c r="AZ70" s="194"/>
      <c r="BA70" s="196"/>
      <c r="BB70" s="196"/>
      <c r="BC70" s="194"/>
      <c r="BD70" s="189"/>
      <c r="BE70" s="189"/>
      <c r="BF70" s="182"/>
      <c r="BG70" s="189"/>
      <c r="BH70" s="189"/>
      <c r="BI70" s="182"/>
      <c r="BJ70" s="189"/>
      <c r="BK70" s="189"/>
      <c r="BL70" s="182"/>
      <c r="BM70" s="189"/>
      <c r="BN70" s="189"/>
      <c r="BO70" s="182"/>
      <c r="BP70" s="189"/>
      <c r="BQ70" s="189"/>
      <c r="BR70" s="182"/>
      <c r="BS70" s="189"/>
      <c r="BT70" s="189"/>
      <c r="BU70" s="182"/>
      <c r="BV70" s="189">
        <v>91.379782331393102</v>
      </c>
      <c r="BW70" s="189">
        <v>111.62021766860688</v>
      </c>
      <c r="BX70" s="182">
        <v>203</v>
      </c>
      <c r="BY70" s="189">
        <v>111.95214004743083</v>
      </c>
      <c r="BZ70" s="189">
        <v>114.2982560178563</v>
      </c>
      <c r="CA70" s="182">
        <v>226.25039606528713</v>
      </c>
      <c r="CB70" s="189">
        <v>148.18225658012454</v>
      </c>
      <c r="CC70" s="189">
        <v>134.36364972057339</v>
      </c>
      <c r="CD70" s="182">
        <v>282.54590630069794</v>
      </c>
      <c r="CE70" s="189">
        <v>243.22710400621219</v>
      </c>
      <c r="CF70" s="189">
        <v>153.14490425270327</v>
      </c>
      <c r="CG70" s="182">
        <v>396.37200825891546</v>
      </c>
      <c r="CH70" s="189">
        <v>159.32840376741416</v>
      </c>
      <c r="CI70" s="189">
        <v>202.51675504301062</v>
      </c>
      <c r="CJ70" s="182">
        <v>361.84515881042478</v>
      </c>
      <c r="CK70" s="189">
        <v>160.0490274043168</v>
      </c>
      <c r="CL70" s="189">
        <v>233.38927328575679</v>
      </c>
      <c r="CM70" s="182">
        <v>393.43830069007356</v>
      </c>
      <c r="CN70" s="189">
        <v>229.33649999999997</v>
      </c>
      <c r="CO70" s="189">
        <v>237.09999999999994</v>
      </c>
      <c r="CP70" s="182">
        <v>466.43649999999991</v>
      </c>
      <c r="CQ70" s="189">
        <v>233.39817355124416</v>
      </c>
      <c r="CR70" s="189">
        <v>230.3443603043786</v>
      </c>
      <c r="CS70" s="182">
        <v>463.74253385562275</v>
      </c>
      <c r="CT70" s="189">
        <v>283.89999999999998</v>
      </c>
      <c r="CU70" s="189">
        <v>329.90000000000026</v>
      </c>
      <c r="CV70" s="182">
        <v>613.80000000000018</v>
      </c>
      <c r="CW70" s="189">
        <v>286.99999999999994</v>
      </c>
      <c r="CX70" s="189">
        <v>358.30903467361725</v>
      </c>
      <c r="CY70" s="499">
        <v>645.30903467361713</v>
      </c>
      <c r="CZ70" s="300">
        <v>342.91203477722979</v>
      </c>
      <c r="DA70" s="300">
        <v>359.483020386612</v>
      </c>
      <c r="DB70" s="499">
        <v>702.39505516384179</v>
      </c>
      <c r="DC70" s="300">
        <v>391</v>
      </c>
      <c r="DD70" s="300">
        <v>440.79210000000012</v>
      </c>
      <c r="DE70" s="677">
        <v>831.79210000000012</v>
      </c>
      <c r="DF70" s="300">
        <v>445.5</v>
      </c>
      <c r="DG70" s="300">
        <v>476.29999999999995</v>
      </c>
      <c r="DH70" s="677">
        <v>921.8</v>
      </c>
      <c r="DI70" s="666">
        <v>427.3</v>
      </c>
      <c r="DJ70" s="631">
        <f>DK70-DI70</f>
        <v>574.09999999999991</v>
      </c>
      <c r="DK70" s="685">
        <v>1001.4</v>
      </c>
      <c r="DL70" s="666">
        <v>485.8</v>
      </c>
      <c r="DM70" s="631">
        <f>DN70-DL70</f>
        <v>557.20000000000005</v>
      </c>
      <c r="DN70" s="685">
        <v>1043</v>
      </c>
      <c r="DO70" s="666">
        <v>593</v>
      </c>
      <c r="DP70" s="631">
        <f>DQ70-DO70</f>
        <v>673</v>
      </c>
      <c r="DQ70" s="685">
        <v>1266</v>
      </c>
      <c r="DR70" s="666">
        <v>669</v>
      </c>
      <c r="DS70" s="631">
        <f>DT70-DR70</f>
        <v>759</v>
      </c>
      <c r="DT70" s="685">
        <v>1428</v>
      </c>
      <c r="DU70" s="666">
        <v>646</v>
      </c>
      <c r="DV70" s="631">
        <f>DW70-DU70</f>
        <v>713</v>
      </c>
      <c r="DW70" s="685">
        <v>1359</v>
      </c>
      <c r="DX70" s="666">
        <v>600</v>
      </c>
      <c r="DY70" s="631">
        <f>DY71*DY20</f>
        <v>607.31098038946152</v>
      </c>
      <c r="DZ70" s="674">
        <f>SUM(DX70:DY70)</f>
        <v>1207.3109803894615</v>
      </c>
      <c r="EA70" s="631">
        <f>EA71*EA20</f>
        <v>754.20160681591335</v>
      </c>
      <c r="EB70" s="631">
        <f>EB71*EB20</f>
        <v>789.83279945721131</v>
      </c>
      <c r="EC70" s="674">
        <f>SUM(EA70:EB70)</f>
        <v>1544.0344062731247</v>
      </c>
      <c r="ED70" s="631">
        <f>ED71*ED20</f>
        <v>834.52222152318086</v>
      </c>
      <c r="EE70" s="631">
        <f>EE71*EE20</f>
        <v>881.14076228067472</v>
      </c>
      <c r="EF70" s="674">
        <f>SUM(ED70:EE70)</f>
        <v>1715.6629838038557</v>
      </c>
      <c r="EG70" s="631">
        <f>EG71*EG20</f>
        <v>882.17476900955023</v>
      </c>
      <c r="EH70" s="631">
        <f>EH71*EH20</f>
        <v>938.55419673972995</v>
      </c>
      <c r="EI70" s="674">
        <f>SUM(EG70:EH70)</f>
        <v>1820.7289657492802</v>
      </c>
      <c r="EJ70" s="631">
        <f>EJ71*EJ20</f>
        <v>933.25508004283961</v>
      </c>
      <c r="EK70" s="631">
        <f>EK71*EK20</f>
        <v>1001.045887291748</v>
      </c>
      <c r="EL70" s="674">
        <f>SUM(EJ70:EK70)</f>
        <v>1934.3009673345878</v>
      </c>
      <c r="EM70" s="631">
        <f>EM71*EM20</f>
        <v>983.38539954230271</v>
      </c>
      <c r="EN70" s="631">
        <f>EN71*EN20</f>
        <v>1056.032406395738</v>
      </c>
      <c r="EO70" s="674">
        <f>SUM(EM70:EN70)</f>
        <v>2039.4178059380406</v>
      </c>
      <c r="EP70" s="631">
        <f>EP71*EP20</f>
        <v>1035.555310442074</v>
      </c>
      <c r="EQ70" s="631">
        <f>EQ71*EQ20</f>
        <v>1117.3558133429856</v>
      </c>
      <c r="ER70" s="674">
        <f>SUM(EP70:EQ70)</f>
        <v>2152.9111237850593</v>
      </c>
      <c r="ES70" s="631">
        <f>ES71*ES20</f>
        <v>1091.9842387700044</v>
      </c>
      <c r="ET70" s="631">
        <f>ET71*ET20</f>
        <v>1182.6324314780577</v>
      </c>
      <c r="EU70" s="674">
        <f>SUM(ES70:ET70)</f>
        <v>2274.6166702480623</v>
      </c>
      <c r="EV70" s="631">
        <f>EV71*EV20</f>
        <v>1151.9093794965163</v>
      </c>
      <c r="EW70" s="631">
        <f>EW71*EW20</f>
        <v>1252.1260634167411</v>
      </c>
      <c r="EX70" s="674">
        <f>SUM(EV70:EW70)</f>
        <v>2404.0354429132576</v>
      </c>
      <c r="EY70" s="631">
        <f>EY71*EY20</f>
        <v>1215.5597580170938</v>
      </c>
      <c r="EZ70" s="631">
        <f>EZ71*EZ20</f>
        <v>1326.1185428445547</v>
      </c>
      <c r="FA70" s="776">
        <f>SUM(EY70:EZ70)</f>
        <v>2541.6783008616485</v>
      </c>
    </row>
    <row r="71" spans="1:168" ht="13.35" customHeight="1" outlineLevel="1">
      <c r="A71" s="760"/>
      <c r="B71" s="4" t="s">
        <v>120</v>
      </c>
      <c r="C71" s="4"/>
      <c r="D71" s="178" t="s">
        <v>507</v>
      </c>
      <c r="E71" s="197"/>
      <c r="F71" s="197"/>
      <c r="G71" s="197"/>
      <c r="H71" s="197"/>
      <c r="I71" s="197"/>
      <c r="J71" s="197"/>
      <c r="K71" s="197"/>
      <c r="L71" s="197"/>
      <c r="M71" s="197"/>
      <c r="N71" s="197"/>
      <c r="O71" s="197"/>
      <c r="P71" s="197"/>
      <c r="Q71" s="197"/>
      <c r="R71" s="197"/>
      <c r="S71" s="197"/>
      <c r="T71" s="197"/>
      <c r="U71" s="197"/>
      <c r="V71" s="197"/>
      <c r="W71" s="197"/>
      <c r="X71" s="197"/>
      <c r="Y71" s="197"/>
      <c r="Z71" s="197"/>
      <c r="AA71" s="197"/>
      <c r="AB71" s="197"/>
      <c r="AC71" s="197"/>
      <c r="AD71" s="197"/>
      <c r="AE71" s="197"/>
      <c r="AF71" s="197"/>
      <c r="AG71" s="197"/>
      <c r="AH71" s="197"/>
      <c r="AI71" s="197"/>
      <c r="AJ71" s="197"/>
      <c r="AK71" s="197"/>
      <c r="AL71" s="197"/>
      <c r="AM71" s="197"/>
      <c r="AN71" s="197"/>
      <c r="AO71" s="197"/>
      <c r="AP71" s="197"/>
      <c r="AQ71" s="197"/>
      <c r="AR71" s="196"/>
      <c r="AS71" s="196"/>
      <c r="AT71" s="194"/>
      <c r="AU71" s="196"/>
      <c r="AV71" s="196"/>
      <c r="AW71" s="194"/>
      <c r="AX71" s="196"/>
      <c r="AY71" s="196"/>
      <c r="AZ71" s="194"/>
      <c r="BA71" s="196"/>
      <c r="BB71" s="196"/>
      <c r="BC71" s="194"/>
      <c r="BD71" s="204"/>
      <c r="BE71" s="204"/>
      <c r="BF71" s="207"/>
      <c r="BG71" s="204"/>
      <c r="BH71" s="204"/>
      <c r="BI71" s="207"/>
      <c r="BJ71" s="204"/>
      <c r="BK71" s="204"/>
      <c r="BL71" s="207"/>
      <c r="BM71" s="204"/>
      <c r="BN71" s="204"/>
      <c r="BO71" s="207"/>
      <c r="BP71" s="204"/>
      <c r="BQ71" s="204"/>
      <c r="BR71" s="207"/>
      <c r="BS71" s="204"/>
      <c r="BT71" s="204"/>
      <c r="BU71" s="207"/>
      <c r="BV71" s="204">
        <v>5.9140851700262072E-2</v>
      </c>
      <c r="BW71" s="204">
        <v>6.5547950974775726E-2</v>
      </c>
      <c r="BX71" s="207">
        <v>5.9391456992393211E-2</v>
      </c>
      <c r="BY71" s="204">
        <v>6.2239468128494194E-2</v>
      </c>
      <c r="BZ71" s="204">
        <v>6.6932875902794814E-2</v>
      </c>
      <c r="CA71" s="207">
        <v>6.2013928560599361E-2</v>
      </c>
      <c r="CB71" s="204">
        <v>7.0848753276938195E-2</v>
      </c>
      <c r="CC71" s="204">
        <v>6.816793174397047E-2</v>
      </c>
      <c r="CD71" s="207">
        <v>6.8019366084237698E-2</v>
      </c>
      <c r="CE71" s="204">
        <v>0.11895559957626806</v>
      </c>
      <c r="CF71" s="204">
        <v>6.9718814539677335E-2</v>
      </c>
      <c r="CG71" s="207">
        <v>9.1449940173835814E-2</v>
      </c>
      <c r="CH71" s="204">
        <v>6.9089629174553163E-2</v>
      </c>
      <c r="CI71" s="204">
        <v>8.7359925438311448E-2</v>
      </c>
      <c r="CJ71" s="207">
        <v>7.5927753906489204E-2</v>
      </c>
      <c r="CK71" s="204">
        <v>6.4217400555437482E-2</v>
      </c>
      <c r="CL71" s="204">
        <v>9.4558493349710976E-2</v>
      </c>
      <c r="CM71" s="207">
        <v>7.7223502530045021E-2</v>
      </c>
      <c r="CN71" s="204">
        <v>8.909039701654882E-2</v>
      </c>
      <c r="CO71" s="204">
        <v>8.5887125987104268E-2</v>
      </c>
      <c r="CP71" s="207">
        <v>8.7432799730074229E-2</v>
      </c>
      <c r="CQ71" s="204">
        <v>8.2307075343387576E-2</v>
      </c>
      <c r="CR71" s="204">
        <v>8.3464149686346273E-2</v>
      </c>
      <c r="CS71" s="207">
        <v>8.2877764963921477E-2</v>
      </c>
      <c r="CT71" s="204">
        <v>9.0537774993901518E-2</v>
      </c>
      <c r="CU71" s="204">
        <v>0.11299135948669221</v>
      </c>
      <c r="CV71" s="207">
        <v>0.1013640717376226</v>
      </c>
      <c r="CW71" s="204">
        <v>7.9802024246468678E-2</v>
      </c>
      <c r="CX71" s="204">
        <v>0.11417660909872451</v>
      </c>
      <c r="CY71" s="508">
        <v>9.5819949911444949E-2</v>
      </c>
      <c r="CZ71" s="505">
        <v>8.4056740824801454E-2</v>
      </c>
      <c r="DA71" s="505">
        <v>9.7527398621708089E-2</v>
      </c>
      <c r="DB71" s="508">
        <v>9.0450718583972925E-2</v>
      </c>
      <c r="DC71" s="505">
        <v>8.8529638183217851E-2</v>
      </c>
      <c r="DD71" s="505">
        <v>0.11115114607761555</v>
      </c>
      <c r="DE71" s="681">
        <v>9.9231964973813869E-2</v>
      </c>
      <c r="DF71" s="505">
        <v>9.3089199594262276E-2</v>
      </c>
      <c r="DG71" s="505">
        <v>0.11415297844488297</v>
      </c>
      <c r="DH71" s="681">
        <v>0.10290009616668817</v>
      </c>
      <c r="DI71" s="516">
        <f>+DI70/DI$9</f>
        <v>7.5211065839192195E-2</v>
      </c>
      <c r="DJ71" s="516">
        <f t="shared" ref="DJ71:DU71" si="116">+DJ70/DJ20</f>
        <v>0.12555341326342856</v>
      </c>
      <c r="DK71" s="678">
        <f t="shared" si="116"/>
        <v>9.7107331016885401E-2</v>
      </c>
      <c r="DL71" s="562">
        <f t="shared" si="116"/>
        <v>8.0414487187975892E-2</v>
      </c>
      <c r="DM71" s="562">
        <f t="shared" si="116"/>
        <v>0.12324161726975141</v>
      </c>
      <c r="DN71" s="678">
        <f t="shared" si="116"/>
        <v>9.874649700825569E-2</v>
      </c>
      <c r="DO71" s="562">
        <f t="shared" si="116"/>
        <v>8.2544543429844103E-2</v>
      </c>
      <c r="DP71" s="562">
        <f t="shared" si="116"/>
        <v>0.1098596147567744</v>
      </c>
      <c r="DQ71" s="678">
        <f t="shared" si="116"/>
        <v>9.5116453794139744E-2</v>
      </c>
      <c r="DR71" s="562">
        <f t="shared" si="116"/>
        <v>8.3074630572457467E-2</v>
      </c>
      <c r="DS71" s="562">
        <f t="shared" si="116"/>
        <v>0.11249444197421075</v>
      </c>
      <c r="DT71" s="678">
        <f>+DT70/DT20</f>
        <v>9.6486486486486486E-2</v>
      </c>
      <c r="DU71" s="562">
        <f t="shared" si="116"/>
        <v>7.6152304609218444E-2</v>
      </c>
      <c r="DV71" s="562">
        <f>+DV70/DV20</f>
        <v>0.10077738515901061</v>
      </c>
      <c r="DW71" s="678">
        <f>+DW70/DW20</f>
        <v>8.7350559197840336E-2</v>
      </c>
      <c r="DX71" s="562">
        <f t="shared" ref="DX71" si="117">+DX70/DX20</f>
        <v>7.2011521843494963E-2</v>
      </c>
      <c r="DY71" s="926">
        <v>0.08</v>
      </c>
      <c r="DZ71" s="678">
        <f>DZ70/DZ20</f>
        <v>7.5819984847781019E-2</v>
      </c>
      <c r="EA71" s="926">
        <v>8.5000000000000006E-2</v>
      </c>
      <c r="EB71" s="562">
        <v>0.1</v>
      </c>
      <c r="EC71" s="678">
        <f>EC70/EC20</f>
        <v>9.2064151506459774E-2</v>
      </c>
      <c r="ED71" s="926">
        <v>0.09</v>
      </c>
      <c r="EE71" s="562">
        <v>0.105</v>
      </c>
      <c r="EF71" s="678">
        <f>EF70/EF20</f>
        <v>9.712608776736828E-2</v>
      </c>
      <c r="EG71" s="562">
        <f>+ED71</f>
        <v>0.09</v>
      </c>
      <c r="EH71" s="562">
        <f>+EE71</f>
        <v>0.105</v>
      </c>
      <c r="EI71" s="678">
        <f>EI70/EI20</f>
        <v>9.7154493733052294E-2</v>
      </c>
      <c r="EJ71" s="562">
        <f t="shared" ref="EJ71:EK71" si="118">+EG71</f>
        <v>0.09</v>
      </c>
      <c r="EK71" s="562">
        <f t="shared" si="118"/>
        <v>0.105</v>
      </c>
      <c r="EL71" s="678">
        <f t="shared" ref="EL71" si="119">EL70/EL20</f>
        <v>9.7185077948768628E-2</v>
      </c>
      <c r="EM71" s="562">
        <f t="shared" ref="EM71:EN71" si="120">+EJ71</f>
        <v>0.09</v>
      </c>
      <c r="EN71" s="562">
        <f t="shared" si="120"/>
        <v>0.105</v>
      </c>
      <c r="EO71" s="678">
        <f t="shared" ref="EO71" si="121">EO70/EO20</f>
        <v>9.7189386636810982E-2</v>
      </c>
      <c r="EP71" s="562">
        <f t="shared" ref="EP71:EQ71" si="122">+EM71</f>
        <v>0.09</v>
      </c>
      <c r="EQ71" s="562">
        <f t="shared" si="122"/>
        <v>0.105</v>
      </c>
      <c r="ER71" s="678">
        <f t="shared" ref="ER71" si="123">ER70/ER20</f>
        <v>9.7207185856783507E-2</v>
      </c>
      <c r="ES71" s="562">
        <f t="shared" ref="ES71:ET71" si="124">+EP71</f>
        <v>0.09</v>
      </c>
      <c r="ET71" s="562">
        <f t="shared" si="124"/>
        <v>0.105</v>
      </c>
      <c r="EU71" s="678">
        <f t="shared" ref="EU71" si="125">EU70/EU20</f>
        <v>9.7221112539025281E-2</v>
      </c>
      <c r="EV71" s="562">
        <f t="shared" ref="EV71:EW71" si="126">+ES71</f>
        <v>0.09</v>
      </c>
      <c r="EW71" s="562">
        <f t="shared" si="126"/>
        <v>0.105</v>
      </c>
      <c r="EX71" s="678">
        <f t="shared" ref="EX71" si="127">EX70/EX20</f>
        <v>9.7234878196253829E-2</v>
      </c>
      <c r="EY71" s="562">
        <f t="shared" ref="EY71:EZ71" si="128">+EV71</f>
        <v>0.09</v>
      </c>
      <c r="EZ71" s="562">
        <f t="shared" si="128"/>
        <v>0.105</v>
      </c>
      <c r="FA71" s="678">
        <f t="shared" ref="FA71" si="129">FA70/FA20</f>
        <v>9.7248472850552159E-2</v>
      </c>
      <c r="FF71" s="11">
        <v>2026</v>
      </c>
      <c r="FG71" s="11">
        <f>+FF71+1</f>
        <v>2027</v>
      </c>
      <c r="FH71" s="11">
        <f>+FG71+1</f>
        <v>2028</v>
      </c>
      <c r="FI71" s="11">
        <f>+FH71+1</f>
        <v>2029</v>
      </c>
      <c r="FJ71" s="11">
        <f>+FI71+1</f>
        <v>2030</v>
      </c>
      <c r="FK71" s="11">
        <f>+FJ71+1</f>
        <v>2031</v>
      </c>
      <c r="FL71" s="11"/>
    </row>
    <row r="72" spans="1:168" ht="13.35" customHeight="1" outlineLevel="1">
      <c r="A72" s="760" t="s">
        <v>980</v>
      </c>
      <c r="B72" s="4" t="s">
        <v>906</v>
      </c>
      <c r="C72" s="4"/>
      <c r="D72" s="178" t="s">
        <v>357</v>
      </c>
      <c r="E72" s="197"/>
      <c r="F72" s="197"/>
      <c r="G72" s="197"/>
      <c r="H72" s="197"/>
      <c r="I72" s="197"/>
      <c r="J72" s="197"/>
      <c r="K72" s="197"/>
      <c r="L72" s="197"/>
      <c r="M72" s="197"/>
      <c r="N72" s="197"/>
      <c r="O72" s="197"/>
      <c r="P72" s="197"/>
      <c r="Q72" s="197"/>
      <c r="R72" s="197"/>
      <c r="S72" s="197"/>
      <c r="T72" s="197"/>
      <c r="U72" s="197"/>
      <c r="V72" s="197"/>
      <c r="W72" s="197"/>
      <c r="X72" s="197"/>
      <c r="Y72" s="197"/>
      <c r="Z72" s="197"/>
      <c r="AA72" s="197"/>
      <c r="AB72" s="197"/>
      <c r="AC72" s="197"/>
      <c r="AD72" s="197"/>
      <c r="AE72" s="197"/>
      <c r="AF72" s="197"/>
      <c r="AG72" s="197"/>
      <c r="AH72" s="197"/>
      <c r="AI72" s="197"/>
      <c r="AJ72" s="197"/>
      <c r="AK72" s="197"/>
      <c r="AL72" s="197"/>
      <c r="AM72" s="197"/>
      <c r="AN72" s="197"/>
      <c r="AO72" s="197"/>
      <c r="AP72" s="197"/>
      <c r="AQ72" s="197"/>
      <c r="AR72" s="196"/>
      <c r="AS72" s="196"/>
      <c r="AT72" s="194"/>
      <c r="AU72" s="196"/>
      <c r="AV72" s="196"/>
      <c r="AW72" s="194"/>
      <c r="AX72" s="196"/>
      <c r="AY72" s="196"/>
      <c r="AZ72" s="194"/>
      <c r="BA72" s="196"/>
      <c r="BB72" s="196"/>
      <c r="BC72" s="194"/>
      <c r="BD72" s="196"/>
      <c r="BE72" s="196"/>
      <c r="BF72" s="194"/>
      <c r="BG72" s="196"/>
      <c r="BH72" s="196"/>
      <c r="BI72" s="194"/>
      <c r="BJ72" s="196"/>
      <c r="BK72" s="196"/>
      <c r="BL72" s="194"/>
      <c r="BM72" s="196"/>
      <c r="BN72" s="196"/>
      <c r="BO72" s="197"/>
      <c r="BP72" s="196"/>
      <c r="BQ72" s="196"/>
      <c r="BR72" s="197"/>
      <c r="BS72" s="196"/>
      <c r="BT72" s="196"/>
      <c r="BU72" s="199"/>
      <c r="BV72" s="196"/>
      <c r="BW72" s="196"/>
      <c r="BX72" s="197"/>
      <c r="BY72" s="196"/>
      <c r="BZ72" s="196"/>
      <c r="CA72" s="197"/>
      <c r="CB72" s="196"/>
      <c r="CC72" s="196"/>
      <c r="CD72" s="197"/>
      <c r="CE72" s="196"/>
      <c r="CF72" s="196"/>
      <c r="CG72" s="197"/>
      <c r="CH72" s="196"/>
      <c r="CI72" s="196"/>
      <c r="CJ72" s="197"/>
      <c r="CK72" s="196"/>
      <c r="CL72" s="196"/>
      <c r="CM72" s="197"/>
      <c r="CN72" s="196"/>
      <c r="CO72" s="196"/>
      <c r="CP72" s="197"/>
      <c r="CQ72" s="196"/>
      <c r="CR72" s="196"/>
      <c r="CS72" s="197"/>
      <c r="CT72" s="196"/>
      <c r="CU72" s="196"/>
      <c r="CV72" s="197"/>
      <c r="CW72" s="196"/>
      <c r="CX72" s="196"/>
      <c r="CY72" s="516"/>
      <c r="CZ72" s="505"/>
      <c r="DA72" s="505"/>
      <c r="DB72" s="516"/>
      <c r="DC72" s="505"/>
      <c r="DD72" s="505"/>
      <c r="DE72" s="778"/>
      <c r="DF72" s="505"/>
      <c r="DG72" s="505"/>
      <c r="DH72" s="778"/>
      <c r="DI72" s="666">
        <v>272.5</v>
      </c>
      <c r="DJ72" s="631">
        <f>+DK72-DI72</f>
        <v>459.20000000000005</v>
      </c>
      <c r="DK72" s="685">
        <v>731.7</v>
      </c>
      <c r="DL72" s="666">
        <v>299.8</v>
      </c>
      <c r="DM72" s="631">
        <f>+DN72-DL72</f>
        <v>348.2</v>
      </c>
      <c r="DN72" s="685">
        <v>648</v>
      </c>
      <c r="DO72" s="666">
        <v>360</v>
      </c>
      <c r="DP72" s="631">
        <f>+DQ72-DO72</f>
        <v>467</v>
      </c>
      <c r="DQ72" s="685">
        <v>827</v>
      </c>
      <c r="DR72" s="666">
        <v>360</v>
      </c>
      <c r="DS72" s="631">
        <f>+DT72-DR72</f>
        <v>465</v>
      </c>
      <c r="DT72" s="685">
        <v>825</v>
      </c>
      <c r="DU72" s="666">
        <v>426</v>
      </c>
      <c r="DV72" s="631">
        <f>+DW72-DU72</f>
        <v>574</v>
      </c>
      <c r="DW72" s="685">
        <v>1000</v>
      </c>
      <c r="DX72" s="666">
        <v>440</v>
      </c>
      <c r="DY72" s="631">
        <f>DY73*DY20</f>
        <v>428.91337990005718</v>
      </c>
      <c r="DZ72" s="674">
        <f>SUM(DX72:DY72)</f>
        <v>868.91337990005718</v>
      </c>
      <c r="EA72" s="631">
        <f>EA73*EA20</f>
        <v>399.28320360842463</v>
      </c>
      <c r="EB72" s="631">
        <f>EB73*EB20</f>
        <v>521.28964764175942</v>
      </c>
      <c r="EC72" s="674">
        <f>SUM(EA72:EB72)</f>
        <v>920.57285125018404</v>
      </c>
      <c r="ED72" s="631">
        <f>ED73*ED20</f>
        <v>380.17123424944913</v>
      </c>
      <c r="EE72" s="631">
        <f>EE73*EE20</f>
        <v>545.46809093565582</v>
      </c>
      <c r="EF72" s="674">
        <f>SUM(ED72:EE72)</f>
        <v>925.63932518510501</v>
      </c>
      <c r="EG72" s="631">
        <f>EG73*EG20</f>
        <v>401.87961699323955</v>
      </c>
      <c r="EH72" s="631">
        <f>EH73*EH20</f>
        <v>581.00974083888048</v>
      </c>
      <c r="EI72" s="674">
        <f>SUM(EG72:EH72)</f>
        <v>982.88935783212003</v>
      </c>
      <c r="EJ72" s="631">
        <f>EJ73*EJ20</f>
        <v>425.14953646396026</v>
      </c>
      <c r="EK72" s="631">
        <f>EK73*EK20</f>
        <v>619.69507308536788</v>
      </c>
      <c r="EL72" s="674">
        <f>SUM(EJ72:EK72)</f>
        <v>1044.8446095493282</v>
      </c>
      <c r="EM72" s="631">
        <f>EM73*EM20</f>
        <v>447.98668201371572</v>
      </c>
      <c r="EN72" s="631">
        <f>EN73*EN20</f>
        <v>653.73434681640924</v>
      </c>
      <c r="EO72" s="674">
        <f>SUM(EM72:EN72)</f>
        <v>1101.7210288301249</v>
      </c>
      <c r="EP72" s="631">
        <f>EP73*EP20</f>
        <v>471.75297475694481</v>
      </c>
      <c r="EQ72" s="631">
        <f>EQ73*EQ20</f>
        <v>691.69645587899117</v>
      </c>
      <c r="ER72" s="674">
        <f>SUM(EP72:EQ72)</f>
        <v>1163.4494306359361</v>
      </c>
      <c r="ES72" s="631">
        <f>ES73*ES20</f>
        <v>497.45948655077979</v>
      </c>
      <c r="ET72" s="631">
        <f>ET73*ET20</f>
        <v>732.10579091498812</v>
      </c>
      <c r="EU72" s="674">
        <f>SUM(ES72:ET72)</f>
        <v>1229.5652774657678</v>
      </c>
      <c r="EV72" s="631">
        <f>EV73*EV20</f>
        <v>524.75871732619078</v>
      </c>
      <c r="EW72" s="631">
        <f>EW73*EW20</f>
        <v>775.12565830560163</v>
      </c>
      <c r="EX72" s="674">
        <f>SUM(EV72:EW72)</f>
        <v>1299.8843756317924</v>
      </c>
      <c r="EY72" s="631">
        <f>EY73*EY20</f>
        <v>553.75500087445391</v>
      </c>
      <c r="EZ72" s="631">
        <f>EZ73*EZ20</f>
        <v>820.9305265228196</v>
      </c>
      <c r="FA72" s="776">
        <f>SUM(EY72:EZ72)</f>
        <v>1374.6855273972735</v>
      </c>
      <c r="FF72" s="11">
        <v>800</v>
      </c>
      <c r="FG72" s="11">
        <f>+FF72</f>
        <v>800</v>
      </c>
      <c r="FH72" s="11">
        <f>+FG72</f>
        <v>800</v>
      </c>
      <c r="FI72" s="11">
        <f>+FH72</f>
        <v>800</v>
      </c>
      <c r="FJ72" s="11">
        <f>+FI72</f>
        <v>800</v>
      </c>
      <c r="FK72" s="11"/>
      <c r="FL72" s="11"/>
    </row>
    <row r="73" spans="1:168" ht="13.35" customHeight="1" outlineLevel="1">
      <c r="A73" s="760"/>
      <c r="B73" s="4" t="s">
        <v>120</v>
      </c>
      <c r="C73" s="4"/>
      <c r="D73" s="178" t="s">
        <v>507</v>
      </c>
      <c r="E73" s="197"/>
      <c r="F73" s="197"/>
      <c r="G73" s="197"/>
      <c r="H73" s="197"/>
      <c r="I73" s="197"/>
      <c r="J73" s="197"/>
      <c r="K73" s="197"/>
      <c r="L73" s="197"/>
      <c r="M73" s="197"/>
      <c r="N73" s="197"/>
      <c r="O73" s="197"/>
      <c r="P73" s="197"/>
      <c r="Q73" s="197"/>
      <c r="R73" s="197"/>
      <c r="S73" s="197"/>
      <c r="T73" s="197"/>
      <c r="U73" s="197"/>
      <c r="V73" s="197"/>
      <c r="W73" s="197"/>
      <c r="X73" s="197"/>
      <c r="Y73" s="197"/>
      <c r="Z73" s="197"/>
      <c r="AA73" s="197"/>
      <c r="AB73" s="197"/>
      <c r="AC73" s="197"/>
      <c r="AD73" s="197"/>
      <c r="AE73" s="197"/>
      <c r="AF73" s="197"/>
      <c r="AG73" s="197"/>
      <c r="AH73" s="197"/>
      <c r="AI73" s="197"/>
      <c r="AJ73" s="197"/>
      <c r="AK73" s="197"/>
      <c r="AL73" s="197"/>
      <c r="AM73" s="197"/>
      <c r="AN73" s="197"/>
      <c r="AO73" s="197"/>
      <c r="AP73" s="197"/>
      <c r="AQ73" s="197"/>
      <c r="AR73" s="196"/>
      <c r="AS73" s="196"/>
      <c r="AT73" s="194"/>
      <c r="AU73" s="196"/>
      <c r="AV73" s="196"/>
      <c r="AW73" s="194"/>
      <c r="AX73" s="196"/>
      <c r="AY73" s="196"/>
      <c r="AZ73" s="194"/>
      <c r="BA73" s="196"/>
      <c r="BB73" s="196"/>
      <c r="BC73" s="194"/>
      <c r="BD73" s="196"/>
      <c r="BE73" s="196"/>
      <c r="BF73" s="194"/>
      <c r="BG73" s="196"/>
      <c r="BH73" s="196"/>
      <c r="BI73" s="194"/>
      <c r="BJ73" s="196"/>
      <c r="BK73" s="196"/>
      <c r="BL73" s="194"/>
      <c r="BM73" s="196"/>
      <c r="BN73" s="196"/>
      <c r="BO73" s="197"/>
      <c r="BP73" s="196"/>
      <c r="BQ73" s="196"/>
      <c r="BR73" s="197"/>
      <c r="BS73" s="196"/>
      <c r="BT73" s="196"/>
      <c r="BU73" s="199"/>
      <c r="BV73" s="196"/>
      <c r="BW73" s="196"/>
      <c r="BX73" s="197"/>
      <c r="BY73" s="196"/>
      <c r="BZ73" s="196"/>
      <c r="CA73" s="197"/>
      <c r="CB73" s="196"/>
      <c r="CC73" s="196"/>
      <c r="CD73" s="197"/>
      <c r="CE73" s="196"/>
      <c r="CF73" s="196"/>
      <c r="CG73" s="197"/>
      <c r="CH73" s="196"/>
      <c r="CI73" s="196"/>
      <c r="CJ73" s="197"/>
      <c r="CK73" s="196"/>
      <c r="CL73" s="196"/>
      <c r="CM73" s="197"/>
      <c r="CN73" s="196"/>
      <c r="CO73" s="196"/>
      <c r="CP73" s="197"/>
      <c r="CQ73" s="196"/>
      <c r="CR73" s="196"/>
      <c r="CS73" s="197"/>
      <c r="CT73" s="196"/>
      <c r="CU73" s="196"/>
      <c r="CV73" s="197"/>
      <c r="CW73" s="196"/>
      <c r="CX73" s="196"/>
      <c r="CY73" s="516"/>
      <c r="CZ73" s="505"/>
      <c r="DA73" s="505"/>
      <c r="DB73" s="516"/>
      <c r="DC73" s="505"/>
      <c r="DD73" s="505"/>
      <c r="DE73" s="778"/>
      <c r="DF73" s="505"/>
      <c r="DG73" s="505"/>
      <c r="DH73" s="778"/>
      <c r="DI73" s="562">
        <f>DI72/DI9</f>
        <v>4.7963995883875198E-2</v>
      </c>
      <c r="DJ73" s="562">
        <f>DJ72/DJ9</f>
        <v>0.10238673706363249</v>
      </c>
      <c r="DK73" s="678">
        <f>DK72/DK9</f>
        <v>7.1973082424802645E-2</v>
      </c>
      <c r="DL73" s="562">
        <f>DL72/DL9</f>
        <v>5.0804087373540523E-2</v>
      </c>
      <c r="DM73" s="562">
        <f>DM72/DM9</f>
        <v>7.8733747880158272E-2</v>
      </c>
      <c r="DN73" s="678">
        <f>DN72/DN20</f>
        <v>6.1349693251533735E-2</v>
      </c>
      <c r="DO73" s="562">
        <f t="shared" ref="DO73:DU73" si="130">DO72/DO20</f>
        <v>5.0111358574610243E-2</v>
      </c>
      <c r="DP73" s="562">
        <f t="shared" si="130"/>
        <v>7.6232451844596802E-2</v>
      </c>
      <c r="DQ73" s="678">
        <f t="shared" si="130"/>
        <v>6.2133734034560482E-2</v>
      </c>
      <c r="DR73" s="562">
        <f t="shared" si="130"/>
        <v>4.4703837079349308E-2</v>
      </c>
      <c r="DS73" s="562">
        <f t="shared" si="130"/>
        <v>6.8919519786571806E-2</v>
      </c>
      <c r="DT73" s="678">
        <f t="shared" si="130"/>
        <v>5.5743243243243243E-2</v>
      </c>
      <c r="DU73" s="562">
        <f t="shared" si="130"/>
        <v>5.0218083225274081E-2</v>
      </c>
      <c r="DV73" s="562">
        <f>DV72/DV20</f>
        <v>8.1130742049469962E-2</v>
      </c>
      <c r="DW73" s="678">
        <f>DW72/DW20</f>
        <v>6.4275613832112097E-2</v>
      </c>
      <c r="DX73" s="562">
        <f t="shared" ref="DX73" si="131">DX72/DX20</f>
        <v>5.2808449351896304E-2</v>
      </c>
      <c r="DY73" s="926">
        <v>5.6500000000000002E-2</v>
      </c>
      <c r="DZ73" s="678">
        <f>DZ72/DZ20</f>
        <v>5.4568375810517558E-2</v>
      </c>
      <c r="EA73" s="926">
        <v>4.4999999999999998E-2</v>
      </c>
      <c r="EB73" s="562">
        <v>6.6000000000000003E-2</v>
      </c>
      <c r="EC73" s="678">
        <f>EC72/EC20</f>
        <v>5.4889812109043666E-2</v>
      </c>
      <c r="ED73" s="926">
        <v>4.1000000000000002E-2</v>
      </c>
      <c r="EE73" s="562">
        <v>6.5000000000000002E-2</v>
      </c>
      <c r="EF73" s="678">
        <f>EF72/EF20</f>
        <v>5.2401740427789258E-2</v>
      </c>
      <c r="EG73" s="562">
        <f>+ED73</f>
        <v>4.1000000000000002E-2</v>
      </c>
      <c r="EH73" s="562">
        <f>+EE73</f>
        <v>6.5000000000000002E-2</v>
      </c>
      <c r="EI73" s="678">
        <f>EI72/EI20</f>
        <v>5.2447189972883668E-2</v>
      </c>
      <c r="EJ73" s="562">
        <f t="shared" ref="EJ73:EK73" si="132">+EG73</f>
        <v>4.1000000000000002E-2</v>
      </c>
      <c r="EK73" s="562">
        <f t="shared" si="132"/>
        <v>6.5000000000000002E-2</v>
      </c>
      <c r="EL73" s="678">
        <f t="shared" ref="EL73" si="133">EL72/EL20</f>
        <v>5.2496124718029787E-2</v>
      </c>
      <c r="EM73" s="562">
        <f t="shared" ref="EM73:EN73" si="134">+EJ73</f>
        <v>4.1000000000000002E-2</v>
      </c>
      <c r="EN73" s="562">
        <f t="shared" si="134"/>
        <v>6.5000000000000002E-2</v>
      </c>
      <c r="EO73" s="678">
        <f t="shared" ref="EO73" si="135">EO72/EO20</f>
        <v>5.2503018618897571E-2</v>
      </c>
      <c r="EP73" s="562">
        <f t="shared" ref="EP73:EQ73" si="136">+EM73</f>
        <v>4.1000000000000002E-2</v>
      </c>
      <c r="EQ73" s="562">
        <f t="shared" si="136"/>
        <v>6.5000000000000002E-2</v>
      </c>
      <c r="ER73" s="678">
        <f t="shared" ref="ER73" si="137">ER72/ER20</f>
        <v>5.2531497370853636E-2</v>
      </c>
      <c r="ES73" s="562">
        <f t="shared" ref="ES73:ET73" si="138">+EP73</f>
        <v>4.1000000000000002E-2</v>
      </c>
      <c r="ET73" s="562">
        <f t="shared" si="138"/>
        <v>6.5000000000000002E-2</v>
      </c>
      <c r="EU73" s="678">
        <f t="shared" ref="EU73" si="139">EU72/EU20</f>
        <v>5.2553780062440429E-2</v>
      </c>
      <c r="EV73" s="562">
        <f t="shared" ref="EV73:EW73" si="140">+ES73</f>
        <v>4.1000000000000002E-2</v>
      </c>
      <c r="EW73" s="562">
        <f t="shared" si="140"/>
        <v>6.5000000000000002E-2</v>
      </c>
      <c r="EX73" s="678">
        <f t="shared" ref="EX73" si="141">EX72/EX20</f>
        <v>5.2575805114006106E-2</v>
      </c>
      <c r="EY73" s="562">
        <f t="shared" ref="EY73:EZ73" si="142">+EV73</f>
        <v>4.1000000000000002E-2</v>
      </c>
      <c r="EZ73" s="562">
        <f t="shared" si="142"/>
        <v>6.5000000000000002E-2</v>
      </c>
      <c r="FA73" s="563">
        <f t="shared" ref="FA73" si="143">FA72/FA20</f>
        <v>5.2597556560883461E-2</v>
      </c>
      <c r="FF73" s="11">
        <v>50</v>
      </c>
      <c r="FG73" s="11">
        <v>200</v>
      </c>
      <c r="FH73" s="11">
        <v>450</v>
      </c>
      <c r="FI73" s="11">
        <f>+FH73</f>
        <v>450</v>
      </c>
      <c r="FJ73" s="11">
        <v>350</v>
      </c>
      <c r="FK73" s="11"/>
      <c r="FL73" s="11">
        <f>+SUM(FF73:FJ73)</f>
        <v>1500</v>
      </c>
    </row>
    <row r="74" spans="1:168" ht="13.35" customHeight="1" outlineLevel="1">
      <c r="A74" s="760"/>
      <c r="B74" s="4"/>
      <c r="C74" s="4"/>
      <c r="D74" s="178"/>
      <c r="E74" s="197"/>
      <c r="F74" s="197"/>
      <c r="G74" s="197"/>
      <c r="H74" s="197"/>
      <c r="I74" s="197"/>
      <c r="J74" s="197"/>
      <c r="K74" s="197"/>
      <c r="L74" s="197"/>
      <c r="M74" s="197"/>
      <c r="N74" s="197"/>
      <c r="O74" s="197"/>
      <c r="P74" s="197"/>
      <c r="Q74" s="197"/>
      <c r="R74" s="197"/>
      <c r="S74" s="197"/>
      <c r="T74" s="197"/>
      <c r="U74" s="197"/>
      <c r="V74" s="197"/>
      <c r="W74" s="197"/>
      <c r="X74" s="197"/>
      <c r="Y74" s="197"/>
      <c r="Z74" s="197"/>
      <c r="AA74" s="197"/>
      <c r="AB74" s="197"/>
      <c r="AC74" s="197"/>
      <c r="AD74" s="197"/>
      <c r="AE74" s="197"/>
      <c r="AF74" s="197"/>
      <c r="AG74" s="197"/>
      <c r="AH74" s="197"/>
      <c r="AI74" s="197"/>
      <c r="AJ74" s="197"/>
      <c r="AK74" s="197"/>
      <c r="AL74" s="197"/>
      <c r="AM74" s="197"/>
      <c r="AN74" s="197"/>
      <c r="AO74" s="197"/>
      <c r="AP74" s="197"/>
      <c r="AQ74" s="197"/>
      <c r="AR74" s="196"/>
      <c r="AS74" s="196"/>
      <c r="AT74" s="194"/>
      <c r="AU74" s="196"/>
      <c r="AV74" s="196"/>
      <c r="AW74" s="194"/>
      <c r="AX74" s="196"/>
      <c r="AY74" s="196"/>
      <c r="AZ74" s="194"/>
      <c r="BA74" s="196"/>
      <c r="BB74" s="196"/>
      <c r="BC74" s="194"/>
      <c r="BD74" s="196"/>
      <c r="BE74" s="196"/>
      <c r="BF74" s="194"/>
      <c r="BG74" s="196"/>
      <c r="BH74" s="196"/>
      <c r="BI74" s="194"/>
      <c r="BJ74" s="196"/>
      <c r="BK74" s="196"/>
      <c r="BL74" s="194"/>
      <c r="BM74" s="196"/>
      <c r="BN74" s="196"/>
      <c r="BO74" s="197"/>
      <c r="BP74" s="196"/>
      <c r="BQ74" s="196"/>
      <c r="BR74" s="197"/>
      <c r="BS74" s="196"/>
      <c r="BT74" s="196"/>
      <c r="BU74" s="199"/>
      <c r="BV74" s="196"/>
      <c r="BW74" s="196"/>
      <c r="BX74" s="197"/>
      <c r="BY74" s="196"/>
      <c r="BZ74" s="196"/>
      <c r="CA74" s="197"/>
      <c r="CB74" s="196"/>
      <c r="CC74" s="196"/>
      <c r="CD74" s="197"/>
      <c r="CE74" s="196"/>
      <c r="CF74" s="196"/>
      <c r="CG74" s="197"/>
      <c r="CH74" s="196"/>
      <c r="CI74" s="196"/>
      <c r="CJ74" s="197"/>
      <c r="CK74" s="196"/>
      <c r="CL74" s="196"/>
      <c r="CM74" s="197"/>
      <c r="CN74" s="196"/>
      <c r="CO74" s="196"/>
      <c r="CP74" s="197"/>
      <c r="CQ74" s="196"/>
      <c r="CR74" s="196"/>
      <c r="CS74" s="197"/>
      <c r="CT74" s="196"/>
      <c r="CU74" s="196"/>
      <c r="CV74" s="197"/>
      <c r="CW74" s="196"/>
      <c r="CX74" s="196"/>
      <c r="CY74" s="516"/>
      <c r="CZ74" s="505"/>
      <c r="DA74" s="505"/>
      <c r="DB74" s="516"/>
      <c r="DC74" s="505"/>
      <c r="DD74" s="505"/>
      <c r="DE74" s="778"/>
      <c r="DF74" s="505"/>
      <c r="DG74" s="505"/>
      <c r="DH74" s="778"/>
      <c r="DI74" s="562"/>
      <c r="DJ74" s="562"/>
      <c r="DK74" s="678"/>
      <c r="DL74" s="562"/>
      <c r="DM74" s="562"/>
      <c r="DN74" s="678"/>
      <c r="DO74" s="562"/>
      <c r="DP74" s="562"/>
      <c r="DQ74" s="678"/>
      <c r="DR74" s="562"/>
      <c r="DS74" s="562"/>
      <c r="DT74" s="678"/>
      <c r="DU74" s="562"/>
      <c r="DV74" s="562"/>
      <c r="DW74" s="678"/>
      <c r="DX74" s="926"/>
      <c r="DY74" s="562"/>
      <c r="DZ74" s="678"/>
      <c r="EA74" s="926"/>
      <c r="EB74" s="562"/>
      <c r="EC74" s="678"/>
      <c r="ED74" s="562"/>
      <c r="EE74" s="562"/>
      <c r="EF74" s="678"/>
      <c r="EG74" s="562"/>
      <c r="EH74" s="562"/>
      <c r="EI74" s="678"/>
      <c r="EJ74" s="562"/>
      <c r="EK74" s="562"/>
      <c r="EL74" s="678"/>
      <c r="EM74" s="562"/>
      <c r="EN74" s="562"/>
      <c r="EO74" s="678"/>
      <c r="EP74" s="562"/>
      <c r="EQ74" s="562"/>
      <c r="ER74" s="678"/>
      <c r="ES74" s="562"/>
      <c r="ET74" s="562"/>
      <c r="EU74" s="678"/>
      <c r="EV74" s="562"/>
      <c r="EW74" s="562"/>
      <c r="EX74" s="678"/>
      <c r="EY74" s="562"/>
      <c r="EZ74" s="562"/>
      <c r="FA74" s="563"/>
      <c r="FF74" s="11">
        <f>+FF72+FF73</f>
        <v>850</v>
      </c>
      <c r="FG74" s="11">
        <f>+FG72+FG73</f>
        <v>1000</v>
      </c>
      <c r="FH74" s="11">
        <f>+FH72+FH73</f>
        <v>1250</v>
      </c>
      <c r="FI74" s="11">
        <f>+FI72+FI73</f>
        <v>1250</v>
      </c>
      <c r="FJ74" s="11">
        <f>+FJ72+FJ73</f>
        <v>1150</v>
      </c>
      <c r="FK74" s="11"/>
      <c r="FL74" s="11"/>
    </row>
    <row r="75" spans="1:168" ht="13.35" customHeight="1" outlineLevel="1">
      <c r="A75" s="760"/>
      <c r="B75" s="4"/>
      <c r="C75" s="4"/>
      <c r="D75" s="178"/>
      <c r="E75" s="197"/>
      <c r="F75" s="197"/>
      <c r="G75" s="197"/>
      <c r="H75" s="197"/>
      <c r="I75" s="197"/>
      <c r="J75" s="197"/>
      <c r="K75" s="197"/>
      <c r="L75" s="197"/>
      <c r="M75" s="197"/>
      <c r="N75" s="197"/>
      <c r="O75" s="197"/>
      <c r="P75" s="197"/>
      <c r="Q75" s="197"/>
      <c r="R75" s="197"/>
      <c r="S75" s="197"/>
      <c r="T75" s="197"/>
      <c r="U75" s="197"/>
      <c r="V75" s="197"/>
      <c r="W75" s="197"/>
      <c r="X75" s="197"/>
      <c r="Y75" s="197"/>
      <c r="Z75" s="197"/>
      <c r="AA75" s="197"/>
      <c r="AB75" s="197"/>
      <c r="AC75" s="197"/>
      <c r="AD75" s="197"/>
      <c r="AE75" s="197"/>
      <c r="AF75" s="197"/>
      <c r="AG75" s="197"/>
      <c r="AH75" s="197"/>
      <c r="AI75" s="197"/>
      <c r="AJ75" s="197"/>
      <c r="AK75" s="197"/>
      <c r="AL75" s="197"/>
      <c r="AM75" s="197"/>
      <c r="AN75" s="197"/>
      <c r="AO75" s="197"/>
      <c r="AP75" s="197"/>
      <c r="AQ75" s="197"/>
      <c r="AR75" s="196"/>
      <c r="AS75" s="196"/>
      <c r="AT75" s="194"/>
      <c r="AU75" s="196"/>
      <c r="AV75" s="196"/>
      <c r="AW75" s="194"/>
      <c r="AX75" s="196"/>
      <c r="AY75" s="196"/>
      <c r="AZ75" s="194"/>
      <c r="BA75" s="196"/>
      <c r="BB75" s="196"/>
      <c r="BC75" s="194"/>
      <c r="BD75" s="196"/>
      <c r="BE75" s="196"/>
      <c r="BF75" s="194"/>
      <c r="BG75" s="196"/>
      <c r="BH75" s="196"/>
      <c r="BI75" s="194"/>
      <c r="BJ75" s="196"/>
      <c r="BK75" s="196"/>
      <c r="BL75" s="194"/>
      <c r="BM75" s="196"/>
      <c r="BN75" s="196"/>
      <c r="BO75" s="197"/>
      <c r="BP75" s="196"/>
      <c r="BQ75" s="196"/>
      <c r="BR75" s="197"/>
      <c r="BS75" s="196"/>
      <c r="BT75" s="196"/>
      <c r="BU75" s="199"/>
      <c r="BV75" s="196"/>
      <c r="BW75" s="196"/>
      <c r="BX75" s="197"/>
      <c r="BY75" s="196"/>
      <c r="BZ75" s="196"/>
      <c r="CA75" s="197"/>
      <c r="CB75" s="196"/>
      <c r="CC75" s="196"/>
      <c r="CD75" s="197"/>
      <c r="CE75" s="196"/>
      <c r="CF75" s="196"/>
      <c r="CG75" s="197"/>
      <c r="CH75" s="196"/>
      <c r="CI75" s="196"/>
      <c r="CJ75" s="197"/>
      <c r="CK75" s="196"/>
      <c r="CL75" s="196"/>
      <c r="CM75" s="197"/>
      <c r="CN75" s="196"/>
      <c r="CO75" s="196"/>
      <c r="CP75" s="197"/>
      <c r="CQ75" s="196"/>
      <c r="CR75" s="196"/>
      <c r="CS75" s="197"/>
      <c r="CT75" s="196"/>
      <c r="CU75" s="196"/>
      <c r="CV75" s="197"/>
      <c r="CW75" s="196"/>
      <c r="CX75" s="196"/>
      <c r="CY75" s="516"/>
      <c r="CZ75" s="505"/>
      <c r="DA75" s="505"/>
      <c r="DB75" s="516"/>
      <c r="DC75" s="505"/>
      <c r="DD75" s="505"/>
      <c r="DE75" s="778"/>
      <c r="DF75" s="505"/>
      <c r="DG75" s="505"/>
      <c r="DH75" s="778"/>
      <c r="DI75" s="562"/>
      <c r="DJ75" s="562"/>
      <c r="DK75" s="678"/>
      <c r="DL75" s="562"/>
      <c r="DM75" s="562"/>
      <c r="DN75" s="678"/>
      <c r="DO75" s="562"/>
      <c r="DP75" s="562"/>
      <c r="DQ75" s="678"/>
      <c r="DR75" s="562"/>
      <c r="DS75" s="562"/>
      <c r="DT75" s="678"/>
      <c r="DU75" s="562"/>
      <c r="DV75" s="562"/>
      <c r="DW75" s="678"/>
      <c r="DX75" s="926">
        <v>0.1</v>
      </c>
      <c r="DY75" s="562">
        <v>0.1</v>
      </c>
      <c r="DZ75" s="678">
        <v>0.1</v>
      </c>
      <c r="EA75" s="926">
        <v>9.9500000000000005E-2</v>
      </c>
      <c r="EB75" s="562">
        <v>9.9500000000000005E-2</v>
      </c>
      <c r="EC75" s="678">
        <v>9.9500000000000019E-2</v>
      </c>
      <c r="ED75" s="562">
        <v>0.105</v>
      </c>
      <c r="EE75" s="562">
        <v>0.105</v>
      </c>
      <c r="EF75" s="678">
        <v>0.105</v>
      </c>
      <c r="EG75" s="562">
        <v>0.105</v>
      </c>
      <c r="EH75" s="562">
        <v>0.105</v>
      </c>
      <c r="EI75" s="678">
        <v>0.10499999999999998</v>
      </c>
      <c r="EJ75" s="562">
        <v>0.105</v>
      </c>
      <c r="EK75" s="562">
        <v>0.105</v>
      </c>
      <c r="EL75" s="678">
        <v>0.10499999999999998</v>
      </c>
      <c r="EM75" s="562">
        <v>0.105</v>
      </c>
      <c r="EN75" s="562">
        <v>0.105</v>
      </c>
      <c r="EO75" s="678">
        <v>0.10500000000000001</v>
      </c>
      <c r="EP75" s="562">
        <v>0.105</v>
      </c>
      <c r="EQ75" s="562">
        <v>0.105</v>
      </c>
      <c r="ER75" s="678">
        <v>0.10500000000000001</v>
      </c>
      <c r="ES75" s="562">
        <v>0.105</v>
      </c>
      <c r="ET75" s="562">
        <v>0.105</v>
      </c>
      <c r="EU75" s="678">
        <v>0.10500000000000001</v>
      </c>
      <c r="EV75" s="562">
        <v>0.105</v>
      </c>
      <c r="EW75" s="562">
        <v>0.105</v>
      </c>
      <c r="EX75" s="678">
        <v>0.105</v>
      </c>
      <c r="EY75" s="562">
        <v>0.105</v>
      </c>
      <c r="EZ75" s="562">
        <v>0.105</v>
      </c>
      <c r="FA75" s="563">
        <v>0.10500000000000001</v>
      </c>
    </row>
    <row r="76" spans="1:168" ht="13.35" customHeight="1" outlineLevel="1">
      <c r="A76" s="760"/>
      <c r="B76" s="4"/>
      <c r="C76" s="1856" t="s">
        <v>1062</v>
      </c>
      <c r="D76" s="178"/>
      <c r="E76" s="197"/>
      <c r="F76" s="197"/>
      <c r="G76" s="197"/>
      <c r="H76" s="197"/>
      <c r="I76" s="197"/>
      <c r="J76" s="197"/>
      <c r="K76" s="197"/>
      <c r="L76" s="197"/>
      <c r="M76" s="197"/>
      <c r="N76" s="197"/>
      <c r="O76" s="197"/>
      <c r="P76" s="197"/>
      <c r="Q76" s="197"/>
      <c r="R76" s="197"/>
      <c r="S76" s="197"/>
      <c r="T76" s="197"/>
      <c r="U76" s="197"/>
      <c r="V76" s="197"/>
      <c r="W76" s="197"/>
      <c r="X76" s="197"/>
      <c r="Y76" s="197"/>
      <c r="Z76" s="197"/>
      <c r="AA76" s="197"/>
      <c r="AB76" s="197"/>
      <c r="AC76" s="197"/>
      <c r="AD76" s="197"/>
      <c r="AE76" s="197"/>
      <c r="AF76" s="197"/>
      <c r="AG76" s="197"/>
      <c r="AH76" s="197"/>
      <c r="AI76" s="197"/>
      <c r="AJ76" s="197"/>
      <c r="AK76" s="197"/>
      <c r="AL76" s="197"/>
      <c r="AM76" s="197"/>
      <c r="AN76" s="197"/>
      <c r="AO76" s="197"/>
      <c r="AP76" s="197"/>
      <c r="AQ76" s="197"/>
      <c r="AR76" s="196"/>
      <c r="AS76" s="196"/>
      <c r="AT76" s="194"/>
      <c r="AU76" s="196"/>
      <c r="AV76" s="196"/>
      <c r="AW76" s="194"/>
      <c r="AX76" s="196"/>
      <c r="AY76" s="196"/>
      <c r="AZ76" s="194"/>
      <c r="BA76" s="196"/>
      <c r="BB76" s="196"/>
      <c r="BC76" s="194"/>
      <c r="BD76" s="196"/>
      <c r="BE76" s="196"/>
      <c r="BF76" s="194"/>
      <c r="BG76" s="196"/>
      <c r="BH76" s="196"/>
      <c r="BI76" s="194"/>
      <c r="BJ76" s="196"/>
      <c r="BK76" s="196"/>
      <c r="BL76" s="194"/>
      <c r="BM76" s="196"/>
      <c r="BN76" s="196"/>
      <c r="BO76" s="197"/>
      <c r="BP76" s="196"/>
      <c r="BQ76" s="196"/>
      <c r="BR76" s="197"/>
      <c r="BS76" s="196"/>
      <c r="BT76" s="196"/>
      <c r="BU76" s="199"/>
      <c r="BV76" s="196"/>
      <c r="BW76" s="196"/>
      <c r="BX76" s="197"/>
      <c r="BY76" s="196"/>
      <c r="BZ76" s="196"/>
      <c r="CA76" s="197"/>
      <c r="CB76" s="196"/>
      <c r="CC76" s="196"/>
      <c r="CD76" s="197"/>
      <c r="CE76" s="196"/>
      <c r="CF76" s="196"/>
      <c r="CG76" s="197"/>
      <c r="CH76" s="196"/>
      <c r="CI76" s="196"/>
      <c r="CJ76" s="197"/>
      <c r="CK76" s="196"/>
      <c r="CL76" s="196"/>
      <c r="CM76" s="197"/>
      <c r="CN76" s="196"/>
      <c r="CO76" s="196"/>
      <c r="CP76" s="197"/>
      <c r="CQ76" s="196"/>
      <c r="CR76" s="196"/>
      <c r="CS76" s="197"/>
      <c r="CT76" s="196"/>
      <c r="CU76" s="196"/>
      <c r="CV76" s="197"/>
      <c r="CW76" s="196"/>
      <c r="CX76" s="196"/>
      <c r="CY76" s="516"/>
      <c r="CZ76" s="505"/>
      <c r="DA76" s="505"/>
      <c r="DB76" s="516"/>
      <c r="DC76" s="505"/>
      <c r="DD76" s="505"/>
      <c r="DE76" s="778"/>
      <c r="DF76" s="505"/>
      <c r="DG76" s="505"/>
      <c r="DH76" s="778"/>
      <c r="DI76" s="562"/>
      <c r="DJ76" s="562"/>
      <c r="DK76" s="678"/>
      <c r="DL76" s="562"/>
      <c r="DM76" s="562"/>
      <c r="DN76" s="678"/>
      <c r="DO76" s="562">
        <f>+DO72/DQ72</f>
        <v>0.43530834340991537</v>
      </c>
      <c r="DP76" s="562"/>
      <c r="DQ76" s="678"/>
      <c r="DR76" s="562">
        <f>+DR72/DT72</f>
        <v>0.43636363636363634</v>
      </c>
      <c r="DS76" s="562"/>
      <c r="DT76" s="678"/>
      <c r="DU76" s="562">
        <f>+DU72/DW72</f>
        <v>0.42599999999999999</v>
      </c>
      <c r="DV76" s="562"/>
      <c r="DW76" s="678"/>
      <c r="DX76" s="562">
        <f>+DX72/DZ72</f>
        <v>0.50637958878088518</v>
      </c>
      <c r="DY76" s="562"/>
      <c r="DZ76" s="1857"/>
      <c r="EA76" s="926"/>
      <c r="EB76" s="562"/>
      <c r="EC76" s="678"/>
      <c r="ED76" s="562"/>
      <c r="EE76" s="562"/>
      <c r="EF76" s="678"/>
      <c r="EG76" s="562"/>
      <c r="EH76" s="562"/>
      <c r="EI76" s="678"/>
      <c r="EJ76" s="562"/>
      <c r="EK76" s="562"/>
      <c r="EL76" s="678"/>
      <c r="EM76" s="562"/>
      <c r="EN76" s="562"/>
      <c r="EO76" s="678"/>
      <c r="EP76" s="562"/>
      <c r="EQ76" s="562"/>
      <c r="ER76" s="678"/>
      <c r="ES76" s="562"/>
      <c r="ET76" s="562"/>
      <c r="EU76" s="678"/>
      <c r="EV76" s="562"/>
      <c r="EW76" s="562"/>
      <c r="EX76" s="678"/>
      <c r="EY76" s="562"/>
      <c r="EZ76" s="562"/>
      <c r="FA76" s="563"/>
    </row>
    <row r="77" spans="1:168" ht="13.35" customHeight="1" outlineLevel="1">
      <c r="A77" s="760"/>
      <c r="B77" s="4"/>
      <c r="D77" s="178"/>
      <c r="E77" s="197"/>
      <c r="F77" s="197"/>
      <c r="G77" s="197"/>
      <c r="H77" s="197"/>
      <c r="I77" s="197"/>
      <c r="J77" s="197"/>
      <c r="K77" s="197"/>
      <c r="L77" s="197"/>
      <c r="M77" s="197"/>
      <c r="N77" s="197"/>
      <c r="O77" s="197"/>
      <c r="P77" s="197"/>
      <c r="Q77" s="197"/>
      <c r="R77" s="197"/>
      <c r="S77" s="197"/>
      <c r="T77" s="197"/>
      <c r="U77" s="197"/>
      <c r="V77" s="197"/>
      <c r="W77" s="197"/>
      <c r="X77" s="197"/>
      <c r="Y77" s="197"/>
      <c r="Z77" s="197"/>
      <c r="AA77" s="197"/>
      <c r="AB77" s="197"/>
      <c r="AC77" s="197"/>
      <c r="AD77" s="197"/>
      <c r="AE77" s="197"/>
      <c r="AF77" s="197"/>
      <c r="AG77" s="197"/>
      <c r="AH77" s="197"/>
      <c r="AI77" s="197"/>
      <c r="AJ77" s="197"/>
      <c r="AK77" s="197"/>
      <c r="AL77" s="197"/>
      <c r="AM77" s="197"/>
      <c r="AN77" s="197"/>
      <c r="AO77" s="197"/>
      <c r="AP77" s="197"/>
      <c r="AQ77" s="197"/>
      <c r="AR77" s="196"/>
      <c r="AS77" s="196"/>
      <c r="AT77" s="194"/>
      <c r="AU77" s="196"/>
      <c r="AV77" s="196"/>
      <c r="AW77" s="194"/>
      <c r="AX77" s="196"/>
      <c r="AY77" s="196"/>
      <c r="AZ77" s="194"/>
      <c r="BA77" s="196"/>
      <c r="BB77" s="196"/>
      <c r="BC77" s="194"/>
      <c r="BD77" s="196"/>
      <c r="BE77" s="196"/>
      <c r="BF77" s="194"/>
      <c r="BG77" s="196"/>
      <c r="BH77" s="196"/>
      <c r="BI77" s="194"/>
      <c r="BJ77" s="196"/>
      <c r="BK77" s="196"/>
      <c r="BL77" s="194"/>
      <c r="BM77" s="196"/>
      <c r="BN77" s="196"/>
      <c r="BO77" s="197"/>
      <c r="BP77" s="196"/>
      <c r="BQ77" s="196"/>
      <c r="BR77" s="197"/>
      <c r="BS77" s="196"/>
      <c r="BT77" s="196"/>
      <c r="BU77" s="199"/>
      <c r="BV77" s="196"/>
      <c r="BW77" s="196"/>
      <c r="BX77" s="197"/>
      <c r="BY77" s="196"/>
      <c r="BZ77" s="196"/>
      <c r="CA77" s="197"/>
      <c r="CB77" s="196"/>
      <c r="CC77" s="196"/>
      <c r="CD77" s="197"/>
      <c r="CE77" s="196"/>
      <c r="CF77" s="196"/>
      <c r="CG77" s="197"/>
      <c r="CH77" s="196"/>
      <c r="CI77" s="196"/>
      <c r="CJ77" s="197"/>
      <c r="CK77" s="196"/>
      <c r="CL77" s="196"/>
      <c r="CM77" s="197"/>
      <c r="CN77" s="196"/>
      <c r="CO77" s="196"/>
      <c r="CP77" s="197"/>
      <c r="CQ77" s="196"/>
      <c r="CR77" s="196"/>
      <c r="CS77" s="197"/>
      <c r="CT77" s="196"/>
      <c r="CU77" s="196"/>
      <c r="CV77" s="197"/>
      <c r="CW77" s="196"/>
      <c r="CX77" s="196"/>
      <c r="CY77" s="516"/>
      <c r="CZ77" s="505"/>
      <c r="DA77" s="505"/>
      <c r="DB77" s="516"/>
      <c r="DC77" s="505"/>
      <c r="DD77" s="505"/>
      <c r="DE77" s="778"/>
      <c r="DF77" s="505"/>
      <c r="DG77" s="505"/>
      <c r="DH77" s="778"/>
      <c r="DI77" s="562"/>
      <c r="DJ77" s="562"/>
      <c r="DK77" s="678"/>
      <c r="DL77" s="562"/>
      <c r="DM77" s="562"/>
      <c r="DN77" s="678"/>
      <c r="DO77" s="562"/>
      <c r="DP77" s="562"/>
      <c r="DQ77" s="678"/>
      <c r="DR77" s="562"/>
      <c r="DS77" s="562"/>
      <c r="DT77" s="678"/>
      <c r="DU77" s="562"/>
      <c r="DV77" s="562"/>
      <c r="DW77" s="678"/>
      <c r="DX77" s="926">
        <v>5.5E-2</v>
      </c>
      <c r="DY77" s="562">
        <v>5.5E-2</v>
      </c>
      <c r="DZ77" s="1857">
        <v>5.5E-2</v>
      </c>
      <c r="EA77" s="926">
        <v>5.2999999999999999E-2</v>
      </c>
      <c r="EB77" s="562">
        <v>5.2999999999999999E-2</v>
      </c>
      <c r="EC77" s="678">
        <v>5.2999999999999999E-2</v>
      </c>
      <c r="ED77" s="562">
        <v>5.5E-2</v>
      </c>
      <c r="EE77" s="562">
        <v>5.5E-2</v>
      </c>
      <c r="EF77" s="678">
        <v>5.5000000000000007E-2</v>
      </c>
      <c r="EG77" s="562">
        <v>0.06</v>
      </c>
      <c r="EH77" s="562">
        <f>+EG77</f>
        <v>0.06</v>
      </c>
      <c r="EI77" s="678">
        <v>5.4999999999999993E-2</v>
      </c>
      <c r="EJ77" s="562">
        <f>+EG77</f>
        <v>0.06</v>
      </c>
      <c r="EK77" s="562">
        <f>+EJ77</f>
        <v>0.06</v>
      </c>
      <c r="EL77" s="678">
        <v>5.4999999999999993E-2</v>
      </c>
      <c r="EM77" s="562">
        <f t="shared" ref="EM77" si="144">+EJ77</f>
        <v>0.06</v>
      </c>
      <c r="EN77" s="562">
        <f t="shared" ref="EN77" si="145">+EM77</f>
        <v>0.06</v>
      </c>
      <c r="EO77" s="678">
        <v>5.4999999999999993E-2</v>
      </c>
      <c r="EP77" s="562">
        <f t="shared" ref="EP77" si="146">+EM77</f>
        <v>0.06</v>
      </c>
      <c r="EQ77" s="562">
        <f t="shared" ref="EQ77" si="147">+EP77</f>
        <v>0.06</v>
      </c>
      <c r="ER77" s="678">
        <v>5.4999999999999993E-2</v>
      </c>
      <c r="ES77" s="562">
        <f t="shared" ref="ES77" si="148">+EP77</f>
        <v>0.06</v>
      </c>
      <c r="ET77" s="562">
        <f t="shared" ref="ET77" si="149">+ES77</f>
        <v>0.06</v>
      </c>
      <c r="EU77" s="678">
        <v>5.4999999999999993E-2</v>
      </c>
      <c r="EV77" s="562">
        <f t="shared" ref="EV77" si="150">+ES77</f>
        <v>0.06</v>
      </c>
      <c r="EW77" s="562">
        <f t="shared" ref="EW77" si="151">+EV77</f>
        <v>0.06</v>
      </c>
      <c r="EX77" s="678">
        <v>5.4999999999999993E-2</v>
      </c>
      <c r="EY77" s="562">
        <f t="shared" ref="EY77" si="152">+EV77</f>
        <v>0.06</v>
      </c>
      <c r="EZ77" s="562">
        <f t="shared" ref="EZ77" si="153">+EY77</f>
        <v>0.06</v>
      </c>
      <c r="FA77" s="563">
        <v>5.4999999999999993E-2</v>
      </c>
    </row>
    <row r="78" spans="1:168" ht="13.35" customHeight="1" outlineLevel="1">
      <c r="A78" s="760"/>
      <c r="B78" s="4"/>
      <c r="C78" s="1856" t="s">
        <v>1063</v>
      </c>
      <c r="D78" s="178"/>
      <c r="E78" s="197"/>
      <c r="F78" s="197"/>
      <c r="G78" s="197"/>
      <c r="H78" s="197"/>
      <c r="I78" s="197"/>
      <c r="J78" s="197"/>
      <c r="K78" s="197"/>
      <c r="L78" s="197"/>
      <c r="M78" s="197"/>
      <c r="N78" s="197"/>
      <c r="O78" s="197"/>
      <c r="P78" s="197"/>
      <c r="Q78" s="197"/>
      <c r="R78" s="197"/>
      <c r="S78" s="197"/>
      <c r="T78" s="197"/>
      <c r="U78" s="197"/>
      <c r="V78" s="197"/>
      <c r="W78" s="197"/>
      <c r="X78" s="197"/>
      <c r="Y78" s="197"/>
      <c r="Z78" s="197"/>
      <c r="AA78" s="197"/>
      <c r="AB78" s="197"/>
      <c r="AC78" s="197"/>
      <c r="AD78" s="197"/>
      <c r="AE78" s="197"/>
      <c r="AF78" s="197"/>
      <c r="AG78" s="197"/>
      <c r="AH78" s="197"/>
      <c r="AI78" s="197"/>
      <c r="AJ78" s="197"/>
      <c r="AK78" s="197"/>
      <c r="AL78" s="197"/>
      <c r="AM78" s="197"/>
      <c r="AN78" s="197"/>
      <c r="AO78" s="197"/>
      <c r="AP78" s="197"/>
      <c r="AQ78" s="197"/>
      <c r="AR78" s="196"/>
      <c r="AS78" s="196"/>
      <c r="AT78" s="194"/>
      <c r="AU78" s="196"/>
      <c r="AV78" s="196"/>
      <c r="AW78" s="194"/>
      <c r="AX78" s="196"/>
      <c r="AY78" s="196"/>
      <c r="AZ78" s="194"/>
      <c r="BA78" s="196"/>
      <c r="BB78" s="196"/>
      <c r="BC78" s="194"/>
      <c r="BD78" s="196"/>
      <c r="BE78" s="196"/>
      <c r="BF78" s="194"/>
      <c r="BG78" s="196"/>
      <c r="BH78" s="196"/>
      <c r="BI78" s="194"/>
      <c r="BJ78" s="196"/>
      <c r="BK78" s="196"/>
      <c r="BL78" s="194"/>
      <c r="BM78" s="196"/>
      <c r="BN78" s="196"/>
      <c r="BO78" s="197"/>
      <c r="BP78" s="196"/>
      <c r="BQ78" s="196"/>
      <c r="BR78" s="197"/>
      <c r="BS78" s="196"/>
      <c r="BT78" s="196"/>
      <c r="BU78" s="199"/>
      <c r="BV78" s="196"/>
      <c r="BW78" s="196"/>
      <c r="BX78" s="197"/>
      <c r="BY78" s="196"/>
      <c r="BZ78" s="196"/>
      <c r="CA78" s="197"/>
      <c r="CB78" s="196"/>
      <c r="CC78" s="196"/>
      <c r="CD78" s="197"/>
      <c r="CE78" s="196"/>
      <c r="CF78" s="196"/>
      <c r="CG78" s="197"/>
      <c r="CH78" s="196"/>
      <c r="CI78" s="196"/>
      <c r="CJ78" s="197"/>
      <c r="CK78" s="196"/>
      <c r="CL78" s="196"/>
      <c r="CM78" s="197"/>
      <c r="CN78" s="196"/>
      <c r="CO78" s="196"/>
      <c r="CP78" s="197"/>
      <c r="CQ78" s="196"/>
      <c r="CR78" s="196"/>
      <c r="CS78" s="197"/>
      <c r="CT78" s="196"/>
      <c r="CU78" s="196"/>
      <c r="CV78" s="197"/>
      <c r="CW78" s="196"/>
      <c r="CX78" s="196"/>
      <c r="CY78" s="516"/>
      <c r="CZ78" s="505"/>
      <c r="DA78" s="505"/>
      <c r="DB78" s="516"/>
      <c r="DC78" s="505"/>
      <c r="DD78" s="505"/>
      <c r="DE78" s="778"/>
      <c r="DF78" s="505"/>
      <c r="DG78" s="505"/>
      <c r="DH78" s="778"/>
      <c r="DI78" s="562"/>
      <c r="DJ78" s="562"/>
      <c r="DK78" s="678"/>
      <c r="DL78" s="562"/>
      <c r="DM78" s="562"/>
      <c r="DN78" s="678"/>
      <c r="DO78" s="562"/>
      <c r="DP78" s="562"/>
      <c r="DQ78" s="678"/>
      <c r="DR78" s="562"/>
      <c r="DS78" s="562"/>
      <c r="DT78" s="678"/>
      <c r="DU78" s="562"/>
      <c r="DV78" s="562"/>
      <c r="DW78" s="678"/>
      <c r="DX78" s="926"/>
      <c r="DY78" s="562"/>
      <c r="DZ78" s="1857"/>
      <c r="EA78" s="926"/>
      <c r="EB78" s="562"/>
      <c r="EC78" s="678"/>
      <c r="ED78" s="562"/>
      <c r="EE78" s="562"/>
      <c r="EF78" s="678"/>
      <c r="EG78" s="562"/>
      <c r="EH78" s="562"/>
      <c r="EI78" s="678"/>
      <c r="EJ78" s="562"/>
      <c r="EK78" s="562"/>
      <c r="EL78" s="678"/>
      <c r="EM78" s="562"/>
      <c r="EN78" s="562"/>
      <c r="EO78" s="678"/>
      <c r="EP78" s="562"/>
      <c r="EQ78" s="562"/>
      <c r="ER78" s="678"/>
      <c r="ES78" s="562"/>
      <c r="ET78" s="562"/>
      <c r="EU78" s="678"/>
      <c r="EV78" s="562"/>
      <c r="EW78" s="562"/>
      <c r="EX78" s="678"/>
      <c r="EY78" s="562"/>
      <c r="EZ78" s="562"/>
      <c r="FA78" s="563"/>
    </row>
    <row r="79" spans="1:168" ht="13.35" customHeight="1" outlineLevel="1">
      <c r="A79" s="760"/>
      <c r="B79" s="4"/>
      <c r="C79" s="1856"/>
      <c r="D79" s="178"/>
      <c r="E79" s="197"/>
      <c r="F79" s="197"/>
      <c r="G79" s="197"/>
      <c r="H79" s="197"/>
      <c r="I79" s="197"/>
      <c r="J79" s="197"/>
      <c r="K79" s="197"/>
      <c r="L79" s="197"/>
      <c r="M79" s="197"/>
      <c r="N79" s="197"/>
      <c r="O79" s="197"/>
      <c r="P79" s="197"/>
      <c r="Q79" s="197"/>
      <c r="R79" s="197"/>
      <c r="S79" s="197"/>
      <c r="T79" s="197"/>
      <c r="U79" s="197"/>
      <c r="V79" s="197"/>
      <c r="W79" s="197"/>
      <c r="X79" s="197"/>
      <c r="Y79" s="197"/>
      <c r="Z79" s="197"/>
      <c r="AA79" s="197"/>
      <c r="AB79" s="197"/>
      <c r="AC79" s="197"/>
      <c r="AD79" s="197"/>
      <c r="AE79" s="197"/>
      <c r="AF79" s="197"/>
      <c r="AG79" s="197"/>
      <c r="AH79" s="197"/>
      <c r="AI79" s="197"/>
      <c r="AJ79" s="197"/>
      <c r="AK79" s="197"/>
      <c r="AL79" s="197"/>
      <c r="AM79" s="197"/>
      <c r="AN79" s="197"/>
      <c r="AO79" s="197"/>
      <c r="AP79" s="197"/>
      <c r="AQ79" s="197"/>
      <c r="AR79" s="196"/>
      <c r="AS79" s="196"/>
      <c r="AT79" s="194"/>
      <c r="AU79" s="196"/>
      <c r="AV79" s="196"/>
      <c r="AW79" s="194"/>
      <c r="AX79" s="196"/>
      <c r="AY79" s="196"/>
      <c r="AZ79" s="194"/>
      <c r="BA79" s="196"/>
      <c r="BB79" s="196"/>
      <c r="BC79" s="194"/>
      <c r="BD79" s="196"/>
      <c r="BE79" s="196"/>
      <c r="BF79" s="194"/>
      <c r="BG79" s="196"/>
      <c r="BH79" s="196"/>
      <c r="BI79" s="194"/>
      <c r="BJ79" s="196"/>
      <c r="BK79" s="196"/>
      <c r="BL79" s="194"/>
      <c r="BM79" s="196"/>
      <c r="BN79" s="196"/>
      <c r="BO79" s="197"/>
      <c r="BP79" s="196"/>
      <c r="BQ79" s="196"/>
      <c r="BR79" s="197"/>
      <c r="BS79" s="196"/>
      <c r="BT79" s="196"/>
      <c r="BU79" s="199"/>
      <c r="BV79" s="196"/>
      <c r="BW79" s="196"/>
      <c r="BX79" s="197"/>
      <c r="BY79" s="196"/>
      <c r="BZ79" s="196"/>
      <c r="CA79" s="197"/>
      <c r="CB79" s="196"/>
      <c r="CC79" s="196"/>
      <c r="CD79" s="197"/>
      <c r="CE79" s="196"/>
      <c r="CF79" s="196"/>
      <c r="CG79" s="197"/>
      <c r="CH79" s="196"/>
      <c r="CI79" s="196"/>
      <c r="CJ79" s="197"/>
      <c r="CK79" s="196"/>
      <c r="CL79" s="196"/>
      <c r="CM79" s="197"/>
      <c r="CN79" s="196"/>
      <c r="CO79" s="196"/>
      <c r="CP79" s="197"/>
      <c r="CQ79" s="196"/>
      <c r="CR79" s="196"/>
      <c r="CS79" s="197"/>
      <c r="CT79" s="196"/>
      <c r="CU79" s="196"/>
      <c r="CV79" s="197"/>
      <c r="CW79" s="196"/>
      <c r="CX79" s="196"/>
      <c r="CY79" s="516"/>
      <c r="CZ79" s="505"/>
      <c r="DA79" s="505"/>
      <c r="DB79" s="516"/>
      <c r="DC79" s="505"/>
      <c r="DD79" s="505"/>
      <c r="DE79" s="778"/>
      <c r="DF79" s="505"/>
      <c r="DG79" s="505"/>
      <c r="DH79" s="778"/>
      <c r="DI79" s="562"/>
      <c r="DJ79" s="562"/>
      <c r="DK79" s="678"/>
      <c r="DL79" s="562"/>
      <c r="DM79" s="562"/>
      <c r="DN79" s="678"/>
      <c r="DO79" s="562"/>
      <c r="DP79" s="562"/>
      <c r="DQ79" s="678"/>
      <c r="DR79" s="562"/>
      <c r="DS79" s="562"/>
      <c r="DT79" s="678"/>
      <c r="DU79" s="562"/>
      <c r="DV79" s="562"/>
      <c r="DW79" s="678"/>
      <c r="DX79" s="926"/>
      <c r="DY79" s="562"/>
      <c r="DZ79" s="1857"/>
      <c r="EA79" s="926"/>
      <c r="EB79" s="562"/>
      <c r="EC79" s="678"/>
      <c r="ED79" s="562"/>
      <c r="EE79" s="562"/>
      <c r="EF79" s="678"/>
      <c r="EG79" s="562"/>
      <c r="EH79" s="562"/>
      <c r="EI79" s="678"/>
      <c r="EJ79" s="562"/>
      <c r="EK79" s="562"/>
      <c r="EL79" s="678"/>
      <c r="EM79" s="562"/>
      <c r="EN79" s="562"/>
      <c r="EO79" s="678"/>
      <c r="EP79" s="562"/>
      <c r="EQ79" s="562"/>
      <c r="ER79" s="678"/>
      <c r="ES79" s="562"/>
      <c r="ET79" s="562"/>
      <c r="EU79" s="678"/>
      <c r="EV79" s="562"/>
      <c r="EW79" s="562"/>
      <c r="EX79" s="678"/>
      <c r="EY79" s="562"/>
      <c r="EZ79" s="562"/>
      <c r="FA79" s="563"/>
    </row>
    <row r="80" spans="1:168" ht="13.35" customHeight="1" outlineLevel="1">
      <c r="A80" s="760"/>
      <c r="B80" s="4"/>
      <c r="C80" s="4"/>
      <c r="D80" s="178"/>
      <c r="E80" s="197"/>
      <c r="F80" s="197"/>
      <c r="G80" s="197"/>
      <c r="H80" s="197"/>
      <c r="I80" s="197"/>
      <c r="J80" s="197"/>
      <c r="K80" s="197"/>
      <c r="L80" s="197"/>
      <c r="M80" s="197"/>
      <c r="N80" s="197"/>
      <c r="O80" s="197"/>
      <c r="P80" s="197"/>
      <c r="Q80" s="197"/>
      <c r="R80" s="197"/>
      <c r="S80" s="197"/>
      <c r="T80" s="197"/>
      <c r="U80" s="197"/>
      <c r="V80" s="197"/>
      <c r="W80" s="197"/>
      <c r="X80" s="197"/>
      <c r="Y80" s="197"/>
      <c r="Z80" s="197"/>
      <c r="AA80" s="197"/>
      <c r="AB80" s="197"/>
      <c r="AC80" s="197"/>
      <c r="AD80" s="197"/>
      <c r="AE80" s="197"/>
      <c r="AF80" s="197"/>
      <c r="AG80" s="197"/>
      <c r="AH80" s="197"/>
      <c r="AI80" s="197"/>
      <c r="AJ80" s="197"/>
      <c r="AK80" s="197"/>
      <c r="AL80" s="197"/>
      <c r="AM80" s="197"/>
      <c r="AN80" s="197"/>
      <c r="AO80" s="197"/>
      <c r="AP80" s="197"/>
      <c r="AQ80" s="197"/>
      <c r="AR80" s="196"/>
      <c r="AS80" s="196"/>
      <c r="AT80" s="194"/>
      <c r="AU80" s="196"/>
      <c r="AV80" s="196"/>
      <c r="AW80" s="194"/>
      <c r="AX80" s="196"/>
      <c r="AY80" s="196"/>
      <c r="AZ80" s="194"/>
      <c r="BA80" s="196"/>
      <c r="BB80" s="196"/>
      <c r="BC80" s="194"/>
      <c r="BD80" s="196"/>
      <c r="BE80" s="196"/>
      <c r="BF80" s="194"/>
      <c r="BG80" s="196"/>
      <c r="BH80" s="196"/>
      <c r="BI80" s="194"/>
      <c r="BJ80" s="196"/>
      <c r="BK80" s="196"/>
      <c r="BL80" s="194"/>
      <c r="BM80" s="196"/>
      <c r="BN80" s="196"/>
      <c r="BO80" s="197"/>
      <c r="BP80" s="196"/>
      <c r="BQ80" s="196"/>
      <c r="BR80" s="197"/>
      <c r="BS80" s="196"/>
      <c r="BT80" s="196"/>
      <c r="BU80" s="199"/>
      <c r="BV80" s="196"/>
      <c r="BW80" s="196"/>
      <c r="BX80" s="197"/>
      <c r="BY80" s="196"/>
      <c r="BZ80" s="196"/>
      <c r="CA80" s="197"/>
      <c r="CB80" s="196"/>
      <c r="CC80" s="196"/>
      <c r="CD80" s="197"/>
      <c r="CE80" s="196"/>
      <c r="CF80" s="196"/>
      <c r="CG80" s="197"/>
      <c r="CH80" s="196"/>
      <c r="CI80" s="196"/>
      <c r="CJ80" s="197"/>
      <c r="CK80" s="196"/>
      <c r="CL80" s="196"/>
      <c r="CM80" s="197"/>
      <c r="CN80" s="196"/>
      <c r="CO80" s="196"/>
      <c r="CP80" s="197"/>
      <c r="CQ80" s="196"/>
      <c r="CR80" s="196"/>
      <c r="CS80" s="197"/>
      <c r="CT80" s="196"/>
      <c r="CU80" s="196"/>
      <c r="CV80" s="197"/>
      <c r="CW80" s="196"/>
      <c r="CX80" s="196"/>
      <c r="CY80" s="516"/>
      <c r="CZ80" s="505"/>
      <c r="DA80" s="505"/>
      <c r="DB80" s="516"/>
      <c r="DC80" s="505"/>
      <c r="DD80" s="505"/>
      <c r="DE80" s="778"/>
      <c r="DF80" s="505"/>
      <c r="DG80" s="505"/>
      <c r="DH80" s="778"/>
      <c r="DI80" s="505"/>
      <c r="DJ80" s="505"/>
      <c r="DK80" s="678"/>
      <c r="DL80" s="526"/>
      <c r="DM80" s="526"/>
      <c r="DN80" s="678"/>
      <c r="DO80" s="526"/>
      <c r="DP80" s="526"/>
      <c r="DQ80" s="678"/>
      <c r="DR80" s="526"/>
      <c r="DS80" s="526"/>
      <c r="DT80" s="678"/>
      <c r="DU80" s="526"/>
      <c r="DV80" s="526"/>
      <c r="DW80" s="678"/>
      <c r="DX80" s="526"/>
      <c r="DY80" s="526"/>
      <c r="DZ80" s="678"/>
      <c r="EA80" s="526"/>
      <c r="EB80" s="526"/>
      <c r="EC80" s="678"/>
      <c r="ED80" s="526"/>
      <c r="EE80" s="526"/>
      <c r="EF80" s="678"/>
      <c r="EG80" s="526"/>
      <c r="EH80" s="526"/>
      <c r="EI80" s="678"/>
      <c r="EJ80" s="526"/>
      <c r="EK80" s="526"/>
      <c r="EL80" s="678"/>
      <c r="EM80" s="526"/>
      <c r="EN80" s="526"/>
      <c r="EO80" s="678"/>
      <c r="EP80" s="526"/>
      <c r="EQ80" s="526"/>
      <c r="ER80" s="678"/>
      <c r="ES80" s="526"/>
      <c r="ET80" s="526"/>
      <c r="EU80" s="678"/>
      <c r="EV80" s="526"/>
      <c r="EW80" s="526"/>
      <c r="EX80" s="678"/>
      <c r="EY80" s="526"/>
      <c r="EZ80" s="526"/>
      <c r="FA80" s="647"/>
    </row>
    <row r="81" spans="1:157" ht="13.35" customHeight="1" outlineLevel="1">
      <c r="A81" s="1016"/>
      <c r="B81" s="173" t="s">
        <v>924</v>
      </c>
      <c r="C81" s="173"/>
      <c r="D81" s="174"/>
      <c r="E81" s="175"/>
      <c r="F81" s="175"/>
      <c r="G81" s="175"/>
      <c r="H81" s="175"/>
      <c r="I81" s="175"/>
      <c r="J81" s="175"/>
      <c r="K81" s="175"/>
      <c r="L81" s="175"/>
      <c r="M81" s="175"/>
      <c r="N81" s="175"/>
      <c r="O81" s="175"/>
      <c r="P81" s="175"/>
      <c r="Q81" s="175"/>
      <c r="R81" s="175"/>
      <c r="S81" s="175"/>
      <c r="T81" s="175"/>
      <c r="U81" s="175"/>
      <c r="V81" s="175"/>
      <c r="W81" s="175"/>
      <c r="X81" s="175"/>
      <c r="Y81" s="175"/>
      <c r="Z81" s="175"/>
      <c r="AA81" s="175"/>
      <c r="AB81" s="175"/>
      <c r="AC81" s="175"/>
      <c r="AD81" s="175"/>
      <c r="AE81" s="175"/>
      <c r="AF81" s="175"/>
      <c r="AG81" s="175"/>
      <c r="AH81" s="175"/>
      <c r="AI81" s="175"/>
      <c r="AJ81" s="175"/>
      <c r="AK81" s="175"/>
      <c r="AL81" s="175"/>
      <c r="AM81" s="175"/>
      <c r="AN81" s="175"/>
      <c r="AO81" s="175"/>
      <c r="AP81" s="175"/>
      <c r="AQ81" s="175"/>
      <c r="AR81" s="175"/>
      <c r="AS81" s="175"/>
      <c r="AT81" s="175"/>
      <c r="AU81" s="175"/>
      <c r="AV81" s="175"/>
      <c r="AW81" s="175"/>
      <c r="AX81" s="175"/>
      <c r="AY81" s="175"/>
      <c r="AZ81" s="175"/>
      <c r="BA81" s="175"/>
      <c r="BB81" s="175"/>
      <c r="BC81" s="175" t="str">
        <f t="shared" ref="BC81:CH81" si="154">BC5</f>
        <v>2001a</v>
      </c>
      <c r="BD81" s="175" t="str">
        <f t="shared" si="154"/>
        <v>1h02</v>
      </c>
      <c r="BE81" s="175" t="str">
        <f t="shared" si="154"/>
        <v>2h02f</v>
      </c>
      <c r="BF81" s="175" t="str">
        <f t="shared" si="154"/>
        <v>2002</v>
      </c>
      <c r="BG81" s="175" t="str">
        <f t="shared" si="154"/>
        <v>1h03</v>
      </c>
      <c r="BH81" s="175" t="str">
        <f t="shared" si="154"/>
        <v>2h03</v>
      </c>
      <c r="BI81" s="175" t="str">
        <f t="shared" si="154"/>
        <v>2003</v>
      </c>
      <c r="BJ81" s="175" t="str">
        <f t="shared" si="154"/>
        <v>1h04</v>
      </c>
      <c r="BK81" s="175" t="str">
        <f t="shared" si="154"/>
        <v>2h04</v>
      </c>
      <c r="BL81" s="175" t="str">
        <f t="shared" si="154"/>
        <v>2004</v>
      </c>
      <c r="BM81" s="175" t="str">
        <f t="shared" si="154"/>
        <v>1h05</v>
      </c>
      <c r="BN81" s="175" t="str">
        <f t="shared" si="154"/>
        <v>2h05</v>
      </c>
      <c r="BO81" s="175" t="str">
        <f t="shared" si="154"/>
        <v>2005</v>
      </c>
      <c r="BP81" s="175" t="str">
        <f t="shared" si="154"/>
        <v>1h06</v>
      </c>
      <c r="BQ81" s="175" t="str">
        <f t="shared" si="154"/>
        <v>2h06</v>
      </c>
      <c r="BR81" s="175" t="str">
        <f t="shared" si="154"/>
        <v>2006</v>
      </c>
      <c r="BS81" s="175" t="str">
        <f t="shared" si="154"/>
        <v>1h07</v>
      </c>
      <c r="BT81" s="175" t="str">
        <f t="shared" si="154"/>
        <v>2h07</v>
      </c>
      <c r="BU81" s="175" t="str">
        <f t="shared" si="154"/>
        <v>2007</v>
      </c>
      <c r="BV81" s="175" t="str">
        <f t="shared" si="154"/>
        <v>1h08</v>
      </c>
      <c r="BW81" s="175" t="str">
        <f t="shared" si="154"/>
        <v>2h08</v>
      </c>
      <c r="BX81" s="175" t="str">
        <f t="shared" si="154"/>
        <v>2008</v>
      </c>
      <c r="BY81" s="175" t="str">
        <f t="shared" si="154"/>
        <v>1h09</v>
      </c>
      <c r="BZ81" s="175" t="str">
        <f t="shared" si="154"/>
        <v>2h09</v>
      </c>
      <c r="CA81" s="175" t="str">
        <f t="shared" si="154"/>
        <v>2009</v>
      </c>
      <c r="CB81" s="175" t="str">
        <f t="shared" si="154"/>
        <v>1h10</v>
      </c>
      <c r="CC81" s="175" t="str">
        <f t="shared" si="154"/>
        <v>2h10</v>
      </c>
      <c r="CD81" s="175" t="str">
        <f t="shared" si="154"/>
        <v>2010</v>
      </c>
      <c r="CE81" s="175" t="str">
        <f t="shared" si="154"/>
        <v>1h11</v>
      </c>
      <c r="CF81" s="175" t="str">
        <f t="shared" si="154"/>
        <v>2h11</v>
      </c>
      <c r="CG81" s="175" t="str">
        <f t="shared" si="154"/>
        <v>2011</v>
      </c>
      <c r="CH81" s="175" t="str">
        <f t="shared" si="154"/>
        <v>1h12</v>
      </c>
      <c r="CI81" s="175" t="str">
        <f t="shared" ref="CI81:DN81" si="155">CI5</f>
        <v>2h12</v>
      </c>
      <c r="CJ81" s="175" t="str">
        <f t="shared" si="155"/>
        <v>2012</v>
      </c>
      <c r="CK81" s="175" t="str">
        <f t="shared" si="155"/>
        <v>1h13</v>
      </c>
      <c r="CL81" s="175" t="str">
        <f t="shared" si="155"/>
        <v>2h13</v>
      </c>
      <c r="CM81" s="175" t="str">
        <f t="shared" si="155"/>
        <v>2013</v>
      </c>
      <c r="CN81" s="175" t="str">
        <f t="shared" si="155"/>
        <v>1h14</v>
      </c>
      <c r="CO81" s="175" t="str">
        <f t="shared" si="155"/>
        <v>2h14</v>
      </c>
      <c r="CP81" s="175" t="str">
        <f t="shared" si="155"/>
        <v>2014</v>
      </c>
      <c r="CQ81" s="175" t="str">
        <f t="shared" si="155"/>
        <v>1h15</v>
      </c>
      <c r="CR81" s="175" t="str">
        <f t="shared" si="155"/>
        <v>2h15</v>
      </c>
      <c r="CS81" s="175" t="str">
        <f t="shared" si="155"/>
        <v>2015</v>
      </c>
      <c r="CT81" s="175" t="str">
        <f t="shared" si="155"/>
        <v>1h16</v>
      </c>
      <c r="CU81" s="175" t="str">
        <f t="shared" si="155"/>
        <v>2h16</v>
      </c>
      <c r="CV81" s="175" t="str">
        <f t="shared" si="155"/>
        <v>2016</v>
      </c>
      <c r="CW81" s="175" t="str">
        <f t="shared" si="155"/>
        <v>1h17</v>
      </c>
      <c r="CX81" s="175" t="str">
        <f t="shared" si="155"/>
        <v>2h17</v>
      </c>
      <c r="CY81" s="222" t="str">
        <f t="shared" si="155"/>
        <v>2017</v>
      </c>
      <c r="CZ81" s="222" t="str">
        <f t="shared" si="155"/>
        <v>1h18</v>
      </c>
      <c r="DA81" s="222" t="str">
        <f t="shared" si="155"/>
        <v>2h18</v>
      </c>
      <c r="DB81" s="222" t="str">
        <f t="shared" si="155"/>
        <v>2018</v>
      </c>
      <c r="DC81" s="222" t="str">
        <f t="shared" si="155"/>
        <v>1h19</v>
      </c>
      <c r="DD81" s="222" t="str">
        <f t="shared" si="155"/>
        <v>2h19</v>
      </c>
      <c r="DE81" s="682" t="str">
        <f t="shared" si="155"/>
        <v>2019</v>
      </c>
      <c r="DF81" s="222" t="str">
        <f t="shared" si="155"/>
        <v>1h20</v>
      </c>
      <c r="DG81" s="222" t="str">
        <f t="shared" si="155"/>
        <v>2h20</v>
      </c>
      <c r="DH81" s="682" t="str">
        <f t="shared" si="155"/>
        <v>2020</v>
      </c>
      <c r="DI81" s="222" t="str">
        <f t="shared" si="155"/>
        <v>1h21</v>
      </c>
      <c r="DJ81" s="222" t="str">
        <f t="shared" si="155"/>
        <v>2h21</v>
      </c>
      <c r="DK81" s="682" t="str">
        <f t="shared" si="155"/>
        <v>2021</v>
      </c>
      <c r="DL81" s="222" t="str">
        <f t="shared" si="155"/>
        <v>1h22</v>
      </c>
      <c r="DM81" s="222" t="str">
        <f t="shared" si="155"/>
        <v>2h22</v>
      </c>
      <c r="DN81" s="682" t="str">
        <f t="shared" si="155"/>
        <v>2022</v>
      </c>
      <c r="DO81" s="222" t="str">
        <f t="shared" ref="DO81:ET81" si="156">DO5</f>
        <v>1h23</v>
      </c>
      <c r="DP81" s="222" t="str">
        <f t="shared" si="156"/>
        <v>2h23</v>
      </c>
      <c r="DQ81" s="682" t="str">
        <f t="shared" si="156"/>
        <v>2023</v>
      </c>
      <c r="DR81" s="222" t="str">
        <f t="shared" si="156"/>
        <v>1h24</v>
      </c>
      <c r="DS81" s="222" t="str">
        <f t="shared" si="156"/>
        <v>2h24</v>
      </c>
      <c r="DT81" s="682" t="str">
        <f t="shared" si="156"/>
        <v>2024</v>
      </c>
      <c r="DU81" s="222" t="str">
        <f t="shared" si="156"/>
        <v>1h25</v>
      </c>
      <c r="DV81" s="222" t="str">
        <f t="shared" si="156"/>
        <v>2h25</v>
      </c>
      <c r="DW81" s="682" t="str">
        <f t="shared" si="156"/>
        <v>2025</v>
      </c>
      <c r="DX81" s="222" t="str">
        <f t="shared" si="156"/>
        <v>1h26</v>
      </c>
      <c r="DY81" s="222" t="str">
        <f t="shared" si="156"/>
        <v>2h26E</v>
      </c>
      <c r="DZ81" s="682" t="str">
        <f t="shared" si="156"/>
        <v>2026E</v>
      </c>
      <c r="EA81" s="222" t="str">
        <f t="shared" si="156"/>
        <v>1h27E</v>
      </c>
      <c r="EB81" s="222" t="str">
        <f t="shared" si="156"/>
        <v>2h27E</v>
      </c>
      <c r="EC81" s="682" t="str">
        <f t="shared" si="156"/>
        <v>2027E</v>
      </c>
      <c r="ED81" s="222" t="str">
        <f t="shared" si="156"/>
        <v>1h28E</v>
      </c>
      <c r="EE81" s="222" t="str">
        <f t="shared" si="156"/>
        <v>2h28E</v>
      </c>
      <c r="EF81" s="682" t="str">
        <f t="shared" si="156"/>
        <v>2028E</v>
      </c>
      <c r="EG81" s="222" t="str">
        <f t="shared" si="156"/>
        <v>1h29E</v>
      </c>
      <c r="EH81" s="222" t="str">
        <f t="shared" si="156"/>
        <v>2h29E</v>
      </c>
      <c r="EI81" s="682" t="str">
        <f t="shared" si="156"/>
        <v>2029E</v>
      </c>
      <c r="EJ81" s="222" t="str">
        <f t="shared" si="156"/>
        <v>1h30E</v>
      </c>
      <c r="EK81" s="222" t="str">
        <f t="shared" si="156"/>
        <v>2h30E</v>
      </c>
      <c r="EL81" s="682" t="str">
        <f t="shared" si="156"/>
        <v>2030E</v>
      </c>
      <c r="EM81" s="222" t="str">
        <f t="shared" si="156"/>
        <v>1h31E</v>
      </c>
      <c r="EN81" s="222" t="str">
        <f t="shared" si="156"/>
        <v>2h31E</v>
      </c>
      <c r="EO81" s="682" t="str">
        <f t="shared" si="156"/>
        <v>2031E</v>
      </c>
      <c r="EP81" s="222" t="str">
        <f t="shared" si="156"/>
        <v>1h32E</v>
      </c>
      <c r="EQ81" s="222" t="str">
        <f t="shared" si="156"/>
        <v>2h32E</v>
      </c>
      <c r="ER81" s="682" t="str">
        <f t="shared" si="156"/>
        <v>2032E</v>
      </c>
      <c r="ES81" s="222" t="str">
        <f t="shared" si="156"/>
        <v>1h33E</v>
      </c>
      <c r="ET81" s="222" t="str">
        <f t="shared" si="156"/>
        <v>2h33E</v>
      </c>
      <c r="EU81" s="682" t="str">
        <f t="shared" ref="EU81:FA81" si="157">EU5</f>
        <v>2033E</v>
      </c>
      <c r="EV81" s="222" t="str">
        <f t="shared" si="157"/>
        <v>1h34E</v>
      </c>
      <c r="EW81" s="222" t="str">
        <f t="shared" si="157"/>
        <v>2h34E</v>
      </c>
      <c r="EX81" s="682" t="str">
        <f t="shared" si="157"/>
        <v>2034E</v>
      </c>
      <c r="EY81" s="222" t="str">
        <f t="shared" si="157"/>
        <v>1h35E</v>
      </c>
      <c r="EZ81" s="222" t="str">
        <f t="shared" si="157"/>
        <v>2h35E</v>
      </c>
      <c r="FA81" s="222" t="str">
        <f t="shared" si="157"/>
        <v>2035E</v>
      </c>
    </row>
    <row r="82" spans="1:157" ht="13.35" customHeight="1" outlineLevel="1">
      <c r="A82" s="760" t="s">
        <v>331</v>
      </c>
      <c r="B82" s="4" t="s">
        <v>331</v>
      </c>
      <c r="C82" s="4"/>
      <c r="D82" s="178" t="s">
        <v>357</v>
      </c>
      <c r="E82" s="197"/>
      <c r="F82" s="197"/>
      <c r="G82" s="197"/>
      <c r="H82" s="197"/>
      <c r="I82" s="197"/>
      <c r="J82" s="197"/>
      <c r="K82" s="197"/>
      <c r="L82" s="197"/>
      <c r="M82" s="197"/>
      <c r="N82" s="197"/>
      <c r="O82" s="197"/>
      <c r="P82" s="197"/>
      <c r="Q82" s="197"/>
      <c r="R82" s="197"/>
      <c r="S82" s="197"/>
      <c r="T82" s="197"/>
      <c r="U82" s="197"/>
      <c r="V82" s="197"/>
      <c r="W82" s="197"/>
      <c r="X82" s="197"/>
      <c r="Y82" s="197"/>
      <c r="Z82" s="197"/>
      <c r="AA82" s="197"/>
      <c r="AB82" s="197"/>
      <c r="AC82" s="197"/>
      <c r="AD82" s="197"/>
      <c r="AE82" s="197"/>
      <c r="AF82" s="197"/>
      <c r="AG82" s="197"/>
      <c r="AH82" s="197"/>
      <c r="AI82" s="197"/>
      <c r="AJ82" s="197"/>
      <c r="AK82" s="197"/>
      <c r="AL82" s="197"/>
      <c r="AM82" s="197"/>
      <c r="AN82" s="197"/>
      <c r="AO82" s="197"/>
      <c r="AP82" s="197"/>
      <c r="AQ82" s="197"/>
      <c r="AR82" s="196"/>
      <c r="AS82" s="196"/>
      <c r="AT82" s="194"/>
      <c r="AU82" s="196"/>
      <c r="AV82" s="196"/>
      <c r="AW82" s="194"/>
      <c r="AX82" s="196"/>
      <c r="AY82" s="196"/>
      <c r="AZ82" s="194"/>
      <c r="BA82" s="196"/>
      <c r="BB82" s="196"/>
      <c r="BC82" s="194"/>
      <c r="BD82" s="189"/>
      <c r="BE82" s="189"/>
      <c r="BF82" s="182"/>
      <c r="BG82" s="189"/>
      <c r="BH82" s="189"/>
      <c r="BI82" s="182"/>
      <c r="BJ82" s="189"/>
      <c r="BK82" s="189"/>
      <c r="BL82" s="182"/>
      <c r="BM82" s="189"/>
      <c r="BN82" s="189"/>
      <c r="BO82" s="182"/>
      <c r="BP82" s="189"/>
      <c r="BQ82" s="189"/>
      <c r="BR82" s="182"/>
      <c r="BS82" s="189"/>
      <c r="BT82" s="189"/>
      <c r="BU82" s="182"/>
      <c r="BV82" s="189">
        <v>383.90263450706834</v>
      </c>
      <c r="BW82" s="189">
        <v>476.66636549293156</v>
      </c>
      <c r="BX82" s="182">
        <v>860.56899999999996</v>
      </c>
      <c r="BY82" s="189">
        <v>519.27364572641534</v>
      </c>
      <c r="BZ82" s="189">
        <v>489.32060971303298</v>
      </c>
      <c r="CA82" s="182">
        <v>1008.5942554394483</v>
      </c>
      <c r="CB82" s="189">
        <v>617.7679269293377</v>
      </c>
      <c r="CC82" s="189">
        <v>546.00077248762909</v>
      </c>
      <c r="CD82" s="182">
        <v>1163.7686994169667</v>
      </c>
      <c r="CE82" s="189">
        <v>514.29363649822233</v>
      </c>
      <c r="CF82" s="189">
        <v>622.90936350177776</v>
      </c>
      <c r="CG82" s="182">
        <v>1137.203</v>
      </c>
      <c r="CH82" s="189">
        <v>661.46023330756645</v>
      </c>
      <c r="CI82" s="189">
        <v>648.07470319468371</v>
      </c>
      <c r="CJ82" s="182">
        <v>1309.5349365022503</v>
      </c>
      <c r="CK82" s="189">
        <v>785.6984646242812</v>
      </c>
      <c r="CL82" s="189">
        <v>700.04644148155216</v>
      </c>
      <c r="CM82" s="182">
        <v>1485.7449061058333</v>
      </c>
      <c r="CN82" s="189">
        <v>818.00000000000034</v>
      </c>
      <c r="CO82" s="189">
        <v>819.19999999999982</v>
      </c>
      <c r="CP82" s="182">
        <v>1637.2000000000003</v>
      </c>
      <c r="CQ82" s="189">
        <v>878.29999999999984</v>
      </c>
      <c r="CR82" s="189">
        <v>879.70000000000027</v>
      </c>
      <c r="CS82" s="182">
        <v>1758</v>
      </c>
      <c r="CT82" s="189">
        <v>814.6</v>
      </c>
      <c r="CU82" s="189">
        <v>713.90000000000009</v>
      </c>
      <c r="CV82" s="182">
        <v>1528.5</v>
      </c>
      <c r="CW82" s="189">
        <v>952.7892412336314</v>
      </c>
      <c r="CX82" s="189">
        <v>474.82476463048994</v>
      </c>
      <c r="CY82" s="499">
        <v>1427.6140058641213</v>
      </c>
      <c r="CZ82" s="300">
        <v>1475.8727045880628</v>
      </c>
      <c r="DA82" s="300">
        <v>904.12648134382005</v>
      </c>
      <c r="DB82" s="499">
        <v>2379.9991859318829</v>
      </c>
      <c r="DC82" s="300">
        <v>1553</v>
      </c>
      <c r="DD82" s="300">
        <v>951.09999999999934</v>
      </c>
      <c r="DE82" s="674">
        <v>2504.0999999999995</v>
      </c>
      <c r="DF82" s="631">
        <v>1632.1</v>
      </c>
      <c r="DG82" s="631">
        <v>1084.5211877065976</v>
      </c>
      <c r="DH82" s="674">
        <v>2716.6211877065975</v>
      </c>
      <c r="DI82" s="631">
        <f>DI47-DI70-DI72</f>
        <v>2224.6913688358627</v>
      </c>
      <c r="DJ82" s="631">
        <f>DJ47-DJ70-DJ72</f>
        <v>906.20863116413693</v>
      </c>
      <c r="DK82" s="674">
        <f>SUM(DI82:DJ82)</f>
        <v>3130.8999999999996</v>
      </c>
      <c r="DL82" s="631">
        <f>DL47-DL70-DL72</f>
        <v>2231.0999999999995</v>
      </c>
      <c r="DM82" s="631">
        <f>DM47-DM70-DM72</f>
        <v>848.79999999999973</v>
      </c>
      <c r="DN82" s="674">
        <f>SUM(DL82:DM82)</f>
        <v>3079.8999999999992</v>
      </c>
      <c r="DO82" s="631">
        <f>DO47-DO70-DO72</f>
        <v>2406</v>
      </c>
      <c r="DP82" s="631">
        <f>DP47-DP70-DP72</f>
        <v>1251</v>
      </c>
      <c r="DQ82" s="674">
        <f>SUM(DO82:DP82)</f>
        <v>3657</v>
      </c>
      <c r="DR82" s="631">
        <f>DR47-DR70-DR72</f>
        <v>2758</v>
      </c>
      <c r="DS82" s="631">
        <f>DS47-DS70-DS72</f>
        <v>1439</v>
      </c>
      <c r="DT82" s="674">
        <f>SUM(DR82:DS82)</f>
        <v>4197</v>
      </c>
      <c r="DU82" s="631">
        <f>DU47-DU70-DU72</f>
        <v>2878</v>
      </c>
      <c r="DV82" s="631">
        <f>DV47-DV70-DV72</f>
        <v>1590</v>
      </c>
      <c r="DW82" s="674">
        <f>SUM(DU82:DV82)</f>
        <v>4468</v>
      </c>
      <c r="DX82" s="631">
        <f>DX47-DX70-DX72</f>
        <v>2805</v>
      </c>
      <c r="DY82" s="631">
        <f>DY47-DY70-DY72</f>
        <v>2094.5635170371161</v>
      </c>
      <c r="DZ82" s="674">
        <f>SUM(DX82:DY82)</f>
        <v>4899.5635170371161</v>
      </c>
      <c r="EA82" s="631">
        <f>EA47-EA70-EA72</f>
        <v>2950.3539454593069</v>
      </c>
      <c r="EB82" s="631">
        <f>EB47-EB70-EB72</f>
        <v>2185.9840916871135</v>
      </c>
      <c r="EC82" s="674">
        <f>SUM(EA82:EB82)</f>
        <v>5136.3380371464209</v>
      </c>
      <c r="ED82" s="631">
        <f>ED47-ED70-ED72</f>
        <v>3178.110718525304</v>
      </c>
      <c r="EE82" s="631">
        <f>EE47-EE70-EE72</f>
        <v>2349.7668796668804</v>
      </c>
      <c r="EF82" s="674">
        <f>SUM(ED82:EE82)</f>
        <v>5527.8775981921845</v>
      </c>
      <c r="EG82" s="631">
        <f>EG47-EG70-EG72</f>
        <v>3421.1972183289045</v>
      </c>
      <c r="EH82" s="631">
        <f>EH47-EH70-EH72</f>
        <v>2581.1541770167514</v>
      </c>
      <c r="EI82" s="674">
        <f>SUM(EG82:EH82)</f>
        <v>6002.3513953456559</v>
      </c>
      <c r="EJ82" s="631">
        <f>EJ47-EJ70-EJ72</f>
        <v>3686.4680885461776</v>
      </c>
      <c r="EK82" s="631">
        <f>EK47-EK70-EK72</f>
        <v>2835.818667115107</v>
      </c>
      <c r="EL82" s="674">
        <f>SUM(EJ82:EK82)</f>
        <v>6522.2867556612846</v>
      </c>
      <c r="EM82" s="631">
        <f>EM47-EM70-EM72</f>
        <v>3996.3634494536082</v>
      </c>
      <c r="EN82" s="631">
        <f>EN47-EN70-EN72</f>
        <v>3078.1703118948717</v>
      </c>
      <c r="EO82" s="674">
        <f>SUM(EM82:EN82)</f>
        <v>7074.5337613484799</v>
      </c>
      <c r="EP82" s="631">
        <f>EP47-EP70-EP72</f>
        <v>4287.067593767214</v>
      </c>
      <c r="EQ82" s="631">
        <f>EQ47-EQ70-EQ72</f>
        <v>3349.8237075379093</v>
      </c>
      <c r="ER82" s="674">
        <f>SUM(EP82:EQ82)</f>
        <v>7636.8913013051233</v>
      </c>
      <c r="ES82" s="631">
        <f>ES47-ES70-ES72</f>
        <v>4561.2661860576854</v>
      </c>
      <c r="ET82" s="631">
        <f>ET47-ET70-ET72</f>
        <v>3597.0869109984428</v>
      </c>
      <c r="EU82" s="674">
        <f>SUM(ES82:ET82)</f>
        <v>8158.3530970561278</v>
      </c>
      <c r="EV82" s="631">
        <f>EV47-EV70-EV72</f>
        <v>4808.607402543711</v>
      </c>
      <c r="EW82" s="631">
        <f>EW47-EW70-EW72</f>
        <v>3812.8395954919692</v>
      </c>
      <c r="EX82" s="674">
        <f>SUM(EV82:EW82)</f>
        <v>8621.4469980356807</v>
      </c>
      <c r="EY82" s="631">
        <f>EY47-EY70-EY72</f>
        <v>5071.3996512460099</v>
      </c>
      <c r="EZ82" s="631">
        <f>EZ47-EZ70-EZ72</f>
        <v>4042.7975523316672</v>
      </c>
      <c r="FA82" s="6">
        <f>SUM(EY82:EZ82)</f>
        <v>9114.197203577678</v>
      </c>
    </row>
    <row r="83" spans="1:157" ht="13.35" customHeight="1" outlineLevel="1">
      <c r="A83" s="760" t="s">
        <v>1023</v>
      </c>
      <c r="B83" s="4" t="s">
        <v>212</v>
      </c>
      <c r="C83" s="4"/>
      <c r="D83" s="178" t="s">
        <v>507</v>
      </c>
      <c r="E83" s="197"/>
      <c r="F83" s="197"/>
      <c r="G83" s="197"/>
      <c r="H83" s="197"/>
      <c r="I83" s="197"/>
      <c r="J83" s="197"/>
      <c r="K83" s="197"/>
      <c r="L83" s="197"/>
      <c r="M83" s="197"/>
      <c r="N83" s="197"/>
      <c r="O83" s="197"/>
      <c r="P83" s="197"/>
      <c r="Q83" s="197"/>
      <c r="R83" s="197"/>
      <c r="S83" s="197"/>
      <c r="T83" s="197"/>
      <c r="U83" s="197"/>
      <c r="V83" s="197"/>
      <c r="W83" s="197"/>
      <c r="X83" s="197"/>
      <c r="Y83" s="197"/>
      <c r="Z83" s="197"/>
      <c r="AA83" s="197"/>
      <c r="AB83" s="197"/>
      <c r="AC83" s="197"/>
      <c r="AD83" s="197"/>
      <c r="AE83" s="197"/>
      <c r="AF83" s="197"/>
      <c r="AG83" s="197"/>
      <c r="AH83" s="197"/>
      <c r="AI83" s="197"/>
      <c r="AJ83" s="197"/>
      <c r="AK83" s="197"/>
      <c r="AL83" s="197"/>
      <c r="AM83" s="197"/>
      <c r="AN83" s="197"/>
      <c r="AO83" s="197"/>
      <c r="AP83" s="197"/>
      <c r="AQ83" s="197"/>
      <c r="AR83" s="196"/>
      <c r="AS83" s="196"/>
      <c r="AT83" s="194"/>
      <c r="AU83" s="196"/>
      <c r="AV83" s="196"/>
      <c r="AW83" s="194"/>
      <c r="AX83" s="196"/>
      <c r="AY83" s="196"/>
      <c r="AZ83" s="194"/>
      <c r="BA83" s="196"/>
      <c r="BB83" s="196"/>
      <c r="BC83" s="194"/>
      <c r="BD83" s="204"/>
      <c r="BE83" s="204"/>
      <c r="BF83" s="240"/>
      <c r="BG83" s="204"/>
      <c r="BH83" s="204"/>
      <c r="BI83" s="240"/>
      <c r="BJ83" s="204"/>
      <c r="BK83" s="204"/>
      <c r="BL83" s="240"/>
      <c r="BM83" s="204"/>
      <c r="BN83" s="204"/>
      <c r="BO83" s="240"/>
      <c r="BP83" s="204"/>
      <c r="BQ83" s="204"/>
      <c r="BR83" s="240"/>
      <c r="BS83" s="204"/>
      <c r="BT83" s="204"/>
      <c r="BU83" s="240"/>
      <c r="BV83" s="204">
        <f>BV82/BV20</f>
        <v>0.23559142808462219</v>
      </c>
      <c r="BW83" s="204">
        <f>BW82/BW20</f>
        <v>0.26474510425865833</v>
      </c>
      <c r="BX83" s="240">
        <f>BX82/BX9</f>
        <v>0.25177559976594499</v>
      </c>
      <c r="BY83" s="204">
        <v>0.2886886799078916</v>
      </c>
      <c r="BZ83" s="204">
        <v>0.28654536637449385</v>
      </c>
      <c r="CA83" s="240">
        <v>0.27644986789505654</v>
      </c>
      <c r="CB83" s="204">
        <v>0.29536658738731053</v>
      </c>
      <c r="CC83" s="204">
        <v>0.27700753491361041</v>
      </c>
      <c r="CD83" s="240">
        <v>0.28016264768945376</v>
      </c>
      <c r="CE83" s="204">
        <v>0.25152668793993765</v>
      </c>
      <c r="CF83" s="204">
        <v>0.2835778480578619</v>
      </c>
      <c r="CG83" s="240">
        <v>0.26237257966908273</v>
      </c>
      <c r="CH83" s="204">
        <v>0.28682922286503043</v>
      </c>
      <c r="CI83" s="204">
        <v>0.2795608577548031</v>
      </c>
      <c r="CJ83" s="240">
        <v>0.27478617295191027</v>
      </c>
      <c r="CK83" s="204">
        <v>0.3152503569491158</v>
      </c>
      <c r="CL83" s="204">
        <v>0.28362630316892945</v>
      </c>
      <c r="CM83" s="240">
        <v>0.29161986851413846</v>
      </c>
      <c r="CN83" s="204">
        <v>0.31776862714629805</v>
      </c>
      <c r="CO83" s="204">
        <v>0.29674708396725352</v>
      </c>
      <c r="CP83" s="240">
        <v>0.30689060508360211</v>
      </c>
      <c r="CQ83" s="204">
        <v>0.30972952004795984</v>
      </c>
      <c r="CR83" s="204">
        <v>0.31875498224509008</v>
      </c>
      <c r="CS83" s="240">
        <v>0.31418103833437572</v>
      </c>
      <c r="CT83" s="204">
        <v>0.25978186512867979</v>
      </c>
      <c r="CU83" s="204">
        <v>0.24451206892255084</v>
      </c>
      <c r="CV83" s="240">
        <v>0.25241932820292623</v>
      </c>
      <c r="CW83" s="204">
        <v>0.26492860672718038</v>
      </c>
      <c r="CX83" s="204">
        <v>0.15130481315100694</v>
      </c>
      <c r="CY83" s="518">
        <v>0.21198200425624705</v>
      </c>
      <c r="CZ83" s="505">
        <v>0.36177514008964512</v>
      </c>
      <c r="DA83" s="505">
        <v>0.2452886471678955</v>
      </c>
      <c r="DB83" s="518">
        <v>0.30648370174900302</v>
      </c>
      <c r="DC83" s="505">
        <v>0.3516279491011185</v>
      </c>
      <c r="DD83" s="505">
        <v>0.23983155558917696</v>
      </c>
      <c r="DE83" s="678">
        <v>0.29873662359972791</v>
      </c>
      <c r="DF83" s="562">
        <v>0.34103452897372721</v>
      </c>
      <c r="DG83" s="562">
        <v>0.25992299761345816</v>
      </c>
      <c r="DH83" s="678">
        <v>0.30325513285254019</v>
      </c>
      <c r="DI83" s="562">
        <f>DI82/DI9</f>
        <v>0.3915783033311413</v>
      </c>
      <c r="DJ83" s="562">
        <f>DJ82/DJ9</f>
        <v>0.20205519347516723</v>
      </c>
      <c r="DK83" s="678">
        <f>DK82/DK9</f>
        <v>0.30796846216183482</v>
      </c>
      <c r="DL83" s="562">
        <f>DL82/DL20</f>
        <v>0.36931404356750303</v>
      </c>
      <c r="DM83" s="562">
        <f>DM82/DM20</f>
        <v>0.18773776873396439</v>
      </c>
      <c r="DN83" s="678">
        <f>DN82/DN9</f>
        <v>0.29833585183463124</v>
      </c>
      <c r="DO83" s="562">
        <f>DO82/DO20</f>
        <v>0.33491091314031179</v>
      </c>
      <c r="DP83" s="562">
        <f>DP82/DP20</f>
        <v>0.20421155729676788</v>
      </c>
      <c r="DQ83" s="678">
        <f>DQ82/DQ9</f>
        <v>0.28552467207995003</v>
      </c>
      <c r="DR83" s="562">
        <f>DR82/DR20</f>
        <v>0.34248106295790387</v>
      </c>
      <c r="DS83" s="562">
        <f>DS82/DS20</f>
        <v>0.21327997628575662</v>
      </c>
      <c r="DT83" s="678">
        <f>DT82/DT9</f>
        <v>0.29384583070783449</v>
      </c>
      <c r="DU83" s="562">
        <f>DU82/DU20</f>
        <v>0.3392667688317812</v>
      </c>
      <c r="DV83" s="562">
        <f>DV82/DV20</f>
        <v>0.22473498233215547</v>
      </c>
      <c r="DW83" s="678">
        <f>DW82/DW9</f>
        <v>0.29666024832348448</v>
      </c>
      <c r="DX83" s="562">
        <f>DX82/DX20</f>
        <v>0.33665386461833896</v>
      </c>
      <c r="DY83" s="562">
        <f>DY82/DY20</f>
        <v>0.27591314297579761</v>
      </c>
      <c r="DZ83" s="678">
        <f>DZ82/DZ9</f>
        <v>0.31656679190826381</v>
      </c>
      <c r="EA83" s="562">
        <f>EA82/EA20</f>
        <v>0.33251067499416226</v>
      </c>
      <c r="EB83" s="562">
        <f>EB82/EB20</f>
        <v>0.27676542341484994</v>
      </c>
      <c r="EC83" s="678">
        <f>EC82/EC9</f>
        <v>0.31443531743324099</v>
      </c>
      <c r="ED83" s="562">
        <f>ED82/ED20</f>
        <v>0.34274697220789607</v>
      </c>
      <c r="EE83" s="562">
        <f>EE82/EE20</f>
        <v>0.28000693297449741</v>
      </c>
      <c r="EF83" s="678">
        <f>EF82/EF9</f>
        <v>0.32090098886077473</v>
      </c>
      <c r="EG83" s="562">
        <f>EG82/EG20</f>
        <v>0.34903259588267371</v>
      </c>
      <c r="EH83" s="562">
        <f>EH82/EH20</f>
        <v>0.28876455885894425</v>
      </c>
      <c r="EI83" s="678">
        <f>EI82/EI9</f>
        <v>0.32799103234200949</v>
      </c>
      <c r="EJ83" s="562">
        <f>EJ82/EJ20</f>
        <v>0.35551065840855217</v>
      </c>
      <c r="EK83" s="562">
        <f>EK82/EK20</f>
        <v>0.29744986101751575</v>
      </c>
      <c r="EL83" s="678">
        <f>EL82/EL9</f>
        <v>0.33514641078430257</v>
      </c>
      <c r="EM83" s="562">
        <f>EM82/EM20</f>
        <v>0.36574949213017321</v>
      </c>
      <c r="EN83" s="562">
        <f>EN82/EN20</f>
        <v>0.30605867849460905</v>
      </c>
      <c r="EO83" s="678">
        <f>EO82/EO9</f>
        <v>0.34443392037681175</v>
      </c>
      <c r="EP83" s="562">
        <f>EP82/EP20</f>
        <v>0.37258858078216756</v>
      </c>
      <c r="EQ83" s="562">
        <f>EQ82/EQ20</f>
        <v>0.31478915229262994</v>
      </c>
      <c r="ER83" s="678">
        <f>ER82/ER9</f>
        <v>0.35191157188111033</v>
      </c>
      <c r="ES83" s="562">
        <f>ES82/ES20</f>
        <v>0.37593395780839184</v>
      </c>
      <c r="ET83" s="562">
        <f>ET82/ET20</f>
        <v>0.31936729925695778</v>
      </c>
      <c r="EU83" s="678">
        <f>EU82/EU9</f>
        <v>0.35551985586471829</v>
      </c>
      <c r="EV83" s="562">
        <f>EV82/EV20</f>
        <v>0.37570200740799053</v>
      </c>
      <c r="EW83" s="562">
        <f>EW82/EW20</f>
        <v>0.31973470501381152</v>
      </c>
      <c r="EX83" s="678">
        <f>EX82/EX9</f>
        <v>0.35518448569374378</v>
      </c>
      <c r="EY83" s="562">
        <f>EY82/EY20</f>
        <v>0.37548624458964885</v>
      </c>
      <c r="EZ83" s="562">
        <f>EZ82/EZ20</f>
        <v>0.32010241111950388</v>
      </c>
      <c r="FA83" s="563">
        <f>FA82/FA9</f>
        <v>0.35487507377664224</v>
      </c>
    </row>
    <row r="84" spans="1:157" ht="13.35" customHeight="1" outlineLevel="1">
      <c r="A84" s="760"/>
      <c r="B84" s="4" t="s">
        <v>690</v>
      </c>
      <c r="C84" s="4"/>
      <c r="D84" s="178" t="s">
        <v>507</v>
      </c>
      <c r="E84" s="197"/>
      <c r="F84" s="197"/>
      <c r="G84" s="197"/>
      <c r="H84" s="197"/>
      <c r="I84" s="197"/>
      <c r="J84" s="197"/>
      <c r="K84" s="197"/>
      <c r="L84" s="197"/>
      <c r="M84" s="197"/>
      <c r="N84" s="197"/>
      <c r="O84" s="197"/>
      <c r="P84" s="197"/>
      <c r="Q84" s="197"/>
      <c r="R84" s="197"/>
      <c r="S84" s="197"/>
      <c r="T84" s="197"/>
      <c r="U84" s="197"/>
      <c r="V84" s="197"/>
      <c r="W84" s="197"/>
      <c r="X84" s="197"/>
      <c r="Y84" s="197"/>
      <c r="Z84" s="197"/>
      <c r="AA84" s="197"/>
      <c r="AB84" s="197"/>
      <c r="AC84" s="197"/>
      <c r="AD84" s="197"/>
      <c r="AE84" s="197"/>
      <c r="AF84" s="197"/>
      <c r="AG84" s="197"/>
      <c r="AH84" s="197"/>
      <c r="AI84" s="197"/>
      <c r="AJ84" s="197"/>
      <c r="AK84" s="197"/>
      <c r="AL84" s="197"/>
      <c r="AM84" s="197"/>
      <c r="AN84" s="197"/>
      <c r="AO84" s="197"/>
      <c r="AP84" s="197"/>
      <c r="AQ84" s="197"/>
      <c r="AR84" s="196"/>
      <c r="AS84" s="196"/>
      <c r="AT84" s="194"/>
      <c r="AU84" s="196"/>
      <c r="AV84" s="196"/>
      <c r="AW84" s="194"/>
      <c r="AX84" s="196"/>
      <c r="AY84" s="196"/>
      <c r="AZ84" s="194"/>
      <c r="BA84" s="196"/>
      <c r="BB84" s="196"/>
      <c r="BC84" s="194"/>
      <c r="BD84" s="204"/>
      <c r="BE84" s="204"/>
      <c r="BF84" s="240"/>
      <c r="BG84" s="204"/>
      <c r="BH84" s="204"/>
      <c r="BI84" s="240"/>
      <c r="BJ84" s="204"/>
      <c r="BK84" s="204"/>
      <c r="BL84" s="240"/>
      <c r="BM84" s="204"/>
      <c r="BN84" s="204"/>
      <c r="BO84" s="240"/>
      <c r="BP84" s="204"/>
      <c r="BQ84" s="204"/>
      <c r="BR84" s="240"/>
      <c r="BS84" s="204"/>
      <c r="BT84" s="204"/>
      <c r="BU84" s="240"/>
      <c r="BV84" s="204"/>
      <c r="BW84" s="204"/>
      <c r="BX84" s="240"/>
      <c r="BY84" s="204">
        <v>0.35261808347099155</v>
      </c>
      <c r="BZ84" s="204">
        <v>2.6547382270228681E-2</v>
      </c>
      <c r="CA84" s="240">
        <v>0.1720085843662138</v>
      </c>
      <c r="CB84" s="204">
        <v>0.18967702677292242</v>
      </c>
      <c r="CC84" s="204">
        <v>0.11583440723626337</v>
      </c>
      <c r="CD84" s="240">
        <v>0.15385219888041934</v>
      </c>
      <c r="CE84" s="204">
        <v>-0.16749702585798232</v>
      </c>
      <c r="CF84" s="204">
        <v>0.14085802601294151</v>
      </c>
      <c r="CG84" s="240">
        <v>-2.2827301877319628E-2</v>
      </c>
      <c r="CH84" s="204">
        <v>0.28615286358856751</v>
      </c>
      <c r="CI84" s="204">
        <v>4.0399681185454117E-2</v>
      </c>
      <c r="CJ84" s="240">
        <v>0.1515401704904491</v>
      </c>
      <c r="CK84" s="204">
        <v>0.18782418815334334</v>
      </c>
      <c r="CL84" s="204">
        <v>8.0194054837619433E-2</v>
      </c>
      <c r="CM84" s="240">
        <v>0.13455919707971842</v>
      </c>
      <c r="CN84" s="204">
        <v>4.1111872849548758E-2</v>
      </c>
      <c r="CO84" s="204">
        <v>0.17020807686169426</v>
      </c>
      <c r="CP84" s="240">
        <v>0.10193882763571693</v>
      </c>
      <c r="CQ84" s="204">
        <v>7.3716381418092336E-2</v>
      </c>
      <c r="CR84" s="204">
        <v>7.3852539062500666E-2</v>
      </c>
      <c r="CS84" s="240">
        <v>7.3784510139262016E-2</v>
      </c>
      <c r="CT84" s="204">
        <v>-7.252647159284964E-2</v>
      </c>
      <c r="CU84" s="204">
        <v>-0.18847334318517694</v>
      </c>
      <c r="CV84" s="240">
        <v>-0.13054607508532423</v>
      </c>
      <c r="CW84" s="204">
        <v>0.16964061040219902</v>
      </c>
      <c r="CX84" s="204">
        <v>-0.33488616804806015</v>
      </c>
      <c r="CY84" s="518">
        <v>-6.6003267344376004E-2</v>
      </c>
      <c r="CZ84" s="505">
        <v>0.54900227743668162</v>
      </c>
      <c r="DA84" s="505">
        <v>0.90412663511224811</v>
      </c>
      <c r="DB84" s="518">
        <v>0.66711672493804919</v>
      </c>
      <c r="DC84" s="505">
        <v>5.225877216386654E-2</v>
      </c>
      <c r="DD84" s="505">
        <v>5.1954587798779706E-2</v>
      </c>
      <c r="DE84" s="678">
        <v>5.2143217023633115E-2</v>
      </c>
      <c r="DF84" s="562">
        <v>5.0933676754668422E-2</v>
      </c>
      <c r="DG84" s="562">
        <v>0.14028092493596711</v>
      </c>
      <c r="DH84" s="678">
        <v>8.4869289447944585E-2</v>
      </c>
      <c r="DI84" s="562">
        <f t="shared" ref="DI84:FA84" si="158">DI82/DF82-1</f>
        <v>0.36308520852635429</v>
      </c>
      <c r="DJ84" s="562">
        <f t="shared" si="158"/>
        <v>-0.16441592710561292</v>
      </c>
      <c r="DK84" s="678">
        <f t="shared" si="158"/>
        <v>0.15249782125241418</v>
      </c>
      <c r="DL84" s="562">
        <f t="shared" si="158"/>
        <v>2.8806832506795832E-3</v>
      </c>
      <c r="DM84" s="562">
        <f t="shared" si="158"/>
        <v>-6.3350346917782852E-2</v>
      </c>
      <c r="DN84" s="678">
        <f t="shared" si="158"/>
        <v>-1.6289245903733929E-2</v>
      </c>
      <c r="DO84" s="562">
        <f t="shared" si="158"/>
        <v>7.8391824660481557E-2</v>
      </c>
      <c r="DP84" s="562">
        <f t="shared" si="158"/>
        <v>0.47384542884071679</v>
      </c>
      <c r="DQ84" s="678">
        <f t="shared" si="158"/>
        <v>0.18737621351342604</v>
      </c>
      <c r="DR84" s="562">
        <f t="shared" si="158"/>
        <v>0.1463009143807148</v>
      </c>
      <c r="DS84" s="562">
        <f t="shared" si="158"/>
        <v>0.15027977617905686</v>
      </c>
      <c r="DT84" s="678">
        <f t="shared" si="158"/>
        <v>0.14766201804758006</v>
      </c>
      <c r="DU84" s="562">
        <f t="shared" si="158"/>
        <v>4.3509789702683044E-2</v>
      </c>
      <c r="DV84" s="562">
        <f t="shared" si="158"/>
        <v>0.10493398193189707</v>
      </c>
      <c r="DW84" s="678">
        <f t="shared" si="158"/>
        <v>6.4569930903025874E-2</v>
      </c>
      <c r="DX84" s="562">
        <f t="shared" si="158"/>
        <v>-2.5364836692147286E-2</v>
      </c>
      <c r="DY84" s="562">
        <f t="shared" si="158"/>
        <v>0.31733554530636221</v>
      </c>
      <c r="DZ84" s="678">
        <f t="shared" si="158"/>
        <v>9.658986504859346E-2</v>
      </c>
      <c r="EA84" s="562">
        <f t="shared" si="158"/>
        <v>5.1819588399039995E-2</v>
      </c>
      <c r="EB84" s="562">
        <f t="shared" si="158"/>
        <v>4.3646599354178139E-2</v>
      </c>
      <c r="EC84" s="678">
        <f t="shared" si="158"/>
        <v>4.8325635393025479E-2</v>
      </c>
      <c r="ED84" s="562">
        <f t="shared" si="158"/>
        <v>7.7196423641482825E-2</v>
      </c>
      <c r="EE84" s="562">
        <f t="shared" si="158"/>
        <v>7.4924053016946379E-2</v>
      </c>
      <c r="EF84" s="678">
        <f t="shared" si="158"/>
        <v>7.6229321009271045E-2</v>
      </c>
      <c r="EG84" s="562">
        <f t="shared" si="158"/>
        <v>7.6487737946523415E-2</v>
      </c>
      <c r="EH84" s="562">
        <f t="shared" si="158"/>
        <v>9.8472448204169893E-2</v>
      </c>
      <c r="EI84" s="678">
        <f t="shared" si="158"/>
        <v>8.5832905798898462E-2</v>
      </c>
      <c r="EJ84" s="562">
        <f t="shared" si="158"/>
        <v>7.7537438881364995E-2</v>
      </c>
      <c r="EK84" s="562">
        <f t="shared" si="158"/>
        <v>9.8663029262626933E-2</v>
      </c>
      <c r="EL84" s="678">
        <f t="shared" si="158"/>
        <v>8.6621946312372966E-2</v>
      </c>
      <c r="EM84" s="562">
        <f t="shared" si="158"/>
        <v>8.4062944114523308E-2</v>
      </c>
      <c r="EN84" s="562">
        <f t="shared" si="158"/>
        <v>8.5460910314942851E-2</v>
      </c>
      <c r="EO84" s="678">
        <f t="shared" si="158"/>
        <v>8.4670764468895765E-2</v>
      </c>
      <c r="EP84" s="562">
        <f t="shared" si="158"/>
        <v>7.2742168721754208E-2</v>
      </c>
      <c r="EQ84" s="562">
        <f t="shared" si="158"/>
        <v>8.8251580685219544E-2</v>
      </c>
      <c r="ER84" s="678">
        <f t="shared" si="158"/>
        <v>7.9490403032503432E-2</v>
      </c>
      <c r="ES84" s="562">
        <f t="shared" si="158"/>
        <v>6.3959474930863403E-2</v>
      </c>
      <c r="ET84" s="562">
        <f t="shared" si="158"/>
        <v>7.3813795903387991E-2</v>
      </c>
      <c r="EU84" s="678">
        <f t="shared" si="158"/>
        <v>6.8281945516481146E-2</v>
      </c>
      <c r="EV84" s="562">
        <f t="shared" si="158"/>
        <v>5.4226437659364857E-2</v>
      </c>
      <c r="EW84" s="562">
        <f t="shared" si="158"/>
        <v>5.9979836415362087E-2</v>
      </c>
      <c r="EX84" s="678">
        <f t="shared" si="158"/>
        <v>5.6763159852281531E-2</v>
      </c>
      <c r="EY84" s="562">
        <f t="shared" si="158"/>
        <v>5.4650385590490069E-2</v>
      </c>
      <c r="EZ84" s="562">
        <f t="shared" si="158"/>
        <v>6.0311468940781987E-2</v>
      </c>
      <c r="FA84" s="563">
        <f t="shared" si="158"/>
        <v>5.71540027624442E-2</v>
      </c>
    </row>
    <row r="85" spans="1:157" ht="13.35" customHeight="1" outlineLevel="1">
      <c r="A85" s="760"/>
      <c r="B85" s="4"/>
      <c r="C85" s="4"/>
      <c r="D85" s="178"/>
      <c r="E85" s="197"/>
      <c r="F85" s="197"/>
      <c r="G85" s="197"/>
      <c r="H85" s="197"/>
      <c r="I85" s="197"/>
      <c r="J85" s="197"/>
      <c r="K85" s="197"/>
      <c r="L85" s="197"/>
      <c r="M85" s="197"/>
      <c r="N85" s="197"/>
      <c r="O85" s="197"/>
      <c r="P85" s="197"/>
      <c r="Q85" s="197"/>
      <c r="R85" s="197"/>
      <c r="S85" s="197"/>
      <c r="T85" s="197"/>
      <c r="U85" s="197"/>
      <c r="V85" s="197"/>
      <c r="W85" s="197"/>
      <c r="X85" s="197"/>
      <c r="Y85" s="197"/>
      <c r="Z85" s="197"/>
      <c r="AA85" s="197"/>
      <c r="AB85" s="197"/>
      <c r="AC85" s="197"/>
      <c r="AD85" s="197"/>
      <c r="AE85" s="197"/>
      <c r="AF85" s="197"/>
      <c r="AG85" s="197"/>
      <c r="AH85" s="197"/>
      <c r="AI85" s="197"/>
      <c r="AJ85" s="197"/>
      <c r="AK85" s="197"/>
      <c r="AL85" s="197"/>
      <c r="AM85" s="197"/>
      <c r="AN85" s="197"/>
      <c r="AO85" s="197"/>
      <c r="AP85" s="197"/>
      <c r="AQ85" s="197"/>
      <c r="AR85" s="196"/>
      <c r="AS85" s="196"/>
      <c r="AT85" s="194"/>
      <c r="AU85" s="196"/>
      <c r="AV85" s="196"/>
      <c r="AW85" s="194"/>
      <c r="AX85" s="196"/>
      <c r="AY85" s="196"/>
      <c r="AZ85" s="194"/>
      <c r="BA85" s="196"/>
      <c r="BB85" s="196"/>
      <c r="BC85" s="194"/>
      <c r="BD85" s="204"/>
      <c r="BE85" s="204"/>
      <c r="BF85" s="240"/>
      <c r="BG85" s="204"/>
      <c r="BH85" s="204"/>
      <c r="BI85" s="240"/>
      <c r="BJ85" s="204"/>
      <c r="BK85" s="204"/>
      <c r="BL85" s="240"/>
      <c r="BM85" s="204"/>
      <c r="BN85" s="204"/>
      <c r="BO85" s="240"/>
      <c r="BP85" s="204"/>
      <c r="BQ85" s="204"/>
      <c r="BR85" s="240"/>
      <c r="BS85" s="204"/>
      <c r="BT85" s="204"/>
      <c r="BU85" s="240"/>
      <c r="BV85" s="204"/>
      <c r="BW85" s="204"/>
      <c r="BX85" s="240"/>
      <c r="BY85" s="204"/>
      <c r="BZ85" s="204"/>
      <c r="CA85" s="240"/>
      <c r="CB85" s="204"/>
      <c r="CC85" s="204"/>
      <c r="CD85" s="240"/>
      <c r="CE85" s="204"/>
      <c r="CF85" s="204"/>
      <c r="CG85" s="240"/>
      <c r="CH85" s="204"/>
      <c r="CI85" s="204"/>
      <c r="CJ85" s="240"/>
      <c r="CK85" s="204"/>
      <c r="CL85" s="204"/>
      <c r="CM85" s="240"/>
      <c r="CN85" s="204"/>
      <c r="CO85" s="204"/>
      <c r="CP85" s="240"/>
      <c r="CQ85" s="204"/>
      <c r="CR85" s="204"/>
      <c r="CS85" s="240"/>
      <c r="CT85" s="204"/>
      <c r="CU85" s="204"/>
      <c r="CV85" s="240"/>
      <c r="CW85" s="204"/>
      <c r="CX85" s="204"/>
      <c r="CY85" s="518"/>
      <c r="CZ85" s="505"/>
      <c r="DA85" s="505"/>
      <c r="DB85" s="518"/>
      <c r="DC85" s="505"/>
      <c r="DD85" s="505"/>
      <c r="DE85" s="678"/>
      <c r="DF85" s="562"/>
      <c r="DG85" s="562"/>
      <c r="DH85" s="678"/>
      <c r="DI85" s="562"/>
      <c r="DJ85" s="562"/>
      <c r="DK85" s="678"/>
      <c r="DL85" s="562"/>
      <c r="DM85" s="562"/>
      <c r="DN85" s="678"/>
      <c r="DO85" s="562"/>
      <c r="DP85" s="562"/>
      <c r="DQ85" s="678"/>
      <c r="DR85" s="562"/>
      <c r="DS85" s="562"/>
      <c r="DT85" s="678"/>
      <c r="DU85" s="562"/>
      <c r="DV85" s="562"/>
      <c r="DW85" s="678"/>
      <c r="DX85" s="562"/>
      <c r="DY85" s="562"/>
      <c r="DZ85" s="1903"/>
      <c r="EA85" s="562"/>
      <c r="EB85" s="562"/>
      <c r="EC85" s="678"/>
      <c r="ED85" s="562"/>
      <c r="EE85" s="562"/>
      <c r="EF85" s="678"/>
      <c r="EG85" s="562"/>
      <c r="EH85" s="562"/>
      <c r="EI85" s="678"/>
      <c r="EJ85" s="562"/>
      <c r="EK85" s="562"/>
      <c r="EL85" s="678"/>
      <c r="EM85" s="562"/>
      <c r="EN85" s="562"/>
      <c r="EO85" s="678"/>
      <c r="EP85" s="562"/>
      <c r="EQ85" s="562"/>
      <c r="ER85" s="678"/>
      <c r="ES85" s="562"/>
      <c r="ET85" s="562"/>
      <c r="EU85" s="678"/>
      <c r="EV85" s="562"/>
      <c r="EW85" s="562"/>
      <c r="EX85" s="678"/>
      <c r="EY85" s="562"/>
      <c r="EZ85" s="562"/>
      <c r="FA85" s="563"/>
    </row>
    <row r="86" spans="1:157" ht="13.35" customHeight="1" outlineLevel="1">
      <c r="A86" s="1016"/>
      <c r="B86" s="173" t="s">
        <v>740</v>
      </c>
      <c r="C86" s="173"/>
      <c r="D86" s="174"/>
      <c r="E86" s="175"/>
      <c r="F86" s="175"/>
      <c r="G86" s="175"/>
      <c r="H86" s="175"/>
      <c r="I86" s="175"/>
      <c r="J86" s="175"/>
      <c r="K86" s="175"/>
      <c r="L86" s="175"/>
      <c r="M86" s="175"/>
      <c r="N86" s="175"/>
      <c r="O86" s="175"/>
      <c r="P86" s="175"/>
      <c r="Q86" s="175"/>
      <c r="R86" s="175"/>
      <c r="S86" s="175"/>
      <c r="T86" s="175"/>
      <c r="U86" s="175"/>
      <c r="V86" s="175"/>
      <c r="W86" s="175"/>
      <c r="X86" s="175"/>
      <c r="Y86" s="175"/>
      <c r="Z86" s="175"/>
      <c r="AA86" s="175"/>
      <c r="AB86" s="175"/>
      <c r="AC86" s="175"/>
      <c r="AD86" s="175"/>
      <c r="AE86" s="175"/>
      <c r="AF86" s="175"/>
      <c r="AG86" s="175"/>
      <c r="AH86" s="175"/>
      <c r="AI86" s="175"/>
      <c r="AJ86" s="175"/>
      <c r="AK86" s="175"/>
      <c r="AL86" s="175"/>
      <c r="AM86" s="175"/>
      <c r="AN86" s="175"/>
      <c r="AO86" s="175"/>
      <c r="AP86" s="175"/>
      <c r="AQ86" s="175"/>
      <c r="AR86" s="175"/>
      <c r="AS86" s="175"/>
      <c r="AT86" s="175"/>
      <c r="AU86" s="175"/>
      <c r="AV86" s="175"/>
      <c r="AW86" s="175"/>
      <c r="AX86" s="175"/>
      <c r="AY86" s="175"/>
      <c r="AZ86" s="175"/>
      <c r="BA86" s="175"/>
      <c r="BB86" s="175"/>
      <c r="BC86" s="175" t="str">
        <f t="shared" ref="BC86:CH86" si="159">BC5</f>
        <v>2001a</v>
      </c>
      <c r="BD86" s="175" t="str">
        <f t="shared" si="159"/>
        <v>1h02</v>
      </c>
      <c r="BE86" s="175" t="str">
        <f t="shared" si="159"/>
        <v>2h02f</v>
      </c>
      <c r="BF86" s="175" t="str">
        <f t="shared" si="159"/>
        <v>2002</v>
      </c>
      <c r="BG86" s="175" t="str">
        <f t="shared" si="159"/>
        <v>1h03</v>
      </c>
      <c r="BH86" s="175" t="str">
        <f t="shared" si="159"/>
        <v>2h03</v>
      </c>
      <c r="BI86" s="175" t="str">
        <f t="shared" si="159"/>
        <v>2003</v>
      </c>
      <c r="BJ86" s="175" t="str">
        <f t="shared" si="159"/>
        <v>1h04</v>
      </c>
      <c r="BK86" s="175" t="str">
        <f t="shared" si="159"/>
        <v>2h04</v>
      </c>
      <c r="BL86" s="175" t="str">
        <f t="shared" si="159"/>
        <v>2004</v>
      </c>
      <c r="BM86" s="175" t="str">
        <f t="shared" si="159"/>
        <v>1h05</v>
      </c>
      <c r="BN86" s="175" t="str">
        <f t="shared" si="159"/>
        <v>2h05</v>
      </c>
      <c r="BO86" s="175" t="str">
        <f t="shared" si="159"/>
        <v>2005</v>
      </c>
      <c r="BP86" s="175" t="str">
        <f t="shared" si="159"/>
        <v>1h06</v>
      </c>
      <c r="BQ86" s="175" t="str">
        <f t="shared" si="159"/>
        <v>2h06</v>
      </c>
      <c r="BR86" s="175" t="str">
        <f t="shared" si="159"/>
        <v>2006</v>
      </c>
      <c r="BS86" s="175" t="str">
        <f t="shared" si="159"/>
        <v>1h07</v>
      </c>
      <c r="BT86" s="175" t="str">
        <f t="shared" si="159"/>
        <v>2h07</v>
      </c>
      <c r="BU86" s="175" t="str">
        <f t="shared" si="159"/>
        <v>2007</v>
      </c>
      <c r="BV86" s="175" t="str">
        <f t="shared" si="159"/>
        <v>1h08</v>
      </c>
      <c r="BW86" s="175" t="str">
        <f t="shared" si="159"/>
        <v>2h08</v>
      </c>
      <c r="BX86" s="175" t="str">
        <f t="shared" si="159"/>
        <v>2008</v>
      </c>
      <c r="BY86" s="175" t="str">
        <f t="shared" si="159"/>
        <v>1h09</v>
      </c>
      <c r="BZ86" s="175" t="str">
        <f t="shared" si="159"/>
        <v>2h09</v>
      </c>
      <c r="CA86" s="175" t="str">
        <f t="shared" si="159"/>
        <v>2009</v>
      </c>
      <c r="CB86" s="175" t="str">
        <f t="shared" si="159"/>
        <v>1h10</v>
      </c>
      <c r="CC86" s="175" t="str">
        <f t="shared" si="159"/>
        <v>2h10</v>
      </c>
      <c r="CD86" s="175" t="str">
        <f t="shared" si="159"/>
        <v>2010</v>
      </c>
      <c r="CE86" s="175" t="str">
        <f t="shared" si="159"/>
        <v>1h11</v>
      </c>
      <c r="CF86" s="175" t="str">
        <f t="shared" si="159"/>
        <v>2h11</v>
      </c>
      <c r="CG86" s="175" t="str">
        <f t="shared" si="159"/>
        <v>2011</v>
      </c>
      <c r="CH86" s="175" t="str">
        <f t="shared" si="159"/>
        <v>1h12</v>
      </c>
      <c r="CI86" s="175" t="str">
        <f t="shared" ref="CI86:DN86" si="160">CI5</f>
        <v>2h12</v>
      </c>
      <c r="CJ86" s="175" t="str">
        <f t="shared" si="160"/>
        <v>2012</v>
      </c>
      <c r="CK86" s="175" t="str">
        <f t="shared" si="160"/>
        <v>1h13</v>
      </c>
      <c r="CL86" s="175" t="str">
        <f t="shared" si="160"/>
        <v>2h13</v>
      </c>
      <c r="CM86" s="175" t="str">
        <f t="shared" si="160"/>
        <v>2013</v>
      </c>
      <c r="CN86" s="175" t="str">
        <f t="shared" si="160"/>
        <v>1h14</v>
      </c>
      <c r="CO86" s="175" t="str">
        <f t="shared" si="160"/>
        <v>2h14</v>
      </c>
      <c r="CP86" s="175" t="str">
        <f t="shared" si="160"/>
        <v>2014</v>
      </c>
      <c r="CQ86" s="175" t="str">
        <f t="shared" si="160"/>
        <v>1h15</v>
      </c>
      <c r="CR86" s="175" t="str">
        <f t="shared" si="160"/>
        <v>2h15</v>
      </c>
      <c r="CS86" s="175" t="str">
        <f t="shared" si="160"/>
        <v>2015</v>
      </c>
      <c r="CT86" s="175" t="str">
        <f t="shared" si="160"/>
        <v>1h16</v>
      </c>
      <c r="CU86" s="175" t="str">
        <f t="shared" si="160"/>
        <v>2h16</v>
      </c>
      <c r="CV86" s="175" t="str">
        <f t="shared" si="160"/>
        <v>2016</v>
      </c>
      <c r="CW86" s="175" t="str">
        <f t="shared" si="160"/>
        <v>1h17</v>
      </c>
      <c r="CX86" s="175" t="str">
        <f t="shared" si="160"/>
        <v>2h17</v>
      </c>
      <c r="CY86" s="222" t="str">
        <f t="shared" si="160"/>
        <v>2017</v>
      </c>
      <c r="CZ86" s="222" t="str">
        <f t="shared" si="160"/>
        <v>1h18</v>
      </c>
      <c r="DA86" s="222" t="str">
        <f t="shared" si="160"/>
        <v>2h18</v>
      </c>
      <c r="DB86" s="222" t="str">
        <f t="shared" si="160"/>
        <v>2018</v>
      </c>
      <c r="DC86" s="222" t="str">
        <f t="shared" si="160"/>
        <v>1h19</v>
      </c>
      <c r="DD86" s="222" t="str">
        <f t="shared" si="160"/>
        <v>2h19</v>
      </c>
      <c r="DE86" s="682" t="str">
        <f t="shared" si="160"/>
        <v>2019</v>
      </c>
      <c r="DF86" s="222" t="str">
        <f t="shared" si="160"/>
        <v>1h20</v>
      </c>
      <c r="DG86" s="222" t="str">
        <f t="shared" si="160"/>
        <v>2h20</v>
      </c>
      <c r="DH86" s="682" t="str">
        <f t="shared" si="160"/>
        <v>2020</v>
      </c>
      <c r="DI86" s="222" t="str">
        <f t="shared" si="160"/>
        <v>1h21</v>
      </c>
      <c r="DJ86" s="222" t="str">
        <f t="shared" si="160"/>
        <v>2h21</v>
      </c>
      <c r="DK86" s="682" t="str">
        <f t="shared" si="160"/>
        <v>2021</v>
      </c>
      <c r="DL86" s="222" t="str">
        <f t="shared" si="160"/>
        <v>1h22</v>
      </c>
      <c r="DM86" s="222" t="str">
        <f t="shared" si="160"/>
        <v>2h22</v>
      </c>
      <c r="DN86" s="682" t="str">
        <f t="shared" si="160"/>
        <v>2022</v>
      </c>
      <c r="DO86" s="222" t="str">
        <f t="shared" ref="DO86:ET86" si="161">DO5</f>
        <v>1h23</v>
      </c>
      <c r="DP86" s="222" t="str">
        <f t="shared" si="161"/>
        <v>2h23</v>
      </c>
      <c r="DQ86" s="682" t="str">
        <f t="shared" si="161"/>
        <v>2023</v>
      </c>
      <c r="DR86" s="222" t="str">
        <f t="shared" si="161"/>
        <v>1h24</v>
      </c>
      <c r="DS86" s="222" t="str">
        <f t="shared" si="161"/>
        <v>2h24</v>
      </c>
      <c r="DT86" s="682" t="str">
        <f t="shared" si="161"/>
        <v>2024</v>
      </c>
      <c r="DU86" s="222" t="str">
        <f t="shared" si="161"/>
        <v>1h25</v>
      </c>
      <c r="DV86" s="222" t="str">
        <f t="shared" si="161"/>
        <v>2h25</v>
      </c>
      <c r="DW86" s="682" t="str">
        <f t="shared" si="161"/>
        <v>2025</v>
      </c>
      <c r="DX86" s="222" t="str">
        <f t="shared" ref="DX86" si="162">DX5</f>
        <v>1h26</v>
      </c>
      <c r="DY86" s="222" t="str">
        <f t="shared" si="161"/>
        <v>2h26E</v>
      </c>
      <c r="DZ86" s="682" t="str">
        <f t="shared" si="161"/>
        <v>2026E</v>
      </c>
      <c r="EA86" s="222" t="str">
        <f t="shared" si="161"/>
        <v>1h27E</v>
      </c>
      <c r="EB86" s="222" t="str">
        <f t="shared" si="161"/>
        <v>2h27E</v>
      </c>
      <c r="EC86" s="682" t="str">
        <f t="shared" si="161"/>
        <v>2027E</v>
      </c>
      <c r="ED86" s="222" t="str">
        <f t="shared" si="161"/>
        <v>1h28E</v>
      </c>
      <c r="EE86" s="222" t="str">
        <f t="shared" si="161"/>
        <v>2h28E</v>
      </c>
      <c r="EF86" s="682" t="str">
        <f t="shared" si="161"/>
        <v>2028E</v>
      </c>
      <c r="EG86" s="222" t="str">
        <f t="shared" si="161"/>
        <v>1h29E</v>
      </c>
      <c r="EH86" s="222" t="str">
        <f t="shared" si="161"/>
        <v>2h29E</v>
      </c>
      <c r="EI86" s="682" t="str">
        <f t="shared" si="161"/>
        <v>2029E</v>
      </c>
      <c r="EJ86" s="222" t="str">
        <f t="shared" si="161"/>
        <v>1h30E</v>
      </c>
      <c r="EK86" s="222" t="str">
        <f t="shared" si="161"/>
        <v>2h30E</v>
      </c>
      <c r="EL86" s="682" t="str">
        <f t="shared" si="161"/>
        <v>2030E</v>
      </c>
      <c r="EM86" s="222" t="str">
        <f t="shared" si="161"/>
        <v>1h31E</v>
      </c>
      <c r="EN86" s="222" t="str">
        <f t="shared" si="161"/>
        <v>2h31E</v>
      </c>
      <c r="EO86" s="682" t="str">
        <f t="shared" si="161"/>
        <v>2031E</v>
      </c>
      <c r="EP86" s="222" t="str">
        <f t="shared" si="161"/>
        <v>1h32E</v>
      </c>
      <c r="EQ86" s="222" t="str">
        <f t="shared" si="161"/>
        <v>2h32E</v>
      </c>
      <c r="ER86" s="682" t="str">
        <f t="shared" si="161"/>
        <v>2032E</v>
      </c>
      <c r="ES86" s="222" t="str">
        <f t="shared" si="161"/>
        <v>1h33E</v>
      </c>
      <c r="ET86" s="222" t="str">
        <f t="shared" si="161"/>
        <v>2h33E</v>
      </c>
      <c r="EU86" s="682" t="str">
        <f t="shared" ref="EU86:FA86" si="163">EU5</f>
        <v>2033E</v>
      </c>
      <c r="EV86" s="222" t="str">
        <f t="shared" si="163"/>
        <v>1h34E</v>
      </c>
      <c r="EW86" s="222" t="str">
        <f t="shared" si="163"/>
        <v>2h34E</v>
      </c>
      <c r="EX86" s="682" t="str">
        <f t="shared" si="163"/>
        <v>2034E</v>
      </c>
      <c r="EY86" s="222" t="str">
        <f t="shared" si="163"/>
        <v>1h35E</v>
      </c>
      <c r="EZ86" s="222" t="str">
        <f t="shared" si="163"/>
        <v>2h35E</v>
      </c>
      <c r="FA86" s="222" t="str">
        <f t="shared" si="163"/>
        <v>2035E</v>
      </c>
    </row>
    <row r="87" spans="1:157" ht="13.35" customHeight="1" outlineLevel="1">
      <c r="A87" s="760"/>
      <c r="B87" s="4" t="s">
        <v>925</v>
      </c>
      <c r="C87" s="4"/>
      <c r="D87" s="178" t="s">
        <v>357</v>
      </c>
      <c r="E87" s="197"/>
      <c r="F87" s="197"/>
      <c r="G87" s="197"/>
      <c r="H87" s="197"/>
      <c r="I87" s="197"/>
      <c r="J87" s="197"/>
      <c r="K87" s="197"/>
      <c r="L87" s="197"/>
      <c r="M87" s="197"/>
      <c r="N87" s="197"/>
      <c r="O87" s="197"/>
      <c r="P87" s="197"/>
      <c r="Q87" s="197"/>
      <c r="R87" s="197"/>
      <c r="S87" s="197"/>
      <c r="T87" s="197"/>
      <c r="U87" s="197"/>
      <c r="V87" s="197"/>
      <c r="W87" s="197"/>
      <c r="X87" s="197"/>
      <c r="Y87" s="197"/>
      <c r="Z87" s="197"/>
      <c r="AA87" s="197"/>
      <c r="AB87" s="197"/>
      <c r="AC87" s="197"/>
      <c r="AD87" s="197"/>
      <c r="AE87" s="197"/>
      <c r="AF87" s="197"/>
      <c r="AG87" s="197"/>
      <c r="AH87" s="197"/>
      <c r="AI87" s="197"/>
      <c r="AJ87" s="197"/>
      <c r="AK87" s="197"/>
      <c r="AL87" s="197"/>
      <c r="AM87" s="197"/>
      <c r="AN87" s="197"/>
      <c r="AO87" s="197"/>
      <c r="AP87" s="197"/>
      <c r="AQ87" s="197"/>
      <c r="AR87" s="196"/>
      <c r="AS87" s="196"/>
      <c r="AT87" s="194"/>
      <c r="AU87" s="196"/>
      <c r="AV87" s="196"/>
      <c r="AW87" s="194"/>
      <c r="AX87" s="196"/>
      <c r="AY87" s="196"/>
      <c r="AZ87" s="194"/>
      <c r="BA87" s="196"/>
      <c r="BB87" s="196"/>
      <c r="BC87" s="194"/>
      <c r="BD87" s="196"/>
      <c r="BE87" s="196"/>
      <c r="BF87" s="194"/>
      <c r="BG87" s="196"/>
      <c r="BH87" s="196"/>
      <c r="BI87" s="194"/>
      <c r="BJ87" s="196"/>
      <c r="BK87" s="196"/>
      <c r="BL87" s="194"/>
      <c r="BM87" s="196"/>
      <c r="BN87" s="196"/>
      <c r="BO87" s="197"/>
      <c r="BP87" s="196"/>
      <c r="BQ87" s="196"/>
      <c r="BR87" s="197"/>
      <c r="BS87" s="196"/>
      <c r="BT87" s="196"/>
      <c r="BU87" s="199"/>
      <c r="BV87" s="196"/>
      <c r="BW87" s="196"/>
      <c r="BX87" s="197"/>
      <c r="BY87" s="196"/>
      <c r="BZ87" s="196"/>
      <c r="CA87" s="197"/>
      <c r="CB87" s="196"/>
      <c r="CC87" s="196"/>
      <c r="CD87" s="197"/>
      <c r="CE87" s="196"/>
      <c r="CF87" s="196"/>
      <c r="CG87" s="197"/>
      <c r="CH87" s="196"/>
      <c r="CI87" s="196"/>
      <c r="CJ87" s="197"/>
      <c r="CK87" s="196"/>
      <c r="CL87" s="196"/>
      <c r="CM87" s="197"/>
      <c r="CN87" s="196"/>
      <c r="CO87" s="196"/>
      <c r="CP87" s="197"/>
      <c r="CQ87" s="196"/>
      <c r="CR87" s="196"/>
      <c r="CS87" s="197"/>
      <c r="CT87" s="196"/>
      <c r="CU87" s="196"/>
      <c r="CV87" s="197"/>
      <c r="CW87" s="196"/>
      <c r="CX87" s="196"/>
      <c r="CY87" s="516"/>
      <c r="CZ87" s="505"/>
      <c r="DA87" s="505"/>
      <c r="DB87" s="516"/>
      <c r="DC87" s="505"/>
      <c r="DD87" s="505"/>
      <c r="DE87" s="778"/>
      <c r="DF87" s="505"/>
      <c r="DG87" s="505"/>
      <c r="DH87" s="778"/>
      <c r="DI87" s="301">
        <f>DK87/2</f>
        <v>-0.45000000000004547</v>
      </c>
      <c r="DJ87" s="301">
        <f>DK87-DI87</f>
        <v>-0.45000000000004547</v>
      </c>
      <c r="DK87" s="674">
        <f>DK95-DK93-DK91-DK89-DK82</f>
        <v>-0.90000000000009095</v>
      </c>
      <c r="DL87" s="666">
        <v>0</v>
      </c>
      <c r="DM87" s="631">
        <f>DN87-DL87</f>
        <v>-114.9</v>
      </c>
      <c r="DN87" s="685">
        <v>-114.9</v>
      </c>
      <c r="DO87" s="666">
        <v>-88.3</v>
      </c>
      <c r="DP87" s="631">
        <f>DQ87-DO87</f>
        <v>-146.69999999999999</v>
      </c>
      <c r="DQ87" s="685">
        <v>-235</v>
      </c>
      <c r="DR87" s="666">
        <v>-132</v>
      </c>
      <c r="DS87" s="631">
        <f>DT87-DR87</f>
        <v>-169</v>
      </c>
      <c r="DT87" s="685">
        <v>-301</v>
      </c>
      <c r="DU87" s="666">
        <v>-155</v>
      </c>
      <c r="DV87" s="631">
        <f>DW87-DU87</f>
        <v>-209</v>
      </c>
      <c r="DW87" s="685">
        <v>-364</v>
      </c>
      <c r="DX87" s="666">
        <v>-168</v>
      </c>
      <c r="DY87" s="631">
        <v>-175</v>
      </c>
      <c r="DZ87" s="674">
        <f>SUM(DX87:DY87)</f>
        <v>-343</v>
      </c>
      <c r="EA87" s="631">
        <v>-180</v>
      </c>
      <c r="EB87" s="631">
        <v>-185</v>
      </c>
      <c r="EC87" s="674">
        <f>SUM(EA87:EB87)</f>
        <v>-365</v>
      </c>
      <c r="ED87" s="631">
        <f>EA87</f>
        <v>-180</v>
      </c>
      <c r="EE87" s="631">
        <f>EB87</f>
        <v>-185</v>
      </c>
      <c r="EF87" s="674">
        <f>SUM(ED87:EE87)</f>
        <v>-365</v>
      </c>
      <c r="EG87" s="631">
        <f>ED87</f>
        <v>-180</v>
      </c>
      <c r="EH87" s="631">
        <f>EE87</f>
        <v>-185</v>
      </c>
      <c r="EI87" s="674">
        <f>SUM(EG87:EH87)</f>
        <v>-365</v>
      </c>
      <c r="EJ87" s="631">
        <f>EG87</f>
        <v>-180</v>
      </c>
      <c r="EK87" s="631">
        <f>EH87</f>
        <v>-185</v>
      </c>
      <c r="EL87" s="674">
        <f>SUM(EJ87:EK87)</f>
        <v>-365</v>
      </c>
      <c r="EM87" s="631">
        <f>EJ87</f>
        <v>-180</v>
      </c>
      <c r="EN87" s="631">
        <f>EK87</f>
        <v>-185</v>
      </c>
      <c r="EO87" s="674">
        <f>SUM(EM87:EN87)</f>
        <v>-365</v>
      </c>
      <c r="EP87" s="631">
        <f>EM87</f>
        <v>-180</v>
      </c>
      <c r="EQ87" s="631">
        <f>EN87</f>
        <v>-185</v>
      </c>
      <c r="ER87" s="674">
        <f>SUM(EP87:EQ87)</f>
        <v>-365</v>
      </c>
      <c r="ES87" s="631">
        <f>EP87</f>
        <v>-180</v>
      </c>
      <c r="ET87" s="631">
        <f>EQ87</f>
        <v>-185</v>
      </c>
      <c r="EU87" s="674">
        <f>SUM(ES87:ET87)</f>
        <v>-365</v>
      </c>
      <c r="EV87" s="631">
        <f>ES87</f>
        <v>-180</v>
      </c>
      <c r="EW87" s="631">
        <f>ET87</f>
        <v>-185</v>
      </c>
      <c r="EX87" s="674">
        <f>SUM(EV87:EW87)</f>
        <v>-365</v>
      </c>
      <c r="EY87" s="631">
        <f>EV87</f>
        <v>-180</v>
      </c>
      <c r="EZ87" s="631">
        <f>EW87</f>
        <v>-185</v>
      </c>
      <c r="FA87" s="6">
        <f>SUM(EY87:EZ87)</f>
        <v>-365</v>
      </c>
    </row>
    <row r="88" spans="1:157" ht="13.35" customHeight="1" outlineLevel="1">
      <c r="A88" s="760"/>
      <c r="B88" s="4" t="s">
        <v>120</v>
      </c>
      <c r="C88" s="4"/>
      <c r="D88" s="178" t="s">
        <v>507</v>
      </c>
      <c r="E88" s="197"/>
      <c r="F88" s="197"/>
      <c r="G88" s="197"/>
      <c r="H88" s="197"/>
      <c r="I88" s="197"/>
      <c r="J88" s="197"/>
      <c r="K88" s="197"/>
      <c r="L88" s="197"/>
      <c r="M88" s="197"/>
      <c r="N88" s="197"/>
      <c r="O88" s="197"/>
      <c r="P88" s="197"/>
      <c r="Q88" s="197"/>
      <c r="R88" s="197"/>
      <c r="S88" s="197"/>
      <c r="T88" s="197"/>
      <c r="U88" s="197"/>
      <c r="V88" s="197"/>
      <c r="W88" s="197"/>
      <c r="X88" s="197"/>
      <c r="Y88" s="197"/>
      <c r="Z88" s="197"/>
      <c r="AA88" s="197"/>
      <c r="AB88" s="197"/>
      <c r="AC88" s="197"/>
      <c r="AD88" s="197"/>
      <c r="AE88" s="197"/>
      <c r="AF88" s="197"/>
      <c r="AG88" s="197"/>
      <c r="AH88" s="197"/>
      <c r="AI88" s="197"/>
      <c r="AJ88" s="197"/>
      <c r="AK88" s="197"/>
      <c r="AL88" s="197"/>
      <c r="AM88" s="197"/>
      <c r="AN88" s="197"/>
      <c r="AO88" s="197"/>
      <c r="AP88" s="197"/>
      <c r="AQ88" s="197"/>
      <c r="AR88" s="196"/>
      <c r="AS88" s="196"/>
      <c r="AT88" s="194"/>
      <c r="AU88" s="196"/>
      <c r="AV88" s="196"/>
      <c r="AW88" s="194"/>
      <c r="AX88" s="196"/>
      <c r="AY88" s="196"/>
      <c r="AZ88" s="194"/>
      <c r="BA88" s="196"/>
      <c r="BB88" s="196"/>
      <c r="BC88" s="194"/>
      <c r="BD88" s="196"/>
      <c r="BE88" s="196"/>
      <c r="BF88" s="194"/>
      <c r="BG88" s="196"/>
      <c r="BH88" s="196"/>
      <c r="BI88" s="194"/>
      <c r="BJ88" s="196"/>
      <c r="BK88" s="196"/>
      <c r="BL88" s="194"/>
      <c r="BM88" s="196"/>
      <c r="BN88" s="196"/>
      <c r="BO88" s="197"/>
      <c r="BP88" s="196"/>
      <c r="BQ88" s="196"/>
      <c r="BR88" s="197"/>
      <c r="BS88" s="196"/>
      <c r="BT88" s="196"/>
      <c r="BU88" s="199"/>
      <c r="BV88" s="196"/>
      <c r="BW88" s="196"/>
      <c r="BX88" s="197"/>
      <c r="BY88" s="196"/>
      <c r="BZ88" s="196"/>
      <c r="CA88" s="197"/>
      <c r="CB88" s="196"/>
      <c r="CC88" s="196"/>
      <c r="CD88" s="197"/>
      <c r="CE88" s="196"/>
      <c r="CF88" s="196"/>
      <c r="CG88" s="197"/>
      <c r="CH88" s="196"/>
      <c r="CI88" s="196"/>
      <c r="CJ88" s="197"/>
      <c r="CK88" s="196"/>
      <c r="CL88" s="196"/>
      <c r="CM88" s="197"/>
      <c r="CN88" s="196"/>
      <c r="CO88" s="196"/>
      <c r="CP88" s="197"/>
      <c r="CQ88" s="196"/>
      <c r="CR88" s="196"/>
      <c r="CS88" s="197"/>
      <c r="CT88" s="196"/>
      <c r="CU88" s="196"/>
      <c r="CV88" s="197"/>
      <c r="CW88" s="196"/>
      <c r="CX88" s="196"/>
      <c r="CY88" s="516"/>
      <c r="CZ88" s="505"/>
      <c r="DA88" s="505"/>
      <c r="DB88" s="516"/>
      <c r="DC88" s="505"/>
      <c r="DD88" s="505"/>
      <c r="DE88" s="778"/>
      <c r="DF88" s="505"/>
      <c r="DG88" s="505"/>
      <c r="DH88" s="778"/>
      <c r="DI88" s="613">
        <f>DI87/DI20</f>
        <v>-7.8400697835038745E-5</v>
      </c>
      <c r="DJ88" s="613">
        <f>DJ87/DJ20</f>
        <v>-9.8413231089616052E-5</v>
      </c>
      <c r="DK88" s="720">
        <f>DK87/DK20</f>
        <v>-8.7274413735975335E-5</v>
      </c>
      <c r="DL88" s="613">
        <f t="shared" ref="DL88:ER88" si="164">DL87/DL20</f>
        <v>0</v>
      </c>
      <c r="DM88" s="613">
        <f t="shared" si="164"/>
        <v>-2.5413607006989296E-2</v>
      </c>
      <c r="DN88" s="720">
        <f t="shared" si="164"/>
        <v>-1.0878209497841398E-2</v>
      </c>
      <c r="DO88" s="613">
        <f t="shared" si="164"/>
        <v>-1.229120267260579E-2</v>
      </c>
      <c r="DP88" s="613">
        <f t="shared" si="164"/>
        <v>-2.3947110675808028E-2</v>
      </c>
      <c r="DQ88" s="720">
        <f t="shared" si="164"/>
        <v>-1.7655897821187077E-2</v>
      </c>
      <c r="DR88" s="613">
        <f t="shared" si="164"/>
        <v>-1.6391406929094746E-2</v>
      </c>
      <c r="DS88" s="613">
        <f t="shared" si="164"/>
        <v>-2.5048169556840076E-2</v>
      </c>
      <c r="DT88" s="720">
        <f t="shared" si="164"/>
        <v>-2.0337837837837838E-2</v>
      </c>
      <c r="DU88" s="613">
        <f t="shared" si="164"/>
        <v>-1.8271837793233527E-2</v>
      </c>
      <c r="DV88" s="613">
        <f>DV87/DV20</f>
        <v>-2.9540636042402826E-2</v>
      </c>
      <c r="DW88" s="720">
        <f>DW87/DW20</f>
        <v>-2.3396323434888802E-2</v>
      </c>
      <c r="DX88" s="613">
        <f t="shared" ref="DX88" si="165">DX87/DX20</f>
        <v>-2.0163226116178587E-2</v>
      </c>
      <c r="DY88" s="613">
        <f t="shared" si="164"/>
        <v>-2.3052440104115956E-2</v>
      </c>
      <c r="DZ88" s="720">
        <f t="shared" si="164"/>
        <v>-2.1540642986945781E-2</v>
      </c>
      <c r="EA88" s="613">
        <f t="shared" si="164"/>
        <v>-2.0286352961502573E-2</v>
      </c>
      <c r="EB88" s="613">
        <f t="shared" si="164"/>
        <v>-2.3422678841285859E-2</v>
      </c>
      <c r="EC88" s="720">
        <f t="shared" si="164"/>
        <v>-2.1763385040730561E-2</v>
      </c>
      <c r="ED88" s="613">
        <f t="shared" si="164"/>
        <v>-1.9412305127635244E-2</v>
      </c>
      <c r="EE88" s="613">
        <f t="shared" si="164"/>
        <v>-2.2045285874327129E-2</v>
      </c>
      <c r="EF88" s="720">
        <f t="shared" si="164"/>
        <v>-2.0663161920349726E-2</v>
      </c>
      <c r="EG88" s="613">
        <f t="shared" si="164"/>
        <v>-1.8363708155231338E-2</v>
      </c>
      <c r="EH88" s="613">
        <f t="shared" si="164"/>
        <v>-2.0696727016380003E-2</v>
      </c>
      <c r="EI88" s="720">
        <f t="shared" si="164"/>
        <v>-1.9476479409976735E-2</v>
      </c>
      <c r="EJ88" s="613">
        <f t="shared" si="164"/>
        <v>-1.7358598250819448E-2</v>
      </c>
      <c r="EK88" s="613">
        <f t="shared" si="164"/>
        <v>-1.9404704865780758E-2</v>
      </c>
      <c r="EL88" s="720">
        <f t="shared" si="164"/>
        <v>-1.8338693952151989E-2</v>
      </c>
      <c r="EM88" s="613">
        <f t="shared" si="164"/>
        <v>-1.6473704010187631E-2</v>
      </c>
      <c r="EN88" s="613">
        <f t="shared" si="164"/>
        <v>-1.8394321880990334E-2</v>
      </c>
      <c r="EO88" s="720">
        <f t="shared" si="164"/>
        <v>-1.7394241640505587E-2</v>
      </c>
      <c r="EP88" s="613">
        <f t="shared" si="164"/>
        <v>-1.5643780526879141E-2</v>
      </c>
      <c r="EQ88" s="613">
        <f t="shared" si="164"/>
        <v>-1.7384793427514273E-2</v>
      </c>
      <c r="ER88" s="720">
        <f t="shared" si="164"/>
        <v>-1.6480300763808152E-2</v>
      </c>
      <c r="ES88" s="613">
        <f t="shared" ref="ES88:FA88" si="166">ES87/ES20</f>
        <v>-1.4835378959541991E-2</v>
      </c>
      <c r="ET88" s="613">
        <f t="shared" si="166"/>
        <v>-1.6425221804312076E-2</v>
      </c>
      <c r="EU88" s="720">
        <f t="shared" si="166"/>
        <v>-1.5600741232971914E-2</v>
      </c>
      <c r="EV88" s="613">
        <f t="shared" si="166"/>
        <v>-1.4063606294343046E-2</v>
      </c>
      <c r="EW88" s="613">
        <f t="shared" si="166"/>
        <v>-1.5513613658830803E-2</v>
      </c>
      <c r="EX88" s="720">
        <f t="shared" si="166"/>
        <v>-1.4762981405392376E-2</v>
      </c>
      <c r="EY88" s="613">
        <f t="shared" si="166"/>
        <v>-1.3327193412873896E-2</v>
      </c>
      <c r="EZ88" s="613">
        <f t="shared" si="166"/>
        <v>-1.4648011751900347E-2</v>
      </c>
      <c r="FA88" s="611">
        <f t="shared" si="166"/>
        <v>-1.396545447093687E-2</v>
      </c>
    </row>
    <row r="89" spans="1:157" ht="13.35" customHeight="1" outlineLevel="1">
      <c r="A89" s="760"/>
      <c r="B89" s="4" t="s">
        <v>182</v>
      </c>
      <c r="C89" s="4"/>
      <c r="D89" s="178" t="s">
        <v>357</v>
      </c>
      <c r="E89" s="197"/>
      <c r="F89" s="197"/>
      <c r="G89" s="197"/>
      <c r="H89" s="197"/>
      <c r="I89" s="197"/>
      <c r="J89" s="197"/>
      <c r="K89" s="197"/>
      <c r="L89" s="197"/>
      <c r="M89" s="197"/>
      <c r="N89" s="197"/>
      <c r="O89" s="197"/>
      <c r="P89" s="197"/>
      <c r="Q89" s="197"/>
      <c r="R89" s="197"/>
      <c r="S89" s="197"/>
      <c r="T89" s="197"/>
      <c r="U89" s="197"/>
      <c r="V89" s="197"/>
      <c r="W89" s="197"/>
      <c r="X89" s="197"/>
      <c r="Y89" s="197"/>
      <c r="Z89" s="197"/>
      <c r="AA89" s="197"/>
      <c r="AB89" s="197"/>
      <c r="AC89" s="197"/>
      <c r="AD89" s="197"/>
      <c r="AE89" s="197"/>
      <c r="AF89" s="197"/>
      <c r="AG89" s="197"/>
      <c r="AH89" s="197"/>
      <c r="AI89" s="197"/>
      <c r="AJ89" s="197"/>
      <c r="AK89" s="197"/>
      <c r="AL89" s="197"/>
      <c r="AM89" s="197"/>
      <c r="AN89" s="197"/>
      <c r="AO89" s="197"/>
      <c r="AP89" s="197"/>
      <c r="AQ89" s="197"/>
      <c r="AR89" s="196"/>
      <c r="AS89" s="196"/>
      <c r="AT89" s="194"/>
      <c r="AU89" s="196"/>
      <c r="AV89" s="196"/>
      <c r="AW89" s="194"/>
      <c r="AX89" s="196"/>
      <c r="AY89" s="196"/>
      <c r="AZ89" s="194"/>
      <c r="BA89" s="196"/>
      <c r="BB89" s="196"/>
      <c r="BC89" s="194"/>
      <c r="BD89" s="194"/>
      <c r="BE89" s="194"/>
      <c r="BF89" s="194"/>
      <c r="BG89" s="194"/>
      <c r="BH89" s="194"/>
      <c r="BI89" s="194"/>
      <c r="BJ89" s="194"/>
      <c r="BK89" s="194"/>
      <c r="BL89" s="194"/>
      <c r="BM89" s="194"/>
      <c r="BN89" s="194"/>
      <c r="BO89" s="194"/>
      <c r="BP89" s="194"/>
      <c r="BQ89" s="194"/>
      <c r="BR89" s="194"/>
      <c r="BS89" s="194"/>
      <c r="BT89" s="194"/>
      <c r="BU89" s="194"/>
      <c r="BV89" s="189">
        <v>11.423</v>
      </c>
      <c r="BW89" s="189">
        <v>11.423</v>
      </c>
      <c r="BX89" s="182">
        <v>22.846</v>
      </c>
      <c r="BY89" s="189">
        <v>11.423</v>
      </c>
      <c r="BZ89" s="189">
        <v>12.4</v>
      </c>
      <c r="CA89" s="182">
        <v>23.823</v>
      </c>
      <c r="CB89" s="189">
        <v>11.706750000000012</v>
      </c>
      <c r="CC89" s="189">
        <v>11.706750000000012</v>
      </c>
      <c r="CD89" s="182">
        <v>23.413500000000024</v>
      </c>
      <c r="CE89" s="189">
        <v>13.138999999999999</v>
      </c>
      <c r="CF89" s="189">
        <v>13.138999999999999</v>
      </c>
      <c r="CG89" s="182">
        <v>26.277999999999999</v>
      </c>
      <c r="CH89" s="189">
        <v>14.8</v>
      </c>
      <c r="CI89" s="189">
        <v>14.899999999999999</v>
      </c>
      <c r="CJ89" s="182">
        <v>29.7</v>
      </c>
      <c r="CK89" s="189">
        <v>14.8</v>
      </c>
      <c r="CL89" s="189">
        <v>16.3</v>
      </c>
      <c r="CM89" s="182">
        <v>31.1</v>
      </c>
      <c r="CN89" s="189">
        <v>15</v>
      </c>
      <c r="CO89" s="189">
        <v>14.4</v>
      </c>
      <c r="CP89" s="182">
        <v>29.4</v>
      </c>
      <c r="CQ89" s="189">
        <v>12.3</v>
      </c>
      <c r="CR89" s="189">
        <v>12.700000000000001</v>
      </c>
      <c r="CS89" s="182">
        <v>25</v>
      </c>
      <c r="CT89" s="189">
        <v>14.549364887261516</v>
      </c>
      <c r="CU89" s="189">
        <v>21.950635112738482</v>
      </c>
      <c r="CV89" s="182">
        <v>36.5</v>
      </c>
      <c r="CW89" s="189">
        <v>30.3</v>
      </c>
      <c r="CX89" s="189">
        <v>41.100000000000009</v>
      </c>
      <c r="CY89" s="499">
        <v>71.400000000000006</v>
      </c>
      <c r="CZ89" s="300">
        <v>27.099999999999998</v>
      </c>
      <c r="DA89" s="300">
        <v>30.7</v>
      </c>
      <c r="DB89" s="499">
        <v>57.8</v>
      </c>
      <c r="DC89" s="300">
        <v>36.200000000000003</v>
      </c>
      <c r="DD89" s="300">
        <v>66.100000000000009</v>
      </c>
      <c r="DE89" s="828">
        <v>102.30000000000001</v>
      </c>
      <c r="DF89" s="827">
        <v>36.400000000000006</v>
      </c>
      <c r="DG89" s="827">
        <v>36.099999999999994</v>
      </c>
      <c r="DH89" s="828">
        <v>72.5</v>
      </c>
      <c r="DI89" s="827">
        <f>DK89/2</f>
        <v>47.95</v>
      </c>
      <c r="DJ89" s="827">
        <f>DK89-DI89</f>
        <v>47.95</v>
      </c>
      <c r="DK89" s="685">
        <v>95.9</v>
      </c>
      <c r="DL89" s="666">
        <f>47.2</f>
        <v>47.2</v>
      </c>
      <c r="DM89" s="631">
        <f>DN89-DL89</f>
        <v>49.599999999999994</v>
      </c>
      <c r="DN89" s="685">
        <v>96.8</v>
      </c>
      <c r="DO89" s="666">
        <v>53.3</v>
      </c>
      <c r="DP89" s="631">
        <f>DQ89-DO89</f>
        <v>52.7</v>
      </c>
      <c r="DQ89" s="685">
        <v>106</v>
      </c>
      <c r="DR89" s="666">
        <v>50</v>
      </c>
      <c r="DS89" s="631">
        <f>DT89-DR89</f>
        <v>59</v>
      </c>
      <c r="DT89" s="685">
        <v>109</v>
      </c>
      <c r="DU89" s="666">
        <v>54</v>
      </c>
      <c r="DV89" s="631">
        <f>DW89-DU89</f>
        <v>50</v>
      </c>
      <c r="DW89" s="685">
        <v>104</v>
      </c>
      <c r="DX89" s="666">
        <v>49</v>
      </c>
      <c r="DY89" s="631">
        <f>+DY20*DY90</f>
        <v>58.453681862485666</v>
      </c>
      <c r="DZ89" s="674">
        <f>SUM(DX89:DY89)</f>
        <v>107.45368186248567</v>
      </c>
      <c r="EA89" s="631">
        <f>+EA20*EA90</f>
        <v>68.32179261744156</v>
      </c>
      <c r="EB89" s="631">
        <f>+EB20*EB90</f>
        <v>60.817125558205269</v>
      </c>
      <c r="EC89" s="674">
        <f>SUM(EA89:EB89)</f>
        <v>129.13891817564684</v>
      </c>
      <c r="ED89" s="631">
        <f>+ED20*ED90</f>
        <v>71.398012285872142</v>
      </c>
      <c r="EE89" s="631">
        <f>+EE20*EE90</f>
        <v>64.616989233916158</v>
      </c>
      <c r="EF89" s="674">
        <f>SUM(ED89:EE89)</f>
        <v>136.01500151978831</v>
      </c>
      <c r="EG89" s="631">
        <f>+EG20*EG90</f>
        <v>75.474952459705975</v>
      </c>
      <c r="EH89" s="631">
        <f>+EH20*EH90</f>
        <v>68.827307760913527</v>
      </c>
      <c r="EI89" s="674">
        <f>SUM(EG89:EH89)</f>
        <v>144.3022602206195</v>
      </c>
      <c r="EJ89" s="631">
        <f>+EJ20*EJ90</f>
        <v>79.84515684810961</v>
      </c>
      <c r="EK89" s="631">
        <f>+EK20*EK90</f>
        <v>73.410031734728193</v>
      </c>
      <c r="EL89" s="674">
        <f>SUM(EJ89:EK89)</f>
        <v>153.2551885828378</v>
      </c>
      <c r="EM89" s="631">
        <f>+EM20*EM90</f>
        <v>84.134084183063678</v>
      </c>
      <c r="EN89" s="631">
        <f>+EN20*EN90</f>
        <v>77.442376469020786</v>
      </c>
      <c r="EO89" s="674">
        <f>SUM(EM89:EN89)</f>
        <v>161.57646065208445</v>
      </c>
      <c r="EP89" s="631">
        <f>+EP20*EP90</f>
        <v>88.597509893377449</v>
      </c>
      <c r="EQ89" s="631">
        <f>+EQ20*EQ90</f>
        <v>81.939426311818949</v>
      </c>
      <c r="ER89" s="674">
        <f>SUM(EP89:EQ89)</f>
        <v>170.53693620519641</v>
      </c>
      <c r="ES89" s="631">
        <f>+ES20*ES90</f>
        <v>93.425318205878156</v>
      </c>
      <c r="ET89" s="631">
        <f>+ET20*ET90</f>
        <v>86.726378308390906</v>
      </c>
      <c r="EU89" s="674">
        <f>SUM(ES89:ET89)</f>
        <v>180.15169651426908</v>
      </c>
      <c r="EV89" s="631">
        <f>+EV20*EV90</f>
        <v>98.552246912479745</v>
      </c>
      <c r="EW89" s="631">
        <f>+EW20*EW90</f>
        <v>91.822577983894348</v>
      </c>
      <c r="EX89" s="674">
        <f>SUM(EV89:EW89)</f>
        <v>190.37482489637409</v>
      </c>
      <c r="EY89" s="631">
        <f>+EY20*EY90</f>
        <v>103.99789040812914</v>
      </c>
      <c r="EZ89" s="631">
        <f>+EZ20*EZ90</f>
        <v>97.248693141934012</v>
      </c>
      <c r="FA89" s="776">
        <f>SUM(EY89:EZ89)</f>
        <v>201.24658355006315</v>
      </c>
    </row>
    <row r="90" spans="1:157" ht="13.35" customHeight="1" outlineLevel="1">
      <c r="A90" s="760"/>
      <c r="B90" s="4" t="s">
        <v>120</v>
      </c>
      <c r="C90" s="4"/>
      <c r="D90" s="178" t="s">
        <v>507</v>
      </c>
      <c r="E90" s="197"/>
      <c r="F90" s="197"/>
      <c r="G90" s="197"/>
      <c r="H90" s="197"/>
      <c r="I90" s="197"/>
      <c r="J90" s="197"/>
      <c r="K90" s="197"/>
      <c r="L90" s="197"/>
      <c r="M90" s="197"/>
      <c r="N90" s="197"/>
      <c r="O90" s="197"/>
      <c r="P90" s="197"/>
      <c r="Q90" s="197"/>
      <c r="R90" s="197"/>
      <c r="S90" s="197"/>
      <c r="T90" s="197"/>
      <c r="U90" s="197"/>
      <c r="V90" s="197"/>
      <c r="W90" s="197"/>
      <c r="X90" s="197"/>
      <c r="Y90" s="197"/>
      <c r="Z90" s="197"/>
      <c r="AA90" s="197"/>
      <c r="AB90" s="197"/>
      <c r="AC90" s="197"/>
      <c r="AD90" s="197"/>
      <c r="AE90" s="197"/>
      <c r="AF90" s="197"/>
      <c r="AG90" s="197"/>
      <c r="AH90" s="197"/>
      <c r="AI90" s="197"/>
      <c r="AJ90" s="197"/>
      <c r="AK90" s="197"/>
      <c r="AL90" s="197"/>
      <c r="AM90" s="197"/>
      <c r="AN90" s="197"/>
      <c r="AO90" s="197"/>
      <c r="AP90" s="197"/>
      <c r="AQ90" s="197"/>
      <c r="AR90" s="196"/>
      <c r="AS90" s="196"/>
      <c r="AT90" s="194"/>
      <c r="AU90" s="196"/>
      <c r="AV90" s="196"/>
      <c r="AW90" s="194"/>
      <c r="AX90" s="196"/>
      <c r="AY90" s="196"/>
      <c r="AZ90" s="194"/>
      <c r="BA90" s="196"/>
      <c r="BB90" s="196"/>
      <c r="BC90" s="194"/>
      <c r="BD90" s="194"/>
      <c r="BE90" s="194"/>
      <c r="BF90" s="194"/>
      <c r="BG90" s="194"/>
      <c r="BH90" s="194"/>
      <c r="BI90" s="194"/>
      <c r="BJ90" s="194"/>
      <c r="BK90" s="194"/>
      <c r="BL90" s="194"/>
      <c r="BM90" s="194"/>
      <c r="BN90" s="194"/>
      <c r="BO90" s="194"/>
      <c r="BP90" s="194"/>
      <c r="BQ90" s="194"/>
      <c r="BR90" s="194"/>
      <c r="BS90" s="194"/>
      <c r="BT90" s="194"/>
      <c r="BU90" s="194"/>
      <c r="BV90" s="204">
        <v>7.3929476710955797E-3</v>
      </c>
      <c r="BW90" s="204">
        <v>6.7080521757076792E-3</v>
      </c>
      <c r="BX90" s="240">
        <v>6.6840257460503219E-3</v>
      </c>
      <c r="BY90" s="204">
        <v>6.3505837774121667E-3</v>
      </c>
      <c r="BZ90" s="204">
        <v>7.2614201660696695E-3</v>
      </c>
      <c r="CA90" s="240">
        <v>6.5297468901351682E-3</v>
      </c>
      <c r="CB90" s="204">
        <v>5.5972196777575884E-3</v>
      </c>
      <c r="CC90" s="204">
        <v>5.9392918888652056E-3</v>
      </c>
      <c r="CD90" s="240">
        <v>5.6365050503277003E-3</v>
      </c>
      <c r="CE90" s="204">
        <v>6.4259188103997942E-3</v>
      </c>
      <c r="CF90" s="204">
        <v>5.9814951643789409E-3</v>
      </c>
      <c r="CG90" s="240">
        <v>6.0627932291280936E-3</v>
      </c>
      <c r="CH90" s="204">
        <v>6.4177289648621591E-3</v>
      </c>
      <c r="CI90" s="204">
        <v>6.4274330721642891E-3</v>
      </c>
      <c r="CJ90" s="240">
        <v>6.2320974486332163E-3</v>
      </c>
      <c r="CK90" s="204">
        <v>5.938289932993621E-3</v>
      </c>
      <c r="CL90" s="204">
        <v>6.6040029171055793E-3</v>
      </c>
      <c r="CM90" s="240">
        <v>6.1042631702912754E-3</v>
      </c>
      <c r="CN90" s="204">
        <v>5.8270530650299125E-3</v>
      </c>
      <c r="CO90" s="204">
        <v>5.2162573353618799E-3</v>
      </c>
      <c r="CP90" s="240">
        <v>5.5109844792682015E-3</v>
      </c>
      <c r="CQ90" s="204">
        <v>4.3375533378001907E-3</v>
      </c>
      <c r="CR90" s="204">
        <v>4.6017827378795539E-3</v>
      </c>
      <c r="CS90" s="240">
        <v>4.4678759717630221E-3</v>
      </c>
      <c r="CT90" s="204">
        <v>4.6398982897747605E-3</v>
      </c>
      <c r="CU90" s="204">
        <v>7.5181330796745697E-3</v>
      </c>
      <c r="CV90" s="240">
        <v>6.0276777752089018E-3</v>
      </c>
      <c r="CW90" s="204">
        <v>8.4250917584250927E-3</v>
      </c>
      <c r="CX90" s="204">
        <v>1.3096679625262894E-2</v>
      </c>
      <c r="CY90" s="518">
        <v>1.0601965966798327E-2</v>
      </c>
      <c r="CZ90" s="505">
        <v>6.6429213481293079E-3</v>
      </c>
      <c r="DA90" s="505">
        <v>8.3288805531521164E-3</v>
      </c>
      <c r="DB90" s="518">
        <v>7.443178159809413E-3</v>
      </c>
      <c r="DC90" s="505">
        <v>8.1963501335869226E-3</v>
      </c>
      <c r="DD90" s="505">
        <v>1.6667927478124917E-2</v>
      </c>
      <c r="DE90" s="678">
        <v>1.2204287606026985E-2</v>
      </c>
      <c r="DF90" s="562">
        <f>DF89/DF20</f>
        <v>7.4124872160236787E-3</v>
      </c>
      <c r="DG90" s="562">
        <f>DG89/DG20</f>
        <v>8.5136066569022704E-3</v>
      </c>
      <c r="DH90" s="678">
        <f>DH89/DH9</f>
        <v>8.0931405642057849E-3</v>
      </c>
      <c r="DI90" s="562">
        <f>DI89/DI20</f>
        <v>8.3540299137549508E-3</v>
      </c>
      <c r="DJ90" s="562">
        <f>DJ89/DJ20</f>
        <v>1.0486476512770251E-2</v>
      </c>
      <c r="DK90" s="678">
        <f>DK89/DK9</f>
        <v>9.4331264241336241E-3</v>
      </c>
      <c r="DL90" s="562">
        <f>DL89/DL20</f>
        <v>7.8130172813348341E-3</v>
      </c>
      <c r="DM90" s="562">
        <f>DM89/DM20</f>
        <v>1.0970538795010174E-2</v>
      </c>
      <c r="DN90" s="678">
        <f>DN89/DN9</f>
        <v>9.3765740633112472E-3</v>
      </c>
      <c r="DO90" s="562">
        <f>DO89/DO20</f>
        <v>7.4192650334075723E-3</v>
      </c>
      <c r="DP90" s="562">
        <f>DP89/DP20</f>
        <v>8.6026771139405822E-3</v>
      </c>
      <c r="DQ90" s="678">
        <f>DQ89/DQ9</f>
        <v>8.2760774515927542E-3</v>
      </c>
      <c r="DR90" s="562">
        <f>DR89/DR$9</f>
        <v>6.4061499039077515E-3</v>
      </c>
      <c r="DS90" s="562">
        <v>7.7000000000000002E-3</v>
      </c>
      <c r="DT90" s="678">
        <f>DT89/DT9</f>
        <v>7.6314499754953444E-3</v>
      </c>
      <c r="DU90" s="562">
        <f>DU89/DU20</f>
        <v>6.3656725215136154E-3</v>
      </c>
      <c r="DV90" s="562">
        <v>7.7000000000000002E-3</v>
      </c>
      <c r="DW90" s="678">
        <f>DW89/DW9</f>
        <v>6.9052519753004448E-3</v>
      </c>
      <c r="DX90" s="562">
        <f>DX89/DX20</f>
        <v>5.8809409505520887E-3</v>
      </c>
      <c r="DY90" s="562">
        <f>+DV90</f>
        <v>7.7000000000000002E-3</v>
      </c>
      <c r="DZ90" s="678">
        <f>DZ89/DZ9</f>
        <v>6.9427138208647482E-3</v>
      </c>
      <c r="EA90" s="562">
        <f>+DY90</f>
        <v>7.7000000000000002E-3</v>
      </c>
      <c r="EB90" s="562">
        <f>+EA90</f>
        <v>7.7000000000000002E-3</v>
      </c>
      <c r="EC90" s="678">
        <f>EC89/EC9</f>
        <v>7.9056005340536559E-3</v>
      </c>
      <c r="ED90" s="562">
        <f>+EB90</f>
        <v>7.7000000000000002E-3</v>
      </c>
      <c r="EE90" s="562">
        <f>+ED90</f>
        <v>7.7000000000000002E-3</v>
      </c>
      <c r="EF90" s="678">
        <f>EF89/EF9</f>
        <v>7.8958601583135821E-3</v>
      </c>
      <c r="EG90" s="562">
        <f>+EE90</f>
        <v>7.7000000000000002E-3</v>
      </c>
      <c r="EH90" s="562">
        <f>+EG90</f>
        <v>7.7000000000000002E-3</v>
      </c>
      <c r="EI90" s="678">
        <f>EI89/EI9</f>
        <v>7.8852176724852861E-3</v>
      </c>
      <c r="EJ90" s="562">
        <f>+EH90</f>
        <v>7.7000000000000002E-3</v>
      </c>
      <c r="EK90" s="562">
        <f>+EJ90</f>
        <v>7.7000000000000002E-3</v>
      </c>
      <c r="EL90" s="678">
        <f>EL89/EL9</f>
        <v>7.874987456359072E-3</v>
      </c>
      <c r="EM90" s="562">
        <f>+EK90</f>
        <v>7.7000000000000002E-3</v>
      </c>
      <c r="EN90" s="562">
        <f>+EM90</f>
        <v>7.7000000000000002E-3</v>
      </c>
      <c r="EO90" s="678">
        <f>EO89/EO9</f>
        <v>7.8665839559721295E-3</v>
      </c>
      <c r="EP90" s="562">
        <f>+EN90</f>
        <v>7.7000000000000002E-3</v>
      </c>
      <c r="EQ90" s="562">
        <f>+EP90</f>
        <v>7.7000000000000002E-3</v>
      </c>
      <c r="ER90" s="678">
        <f>ER89/ER9</f>
        <v>7.8584228733886916E-3</v>
      </c>
      <c r="ES90" s="562">
        <f>+EQ90</f>
        <v>7.7000000000000002E-3</v>
      </c>
      <c r="ET90" s="562">
        <f>+ES90</f>
        <v>7.7000000000000002E-3</v>
      </c>
      <c r="EU90" s="678">
        <f>EU89/EU9</f>
        <v>7.8505434144114719E-3</v>
      </c>
      <c r="EV90" s="562">
        <f>+ET90</f>
        <v>7.7000000000000002E-3</v>
      </c>
      <c r="EW90" s="562">
        <f>+EV90</f>
        <v>7.7000000000000002E-3</v>
      </c>
      <c r="EX90" s="678">
        <f>EX89/EX9</f>
        <v>7.8430203520663475E-3</v>
      </c>
      <c r="EY90" s="562">
        <f>+EW90</f>
        <v>7.7000000000000002E-3</v>
      </c>
      <c r="EZ90" s="562">
        <f>+EY90</f>
        <v>7.7000000000000002E-3</v>
      </c>
      <c r="FA90" s="563">
        <f>FA89/FA9</f>
        <v>7.8358405671309968E-3</v>
      </c>
    </row>
    <row r="91" spans="1:157" ht="13.35" customHeight="1" outlineLevel="1">
      <c r="A91" s="760"/>
      <c r="B91" s="4" t="s">
        <v>180</v>
      </c>
      <c r="C91" s="4"/>
      <c r="D91" s="178" t="s">
        <v>357</v>
      </c>
      <c r="E91" s="197"/>
      <c r="F91" s="197"/>
      <c r="G91" s="197"/>
      <c r="H91" s="197"/>
      <c r="I91" s="197"/>
      <c r="J91" s="197"/>
      <c r="K91" s="197"/>
      <c r="L91" s="197"/>
      <c r="M91" s="197"/>
      <c r="N91" s="197"/>
      <c r="O91" s="197"/>
      <c r="P91" s="197"/>
      <c r="Q91" s="197"/>
      <c r="R91" s="197"/>
      <c r="S91" s="197"/>
      <c r="T91" s="197"/>
      <c r="U91" s="197"/>
      <c r="V91" s="197"/>
      <c r="W91" s="197"/>
      <c r="X91" s="197"/>
      <c r="Y91" s="197"/>
      <c r="Z91" s="197"/>
      <c r="AA91" s="197"/>
      <c r="AB91" s="197"/>
      <c r="AC91" s="197"/>
      <c r="AD91" s="197"/>
      <c r="AE91" s="197"/>
      <c r="AF91" s="197"/>
      <c r="AG91" s="197"/>
      <c r="AH91" s="197"/>
      <c r="AI91" s="197"/>
      <c r="AJ91" s="197"/>
      <c r="AK91" s="197"/>
      <c r="AL91" s="197"/>
      <c r="AM91" s="197"/>
      <c r="AN91" s="197"/>
      <c r="AO91" s="197"/>
      <c r="AP91" s="197"/>
      <c r="AQ91" s="197"/>
      <c r="AR91" s="196"/>
      <c r="AS91" s="196"/>
      <c r="AT91" s="194"/>
      <c r="AU91" s="196"/>
      <c r="AV91" s="196"/>
      <c r="AW91" s="194"/>
      <c r="AX91" s="196"/>
      <c r="AY91" s="196"/>
      <c r="AZ91" s="194"/>
      <c r="BA91" s="196"/>
      <c r="BB91" s="196"/>
      <c r="BC91" s="194"/>
      <c r="BD91" s="194"/>
      <c r="BE91" s="194"/>
      <c r="BF91" s="194"/>
      <c r="BG91" s="194"/>
      <c r="BH91" s="194"/>
      <c r="BI91" s="194"/>
      <c r="BJ91" s="194"/>
      <c r="BK91" s="194"/>
      <c r="BL91" s="194"/>
      <c r="BM91" s="194"/>
      <c r="BN91" s="194"/>
      <c r="BO91" s="194"/>
      <c r="BP91" s="194"/>
      <c r="BQ91" s="194"/>
      <c r="BR91" s="194"/>
      <c r="BS91" s="194"/>
      <c r="BT91" s="194"/>
      <c r="BU91" s="194"/>
      <c r="BV91" s="189">
        <v>56.896958918170711</v>
      </c>
      <c r="BW91" s="189">
        <v>47.364953535449217</v>
      </c>
      <c r="BX91" s="182">
        <v>104.26191245361993</v>
      </c>
      <c r="BY91" s="189">
        <v>63.585059975429189</v>
      </c>
      <c r="BZ91" s="189">
        <v>45.512020236216358</v>
      </c>
      <c r="CA91" s="182">
        <v>109.09708021164555</v>
      </c>
      <c r="CB91" s="189">
        <v>55.34370954725469</v>
      </c>
      <c r="CC91" s="189">
        <v>55.874091035778342</v>
      </c>
      <c r="CD91" s="182">
        <v>111.21780058303304</v>
      </c>
      <c r="CE91" s="189">
        <v>66.850979806289061</v>
      </c>
      <c r="CF91" s="189">
        <v>71.868020193710947</v>
      </c>
      <c r="CG91" s="182">
        <v>138.71899999999999</v>
      </c>
      <c r="CH91" s="189">
        <v>76.462787193121144</v>
      </c>
      <c r="CI91" s="189">
        <v>60.502276304628715</v>
      </c>
      <c r="CJ91" s="182">
        <v>136.96506349774987</v>
      </c>
      <c r="CK91" s="189">
        <v>75.601535375718413</v>
      </c>
      <c r="CL91" s="189">
        <v>79.453772814522523</v>
      </c>
      <c r="CM91" s="182">
        <v>155.05530819024094</v>
      </c>
      <c r="CN91" s="189">
        <v>73</v>
      </c>
      <c r="CO91" s="189">
        <v>79.999999999999858</v>
      </c>
      <c r="CP91" s="182">
        <v>152.99999999999986</v>
      </c>
      <c r="CQ91" s="189">
        <v>72.19999999999996</v>
      </c>
      <c r="CR91" s="189">
        <v>72.900000000000048</v>
      </c>
      <c r="CS91" s="182">
        <v>145.10000000000002</v>
      </c>
      <c r="CT91" s="189">
        <v>87.699999999999932</v>
      </c>
      <c r="CU91" s="189">
        <v>87.500000000000085</v>
      </c>
      <c r="CV91" s="182">
        <v>175.20000000000002</v>
      </c>
      <c r="CW91" s="189">
        <v>100.7</v>
      </c>
      <c r="CX91" s="189">
        <v>106.55728683243413</v>
      </c>
      <c r="CY91" s="499">
        <v>207.25728683243415</v>
      </c>
      <c r="CZ91" s="300">
        <v>114.2</v>
      </c>
      <c r="DA91" s="300">
        <v>124.69999999999999</v>
      </c>
      <c r="DB91" s="499">
        <v>238.89999999999998</v>
      </c>
      <c r="DC91" s="300">
        <v>129.70000000000002</v>
      </c>
      <c r="DD91" s="300">
        <v>143.39999999999998</v>
      </c>
      <c r="DE91" s="828">
        <v>273.10000000000002</v>
      </c>
      <c r="DF91" s="827">
        <v>168.31362052371691</v>
      </c>
      <c r="DG91" s="827">
        <v>179.39376498653402</v>
      </c>
      <c r="DH91" s="828">
        <v>347.7073855102509</v>
      </c>
      <c r="DI91" s="827">
        <f>DK91/2</f>
        <v>199.7</v>
      </c>
      <c r="DJ91" s="829">
        <f>DK91-DI91</f>
        <v>199.7</v>
      </c>
      <c r="DK91" s="685">
        <v>399.4</v>
      </c>
      <c r="DL91" s="666">
        <v>217</v>
      </c>
      <c r="DM91" s="631">
        <f>DN91-DL91</f>
        <v>228.7</v>
      </c>
      <c r="DN91" s="685">
        <v>445.7</v>
      </c>
      <c r="DO91" s="666">
        <v>239.9</v>
      </c>
      <c r="DP91" s="631">
        <f>DQ91-DO91</f>
        <v>250.1</v>
      </c>
      <c r="DQ91" s="685">
        <v>490</v>
      </c>
      <c r="DR91" s="666">
        <v>247</v>
      </c>
      <c r="DS91" s="631">
        <f>DT91-DR91</f>
        <v>281</v>
      </c>
      <c r="DT91" s="685">
        <v>528</v>
      </c>
      <c r="DU91" s="666">
        <v>267</v>
      </c>
      <c r="DV91" s="631">
        <f>DW91-DU91</f>
        <v>282</v>
      </c>
      <c r="DW91" s="685">
        <v>549</v>
      </c>
      <c r="DX91" s="666">
        <v>276</v>
      </c>
      <c r="DY91" s="631">
        <f>DY92*DY9</f>
        <v>251.89219999303535</v>
      </c>
      <c r="DZ91" s="674">
        <f>SUM(DX91:DY91)</f>
        <v>527.89219999303532</v>
      </c>
      <c r="EA91" s="631">
        <f>EA92*EA9</f>
        <v>302.53825280655246</v>
      </c>
      <c r="EB91" s="631">
        <f>EB92*EB9</f>
        <v>269.19087981002394</v>
      </c>
      <c r="EC91" s="674">
        <f>SUM(EA91:EB91)</f>
        <v>571.72913261657641</v>
      </c>
      <c r="ED91" s="631">
        <f>ED92*ED9</f>
        <v>339.09138855132534</v>
      </c>
      <c r="EE91" s="631">
        <f>EE92*EE9</f>
        <v>306.88795438595531</v>
      </c>
      <c r="EF91" s="674">
        <f>SUM(ED91:EE91)</f>
        <v>645.97934293728065</v>
      </c>
      <c r="EG91" s="631">
        <f>EG92*EG9</f>
        <v>382.83501427535566</v>
      </c>
      <c r="EH91" s="631">
        <f>EH92*EH9</f>
        <v>349.17907190084952</v>
      </c>
      <c r="EI91" s="674">
        <f>SUM(EG91:EH91)</f>
        <v>732.01408617620518</v>
      </c>
      <c r="EJ91" s="631">
        <f>EJ92*EJ9</f>
        <v>405.49549592619536</v>
      </c>
      <c r="EK91" s="631">
        <f>EK92*EK9</f>
        <v>372.94479712638025</v>
      </c>
      <c r="EL91" s="674">
        <f>SUM(EJ91:EK91)</f>
        <v>778.44029305257561</v>
      </c>
      <c r="EM91" s="631">
        <f>EM92*EM9</f>
        <v>427.73324771947279</v>
      </c>
      <c r="EN91" s="631">
        <f>EN92*EN9</f>
        <v>393.85061412652885</v>
      </c>
      <c r="EO91" s="674">
        <f>SUM(EM91:EN91)</f>
        <v>821.58386184600158</v>
      </c>
      <c r="EP91" s="631">
        <f>EP92*EP9</f>
        <v>450.87696343698889</v>
      </c>
      <c r="EQ91" s="631">
        <f>EQ92*EQ9</f>
        <v>417.1696609445666</v>
      </c>
      <c r="ER91" s="674">
        <f>SUM(EP91:EQ91)</f>
        <v>868.04662438155549</v>
      </c>
      <c r="ES91" s="631">
        <f>ES92*ES9</f>
        <v>475.91304457322701</v>
      </c>
      <c r="ET91" s="631">
        <f>ET92*ET9</f>
        <v>441.99384163574229</v>
      </c>
      <c r="EU91" s="674">
        <f>SUM(ES91:ET91)</f>
        <v>917.90688620896935</v>
      </c>
      <c r="EV91" s="631">
        <f>EV92*EV9</f>
        <v>502.50245625331064</v>
      </c>
      <c r="EW91" s="631">
        <f>EW92*EW9</f>
        <v>468.42362247969879</v>
      </c>
      <c r="EX91" s="674">
        <f>SUM(EV91:EW91)</f>
        <v>970.92607873300949</v>
      </c>
      <c r="EY91" s="631">
        <f>EY92*EY9</f>
        <v>530.74697676518372</v>
      </c>
      <c r="EZ91" s="631">
        <f>EZ92*EZ9</f>
        <v>496.56633736339785</v>
      </c>
      <c r="FA91" s="6">
        <f>SUM(EY91:EZ91)</f>
        <v>1027.3133141285816</v>
      </c>
    </row>
    <row r="92" spans="1:157" ht="13.35" customHeight="1" outlineLevel="1">
      <c r="A92" s="760"/>
      <c r="B92" s="4" t="s">
        <v>120</v>
      </c>
      <c r="C92" s="4"/>
      <c r="D92" s="178" t="s">
        <v>507</v>
      </c>
      <c r="E92" s="197"/>
      <c r="F92" s="197"/>
      <c r="G92" s="197"/>
      <c r="H92" s="197"/>
      <c r="I92" s="197"/>
      <c r="J92" s="197"/>
      <c r="K92" s="197"/>
      <c r="L92" s="197"/>
      <c r="M92" s="197"/>
      <c r="N92" s="197"/>
      <c r="O92" s="197"/>
      <c r="P92" s="197"/>
      <c r="Q92" s="197"/>
      <c r="R92" s="197"/>
      <c r="S92" s="197"/>
      <c r="T92" s="197"/>
      <c r="U92" s="197"/>
      <c r="V92" s="197"/>
      <c r="W92" s="197"/>
      <c r="X92" s="197"/>
      <c r="Y92" s="197"/>
      <c r="Z92" s="197"/>
      <c r="AA92" s="197"/>
      <c r="AB92" s="197"/>
      <c r="AC92" s="197"/>
      <c r="AD92" s="197"/>
      <c r="AE92" s="197"/>
      <c r="AF92" s="197"/>
      <c r="AG92" s="197"/>
      <c r="AH92" s="197"/>
      <c r="AI92" s="197"/>
      <c r="AJ92" s="197"/>
      <c r="AK92" s="197"/>
      <c r="AL92" s="197"/>
      <c r="AM92" s="197"/>
      <c r="AN92" s="197"/>
      <c r="AO92" s="197"/>
      <c r="AP92" s="197"/>
      <c r="AQ92" s="197"/>
      <c r="AR92" s="196"/>
      <c r="AS92" s="196"/>
      <c r="AT92" s="194"/>
      <c r="AU92" s="196"/>
      <c r="AV92" s="196"/>
      <c r="AW92" s="194"/>
      <c r="AX92" s="196"/>
      <c r="AY92" s="196"/>
      <c r="AZ92" s="194"/>
      <c r="BA92" s="196"/>
      <c r="BB92" s="196"/>
      <c r="BC92" s="194"/>
      <c r="BD92" s="194"/>
      <c r="BE92" s="194"/>
      <c r="BF92" s="194"/>
      <c r="BG92" s="194"/>
      <c r="BH92" s="194"/>
      <c r="BI92" s="194"/>
      <c r="BJ92" s="194"/>
      <c r="BK92" s="194"/>
      <c r="BL92" s="194"/>
      <c r="BM92" s="194"/>
      <c r="BN92" s="194"/>
      <c r="BO92" s="194"/>
      <c r="BP92" s="194"/>
      <c r="BQ92" s="194"/>
      <c r="BR92" s="194"/>
      <c r="BS92" s="194"/>
      <c r="BT92" s="194"/>
      <c r="BU92" s="194"/>
      <c r="BV92" s="204">
        <v>3.6823622509543116E-2</v>
      </c>
      <c r="BW92" s="204">
        <v>2.7814635351112952E-2</v>
      </c>
      <c r="BX92" s="240">
        <v>3.0503777780462239E-2</v>
      </c>
      <c r="BY92" s="204">
        <v>3.5349929997876242E-2</v>
      </c>
      <c r="BZ92" s="204">
        <v>2.6651766253373576E-2</v>
      </c>
      <c r="CA92" s="240">
        <v>2.9902880419544954E-2</v>
      </c>
      <c r="CB92" s="204">
        <v>2.6460879417258776E-2</v>
      </c>
      <c r="CC92" s="204">
        <v>2.8347110486387259E-2</v>
      </c>
      <c r="CD92" s="240">
        <v>2.677428383934927E-2</v>
      </c>
      <c r="CE92" s="204">
        <v>3.2694951566396964E-2</v>
      </c>
      <c r="CF92" s="204">
        <v>3.2717727015919788E-2</v>
      </c>
      <c r="CG92" s="240">
        <v>3.2004894358452697E-2</v>
      </c>
      <c r="CH92" s="204">
        <v>3.3156584061039517E-2</v>
      </c>
      <c r="CI92" s="204">
        <v>2.6098948433663925E-2</v>
      </c>
      <c r="CJ92" s="240">
        <v>2.8740054638929747E-2</v>
      </c>
      <c r="CK92" s="204">
        <v>3.0334043002735796E-2</v>
      </c>
      <c r="CL92" s="204">
        <v>3.219097837068409E-2</v>
      </c>
      <c r="CM92" s="240">
        <v>3.0434032384046652E-2</v>
      </c>
      <c r="CN92" s="204">
        <v>2.8358324916478907E-2</v>
      </c>
      <c r="CO92" s="204">
        <v>2.8979207418677058E-2</v>
      </c>
      <c r="CP92" s="240">
        <v>2.8679613106395718E-2</v>
      </c>
      <c r="CQ92" s="204">
        <v>2.5461085446274272E-2</v>
      </c>
      <c r="CR92" s="204">
        <v>2.6414957605623596E-2</v>
      </c>
      <c r="CS92" s="240">
        <v>2.5931552140112585E-2</v>
      </c>
      <c r="CT92" s="204">
        <v>2.7968167900546521E-2</v>
      </c>
      <c r="CU92" s="204">
        <v>2.9968911655306369E-2</v>
      </c>
      <c r="CV92" s="240">
        <v>2.8932853321002733E-2</v>
      </c>
      <c r="CW92" s="204">
        <v>2.8000222444666892E-2</v>
      </c>
      <c r="CX92" s="204">
        <v>3.3954906262326855E-2</v>
      </c>
      <c r="CY92" s="518">
        <v>3.0774995817484954E-2</v>
      </c>
      <c r="CZ92" s="505">
        <v>2.7993417636766309E-2</v>
      </c>
      <c r="DA92" s="505">
        <v>3.3830990390165107E-2</v>
      </c>
      <c r="DB92" s="518">
        <v>3.0764277895821257E-2</v>
      </c>
      <c r="DC92" s="505">
        <v>2.9366481003486846E-2</v>
      </c>
      <c r="DD92" s="505">
        <v>3.6160072622739979E-2</v>
      </c>
      <c r="DE92" s="681">
        <v>3.2580556649129712E-2</v>
      </c>
      <c r="DF92" s="830">
        <v>3.5169877026633455E-2</v>
      </c>
      <c r="DG92" s="830">
        <v>4.2994609673848876E-2</v>
      </c>
      <c r="DH92" s="681">
        <v>3.8814410291682075E-2</v>
      </c>
      <c r="DI92" s="516">
        <f t="shared" ref="DI92:DN92" si="167">DI91/DI20</f>
        <v>3.4792487461457008E-2</v>
      </c>
      <c r="DJ92" s="516">
        <f t="shared" si="167"/>
        <v>4.3673604996876302E-2</v>
      </c>
      <c r="DK92" s="678">
        <f t="shared" si="167"/>
        <v>3.8730445384605579E-2</v>
      </c>
      <c r="DL92" s="562">
        <f t="shared" si="167"/>
        <v>3.5920015890882603E-2</v>
      </c>
      <c r="DM92" s="562">
        <f t="shared" si="167"/>
        <v>5.0583915774573121E-2</v>
      </c>
      <c r="DN92" s="678">
        <f t="shared" si="167"/>
        <v>4.2196849200939177E-2</v>
      </c>
      <c r="DO92" s="562">
        <f>DO91/DO20</f>
        <v>3.3393652561247218E-2</v>
      </c>
      <c r="DP92" s="562">
        <f>DP91/DP20</f>
        <v>4.0825987593862224E-2</v>
      </c>
      <c r="DQ92" s="678">
        <f>DQ91/DQ20</f>
        <v>3.6814425244177308E-2</v>
      </c>
      <c r="DR92" s="562">
        <f>DR91/DR$9</f>
        <v>3.1646380525304295E-2</v>
      </c>
      <c r="DS92" s="562">
        <f>DR92</f>
        <v>3.1646380525304295E-2</v>
      </c>
      <c r="DT92" s="678">
        <f>DT91/DT9</f>
        <v>3.6967023734509559E-2</v>
      </c>
      <c r="DU92" s="562">
        <f>DU91/DU$9</f>
        <v>3.2446226759022964E-2</v>
      </c>
      <c r="DV92" s="562">
        <f>DU92</f>
        <v>3.2446226759022964E-2</v>
      </c>
      <c r="DW92" s="678">
        <f>DW91/DW9</f>
        <v>3.6451762831153312E-2</v>
      </c>
      <c r="DX92" s="562">
        <f>DX91/DX$9</f>
        <v>3.4107760751359364E-2</v>
      </c>
      <c r="DY92" s="562">
        <f>DX92</f>
        <v>3.4107760751359364E-2</v>
      </c>
      <c r="DZ92" s="678">
        <f>DZ91/DZ9</f>
        <v>3.4107760751359364E-2</v>
      </c>
      <c r="EA92" s="926">
        <v>3.5000000000000003E-2</v>
      </c>
      <c r="EB92" s="562">
        <f>EA92</f>
        <v>3.5000000000000003E-2</v>
      </c>
      <c r="EC92" s="678">
        <f>EC91/EC9</f>
        <v>3.5000000000000003E-2</v>
      </c>
      <c r="ED92" s="926">
        <v>3.7499999999999999E-2</v>
      </c>
      <c r="EE92" s="562">
        <f>ED92</f>
        <v>3.7499999999999999E-2</v>
      </c>
      <c r="EF92" s="678">
        <f>EF91/EF9</f>
        <v>3.7499999999999992E-2</v>
      </c>
      <c r="EG92" s="926">
        <v>0.04</v>
      </c>
      <c r="EH92" s="562">
        <f>EG92</f>
        <v>0.04</v>
      </c>
      <c r="EI92" s="678">
        <f>EI91/EI9</f>
        <v>0.04</v>
      </c>
      <c r="EJ92" s="562">
        <f>EI92</f>
        <v>0.04</v>
      </c>
      <c r="EK92" s="562">
        <f>EJ92</f>
        <v>0.04</v>
      </c>
      <c r="EL92" s="678">
        <f>EL91/EL9</f>
        <v>0.04</v>
      </c>
      <c r="EM92" s="562">
        <f>EL92</f>
        <v>0.04</v>
      </c>
      <c r="EN92" s="562">
        <f>EM92</f>
        <v>0.04</v>
      </c>
      <c r="EO92" s="678">
        <f>EO91/EO9</f>
        <v>0.04</v>
      </c>
      <c r="EP92" s="562">
        <f>EO92</f>
        <v>0.04</v>
      </c>
      <c r="EQ92" s="562">
        <f>EP92</f>
        <v>0.04</v>
      </c>
      <c r="ER92" s="678">
        <f>ER91/ER9</f>
        <v>0.04</v>
      </c>
      <c r="ES92" s="562">
        <f>ER92</f>
        <v>0.04</v>
      </c>
      <c r="ET92" s="562">
        <f>ES92</f>
        <v>0.04</v>
      </c>
      <c r="EU92" s="678">
        <f>EU91/EU9</f>
        <v>4.0000000000000008E-2</v>
      </c>
      <c r="EV92" s="562">
        <f>EU92</f>
        <v>4.0000000000000008E-2</v>
      </c>
      <c r="EW92" s="562">
        <f>EV92</f>
        <v>4.0000000000000008E-2</v>
      </c>
      <c r="EX92" s="678">
        <f>EX91/EX9</f>
        <v>4.0000000000000015E-2</v>
      </c>
      <c r="EY92" s="562">
        <f>EX92</f>
        <v>4.0000000000000015E-2</v>
      </c>
      <c r="EZ92" s="562">
        <f>EY92</f>
        <v>4.0000000000000015E-2</v>
      </c>
      <c r="FA92" s="563">
        <f>FA91/FA9</f>
        <v>4.0000000000000015E-2</v>
      </c>
    </row>
    <row r="93" spans="1:157" ht="13.35" customHeight="1" outlineLevel="1">
      <c r="A93" s="760"/>
      <c r="B93" s="4" t="s">
        <v>899</v>
      </c>
      <c r="C93" s="4"/>
      <c r="D93" s="178" t="s">
        <v>357</v>
      </c>
      <c r="E93" s="197"/>
      <c r="F93" s="197"/>
      <c r="G93" s="197"/>
      <c r="H93" s="197"/>
      <c r="I93" s="197"/>
      <c r="J93" s="197"/>
      <c r="K93" s="197"/>
      <c r="L93" s="197"/>
      <c r="M93" s="197"/>
      <c r="N93" s="197"/>
      <c r="O93" s="197"/>
      <c r="P93" s="197"/>
      <c r="Q93" s="197"/>
      <c r="R93" s="197"/>
      <c r="S93" s="197"/>
      <c r="T93" s="197"/>
      <c r="U93" s="197"/>
      <c r="V93" s="197"/>
      <c r="W93" s="197"/>
      <c r="X93" s="197"/>
      <c r="Y93" s="197"/>
      <c r="Z93" s="197"/>
      <c r="AA93" s="197"/>
      <c r="AB93" s="197"/>
      <c r="AC93" s="197"/>
      <c r="AD93" s="197"/>
      <c r="AE93" s="197"/>
      <c r="AF93" s="197"/>
      <c r="AG93" s="197"/>
      <c r="AH93" s="197"/>
      <c r="AI93" s="197"/>
      <c r="AJ93" s="197"/>
      <c r="AK93" s="197"/>
      <c r="AL93" s="197"/>
      <c r="AM93" s="197"/>
      <c r="AN93" s="197"/>
      <c r="AO93" s="197"/>
      <c r="AP93" s="197"/>
      <c r="AQ93" s="197"/>
      <c r="AR93" s="196"/>
      <c r="AS93" s="196"/>
      <c r="AT93" s="194"/>
      <c r="AU93" s="196"/>
      <c r="AV93" s="196"/>
      <c r="AW93" s="194"/>
      <c r="AX93" s="196"/>
      <c r="AY93" s="196"/>
      <c r="AZ93" s="194"/>
      <c r="BA93" s="196"/>
      <c r="BB93" s="196"/>
      <c r="BC93" s="194"/>
      <c r="BD93" s="196"/>
      <c r="BE93" s="196"/>
      <c r="BF93" s="194"/>
      <c r="BG93" s="196"/>
      <c r="BH93" s="196"/>
      <c r="BI93" s="194"/>
      <c r="BJ93" s="196"/>
      <c r="BK93" s="196"/>
      <c r="BL93" s="194"/>
      <c r="BM93" s="196"/>
      <c r="BN93" s="196"/>
      <c r="BO93" s="197"/>
      <c r="BP93" s="196"/>
      <c r="BQ93" s="196"/>
      <c r="BR93" s="197"/>
      <c r="BS93" s="196"/>
      <c r="BT93" s="196"/>
      <c r="BU93" s="199"/>
      <c r="BV93" s="196"/>
      <c r="BW93" s="196"/>
      <c r="BX93" s="197"/>
      <c r="BY93" s="196"/>
      <c r="BZ93" s="196"/>
      <c r="CA93" s="197"/>
      <c r="CB93" s="196"/>
      <c r="CC93" s="196"/>
      <c r="CD93" s="197"/>
      <c r="CE93" s="196"/>
      <c r="CF93" s="196"/>
      <c r="CG93" s="197"/>
      <c r="CH93" s="196"/>
      <c r="CI93" s="196"/>
      <c r="CJ93" s="197"/>
      <c r="CK93" s="196"/>
      <c r="CL93" s="196"/>
      <c r="CM93" s="197"/>
      <c r="CN93" s="196"/>
      <c r="CO93" s="196"/>
      <c r="CP93" s="197"/>
      <c r="CQ93" s="196"/>
      <c r="CR93" s="196"/>
      <c r="CS93" s="197"/>
      <c r="CT93" s="196"/>
      <c r="CU93" s="196"/>
      <c r="CV93" s="197"/>
      <c r="CW93" s="196"/>
      <c r="CX93" s="196"/>
      <c r="CY93" s="516"/>
      <c r="CZ93" s="505"/>
      <c r="DA93" s="505"/>
      <c r="DB93" s="516"/>
      <c r="DC93" s="505"/>
      <c r="DD93" s="505"/>
      <c r="DE93" s="778"/>
      <c r="DF93" s="505"/>
      <c r="DG93" s="505"/>
      <c r="DH93" s="778"/>
      <c r="DI93" s="826">
        <f>DK93/2</f>
        <v>47.15</v>
      </c>
      <c r="DJ93" s="301">
        <f>DK93-DI93</f>
        <v>47.15</v>
      </c>
      <c r="DK93" s="685">
        <v>94.3</v>
      </c>
      <c r="DL93" s="666">
        <v>-16.7</v>
      </c>
      <c r="DM93" s="631">
        <f>DN93-DL93</f>
        <v>102.5</v>
      </c>
      <c r="DN93" s="685">
        <f>125.8-40</f>
        <v>85.8</v>
      </c>
      <c r="DO93" s="666">
        <f>-100.3-84.1</f>
        <v>-184.39999999999998</v>
      </c>
      <c r="DP93" s="631">
        <f>DQ93-DO93</f>
        <v>-168.70000000000005</v>
      </c>
      <c r="DQ93" s="685">
        <f>-184.4-168.7</f>
        <v>-353.1</v>
      </c>
      <c r="DR93" s="666">
        <v>-50</v>
      </c>
      <c r="DS93" s="631">
        <f>DT93-DR93</f>
        <v>-34</v>
      </c>
      <c r="DT93" s="685">
        <f>-54-30</f>
        <v>-84</v>
      </c>
      <c r="DU93" s="666">
        <v>0</v>
      </c>
      <c r="DV93" s="631">
        <f>DW93-DU93</f>
        <v>0</v>
      </c>
      <c r="DW93" s="1784">
        <v>0</v>
      </c>
      <c r="DX93" s="666">
        <v>-2060</v>
      </c>
      <c r="DY93" s="631">
        <f>DV93</f>
        <v>0</v>
      </c>
      <c r="DZ93" s="674">
        <f>SUM(DX93:DY93)</f>
        <v>-2060</v>
      </c>
      <c r="EA93" s="631">
        <v>0</v>
      </c>
      <c r="EB93" s="631">
        <f>DY93</f>
        <v>0</v>
      </c>
      <c r="EC93" s="674">
        <f>SUM(EA93:EB93)</f>
        <v>0</v>
      </c>
      <c r="ED93" s="631">
        <f>EA93</f>
        <v>0</v>
      </c>
      <c r="EE93" s="631">
        <f>EB93</f>
        <v>0</v>
      </c>
      <c r="EF93" s="674">
        <f>SUM(ED93:EE93)</f>
        <v>0</v>
      </c>
      <c r="EG93" s="631">
        <f>ED93</f>
        <v>0</v>
      </c>
      <c r="EH93" s="631">
        <f>EE93</f>
        <v>0</v>
      </c>
      <c r="EI93" s="674">
        <f>SUM(EG93:EH93)</f>
        <v>0</v>
      </c>
      <c r="EJ93" s="631">
        <f>EG93</f>
        <v>0</v>
      </c>
      <c r="EK93" s="631">
        <f>EH93</f>
        <v>0</v>
      </c>
      <c r="EL93" s="674">
        <f>SUM(EJ93:EK93)</f>
        <v>0</v>
      </c>
      <c r="EM93" s="631">
        <f>EJ93</f>
        <v>0</v>
      </c>
      <c r="EN93" s="631">
        <f>EK93</f>
        <v>0</v>
      </c>
      <c r="EO93" s="674">
        <f>SUM(EM93:EN93)</f>
        <v>0</v>
      </c>
      <c r="EP93" s="631">
        <f>EM93</f>
        <v>0</v>
      </c>
      <c r="EQ93" s="631">
        <f>EN93</f>
        <v>0</v>
      </c>
      <c r="ER93" s="674">
        <f>SUM(EP93:EQ93)</f>
        <v>0</v>
      </c>
      <c r="ES93" s="631">
        <f>EP93</f>
        <v>0</v>
      </c>
      <c r="ET93" s="631">
        <f>EQ93</f>
        <v>0</v>
      </c>
      <c r="EU93" s="674">
        <f>SUM(ES93:ET93)</f>
        <v>0</v>
      </c>
      <c r="EV93" s="631">
        <f>ES93</f>
        <v>0</v>
      </c>
      <c r="EW93" s="631">
        <f>ET93</f>
        <v>0</v>
      </c>
      <c r="EX93" s="674">
        <f>SUM(EV93:EW93)</f>
        <v>0</v>
      </c>
      <c r="EY93" s="631">
        <f>EV93</f>
        <v>0</v>
      </c>
      <c r="EZ93" s="631">
        <f>EW93</f>
        <v>0</v>
      </c>
      <c r="FA93" s="6">
        <f>SUM(EY93:EZ93)</f>
        <v>0</v>
      </c>
    </row>
    <row r="94" spans="1:157" ht="13.35" customHeight="1" outlineLevel="1">
      <c r="A94" s="760"/>
      <c r="B94" s="4" t="s">
        <v>120</v>
      </c>
      <c r="C94" s="4"/>
      <c r="D94" s="178" t="s">
        <v>507</v>
      </c>
      <c r="E94" s="197"/>
      <c r="F94" s="197"/>
      <c r="G94" s="197"/>
      <c r="H94" s="197"/>
      <c r="I94" s="197"/>
      <c r="J94" s="197"/>
      <c r="K94" s="197"/>
      <c r="L94" s="197"/>
      <c r="M94" s="197"/>
      <c r="N94" s="197"/>
      <c r="O94" s="197"/>
      <c r="P94" s="197"/>
      <c r="Q94" s="197"/>
      <c r="R94" s="197"/>
      <c r="S94" s="197"/>
      <c r="T94" s="197"/>
      <c r="U94" s="197"/>
      <c r="V94" s="197"/>
      <c r="W94" s="197"/>
      <c r="X94" s="197"/>
      <c r="Y94" s="197"/>
      <c r="Z94" s="197"/>
      <c r="AA94" s="197"/>
      <c r="AB94" s="197"/>
      <c r="AC94" s="197"/>
      <c r="AD94" s="197"/>
      <c r="AE94" s="197"/>
      <c r="AF94" s="197"/>
      <c r="AG94" s="197"/>
      <c r="AH94" s="197"/>
      <c r="AI94" s="197"/>
      <c r="AJ94" s="197"/>
      <c r="AK94" s="197"/>
      <c r="AL94" s="197"/>
      <c r="AM94" s="197"/>
      <c r="AN94" s="197"/>
      <c r="AO94" s="197"/>
      <c r="AP94" s="197"/>
      <c r="AQ94" s="197"/>
      <c r="AR94" s="196"/>
      <c r="AS94" s="196"/>
      <c r="AT94" s="194"/>
      <c r="AU94" s="196"/>
      <c r="AV94" s="196"/>
      <c r="AW94" s="194"/>
      <c r="AX94" s="196"/>
      <c r="AY94" s="196"/>
      <c r="AZ94" s="194"/>
      <c r="BA94" s="196"/>
      <c r="BB94" s="196"/>
      <c r="BC94" s="194"/>
      <c r="BD94" s="196"/>
      <c r="BE94" s="196"/>
      <c r="BF94" s="194"/>
      <c r="BG94" s="196"/>
      <c r="BH94" s="196"/>
      <c r="BI94" s="194"/>
      <c r="BJ94" s="196"/>
      <c r="BK94" s="196"/>
      <c r="BL94" s="194"/>
      <c r="BM94" s="196"/>
      <c r="BN94" s="196"/>
      <c r="BO94" s="197"/>
      <c r="BP94" s="196"/>
      <c r="BQ94" s="196"/>
      <c r="BR94" s="197"/>
      <c r="BS94" s="196"/>
      <c r="BT94" s="196"/>
      <c r="BU94" s="199"/>
      <c r="BV94" s="196"/>
      <c r="BW94" s="196"/>
      <c r="BX94" s="197"/>
      <c r="BY94" s="196"/>
      <c r="BZ94" s="196"/>
      <c r="CA94" s="197"/>
      <c r="CB94" s="196"/>
      <c r="CC94" s="196"/>
      <c r="CD94" s="197"/>
      <c r="CE94" s="196"/>
      <c r="CF94" s="196"/>
      <c r="CG94" s="197"/>
      <c r="CH94" s="196"/>
      <c r="CI94" s="196"/>
      <c r="CJ94" s="197"/>
      <c r="CK94" s="196"/>
      <c r="CL94" s="196"/>
      <c r="CM94" s="197"/>
      <c r="CN94" s="196"/>
      <c r="CO94" s="196"/>
      <c r="CP94" s="197"/>
      <c r="CQ94" s="196"/>
      <c r="CR94" s="196"/>
      <c r="CS94" s="197"/>
      <c r="CT94" s="196"/>
      <c r="CU94" s="196"/>
      <c r="CV94" s="197"/>
      <c r="CW94" s="196"/>
      <c r="CX94" s="196"/>
      <c r="CY94" s="516"/>
      <c r="CZ94" s="505"/>
      <c r="DA94" s="505"/>
      <c r="DB94" s="516"/>
      <c r="DC94" s="505"/>
      <c r="DD94" s="505"/>
      <c r="DE94" s="778"/>
      <c r="DF94" s="505"/>
      <c r="DG94" s="505"/>
      <c r="DH94" s="778"/>
      <c r="DI94" s="516">
        <f t="shared" ref="DI94:FA94" si="168">DI93/DI9</f>
        <v>8.299091397888864E-3</v>
      </c>
      <c r="DJ94" s="516">
        <f t="shared" si="168"/>
        <v>1.0512923894926548E-2</v>
      </c>
      <c r="DK94" s="678">
        <f t="shared" si="168"/>
        <v>9.2757437100709147E-3</v>
      </c>
      <c r="DL94" s="562">
        <f t="shared" si="168"/>
        <v>-2.829980851027774E-3</v>
      </c>
      <c r="DM94" s="562">
        <f t="shared" si="168"/>
        <v>2.3176936122102882E-2</v>
      </c>
      <c r="DN94" s="678">
        <f t="shared" si="168"/>
        <v>8.311054283389515E-3</v>
      </c>
      <c r="DO94" s="562">
        <f t="shared" si="168"/>
        <v>-2.650872602857882E-2</v>
      </c>
      <c r="DP94" s="562">
        <f t="shared" si="168"/>
        <v>-2.8828736457158489E-2</v>
      </c>
      <c r="DQ94" s="678">
        <f t="shared" si="168"/>
        <v>-2.7568707058088695E-2</v>
      </c>
      <c r="DR94" s="562">
        <f t="shared" si="168"/>
        <v>-6.4061499039077515E-3</v>
      </c>
      <c r="DS94" s="562">
        <f t="shared" si="168"/>
        <v>-5.248533497993208E-3</v>
      </c>
      <c r="DT94" s="678">
        <f t="shared" si="168"/>
        <v>-5.8811174123083385E-3</v>
      </c>
      <c r="DU94" s="562">
        <f t="shared" si="168"/>
        <v>0</v>
      </c>
      <c r="DV94" s="562">
        <f t="shared" si="168"/>
        <v>0</v>
      </c>
      <c r="DW94" s="678">
        <f t="shared" si="168"/>
        <v>0</v>
      </c>
      <c r="DX94" s="562">
        <f t="shared" ref="DX94" si="169">DX93/DX9</f>
        <v>-0.25457241720217499</v>
      </c>
      <c r="DY94" s="562">
        <f t="shared" si="168"/>
        <v>0</v>
      </c>
      <c r="DZ94" s="678">
        <f t="shared" si="168"/>
        <v>-0.1330991197610559</v>
      </c>
      <c r="EA94" s="562">
        <f t="shared" si="168"/>
        <v>0</v>
      </c>
      <c r="EB94" s="562">
        <f t="shared" si="168"/>
        <v>0</v>
      </c>
      <c r="EC94" s="678">
        <f t="shared" si="168"/>
        <v>0</v>
      </c>
      <c r="ED94" s="562">
        <f t="shared" si="168"/>
        <v>0</v>
      </c>
      <c r="EE94" s="562">
        <f t="shared" si="168"/>
        <v>0</v>
      </c>
      <c r="EF94" s="678">
        <f t="shared" si="168"/>
        <v>0</v>
      </c>
      <c r="EG94" s="562">
        <f t="shared" si="168"/>
        <v>0</v>
      </c>
      <c r="EH94" s="562">
        <f t="shared" si="168"/>
        <v>0</v>
      </c>
      <c r="EI94" s="678">
        <f t="shared" si="168"/>
        <v>0</v>
      </c>
      <c r="EJ94" s="562">
        <f t="shared" si="168"/>
        <v>0</v>
      </c>
      <c r="EK94" s="562">
        <f t="shared" si="168"/>
        <v>0</v>
      </c>
      <c r="EL94" s="678">
        <f t="shared" si="168"/>
        <v>0</v>
      </c>
      <c r="EM94" s="562">
        <f t="shared" si="168"/>
        <v>0</v>
      </c>
      <c r="EN94" s="562">
        <f t="shared" si="168"/>
        <v>0</v>
      </c>
      <c r="EO94" s="678">
        <f t="shared" si="168"/>
        <v>0</v>
      </c>
      <c r="EP94" s="562">
        <f t="shared" si="168"/>
        <v>0</v>
      </c>
      <c r="EQ94" s="562">
        <f t="shared" si="168"/>
        <v>0</v>
      </c>
      <c r="ER94" s="678">
        <f t="shared" si="168"/>
        <v>0</v>
      </c>
      <c r="ES94" s="562">
        <f t="shared" si="168"/>
        <v>0</v>
      </c>
      <c r="ET94" s="562">
        <f t="shared" si="168"/>
        <v>0</v>
      </c>
      <c r="EU94" s="678">
        <f t="shared" si="168"/>
        <v>0</v>
      </c>
      <c r="EV94" s="562">
        <f t="shared" si="168"/>
        <v>0</v>
      </c>
      <c r="EW94" s="562">
        <f t="shared" si="168"/>
        <v>0</v>
      </c>
      <c r="EX94" s="678">
        <f t="shared" si="168"/>
        <v>0</v>
      </c>
      <c r="EY94" s="562">
        <f t="shared" si="168"/>
        <v>0</v>
      </c>
      <c r="EZ94" s="562">
        <f t="shared" si="168"/>
        <v>0</v>
      </c>
      <c r="FA94" s="563">
        <f t="shared" si="168"/>
        <v>0</v>
      </c>
    </row>
    <row r="95" spans="1:157" ht="13.35" customHeight="1" outlineLevel="1">
      <c r="A95" s="760"/>
      <c r="B95" s="4" t="s">
        <v>740</v>
      </c>
      <c r="C95" s="4"/>
      <c r="D95" s="178" t="s">
        <v>357</v>
      </c>
      <c r="E95" s="197"/>
      <c r="F95" s="197"/>
      <c r="G95" s="197"/>
      <c r="H95" s="197"/>
      <c r="I95" s="197"/>
      <c r="J95" s="197"/>
      <c r="K95" s="197"/>
      <c r="L95" s="197"/>
      <c r="M95" s="197"/>
      <c r="N95" s="197"/>
      <c r="O95" s="197"/>
      <c r="P95" s="197"/>
      <c r="Q95" s="197"/>
      <c r="R95" s="197"/>
      <c r="S95" s="197"/>
      <c r="T95" s="197"/>
      <c r="U95" s="197"/>
      <c r="V95" s="197"/>
      <c r="W95" s="197"/>
      <c r="X95" s="197"/>
      <c r="Y95" s="197"/>
      <c r="Z95" s="197"/>
      <c r="AA95" s="197"/>
      <c r="AB95" s="197"/>
      <c r="AC95" s="197"/>
      <c r="AD95" s="197"/>
      <c r="AE95" s="197"/>
      <c r="AF95" s="197"/>
      <c r="AG95" s="197"/>
      <c r="AH95" s="197"/>
      <c r="AI95" s="197"/>
      <c r="AJ95" s="197"/>
      <c r="AK95" s="197"/>
      <c r="AL95" s="197"/>
      <c r="AM95" s="197"/>
      <c r="AN95" s="197"/>
      <c r="AO95" s="197"/>
      <c r="AP95" s="197"/>
      <c r="AQ95" s="197"/>
      <c r="AR95" s="197"/>
      <c r="AS95" s="197"/>
      <c r="AT95" s="194"/>
      <c r="AU95" s="197"/>
      <c r="AV95" s="197"/>
      <c r="AW95" s="194"/>
      <c r="AX95" s="197"/>
      <c r="AY95" s="197"/>
      <c r="AZ95" s="194"/>
      <c r="BA95" s="197"/>
      <c r="BB95" s="197"/>
      <c r="BC95" s="194"/>
      <c r="BD95" s="664"/>
      <c r="BE95" s="664"/>
      <c r="BF95" s="182"/>
      <c r="BG95" s="664"/>
      <c r="BH95" s="664"/>
      <c r="BI95" s="182"/>
      <c r="BJ95" s="664"/>
      <c r="BK95" s="664"/>
      <c r="BL95" s="182"/>
      <c r="BM95" s="664"/>
      <c r="BN95" s="664"/>
      <c r="BO95" s="182"/>
      <c r="BP95" s="664"/>
      <c r="BQ95" s="664"/>
      <c r="BR95" s="182"/>
      <c r="BS95" s="664"/>
      <c r="BT95" s="664"/>
      <c r="BU95" s="182"/>
      <c r="BV95" s="664">
        <v>452.22259342523904</v>
      </c>
      <c r="BW95" s="664">
        <v>535.45431902838072</v>
      </c>
      <c r="BX95" s="182">
        <v>987.67691245361971</v>
      </c>
      <c r="BY95" s="664">
        <v>594.78170570184454</v>
      </c>
      <c r="BZ95" s="664">
        <v>547.73262994924937</v>
      </c>
      <c r="CA95" s="182">
        <v>1142.5143356510939</v>
      </c>
      <c r="CB95" s="664">
        <v>685.81838647659242</v>
      </c>
      <c r="CC95" s="664">
        <v>614.58161352340744</v>
      </c>
      <c r="CD95" s="182">
        <v>1300.3999999999999</v>
      </c>
      <c r="CE95" s="664">
        <v>596.78361630451138</v>
      </c>
      <c r="CF95" s="664">
        <v>710.41638369548866</v>
      </c>
      <c r="CG95" s="182">
        <v>1307.2</v>
      </c>
      <c r="CH95" s="664">
        <v>750.42302050068758</v>
      </c>
      <c r="CI95" s="664">
        <v>725.77697949931235</v>
      </c>
      <c r="CJ95" s="182">
        <v>1476.1999999999998</v>
      </c>
      <c r="CK95" s="664">
        <v>909.89999999999975</v>
      </c>
      <c r="CL95" s="664">
        <v>777.40021429607464</v>
      </c>
      <c r="CM95" s="182">
        <v>1687.3002142960745</v>
      </c>
      <c r="CN95" s="664">
        <v>912.20000000000039</v>
      </c>
      <c r="CO95" s="664">
        <v>919.89999999999975</v>
      </c>
      <c r="CP95" s="182">
        <v>1832.1000000000001</v>
      </c>
      <c r="CQ95" s="664">
        <v>968.89999999999986</v>
      </c>
      <c r="CR95" s="664">
        <v>970.40000000000032</v>
      </c>
      <c r="CS95" s="182">
        <v>1939.3000000000002</v>
      </c>
      <c r="CT95" s="664">
        <v>898.5493648872615</v>
      </c>
      <c r="CU95" s="664">
        <v>793.05063511273875</v>
      </c>
      <c r="CV95" s="182">
        <v>1691.6000000000004</v>
      </c>
      <c r="CW95" s="664">
        <v>1065.4892412336314</v>
      </c>
      <c r="CX95" s="664">
        <v>604.18205146292416</v>
      </c>
      <c r="CY95" s="499">
        <v>1669.6712926965556</v>
      </c>
      <c r="CZ95" s="301">
        <v>1598.872704588063</v>
      </c>
      <c r="DA95" s="301">
        <v>1041.2264813438203</v>
      </c>
      <c r="DB95" s="499">
        <v>2640.0991859318833</v>
      </c>
      <c r="DC95" s="301">
        <v>1700.6000000000001</v>
      </c>
      <c r="DD95" s="301">
        <v>1142.2999999999993</v>
      </c>
      <c r="DE95" s="674">
        <v>2842.8999999999996</v>
      </c>
      <c r="DF95" s="631">
        <v>1818.5136205237166</v>
      </c>
      <c r="DG95" s="631">
        <v>1281.7149526931316</v>
      </c>
      <c r="DH95" s="674">
        <v>3100.2285732168484</v>
      </c>
      <c r="DI95" s="631">
        <f>DI82+DI87+DI89+DI91+DI93</f>
        <v>2519.0413688358626</v>
      </c>
      <c r="DJ95" s="631">
        <f>DJ82+DJ87+DJ89+DJ91+DJ93</f>
        <v>1200.5586311641371</v>
      </c>
      <c r="DK95" s="674">
        <v>3719.6</v>
      </c>
      <c r="DL95" s="631">
        <f t="shared" ref="DL95:DR95" si="170">DL82+DL89+DL91+DL93</f>
        <v>2478.5999999999995</v>
      </c>
      <c r="DM95" s="631">
        <f t="shared" si="170"/>
        <v>1229.5999999999997</v>
      </c>
      <c r="DN95" s="674">
        <f t="shared" si="170"/>
        <v>3708.1999999999994</v>
      </c>
      <c r="DO95" s="631">
        <f t="shared" si="170"/>
        <v>2514.8000000000002</v>
      </c>
      <c r="DP95" s="631">
        <f t="shared" si="170"/>
        <v>1385.1</v>
      </c>
      <c r="DQ95" s="674">
        <f t="shared" si="170"/>
        <v>3899.9</v>
      </c>
      <c r="DR95" s="631">
        <f t="shared" si="170"/>
        <v>3005</v>
      </c>
      <c r="DS95" s="631">
        <f t="shared" ref="DS95:ER95" si="171">DS82+DS89+DS91+DS93</f>
        <v>1745</v>
      </c>
      <c r="DT95" s="674">
        <f t="shared" si="171"/>
        <v>4750</v>
      </c>
      <c r="DU95" s="631">
        <f t="shared" si="171"/>
        <v>3199</v>
      </c>
      <c r="DV95" s="631">
        <f>DV82+DV89+DV91+DV93</f>
        <v>1922</v>
      </c>
      <c r="DW95" s="674">
        <f>DW82+DW89+DW91+DW93</f>
        <v>5121</v>
      </c>
      <c r="DX95" s="631">
        <f t="shared" ref="DX95" si="172">DX82+DX89+DX91+DX93</f>
        <v>1070</v>
      </c>
      <c r="DY95" s="631">
        <f t="shared" si="171"/>
        <v>2404.909398892637</v>
      </c>
      <c r="DZ95" s="674">
        <f t="shared" si="171"/>
        <v>3474.909398892637</v>
      </c>
      <c r="EA95" s="631">
        <f t="shared" si="171"/>
        <v>3321.213990883301</v>
      </c>
      <c r="EB95" s="631">
        <f t="shared" si="171"/>
        <v>2515.9920970553426</v>
      </c>
      <c r="EC95" s="674">
        <f t="shared" si="171"/>
        <v>5837.2060879386445</v>
      </c>
      <c r="ED95" s="631">
        <f t="shared" si="171"/>
        <v>3588.6001193625016</v>
      </c>
      <c r="EE95" s="631">
        <f t="shared" si="171"/>
        <v>2721.2718232867519</v>
      </c>
      <c r="EF95" s="674">
        <f t="shared" si="171"/>
        <v>6309.8719426492535</v>
      </c>
      <c r="EG95" s="631">
        <f t="shared" si="171"/>
        <v>3879.5071850639661</v>
      </c>
      <c r="EH95" s="631">
        <f t="shared" si="171"/>
        <v>2999.1605566785147</v>
      </c>
      <c r="EI95" s="674">
        <f t="shared" si="171"/>
        <v>6878.6677417424798</v>
      </c>
      <c r="EJ95" s="631">
        <f t="shared" si="171"/>
        <v>4171.8087413204821</v>
      </c>
      <c r="EK95" s="631">
        <f t="shared" si="171"/>
        <v>3282.1734959762157</v>
      </c>
      <c r="EL95" s="674">
        <f t="shared" si="171"/>
        <v>7453.9822372966983</v>
      </c>
      <c r="EM95" s="631">
        <f t="shared" si="171"/>
        <v>4508.2307813561447</v>
      </c>
      <c r="EN95" s="631">
        <f t="shared" si="171"/>
        <v>3549.4633024904215</v>
      </c>
      <c r="EO95" s="674">
        <f t="shared" si="171"/>
        <v>8057.6940838465653</v>
      </c>
      <c r="EP95" s="631">
        <f t="shared" si="171"/>
        <v>4826.5420670975809</v>
      </c>
      <c r="EQ95" s="631">
        <f t="shared" si="171"/>
        <v>3848.9327947942948</v>
      </c>
      <c r="ER95" s="674">
        <f t="shared" si="171"/>
        <v>8675.4748618918748</v>
      </c>
      <c r="ES95" s="631">
        <f t="shared" ref="ES95:FA95" si="173">ES82+ES89+ES91+ES93</f>
        <v>5130.6045488367909</v>
      </c>
      <c r="ET95" s="631">
        <f t="shared" si="173"/>
        <v>4125.8071309425759</v>
      </c>
      <c r="EU95" s="674">
        <f t="shared" si="173"/>
        <v>9256.4116797793668</v>
      </c>
      <c r="EV95" s="631">
        <f t="shared" si="173"/>
        <v>5409.6621057095017</v>
      </c>
      <c r="EW95" s="631">
        <f t="shared" si="173"/>
        <v>4373.0857959555624</v>
      </c>
      <c r="EX95" s="674">
        <f t="shared" si="173"/>
        <v>9782.747901665065</v>
      </c>
      <c r="EY95" s="631">
        <f t="shared" si="173"/>
        <v>5706.1445184193226</v>
      </c>
      <c r="EZ95" s="631">
        <f t="shared" si="173"/>
        <v>4636.6125828369995</v>
      </c>
      <c r="FA95" s="6">
        <f t="shared" si="173"/>
        <v>10342.757101256322</v>
      </c>
    </row>
    <row r="96" spans="1:157" ht="13.35" customHeight="1" outlineLevel="1">
      <c r="A96" s="760"/>
      <c r="B96" s="4" t="s">
        <v>212</v>
      </c>
      <c r="C96" s="4"/>
      <c r="D96" s="178" t="s">
        <v>507</v>
      </c>
      <c r="E96" s="197"/>
      <c r="F96" s="197"/>
      <c r="G96" s="197"/>
      <c r="H96" s="197"/>
      <c r="I96" s="197"/>
      <c r="J96" s="197"/>
      <c r="K96" s="197"/>
      <c r="L96" s="197"/>
      <c r="M96" s="197"/>
      <c r="N96" s="197"/>
      <c r="O96" s="197"/>
      <c r="P96" s="197"/>
      <c r="Q96" s="197"/>
      <c r="R96" s="197"/>
      <c r="S96" s="197"/>
      <c r="T96" s="197"/>
      <c r="U96" s="197"/>
      <c r="V96" s="197"/>
      <c r="W96" s="197"/>
      <c r="X96" s="197"/>
      <c r="Y96" s="197"/>
      <c r="Z96" s="197"/>
      <c r="AA96" s="197"/>
      <c r="AB96" s="197"/>
      <c r="AC96" s="197"/>
      <c r="AD96" s="197"/>
      <c r="AE96" s="197"/>
      <c r="AF96" s="197"/>
      <c r="AG96" s="197"/>
      <c r="AH96" s="197"/>
      <c r="AI96" s="197"/>
      <c r="AJ96" s="197"/>
      <c r="AK96" s="197"/>
      <c r="AL96" s="197"/>
      <c r="AM96" s="197"/>
      <c r="AN96" s="197"/>
      <c r="AO96" s="197"/>
      <c r="AP96" s="197"/>
      <c r="AQ96" s="197"/>
      <c r="AR96" s="196"/>
      <c r="AS96" s="196"/>
      <c r="AT96" s="194"/>
      <c r="AU96" s="196"/>
      <c r="AV96" s="196"/>
      <c r="AW96" s="194"/>
      <c r="AX96" s="196"/>
      <c r="AY96" s="196"/>
      <c r="AZ96" s="194"/>
      <c r="BA96" s="196"/>
      <c r="BB96" s="196"/>
      <c r="BC96" s="194"/>
      <c r="BD96" s="204"/>
      <c r="BE96" s="204"/>
      <c r="BF96" s="240"/>
      <c r="BG96" s="204"/>
      <c r="BH96" s="204"/>
      <c r="BI96" s="240"/>
      <c r="BJ96" s="204"/>
      <c r="BK96" s="204"/>
      <c r="BL96" s="240"/>
      <c r="BM96" s="204"/>
      <c r="BN96" s="204"/>
      <c r="BO96" s="240"/>
      <c r="BP96" s="204"/>
      <c r="BQ96" s="204"/>
      <c r="BR96" s="240"/>
      <c r="BS96" s="204"/>
      <c r="BT96" s="204"/>
      <c r="BU96" s="240"/>
      <c r="BV96" s="204">
        <v>0.27751767511046332</v>
      </c>
      <c r="BW96" s="204">
        <v>0.29739650157678199</v>
      </c>
      <c r="BX96" s="240">
        <v>0.28795245261038477</v>
      </c>
      <c r="BY96" s="204">
        <v>0.31582739145166999</v>
      </c>
      <c r="BZ96" s="204">
        <v>0.30786525450719499</v>
      </c>
      <c r="CA96" s="240">
        <v>0.31195950123787064</v>
      </c>
      <c r="CB96" s="204">
        <v>0.32105585086664873</v>
      </c>
      <c r="CC96" s="204">
        <v>0.30353162308560733</v>
      </c>
      <c r="CD96" s="240">
        <v>0.31252825071013085</v>
      </c>
      <c r="CE96" s="204">
        <v>0.28431595923563896</v>
      </c>
      <c r="CF96" s="204">
        <v>0.31710907665136712</v>
      </c>
      <c r="CG96" s="240">
        <v>0.30124634057943606</v>
      </c>
      <c r="CH96" s="204">
        <v>0.31400264398256683</v>
      </c>
      <c r="CI96" s="204">
        <v>0.30483448938930546</v>
      </c>
      <c r="CJ96" s="240">
        <v>0.3094271890120181</v>
      </c>
      <c r="CK96" s="204">
        <v>0.35456433912193697</v>
      </c>
      <c r="CL96" s="204">
        <v>0.30702378610643682</v>
      </c>
      <c r="CM96" s="240">
        <v>0.33095349710610866</v>
      </c>
      <c r="CN96" s="204">
        <v>0.33898179115570443</v>
      </c>
      <c r="CO96" s="204">
        <v>0.32726173111814721</v>
      </c>
      <c r="CP96" s="240">
        <v>0.33299405659862968</v>
      </c>
      <c r="CQ96" s="204">
        <v>0.34117398499947177</v>
      </c>
      <c r="CR96" s="204">
        <v>0.35016057445963977</v>
      </c>
      <c r="CS96" s="240">
        <v>0.34561234673510116</v>
      </c>
      <c r="CT96" s="204">
        <v>0.28655392821090525</v>
      </c>
      <c r="CU96" s="204">
        <v>0.26616078999665627</v>
      </c>
      <c r="CV96" s="240">
        <v>0.27661766389220477</v>
      </c>
      <c r="CW96" s="204">
        <v>0.28981075512950671</v>
      </c>
      <c r="CX96" s="204">
        <v>0.18611405337243145</v>
      </c>
      <c r="CY96" s="518">
        <v>0.24118438965397751</v>
      </c>
      <c r="CZ96" s="505">
        <v>0.38558360071609199</v>
      </c>
      <c r="DA96" s="505">
        <v>0.27630689373624606</v>
      </c>
      <c r="DB96" s="518">
        <v>0.33355643536726259</v>
      </c>
      <c r="DC96" s="505">
        <v>0.3775084354466347</v>
      </c>
      <c r="DD96" s="505">
        <v>0.28323126131263771</v>
      </c>
      <c r="DE96" s="678">
        <v>0.33297415055224344</v>
      </c>
      <c r="DF96" s="562">
        <v>0.37032167484332368</v>
      </c>
      <c r="DG96" s="562">
        <v>0.30227193777006717</v>
      </c>
      <c r="DH96" s="678">
        <v>0.33878934234045727</v>
      </c>
      <c r="DI96" s="562">
        <f t="shared" ref="DI96:FA96" si="174">DI95/DI9</f>
        <v>0.44338821961891617</v>
      </c>
      <c r="DJ96" s="562">
        <f t="shared" si="174"/>
        <v>0.26768571624232801</v>
      </c>
      <c r="DK96" s="678">
        <f t="shared" si="174"/>
        <v>0.36587546451728287</v>
      </c>
      <c r="DL96" s="562">
        <f t="shared" si="174"/>
        <v>0.42002338547050538</v>
      </c>
      <c r="DM96" s="562">
        <f t="shared" si="174"/>
        <v>0.27803278688524585</v>
      </c>
      <c r="DN96" s="678">
        <f t="shared" si="174"/>
        <v>0.35919640435506989</v>
      </c>
      <c r="DO96" s="562">
        <f t="shared" si="174"/>
        <v>0.36151922026393724</v>
      </c>
      <c r="DP96" s="562">
        <f t="shared" si="174"/>
        <v>0.23669640110735157</v>
      </c>
      <c r="DQ96" s="678">
        <f t="shared" si="174"/>
        <v>0.30448938163647721</v>
      </c>
      <c r="DR96" s="562">
        <f t="shared" si="174"/>
        <v>0.38500960922485589</v>
      </c>
      <c r="DS96" s="562">
        <f t="shared" si="174"/>
        <v>0.26937326335288669</v>
      </c>
      <c r="DT96" s="678">
        <f t="shared" si="174"/>
        <v>0.33256318700553106</v>
      </c>
      <c r="DU96" s="562">
        <f t="shared" si="174"/>
        <v>0.38874711386559729</v>
      </c>
      <c r="DV96" s="562">
        <f t="shared" si="174"/>
        <v>0.28132318501170961</v>
      </c>
      <c r="DW96" s="678">
        <f t="shared" si="174"/>
        <v>0.34001726312993824</v>
      </c>
      <c r="DX96" s="562">
        <f t="shared" ref="DX96" si="175">DX95/DX9</f>
        <v>0.13222936233316857</v>
      </c>
      <c r="DY96" s="562">
        <f t="shared" si="174"/>
        <v>0.32563959665441605</v>
      </c>
      <c r="DZ96" s="678">
        <f t="shared" si="174"/>
        <v>0.22451814671943199</v>
      </c>
      <c r="EA96" s="562">
        <f t="shared" si="174"/>
        <v>0.38422410588601746</v>
      </c>
      <c r="EB96" s="562">
        <f t="shared" si="174"/>
        <v>0.3271274400495417</v>
      </c>
      <c r="EC96" s="678">
        <f t="shared" si="174"/>
        <v>0.35734091796729467</v>
      </c>
      <c r="ED96" s="562">
        <f t="shared" si="174"/>
        <v>0.39686205259006369</v>
      </c>
      <c r="EE96" s="562">
        <f t="shared" si="174"/>
        <v>0.33252427120327338</v>
      </c>
      <c r="EF96" s="678">
        <f t="shared" si="174"/>
        <v>0.36629684901908832</v>
      </c>
      <c r="EG96" s="562">
        <f t="shared" si="174"/>
        <v>0.40534507455199642</v>
      </c>
      <c r="EH96" s="562">
        <f t="shared" si="174"/>
        <v>0.34356704602618748</v>
      </c>
      <c r="EI96" s="678">
        <f t="shared" si="174"/>
        <v>0.37587625001449476</v>
      </c>
      <c r="EJ96" s="562">
        <f t="shared" si="174"/>
        <v>0.4115270115927302</v>
      </c>
      <c r="EK96" s="562">
        <f t="shared" si="174"/>
        <v>0.35202780907695375</v>
      </c>
      <c r="EL96" s="678">
        <f t="shared" si="174"/>
        <v>0.38302139824066167</v>
      </c>
      <c r="EM96" s="562">
        <f t="shared" si="174"/>
        <v>0.42159273850162338</v>
      </c>
      <c r="EN96" s="562">
        <f t="shared" si="174"/>
        <v>0.36048828415436901</v>
      </c>
      <c r="EO96" s="678">
        <f t="shared" si="174"/>
        <v>0.39230050433278385</v>
      </c>
      <c r="EP96" s="562">
        <f t="shared" si="174"/>
        <v>0.42819149865678169</v>
      </c>
      <c r="EQ96" s="562">
        <f t="shared" si="174"/>
        <v>0.36905203375331175</v>
      </c>
      <c r="ER96" s="678">
        <f t="shared" si="174"/>
        <v>0.39976999475449898</v>
      </c>
      <c r="ES96" s="562">
        <f t="shared" si="174"/>
        <v>0.4312220148063089</v>
      </c>
      <c r="ET96" s="562">
        <f t="shared" si="174"/>
        <v>0.37338141324989343</v>
      </c>
      <c r="EU96" s="678">
        <f t="shared" si="174"/>
        <v>0.40337039927912977</v>
      </c>
      <c r="EV96" s="562">
        <f t="shared" si="174"/>
        <v>0.43061776422302711</v>
      </c>
      <c r="EW96" s="562">
        <f t="shared" si="174"/>
        <v>0.37342999678843825</v>
      </c>
      <c r="EX96" s="678">
        <f t="shared" si="174"/>
        <v>0.40302750604581017</v>
      </c>
      <c r="EY96" s="562">
        <f t="shared" si="174"/>
        <v>0.43004631345786237</v>
      </c>
      <c r="EZ96" s="562">
        <f t="shared" si="174"/>
        <v>0.37349391079998473</v>
      </c>
      <c r="FA96" s="563">
        <f t="shared" si="174"/>
        <v>0.40271091434377321</v>
      </c>
    </row>
    <row r="97" spans="1:184" ht="13.35" customHeight="1" outlineLevel="1">
      <c r="A97" s="760"/>
      <c r="B97" s="4" t="s">
        <v>926</v>
      </c>
      <c r="C97" s="4"/>
      <c r="D97" s="178" t="s">
        <v>357</v>
      </c>
      <c r="E97" s="197"/>
      <c r="F97" s="197"/>
      <c r="G97" s="197"/>
      <c r="H97" s="197"/>
      <c r="I97" s="197"/>
      <c r="J97" s="197"/>
      <c r="K97" s="197"/>
      <c r="L97" s="197"/>
      <c r="M97" s="197"/>
      <c r="N97" s="197"/>
      <c r="O97" s="197"/>
      <c r="P97" s="197"/>
      <c r="Q97" s="197"/>
      <c r="R97" s="197"/>
      <c r="S97" s="197"/>
      <c r="T97" s="197"/>
      <c r="U97" s="197"/>
      <c r="V97" s="197"/>
      <c r="W97" s="197"/>
      <c r="X97" s="197"/>
      <c r="Y97" s="197"/>
      <c r="Z97" s="197"/>
      <c r="AA97" s="197"/>
      <c r="AB97" s="197"/>
      <c r="AC97" s="197"/>
      <c r="AD97" s="197"/>
      <c r="AE97" s="197"/>
      <c r="AF97" s="197"/>
      <c r="AG97" s="197"/>
      <c r="AH97" s="197"/>
      <c r="AI97" s="197"/>
      <c r="AJ97" s="197"/>
      <c r="AK97" s="197"/>
      <c r="AL97" s="197"/>
      <c r="AM97" s="197"/>
      <c r="AN97" s="197"/>
      <c r="AO97" s="197"/>
      <c r="AP97" s="197"/>
      <c r="AQ97" s="197"/>
      <c r="AR97" s="196"/>
      <c r="AS97" s="196"/>
      <c r="AT97" s="194"/>
      <c r="AU97" s="196"/>
      <c r="AV97" s="196"/>
      <c r="AW97" s="194"/>
      <c r="AX97" s="196"/>
      <c r="AY97" s="196"/>
      <c r="AZ97" s="194"/>
      <c r="BA97" s="196"/>
      <c r="BB97" s="196"/>
      <c r="BC97" s="194"/>
      <c r="BD97" s="196"/>
      <c r="BE97" s="196"/>
      <c r="BF97" s="194"/>
      <c r="BG97" s="196"/>
      <c r="BH97" s="196"/>
      <c r="BI97" s="194"/>
      <c r="BJ97" s="196"/>
      <c r="BK97" s="196"/>
      <c r="BL97" s="194"/>
      <c r="BM97" s="196"/>
      <c r="BN97" s="196"/>
      <c r="BO97" s="197"/>
      <c r="BP97" s="196"/>
      <c r="BQ97" s="196"/>
      <c r="BR97" s="197"/>
      <c r="BS97" s="196"/>
      <c r="BT97" s="196"/>
      <c r="BU97" s="199"/>
      <c r="BV97" s="196"/>
      <c r="BW97" s="196"/>
      <c r="BX97" s="197"/>
      <c r="BY97" s="196"/>
      <c r="BZ97" s="196"/>
      <c r="CA97" s="197"/>
      <c r="CB97" s="196"/>
      <c r="CC97" s="196"/>
      <c r="CD97" s="197"/>
      <c r="CE97" s="196"/>
      <c r="CF97" s="196"/>
      <c r="CG97" s="197"/>
      <c r="CH97" s="196"/>
      <c r="CI97" s="196"/>
      <c r="CJ97" s="197"/>
      <c r="CK97" s="196"/>
      <c r="CL97" s="196"/>
      <c r="CM97" s="197"/>
      <c r="CN97" s="196"/>
      <c r="CO97" s="196"/>
      <c r="CP97" s="197"/>
      <c r="CQ97" s="196"/>
      <c r="CR97" s="196"/>
      <c r="CS97" s="197"/>
      <c r="CT97" s="196"/>
      <c r="CU97" s="196"/>
      <c r="CV97" s="197"/>
      <c r="CW97" s="196"/>
      <c r="CX97" s="196"/>
      <c r="CY97" s="516"/>
      <c r="CZ97" s="505"/>
      <c r="DA97" s="505"/>
      <c r="DB97" s="516"/>
      <c r="DC97" s="505"/>
      <c r="DD97" s="505"/>
      <c r="DE97" s="778"/>
      <c r="DF97" s="505"/>
      <c r="DG97" s="505"/>
      <c r="DH97" s="778"/>
      <c r="DI97" s="300">
        <f>DK97/2</f>
        <v>2.2999999999999998</v>
      </c>
      <c r="DJ97" s="300">
        <f>DK97-DI97</f>
        <v>2.2999999999999998</v>
      </c>
      <c r="DK97" s="685">
        <v>4.5999999999999996</v>
      </c>
      <c r="DL97" s="666">
        <v>0</v>
      </c>
      <c r="DM97" s="631">
        <f>DN97-DL97</f>
        <v>28.9</v>
      </c>
      <c r="DN97" s="685">
        <v>28.9</v>
      </c>
      <c r="DO97" s="666">
        <v>35.4</v>
      </c>
      <c r="DP97" s="631">
        <f>DQ97-DO97</f>
        <v>49.6</v>
      </c>
      <c r="DQ97" s="685">
        <v>85</v>
      </c>
      <c r="DR97" s="666">
        <v>32</v>
      </c>
      <c r="DS97" s="631">
        <f>DT97-DR97</f>
        <v>29</v>
      </c>
      <c r="DT97" s="685">
        <v>61</v>
      </c>
      <c r="DU97" s="666">
        <v>24</v>
      </c>
      <c r="DV97" s="631">
        <f>DW97-DU97</f>
        <v>33</v>
      </c>
      <c r="DW97" s="685">
        <v>57</v>
      </c>
      <c r="DX97" s="666">
        <v>443</v>
      </c>
      <c r="DY97" s="631">
        <f>-DY87*0.2</f>
        <v>35</v>
      </c>
      <c r="DZ97" s="674">
        <f>+DX97+DY97</f>
        <v>478</v>
      </c>
      <c r="EA97" s="631">
        <f>-EA87*0.2</f>
        <v>36</v>
      </c>
      <c r="EB97" s="631">
        <f>EC97-EA97</f>
        <v>37</v>
      </c>
      <c r="EC97" s="674">
        <f>-EC87*0.2</f>
        <v>73</v>
      </c>
      <c r="ED97" s="631">
        <f>-ED87*0.2</f>
        <v>36</v>
      </c>
      <c r="EE97" s="631">
        <f>EF97-ED97</f>
        <v>37</v>
      </c>
      <c r="EF97" s="674">
        <f>-EF87*0.2</f>
        <v>73</v>
      </c>
      <c r="EG97" s="631">
        <f>-EG87*0.2</f>
        <v>36</v>
      </c>
      <c r="EH97" s="631">
        <f>EI97-EG97</f>
        <v>37</v>
      </c>
      <c r="EI97" s="674">
        <f>-EI87*0.2</f>
        <v>73</v>
      </c>
      <c r="EJ97" s="631">
        <f>-EJ87*0.2</f>
        <v>36</v>
      </c>
      <c r="EK97" s="631">
        <f>EL97-EJ97</f>
        <v>37</v>
      </c>
      <c r="EL97" s="674">
        <f>-EL87*0.2</f>
        <v>73</v>
      </c>
      <c r="EM97" s="631">
        <f>-EM87*0.2</f>
        <v>36</v>
      </c>
      <c r="EN97" s="631">
        <f>EO97-EM97</f>
        <v>37</v>
      </c>
      <c r="EO97" s="674">
        <f>-EO87*0.2</f>
        <v>73</v>
      </c>
      <c r="EP97" s="631">
        <f>-EP87*0.2</f>
        <v>36</v>
      </c>
      <c r="EQ97" s="631">
        <f>ER97-EP97</f>
        <v>37</v>
      </c>
      <c r="ER97" s="674">
        <f>-ER87*0.2</f>
        <v>73</v>
      </c>
      <c r="ES97" s="631">
        <f>-ES87*0.2</f>
        <v>36</v>
      </c>
      <c r="ET97" s="631">
        <f>EU97-ES97</f>
        <v>37</v>
      </c>
      <c r="EU97" s="674">
        <f>-EU87*0.2</f>
        <v>73</v>
      </c>
      <c r="EV97" s="631">
        <f>-EV87*0.2</f>
        <v>36</v>
      </c>
      <c r="EW97" s="631">
        <f>EX97-EV97</f>
        <v>37</v>
      </c>
      <c r="EX97" s="674">
        <f>-EX87*0.2</f>
        <v>73</v>
      </c>
      <c r="EY97" s="631">
        <f>-EY87*0.2</f>
        <v>36</v>
      </c>
      <c r="EZ97" s="631">
        <f>FA97-EY97</f>
        <v>37</v>
      </c>
      <c r="FA97" s="776">
        <f>-FA87*0.2</f>
        <v>73</v>
      </c>
    </row>
    <row r="98" spans="1:184" ht="13.35" customHeight="1" outlineLevel="1">
      <c r="A98" s="760"/>
      <c r="C98" s="4"/>
      <c r="D98" s="178"/>
      <c r="E98" s="197"/>
      <c r="F98" s="197"/>
      <c r="G98" s="197"/>
      <c r="H98" s="197"/>
      <c r="I98" s="197"/>
      <c r="J98" s="197"/>
      <c r="K98" s="197"/>
      <c r="L98" s="197"/>
      <c r="M98" s="197"/>
      <c r="N98" s="197"/>
      <c r="O98" s="197"/>
      <c r="P98" s="197"/>
      <c r="Q98" s="197"/>
      <c r="R98" s="197"/>
      <c r="S98" s="197"/>
      <c r="T98" s="197"/>
      <c r="U98" s="197"/>
      <c r="V98" s="197"/>
      <c r="W98" s="197"/>
      <c r="X98" s="197"/>
      <c r="Y98" s="197"/>
      <c r="Z98" s="197"/>
      <c r="AA98" s="197"/>
      <c r="AB98" s="197"/>
      <c r="AC98" s="197"/>
      <c r="AD98" s="197"/>
      <c r="AE98" s="197"/>
      <c r="AF98" s="197"/>
      <c r="AG98" s="197"/>
      <c r="AH98" s="197"/>
      <c r="AI98" s="197"/>
      <c r="AJ98" s="197"/>
      <c r="AK98" s="197"/>
      <c r="AL98" s="197"/>
      <c r="AM98" s="197"/>
      <c r="AN98" s="197"/>
      <c r="AO98" s="197"/>
      <c r="AP98" s="197"/>
      <c r="AQ98" s="197"/>
      <c r="AR98" s="196"/>
      <c r="AS98" s="196"/>
      <c r="AT98" s="194"/>
      <c r="AU98" s="196"/>
      <c r="AV98" s="196"/>
      <c r="AW98" s="194"/>
      <c r="AX98" s="196"/>
      <c r="AY98" s="196"/>
      <c r="AZ98" s="194"/>
      <c r="BA98" s="196"/>
      <c r="BB98" s="196"/>
      <c r="BC98" s="194"/>
      <c r="BD98" s="196"/>
      <c r="BE98" s="196"/>
      <c r="BF98" s="194"/>
      <c r="BG98" s="196"/>
      <c r="BH98" s="196"/>
      <c r="BI98" s="194"/>
      <c r="BJ98" s="196"/>
      <c r="BK98" s="196"/>
      <c r="BL98" s="194"/>
      <c r="BM98" s="196"/>
      <c r="BN98" s="196"/>
      <c r="BO98" s="197"/>
      <c r="BP98" s="196"/>
      <c r="BQ98" s="196"/>
      <c r="BR98" s="197"/>
      <c r="BS98" s="196"/>
      <c r="BT98" s="196"/>
      <c r="BU98" s="199"/>
      <c r="BV98" s="196"/>
      <c r="BW98" s="196"/>
      <c r="BX98" s="197"/>
      <c r="BY98" s="196"/>
      <c r="BZ98" s="196"/>
      <c r="CA98" s="197"/>
      <c r="CB98" s="196"/>
      <c r="CC98" s="196"/>
      <c r="CD98" s="197"/>
      <c r="CE98" s="196"/>
      <c r="CF98" s="196"/>
      <c r="CG98" s="197"/>
      <c r="CH98" s="196"/>
      <c r="CI98" s="196"/>
      <c r="CJ98" s="197"/>
      <c r="CK98" s="196"/>
      <c r="CL98" s="196"/>
      <c r="CM98" s="197"/>
      <c r="CN98" s="196"/>
      <c r="CO98" s="196"/>
      <c r="CP98" s="197"/>
      <c r="CQ98" s="196"/>
      <c r="CR98" s="196"/>
      <c r="CS98" s="197"/>
      <c r="CT98" s="196"/>
      <c r="CU98" s="196"/>
      <c r="CV98" s="197"/>
      <c r="CW98" s="196"/>
      <c r="CX98" s="196"/>
      <c r="CY98" s="516"/>
      <c r="CZ98" s="505"/>
      <c r="DA98" s="505"/>
      <c r="DB98" s="516"/>
      <c r="DC98" s="505"/>
      <c r="DD98" s="505"/>
      <c r="DE98" s="778"/>
      <c r="DF98" s="505"/>
      <c r="DG98" s="505"/>
      <c r="DH98" s="778"/>
      <c r="DI98" s="300"/>
      <c r="DJ98" s="300"/>
      <c r="DK98" s="677"/>
      <c r="DL98" s="300"/>
      <c r="DM98" s="300"/>
      <c r="DN98" s="677"/>
      <c r="DO98" s="300"/>
      <c r="DP98" s="300"/>
      <c r="DQ98" s="677"/>
      <c r="DR98" s="300"/>
      <c r="DS98" s="300"/>
      <c r="DT98" s="677"/>
      <c r="DU98" s="300"/>
      <c r="DV98" s="300"/>
      <c r="DW98" s="677"/>
      <c r="DX98" s="300"/>
      <c r="DY98" s="300"/>
      <c r="DZ98" s="677"/>
      <c r="EA98" s="300"/>
      <c r="EB98" s="300"/>
      <c r="EC98" s="677"/>
      <c r="ED98" s="300"/>
      <c r="EE98" s="300"/>
      <c r="EF98" s="677"/>
      <c r="EG98" s="300"/>
      <c r="EH98" s="300"/>
      <c r="EI98" s="677"/>
      <c r="EJ98" s="300"/>
      <c r="EK98" s="300"/>
      <c r="EL98" s="677"/>
      <c r="EM98" s="300"/>
      <c r="EN98" s="300"/>
      <c r="EO98" s="677"/>
      <c r="EP98" s="300"/>
      <c r="EQ98" s="300"/>
      <c r="ER98" s="677"/>
      <c r="ES98" s="300"/>
      <c r="ET98" s="300"/>
      <c r="EU98" s="677"/>
      <c r="EV98" s="300"/>
      <c r="EW98" s="300"/>
      <c r="EX98" s="677"/>
      <c r="EY98" s="300"/>
      <c r="EZ98" s="300"/>
      <c r="FA98" s="1867"/>
    </row>
    <row r="99" spans="1:184" ht="13.35" customHeight="1" outlineLevel="1">
      <c r="A99" s="760"/>
      <c r="B99" s="4" t="s">
        <v>552</v>
      </c>
      <c r="C99" s="4"/>
      <c r="D99" s="178" t="s">
        <v>357</v>
      </c>
      <c r="E99" s="197"/>
      <c r="F99" s="197"/>
      <c r="G99" s="197"/>
      <c r="H99" s="197"/>
      <c r="I99" s="197"/>
      <c r="J99" s="197"/>
      <c r="K99" s="197"/>
      <c r="L99" s="197"/>
      <c r="M99" s="197"/>
      <c r="N99" s="197"/>
      <c r="O99" s="197"/>
      <c r="P99" s="197"/>
      <c r="Q99" s="197"/>
      <c r="R99" s="197"/>
      <c r="S99" s="197"/>
      <c r="T99" s="197"/>
      <c r="U99" s="197"/>
      <c r="V99" s="197"/>
      <c r="W99" s="197"/>
      <c r="X99" s="197"/>
      <c r="Y99" s="197"/>
      <c r="Z99" s="197"/>
      <c r="AA99" s="197"/>
      <c r="AB99" s="197"/>
      <c r="AC99" s="197"/>
      <c r="AD99" s="197"/>
      <c r="AE99" s="197"/>
      <c r="AF99" s="197"/>
      <c r="AG99" s="197"/>
      <c r="AH99" s="197"/>
      <c r="AI99" s="197"/>
      <c r="AJ99" s="197"/>
      <c r="AK99" s="197"/>
      <c r="AL99" s="197"/>
      <c r="AM99" s="197"/>
      <c r="AN99" s="197"/>
      <c r="AO99" s="197"/>
      <c r="AP99" s="197"/>
      <c r="AQ99" s="197"/>
      <c r="AR99" s="196"/>
      <c r="AS99" s="196"/>
      <c r="AT99" s="194"/>
      <c r="AU99" s="196"/>
      <c r="AV99" s="196"/>
      <c r="AW99" s="194"/>
      <c r="AX99" s="196"/>
      <c r="AY99" s="196"/>
      <c r="AZ99" s="194"/>
      <c r="BA99" s="196"/>
      <c r="BB99" s="196"/>
      <c r="BC99" s="194"/>
      <c r="BD99" s="194"/>
      <c r="BE99" s="194"/>
      <c r="BF99" s="194"/>
      <c r="BG99" s="194"/>
      <c r="BH99" s="194"/>
      <c r="BI99" s="194"/>
      <c r="BJ99" s="194"/>
      <c r="BK99" s="194"/>
      <c r="BL99" s="194"/>
      <c r="BM99" s="194"/>
      <c r="BN99" s="194"/>
      <c r="BO99" s="194"/>
      <c r="BP99" s="194"/>
      <c r="BQ99" s="194"/>
      <c r="BR99" s="194"/>
      <c r="BS99" s="194"/>
      <c r="BT99" s="194"/>
      <c r="BU99" s="194"/>
      <c r="BV99" s="189">
        <v>47.270000000000017</v>
      </c>
      <c r="BW99" s="189">
        <v>53.769999999999975</v>
      </c>
      <c r="BX99" s="182">
        <v>101.03999999999999</v>
      </c>
      <c r="BY99" s="189">
        <v>57.160000000000018</v>
      </c>
      <c r="BZ99" s="189">
        <v>54.039999999999985</v>
      </c>
      <c r="CA99" s="182">
        <v>111.2</v>
      </c>
      <c r="CB99" s="189">
        <v>61.880000000000017</v>
      </c>
      <c r="CC99" s="189">
        <v>60.879999999999995</v>
      </c>
      <c r="CD99" s="182">
        <v>122.76000000000002</v>
      </c>
      <c r="CE99" s="189">
        <v>64.432000000000002</v>
      </c>
      <c r="CF99" s="189">
        <v>70.728000000000009</v>
      </c>
      <c r="CG99" s="182">
        <v>135.16000000000003</v>
      </c>
      <c r="CH99" s="189">
        <v>81.30024017801145</v>
      </c>
      <c r="CI99" s="189">
        <v>86.435759821988555</v>
      </c>
      <c r="CJ99" s="182">
        <v>167.73599999999999</v>
      </c>
      <c r="CK99" s="189">
        <v>100.47149999999999</v>
      </c>
      <c r="CL99" s="189">
        <v>323.7285</v>
      </c>
      <c r="CM99" s="182">
        <v>424.2</v>
      </c>
      <c r="CN99" s="189">
        <v>70.706999999999979</v>
      </c>
      <c r="CO99" s="189">
        <v>307.89299999999997</v>
      </c>
      <c r="CP99" s="182">
        <v>378.59999999999997</v>
      </c>
      <c r="CQ99" s="189">
        <v>176.9</v>
      </c>
      <c r="CR99" s="189">
        <v>276.3217585222892</v>
      </c>
      <c r="CS99" s="182">
        <v>453.22175852228918</v>
      </c>
      <c r="CT99" s="189">
        <v>334.01949301669197</v>
      </c>
      <c r="CU99" s="189">
        <v>331.68050698330808</v>
      </c>
      <c r="CV99" s="182">
        <v>665.7</v>
      </c>
      <c r="CW99" s="189">
        <v>461.74566169188779</v>
      </c>
      <c r="CX99" s="189">
        <v>394.93529068906457</v>
      </c>
      <c r="CY99" s="499">
        <v>856.68095238095236</v>
      </c>
      <c r="CZ99" s="300">
        <v>520.74526027227375</v>
      </c>
      <c r="DA99" s="300">
        <v>471.89223972772612</v>
      </c>
      <c r="DB99" s="499">
        <v>992.63749999999982</v>
      </c>
      <c r="DC99" s="300">
        <v>630.76800000000003</v>
      </c>
      <c r="DD99" s="300">
        <v>654.01119999999901</v>
      </c>
      <c r="DE99" s="677">
        <v>1284.779199999999</v>
      </c>
      <c r="DF99" s="300">
        <v>704</v>
      </c>
      <c r="DG99" s="300">
        <v>663.59999999999991</v>
      </c>
      <c r="DH99" s="677">
        <v>1367.6</v>
      </c>
      <c r="DI99" s="666">
        <f>DI100*DI20</f>
        <v>498.82684320874631</v>
      </c>
      <c r="DJ99" s="631">
        <f>+DK99-DI99</f>
        <v>697.47315679125359</v>
      </c>
      <c r="DK99" s="685">
        <v>1196.3</v>
      </c>
      <c r="DL99" s="666">
        <v>525</v>
      </c>
      <c r="DM99" s="631">
        <f>+DN99-DL99</f>
        <v>554</v>
      </c>
      <c r="DN99" s="685">
        <v>1079</v>
      </c>
      <c r="DO99" s="666">
        <v>570</v>
      </c>
      <c r="DP99" s="631">
        <f>+DQ99-DO99</f>
        <v>658</v>
      </c>
      <c r="DQ99" s="685">
        <v>1228</v>
      </c>
      <c r="DR99" s="666">
        <v>475</v>
      </c>
      <c r="DS99" s="631">
        <f>+DT99-DR99</f>
        <v>374</v>
      </c>
      <c r="DT99" s="685">
        <v>849</v>
      </c>
      <c r="DU99" s="666">
        <v>378</v>
      </c>
      <c r="DV99" s="631">
        <f>+DW99-DU99</f>
        <v>258</v>
      </c>
      <c r="DW99" s="685">
        <v>636</v>
      </c>
      <c r="DX99" s="666">
        <v>296</v>
      </c>
      <c r="DY99" s="1895">
        <f>DY100*DY9</f>
        <v>516.96310784077889</v>
      </c>
      <c r="DZ99" s="674">
        <f>DX99+DY99</f>
        <v>812.96310784077889</v>
      </c>
      <c r="EA99" s="631">
        <f>EA100*EA9</f>
        <v>518.63700481123271</v>
      </c>
      <c r="EB99" s="631">
        <f>EB100*EB9</f>
        <v>461.47007967432671</v>
      </c>
      <c r="EC99" s="674">
        <f>EA99+EB99</f>
        <v>980.10708448555943</v>
      </c>
      <c r="ED99" s="631">
        <f>ED100*ED9</f>
        <v>632.97059196247403</v>
      </c>
      <c r="EE99" s="631">
        <f>EE100*EE9</f>
        <v>572.8575148537833</v>
      </c>
      <c r="EF99" s="674">
        <f>ED99+EE99</f>
        <v>1205.8281068162573</v>
      </c>
      <c r="EG99" s="631">
        <f>EG100*EG9</f>
        <v>669.96127498187241</v>
      </c>
      <c r="EH99" s="631">
        <f>EH100*EH9</f>
        <v>611.06337582648678</v>
      </c>
      <c r="EI99" s="674">
        <f>EG99+EH99</f>
        <v>1281.0246508083592</v>
      </c>
      <c r="EJ99" s="631">
        <f>EJ100*EJ9</f>
        <v>608.24324388929301</v>
      </c>
      <c r="EK99" s="631">
        <f>EK100*EK9</f>
        <v>559.41719568957035</v>
      </c>
      <c r="EL99" s="674">
        <f>EJ99+EK99</f>
        <v>1167.6604395788634</v>
      </c>
      <c r="EM99" s="631">
        <f>EM100*EM9</f>
        <v>534.66655964934102</v>
      </c>
      <c r="EN99" s="631">
        <f>EN100*EN9</f>
        <v>492.31326765816107</v>
      </c>
      <c r="EO99" s="674">
        <f>EM99+EN99</f>
        <v>1026.9798273075021</v>
      </c>
      <c r="EP99" s="631">
        <f>EP100*EP9</f>
        <v>563.59620429623612</v>
      </c>
      <c r="EQ99" s="631">
        <f>EQ100*EQ9</f>
        <v>521.46207618070821</v>
      </c>
      <c r="ER99" s="674">
        <f>EP99+EQ99</f>
        <v>1085.0582804769442</v>
      </c>
      <c r="ES99" s="631">
        <f>ES100*ES9</f>
        <v>594.89130571653379</v>
      </c>
      <c r="ET99" s="631">
        <f>ET100*ET9</f>
        <v>552.4923020446779</v>
      </c>
      <c r="EU99" s="674">
        <f>ES99+ET99</f>
        <v>1147.3836077612118</v>
      </c>
      <c r="EV99" s="631">
        <f>EV100*EV9</f>
        <v>628.12807031663817</v>
      </c>
      <c r="EW99" s="631">
        <f>EW100*EW9</f>
        <v>585.52952809962335</v>
      </c>
      <c r="EX99" s="674">
        <f>EV99+EW99</f>
        <v>1213.6575984162614</v>
      </c>
      <c r="EY99" s="631">
        <f>EY100*EY9</f>
        <v>663.43372095647942</v>
      </c>
      <c r="EZ99" s="631">
        <f>EZ100*EZ9</f>
        <v>620.70792170424716</v>
      </c>
      <c r="FA99" s="6">
        <f>EY99+EZ99</f>
        <v>1284.1416426607266</v>
      </c>
    </row>
    <row r="100" spans="1:184" ht="13.35" customHeight="1" outlineLevel="1">
      <c r="A100" s="760"/>
      <c r="B100" s="4" t="s">
        <v>120</v>
      </c>
      <c r="C100" s="4"/>
      <c r="D100" s="178" t="s">
        <v>507</v>
      </c>
      <c r="E100" s="197"/>
      <c r="F100" s="197"/>
      <c r="G100" s="197"/>
      <c r="H100" s="197"/>
      <c r="I100" s="197"/>
      <c r="J100" s="197"/>
      <c r="K100" s="197"/>
      <c r="L100" s="197"/>
      <c r="M100" s="197"/>
      <c r="N100" s="197"/>
      <c r="O100" s="197"/>
      <c r="P100" s="197"/>
      <c r="Q100" s="197"/>
      <c r="R100" s="197"/>
      <c r="S100" s="197"/>
      <c r="T100" s="197"/>
      <c r="U100" s="197"/>
      <c r="V100" s="197"/>
      <c r="W100" s="197"/>
      <c r="X100" s="197"/>
      <c r="Y100" s="197"/>
      <c r="Z100" s="197"/>
      <c r="AA100" s="197"/>
      <c r="AB100" s="197"/>
      <c r="AC100" s="197"/>
      <c r="AD100" s="197"/>
      <c r="AE100" s="197"/>
      <c r="AF100" s="197"/>
      <c r="AG100" s="197"/>
      <c r="AH100" s="197"/>
      <c r="AI100" s="197"/>
      <c r="AJ100" s="197"/>
      <c r="AK100" s="197"/>
      <c r="AL100" s="197"/>
      <c r="AM100" s="197"/>
      <c r="AN100" s="197"/>
      <c r="AO100" s="197"/>
      <c r="AP100" s="197"/>
      <c r="AQ100" s="197"/>
      <c r="AR100" s="196"/>
      <c r="AS100" s="196"/>
      <c r="AT100" s="194"/>
      <c r="AU100" s="196"/>
      <c r="AV100" s="196"/>
      <c r="AW100" s="194"/>
      <c r="AX100" s="196"/>
      <c r="AY100" s="196"/>
      <c r="AZ100" s="194"/>
      <c r="BA100" s="196"/>
      <c r="BB100" s="196"/>
      <c r="BC100" s="194"/>
      <c r="BD100" s="194"/>
      <c r="BE100" s="194"/>
      <c r="BF100" s="194"/>
      <c r="BG100" s="194"/>
      <c r="BH100" s="194"/>
      <c r="BI100" s="194"/>
      <c r="BJ100" s="194"/>
      <c r="BK100" s="194"/>
      <c r="BL100" s="194"/>
      <c r="BM100" s="194"/>
      <c r="BN100" s="194"/>
      <c r="BO100" s="194"/>
      <c r="BP100" s="194"/>
      <c r="BQ100" s="194"/>
      <c r="BR100" s="194"/>
      <c r="BS100" s="194"/>
      <c r="BT100" s="194"/>
      <c r="BU100" s="194"/>
      <c r="BV100" s="204">
        <v>3.059306980764144E-2</v>
      </c>
      <c r="BW100" s="204">
        <v>3.1575940251055042E-2</v>
      </c>
      <c r="BX100" s="240">
        <v>2.9561146869514332E-2</v>
      </c>
      <c r="BY100" s="204">
        <v>3.1777936506774018E-2</v>
      </c>
      <c r="BZ100" s="204">
        <v>3.1645737562452002E-2</v>
      </c>
      <c r="CA100" s="240">
        <v>3.0479278603997424E-2</v>
      </c>
      <c r="CB100" s="204">
        <v>2.9586004113835124E-2</v>
      </c>
      <c r="CC100" s="204">
        <v>3.088680378363878E-2</v>
      </c>
      <c r="CD100" s="240">
        <v>2.9552922885439079E-2</v>
      </c>
      <c r="CE100" s="204">
        <v>3.1511895942741425E-2</v>
      </c>
      <c r="CF100" s="204">
        <v>3.2198735823593408E-2</v>
      </c>
      <c r="CG100" s="240">
        <v>3.1183770943334854E-2</v>
      </c>
      <c r="CH100" s="204">
        <v>3.5254250421667181E-2</v>
      </c>
      <c r="CI100" s="204">
        <v>3.7285910154194538E-2</v>
      </c>
      <c r="CJ100" s="240">
        <v>3.5196871974543471E-2</v>
      </c>
      <c r="CK100" s="204">
        <v>4.0312763310997875E-2</v>
      </c>
      <c r="CL100" s="204">
        <v>0.13115975204602537</v>
      </c>
      <c r="CM100" s="240">
        <v>8.326136452853887E-2</v>
      </c>
      <c r="CN100" s="204">
        <v>2.7467562737937993E-2</v>
      </c>
      <c r="CO100" s="204">
        <v>0.11153118887198438</v>
      </c>
      <c r="CP100" s="240">
        <v>7.096798380445378E-2</v>
      </c>
      <c r="CQ100" s="204">
        <v>6.2383185809500294E-2</v>
      </c>
      <c r="CR100" s="204">
        <v>0.1001238345250703</v>
      </c>
      <c r="CS100" s="240">
        <v>8.0997544191276749E-2</v>
      </c>
      <c r="CT100" s="204">
        <v>0.1065212458693988</v>
      </c>
      <c r="CU100" s="204">
        <v>0.11360118641794259</v>
      </c>
      <c r="CV100" s="240">
        <v>0.10993493410839908</v>
      </c>
      <c r="CW100" s="204">
        <v>0.12839107487818036</v>
      </c>
      <c r="CX100" s="204">
        <v>0.12584771228381383</v>
      </c>
      <c r="CY100" s="518">
        <v>0.12720591458749628</v>
      </c>
      <c r="CZ100" s="505">
        <v>0.1276483323394775</v>
      </c>
      <c r="DA100" s="505">
        <v>0.12802391200819721</v>
      </c>
      <c r="DB100" s="518">
        <v>0.12782660485480649</v>
      </c>
      <c r="DC100" s="505">
        <v>0.14281755196304849</v>
      </c>
      <c r="DD100" s="505">
        <v>0.16491696295735905</v>
      </c>
      <c r="DE100" s="681">
        <v>0.15327287260059874</v>
      </c>
      <c r="DF100" s="505">
        <v>0.14710392034648853</v>
      </c>
      <c r="DG100" s="505">
        <v>0.15904244487932886</v>
      </c>
      <c r="DH100" s="681">
        <v>0.15266453842217698</v>
      </c>
      <c r="DI100" s="562">
        <v>8.6907494680913813E-2</v>
      </c>
      <c r="DJ100" s="562">
        <v>0.12249768205613887</v>
      </c>
      <c r="DK100" s="678">
        <f>DK99/DK20</f>
        <v>0.11600709016926304</v>
      </c>
      <c r="DL100" s="562">
        <v>8.6907494680913813E-2</v>
      </c>
      <c r="DM100" s="562">
        <v>0.12249768205613887</v>
      </c>
      <c r="DN100" s="678">
        <f t="shared" ref="DN100:DW100" si="176">DN99/DN20</f>
        <v>0.10215481330000756</v>
      </c>
      <c r="DO100" s="562">
        <f t="shared" si="176"/>
        <v>7.9342984409799561E-2</v>
      </c>
      <c r="DP100" s="562">
        <f t="shared" si="176"/>
        <v>0.10741103493307215</v>
      </c>
      <c r="DQ100" s="678">
        <f t="shared" si="176"/>
        <v>9.2261457550713744E-2</v>
      </c>
      <c r="DR100" s="562">
        <f t="shared" si="176"/>
        <v>5.898422947969701E-2</v>
      </c>
      <c r="DS100" s="562">
        <f t="shared" si="176"/>
        <v>5.5432043871350228E-2</v>
      </c>
      <c r="DT100" s="678">
        <f t="shared" si="176"/>
        <v>5.7364864864864862E-2</v>
      </c>
      <c r="DU100" s="562">
        <f t="shared" si="176"/>
        <v>4.4559707650595311E-2</v>
      </c>
      <c r="DV100" s="562">
        <f t="shared" si="176"/>
        <v>3.6466431095406357E-2</v>
      </c>
      <c r="DW100" s="678">
        <f t="shared" si="176"/>
        <v>4.0879290397223295E-2</v>
      </c>
      <c r="DX100" s="562">
        <f t="shared" ref="DX100" si="177">DX99/DX20</f>
        <v>3.5525684109457514E-2</v>
      </c>
      <c r="DY100" s="926">
        <v>7.0000000000000007E-2</v>
      </c>
      <c r="DZ100" s="678">
        <f>DZ99/DZ9</f>
        <v>5.2526540801854392E-2</v>
      </c>
      <c r="EA100" s="926">
        <v>0.06</v>
      </c>
      <c r="EB100" s="562">
        <f>+EA100</f>
        <v>0.06</v>
      </c>
      <c r="EC100" s="678">
        <f>EC99/EC9</f>
        <v>0.06</v>
      </c>
      <c r="ED100" s="926">
        <v>7.0000000000000007E-2</v>
      </c>
      <c r="EE100" s="562">
        <f>+ED100</f>
        <v>7.0000000000000007E-2</v>
      </c>
      <c r="EF100" s="678">
        <f>EF99/EF9</f>
        <v>6.9999999999999993E-2</v>
      </c>
      <c r="EG100" s="926">
        <v>7.0000000000000007E-2</v>
      </c>
      <c r="EH100" s="562">
        <f>+EG100</f>
        <v>7.0000000000000007E-2</v>
      </c>
      <c r="EI100" s="678">
        <f>EI99/EI9</f>
        <v>7.0000000000000007E-2</v>
      </c>
      <c r="EJ100" s="926">
        <v>0.06</v>
      </c>
      <c r="EK100" s="562">
        <f>+EJ100</f>
        <v>0.06</v>
      </c>
      <c r="EL100" s="678">
        <f>EL99/EL9</f>
        <v>0.06</v>
      </c>
      <c r="EM100" s="926">
        <v>0.05</v>
      </c>
      <c r="EN100" s="562">
        <f>+EM100</f>
        <v>0.05</v>
      </c>
      <c r="EO100" s="678">
        <f>EO99/EO9</f>
        <v>5.000000000000001E-2</v>
      </c>
      <c r="EP100" s="562">
        <f>+EN100</f>
        <v>0.05</v>
      </c>
      <c r="EQ100" s="562">
        <f>+EP100</f>
        <v>0.05</v>
      </c>
      <c r="ER100" s="678">
        <f>ER99/ER9</f>
        <v>4.9999999999999996E-2</v>
      </c>
      <c r="ES100" s="562">
        <f>+EQ100</f>
        <v>0.05</v>
      </c>
      <c r="ET100" s="562">
        <f>+ES100</f>
        <v>0.05</v>
      </c>
      <c r="EU100" s="678">
        <f>EU99/EU9</f>
        <v>5.000000000000001E-2</v>
      </c>
      <c r="EV100" s="562">
        <f>+ET100</f>
        <v>0.05</v>
      </c>
      <c r="EW100" s="562">
        <f>+EV100</f>
        <v>0.05</v>
      </c>
      <c r="EX100" s="678">
        <f>EX99/EX9</f>
        <v>4.9999999999999996E-2</v>
      </c>
      <c r="EY100" s="562">
        <f>+EW100</f>
        <v>0.05</v>
      </c>
      <c r="EZ100" s="562">
        <f>+EY100</f>
        <v>0.05</v>
      </c>
      <c r="FA100" s="563">
        <f>FA99/FA9</f>
        <v>0.05</v>
      </c>
    </row>
    <row r="101" spans="1:184" ht="13.35" customHeight="1">
      <c r="A101" s="760"/>
      <c r="D101" s="177"/>
      <c r="BU101" s="177"/>
      <c r="CY101" s="177"/>
      <c r="CZ101" s="177"/>
      <c r="DA101" s="177"/>
      <c r="DB101" s="177"/>
      <c r="DC101" s="177"/>
      <c r="DD101" s="177"/>
      <c r="DE101" s="686"/>
      <c r="DF101" s="177"/>
      <c r="DG101" s="177"/>
      <c r="DH101" s="686"/>
      <c r="DI101" s="177"/>
      <c r="DJ101" s="177"/>
      <c r="DK101" s="686"/>
      <c r="DL101" s="177"/>
      <c r="DM101" s="177"/>
      <c r="DN101" s="686"/>
      <c r="DO101" s="177"/>
      <c r="DP101" s="177"/>
      <c r="DQ101" s="686"/>
      <c r="DR101" s="177"/>
      <c r="DS101" s="177"/>
      <c r="DT101" s="686"/>
      <c r="DU101" s="177"/>
      <c r="DV101" s="177"/>
      <c r="DW101" s="686"/>
      <c r="DX101" s="177"/>
      <c r="DY101" s="177"/>
      <c r="DZ101" s="686"/>
      <c r="EA101" s="177"/>
      <c r="EB101" s="177"/>
      <c r="EC101" s="686"/>
      <c r="ED101" s="177"/>
      <c r="EE101" s="177"/>
      <c r="EF101" s="686"/>
      <c r="EG101" s="177"/>
      <c r="EH101" s="177"/>
      <c r="EI101" s="686"/>
      <c r="EJ101" s="177"/>
      <c r="EK101" s="177"/>
      <c r="EL101" s="686"/>
      <c r="EM101" s="177"/>
      <c r="EN101" s="177"/>
      <c r="EO101" s="686"/>
      <c r="EP101" s="177"/>
      <c r="EQ101" s="177"/>
      <c r="ER101" s="686"/>
      <c r="ES101" s="177"/>
      <c r="ET101" s="177"/>
      <c r="EU101" s="686"/>
      <c r="EV101" s="177"/>
      <c r="EW101" s="177"/>
      <c r="EX101" s="686"/>
      <c r="EY101" s="177"/>
      <c r="EZ101" s="177"/>
      <c r="FA101" s="177"/>
    </row>
    <row r="102" spans="1:184" ht="13.35" customHeight="1">
      <c r="A102" s="989"/>
      <c r="B102" s="657" t="s">
        <v>362</v>
      </c>
      <c r="C102" s="657"/>
      <c r="D102" s="658"/>
      <c r="E102" s="659"/>
      <c r="F102" s="659"/>
      <c r="G102" s="660"/>
      <c r="H102" s="659"/>
      <c r="I102" s="659"/>
      <c r="J102" s="660"/>
      <c r="K102" s="659"/>
      <c r="L102" s="659"/>
      <c r="M102" s="660"/>
      <c r="N102" s="659"/>
      <c r="O102" s="659"/>
      <c r="P102" s="660"/>
      <c r="Q102" s="659"/>
      <c r="R102" s="659"/>
      <c r="S102" s="660"/>
      <c r="T102" s="659"/>
      <c r="U102" s="659"/>
      <c r="V102" s="660"/>
      <c r="W102" s="659"/>
      <c r="X102" s="659"/>
      <c r="Y102" s="660"/>
      <c r="Z102" s="659"/>
      <c r="AA102" s="659"/>
      <c r="AB102" s="660"/>
      <c r="AC102" s="659"/>
      <c r="AD102" s="659"/>
      <c r="AE102" s="660"/>
      <c r="AF102" s="659"/>
      <c r="AG102" s="659"/>
      <c r="AH102" s="660"/>
      <c r="AI102" s="659"/>
      <c r="AJ102" s="659"/>
      <c r="AK102" s="660"/>
      <c r="AL102" s="659"/>
      <c r="AM102" s="659"/>
      <c r="AN102" s="660"/>
      <c r="AO102" s="659"/>
      <c r="AP102" s="659"/>
      <c r="AQ102" s="660"/>
      <c r="AR102" s="659"/>
      <c r="AS102" s="659"/>
      <c r="AT102" s="660"/>
      <c r="AU102" s="659"/>
      <c r="AV102" s="659"/>
      <c r="AW102" s="660"/>
      <c r="AX102" s="661"/>
      <c r="AY102" s="661"/>
      <c r="AZ102" s="661"/>
      <c r="BA102" s="661"/>
      <c r="BB102" s="661"/>
      <c r="BC102" s="661"/>
      <c r="BD102" s="661"/>
      <c r="BE102" s="661"/>
      <c r="BF102" s="661"/>
      <c r="BG102" s="661"/>
      <c r="BH102" s="661"/>
      <c r="BI102" s="661"/>
      <c r="BJ102" s="661"/>
      <c r="BK102" s="661"/>
      <c r="BL102" s="661"/>
      <c r="BM102" s="661" t="str">
        <f t="shared" ref="BM102:CR102" si="178">BM5</f>
        <v>1h05</v>
      </c>
      <c r="BN102" s="661" t="str">
        <f t="shared" si="178"/>
        <v>2h05</v>
      </c>
      <c r="BO102" s="661" t="str">
        <f t="shared" si="178"/>
        <v>2005</v>
      </c>
      <c r="BP102" s="661" t="str">
        <f t="shared" si="178"/>
        <v>1h06</v>
      </c>
      <c r="BQ102" s="661" t="str">
        <f t="shared" si="178"/>
        <v>2h06</v>
      </c>
      <c r="BR102" s="661" t="str">
        <f t="shared" si="178"/>
        <v>2006</v>
      </c>
      <c r="BS102" s="661" t="str">
        <f t="shared" si="178"/>
        <v>1h07</v>
      </c>
      <c r="BT102" s="661" t="str">
        <f t="shared" si="178"/>
        <v>2h07</v>
      </c>
      <c r="BU102" s="661" t="str">
        <f t="shared" si="178"/>
        <v>2007</v>
      </c>
      <c r="BV102" s="661" t="str">
        <f t="shared" si="178"/>
        <v>1h08</v>
      </c>
      <c r="BW102" s="661" t="str">
        <f t="shared" si="178"/>
        <v>2h08</v>
      </c>
      <c r="BX102" s="661" t="str">
        <f t="shared" si="178"/>
        <v>2008</v>
      </c>
      <c r="BY102" s="661" t="str">
        <f t="shared" si="178"/>
        <v>1h09</v>
      </c>
      <c r="BZ102" s="661" t="str">
        <f t="shared" si="178"/>
        <v>2h09</v>
      </c>
      <c r="CA102" s="661" t="str">
        <f t="shared" si="178"/>
        <v>2009</v>
      </c>
      <c r="CB102" s="661" t="str">
        <f t="shared" si="178"/>
        <v>1h10</v>
      </c>
      <c r="CC102" s="661" t="str">
        <f t="shared" si="178"/>
        <v>2h10</v>
      </c>
      <c r="CD102" s="661" t="str">
        <f t="shared" si="178"/>
        <v>2010</v>
      </c>
      <c r="CE102" s="661" t="str">
        <f t="shared" si="178"/>
        <v>1h11</v>
      </c>
      <c r="CF102" s="661" t="str">
        <f t="shared" si="178"/>
        <v>2h11</v>
      </c>
      <c r="CG102" s="661" t="str">
        <f t="shared" si="178"/>
        <v>2011</v>
      </c>
      <c r="CH102" s="661" t="str">
        <f t="shared" si="178"/>
        <v>1h12</v>
      </c>
      <c r="CI102" s="661" t="str">
        <f t="shared" si="178"/>
        <v>2h12</v>
      </c>
      <c r="CJ102" s="661" t="str">
        <f t="shared" si="178"/>
        <v>2012</v>
      </c>
      <c r="CK102" s="661" t="str">
        <f t="shared" si="178"/>
        <v>1h13</v>
      </c>
      <c r="CL102" s="661" t="str">
        <f t="shared" si="178"/>
        <v>2h13</v>
      </c>
      <c r="CM102" s="661" t="str">
        <f t="shared" si="178"/>
        <v>2013</v>
      </c>
      <c r="CN102" s="661" t="str">
        <f t="shared" si="178"/>
        <v>1h14</v>
      </c>
      <c r="CO102" s="661" t="str">
        <f t="shared" si="178"/>
        <v>2h14</v>
      </c>
      <c r="CP102" s="661" t="str">
        <f t="shared" si="178"/>
        <v>2014</v>
      </c>
      <c r="CQ102" s="661" t="str">
        <f t="shared" si="178"/>
        <v>1h15</v>
      </c>
      <c r="CR102" s="661" t="str">
        <f t="shared" si="178"/>
        <v>2h15</v>
      </c>
      <c r="CS102" s="661" t="str">
        <f t="shared" ref="CS102:DX102" si="179">CS5</f>
        <v>2015</v>
      </c>
      <c r="CT102" s="661" t="str">
        <f t="shared" si="179"/>
        <v>1h16</v>
      </c>
      <c r="CU102" s="661" t="str">
        <f t="shared" si="179"/>
        <v>2h16</v>
      </c>
      <c r="CV102" s="661" t="str">
        <f t="shared" si="179"/>
        <v>2016</v>
      </c>
      <c r="CW102" s="661" t="str">
        <f t="shared" si="179"/>
        <v>1h17</v>
      </c>
      <c r="CX102" s="661" t="str">
        <f t="shared" si="179"/>
        <v>2h17</v>
      </c>
      <c r="CY102" s="661" t="str">
        <f t="shared" si="179"/>
        <v>2017</v>
      </c>
      <c r="CZ102" s="661" t="str">
        <f t="shared" si="179"/>
        <v>1h18</v>
      </c>
      <c r="DA102" s="661" t="str">
        <f t="shared" si="179"/>
        <v>2h18</v>
      </c>
      <c r="DB102" s="661" t="str">
        <f t="shared" si="179"/>
        <v>2018</v>
      </c>
      <c r="DC102" s="661" t="str">
        <f t="shared" si="179"/>
        <v>1h19</v>
      </c>
      <c r="DD102" s="661" t="str">
        <f t="shared" si="179"/>
        <v>2h19</v>
      </c>
      <c r="DE102" s="687" t="str">
        <f t="shared" si="179"/>
        <v>2019</v>
      </c>
      <c r="DF102" s="661" t="str">
        <f t="shared" si="179"/>
        <v>1h20</v>
      </c>
      <c r="DG102" s="661" t="str">
        <f t="shared" si="179"/>
        <v>2h20</v>
      </c>
      <c r="DH102" s="687" t="str">
        <f t="shared" si="179"/>
        <v>2020</v>
      </c>
      <c r="DI102" s="661" t="str">
        <f t="shared" si="179"/>
        <v>1h21</v>
      </c>
      <c r="DJ102" s="661" t="str">
        <f t="shared" si="179"/>
        <v>2h21</v>
      </c>
      <c r="DK102" s="687" t="str">
        <f t="shared" si="179"/>
        <v>2021</v>
      </c>
      <c r="DL102" s="661" t="str">
        <f t="shared" si="179"/>
        <v>1h22</v>
      </c>
      <c r="DM102" s="661" t="str">
        <f t="shared" si="179"/>
        <v>2h22</v>
      </c>
      <c r="DN102" s="687" t="str">
        <f t="shared" si="179"/>
        <v>2022</v>
      </c>
      <c r="DO102" s="661" t="str">
        <f t="shared" si="179"/>
        <v>1h23</v>
      </c>
      <c r="DP102" s="661" t="str">
        <f t="shared" si="179"/>
        <v>2h23</v>
      </c>
      <c r="DQ102" s="687" t="str">
        <f t="shared" si="179"/>
        <v>2023</v>
      </c>
      <c r="DR102" s="661" t="str">
        <f t="shared" si="179"/>
        <v>1h24</v>
      </c>
      <c r="DS102" s="661" t="str">
        <f t="shared" si="179"/>
        <v>2h24</v>
      </c>
      <c r="DT102" s="687" t="str">
        <f t="shared" si="179"/>
        <v>2024</v>
      </c>
      <c r="DU102" s="661" t="str">
        <f t="shared" si="179"/>
        <v>1h25</v>
      </c>
      <c r="DV102" s="661" t="str">
        <f t="shared" si="179"/>
        <v>2h25</v>
      </c>
      <c r="DW102" s="687" t="str">
        <f t="shared" si="179"/>
        <v>2025</v>
      </c>
      <c r="DX102" s="661" t="str">
        <f t="shared" si="179"/>
        <v>1h26</v>
      </c>
      <c r="DY102" s="661" t="str">
        <f t="shared" ref="DY102:FA102" si="180">DY5</f>
        <v>2h26E</v>
      </c>
      <c r="DZ102" s="687" t="str">
        <f t="shared" si="180"/>
        <v>2026E</v>
      </c>
      <c r="EA102" s="661" t="str">
        <f t="shared" si="180"/>
        <v>1h27E</v>
      </c>
      <c r="EB102" s="661" t="str">
        <f t="shared" si="180"/>
        <v>2h27E</v>
      </c>
      <c r="EC102" s="687" t="str">
        <f t="shared" si="180"/>
        <v>2027E</v>
      </c>
      <c r="ED102" s="661" t="str">
        <f t="shared" si="180"/>
        <v>1h28E</v>
      </c>
      <c r="EE102" s="661" t="str">
        <f t="shared" si="180"/>
        <v>2h28E</v>
      </c>
      <c r="EF102" s="687" t="str">
        <f t="shared" si="180"/>
        <v>2028E</v>
      </c>
      <c r="EG102" s="661" t="str">
        <f t="shared" si="180"/>
        <v>1h29E</v>
      </c>
      <c r="EH102" s="661" t="str">
        <f t="shared" si="180"/>
        <v>2h29E</v>
      </c>
      <c r="EI102" s="687" t="str">
        <f t="shared" si="180"/>
        <v>2029E</v>
      </c>
      <c r="EJ102" s="661" t="str">
        <f t="shared" si="180"/>
        <v>1h30E</v>
      </c>
      <c r="EK102" s="661" t="str">
        <f t="shared" si="180"/>
        <v>2h30E</v>
      </c>
      <c r="EL102" s="687" t="str">
        <f t="shared" si="180"/>
        <v>2030E</v>
      </c>
      <c r="EM102" s="661" t="str">
        <f t="shared" si="180"/>
        <v>1h31E</v>
      </c>
      <c r="EN102" s="661" t="str">
        <f t="shared" si="180"/>
        <v>2h31E</v>
      </c>
      <c r="EO102" s="687" t="str">
        <f t="shared" si="180"/>
        <v>2031E</v>
      </c>
      <c r="EP102" s="661" t="str">
        <f t="shared" si="180"/>
        <v>1h32E</v>
      </c>
      <c r="EQ102" s="661" t="str">
        <f t="shared" si="180"/>
        <v>2h32E</v>
      </c>
      <c r="ER102" s="687" t="str">
        <f t="shared" si="180"/>
        <v>2032E</v>
      </c>
      <c r="ES102" s="661" t="str">
        <f t="shared" si="180"/>
        <v>1h33E</v>
      </c>
      <c r="ET102" s="661" t="str">
        <f t="shared" si="180"/>
        <v>2h33E</v>
      </c>
      <c r="EU102" s="687" t="str">
        <f t="shared" si="180"/>
        <v>2033E</v>
      </c>
      <c r="EV102" s="661" t="str">
        <f t="shared" si="180"/>
        <v>1h34E</v>
      </c>
      <c r="EW102" s="661" t="str">
        <f t="shared" si="180"/>
        <v>2h34E</v>
      </c>
      <c r="EX102" s="687" t="str">
        <f t="shared" si="180"/>
        <v>2034E</v>
      </c>
      <c r="EY102" s="661" t="str">
        <f t="shared" si="180"/>
        <v>1h35E</v>
      </c>
      <c r="EZ102" s="661" t="str">
        <f t="shared" si="180"/>
        <v>2h35E</v>
      </c>
      <c r="FA102" s="661" t="str">
        <f t="shared" si="180"/>
        <v>2035E</v>
      </c>
    </row>
    <row r="103" spans="1:184" ht="13.35" customHeight="1">
      <c r="A103" s="760" t="s">
        <v>993</v>
      </c>
      <c r="B103" s="177" t="s">
        <v>152</v>
      </c>
      <c r="C103" s="5"/>
      <c r="D103" s="250" t="s">
        <v>357</v>
      </c>
      <c r="E103" s="251"/>
      <c r="F103" s="251"/>
      <c r="G103" s="252"/>
      <c r="H103" s="251"/>
      <c r="I103" s="251"/>
      <c r="J103" s="252"/>
      <c r="K103" s="252"/>
      <c r="L103" s="252"/>
      <c r="M103" s="252"/>
      <c r="N103" s="252"/>
      <c r="O103" s="252"/>
      <c r="P103" s="252"/>
      <c r="Q103" s="252"/>
      <c r="R103" s="252"/>
      <c r="S103" s="252"/>
      <c r="T103" s="252"/>
      <c r="U103" s="252"/>
      <c r="V103" s="252"/>
      <c r="W103" s="252"/>
      <c r="X103" s="252"/>
      <c r="Y103" s="252"/>
      <c r="Z103" s="252"/>
      <c r="AA103" s="252"/>
      <c r="AB103" s="252"/>
      <c r="AC103" s="252"/>
      <c r="AD103" s="252"/>
      <c r="AE103" s="252"/>
      <c r="AF103" s="252"/>
      <c r="AG103" s="252"/>
      <c r="AH103" s="252"/>
      <c r="AI103" s="252"/>
      <c r="AJ103" s="252"/>
      <c r="AK103" s="252"/>
      <c r="AL103" s="252"/>
      <c r="AM103" s="252"/>
      <c r="AN103" s="252"/>
      <c r="AO103" s="252"/>
      <c r="AP103" s="252"/>
      <c r="AQ103" s="252"/>
      <c r="AR103" s="252"/>
      <c r="AS103" s="252"/>
      <c r="AT103" s="252"/>
      <c r="AU103" s="252"/>
      <c r="AV103" s="252"/>
      <c r="AW103" s="252"/>
      <c r="AX103" s="251"/>
      <c r="AY103" s="251"/>
      <c r="AZ103" s="4"/>
      <c r="BA103" s="251"/>
      <c r="BB103" s="251"/>
      <c r="BC103" s="4"/>
      <c r="BD103" s="251"/>
      <c r="BE103" s="251"/>
      <c r="BF103" s="4"/>
      <c r="BG103" s="251"/>
      <c r="BH103" s="251"/>
      <c r="BI103" s="4"/>
      <c r="BJ103" s="251"/>
      <c r="BK103" s="251"/>
      <c r="BL103" s="252"/>
      <c r="BM103" s="198"/>
      <c r="BN103" s="198"/>
      <c r="BO103" s="253"/>
      <c r="BP103" s="198"/>
      <c r="BQ103" s="198"/>
      <c r="BR103" s="253"/>
      <c r="BS103" s="198"/>
      <c r="BT103" s="198"/>
      <c r="BU103" s="254"/>
      <c r="BV103" s="198"/>
      <c r="BW103" s="198"/>
      <c r="BX103" s="253"/>
      <c r="BY103" s="198"/>
      <c r="BZ103" s="198"/>
      <c r="CA103" s="253"/>
      <c r="CB103" s="198"/>
      <c r="CC103" s="198"/>
      <c r="CD103" s="253"/>
      <c r="CE103" s="198"/>
      <c r="CF103" s="198"/>
      <c r="CG103" s="253"/>
      <c r="CH103" s="198"/>
      <c r="CI103" s="198"/>
      <c r="CJ103" s="253"/>
      <c r="CK103" s="198"/>
      <c r="CL103" s="198"/>
      <c r="CM103" s="253"/>
      <c r="CN103" s="198"/>
      <c r="CO103" s="198"/>
      <c r="CP103" s="253"/>
      <c r="CQ103" s="198"/>
      <c r="CR103" s="198"/>
      <c r="CS103" s="253"/>
      <c r="CT103" s="198"/>
      <c r="CU103" s="198"/>
      <c r="CV103" s="253"/>
      <c r="CW103" s="198"/>
      <c r="CX103" s="198"/>
      <c r="CY103" s="521"/>
      <c r="CZ103" s="489"/>
      <c r="DA103" s="489"/>
      <c r="DB103" s="521"/>
      <c r="DC103" s="489"/>
      <c r="DD103" s="489"/>
      <c r="DE103" s="779"/>
      <c r="DF103" s="489"/>
      <c r="DG103" s="489"/>
      <c r="DH103" s="779"/>
      <c r="DI103" s="631">
        <f>DI166</f>
        <v>2157.0256347644754</v>
      </c>
      <c r="DJ103" s="631">
        <f>DJ166</f>
        <v>2080.9937854531681</v>
      </c>
      <c r="DK103" s="674">
        <f>SUM(DI103:DJ103)</f>
        <v>4238.0194202176435</v>
      </c>
      <c r="DL103" s="631">
        <f>DL166</f>
        <v>1976.8099258760888</v>
      </c>
      <c r="DM103" s="631">
        <f>DM166</f>
        <v>2047.1900741239112</v>
      </c>
      <c r="DN103" s="674">
        <f>SUM(DL103:DM103)</f>
        <v>4024</v>
      </c>
      <c r="DO103" s="631">
        <f>DO166</f>
        <v>2107</v>
      </c>
      <c r="DP103" s="631">
        <f>DP166</f>
        <v>2372</v>
      </c>
      <c r="DQ103" s="674">
        <f>SUM(DO103:DP103)</f>
        <v>4479</v>
      </c>
      <c r="DR103" s="631">
        <f>DR166</f>
        <v>2713</v>
      </c>
      <c r="DS103" s="631">
        <f>DS166</f>
        <v>2872</v>
      </c>
      <c r="DT103" s="674">
        <f>SUM(DR103:DS103)</f>
        <v>5585</v>
      </c>
      <c r="DU103" s="631">
        <f>DU166</f>
        <v>3124</v>
      </c>
      <c r="DV103" s="631">
        <f>DV166</f>
        <v>2858</v>
      </c>
      <c r="DW103" s="674">
        <f>SUM(DU103:DV103)</f>
        <v>5982</v>
      </c>
      <c r="DX103" s="631">
        <f>DX166</f>
        <v>3017</v>
      </c>
      <c r="DY103" s="631">
        <f>DY166</f>
        <v>3258.1200000000003</v>
      </c>
      <c r="DZ103" s="674">
        <f>SUM(DX103:DY103)</f>
        <v>6275.1200000000008</v>
      </c>
      <c r="EA103" s="631">
        <f>EA166</f>
        <v>3273.4449999999997</v>
      </c>
      <c r="EB103" s="631">
        <f>EB166</f>
        <v>3535.0602000000003</v>
      </c>
      <c r="EC103" s="674">
        <f>SUM(EA103:EB103)</f>
        <v>6808.5051999999996</v>
      </c>
      <c r="ED103" s="631">
        <f>ED166</f>
        <v>3520.0990807499993</v>
      </c>
      <c r="EE103" s="631">
        <f>EE166</f>
        <v>3801.4269860700006</v>
      </c>
      <c r="EF103" s="674">
        <f>SUM(ED103:EE103)</f>
        <v>7321.5260668199999</v>
      </c>
      <c r="EG103" s="631">
        <f>EG166</f>
        <v>3785.3385464845114</v>
      </c>
      <c r="EH103" s="631">
        <f>EH166</f>
        <v>4087.8645094703747</v>
      </c>
      <c r="EI103" s="674">
        <f>SUM(EG103:EH103)</f>
        <v>7873.2030559548857</v>
      </c>
      <c r="EJ103" s="631">
        <f>EJ166</f>
        <v>4057.3872018248617</v>
      </c>
      <c r="EK103" s="631">
        <f>EK166</f>
        <v>4381.4989066843509</v>
      </c>
      <c r="EL103" s="674">
        <f>SUM(EJ103:EK103)</f>
        <v>8438.8861085092121</v>
      </c>
      <c r="EM103" s="631">
        <f>EM166</f>
        <v>4349.0123610554983</v>
      </c>
      <c r="EN103" s="631">
        <f>EN166</f>
        <v>4696.251622178178</v>
      </c>
      <c r="EO103" s="674">
        <f>SUM(EM103:EN103)</f>
        <v>9045.2639832336754</v>
      </c>
      <c r="EP103" s="631">
        <f>EP166</f>
        <v>4661.624548384284</v>
      </c>
      <c r="EQ103" s="631">
        <f>EQ166</f>
        <v>5033.6434288857254</v>
      </c>
      <c r="ER103" s="674">
        <f>SUM(EP103:EQ103)</f>
        <v>9695.2679772700103</v>
      </c>
      <c r="ES103" s="631">
        <f>ES166</f>
        <v>4996.7360514429201</v>
      </c>
      <c r="ET103" s="631">
        <f>ET166</f>
        <v>5395.304755517036</v>
      </c>
      <c r="EU103" s="674">
        <f>SUM(ES103:ET103)</f>
        <v>10392.040806959956</v>
      </c>
      <c r="EV103" s="631">
        <f>EV166</f>
        <v>5355.9682727906775</v>
      </c>
      <c r="EW103" s="631">
        <f>EW166</f>
        <v>5782.9836037085506</v>
      </c>
      <c r="EX103" s="674">
        <f>SUM(EV103:EW103)</f>
        <v>11138.951876499228</v>
      </c>
      <c r="EY103" s="631">
        <f>EY166</f>
        <v>5741.0596132079945</v>
      </c>
      <c r="EZ103" s="631">
        <f>EZ166</f>
        <v>6198.5540375517267</v>
      </c>
      <c r="FA103" s="6">
        <f>SUM(EY103:EZ103)</f>
        <v>11939.613650759722</v>
      </c>
      <c r="FB103" s="11"/>
      <c r="FC103" s="244"/>
      <c r="FD103" s="11"/>
      <c r="FE103" s="244"/>
      <c r="FF103" s="11"/>
      <c r="FG103" s="244"/>
    </row>
    <row r="104" spans="1:184" s="256" customFormat="1" ht="13.35" customHeight="1">
      <c r="A104" s="760" t="s">
        <v>999</v>
      </c>
      <c r="B104" s="256" t="s">
        <v>470</v>
      </c>
      <c r="C104" s="255"/>
      <c r="D104" s="250" t="s">
        <v>507</v>
      </c>
      <c r="E104" s="257"/>
      <c r="F104" s="257"/>
      <c r="G104" s="258"/>
      <c r="H104" s="257"/>
      <c r="I104" s="257"/>
      <c r="J104" s="258"/>
      <c r="K104" s="257"/>
      <c r="L104" s="257"/>
      <c r="M104" s="258"/>
      <c r="N104" s="257"/>
      <c r="O104" s="257"/>
      <c r="P104" s="258"/>
      <c r="Q104" s="257"/>
      <c r="R104" s="257"/>
      <c r="S104" s="258"/>
      <c r="T104" s="257"/>
      <c r="U104" s="257"/>
      <c r="V104" s="258"/>
      <c r="W104" s="257"/>
      <c r="X104" s="257"/>
      <c r="Y104" s="258"/>
      <c r="Z104" s="257"/>
      <c r="AA104" s="257"/>
      <c r="AB104" s="258"/>
      <c r="AC104" s="257"/>
      <c r="AD104" s="257"/>
      <c r="AE104" s="258"/>
      <c r="AF104" s="257"/>
      <c r="AG104" s="257"/>
      <c r="AH104" s="258"/>
      <c r="AI104" s="257"/>
      <c r="AJ104" s="257"/>
      <c r="AK104" s="258"/>
      <c r="AL104" s="257"/>
      <c r="AM104" s="257"/>
      <c r="AN104" s="258"/>
      <c r="AO104" s="257"/>
      <c r="AP104" s="257"/>
      <c r="AQ104" s="258"/>
      <c r="AR104" s="257"/>
      <c r="AS104" s="257"/>
      <c r="AT104" s="258"/>
      <c r="AU104" s="257"/>
      <c r="AV104" s="257"/>
      <c r="AW104" s="258"/>
      <c r="AX104" s="257"/>
      <c r="AY104" s="257"/>
      <c r="AZ104" s="255"/>
      <c r="BA104" s="257"/>
      <c r="BB104" s="257"/>
      <c r="BC104" s="255"/>
      <c r="BD104" s="257"/>
      <c r="BE104" s="257"/>
      <c r="BF104" s="255"/>
      <c r="BG104" s="257"/>
      <c r="BH104" s="257"/>
      <c r="BI104" s="255"/>
      <c r="BJ104" s="257"/>
      <c r="BK104" s="257"/>
      <c r="BL104" s="258"/>
      <c r="BM104" s="667"/>
      <c r="BN104" s="667"/>
      <c r="BO104" s="357"/>
      <c r="BP104" s="667"/>
      <c r="BQ104" s="667"/>
      <c r="BR104" s="357"/>
      <c r="BS104" s="667"/>
      <c r="BT104" s="667"/>
      <c r="BU104" s="668"/>
      <c r="BV104" s="667"/>
      <c r="BW104" s="667"/>
      <c r="BX104" s="357"/>
      <c r="BY104" s="667"/>
      <c r="BZ104" s="667"/>
      <c r="CA104" s="357"/>
      <c r="CB104" s="667"/>
      <c r="CC104" s="667"/>
      <c r="CD104" s="357"/>
      <c r="CE104" s="667"/>
      <c r="CF104" s="667"/>
      <c r="CG104" s="357"/>
      <c r="CH104" s="667"/>
      <c r="CI104" s="667"/>
      <c r="CJ104" s="357"/>
      <c r="CK104" s="667"/>
      <c r="CL104" s="667"/>
      <c r="CM104" s="357"/>
      <c r="CN104" s="667"/>
      <c r="CO104" s="667"/>
      <c r="CP104" s="357"/>
      <c r="CQ104" s="667"/>
      <c r="CR104" s="667"/>
      <c r="CS104" s="357"/>
      <c r="CT104" s="667"/>
      <c r="CU104" s="667"/>
      <c r="CV104" s="357"/>
      <c r="CW104" s="667"/>
      <c r="CX104" s="667"/>
      <c r="CY104" s="669"/>
      <c r="CZ104" s="670"/>
      <c r="DA104" s="670"/>
      <c r="DB104" s="669"/>
      <c r="DC104" s="670"/>
      <c r="DD104" s="670"/>
      <c r="DE104" s="780"/>
      <c r="DF104" s="670"/>
      <c r="DG104" s="670"/>
      <c r="DH104" s="780"/>
      <c r="DI104" s="832"/>
      <c r="DJ104" s="832"/>
      <c r="DK104" s="688"/>
      <c r="DL104" s="669">
        <f t="shared" ref="DL104:EF104" si="181">DL167</f>
        <v>-8.3548246244215085E-2</v>
      </c>
      <c r="DM104" s="669">
        <f t="shared" si="181"/>
        <v>-1.624402319966356E-2</v>
      </c>
      <c r="DN104" s="688">
        <f t="shared" si="181"/>
        <v>-5.0499867744035143E-2</v>
      </c>
      <c r="DO104" s="669">
        <f t="shared" si="181"/>
        <v>6.585867079062413E-2</v>
      </c>
      <c r="DP104" s="669">
        <f t="shared" si="181"/>
        <v>0.1586613426772745</v>
      </c>
      <c r="DQ104" s="688">
        <f t="shared" si="181"/>
        <v>0.11307157057654083</v>
      </c>
      <c r="DR104" s="669">
        <f t="shared" si="181"/>
        <v>0.28761271950640732</v>
      </c>
      <c r="DS104" s="669">
        <f t="shared" si="181"/>
        <v>0.21079258010118052</v>
      </c>
      <c r="DT104" s="688">
        <f t="shared" si="181"/>
        <v>0.24693011832998435</v>
      </c>
      <c r="DU104" s="669">
        <f t="shared" si="181"/>
        <v>0.15149281238481382</v>
      </c>
      <c r="DV104" s="669">
        <f>DV167</f>
        <v>-4.8746518105849956E-3</v>
      </c>
      <c r="DW104" s="688">
        <f>DW167</f>
        <v>7.1083258728737775E-2</v>
      </c>
      <c r="DX104" s="669">
        <f t="shared" ref="DX104" si="182">DX167</f>
        <v>-3.425096030729835E-2</v>
      </c>
      <c r="DY104" s="669">
        <f t="shared" si="181"/>
        <v>0.14000000000000012</v>
      </c>
      <c r="DZ104" s="688">
        <f t="shared" si="181"/>
        <v>4.9000334336342544E-2</v>
      </c>
      <c r="EA104" s="669">
        <f t="shared" si="181"/>
        <v>8.4999999999999964E-2</v>
      </c>
      <c r="EB104" s="669">
        <f t="shared" si="181"/>
        <v>8.4999999999999964E-2</v>
      </c>
      <c r="EC104" s="688">
        <f t="shared" si="181"/>
        <v>8.4999999999999742E-2</v>
      </c>
      <c r="ED104" s="669">
        <f t="shared" si="181"/>
        <v>7.5349999999999806E-2</v>
      </c>
      <c r="EE104" s="669">
        <f t="shared" si="181"/>
        <v>7.5350000000000028E-2</v>
      </c>
      <c r="EF104" s="688">
        <f t="shared" si="181"/>
        <v>7.5350000000000028E-2</v>
      </c>
      <c r="EG104" s="669">
        <f t="shared" ref="EG104:EL104" si="183">EG167</f>
        <v>7.5349999999999806E-2</v>
      </c>
      <c r="EH104" s="669">
        <f t="shared" si="183"/>
        <v>7.5349999999999806E-2</v>
      </c>
      <c r="EI104" s="688">
        <f t="shared" si="183"/>
        <v>7.5349999999999806E-2</v>
      </c>
      <c r="EJ104" s="669">
        <f t="shared" si="183"/>
        <v>7.1869042094796276E-2</v>
      </c>
      <c r="EK104" s="669">
        <f t="shared" si="183"/>
        <v>7.1830755773268029E-2</v>
      </c>
      <c r="EL104" s="688">
        <f t="shared" si="183"/>
        <v>7.1849163362613044E-2</v>
      </c>
      <c r="EM104" s="669">
        <f t="shared" ref="EM104:ER104" si="184">EM167</f>
        <v>7.1875111919186496E-2</v>
      </c>
      <c r="EN104" s="669">
        <f t="shared" si="184"/>
        <v>7.1836766868444313E-2</v>
      </c>
      <c r="EO104" s="688">
        <f t="shared" si="184"/>
        <v>7.1855203035982695E-2</v>
      </c>
      <c r="EP104" s="669">
        <f t="shared" si="184"/>
        <v>7.1881190802804529E-2</v>
      </c>
      <c r="EQ104" s="669">
        <f t="shared" si="184"/>
        <v>7.1842787365610006E-2</v>
      </c>
      <c r="ER104" s="688">
        <f t="shared" si="184"/>
        <v>7.186125194811166E-2</v>
      </c>
      <c r="ES104" s="669">
        <f>ES167</f>
        <v>7.1887278690169421E-2</v>
      </c>
      <c r="ET104" s="669">
        <f>ET167</f>
        <v>7.1848817211784599E-2</v>
      </c>
      <c r="EU104" s="688">
        <f>EU167</f>
        <v>7.1867310044806398E-2</v>
      </c>
      <c r="EV104" s="669">
        <f>EV167</f>
        <v>7.1893375525413417E-2</v>
      </c>
      <c r="EW104" s="669">
        <f>EW167</f>
        <v>7.1854856353589458E-2</v>
      </c>
      <c r="EX104" s="688">
        <f>EX167</f>
        <v>7.1873377271482353E-2</v>
      </c>
      <c r="EY104" s="669">
        <f>EY167</f>
        <v>7.1899481252279518E-2</v>
      </c>
      <c r="EZ104" s="669">
        <f>EZ167</f>
        <v>7.1860904737249598E-2</v>
      </c>
      <c r="FA104" s="671">
        <f>FA167</f>
        <v>7.187945357316039E-2</v>
      </c>
      <c r="FB104" s="13"/>
      <c r="FC104" s="672"/>
      <c r="FD104" s="13"/>
      <c r="FE104" s="672"/>
      <c r="FF104" s="13"/>
      <c r="FG104" s="672"/>
      <c r="FH104" s="263"/>
      <c r="FI104" s="263"/>
      <c r="FJ104" s="263"/>
      <c r="FK104" s="263"/>
      <c r="FL104" s="263"/>
      <c r="FM104" s="263"/>
      <c r="FN104" s="263"/>
      <c r="FO104" s="263"/>
      <c r="FP104" s="263"/>
      <c r="FQ104" s="263"/>
      <c r="FR104" s="263"/>
      <c r="FS104" s="263"/>
      <c r="FT104" s="263"/>
      <c r="FU104" s="263"/>
      <c r="FV104" s="263"/>
      <c r="FW104" s="263"/>
      <c r="FX104" s="263"/>
      <c r="FY104" s="263"/>
      <c r="FZ104" s="263"/>
      <c r="GA104" s="263"/>
      <c r="GB104" s="263"/>
    </row>
    <row r="105" spans="1:184" ht="13.35" customHeight="1">
      <c r="A105" s="760"/>
      <c r="C105" s="4"/>
      <c r="D105" s="250"/>
      <c r="E105" s="251"/>
      <c r="F105" s="251"/>
      <c r="G105" s="252"/>
      <c r="H105" s="251"/>
      <c r="I105" s="251"/>
      <c r="J105" s="252"/>
      <c r="K105" s="251"/>
      <c r="L105" s="251"/>
      <c r="M105" s="252"/>
      <c r="N105" s="251"/>
      <c r="O105" s="251"/>
      <c r="P105" s="252"/>
      <c r="Q105" s="251"/>
      <c r="R105" s="251"/>
      <c r="S105" s="252"/>
      <c r="T105" s="251"/>
      <c r="U105" s="251"/>
      <c r="V105" s="252"/>
      <c r="W105" s="251"/>
      <c r="X105" s="251"/>
      <c r="Y105" s="252"/>
      <c r="Z105" s="251"/>
      <c r="AA105" s="251"/>
      <c r="AB105" s="252"/>
      <c r="AC105" s="251"/>
      <c r="AD105" s="251"/>
      <c r="AE105" s="252"/>
      <c r="AF105" s="251"/>
      <c r="AG105" s="251"/>
      <c r="AH105" s="252"/>
      <c r="AI105" s="251"/>
      <c r="AJ105" s="251"/>
      <c r="AK105" s="252"/>
      <c r="AL105" s="251"/>
      <c r="AM105" s="251"/>
      <c r="AN105" s="252"/>
      <c r="AO105" s="251"/>
      <c r="AP105" s="251"/>
      <c r="AQ105" s="252"/>
      <c r="AR105" s="251"/>
      <c r="AS105" s="251"/>
      <c r="AT105" s="252"/>
      <c r="AU105" s="251"/>
      <c r="AV105" s="251"/>
      <c r="AW105" s="252"/>
      <c r="AX105" s="251"/>
      <c r="AY105" s="251"/>
      <c r="AZ105" s="4"/>
      <c r="BA105" s="251"/>
      <c r="BB105" s="251"/>
      <c r="BC105" s="4"/>
      <c r="BD105" s="251"/>
      <c r="BE105" s="251"/>
      <c r="BF105" s="4"/>
      <c r="BG105" s="251"/>
      <c r="BH105" s="251"/>
      <c r="BI105" s="4"/>
      <c r="BJ105" s="251"/>
      <c r="BK105" s="251"/>
      <c r="BL105" s="252"/>
      <c r="BM105" s="264"/>
      <c r="BN105" s="264"/>
      <c r="BO105" s="265"/>
      <c r="BP105" s="264"/>
      <c r="BQ105" s="264"/>
      <c r="BR105" s="265"/>
      <c r="BS105" s="264"/>
      <c r="BT105" s="264"/>
      <c r="BU105" s="266"/>
      <c r="BV105" s="264"/>
      <c r="BW105" s="264"/>
      <c r="BX105" s="267"/>
      <c r="BY105" s="267"/>
      <c r="BZ105" s="267"/>
      <c r="CA105" s="11"/>
      <c r="CB105" s="11"/>
      <c r="CC105" s="11"/>
      <c r="CD105" s="11"/>
      <c r="CE105" s="11"/>
      <c r="CF105" s="11"/>
      <c r="CG105" s="11"/>
      <c r="CH105" s="11"/>
      <c r="CI105" s="11"/>
      <c r="CJ105" s="11"/>
      <c r="CK105" s="11"/>
      <c r="CL105" s="11"/>
      <c r="CM105" s="11"/>
      <c r="CN105" s="11"/>
      <c r="CO105" s="11"/>
      <c r="CP105" s="11"/>
      <c r="CQ105" s="11"/>
      <c r="CR105" s="11"/>
      <c r="CS105" s="11"/>
      <c r="CT105" s="11"/>
      <c r="CU105" s="11"/>
      <c r="CV105" s="11"/>
      <c r="CW105" s="11"/>
      <c r="CX105" s="11"/>
      <c r="CY105" s="10"/>
      <c r="CZ105" s="10"/>
      <c r="DA105" s="10"/>
      <c r="DB105" s="10"/>
      <c r="DC105" s="524"/>
      <c r="DD105" s="524"/>
      <c r="DE105" s="781"/>
      <c r="DF105" s="524"/>
      <c r="DG105" s="524"/>
      <c r="DH105" s="823"/>
      <c r="DI105" s="524"/>
      <c r="DJ105" s="524"/>
      <c r="DK105" s="689"/>
      <c r="DL105" s="10"/>
      <c r="DM105" s="10"/>
      <c r="DN105" s="690"/>
      <c r="DO105" s="526"/>
      <c r="DP105" s="526"/>
      <c r="DQ105" s="692"/>
      <c r="DR105" s="526"/>
      <c r="DS105" s="526"/>
      <c r="DT105" s="692"/>
      <c r="DU105" s="489"/>
      <c r="DV105" s="526"/>
      <c r="DW105" s="692"/>
      <c r="DX105" s="489"/>
      <c r="DY105" s="526"/>
      <c r="DZ105" s="692"/>
      <c r="EA105" s="526"/>
      <c r="EB105" s="526"/>
      <c r="EC105" s="692"/>
      <c r="ED105" s="526"/>
      <c r="EE105" s="526"/>
      <c r="EF105" s="692"/>
      <c r="EG105" s="526"/>
      <c r="EH105" s="526"/>
      <c r="EI105" s="692"/>
      <c r="EJ105" s="526"/>
      <c r="EK105" s="526"/>
      <c r="EL105" s="692"/>
      <c r="EM105" s="526"/>
      <c r="EN105" s="526"/>
      <c r="EO105" s="692"/>
      <c r="EP105" s="526"/>
      <c r="EQ105" s="526"/>
      <c r="ER105" s="692"/>
      <c r="ES105" s="526"/>
      <c r="ET105" s="526"/>
      <c r="EU105" s="692"/>
      <c r="EV105" s="526"/>
      <c r="EW105" s="526"/>
      <c r="EX105" s="692"/>
      <c r="EY105" s="526"/>
      <c r="EZ105" s="526"/>
      <c r="FA105" s="527"/>
      <c r="FB105" s="11"/>
      <c r="FC105" s="11"/>
      <c r="FD105" s="11"/>
      <c r="FE105" s="11"/>
      <c r="FF105" s="11"/>
      <c r="FG105" s="11"/>
    </row>
    <row r="106" spans="1:184" ht="13.35" customHeight="1">
      <c r="A106" s="989"/>
      <c r="B106" s="177" t="s">
        <v>443</v>
      </c>
      <c r="C106" s="4"/>
      <c r="D106" s="250" t="s">
        <v>357</v>
      </c>
      <c r="E106" s="251"/>
      <c r="F106" s="251"/>
      <c r="G106" s="252"/>
      <c r="H106" s="251"/>
      <c r="I106" s="251"/>
      <c r="J106" s="252"/>
      <c r="K106" s="251"/>
      <c r="L106" s="251"/>
      <c r="M106" s="252"/>
      <c r="N106" s="251"/>
      <c r="O106" s="251"/>
      <c r="P106" s="252"/>
      <c r="Q106" s="251"/>
      <c r="R106" s="251"/>
      <c r="S106" s="252"/>
      <c r="T106" s="251"/>
      <c r="U106" s="251"/>
      <c r="V106" s="252"/>
      <c r="W106" s="251"/>
      <c r="X106" s="251"/>
      <c r="Y106" s="252"/>
      <c r="Z106" s="251"/>
      <c r="AA106" s="251"/>
      <c r="AB106" s="252"/>
      <c r="AC106" s="251"/>
      <c r="AD106" s="251"/>
      <c r="AE106" s="252"/>
      <c r="AF106" s="251"/>
      <c r="AG106" s="251"/>
      <c r="AH106" s="252"/>
      <c r="AI106" s="251"/>
      <c r="AJ106" s="251"/>
      <c r="AK106" s="252"/>
      <c r="AL106" s="251"/>
      <c r="AM106" s="251"/>
      <c r="AN106" s="252"/>
      <c r="AO106" s="251"/>
      <c r="AP106" s="251"/>
      <c r="AQ106" s="252"/>
      <c r="AR106" s="251"/>
      <c r="AS106" s="251"/>
      <c r="AT106" s="252"/>
      <c r="AU106" s="251"/>
      <c r="AV106" s="251"/>
      <c r="AW106" s="252"/>
      <c r="AX106" s="251"/>
      <c r="AY106" s="251"/>
      <c r="AZ106" s="4"/>
      <c r="BA106" s="251"/>
      <c r="BB106" s="251"/>
      <c r="BC106" s="4"/>
      <c r="BD106" s="251"/>
      <c r="BE106" s="251"/>
      <c r="BF106" s="4"/>
      <c r="BG106" s="251"/>
      <c r="BH106" s="251"/>
      <c r="BI106" s="4"/>
      <c r="BJ106" s="251"/>
      <c r="BK106" s="251"/>
      <c r="BL106" s="252"/>
      <c r="BM106" s="269"/>
      <c r="BN106" s="269"/>
      <c r="BO106" s="265"/>
      <c r="BP106" s="269"/>
      <c r="BQ106" s="269"/>
      <c r="BR106" s="265"/>
      <c r="BS106" s="269"/>
      <c r="BT106" s="269"/>
      <c r="BU106" s="266"/>
      <c r="BV106" s="269"/>
      <c r="BW106" s="269"/>
      <c r="BX106" s="265"/>
      <c r="BY106" s="269"/>
      <c r="BZ106" s="269"/>
      <c r="CA106" s="265"/>
      <c r="CB106" s="269"/>
      <c r="CC106" s="269"/>
      <c r="CD106" s="265"/>
      <c r="CE106" s="269"/>
      <c r="CF106" s="269"/>
      <c r="CG106" s="253"/>
      <c r="CH106" s="269"/>
      <c r="CI106" s="269"/>
      <c r="CJ106" s="265"/>
      <c r="CK106" s="269"/>
      <c r="CL106" s="269"/>
      <c r="CM106" s="265"/>
      <c r="CN106" s="269"/>
      <c r="CO106" s="269"/>
      <c r="CP106" s="265"/>
      <c r="CQ106" s="269"/>
      <c r="CR106" s="269"/>
      <c r="CS106" s="265"/>
      <c r="CT106" s="269"/>
      <c r="CU106" s="269"/>
      <c r="CV106" s="265"/>
      <c r="CW106" s="269"/>
      <c r="CX106" s="269"/>
      <c r="CY106" s="528"/>
      <c r="CZ106" s="529"/>
      <c r="DA106" s="529"/>
      <c r="DB106" s="528"/>
      <c r="DC106" s="524"/>
      <c r="DD106" s="524"/>
      <c r="DE106" s="781"/>
      <c r="DF106" s="524"/>
      <c r="DG106" s="524"/>
      <c r="DH106" s="809"/>
      <c r="DI106" s="631">
        <f>DI172</f>
        <v>91</v>
      </c>
      <c r="DJ106" s="631">
        <f>DJ172</f>
        <v>150.13</v>
      </c>
      <c r="DK106" s="674">
        <f>DK172</f>
        <v>241.13</v>
      </c>
      <c r="DL106" s="631">
        <f t="shared" ref="DL106:EF106" si="185">DL172</f>
        <v>86.94</v>
      </c>
      <c r="DM106" s="631">
        <f t="shared" si="185"/>
        <v>58.087961722070069</v>
      </c>
      <c r="DN106" s="674">
        <f t="shared" si="185"/>
        <v>145.02796172207007</v>
      </c>
      <c r="DO106" s="631">
        <f t="shared" si="185"/>
        <v>118</v>
      </c>
      <c r="DP106" s="631">
        <f t="shared" si="185"/>
        <v>78</v>
      </c>
      <c r="DQ106" s="674">
        <f t="shared" si="185"/>
        <v>196</v>
      </c>
      <c r="DR106" s="631">
        <f t="shared" si="185"/>
        <v>44</v>
      </c>
      <c r="DS106" s="631">
        <f t="shared" si="185"/>
        <v>37</v>
      </c>
      <c r="DT106" s="674">
        <f t="shared" si="185"/>
        <v>81</v>
      </c>
      <c r="DU106" s="631">
        <f t="shared" si="185"/>
        <v>50</v>
      </c>
      <c r="DV106" s="631">
        <f>DV172</f>
        <v>32</v>
      </c>
      <c r="DW106" s="674">
        <f>DW172</f>
        <v>82</v>
      </c>
      <c r="DX106" s="631">
        <f t="shared" ref="DX106" si="186">DX172</f>
        <v>29</v>
      </c>
      <c r="DY106" s="631">
        <f t="shared" si="185"/>
        <v>31.174061032297871</v>
      </c>
      <c r="DZ106" s="674">
        <f t="shared" si="185"/>
        <v>60.174061032297871</v>
      </c>
      <c r="EA106" s="631">
        <f t="shared" si="185"/>
        <v>56.858457335749051</v>
      </c>
      <c r="EB106" s="631">
        <f t="shared" si="185"/>
        <v>33.356245304558726</v>
      </c>
      <c r="EC106" s="674">
        <f t="shared" si="185"/>
        <v>90.214702640307777</v>
      </c>
      <c r="ED106" s="631">
        <f t="shared" si="185"/>
        <v>60.838549349251487</v>
      </c>
      <c r="EE106" s="631">
        <f t="shared" si="185"/>
        <v>35.691182475877838</v>
      </c>
      <c r="EF106" s="674">
        <f t="shared" si="185"/>
        <v>96.529731825129318</v>
      </c>
      <c r="EG106" s="631">
        <f t="shared" ref="EG106:EL106" si="187">EG172</f>
        <v>65.097247803699091</v>
      </c>
      <c r="EH106" s="631">
        <f t="shared" si="187"/>
        <v>38.189565249189286</v>
      </c>
      <c r="EI106" s="674">
        <f t="shared" si="187"/>
        <v>103.28681305288838</v>
      </c>
      <c r="EJ106" s="631">
        <f t="shared" si="187"/>
        <v>69.65405514995804</v>
      </c>
      <c r="EK106" s="631">
        <f t="shared" si="187"/>
        <v>40.862834816632542</v>
      </c>
      <c r="EL106" s="674">
        <f t="shared" si="187"/>
        <v>110.51688996659058</v>
      </c>
      <c r="EM106" s="631">
        <f t="shared" ref="EM106:ER106" si="188">EM172</f>
        <v>74.529839010455106</v>
      </c>
      <c r="EN106" s="631">
        <f t="shared" si="188"/>
        <v>43.72323325379682</v>
      </c>
      <c r="EO106" s="674">
        <f t="shared" si="188"/>
        <v>118.25307226425193</v>
      </c>
      <c r="EP106" s="631">
        <f t="shared" si="188"/>
        <v>79.746927741186965</v>
      </c>
      <c r="EQ106" s="631">
        <f t="shared" si="188"/>
        <v>46.783859581562602</v>
      </c>
      <c r="ER106" s="674">
        <f t="shared" si="188"/>
        <v>126.53078732274957</v>
      </c>
      <c r="ES106" s="631">
        <f t="shared" ref="ES106:FA106" si="189">ES172</f>
        <v>85.329212683070068</v>
      </c>
      <c r="ET106" s="631">
        <f t="shared" si="189"/>
        <v>50.058729752271987</v>
      </c>
      <c r="EU106" s="674">
        <f t="shared" si="189"/>
        <v>135.38794243534204</v>
      </c>
      <c r="EV106" s="631">
        <f t="shared" si="189"/>
        <v>91.302257570884976</v>
      </c>
      <c r="EW106" s="631">
        <f t="shared" si="189"/>
        <v>53.562840834931031</v>
      </c>
      <c r="EX106" s="674">
        <f t="shared" si="189"/>
        <v>144.86509840581601</v>
      </c>
      <c r="EY106" s="631">
        <f t="shared" si="189"/>
        <v>97.693415600846919</v>
      </c>
      <c r="EZ106" s="631">
        <f t="shared" si="189"/>
        <v>57.312239693376199</v>
      </c>
      <c r="FA106" s="6">
        <f t="shared" si="189"/>
        <v>155.00565529422312</v>
      </c>
      <c r="FB106" s="11"/>
      <c r="FC106" s="11"/>
      <c r="FD106" s="11"/>
      <c r="FE106" s="11"/>
      <c r="FF106" s="11"/>
      <c r="FG106" s="11"/>
      <c r="FH106" s="11"/>
      <c r="FI106" s="11"/>
      <c r="FJ106" s="11"/>
      <c r="FK106" s="11"/>
      <c r="FL106" s="11"/>
      <c r="FM106" s="11"/>
      <c r="FN106" s="11"/>
      <c r="FO106" s="11"/>
      <c r="FP106" s="11"/>
      <c r="FQ106" s="11"/>
      <c r="FR106" s="11"/>
      <c r="FS106" s="11"/>
      <c r="FT106" s="11"/>
      <c r="FU106" s="11"/>
      <c r="FV106" s="11"/>
    </row>
    <row r="107" spans="1:184" s="256" customFormat="1" ht="13.35" customHeight="1">
      <c r="A107" s="990"/>
      <c r="B107" s="256" t="s">
        <v>178</v>
      </c>
      <c r="C107" s="255"/>
      <c r="D107" s="250" t="s">
        <v>507</v>
      </c>
      <c r="E107" s="257"/>
      <c r="F107" s="257"/>
      <c r="G107" s="258"/>
      <c r="H107" s="257"/>
      <c r="I107" s="257"/>
      <c r="J107" s="258"/>
      <c r="K107" s="257"/>
      <c r="L107" s="257"/>
      <c r="M107" s="258"/>
      <c r="N107" s="257"/>
      <c r="O107" s="257"/>
      <c r="P107" s="258"/>
      <c r="Q107" s="257"/>
      <c r="R107" s="257"/>
      <c r="S107" s="258"/>
      <c r="T107" s="257"/>
      <c r="U107" s="257"/>
      <c r="V107" s="258"/>
      <c r="W107" s="257"/>
      <c r="X107" s="257"/>
      <c r="Y107" s="258"/>
      <c r="Z107" s="257"/>
      <c r="AA107" s="257"/>
      <c r="AB107" s="258"/>
      <c r="AC107" s="257"/>
      <c r="AD107" s="257"/>
      <c r="AE107" s="258"/>
      <c r="AF107" s="257"/>
      <c r="AG107" s="257"/>
      <c r="AH107" s="258"/>
      <c r="AI107" s="257"/>
      <c r="AJ107" s="257"/>
      <c r="AK107" s="258"/>
      <c r="AL107" s="257"/>
      <c r="AM107" s="257"/>
      <c r="AN107" s="258"/>
      <c r="AO107" s="257"/>
      <c r="AP107" s="257"/>
      <c r="AQ107" s="258"/>
      <c r="AR107" s="257"/>
      <c r="AS107" s="257"/>
      <c r="AT107" s="258"/>
      <c r="AU107" s="257"/>
      <c r="AV107" s="257"/>
      <c r="AW107" s="258"/>
      <c r="AX107" s="257"/>
      <c r="AY107" s="257"/>
      <c r="AZ107" s="255"/>
      <c r="BA107" s="257"/>
      <c r="BB107" s="257"/>
      <c r="BC107" s="255"/>
      <c r="BD107" s="257"/>
      <c r="BE107" s="257"/>
      <c r="BF107" s="255"/>
      <c r="BG107" s="257"/>
      <c r="BH107" s="257"/>
      <c r="BI107" s="255"/>
      <c r="BJ107" s="257"/>
      <c r="BK107" s="257"/>
      <c r="BL107" s="258"/>
      <c r="BM107" s="667"/>
      <c r="BN107" s="667"/>
      <c r="BO107" s="357"/>
      <c r="BP107" s="667"/>
      <c r="BQ107" s="667"/>
      <c r="BR107" s="357"/>
      <c r="BS107" s="667"/>
      <c r="BT107" s="667"/>
      <c r="BU107" s="668"/>
      <c r="BV107" s="667"/>
      <c r="BW107" s="667"/>
      <c r="BX107" s="357"/>
      <c r="BY107" s="667"/>
      <c r="BZ107" s="667"/>
      <c r="CA107" s="357"/>
      <c r="CB107" s="667"/>
      <c r="CC107" s="667"/>
      <c r="CD107" s="357"/>
      <c r="CE107" s="667"/>
      <c r="CF107" s="667"/>
      <c r="CG107" s="357"/>
      <c r="CH107" s="667"/>
      <c r="CI107" s="667"/>
      <c r="CJ107" s="357"/>
      <c r="CK107" s="667"/>
      <c r="CL107" s="667"/>
      <c r="CM107" s="357"/>
      <c r="CN107" s="667"/>
      <c r="CO107" s="667"/>
      <c r="CP107" s="357"/>
      <c r="CQ107" s="667"/>
      <c r="CR107" s="667"/>
      <c r="CS107" s="357"/>
      <c r="CT107" s="667"/>
      <c r="CU107" s="667"/>
      <c r="CV107" s="357"/>
      <c r="CW107" s="667"/>
      <c r="CX107" s="667"/>
      <c r="CY107" s="669"/>
      <c r="CZ107" s="670"/>
      <c r="DA107" s="670"/>
      <c r="DB107" s="669"/>
      <c r="DC107" s="670"/>
      <c r="DD107" s="670"/>
      <c r="DE107" s="780"/>
      <c r="DF107" s="670"/>
      <c r="DG107" s="670"/>
      <c r="DH107" s="780"/>
      <c r="DI107" s="832"/>
      <c r="DJ107" s="832"/>
      <c r="DK107" s="688"/>
      <c r="DL107" s="669">
        <f t="shared" ref="DL107:EF107" si="190">DL106/DI106-1</f>
        <v>-4.4615384615384612E-2</v>
      </c>
      <c r="DM107" s="669">
        <f t="shared" si="190"/>
        <v>-0.61308225056903964</v>
      </c>
      <c r="DN107" s="688">
        <f t="shared" si="190"/>
        <v>-0.39854865955264762</v>
      </c>
      <c r="DO107" s="669">
        <f t="shared" si="190"/>
        <v>0.35725787899700956</v>
      </c>
      <c r="DP107" s="669">
        <f t="shared" si="190"/>
        <v>0.3427911341286487</v>
      </c>
      <c r="DQ107" s="688">
        <f t="shared" si="190"/>
        <v>0.35146352243170975</v>
      </c>
      <c r="DR107" s="669">
        <f t="shared" si="190"/>
        <v>-0.6271186440677966</v>
      </c>
      <c r="DS107" s="669">
        <f t="shared" si="190"/>
        <v>-0.52564102564102566</v>
      </c>
      <c r="DT107" s="688">
        <f t="shared" si="190"/>
        <v>-0.58673469387755106</v>
      </c>
      <c r="DU107" s="669">
        <f t="shared" si="190"/>
        <v>0.13636363636363646</v>
      </c>
      <c r="DV107" s="669">
        <f>DV106/DS106-1</f>
        <v>-0.13513513513513509</v>
      </c>
      <c r="DW107" s="688">
        <f>DW106/DT106-1</f>
        <v>1.2345679012345734E-2</v>
      </c>
      <c r="DX107" s="669">
        <f t="shared" si="190"/>
        <v>-0.42000000000000004</v>
      </c>
      <c r="DY107" s="669">
        <f t="shared" si="190"/>
        <v>-2.5810592740691529E-2</v>
      </c>
      <c r="DZ107" s="688">
        <f t="shared" si="190"/>
        <v>-0.26616998741100162</v>
      </c>
      <c r="EA107" s="669">
        <f t="shared" si="190"/>
        <v>0.96063645985341561</v>
      </c>
      <c r="EB107" s="669">
        <f t="shared" si="190"/>
        <v>7.0000000000000062E-2</v>
      </c>
      <c r="EC107" s="688">
        <f t="shared" si="190"/>
        <v>0.49922908796010734</v>
      </c>
      <c r="ED107" s="669">
        <f t="shared" si="190"/>
        <v>7.0000000000000062E-2</v>
      </c>
      <c r="EE107" s="669">
        <f t="shared" si="190"/>
        <v>7.0000000000000062E-2</v>
      </c>
      <c r="EF107" s="688">
        <f t="shared" si="190"/>
        <v>7.0000000000000062E-2</v>
      </c>
      <c r="EG107" s="669">
        <f t="shared" ref="EG107:EL107" si="191">EG106/ED106-1</f>
        <v>7.0000000000000062E-2</v>
      </c>
      <c r="EH107" s="669">
        <f t="shared" si="191"/>
        <v>7.0000000000000062E-2</v>
      </c>
      <c r="EI107" s="688">
        <f t="shared" si="191"/>
        <v>7.0000000000000062E-2</v>
      </c>
      <c r="EJ107" s="669">
        <f t="shared" si="191"/>
        <v>7.0000000000000284E-2</v>
      </c>
      <c r="EK107" s="669">
        <f t="shared" si="191"/>
        <v>7.0000000000000062E-2</v>
      </c>
      <c r="EL107" s="688">
        <f t="shared" si="191"/>
        <v>7.0000000000000284E-2</v>
      </c>
      <c r="EM107" s="669">
        <f t="shared" ref="EM107:FA107" si="192">EM106/EJ106-1</f>
        <v>7.0000000000000062E-2</v>
      </c>
      <c r="EN107" s="669">
        <f t="shared" si="192"/>
        <v>7.0000000000000062E-2</v>
      </c>
      <c r="EO107" s="688">
        <f t="shared" si="192"/>
        <v>7.0000000000000062E-2</v>
      </c>
      <c r="EP107" s="669">
        <f t="shared" si="192"/>
        <v>7.0000000000000062E-2</v>
      </c>
      <c r="EQ107" s="669">
        <f t="shared" si="192"/>
        <v>7.0000000000000062E-2</v>
      </c>
      <c r="ER107" s="688">
        <f t="shared" si="192"/>
        <v>7.0000000000000062E-2</v>
      </c>
      <c r="ES107" s="669">
        <f t="shared" si="192"/>
        <v>7.0000000000000284E-2</v>
      </c>
      <c r="ET107" s="669">
        <f t="shared" si="192"/>
        <v>7.0000000000000062E-2</v>
      </c>
      <c r="EU107" s="688">
        <f t="shared" si="192"/>
        <v>7.0000000000000062E-2</v>
      </c>
      <c r="EV107" s="669">
        <f t="shared" si="192"/>
        <v>7.0000000000000062E-2</v>
      </c>
      <c r="EW107" s="669">
        <f t="shared" si="192"/>
        <v>7.0000000000000062E-2</v>
      </c>
      <c r="EX107" s="688">
        <f t="shared" si="192"/>
        <v>7.0000000000000284E-2</v>
      </c>
      <c r="EY107" s="669">
        <f t="shared" si="192"/>
        <v>6.999999999999984E-2</v>
      </c>
      <c r="EZ107" s="669">
        <f t="shared" si="192"/>
        <v>6.999999999999984E-2</v>
      </c>
      <c r="FA107" s="671">
        <f t="shared" si="192"/>
        <v>6.999999999999984E-2</v>
      </c>
      <c r="FB107" s="13"/>
      <c r="FC107" s="672"/>
      <c r="FD107" s="13"/>
      <c r="FE107" s="672"/>
      <c r="FF107" s="13"/>
      <c r="FG107" s="672"/>
      <c r="FH107" s="263"/>
      <c r="FI107" s="263"/>
      <c r="FJ107" s="263"/>
      <c r="FK107" s="263"/>
      <c r="FL107" s="263"/>
      <c r="FM107" s="263"/>
      <c r="FN107" s="263"/>
      <c r="FO107" s="263"/>
      <c r="FP107" s="263"/>
      <c r="FQ107" s="263"/>
      <c r="FR107" s="263"/>
      <c r="FS107" s="263"/>
      <c r="FT107" s="263"/>
      <c r="FU107" s="263"/>
      <c r="FV107" s="263"/>
      <c r="FW107" s="263"/>
      <c r="FX107" s="263"/>
      <c r="FY107" s="263"/>
      <c r="FZ107" s="263"/>
      <c r="GA107" s="263"/>
      <c r="GB107" s="263"/>
    </row>
    <row r="108" spans="1:184" ht="13.35" customHeight="1">
      <c r="A108" s="760"/>
      <c r="C108" s="4"/>
      <c r="D108" s="250"/>
      <c r="E108" s="251"/>
      <c r="F108" s="251"/>
      <c r="G108" s="252"/>
      <c r="H108" s="251"/>
      <c r="I108" s="251"/>
      <c r="J108" s="252"/>
      <c r="K108" s="251"/>
      <c r="L108" s="251"/>
      <c r="M108" s="252"/>
      <c r="N108" s="251"/>
      <c r="O108" s="251"/>
      <c r="P108" s="252"/>
      <c r="Q108" s="251"/>
      <c r="R108" s="251"/>
      <c r="S108" s="252"/>
      <c r="T108" s="251"/>
      <c r="U108" s="251"/>
      <c r="V108" s="252"/>
      <c r="W108" s="251"/>
      <c r="X108" s="251"/>
      <c r="Y108" s="252"/>
      <c r="Z108" s="251"/>
      <c r="AA108" s="251"/>
      <c r="AB108" s="252"/>
      <c r="AC108" s="251"/>
      <c r="AD108" s="251"/>
      <c r="AE108" s="252"/>
      <c r="AF108" s="251"/>
      <c r="AG108" s="251"/>
      <c r="AH108" s="252"/>
      <c r="AI108" s="251"/>
      <c r="AJ108" s="251"/>
      <c r="AK108" s="252"/>
      <c r="AL108" s="251"/>
      <c r="AM108" s="251"/>
      <c r="AN108" s="252"/>
      <c r="AO108" s="251"/>
      <c r="AP108" s="251"/>
      <c r="AQ108" s="252"/>
      <c r="AR108" s="251"/>
      <c r="AS108" s="251"/>
      <c r="AT108" s="252"/>
      <c r="AU108" s="251"/>
      <c r="AV108" s="251"/>
      <c r="AW108" s="252"/>
      <c r="AX108" s="251"/>
      <c r="AY108" s="251"/>
      <c r="AZ108" s="4"/>
      <c r="BA108" s="251"/>
      <c r="BB108" s="251"/>
      <c r="BC108" s="4"/>
      <c r="BD108" s="251"/>
      <c r="BE108" s="251"/>
      <c r="BF108" s="4"/>
      <c r="BG108" s="251"/>
      <c r="BH108" s="251"/>
      <c r="BI108" s="4"/>
      <c r="BJ108" s="251"/>
      <c r="BK108" s="251"/>
      <c r="BL108" s="252"/>
      <c r="BM108" s="269"/>
      <c r="BN108" s="269"/>
      <c r="BO108" s="265"/>
      <c r="BP108" s="269"/>
      <c r="BQ108" s="269"/>
      <c r="BR108" s="265"/>
      <c r="BS108" s="269"/>
      <c r="BT108" s="269"/>
      <c r="BU108" s="266"/>
      <c r="BV108" s="269"/>
      <c r="BW108" s="269"/>
      <c r="BX108" s="265"/>
      <c r="BY108" s="269"/>
      <c r="BZ108" s="269"/>
      <c r="CA108" s="265"/>
      <c r="CB108" s="269"/>
      <c r="CC108" s="269"/>
      <c r="CD108" s="265"/>
      <c r="CE108" s="269"/>
      <c r="CF108" s="269"/>
      <c r="CG108" s="253"/>
      <c r="CH108" s="269"/>
      <c r="CI108" s="269"/>
      <c r="CJ108" s="265"/>
      <c r="CK108" s="269"/>
      <c r="CL108" s="269"/>
      <c r="CM108" s="265"/>
      <c r="CN108" s="269"/>
      <c r="CO108" s="269"/>
      <c r="CP108" s="265"/>
      <c r="CQ108" s="269"/>
      <c r="CR108" s="269"/>
      <c r="CS108" s="265"/>
      <c r="CT108" s="269"/>
      <c r="CU108" s="269"/>
      <c r="CV108" s="265"/>
      <c r="CW108" s="269"/>
      <c r="CX108" s="269"/>
      <c r="CY108" s="528"/>
      <c r="CZ108" s="529"/>
      <c r="DA108" s="529"/>
      <c r="DB108" s="528"/>
      <c r="DC108" s="529"/>
      <c r="DD108" s="529"/>
      <c r="DE108" s="782"/>
      <c r="DF108" s="524"/>
      <c r="DG108" s="529"/>
      <c r="DH108" s="782"/>
      <c r="DI108" s="529"/>
      <c r="DJ108" s="529"/>
      <c r="DK108" s="690"/>
      <c r="DL108" s="524"/>
      <c r="DM108" s="524"/>
      <c r="DN108" s="690"/>
      <c r="DO108" s="524"/>
      <c r="DP108" s="524"/>
      <c r="DQ108" s="690"/>
      <c r="DR108" s="524"/>
      <c r="DS108" s="524"/>
      <c r="DT108" s="690"/>
      <c r="DU108" s="524"/>
      <c r="DV108" s="524"/>
      <c r="DW108" s="690"/>
      <c r="DX108" s="524"/>
      <c r="DY108" s="529"/>
      <c r="DZ108" s="690"/>
      <c r="EA108" s="529"/>
      <c r="EB108" s="529"/>
      <c r="EC108" s="690"/>
      <c r="ED108" s="529"/>
      <c r="EE108" s="529"/>
      <c r="EF108" s="690"/>
      <c r="EG108" s="529"/>
      <c r="EH108" s="529"/>
      <c r="EI108" s="690"/>
      <c r="EJ108" s="529"/>
      <c r="EK108" s="529"/>
      <c r="EL108" s="690"/>
      <c r="EM108" s="529"/>
      <c r="EN108" s="529"/>
      <c r="EO108" s="690"/>
      <c r="EP108" s="529"/>
      <c r="EQ108" s="529"/>
      <c r="ER108" s="690"/>
      <c r="ES108" s="529"/>
      <c r="ET108" s="529"/>
      <c r="EU108" s="690"/>
      <c r="EV108" s="529"/>
      <c r="EW108" s="529"/>
      <c r="EX108" s="690"/>
      <c r="EY108" s="529"/>
      <c r="EZ108" s="529"/>
      <c r="FA108" s="527"/>
      <c r="FB108" s="11"/>
      <c r="FC108" s="11"/>
      <c r="FD108" s="11"/>
      <c r="FE108" s="11"/>
      <c r="FF108" s="11"/>
      <c r="FG108" s="11"/>
      <c r="FH108" s="11"/>
      <c r="FI108" s="11"/>
      <c r="FJ108" s="11"/>
      <c r="FK108" s="11"/>
      <c r="FL108" s="11"/>
      <c r="FM108" s="11"/>
      <c r="FN108" s="11"/>
      <c r="FO108" s="11"/>
      <c r="FP108" s="11"/>
      <c r="FQ108" s="11"/>
      <c r="FR108" s="11"/>
      <c r="FS108" s="11"/>
      <c r="FT108" s="11"/>
      <c r="FU108" s="11"/>
      <c r="FV108" s="11"/>
    </row>
    <row r="109" spans="1:184" ht="13.35" customHeight="1">
      <c r="A109" s="760" t="s">
        <v>994</v>
      </c>
      <c r="B109" s="177" t="s">
        <v>153</v>
      </c>
      <c r="C109" s="4"/>
      <c r="D109" s="250" t="s">
        <v>357</v>
      </c>
      <c r="E109" s="251"/>
      <c r="F109" s="251"/>
      <c r="G109" s="252"/>
      <c r="H109" s="251"/>
      <c r="I109" s="251"/>
      <c r="J109" s="252"/>
      <c r="K109" s="251"/>
      <c r="L109" s="251"/>
      <c r="M109" s="252"/>
      <c r="N109" s="251"/>
      <c r="O109" s="251"/>
      <c r="P109" s="252"/>
      <c r="Q109" s="251"/>
      <c r="R109" s="251"/>
      <c r="S109" s="252"/>
      <c r="T109" s="251"/>
      <c r="U109" s="251"/>
      <c r="V109" s="252"/>
      <c r="W109" s="251"/>
      <c r="X109" s="251"/>
      <c r="Y109" s="252"/>
      <c r="Z109" s="251"/>
      <c r="AA109" s="251"/>
      <c r="AB109" s="252"/>
      <c r="AC109" s="251"/>
      <c r="AD109" s="251"/>
      <c r="AE109" s="252"/>
      <c r="AF109" s="251"/>
      <c r="AG109" s="251"/>
      <c r="AH109" s="252"/>
      <c r="AI109" s="251"/>
      <c r="AJ109" s="251"/>
      <c r="AK109" s="252"/>
      <c r="AL109" s="251"/>
      <c r="AM109" s="251"/>
      <c r="AN109" s="252"/>
      <c r="AO109" s="251"/>
      <c r="AP109" s="251"/>
      <c r="AQ109" s="252"/>
      <c r="AR109" s="251"/>
      <c r="AS109" s="251"/>
      <c r="AT109" s="252"/>
      <c r="AU109" s="251"/>
      <c r="AV109" s="251"/>
      <c r="AW109" s="252"/>
      <c r="AX109" s="251"/>
      <c r="AY109" s="251"/>
      <c r="AZ109" s="4"/>
      <c r="BA109" s="251"/>
      <c r="BB109" s="251"/>
      <c r="BC109" s="4"/>
      <c r="BD109" s="251"/>
      <c r="BE109" s="251"/>
      <c r="BF109" s="4"/>
      <c r="BG109" s="251"/>
      <c r="BH109" s="251"/>
      <c r="BI109" s="4"/>
      <c r="BJ109" s="251"/>
      <c r="BK109" s="251"/>
      <c r="BL109" s="252"/>
      <c r="BM109" s="198"/>
      <c r="BN109" s="198"/>
      <c r="BO109" s="253"/>
      <c r="BP109" s="198"/>
      <c r="BQ109" s="198"/>
      <c r="BR109" s="253"/>
      <c r="BS109" s="198"/>
      <c r="BT109" s="198"/>
      <c r="BU109" s="254"/>
      <c r="BV109" s="198"/>
      <c r="BW109" s="198"/>
      <c r="BX109" s="253"/>
      <c r="BY109" s="198"/>
      <c r="BZ109" s="198"/>
      <c r="CA109" s="253"/>
      <c r="CB109" s="198"/>
      <c r="CC109" s="198"/>
      <c r="CD109" s="253"/>
      <c r="CE109" s="198"/>
      <c r="CF109" s="198"/>
      <c r="CG109" s="253"/>
      <c r="CH109" s="198"/>
      <c r="CI109" s="198"/>
      <c r="CJ109" s="253"/>
      <c r="CK109" s="198"/>
      <c r="CL109" s="198"/>
      <c r="CM109" s="253"/>
      <c r="CN109" s="198"/>
      <c r="CO109" s="198"/>
      <c r="CP109" s="253"/>
      <c r="CQ109" s="198"/>
      <c r="CR109" s="198"/>
      <c r="CS109" s="253"/>
      <c r="CT109" s="198"/>
      <c r="CU109" s="198"/>
      <c r="CV109" s="253"/>
      <c r="CW109" s="198"/>
      <c r="CX109" s="198"/>
      <c r="CY109" s="521"/>
      <c r="CZ109" s="489"/>
      <c r="DA109" s="489"/>
      <c r="DB109" s="521"/>
      <c r="DC109" s="489"/>
      <c r="DD109" s="489"/>
      <c r="DE109" s="779"/>
      <c r="DF109" s="489"/>
      <c r="DG109" s="489"/>
      <c r="DH109" s="779"/>
      <c r="DI109" s="631">
        <f>DI268</f>
        <v>899</v>
      </c>
      <c r="DJ109" s="631">
        <f>DJ268</f>
        <v>871</v>
      </c>
      <c r="DK109" s="674">
        <f>SUM(DI109:DJ109)</f>
        <v>1770</v>
      </c>
      <c r="DL109" s="631">
        <f>DL268</f>
        <v>914</v>
      </c>
      <c r="DM109" s="631">
        <f>DM268</f>
        <v>878</v>
      </c>
      <c r="DN109" s="674">
        <f>SUM(DL109:DM109)</f>
        <v>1792</v>
      </c>
      <c r="DO109" s="631">
        <f>DO268</f>
        <v>915</v>
      </c>
      <c r="DP109" s="631">
        <f>DP268</f>
        <v>916</v>
      </c>
      <c r="DQ109" s="674">
        <f>SUM(DO109:DP109)</f>
        <v>1831</v>
      </c>
      <c r="DR109" s="631">
        <f>DR268</f>
        <v>976</v>
      </c>
      <c r="DS109" s="631">
        <f>DS268</f>
        <v>964</v>
      </c>
      <c r="DT109" s="674">
        <f>SUM(DR109:DS109)</f>
        <v>1940</v>
      </c>
      <c r="DU109" s="631">
        <f>DU268</f>
        <v>921</v>
      </c>
      <c r="DV109" s="631">
        <f>DV268</f>
        <v>952.8</v>
      </c>
      <c r="DW109" s="674">
        <f>SUM(DU109:DV109)</f>
        <v>1873.8</v>
      </c>
      <c r="DX109" s="1895">
        <f>DX268</f>
        <v>928</v>
      </c>
      <c r="DY109" s="631">
        <f>DY268</f>
        <v>1056.8900000000001</v>
      </c>
      <c r="DZ109" s="674">
        <f>SUM(DX109:DY109)</f>
        <v>1984.89</v>
      </c>
      <c r="EA109" s="631">
        <f>EA268</f>
        <v>990.01</v>
      </c>
      <c r="EB109" s="631">
        <f>EB268</f>
        <v>1114.5965000000001</v>
      </c>
      <c r="EC109" s="674">
        <f>SUM(EA109:EB109)</f>
        <v>2104.6064999999999</v>
      </c>
      <c r="ED109" s="631">
        <f>ED268</f>
        <v>1045.3378</v>
      </c>
      <c r="EE109" s="631">
        <f>EE268</f>
        <v>1176.8754300000001</v>
      </c>
      <c r="EF109" s="674">
        <f>SUM(ED109:EE109)</f>
        <v>2222.2132300000003</v>
      </c>
      <c r="EG109" s="631">
        <f>EG268</f>
        <v>1117.4823940000001</v>
      </c>
      <c r="EH109" s="631">
        <f>EH268</f>
        <v>1257.4021839</v>
      </c>
      <c r="EI109" s="674">
        <f>SUM(EG109:EH109)</f>
        <v>2374.8845779000003</v>
      </c>
      <c r="EJ109" s="631">
        <f>EJ268</f>
        <v>1229.50224187</v>
      </c>
      <c r="EK109" s="631">
        <f>EK268</f>
        <v>1381.2787292695002</v>
      </c>
      <c r="EL109" s="674">
        <f>SUM(EJ109:EK109)</f>
        <v>2610.7809711395003</v>
      </c>
      <c r="EM109" s="631">
        <f>EM268</f>
        <v>1285.5273539635002</v>
      </c>
      <c r="EN109" s="631">
        <f>EN268</f>
        <v>1444.413665732975</v>
      </c>
      <c r="EO109" s="674">
        <f>SUM(EM109:EN109)</f>
        <v>2729.9410196964755</v>
      </c>
      <c r="EP109" s="631">
        <f>EP268</f>
        <v>1344.3537216616751</v>
      </c>
      <c r="EQ109" s="631">
        <f>EQ268</f>
        <v>1510.7053490196238</v>
      </c>
      <c r="ER109" s="674">
        <f>SUM(EP109:EQ109)</f>
        <v>2855.0590706812991</v>
      </c>
      <c r="ES109" s="631">
        <f>ES268</f>
        <v>1406.1214077447589</v>
      </c>
      <c r="ET109" s="631">
        <f>ET268</f>
        <v>1580.311616470605</v>
      </c>
      <c r="EU109" s="674">
        <f>SUM(ES109:ET109)</f>
        <v>2986.4330242153637</v>
      </c>
      <c r="EV109" s="631">
        <f>EV268</f>
        <v>1470.9774781319968</v>
      </c>
      <c r="EW109" s="631">
        <f>EW268</f>
        <v>1653.3981972941356</v>
      </c>
      <c r="EX109" s="674">
        <f>SUM(EV109:EW109)</f>
        <v>3124.3756754261321</v>
      </c>
      <c r="EY109" s="631">
        <f>EY268</f>
        <v>1539.076352038597</v>
      </c>
      <c r="EZ109" s="631">
        <f>EZ268</f>
        <v>1730.1391071588423</v>
      </c>
      <c r="FA109" s="6">
        <f>SUM(EY109:EZ109)</f>
        <v>3269.2154591974395</v>
      </c>
      <c r="FB109" s="11"/>
      <c r="FC109" s="244"/>
      <c r="FD109" s="11"/>
      <c r="FE109" s="244"/>
      <c r="FF109" s="11"/>
      <c r="FG109" s="244"/>
    </row>
    <row r="110" spans="1:184" s="256" customFormat="1" ht="13.35" customHeight="1">
      <c r="A110" s="760" t="s">
        <v>1000</v>
      </c>
      <c r="B110" s="256" t="s">
        <v>178</v>
      </c>
      <c r="C110" s="255"/>
      <c r="D110" s="250" t="s">
        <v>507</v>
      </c>
      <c r="E110" s="257"/>
      <c r="F110" s="257"/>
      <c r="G110" s="258"/>
      <c r="H110" s="257"/>
      <c r="I110" s="257"/>
      <c r="J110" s="258"/>
      <c r="K110" s="257"/>
      <c r="L110" s="257"/>
      <c r="M110" s="258"/>
      <c r="N110" s="257"/>
      <c r="O110" s="257"/>
      <c r="P110" s="258"/>
      <c r="Q110" s="257"/>
      <c r="R110" s="257"/>
      <c r="S110" s="258"/>
      <c r="T110" s="257"/>
      <c r="U110" s="257"/>
      <c r="V110" s="258"/>
      <c r="W110" s="257"/>
      <c r="X110" s="257"/>
      <c r="Y110" s="258"/>
      <c r="Z110" s="257"/>
      <c r="AA110" s="257"/>
      <c r="AB110" s="258"/>
      <c r="AC110" s="257"/>
      <c r="AD110" s="257"/>
      <c r="AE110" s="258"/>
      <c r="AF110" s="257"/>
      <c r="AG110" s="257"/>
      <c r="AH110" s="258"/>
      <c r="AI110" s="257"/>
      <c r="AJ110" s="257"/>
      <c r="AK110" s="258"/>
      <c r="AL110" s="257"/>
      <c r="AM110" s="257"/>
      <c r="AN110" s="258"/>
      <c r="AO110" s="257"/>
      <c r="AP110" s="257"/>
      <c r="AQ110" s="258"/>
      <c r="AR110" s="257"/>
      <c r="AS110" s="257"/>
      <c r="AT110" s="258"/>
      <c r="AU110" s="257"/>
      <c r="AV110" s="257"/>
      <c r="AW110" s="258"/>
      <c r="AX110" s="257"/>
      <c r="AY110" s="257"/>
      <c r="AZ110" s="255"/>
      <c r="BA110" s="257"/>
      <c r="BB110" s="257"/>
      <c r="BC110" s="255"/>
      <c r="BD110" s="257"/>
      <c r="BE110" s="257"/>
      <c r="BF110" s="255"/>
      <c r="BG110" s="257"/>
      <c r="BH110" s="257"/>
      <c r="BI110" s="255"/>
      <c r="BJ110" s="257"/>
      <c r="BK110" s="257"/>
      <c r="BL110" s="258"/>
      <c r="BM110" s="667"/>
      <c r="BN110" s="667"/>
      <c r="BO110" s="357"/>
      <c r="BP110" s="667"/>
      <c r="BQ110" s="667"/>
      <c r="BR110" s="357"/>
      <c r="BS110" s="667"/>
      <c r="BT110" s="667"/>
      <c r="BU110" s="668"/>
      <c r="BV110" s="667"/>
      <c r="BW110" s="667"/>
      <c r="BX110" s="357"/>
      <c r="BY110" s="667"/>
      <c r="BZ110" s="667"/>
      <c r="CA110" s="357"/>
      <c r="CB110" s="667"/>
      <c r="CC110" s="667"/>
      <c r="CD110" s="357"/>
      <c r="CE110" s="667"/>
      <c r="CF110" s="667"/>
      <c r="CG110" s="357"/>
      <c r="CH110" s="667"/>
      <c r="CI110" s="667"/>
      <c r="CJ110" s="357"/>
      <c r="CK110" s="667"/>
      <c r="CL110" s="667"/>
      <c r="CM110" s="357"/>
      <c r="CN110" s="667"/>
      <c r="CO110" s="667"/>
      <c r="CP110" s="357"/>
      <c r="CQ110" s="667"/>
      <c r="CR110" s="667"/>
      <c r="CS110" s="357"/>
      <c r="CT110" s="667"/>
      <c r="CU110" s="667"/>
      <c r="CV110" s="357"/>
      <c r="CW110" s="667"/>
      <c r="CX110" s="667"/>
      <c r="CY110" s="669"/>
      <c r="CZ110" s="670"/>
      <c r="DA110" s="670"/>
      <c r="DB110" s="669"/>
      <c r="DC110" s="670"/>
      <c r="DD110" s="670"/>
      <c r="DE110" s="780"/>
      <c r="DF110" s="670"/>
      <c r="DG110" s="670"/>
      <c r="DH110" s="780"/>
      <c r="DI110" s="832"/>
      <c r="DJ110" s="832"/>
      <c r="DK110" s="688"/>
      <c r="DL110" s="669">
        <f>DL269</f>
        <v>1.6685205784204626E-2</v>
      </c>
      <c r="DM110" s="669">
        <f>DM269</f>
        <v>8.036739380022917E-3</v>
      </c>
      <c r="DN110" s="688">
        <f>DN269</f>
        <v>1.2429378531073398E-2</v>
      </c>
      <c r="DO110" s="669">
        <f>DO269</f>
        <v>1.094091903719896E-3</v>
      </c>
      <c r="DP110" s="669">
        <f>DP269</f>
        <v>4.3280182232346309E-2</v>
      </c>
      <c r="DQ110" s="688">
        <f>DQ269</f>
        <v>2.1763392857142794E-2</v>
      </c>
      <c r="DR110" s="669">
        <f>DR269</f>
        <v>6.6666666666666652E-2</v>
      </c>
      <c r="DS110" s="669">
        <f>DS269</f>
        <v>5.240174672489073E-2</v>
      </c>
      <c r="DT110" s="688">
        <f>DT269</f>
        <v>5.9530311305297623E-2</v>
      </c>
      <c r="DU110" s="669">
        <f>DU269</f>
        <v>-5.6352459016393408E-2</v>
      </c>
      <c r="DV110" s="669">
        <f>DV269</f>
        <v>-1.1618257261410858E-2</v>
      </c>
      <c r="DW110" s="688">
        <f>DW269</f>
        <v>-3.4123711340206198E-2</v>
      </c>
      <c r="DX110" s="669">
        <f>DX269</f>
        <v>7.6004343105320338E-3</v>
      </c>
      <c r="DY110" s="669">
        <f>DY269</f>
        <v>0.10924643157010938</v>
      </c>
      <c r="DZ110" s="688">
        <f>DZ269</f>
        <v>5.9285943003522412E-2</v>
      </c>
      <c r="EA110" s="669">
        <f>EA269</f>
        <v>6.6821120689655178E-2</v>
      </c>
      <c r="EB110" s="669">
        <f>EB269</f>
        <v>5.4600289528711654E-2</v>
      </c>
      <c r="EC110" s="688">
        <f>EC269</f>
        <v>6.0313921678279314E-2</v>
      </c>
      <c r="ED110" s="669">
        <f>ED269</f>
        <v>5.5886102160584317E-2</v>
      </c>
      <c r="EE110" s="669">
        <f>EE269</f>
        <v>5.5875763112480659E-2</v>
      </c>
      <c r="EF110" s="688">
        <f>EF269</f>
        <v>5.5880626615949502E-2</v>
      </c>
      <c r="EG110" s="669">
        <f>EG269</f>
        <v>6.9015579461490839E-2</v>
      </c>
      <c r="EH110" s="669">
        <f>EH269</f>
        <v>6.8424194988929266E-2</v>
      </c>
      <c r="EI110" s="688">
        <f>EI269</f>
        <v>6.8702384559199192E-2</v>
      </c>
      <c r="EJ110" s="669">
        <f>EJ269</f>
        <v>0.10024305391427935</v>
      </c>
      <c r="EK110" s="669">
        <f>EK269</f>
        <v>9.851783856878682E-2</v>
      </c>
      <c r="EL110" s="688">
        <f>EL269</f>
        <v>9.9329624451935272E-2</v>
      </c>
      <c r="EM110" s="669">
        <f>EM269</f>
        <v>4.5567311864587845E-2</v>
      </c>
      <c r="EN110" s="669">
        <f>EN269</f>
        <v>4.5707600591854636E-2</v>
      </c>
      <c r="EO110" s="688">
        <f>EO269</f>
        <v>4.5641534036831466E-2</v>
      </c>
      <c r="EP110" s="669">
        <f>EP269</f>
        <v>4.5760494723665834E-2</v>
      </c>
      <c r="EQ110" s="669">
        <f>EQ269</f>
        <v>4.5895220226269906E-2</v>
      </c>
      <c r="ER110" s="688">
        <f>ER269</f>
        <v>4.5831778079489238E-2</v>
      </c>
      <c r="ES110" s="669">
        <f>ES269</f>
        <v>4.594600742930699E-2</v>
      </c>
      <c r="ET110" s="669">
        <f>ET269</f>
        <v>4.6075343213785702E-2</v>
      </c>
      <c r="EU110" s="688">
        <f>EU269</f>
        <v>4.6014443232768265E-2</v>
      </c>
      <c r="EV110" s="669">
        <f>EV269</f>
        <v>4.6124090018129227E-2</v>
      </c>
      <c r="EW110" s="669">
        <f>EW269</f>
        <v>4.6248208303852678E-2</v>
      </c>
      <c r="EX110" s="688">
        <f>EX269</f>
        <v>4.6189768895624539E-2</v>
      </c>
      <c r="EY110" s="669">
        <f>EY269</f>
        <v>4.6294980663523999E-2</v>
      </c>
      <c r="EZ110" s="669">
        <f>EZ269</f>
        <v>4.6414051975075754E-2</v>
      </c>
      <c r="FA110" s="671">
        <f>FA269</f>
        <v>4.6357992385647639E-2</v>
      </c>
      <c r="FB110" s="13"/>
      <c r="FC110" s="672"/>
      <c r="FD110" s="13"/>
      <c r="FE110" s="672"/>
      <c r="FF110" s="13"/>
      <c r="FG110" s="672"/>
      <c r="FH110" s="263"/>
      <c r="FI110" s="263"/>
      <c r="FJ110" s="263"/>
      <c r="FK110" s="263"/>
      <c r="FL110" s="263"/>
      <c r="FM110" s="263"/>
      <c r="FN110" s="263"/>
      <c r="FO110" s="263"/>
      <c r="FP110" s="263"/>
      <c r="FQ110" s="263"/>
      <c r="FR110" s="263"/>
      <c r="FS110" s="263"/>
      <c r="FT110" s="263"/>
      <c r="FU110" s="263"/>
      <c r="FV110" s="263"/>
      <c r="FW110" s="263"/>
      <c r="FX110" s="263"/>
      <c r="FY110" s="263"/>
      <c r="FZ110" s="263"/>
      <c r="GA110" s="263"/>
      <c r="GB110" s="263"/>
    </row>
    <row r="111" spans="1:184" ht="13.35" customHeight="1">
      <c r="A111" s="760"/>
      <c r="C111" s="4"/>
      <c r="D111" s="250"/>
      <c r="E111" s="251"/>
      <c r="F111" s="251"/>
      <c r="G111" s="252"/>
      <c r="H111" s="251"/>
      <c r="I111" s="251"/>
      <c r="J111" s="252"/>
      <c r="K111" s="251"/>
      <c r="L111" s="251"/>
      <c r="M111" s="252"/>
      <c r="N111" s="251"/>
      <c r="O111" s="251"/>
      <c r="P111" s="252"/>
      <c r="Q111" s="251"/>
      <c r="R111" s="251"/>
      <c r="S111" s="252"/>
      <c r="T111" s="251"/>
      <c r="U111" s="251"/>
      <c r="V111" s="252"/>
      <c r="W111" s="251"/>
      <c r="X111" s="251"/>
      <c r="Y111" s="252"/>
      <c r="Z111" s="251"/>
      <c r="AA111" s="251"/>
      <c r="AB111" s="252"/>
      <c r="AC111" s="251"/>
      <c r="AD111" s="251"/>
      <c r="AE111" s="252"/>
      <c r="AF111" s="251"/>
      <c r="AG111" s="251"/>
      <c r="AH111" s="252"/>
      <c r="AI111" s="251"/>
      <c r="AJ111" s="251"/>
      <c r="AK111" s="252"/>
      <c r="AL111" s="251"/>
      <c r="AM111" s="251"/>
      <c r="AN111" s="252"/>
      <c r="AO111" s="251"/>
      <c r="AP111" s="251"/>
      <c r="AQ111" s="252"/>
      <c r="AR111" s="251"/>
      <c r="AS111" s="251"/>
      <c r="AT111" s="252"/>
      <c r="AU111" s="251"/>
      <c r="AV111" s="251"/>
      <c r="AW111" s="252"/>
      <c r="AX111" s="251"/>
      <c r="AY111" s="251"/>
      <c r="AZ111" s="4"/>
      <c r="BA111" s="251"/>
      <c r="BB111" s="251"/>
      <c r="BC111" s="4"/>
      <c r="BD111" s="251"/>
      <c r="BE111" s="251"/>
      <c r="BF111" s="4"/>
      <c r="BG111" s="251"/>
      <c r="BH111" s="251"/>
      <c r="BI111" s="4"/>
      <c r="BJ111" s="251"/>
      <c r="BK111" s="251"/>
      <c r="BL111" s="252"/>
      <c r="BM111" s="251"/>
      <c r="BN111" s="251"/>
      <c r="BO111" s="265"/>
      <c r="BP111" s="251"/>
      <c r="BQ111" s="251"/>
      <c r="BR111" s="265"/>
      <c r="BS111" s="251"/>
      <c r="BT111" s="251"/>
      <c r="BU111" s="266"/>
      <c r="BV111" s="251"/>
      <c r="BW111" s="251"/>
      <c r="BX111" s="11"/>
      <c r="BY111" s="11"/>
      <c r="BZ111" s="11"/>
      <c r="CA111" s="11"/>
      <c r="CB111" s="11"/>
      <c r="CC111" s="11"/>
      <c r="CD111" s="11"/>
      <c r="CE111" s="11"/>
      <c r="CF111" s="11"/>
      <c r="CG111" s="11"/>
      <c r="CH111" s="11"/>
      <c r="CI111" s="11"/>
      <c r="CJ111" s="11"/>
      <c r="CK111" s="11"/>
      <c r="CL111" s="11"/>
      <c r="CM111" s="11"/>
      <c r="CN111" s="11"/>
      <c r="CO111" s="11"/>
      <c r="CP111" s="11"/>
      <c r="CQ111" s="11"/>
      <c r="CR111" s="11"/>
      <c r="CS111" s="11"/>
      <c r="CT111" s="11"/>
      <c r="CU111" s="11"/>
      <c r="CV111" s="11"/>
      <c r="CW111" s="11"/>
      <c r="CX111" s="11"/>
      <c r="CY111" s="10"/>
      <c r="CZ111" s="10"/>
      <c r="DA111" s="10"/>
      <c r="DB111" s="10"/>
      <c r="DC111" s="10"/>
      <c r="DD111" s="10"/>
      <c r="DE111" s="67"/>
      <c r="DF111" s="10"/>
      <c r="DG111" s="10"/>
      <c r="DH111" s="67"/>
      <c r="DI111" s="10"/>
      <c r="DJ111" s="10"/>
      <c r="DK111" s="691"/>
      <c r="DL111" s="10"/>
      <c r="DM111" s="10"/>
      <c r="DN111" s="691"/>
      <c r="DO111" s="533"/>
      <c r="DP111" s="533"/>
      <c r="DQ111" s="694"/>
      <c r="DR111" s="533"/>
      <c r="DS111" s="533"/>
      <c r="DT111" s="694"/>
      <c r="DU111" s="533"/>
      <c r="DV111" s="533"/>
      <c r="DW111" s="694"/>
      <c r="DX111" s="533"/>
      <c r="DY111" s="533"/>
      <c r="DZ111" s="694"/>
      <c r="EA111" s="533"/>
      <c r="EB111" s="533"/>
      <c r="EC111" s="694"/>
      <c r="ED111" s="533"/>
      <c r="EE111" s="533"/>
      <c r="EF111" s="694"/>
      <c r="EG111" s="533"/>
      <c r="EH111" s="533"/>
      <c r="EI111" s="694"/>
      <c r="EJ111" s="533"/>
      <c r="EK111" s="533"/>
      <c r="EL111" s="694"/>
      <c r="EM111" s="533"/>
      <c r="EN111" s="533"/>
      <c r="EO111" s="694"/>
      <c r="EP111" s="533"/>
      <c r="EQ111" s="533"/>
      <c r="ER111" s="694"/>
      <c r="ES111" s="533"/>
      <c r="ET111" s="533"/>
      <c r="EU111" s="694"/>
      <c r="EV111" s="533"/>
      <c r="EW111" s="533"/>
      <c r="EX111" s="694"/>
      <c r="EY111" s="533"/>
      <c r="EZ111" s="533"/>
      <c r="FA111" s="534"/>
      <c r="FB111" s="11"/>
      <c r="FC111" s="11"/>
      <c r="FD111" s="11"/>
      <c r="FE111" s="11"/>
      <c r="FF111" s="11"/>
      <c r="FG111" s="11"/>
    </row>
    <row r="112" spans="1:184" ht="13.35" customHeight="1">
      <c r="A112" s="760" t="s">
        <v>995</v>
      </c>
      <c r="B112" s="177" t="s">
        <v>308</v>
      </c>
      <c r="C112" s="4"/>
      <c r="D112" s="250" t="s">
        <v>357</v>
      </c>
      <c r="E112" s="251"/>
      <c r="F112" s="251"/>
      <c r="G112" s="252"/>
      <c r="H112" s="251"/>
      <c r="I112" s="251"/>
      <c r="J112" s="252"/>
      <c r="K112" s="251"/>
      <c r="L112" s="251"/>
      <c r="M112" s="252"/>
      <c r="N112" s="251"/>
      <c r="O112" s="251"/>
      <c r="P112" s="252"/>
      <c r="Q112" s="251"/>
      <c r="R112" s="251"/>
      <c r="S112" s="252"/>
      <c r="T112" s="251"/>
      <c r="U112" s="251"/>
      <c r="V112" s="252"/>
      <c r="W112" s="251"/>
      <c r="X112" s="251"/>
      <c r="Y112" s="252"/>
      <c r="Z112" s="251"/>
      <c r="AA112" s="251"/>
      <c r="AB112" s="252"/>
      <c r="AC112" s="251"/>
      <c r="AD112" s="251"/>
      <c r="AE112" s="252"/>
      <c r="AF112" s="251"/>
      <c r="AG112" s="251"/>
      <c r="AH112" s="252"/>
      <c r="AI112" s="251"/>
      <c r="AJ112" s="251"/>
      <c r="AK112" s="252"/>
      <c r="AL112" s="251"/>
      <c r="AM112" s="251"/>
      <c r="AN112" s="252"/>
      <c r="AO112" s="251"/>
      <c r="AP112" s="251"/>
      <c r="AQ112" s="252"/>
      <c r="AR112" s="251"/>
      <c r="AS112" s="251"/>
      <c r="AT112" s="252"/>
      <c r="AU112" s="251"/>
      <c r="AV112" s="251"/>
      <c r="AW112" s="252"/>
      <c r="AX112" s="251"/>
      <c r="AY112" s="251"/>
      <c r="AZ112" s="4"/>
      <c r="BA112" s="251"/>
      <c r="BB112" s="251"/>
      <c r="BC112" s="4"/>
      <c r="BD112" s="251"/>
      <c r="BE112" s="251"/>
      <c r="BF112" s="4"/>
      <c r="BG112" s="251"/>
      <c r="BH112" s="251"/>
      <c r="BI112" s="4"/>
      <c r="BJ112" s="251"/>
      <c r="BK112" s="251"/>
      <c r="BL112" s="252"/>
      <c r="BM112" s="198"/>
      <c r="BN112" s="198"/>
      <c r="BO112" s="253"/>
      <c r="BP112" s="198"/>
      <c r="BQ112" s="198"/>
      <c r="BR112" s="253"/>
      <c r="BS112" s="198"/>
      <c r="BT112" s="198"/>
      <c r="BU112" s="254"/>
      <c r="BV112" s="198"/>
      <c r="BW112" s="198"/>
      <c r="BX112" s="253"/>
      <c r="BY112" s="198"/>
      <c r="BZ112" s="198"/>
      <c r="CA112" s="253"/>
      <c r="CB112" s="198"/>
      <c r="CC112" s="198"/>
      <c r="CD112" s="253"/>
      <c r="CE112" s="198"/>
      <c r="CF112" s="198"/>
      <c r="CG112" s="253"/>
      <c r="CH112" s="198"/>
      <c r="CI112" s="198"/>
      <c r="CJ112" s="253"/>
      <c r="CK112" s="198"/>
      <c r="CL112" s="198"/>
      <c r="CM112" s="253"/>
      <c r="CN112" s="198"/>
      <c r="CO112" s="198"/>
      <c r="CP112" s="253"/>
      <c r="CQ112" s="198"/>
      <c r="CR112" s="198"/>
      <c r="CS112" s="253"/>
      <c r="CT112" s="198"/>
      <c r="CU112" s="198"/>
      <c r="CV112" s="253"/>
      <c r="CW112" s="198"/>
      <c r="CX112" s="198"/>
      <c r="CY112" s="521"/>
      <c r="CZ112" s="489"/>
      <c r="DA112" s="489"/>
      <c r="DB112" s="521"/>
      <c r="DC112" s="489"/>
      <c r="DD112" s="489"/>
      <c r="DE112" s="779"/>
      <c r="DF112" s="489"/>
      <c r="DG112" s="489"/>
      <c r="DH112" s="779"/>
      <c r="DI112" s="631">
        <f>DI281</f>
        <v>546</v>
      </c>
      <c r="DJ112" s="631">
        <f>DJ281</f>
        <v>525</v>
      </c>
      <c r="DK112" s="674">
        <f>SUM(DI112:DJ112)</f>
        <v>1071</v>
      </c>
      <c r="DL112" s="631">
        <f>DL281</f>
        <v>571</v>
      </c>
      <c r="DM112" s="631">
        <f>DM281</f>
        <v>501</v>
      </c>
      <c r="DN112" s="674">
        <f>SUM(DL112:DM112)</f>
        <v>1072</v>
      </c>
      <c r="DO112" s="631">
        <f>DO281</f>
        <v>585</v>
      </c>
      <c r="DP112" s="631">
        <f>DP281</f>
        <v>524</v>
      </c>
      <c r="DQ112" s="674">
        <f>SUM(DO112:DP112)</f>
        <v>1109</v>
      </c>
      <c r="DR112" s="631">
        <f>DR281</f>
        <v>613</v>
      </c>
      <c r="DS112" s="631">
        <f>DS281</f>
        <v>596</v>
      </c>
      <c r="DT112" s="674">
        <f>SUM(DR112:DS112)</f>
        <v>1209</v>
      </c>
      <c r="DU112" s="631">
        <f>DU281</f>
        <v>672</v>
      </c>
      <c r="DV112" s="631">
        <f>DV281</f>
        <v>625</v>
      </c>
      <c r="DW112" s="674">
        <f>SUM(DU112:DV112)</f>
        <v>1297</v>
      </c>
      <c r="DX112" s="631">
        <f>DX281</f>
        <v>494</v>
      </c>
      <c r="DY112" s="631">
        <f>DY281</f>
        <v>788.17376183251997</v>
      </c>
      <c r="DZ112" s="674">
        <f>SUM(DX112:DY112)</f>
        <v>1282.1737618325201</v>
      </c>
      <c r="EA112" s="631">
        <f>EA281</f>
        <v>621.3119926026767</v>
      </c>
      <c r="EB112" s="631">
        <f>EB281</f>
        <v>715.78985398022576</v>
      </c>
      <c r="EC112" s="674">
        <f>SUM(EA112:EB112)</f>
        <v>1337.1018465829025</v>
      </c>
      <c r="ED112" s="631">
        <f>ED281</f>
        <v>664.80383208486398</v>
      </c>
      <c r="EE112" s="631">
        <f>EE281</f>
        <v>765.89514375884164</v>
      </c>
      <c r="EF112" s="674">
        <f>SUM(ED112:EE112)</f>
        <v>1430.6989758437057</v>
      </c>
      <c r="EG112" s="631">
        <f>EG281</f>
        <v>701.85556565972718</v>
      </c>
      <c r="EH112" s="631">
        <f>EH281</f>
        <v>819.50780382196058</v>
      </c>
      <c r="EI112" s="674">
        <f>SUM(EG112:EH112)</f>
        <v>1521.3633694816876</v>
      </c>
      <c r="EJ112" s="631">
        <f>EJ281</f>
        <v>720.54009896174978</v>
      </c>
      <c r="EK112" s="631">
        <f>EK281</f>
        <v>876.87335008949799</v>
      </c>
      <c r="EL112" s="674">
        <f>SUM(EJ112:EK112)</f>
        <v>1597.4134490512479</v>
      </c>
      <c r="EM112" s="631">
        <f>EM281</f>
        <v>770.9779058890723</v>
      </c>
      <c r="EN112" s="631">
        <f>EN281</f>
        <v>911.44721360731262</v>
      </c>
      <c r="EO112" s="674">
        <f>SUM(EM112:EN112)</f>
        <v>1682.4251194963849</v>
      </c>
      <c r="EP112" s="631">
        <f>EP281</f>
        <v>813.32739649424661</v>
      </c>
      <c r="EQ112" s="631">
        <f>EQ281</f>
        <v>975.24851855982445</v>
      </c>
      <c r="ER112" s="674">
        <f>SUM(EP112:EQ112)</f>
        <v>1788.5759150540712</v>
      </c>
      <c r="ES112" s="631">
        <f>ES281</f>
        <v>870.26031424884411</v>
      </c>
      <c r="ET112" s="631">
        <f>ET281</f>
        <v>1043.5159148590121</v>
      </c>
      <c r="EU112" s="674">
        <f>SUM(ES112:ET112)</f>
        <v>1913.7762291078561</v>
      </c>
      <c r="EV112" s="631">
        <f>EV281</f>
        <v>931.17853624626309</v>
      </c>
      <c r="EW112" s="631">
        <f>EW281</f>
        <v>1116.5620288991433</v>
      </c>
      <c r="EX112" s="674">
        <f>SUM(EV112:EW112)</f>
        <v>2047.7405651454064</v>
      </c>
      <c r="EY112" s="631">
        <f>EY281</f>
        <v>996.36103378350163</v>
      </c>
      <c r="EZ112" s="631">
        <f>EZ281</f>
        <v>1194.7213709220832</v>
      </c>
      <c r="FA112" s="6">
        <f>SUM(EY112:EZ112)</f>
        <v>2191.0824047055848</v>
      </c>
      <c r="FB112" s="11"/>
      <c r="FC112" s="244"/>
      <c r="FD112" s="11"/>
      <c r="FE112" s="244"/>
      <c r="FF112" s="11"/>
      <c r="FG112" s="244"/>
    </row>
    <row r="113" spans="1:184" s="256" customFormat="1" ht="13.35" customHeight="1">
      <c r="A113" s="760" t="s">
        <v>1001</v>
      </c>
      <c r="B113" s="256" t="s">
        <v>178</v>
      </c>
      <c r="C113" s="255"/>
      <c r="D113" s="250" t="s">
        <v>507</v>
      </c>
      <c r="E113" s="257"/>
      <c r="F113" s="257"/>
      <c r="G113" s="258"/>
      <c r="H113" s="257"/>
      <c r="I113" s="257"/>
      <c r="J113" s="258"/>
      <c r="K113" s="257"/>
      <c r="L113" s="257"/>
      <c r="M113" s="258"/>
      <c r="N113" s="257"/>
      <c r="O113" s="257"/>
      <c r="P113" s="258"/>
      <c r="Q113" s="257"/>
      <c r="R113" s="257"/>
      <c r="S113" s="258"/>
      <c r="T113" s="257"/>
      <c r="U113" s="257"/>
      <c r="V113" s="258"/>
      <c r="W113" s="257"/>
      <c r="X113" s="257"/>
      <c r="Y113" s="258"/>
      <c r="Z113" s="257"/>
      <c r="AA113" s="257"/>
      <c r="AB113" s="258"/>
      <c r="AC113" s="257"/>
      <c r="AD113" s="257"/>
      <c r="AE113" s="258"/>
      <c r="AF113" s="257"/>
      <c r="AG113" s="257"/>
      <c r="AH113" s="258"/>
      <c r="AI113" s="257"/>
      <c r="AJ113" s="257"/>
      <c r="AK113" s="258"/>
      <c r="AL113" s="257"/>
      <c r="AM113" s="257"/>
      <c r="AN113" s="258"/>
      <c r="AO113" s="257"/>
      <c r="AP113" s="257"/>
      <c r="AQ113" s="258"/>
      <c r="AR113" s="257"/>
      <c r="AS113" s="257"/>
      <c r="AT113" s="258"/>
      <c r="AU113" s="257"/>
      <c r="AV113" s="257"/>
      <c r="AW113" s="258"/>
      <c r="AX113" s="257"/>
      <c r="AY113" s="257"/>
      <c r="AZ113" s="255"/>
      <c r="BA113" s="257"/>
      <c r="BB113" s="257"/>
      <c r="BC113" s="255"/>
      <c r="BD113" s="257"/>
      <c r="BE113" s="257"/>
      <c r="BF113" s="255"/>
      <c r="BG113" s="257"/>
      <c r="BH113" s="257"/>
      <c r="BI113" s="255"/>
      <c r="BJ113" s="257"/>
      <c r="BK113" s="257"/>
      <c r="BL113" s="258"/>
      <c r="BM113" s="667"/>
      <c r="BN113" s="667"/>
      <c r="BO113" s="357"/>
      <c r="BP113" s="667"/>
      <c r="BQ113" s="667"/>
      <c r="BR113" s="357"/>
      <c r="BS113" s="667"/>
      <c r="BT113" s="667"/>
      <c r="BU113" s="668"/>
      <c r="BV113" s="667"/>
      <c r="BW113" s="667"/>
      <c r="BX113" s="357"/>
      <c r="BY113" s="667"/>
      <c r="BZ113" s="667"/>
      <c r="CA113" s="357"/>
      <c r="CB113" s="667"/>
      <c r="CC113" s="667"/>
      <c r="CD113" s="357"/>
      <c r="CE113" s="667"/>
      <c r="CF113" s="667"/>
      <c r="CG113" s="357"/>
      <c r="CH113" s="667"/>
      <c r="CI113" s="667"/>
      <c r="CJ113" s="357"/>
      <c r="CK113" s="667"/>
      <c r="CL113" s="667"/>
      <c r="CM113" s="357"/>
      <c r="CN113" s="667"/>
      <c r="CO113" s="667"/>
      <c r="CP113" s="357"/>
      <c r="CQ113" s="667"/>
      <c r="CR113" s="667"/>
      <c r="CS113" s="357"/>
      <c r="CT113" s="667"/>
      <c r="CU113" s="667"/>
      <c r="CV113" s="357"/>
      <c r="CW113" s="667"/>
      <c r="CX113" s="667"/>
      <c r="CY113" s="669"/>
      <c r="CZ113" s="670"/>
      <c r="DA113" s="670"/>
      <c r="DB113" s="669"/>
      <c r="DC113" s="670"/>
      <c r="DD113" s="670"/>
      <c r="DE113" s="780"/>
      <c r="DF113" s="670"/>
      <c r="DG113" s="670"/>
      <c r="DH113" s="780"/>
      <c r="DI113" s="832"/>
      <c r="DJ113" s="832"/>
      <c r="DK113" s="688"/>
      <c r="DL113" s="669">
        <f>DL282</f>
        <v>4.5787545787545847E-2</v>
      </c>
      <c r="DM113" s="669">
        <f>DM282</f>
        <v>-4.5714285714285707E-2</v>
      </c>
      <c r="DN113" s="688">
        <f>DN282</f>
        <v>9.3370681605975392E-4</v>
      </c>
      <c r="DO113" s="669">
        <f>DO282</f>
        <v>2.4518388791593626E-2</v>
      </c>
      <c r="DP113" s="669">
        <f>DP282</f>
        <v>4.5908183632734634E-2</v>
      </c>
      <c r="DQ113" s="688">
        <f>DQ282</f>
        <v>3.4514925373134275E-2</v>
      </c>
      <c r="DR113" s="669">
        <f>DR282</f>
        <v>4.7863247863247915E-2</v>
      </c>
      <c r="DS113" s="669">
        <f>DS282</f>
        <v>0.13740458015267176</v>
      </c>
      <c r="DT113" s="688">
        <f>DT282</f>
        <v>9.0171325518485057E-2</v>
      </c>
      <c r="DU113" s="669">
        <f>DU282</f>
        <v>9.6247960848287128E-2</v>
      </c>
      <c r="DV113" s="669">
        <f>DV282</f>
        <v>4.8657718120805438E-2</v>
      </c>
      <c r="DW113" s="688">
        <f>DW282</f>
        <v>7.2787427626137324E-2</v>
      </c>
      <c r="DX113" s="669">
        <f>DX282</f>
        <v>-0.26488095238095233</v>
      </c>
      <c r="DY113" s="669">
        <f>DY282</f>
        <v>0.26107801893203186</v>
      </c>
      <c r="DZ113" s="688">
        <f>DZ282</f>
        <v>-1.1431178232443995E-2</v>
      </c>
      <c r="EA113" s="669">
        <f>EA282</f>
        <v>0.25771658421594479</v>
      </c>
      <c r="EB113" s="669">
        <f>EB282</f>
        <v>-9.1837500000000238E-2</v>
      </c>
      <c r="EC113" s="688">
        <f>EC282</f>
        <v>4.2839813436735374E-2</v>
      </c>
      <c r="ED113" s="669">
        <f>ED282</f>
        <v>6.999999999999984E-2</v>
      </c>
      <c r="EE113" s="669">
        <f>EE282</f>
        <v>7.0000000000000062E-2</v>
      </c>
      <c r="EF113" s="688">
        <f>EF282</f>
        <v>7.0000000000000062E-2</v>
      </c>
      <c r="EG113" s="669">
        <f>EG282</f>
        <v>5.5733333333333412E-2</v>
      </c>
      <c r="EH113" s="669">
        <f>EH282</f>
        <v>7.0000000000000062E-2</v>
      </c>
      <c r="EI113" s="688">
        <f>EI282</f>
        <v>6.3370698636668665E-2</v>
      </c>
      <c r="EJ113" s="669">
        <f>EJ282</f>
        <v>2.6621621621621738E-2</v>
      </c>
      <c r="EK113" s="669">
        <f>EK282</f>
        <v>7.0000000000000284E-2</v>
      </c>
      <c r="EL113" s="688">
        <f>EL282</f>
        <v>4.9988110069634217E-2</v>
      </c>
      <c r="EM113" s="669">
        <f>EM282</f>
        <v>7.0000000000000062E-2</v>
      </c>
      <c r="EN113" s="669">
        <f>EN282</f>
        <v>3.942857142857159E-2</v>
      </c>
      <c r="EO113" s="688">
        <f>EO282</f>
        <v>5.3218326473730482E-2</v>
      </c>
      <c r="EP113" s="669">
        <f>EP282</f>
        <v>5.4929577464788659E-2</v>
      </c>
      <c r="EQ113" s="669">
        <f>EQ282</f>
        <v>6.999999999999984E-2</v>
      </c>
      <c r="ER113" s="688">
        <f>ER282</f>
        <v>6.3093919799213083E-2</v>
      </c>
      <c r="ES113" s="669">
        <f>ES282</f>
        <v>7.0000000000000284E-2</v>
      </c>
      <c r="ET113" s="669">
        <f>ET282</f>
        <v>7.0000000000000062E-2</v>
      </c>
      <c r="EU113" s="688">
        <f>EU282</f>
        <v>7.0000000000000062E-2</v>
      </c>
      <c r="EV113" s="669">
        <f>EV282</f>
        <v>6.999999999999984E-2</v>
      </c>
      <c r="EW113" s="669">
        <f>EW282</f>
        <v>7.0000000000000284E-2</v>
      </c>
      <c r="EX113" s="688">
        <f>EX282</f>
        <v>7.0000000000000284E-2</v>
      </c>
      <c r="EY113" s="669">
        <f>EY282</f>
        <v>7.0000000000000062E-2</v>
      </c>
      <c r="EZ113" s="669">
        <f>EZ282</f>
        <v>6.999999999999984E-2</v>
      </c>
      <c r="FA113" s="671">
        <f>FA282</f>
        <v>7.0000000000000062E-2</v>
      </c>
      <c r="FB113" s="13"/>
      <c r="FC113" s="672"/>
      <c r="FD113" s="13"/>
      <c r="FE113" s="672"/>
      <c r="FF113" s="13"/>
      <c r="FG113" s="672"/>
      <c r="FH113" s="263"/>
      <c r="FI113" s="263"/>
      <c r="FJ113" s="263"/>
      <c r="FK113" s="263"/>
      <c r="FL113" s="263"/>
      <c r="FM113" s="263"/>
      <c r="FN113" s="263"/>
      <c r="FO113" s="263"/>
      <c r="FP113" s="263"/>
      <c r="FQ113" s="263"/>
      <c r="FR113" s="263"/>
      <c r="FS113" s="263"/>
      <c r="FT113" s="263"/>
      <c r="FU113" s="263"/>
      <c r="FV113" s="263"/>
      <c r="FW113" s="263"/>
      <c r="FX113" s="263"/>
      <c r="FY113" s="263"/>
      <c r="FZ113" s="263"/>
      <c r="GA113" s="263"/>
      <c r="GB113" s="263"/>
    </row>
    <row r="114" spans="1:184" ht="13.35" customHeight="1">
      <c r="A114" s="760"/>
      <c r="C114" s="4"/>
      <c r="D114" s="250"/>
      <c r="E114" s="251"/>
      <c r="F114" s="251"/>
      <c r="G114" s="252"/>
      <c r="H114" s="251"/>
      <c r="I114" s="251"/>
      <c r="J114" s="252"/>
      <c r="K114" s="251"/>
      <c r="L114" s="251"/>
      <c r="M114" s="252"/>
      <c r="N114" s="251"/>
      <c r="O114" s="251"/>
      <c r="P114" s="252"/>
      <c r="Q114" s="251"/>
      <c r="R114" s="251"/>
      <c r="S114" s="252"/>
      <c r="T114" s="251"/>
      <c r="U114" s="251"/>
      <c r="V114" s="252"/>
      <c r="W114" s="251"/>
      <c r="X114" s="251"/>
      <c r="Y114" s="252"/>
      <c r="Z114" s="251"/>
      <c r="AA114" s="251"/>
      <c r="AB114" s="252"/>
      <c r="AC114" s="251"/>
      <c r="AD114" s="251"/>
      <c r="AE114" s="252"/>
      <c r="AF114" s="251"/>
      <c r="AG114" s="251"/>
      <c r="AH114" s="252"/>
      <c r="AI114" s="251"/>
      <c r="AJ114" s="251"/>
      <c r="AK114" s="252"/>
      <c r="AL114" s="251"/>
      <c r="AM114" s="251"/>
      <c r="AN114" s="252"/>
      <c r="AO114" s="251"/>
      <c r="AP114" s="251"/>
      <c r="AQ114" s="252"/>
      <c r="AR114" s="251"/>
      <c r="AS114" s="251"/>
      <c r="AT114" s="252"/>
      <c r="AU114" s="251"/>
      <c r="AV114" s="251"/>
      <c r="AW114" s="252"/>
      <c r="AX114" s="251"/>
      <c r="AY114" s="251"/>
      <c r="AZ114" s="4"/>
      <c r="BA114" s="251"/>
      <c r="BB114" s="251"/>
      <c r="BC114" s="4"/>
      <c r="BD114" s="251"/>
      <c r="BE114" s="251"/>
      <c r="BF114" s="4"/>
      <c r="BG114" s="251"/>
      <c r="BH114" s="251"/>
      <c r="BI114" s="4"/>
      <c r="BJ114" s="251"/>
      <c r="BK114" s="251"/>
      <c r="BL114" s="252"/>
      <c r="BM114" s="251"/>
      <c r="BN114" s="251"/>
      <c r="BO114" s="265"/>
      <c r="BP114" s="251"/>
      <c r="BQ114" s="251"/>
      <c r="BR114" s="265"/>
      <c r="BS114" s="251"/>
      <c r="BT114" s="251"/>
      <c r="BU114" s="266"/>
      <c r="BV114" s="251"/>
      <c r="BW114" s="251"/>
      <c r="BX114" s="265"/>
      <c r="BY114" s="251"/>
      <c r="BZ114" s="251"/>
      <c r="CA114" s="265"/>
      <c r="CB114" s="251"/>
      <c r="CC114" s="251"/>
      <c r="CD114" s="265"/>
      <c r="CE114" s="251"/>
      <c r="CF114" s="251"/>
      <c r="CG114" s="265"/>
      <c r="CH114" s="251"/>
      <c r="CI114" s="251"/>
      <c r="CJ114" s="265"/>
      <c r="CK114" s="251"/>
      <c r="CL114" s="251"/>
      <c r="CM114" s="265"/>
      <c r="CN114" s="251"/>
      <c r="CO114" s="251"/>
      <c r="CP114" s="265"/>
      <c r="CQ114" s="251"/>
      <c r="CR114" s="251"/>
      <c r="CS114" s="265"/>
      <c r="CT114" s="251"/>
      <c r="CU114" s="251"/>
      <c r="CV114" s="265"/>
      <c r="CW114" s="251"/>
      <c r="CX114" s="264"/>
      <c r="CY114" s="528"/>
      <c r="CZ114" s="535"/>
      <c r="DA114" s="535"/>
      <c r="DB114" s="528"/>
      <c r="DC114" s="535"/>
      <c r="DD114" s="535"/>
      <c r="DE114" s="782"/>
      <c r="DF114" s="535"/>
      <c r="DG114" s="535"/>
      <c r="DH114" s="782"/>
      <c r="DI114" s="535"/>
      <c r="DJ114" s="535"/>
      <c r="DK114" s="692"/>
      <c r="DL114" s="535"/>
      <c r="DM114" s="535"/>
      <c r="DN114" s="690"/>
      <c r="DO114" s="535"/>
      <c r="DP114" s="535"/>
      <c r="DQ114" s="692"/>
      <c r="DR114" s="535"/>
      <c r="DS114" s="535"/>
      <c r="DT114" s="923"/>
      <c r="DU114" s="535"/>
      <c r="DV114" s="535"/>
      <c r="DW114" s="923"/>
      <c r="DX114" s="535"/>
      <c r="DY114" s="535"/>
      <c r="DZ114" s="692"/>
      <c r="EA114" s="535"/>
      <c r="EB114" s="535"/>
      <c r="EC114" s="692"/>
      <c r="ED114" s="535"/>
      <c r="EE114" s="535"/>
      <c r="EF114" s="692"/>
      <c r="EG114" s="535"/>
      <c r="EH114" s="535"/>
      <c r="EI114" s="692"/>
      <c r="EJ114" s="535"/>
      <c r="EK114" s="535"/>
      <c r="EL114" s="692"/>
      <c r="EM114" s="535"/>
      <c r="EN114" s="535"/>
      <c r="EO114" s="692"/>
      <c r="EP114" s="535"/>
      <c r="EQ114" s="535"/>
      <c r="ER114" s="692"/>
      <c r="ES114" s="535"/>
      <c r="ET114" s="535"/>
      <c r="EU114" s="692"/>
      <c r="EV114" s="535"/>
      <c r="EW114" s="535"/>
      <c r="EX114" s="692"/>
      <c r="EY114" s="535"/>
      <c r="EZ114" s="535"/>
      <c r="FA114" s="527"/>
      <c r="FB114" s="11"/>
      <c r="FC114" s="11"/>
      <c r="FD114" s="11"/>
      <c r="FE114" s="11"/>
      <c r="FF114" s="11"/>
      <c r="FG114" s="11"/>
    </row>
    <row r="115" spans="1:184" ht="13.35" customHeight="1">
      <c r="A115" s="760" t="s">
        <v>996</v>
      </c>
      <c r="B115" s="177" t="s">
        <v>151</v>
      </c>
      <c r="C115" s="4"/>
      <c r="D115" s="250" t="s">
        <v>357</v>
      </c>
      <c r="E115" s="251"/>
      <c r="F115" s="251"/>
      <c r="G115" s="252"/>
      <c r="H115" s="251"/>
      <c r="I115" s="251"/>
      <c r="J115" s="252"/>
      <c r="K115" s="251"/>
      <c r="L115" s="251"/>
      <c r="M115" s="252"/>
      <c r="N115" s="251"/>
      <c r="O115" s="251"/>
      <c r="P115" s="252"/>
      <c r="Q115" s="251"/>
      <c r="R115" s="251"/>
      <c r="S115" s="252"/>
      <c r="T115" s="251"/>
      <c r="U115" s="251"/>
      <c r="V115" s="252"/>
      <c r="W115" s="251"/>
      <c r="X115" s="251"/>
      <c r="Y115" s="252"/>
      <c r="Z115" s="251"/>
      <c r="AA115" s="251"/>
      <c r="AB115" s="252"/>
      <c r="AC115" s="251"/>
      <c r="AD115" s="251"/>
      <c r="AE115" s="252"/>
      <c r="AF115" s="251"/>
      <c r="AG115" s="251"/>
      <c r="AH115" s="252"/>
      <c r="AI115" s="251"/>
      <c r="AJ115" s="251"/>
      <c r="AK115" s="252"/>
      <c r="AL115" s="251"/>
      <c r="AM115" s="251"/>
      <c r="AN115" s="252"/>
      <c r="AO115" s="251"/>
      <c r="AP115" s="251"/>
      <c r="AQ115" s="252"/>
      <c r="AR115" s="251"/>
      <c r="AS115" s="251"/>
      <c r="AT115" s="252"/>
      <c r="AU115" s="251"/>
      <c r="AV115" s="251"/>
      <c r="AW115" s="252"/>
      <c r="AX115" s="251"/>
      <c r="AY115" s="251"/>
      <c r="AZ115" s="4"/>
      <c r="BA115" s="251"/>
      <c r="BB115" s="251"/>
      <c r="BC115" s="4"/>
      <c r="BD115" s="251"/>
      <c r="BE115" s="251"/>
      <c r="BF115" s="4"/>
      <c r="BG115" s="251"/>
      <c r="BH115" s="251"/>
      <c r="BI115" s="4"/>
      <c r="BJ115" s="251"/>
      <c r="BK115" s="251"/>
      <c r="BL115" s="252"/>
      <c r="BM115" s="198"/>
      <c r="BN115" s="198"/>
      <c r="BO115" s="253"/>
      <c r="BP115" s="198"/>
      <c r="BQ115" s="198"/>
      <c r="BR115" s="253"/>
      <c r="BS115" s="198"/>
      <c r="BT115" s="198"/>
      <c r="BU115" s="254"/>
      <c r="BV115" s="198"/>
      <c r="BW115" s="198"/>
      <c r="BX115" s="253"/>
      <c r="BY115" s="198"/>
      <c r="BZ115" s="198"/>
      <c r="CA115" s="253"/>
      <c r="CB115" s="198"/>
      <c r="CC115" s="198"/>
      <c r="CD115" s="253"/>
      <c r="CE115" s="198"/>
      <c r="CF115" s="198"/>
      <c r="CG115" s="253"/>
      <c r="CH115" s="198"/>
      <c r="CI115" s="198"/>
      <c r="CJ115" s="253"/>
      <c r="CK115" s="198"/>
      <c r="CL115" s="198"/>
      <c r="CM115" s="253"/>
      <c r="CN115" s="198"/>
      <c r="CO115" s="198"/>
      <c r="CP115" s="253"/>
      <c r="CQ115" s="198"/>
      <c r="CR115" s="198"/>
      <c r="CS115" s="253"/>
      <c r="CT115" s="198"/>
      <c r="CU115" s="198"/>
      <c r="CV115" s="253"/>
      <c r="CW115" s="198"/>
      <c r="CX115" s="198"/>
      <c r="CY115" s="521"/>
      <c r="CZ115" s="489"/>
      <c r="DA115" s="489"/>
      <c r="DB115" s="521"/>
      <c r="DC115" s="489"/>
      <c r="DD115" s="489"/>
      <c r="DE115" s="779"/>
      <c r="DF115" s="489"/>
      <c r="DG115" s="489"/>
      <c r="DH115" s="779"/>
      <c r="DI115" s="631">
        <f>DI296</f>
        <v>227</v>
      </c>
      <c r="DJ115" s="631">
        <f>DJ296</f>
        <v>206</v>
      </c>
      <c r="DK115" s="674">
        <f>SUM(DI115:DJ115)</f>
        <v>433</v>
      </c>
      <c r="DL115" s="631">
        <f>DL296</f>
        <v>215</v>
      </c>
      <c r="DM115" s="631">
        <f>DM296</f>
        <v>192</v>
      </c>
      <c r="DN115" s="674">
        <f>SUM(DL115:DM115)</f>
        <v>407</v>
      </c>
      <c r="DO115" s="631">
        <f>DO296</f>
        <v>192</v>
      </c>
      <c r="DP115" s="631">
        <f>DP296</f>
        <v>187</v>
      </c>
      <c r="DQ115" s="674">
        <f>SUM(DO115:DP115)</f>
        <v>379</v>
      </c>
      <c r="DR115" s="631">
        <f>DR296</f>
        <v>205</v>
      </c>
      <c r="DS115" s="631">
        <f>DS296</f>
        <v>225</v>
      </c>
      <c r="DT115" s="674">
        <f>SUM(DR115:DS115)</f>
        <v>430</v>
      </c>
      <c r="DU115" s="631">
        <f>DU296</f>
        <v>216</v>
      </c>
      <c r="DV115" s="631">
        <f>DV296</f>
        <v>222</v>
      </c>
      <c r="DW115" s="674">
        <f>SUM(DU115:DV115)</f>
        <v>438</v>
      </c>
      <c r="DX115" s="1895">
        <f>DX296</f>
        <v>214</v>
      </c>
      <c r="DY115" s="631">
        <f>DY296</f>
        <v>220.63184330484336</v>
      </c>
      <c r="DZ115" s="674">
        <f>SUM(DX115:DY115)</f>
        <v>434.63184330484336</v>
      </c>
      <c r="EA115" s="631">
        <f>EA296</f>
        <v>224.18640000000005</v>
      </c>
      <c r="EB115" s="631">
        <f>EB296</f>
        <v>231.13391904615392</v>
      </c>
      <c r="EC115" s="674">
        <f>SUM(EA115:EB115)</f>
        <v>455.32031904615394</v>
      </c>
      <c r="ED115" s="631">
        <f>ED296</f>
        <v>234.85767264000006</v>
      </c>
      <c r="EE115" s="631">
        <f>EE296</f>
        <v>242.13589359275085</v>
      </c>
      <c r="EF115" s="674">
        <f>SUM(ED115:EE115)</f>
        <v>476.99356623275094</v>
      </c>
      <c r="EG115" s="631">
        <f>EG296</f>
        <v>246.03689785766403</v>
      </c>
      <c r="EH115" s="631">
        <f>EH296</f>
        <v>253.66156212776579</v>
      </c>
      <c r="EI115" s="674">
        <f>SUM(EG115:EH115)</f>
        <v>499.69845998542985</v>
      </c>
      <c r="EJ115" s="631">
        <f>EJ296</f>
        <v>257.74825419568884</v>
      </c>
      <c r="EK115" s="631">
        <f>EK296</f>
        <v>265.73585248504747</v>
      </c>
      <c r="EL115" s="674">
        <f>SUM(EJ115:EK115)</f>
        <v>523.48410668073632</v>
      </c>
      <c r="EM115" s="631">
        <f>EM296</f>
        <v>270.01707109540365</v>
      </c>
      <c r="EN115" s="631">
        <f>EN296</f>
        <v>278.38487906333575</v>
      </c>
      <c r="EO115" s="674">
        <f>SUM(EM115:EN115)</f>
        <v>548.4019501587394</v>
      </c>
      <c r="EP115" s="631">
        <f>EP296</f>
        <v>282.86988367954484</v>
      </c>
      <c r="EQ115" s="631">
        <f>EQ296</f>
        <v>291.63599930675053</v>
      </c>
      <c r="ER115" s="674">
        <f>SUM(EP115:EQ115)</f>
        <v>574.50588298629532</v>
      </c>
      <c r="ES115" s="631">
        <f>ES296</f>
        <v>296.33449014269121</v>
      </c>
      <c r="ET115" s="631">
        <f>ET296</f>
        <v>305.51787287375186</v>
      </c>
      <c r="EU115" s="674">
        <f>SUM(ES115:ET115)</f>
        <v>601.85236301644306</v>
      </c>
      <c r="EV115" s="631">
        <f>EV296</f>
        <v>310.44001187348334</v>
      </c>
      <c r="EW115" s="631">
        <f>EW296</f>
        <v>320.06052362254252</v>
      </c>
      <c r="EX115" s="674">
        <f>SUM(EV115:EW115)</f>
        <v>630.5005354960258</v>
      </c>
      <c r="EY115" s="631">
        <f>EY296</f>
        <v>325.21695643866116</v>
      </c>
      <c r="EZ115" s="631">
        <f>EZ296</f>
        <v>335.29540454697553</v>
      </c>
      <c r="FA115" s="6">
        <f>SUM(EY115:EZ115)</f>
        <v>660.51236098563663</v>
      </c>
      <c r="FB115" s="11"/>
      <c r="FC115" s="244"/>
      <c r="FD115" s="11"/>
      <c r="FE115" s="244"/>
      <c r="FF115" s="11"/>
      <c r="FG115" s="244"/>
    </row>
    <row r="116" spans="1:184" s="256" customFormat="1" ht="13.35" customHeight="1">
      <c r="A116" s="760" t="s">
        <v>1002</v>
      </c>
      <c r="B116" s="256" t="s">
        <v>178</v>
      </c>
      <c r="C116" s="255"/>
      <c r="D116" s="250" t="s">
        <v>507</v>
      </c>
      <c r="E116" s="257"/>
      <c r="F116" s="257"/>
      <c r="G116" s="258"/>
      <c r="H116" s="257"/>
      <c r="I116" s="257"/>
      <c r="J116" s="258"/>
      <c r="K116" s="257"/>
      <c r="L116" s="257"/>
      <c r="M116" s="258"/>
      <c r="N116" s="257"/>
      <c r="O116" s="257"/>
      <c r="P116" s="258"/>
      <c r="Q116" s="257"/>
      <c r="R116" s="257"/>
      <c r="S116" s="258"/>
      <c r="T116" s="257"/>
      <c r="U116" s="257"/>
      <c r="V116" s="258"/>
      <c r="W116" s="257"/>
      <c r="X116" s="257"/>
      <c r="Y116" s="258"/>
      <c r="Z116" s="257"/>
      <c r="AA116" s="257"/>
      <c r="AB116" s="258"/>
      <c r="AC116" s="257"/>
      <c r="AD116" s="257"/>
      <c r="AE116" s="258"/>
      <c r="AF116" s="257"/>
      <c r="AG116" s="257"/>
      <c r="AH116" s="258"/>
      <c r="AI116" s="257"/>
      <c r="AJ116" s="257"/>
      <c r="AK116" s="258"/>
      <c r="AL116" s="257"/>
      <c r="AM116" s="257"/>
      <c r="AN116" s="258"/>
      <c r="AO116" s="257"/>
      <c r="AP116" s="257"/>
      <c r="AQ116" s="258"/>
      <c r="AR116" s="257"/>
      <c r="AS116" s="257"/>
      <c r="AT116" s="258"/>
      <c r="AU116" s="257"/>
      <c r="AV116" s="257"/>
      <c r="AW116" s="258"/>
      <c r="AX116" s="257"/>
      <c r="AY116" s="257"/>
      <c r="AZ116" s="255"/>
      <c r="BA116" s="257"/>
      <c r="BB116" s="257"/>
      <c r="BC116" s="255"/>
      <c r="BD116" s="257"/>
      <c r="BE116" s="257"/>
      <c r="BF116" s="255"/>
      <c r="BG116" s="257"/>
      <c r="BH116" s="257"/>
      <c r="BI116" s="255"/>
      <c r="BJ116" s="257"/>
      <c r="BK116" s="257"/>
      <c r="BL116" s="258"/>
      <c r="BM116" s="667"/>
      <c r="BN116" s="667"/>
      <c r="BO116" s="357"/>
      <c r="BP116" s="667"/>
      <c r="BQ116" s="667"/>
      <c r="BR116" s="357"/>
      <c r="BS116" s="667"/>
      <c r="BT116" s="667"/>
      <c r="BU116" s="668"/>
      <c r="BV116" s="667"/>
      <c r="BW116" s="667"/>
      <c r="BX116" s="357"/>
      <c r="BY116" s="667"/>
      <c r="BZ116" s="667"/>
      <c r="CA116" s="357"/>
      <c r="CB116" s="667"/>
      <c r="CC116" s="667"/>
      <c r="CD116" s="357"/>
      <c r="CE116" s="667"/>
      <c r="CF116" s="667"/>
      <c r="CG116" s="357"/>
      <c r="CH116" s="667"/>
      <c r="CI116" s="667"/>
      <c r="CJ116" s="357"/>
      <c r="CK116" s="667"/>
      <c r="CL116" s="667"/>
      <c r="CM116" s="357"/>
      <c r="CN116" s="667"/>
      <c r="CO116" s="667"/>
      <c r="CP116" s="357"/>
      <c r="CQ116" s="667"/>
      <c r="CR116" s="667"/>
      <c r="CS116" s="357"/>
      <c r="CT116" s="667"/>
      <c r="CU116" s="667"/>
      <c r="CV116" s="357"/>
      <c r="CW116" s="667"/>
      <c r="CX116" s="667"/>
      <c r="CY116" s="669"/>
      <c r="CZ116" s="670"/>
      <c r="DA116" s="670"/>
      <c r="DB116" s="669"/>
      <c r="DC116" s="670"/>
      <c r="DD116" s="670"/>
      <c r="DE116" s="780"/>
      <c r="DF116" s="670"/>
      <c r="DG116" s="670"/>
      <c r="DH116" s="780"/>
      <c r="DI116" s="832"/>
      <c r="DJ116" s="832"/>
      <c r="DK116" s="688"/>
      <c r="DL116" s="669">
        <f>DL297</f>
        <v>-5.2863436123347984E-2</v>
      </c>
      <c r="DM116" s="669">
        <f>DM297</f>
        <v>-6.7961165048543659E-2</v>
      </c>
      <c r="DN116" s="688">
        <f>DN297</f>
        <v>-6.004618937644346E-2</v>
      </c>
      <c r="DO116" s="669">
        <f>DO297</f>
        <v>-0.10697674418604652</v>
      </c>
      <c r="DP116" s="669">
        <f>DP297</f>
        <v>-2.604166666666663E-2</v>
      </c>
      <c r="DQ116" s="688">
        <f>DQ297</f>
        <v>-6.879606879606881E-2</v>
      </c>
      <c r="DR116" s="669">
        <f>DR297</f>
        <v>6.7708333333333259E-2</v>
      </c>
      <c r="DS116" s="669">
        <f>DS297</f>
        <v>0.20320855614973254</v>
      </c>
      <c r="DT116" s="688">
        <f>DT297</f>
        <v>0.13456464379947231</v>
      </c>
      <c r="DU116" s="669">
        <f>DU297</f>
        <v>5.3658536585365901E-2</v>
      </c>
      <c r="DV116" s="669">
        <f>DV297</f>
        <v>-1.3333333333333308E-2</v>
      </c>
      <c r="DW116" s="688">
        <f>DW297</f>
        <v>1.8604651162790642E-2</v>
      </c>
      <c r="DX116" s="669">
        <f>DX297</f>
        <v>-9.2592592592593004E-3</v>
      </c>
      <c r="DY116" s="669">
        <f>DY297</f>
        <v>-6.1628679962011379E-3</v>
      </c>
      <c r="DZ116" s="688">
        <f>DZ297</f>
        <v>-7.68985546839418E-3</v>
      </c>
      <c r="EA116" s="669">
        <f>EA297</f>
        <v>4.7600000000000309E-2</v>
      </c>
      <c r="EB116" s="669">
        <f>EB297</f>
        <v>4.7600000000000087E-2</v>
      </c>
      <c r="EC116" s="688">
        <f>EC297</f>
        <v>4.7600000000000087E-2</v>
      </c>
      <c r="ED116" s="669">
        <f>ED297</f>
        <v>4.7600000000000087E-2</v>
      </c>
      <c r="EE116" s="669">
        <f>EE297</f>
        <v>4.7600000000000087E-2</v>
      </c>
      <c r="EF116" s="688">
        <f>EF297</f>
        <v>4.7600000000000087E-2</v>
      </c>
      <c r="EG116" s="669">
        <f>EG297</f>
        <v>4.7599999999999865E-2</v>
      </c>
      <c r="EH116" s="669">
        <f>EH297</f>
        <v>4.7600000000000087E-2</v>
      </c>
      <c r="EI116" s="688">
        <f>EI297</f>
        <v>4.7599999999999865E-2</v>
      </c>
      <c r="EJ116" s="669">
        <f>EJ297</f>
        <v>4.7600000000000087E-2</v>
      </c>
      <c r="EK116" s="669">
        <f>EK297</f>
        <v>4.7600000000000087E-2</v>
      </c>
      <c r="EL116" s="688">
        <f>EL297</f>
        <v>4.7600000000000087E-2</v>
      </c>
      <c r="EM116" s="669">
        <f>EM297</f>
        <v>4.7600000000000087E-2</v>
      </c>
      <c r="EN116" s="669">
        <f>EN297</f>
        <v>4.7600000000000087E-2</v>
      </c>
      <c r="EO116" s="688">
        <f>EO297</f>
        <v>4.7600000000000087E-2</v>
      </c>
      <c r="EP116" s="669">
        <f>EP297</f>
        <v>4.7599999999999865E-2</v>
      </c>
      <c r="EQ116" s="669">
        <f>EQ297</f>
        <v>4.7600000000000087E-2</v>
      </c>
      <c r="ER116" s="688">
        <f>ER297</f>
        <v>4.7599999999999865E-2</v>
      </c>
      <c r="ES116" s="669">
        <f>ES297</f>
        <v>4.7600000000000087E-2</v>
      </c>
      <c r="ET116" s="669">
        <f>ET297</f>
        <v>4.7600000000000087E-2</v>
      </c>
      <c r="EU116" s="688">
        <f>EU297</f>
        <v>4.7600000000000087E-2</v>
      </c>
      <c r="EV116" s="669">
        <f>EV297</f>
        <v>4.7600000000000087E-2</v>
      </c>
      <c r="EW116" s="669">
        <f>EW297</f>
        <v>4.7600000000000309E-2</v>
      </c>
      <c r="EX116" s="688">
        <f>EX297</f>
        <v>4.7600000000000087E-2</v>
      </c>
      <c r="EY116" s="669">
        <f>EY297</f>
        <v>4.7600000000000087E-2</v>
      </c>
      <c r="EZ116" s="669">
        <f>EZ297</f>
        <v>4.7599999999999865E-2</v>
      </c>
      <c r="FA116" s="671">
        <f>FA297</f>
        <v>4.7600000000000087E-2</v>
      </c>
      <c r="FB116" s="13"/>
      <c r="FC116" s="672"/>
      <c r="FD116" s="13"/>
      <c r="FE116" s="672"/>
      <c r="FF116" s="13"/>
      <c r="FG116" s="672"/>
      <c r="FH116" s="263"/>
      <c r="FI116" s="263"/>
      <c r="FJ116" s="263"/>
      <c r="FK116" s="263"/>
      <c r="FL116" s="263"/>
      <c r="FM116" s="263"/>
      <c r="FN116" s="263"/>
      <c r="FO116" s="263"/>
      <c r="FP116" s="263"/>
      <c r="FQ116" s="263"/>
      <c r="FR116" s="263"/>
      <c r="FS116" s="263"/>
      <c r="FT116" s="263"/>
      <c r="FU116" s="263"/>
      <c r="FV116" s="263"/>
      <c r="FW116" s="263"/>
      <c r="FX116" s="263"/>
      <c r="FY116" s="263"/>
      <c r="FZ116" s="263"/>
      <c r="GA116" s="263"/>
      <c r="GB116" s="263"/>
    </row>
    <row r="117" spans="1:184" ht="13.35" customHeight="1">
      <c r="A117" s="760"/>
      <c r="C117" s="4"/>
      <c r="D117" s="250"/>
      <c r="E117" s="251"/>
      <c r="F117" s="251"/>
      <c r="G117" s="252"/>
      <c r="H117" s="251"/>
      <c r="I117" s="251"/>
      <c r="J117" s="252"/>
      <c r="K117" s="251"/>
      <c r="L117" s="251"/>
      <c r="M117" s="252"/>
      <c r="N117" s="251"/>
      <c r="O117" s="251"/>
      <c r="P117" s="252"/>
      <c r="Q117" s="251"/>
      <c r="R117" s="251"/>
      <c r="S117" s="252"/>
      <c r="T117" s="251"/>
      <c r="U117" s="251"/>
      <c r="V117" s="252"/>
      <c r="W117" s="251"/>
      <c r="X117" s="251"/>
      <c r="Y117" s="252"/>
      <c r="Z117" s="251"/>
      <c r="AA117" s="251"/>
      <c r="AB117" s="252"/>
      <c r="AC117" s="251"/>
      <c r="AD117" s="251"/>
      <c r="AE117" s="252"/>
      <c r="AF117" s="251"/>
      <c r="AG117" s="251"/>
      <c r="AH117" s="252"/>
      <c r="AI117" s="251"/>
      <c r="AJ117" s="251"/>
      <c r="AK117" s="252"/>
      <c r="AL117" s="251"/>
      <c r="AM117" s="251"/>
      <c r="AN117" s="252"/>
      <c r="AO117" s="251"/>
      <c r="AP117" s="251"/>
      <c r="AQ117" s="252"/>
      <c r="AR117" s="251"/>
      <c r="AS117" s="251"/>
      <c r="AT117" s="252"/>
      <c r="AU117" s="251"/>
      <c r="AV117" s="251"/>
      <c r="AW117" s="252"/>
      <c r="AX117" s="251"/>
      <c r="AY117" s="251"/>
      <c r="AZ117" s="4"/>
      <c r="BA117" s="251"/>
      <c r="BB117" s="251"/>
      <c r="BC117" s="4"/>
      <c r="BD117" s="251"/>
      <c r="BE117" s="251"/>
      <c r="BF117" s="4"/>
      <c r="BG117" s="251"/>
      <c r="BH117" s="251"/>
      <c r="BI117" s="4"/>
      <c r="BJ117" s="251"/>
      <c r="BK117" s="251"/>
      <c r="BL117" s="252"/>
      <c r="BM117" s="269"/>
      <c r="BN117" s="269"/>
      <c r="BO117" s="265"/>
      <c r="BP117" s="269"/>
      <c r="BQ117" s="269"/>
      <c r="BR117" s="265"/>
      <c r="BS117" s="269"/>
      <c r="BT117" s="269"/>
      <c r="BU117" s="266"/>
      <c r="BV117" s="269"/>
      <c r="BW117" s="269"/>
      <c r="BX117" s="265"/>
      <c r="BY117" s="269"/>
      <c r="BZ117" s="269"/>
      <c r="CA117" s="265"/>
      <c r="CB117" s="269"/>
      <c r="CC117" s="269"/>
      <c r="CD117" s="265"/>
      <c r="CE117" s="269"/>
      <c r="CF117" s="269"/>
      <c r="CG117" s="253"/>
      <c r="CH117" s="269"/>
      <c r="CI117" s="269"/>
      <c r="CJ117" s="265"/>
      <c r="CK117" s="269"/>
      <c r="CL117" s="269"/>
      <c r="CM117" s="265"/>
      <c r="CN117" s="269"/>
      <c r="CO117" s="269"/>
      <c r="CP117" s="265"/>
      <c r="CQ117" s="269"/>
      <c r="CR117" s="269"/>
      <c r="CS117" s="265"/>
      <c r="CT117" s="269"/>
      <c r="CU117" s="269"/>
      <c r="CV117" s="265"/>
      <c r="CW117" s="269"/>
      <c r="CX117" s="269"/>
      <c r="CY117" s="528"/>
      <c r="CZ117" s="529"/>
      <c r="DA117" s="529"/>
      <c r="DB117" s="528"/>
      <c r="DC117" s="529"/>
      <c r="DD117" s="529"/>
      <c r="DE117" s="782"/>
      <c r="DF117" s="529"/>
      <c r="DG117" s="529"/>
      <c r="DH117" s="782"/>
      <c r="DI117" s="529"/>
      <c r="DJ117" s="529"/>
      <c r="DK117" s="692"/>
      <c r="DL117" s="529"/>
      <c r="DM117" s="529"/>
      <c r="DN117" s="692"/>
      <c r="DO117" s="529"/>
      <c r="DP117" s="529"/>
      <c r="DQ117" s="692"/>
      <c r="DR117" s="529"/>
      <c r="DS117" s="529"/>
      <c r="DT117" s="692"/>
      <c r="DU117" s="529"/>
      <c r="DV117" s="529"/>
      <c r="DW117" s="692"/>
      <c r="DX117" s="529"/>
      <c r="DY117" s="529"/>
      <c r="DZ117" s="692"/>
      <c r="EA117" s="529"/>
      <c r="EB117" s="529"/>
      <c r="EC117" s="692"/>
      <c r="ED117" s="529"/>
      <c r="EE117" s="529"/>
      <c r="EF117" s="692"/>
      <c r="EG117" s="529"/>
      <c r="EH117" s="529"/>
      <c r="EI117" s="692"/>
      <c r="EJ117" s="529"/>
      <c r="EK117" s="529"/>
      <c r="EL117" s="692"/>
      <c r="EM117" s="529"/>
      <c r="EN117" s="529"/>
      <c r="EO117" s="692"/>
      <c r="EP117" s="529"/>
      <c r="EQ117" s="529"/>
      <c r="ER117" s="692"/>
      <c r="ES117" s="529"/>
      <c r="ET117" s="529"/>
      <c r="EU117" s="692"/>
      <c r="EV117" s="529"/>
      <c r="EW117" s="529"/>
      <c r="EX117" s="692"/>
      <c r="EY117" s="529"/>
      <c r="EZ117" s="529"/>
      <c r="FA117" s="527"/>
      <c r="FB117" s="11"/>
      <c r="FC117" s="11"/>
      <c r="FD117" s="11"/>
      <c r="FE117" s="11"/>
      <c r="FF117" s="11"/>
      <c r="FG117" s="11"/>
      <c r="FH117" s="11"/>
      <c r="FI117" s="11"/>
      <c r="FJ117" s="11"/>
      <c r="FK117" s="11"/>
      <c r="FL117" s="11"/>
      <c r="FM117" s="11"/>
      <c r="FN117" s="11"/>
      <c r="FO117" s="11"/>
      <c r="FP117" s="11"/>
      <c r="FQ117" s="11"/>
      <c r="FR117" s="11"/>
      <c r="FS117" s="11"/>
      <c r="FT117" s="11"/>
      <c r="FU117" s="11"/>
      <c r="FV117" s="11"/>
    </row>
    <row r="118" spans="1:184" ht="13.35" customHeight="1">
      <c r="A118" s="760"/>
      <c r="B118" s="177" t="s">
        <v>449</v>
      </c>
      <c r="C118" s="4"/>
      <c r="D118" s="250" t="s">
        <v>357</v>
      </c>
      <c r="E118" s="251"/>
      <c r="F118" s="251"/>
      <c r="G118" s="252"/>
      <c r="H118" s="251"/>
      <c r="I118" s="251"/>
      <c r="J118" s="252"/>
      <c r="K118" s="251"/>
      <c r="L118" s="251"/>
      <c r="M118" s="252"/>
      <c r="N118" s="251"/>
      <c r="O118" s="251"/>
      <c r="P118" s="252"/>
      <c r="Q118" s="251"/>
      <c r="R118" s="251"/>
      <c r="S118" s="252"/>
      <c r="T118" s="251"/>
      <c r="U118" s="251"/>
      <c r="V118" s="252"/>
      <c r="W118" s="251"/>
      <c r="X118" s="251"/>
      <c r="Y118" s="252"/>
      <c r="Z118" s="251"/>
      <c r="AA118" s="251"/>
      <c r="AB118" s="252"/>
      <c r="AC118" s="251"/>
      <c r="AD118" s="251"/>
      <c r="AE118" s="252"/>
      <c r="AF118" s="251"/>
      <c r="AG118" s="251"/>
      <c r="AH118" s="252"/>
      <c r="AI118" s="251"/>
      <c r="AJ118" s="251"/>
      <c r="AK118" s="252"/>
      <c r="AL118" s="251"/>
      <c r="AM118" s="251"/>
      <c r="AN118" s="252"/>
      <c r="AO118" s="251"/>
      <c r="AP118" s="251"/>
      <c r="AQ118" s="252"/>
      <c r="AR118" s="251"/>
      <c r="AS118" s="251"/>
      <c r="AT118" s="252"/>
      <c r="AU118" s="251"/>
      <c r="AV118" s="251"/>
      <c r="AW118" s="252"/>
      <c r="AX118" s="251"/>
      <c r="AY118" s="251"/>
      <c r="AZ118" s="4"/>
      <c r="BA118" s="251"/>
      <c r="BB118" s="251"/>
      <c r="BC118" s="4"/>
      <c r="BD118" s="251"/>
      <c r="BE118" s="251"/>
      <c r="BF118" s="4"/>
      <c r="BG118" s="251"/>
      <c r="BH118" s="251"/>
      <c r="BI118" s="4"/>
      <c r="BJ118" s="251"/>
      <c r="BK118" s="251"/>
      <c r="BL118" s="252"/>
      <c r="BM118" s="198"/>
      <c r="BN118" s="198"/>
      <c r="BO118" s="253"/>
      <c r="BP118" s="198"/>
      <c r="BQ118" s="198"/>
      <c r="BR118" s="253"/>
      <c r="BS118" s="198"/>
      <c r="BT118" s="198"/>
      <c r="BU118" s="254"/>
      <c r="BV118" s="198"/>
      <c r="BW118" s="198"/>
      <c r="BX118" s="253"/>
      <c r="BY118" s="198"/>
      <c r="BZ118" s="198"/>
      <c r="CA118" s="253"/>
      <c r="CB118" s="198"/>
      <c r="CC118" s="198"/>
      <c r="CD118" s="253"/>
      <c r="CE118" s="198"/>
      <c r="CF118" s="198"/>
      <c r="CG118" s="253"/>
      <c r="CH118" s="198"/>
      <c r="CI118" s="198"/>
      <c r="CJ118" s="253"/>
      <c r="CK118" s="198"/>
      <c r="CL118" s="198"/>
      <c r="CM118" s="253"/>
      <c r="CN118" s="198"/>
      <c r="CO118" s="198"/>
      <c r="CP118" s="253"/>
      <c r="CQ118" s="198"/>
      <c r="CR118" s="198"/>
      <c r="CS118" s="253"/>
      <c r="CT118" s="198"/>
      <c r="CU118" s="198"/>
      <c r="CV118" s="253"/>
      <c r="CW118" s="198"/>
      <c r="CX118" s="198"/>
      <c r="CY118" s="521"/>
      <c r="CZ118" s="489"/>
      <c r="DA118" s="489"/>
      <c r="DB118" s="521"/>
      <c r="DC118" s="489"/>
      <c r="DD118" s="489"/>
      <c r="DE118" s="779"/>
      <c r="DF118" s="489"/>
      <c r="DG118" s="489"/>
      <c r="DH118" s="779"/>
      <c r="DI118" s="631">
        <f>DI103+DI109+DI112+DI115+DI106</f>
        <v>3920.0256347644754</v>
      </c>
      <c r="DJ118" s="631">
        <f>DJ103+DJ109+DJ112+DJ115+DJ106</f>
        <v>3833.1237854531682</v>
      </c>
      <c r="DK118" s="674">
        <f>SUM(DI118:DJ118)</f>
        <v>7753.1494202176436</v>
      </c>
      <c r="DL118" s="631">
        <f>DL103+DL109+DL112+DL115+DL106</f>
        <v>3763.7499258760886</v>
      </c>
      <c r="DM118" s="631">
        <f>DM103+DM109+DM112+DM115+DM106</f>
        <v>3676.2780358459813</v>
      </c>
      <c r="DN118" s="674">
        <f>SUM(DL118:DM118)</f>
        <v>7440.0279617220694</v>
      </c>
      <c r="DO118" s="631">
        <f>DO103+DO109+DO112+DO115+DO106</f>
        <v>3917</v>
      </c>
      <c r="DP118" s="631">
        <f>DP103+DP109+DP112+DP115+DP106</f>
        <v>4077</v>
      </c>
      <c r="DQ118" s="674">
        <f>SUM(DO118:DP118)</f>
        <v>7994</v>
      </c>
      <c r="DR118" s="631">
        <f>DR103+DR109+DR112+DR115+DR106</f>
        <v>4551</v>
      </c>
      <c r="DS118" s="631">
        <f>DS103+DS109+DS112+DS115+DS106</f>
        <v>4694</v>
      </c>
      <c r="DT118" s="674">
        <f>SUM(DR118:DS118)</f>
        <v>9245</v>
      </c>
      <c r="DU118" s="631">
        <f>DU103+DU109+DU112+DU115+DU106</f>
        <v>4983</v>
      </c>
      <c r="DV118" s="631">
        <f>DV103+DV109+DV112+DV115+DV106</f>
        <v>4689.8</v>
      </c>
      <c r="DW118" s="674">
        <f>SUM(DU118:DV118)</f>
        <v>9672.7999999999993</v>
      </c>
      <c r="DX118" s="631">
        <f>DX103+DX109+DX112+DX115+DX106</f>
        <v>4682</v>
      </c>
      <c r="DY118" s="631">
        <f>DY103+DY109+DY112+DY115+DY106</f>
        <v>5354.9896661696612</v>
      </c>
      <c r="DZ118" s="674">
        <f>SUM(DX118:DY118)</f>
        <v>10036.989666169662</v>
      </c>
      <c r="EA118" s="631">
        <f>EA103+EA109+EA112+EA115+EA106</f>
        <v>5165.8118499384254</v>
      </c>
      <c r="EB118" s="631">
        <f>EB103+EB109+EB112+EB115+EB106</f>
        <v>5629.9367183309387</v>
      </c>
      <c r="EC118" s="674">
        <f>SUM(EA118:EB118)</f>
        <v>10795.748568269364</v>
      </c>
      <c r="ED118" s="631">
        <f>ED103+ED109+ED112+ED115+ED106</f>
        <v>5525.9369348241144</v>
      </c>
      <c r="EE118" s="631">
        <f>EE103+EE109+EE112+EE115+EE106</f>
        <v>6022.0246358974719</v>
      </c>
      <c r="EF118" s="674">
        <f>SUM(ED118:EE118)</f>
        <v>11547.961570721585</v>
      </c>
      <c r="EG118" s="631">
        <f>EG103+EG109+EG112+EG115+EG106</f>
        <v>5915.810651805602</v>
      </c>
      <c r="EH118" s="631">
        <f>EH103+EH109+EH112+EH115+EH106</f>
        <v>6456.6256245692912</v>
      </c>
      <c r="EI118" s="674">
        <f>SUM(EG118:EH118)</f>
        <v>12372.436276374894</v>
      </c>
      <c r="EJ118" s="631">
        <f>EJ103+EJ109+EJ112+EJ115+EJ106</f>
        <v>6334.8318520022585</v>
      </c>
      <c r="EK118" s="631">
        <f>EK103+EK109+EK112+EK115+EK106</f>
        <v>6946.2496733450289</v>
      </c>
      <c r="EL118" s="674">
        <f>SUM(EJ118:EK118)</f>
        <v>13281.081525347287</v>
      </c>
      <c r="EM118" s="631">
        <f>EM103+EM109+EM112+EM115+EM106</f>
        <v>6750.0645310139298</v>
      </c>
      <c r="EN118" s="631">
        <f>EN103+EN109+EN112+EN115+EN106</f>
        <v>7374.2206138355987</v>
      </c>
      <c r="EO118" s="674">
        <f>SUM(EM118:EN118)</f>
        <v>14124.285144849528</v>
      </c>
      <c r="EP118" s="631">
        <f>EP103+EP109+EP112+EP115+EP106</f>
        <v>7181.9224779609376</v>
      </c>
      <c r="EQ118" s="631">
        <f>EQ103+EQ109+EQ112+EQ115+EQ106</f>
        <v>7858.0171553534874</v>
      </c>
      <c r="ER118" s="674">
        <f>SUM(EP118:EQ118)</f>
        <v>15039.939633314425</v>
      </c>
      <c r="ES118" s="631">
        <f>ES103+ES109+ES112+ES115+ES106</f>
        <v>7654.7814762622838</v>
      </c>
      <c r="ET118" s="631">
        <f>ET103+ET109+ET112+ET115+ET106</f>
        <v>8374.7088894726767</v>
      </c>
      <c r="EU118" s="674">
        <f>SUM(ES118:ET118)</f>
        <v>16029.490365734961</v>
      </c>
      <c r="EV118" s="631">
        <f>EV103+EV109+EV112+EV115+EV106</f>
        <v>8159.866556613305</v>
      </c>
      <c r="EW118" s="631">
        <f>EW103+EW109+EW112+EW115+EW106</f>
        <v>8926.5671943593024</v>
      </c>
      <c r="EX118" s="674">
        <f>SUM(EV118:EW118)</f>
        <v>17086.433750972607</v>
      </c>
      <c r="EY118" s="631">
        <f>EY103+EY109+EY112+EY115+EY106</f>
        <v>8699.4073710695993</v>
      </c>
      <c r="EZ118" s="631">
        <f>EZ103+EZ109+EZ112+EZ115+EZ106</f>
        <v>9516.0221598730041</v>
      </c>
      <c r="FA118" s="6">
        <f>SUM(EY118:EZ118)</f>
        <v>18215.429530942602</v>
      </c>
      <c r="FB118" s="11"/>
      <c r="FC118" s="11"/>
      <c r="FD118" s="11"/>
      <c r="FE118" s="11"/>
      <c r="FF118" s="11"/>
      <c r="FG118" s="11"/>
      <c r="FH118" s="11"/>
      <c r="FI118" s="11"/>
      <c r="FJ118" s="11"/>
      <c r="FK118" s="11"/>
      <c r="FL118" s="11"/>
      <c r="FM118" s="11"/>
      <c r="FN118" s="11"/>
      <c r="FO118" s="11"/>
      <c r="FP118" s="11"/>
      <c r="FQ118" s="11"/>
      <c r="FR118" s="11"/>
      <c r="FS118" s="11"/>
      <c r="FT118" s="11"/>
      <c r="FU118" s="11"/>
      <c r="FV118" s="11"/>
    </row>
    <row r="119" spans="1:184" s="256" customFormat="1" ht="13.35" customHeight="1">
      <c r="A119" s="990"/>
      <c r="B119" s="256" t="s">
        <v>178</v>
      </c>
      <c r="C119" s="255"/>
      <c r="D119" s="250" t="s">
        <v>507</v>
      </c>
      <c r="E119" s="257"/>
      <c r="F119" s="257"/>
      <c r="G119" s="258"/>
      <c r="H119" s="257"/>
      <c r="I119" s="257"/>
      <c r="J119" s="258"/>
      <c r="K119" s="257"/>
      <c r="L119" s="257"/>
      <c r="M119" s="258"/>
      <c r="N119" s="257"/>
      <c r="O119" s="257"/>
      <c r="P119" s="258"/>
      <c r="Q119" s="257"/>
      <c r="R119" s="257"/>
      <c r="S119" s="258"/>
      <c r="T119" s="257"/>
      <c r="U119" s="257"/>
      <c r="V119" s="258"/>
      <c r="W119" s="257"/>
      <c r="X119" s="257"/>
      <c r="Y119" s="258"/>
      <c r="Z119" s="257"/>
      <c r="AA119" s="257"/>
      <c r="AB119" s="258"/>
      <c r="AC119" s="257"/>
      <c r="AD119" s="257"/>
      <c r="AE119" s="258"/>
      <c r="AF119" s="257"/>
      <c r="AG119" s="257"/>
      <c r="AH119" s="258"/>
      <c r="AI119" s="257"/>
      <c r="AJ119" s="257"/>
      <c r="AK119" s="258"/>
      <c r="AL119" s="257"/>
      <c r="AM119" s="257"/>
      <c r="AN119" s="258"/>
      <c r="AO119" s="257"/>
      <c r="AP119" s="257"/>
      <c r="AQ119" s="258"/>
      <c r="AR119" s="257"/>
      <c r="AS119" s="257"/>
      <c r="AT119" s="258"/>
      <c r="AU119" s="257"/>
      <c r="AV119" s="257"/>
      <c r="AW119" s="258"/>
      <c r="AX119" s="257"/>
      <c r="AY119" s="257"/>
      <c r="AZ119" s="255"/>
      <c r="BA119" s="257"/>
      <c r="BB119" s="257"/>
      <c r="BC119" s="255"/>
      <c r="BD119" s="257"/>
      <c r="BE119" s="257"/>
      <c r="BF119" s="255"/>
      <c r="BG119" s="257"/>
      <c r="BH119" s="257"/>
      <c r="BI119" s="255"/>
      <c r="BJ119" s="257"/>
      <c r="BK119" s="257"/>
      <c r="BL119" s="258"/>
      <c r="BM119" s="667"/>
      <c r="BN119" s="667"/>
      <c r="BO119" s="357"/>
      <c r="BP119" s="667"/>
      <c r="BQ119" s="667"/>
      <c r="BR119" s="357"/>
      <c r="BS119" s="667"/>
      <c r="BT119" s="667"/>
      <c r="BU119" s="668"/>
      <c r="BV119" s="667"/>
      <c r="BW119" s="667"/>
      <c r="BX119" s="357"/>
      <c r="BY119" s="667"/>
      <c r="BZ119" s="667"/>
      <c r="CA119" s="357"/>
      <c r="CB119" s="667"/>
      <c r="CC119" s="667"/>
      <c r="CD119" s="357"/>
      <c r="CE119" s="667"/>
      <c r="CF119" s="667"/>
      <c r="CG119" s="357"/>
      <c r="CH119" s="667"/>
      <c r="CI119" s="667"/>
      <c r="CJ119" s="357"/>
      <c r="CK119" s="667"/>
      <c r="CL119" s="667"/>
      <c r="CM119" s="357"/>
      <c r="CN119" s="667"/>
      <c r="CO119" s="667"/>
      <c r="CP119" s="357"/>
      <c r="CQ119" s="667"/>
      <c r="CR119" s="667"/>
      <c r="CS119" s="357"/>
      <c r="CT119" s="667"/>
      <c r="CU119" s="667"/>
      <c r="CV119" s="357"/>
      <c r="CW119" s="667"/>
      <c r="CX119" s="667"/>
      <c r="CY119" s="669"/>
      <c r="CZ119" s="670"/>
      <c r="DA119" s="670"/>
      <c r="DB119" s="669"/>
      <c r="DC119" s="670"/>
      <c r="DD119" s="670"/>
      <c r="DE119" s="780"/>
      <c r="DF119" s="670"/>
      <c r="DG119" s="670"/>
      <c r="DH119" s="780"/>
      <c r="DI119" s="832"/>
      <c r="DJ119" s="832"/>
      <c r="DK119" s="688"/>
      <c r="DL119" s="669">
        <f t="shared" ref="DL119:DZ119" si="193">DL118/DI118-1</f>
        <v>-3.9865991564561831E-2</v>
      </c>
      <c r="DM119" s="669">
        <f t="shared" si="193"/>
        <v>-4.0918519303347778E-2</v>
      </c>
      <c r="DN119" s="688">
        <f t="shared" si="193"/>
        <v>-4.0386356759622988E-2</v>
      </c>
      <c r="DO119" s="669">
        <f t="shared" si="193"/>
        <v>4.0717390140695642E-2</v>
      </c>
      <c r="DP119" s="669">
        <f t="shared" si="193"/>
        <v>0.10900208315223492</v>
      </c>
      <c r="DQ119" s="688">
        <f t="shared" si="193"/>
        <v>7.4458327458988283E-2</v>
      </c>
      <c r="DR119" s="669">
        <f t="shared" si="193"/>
        <v>0.16185856522849118</v>
      </c>
      <c r="DS119" s="669">
        <f t="shared" si="193"/>
        <v>0.15133676723080702</v>
      </c>
      <c r="DT119" s="688">
        <f t="shared" si="193"/>
        <v>0.15649236927695775</v>
      </c>
      <c r="DU119" s="669">
        <f t="shared" si="193"/>
        <v>9.4924192485168035E-2</v>
      </c>
      <c r="DV119" s="669">
        <f>DV118/DS118-1</f>
        <v>-8.9475926714954745E-4</v>
      </c>
      <c r="DW119" s="688">
        <f>DW118/DT118-1</f>
        <v>4.6273661438615443E-2</v>
      </c>
      <c r="DX119" s="669">
        <f t="shared" si="193"/>
        <v>-6.0405378286172984E-2</v>
      </c>
      <c r="DY119" s="669">
        <f t="shared" si="193"/>
        <v>0.14183753383292697</v>
      </c>
      <c r="DZ119" s="688">
        <f t="shared" si="193"/>
        <v>3.765090420247108E-2</v>
      </c>
      <c r="EA119" s="669">
        <f t="shared" ref="EA119:EF119" si="194">EA118/DX118-1</f>
        <v>0.10333444039692985</v>
      </c>
      <c r="EB119" s="669">
        <f t="shared" si="194"/>
        <v>5.1344086413138257E-2</v>
      </c>
      <c r="EC119" s="688">
        <f t="shared" si="194"/>
        <v>7.5596262159873362E-2</v>
      </c>
      <c r="ED119" s="669">
        <f t="shared" si="194"/>
        <v>6.971316326396626E-2</v>
      </c>
      <c r="EE119" s="669">
        <f t="shared" si="194"/>
        <v>6.9643396930182844E-2</v>
      </c>
      <c r="EF119" s="688">
        <f t="shared" si="194"/>
        <v>6.9676780419202222E-2</v>
      </c>
      <c r="EG119" s="669">
        <f t="shared" ref="EG119:EL119" si="195">EG118/ED118-1</f>
        <v>7.055341412322802E-2</v>
      </c>
      <c r="EH119" s="669">
        <f t="shared" si="195"/>
        <v>7.2168583648952511E-2</v>
      </c>
      <c r="EI119" s="688">
        <f t="shared" si="195"/>
        <v>7.1395691837394137E-2</v>
      </c>
      <c r="EJ119" s="669">
        <f t="shared" si="195"/>
        <v>7.0830732229194115E-2</v>
      </c>
      <c r="EK119" s="669">
        <f t="shared" si="195"/>
        <v>7.5832807606589281E-2</v>
      </c>
      <c r="EL119" s="688">
        <f t="shared" si="195"/>
        <v>7.3441093465758778E-2</v>
      </c>
      <c r="EM119" s="669">
        <f t="shared" ref="EM119:FA119" si="196">EM118/EJ118-1</f>
        <v>6.55475454933232E-2</v>
      </c>
      <c r="EN119" s="669">
        <f t="shared" si="196"/>
        <v>6.1611799260949507E-2</v>
      </c>
      <c r="EO119" s="688">
        <f t="shared" si="196"/>
        <v>6.3489077895724444E-2</v>
      </c>
      <c r="EP119" s="669">
        <f t="shared" si="196"/>
        <v>6.3978343460686649E-2</v>
      </c>
      <c r="EQ119" s="669">
        <f t="shared" si="196"/>
        <v>6.5606464310300705E-2</v>
      </c>
      <c r="ER119" s="688">
        <f t="shared" si="196"/>
        <v>6.482837744172798E-2</v>
      </c>
      <c r="ES119" s="669">
        <f t="shared" si="196"/>
        <v>6.5840170198495196E-2</v>
      </c>
      <c r="ET119" s="669">
        <f t="shared" si="196"/>
        <v>6.5753449490394633E-2</v>
      </c>
      <c r="EU119" s="688">
        <f t="shared" si="196"/>
        <v>6.5794860654135645E-2</v>
      </c>
      <c r="EV119" s="669">
        <f t="shared" si="196"/>
        <v>6.5982952213241575E-2</v>
      </c>
      <c r="EW119" s="669">
        <f t="shared" si="196"/>
        <v>6.589581944517886E-2</v>
      </c>
      <c r="EX119" s="688">
        <f t="shared" si="196"/>
        <v>6.5937429146031734E-2</v>
      </c>
      <c r="EY119" s="669">
        <f t="shared" si="196"/>
        <v>6.6121279154867318E-2</v>
      </c>
      <c r="EZ119" s="669">
        <f t="shared" si="196"/>
        <v>6.6033779019349925E-2</v>
      </c>
      <c r="FA119" s="671">
        <f t="shared" si="196"/>
        <v>6.6075565938721992E-2</v>
      </c>
      <c r="FB119" s="13"/>
      <c r="FC119" s="672"/>
      <c r="FD119" s="13"/>
      <c r="FE119" s="672"/>
      <c r="FF119" s="13"/>
      <c r="FG119" s="672"/>
      <c r="FH119" s="263"/>
      <c r="FI119" s="263"/>
      <c r="FJ119" s="263"/>
      <c r="FK119" s="263"/>
      <c r="FL119" s="263"/>
      <c r="FM119" s="263"/>
      <c r="FN119" s="263"/>
      <c r="FO119" s="263"/>
      <c r="FP119" s="263"/>
      <c r="FQ119" s="263"/>
      <c r="FR119" s="263"/>
      <c r="FS119" s="263"/>
      <c r="FT119" s="263"/>
      <c r="FU119" s="263"/>
      <c r="FV119" s="263"/>
      <c r="FW119" s="263"/>
      <c r="FX119" s="263"/>
      <c r="FY119" s="263"/>
      <c r="FZ119" s="263"/>
      <c r="GA119" s="263"/>
      <c r="GB119" s="263"/>
    </row>
    <row r="120" spans="1:184" ht="13.35" customHeight="1">
      <c r="A120" s="760"/>
      <c r="C120" s="4"/>
      <c r="D120" s="250"/>
      <c r="E120" s="251"/>
      <c r="F120" s="251"/>
      <c r="G120" s="252"/>
      <c r="H120" s="251"/>
      <c r="I120" s="251"/>
      <c r="J120" s="252"/>
      <c r="K120" s="251"/>
      <c r="L120" s="251"/>
      <c r="M120" s="252"/>
      <c r="N120" s="251"/>
      <c r="O120" s="251"/>
      <c r="P120" s="252"/>
      <c r="Q120" s="251"/>
      <c r="R120" s="251"/>
      <c r="S120" s="252"/>
      <c r="T120" s="251"/>
      <c r="U120" s="251"/>
      <c r="V120" s="252"/>
      <c r="W120" s="251"/>
      <c r="X120" s="251"/>
      <c r="Y120" s="252"/>
      <c r="Z120" s="251"/>
      <c r="AA120" s="251"/>
      <c r="AB120" s="252"/>
      <c r="AC120" s="251"/>
      <c r="AD120" s="251"/>
      <c r="AE120" s="252"/>
      <c r="AF120" s="251"/>
      <c r="AG120" s="251"/>
      <c r="AH120" s="252"/>
      <c r="AI120" s="251"/>
      <c r="AJ120" s="251"/>
      <c r="AK120" s="252"/>
      <c r="AL120" s="251"/>
      <c r="AM120" s="251"/>
      <c r="AN120" s="252"/>
      <c r="AO120" s="251"/>
      <c r="AP120" s="251"/>
      <c r="AQ120" s="252"/>
      <c r="AR120" s="251"/>
      <c r="AS120" s="251"/>
      <c r="AT120" s="252"/>
      <c r="AU120" s="251"/>
      <c r="AV120" s="251"/>
      <c r="AW120" s="252"/>
      <c r="AX120" s="251"/>
      <c r="AY120" s="251"/>
      <c r="AZ120" s="4"/>
      <c r="BA120" s="251"/>
      <c r="BB120" s="251"/>
      <c r="BC120" s="4"/>
      <c r="BD120" s="251"/>
      <c r="BE120" s="251"/>
      <c r="BF120" s="4"/>
      <c r="BG120" s="251"/>
      <c r="BH120" s="251"/>
      <c r="BI120" s="4"/>
      <c r="BJ120" s="251"/>
      <c r="BK120" s="251"/>
      <c r="BL120" s="252"/>
      <c r="BM120" s="251"/>
      <c r="BN120" s="251"/>
      <c r="BO120" s="265"/>
      <c r="BP120" s="264"/>
      <c r="BQ120" s="264"/>
      <c r="BR120" s="265"/>
      <c r="BS120" s="264"/>
      <c r="BT120" s="264"/>
      <c r="BU120" s="266"/>
      <c r="BV120" s="264"/>
      <c r="BW120" s="264"/>
      <c r="BX120" s="265"/>
      <c r="BY120" s="264"/>
      <c r="BZ120" s="264"/>
      <c r="CA120" s="265"/>
      <c r="CB120" s="264"/>
      <c r="CC120" s="264"/>
      <c r="CD120" s="265"/>
      <c r="CE120" s="264"/>
      <c r="CF120" s="264"/>
      <c r="CG120" s="265"/>
      <c r="CH120" s="198"/>
      <c r="CI120" s="198"/>
      <c r="CJ120" s="265"/>
      <c r="CK120" s="198"/>
      <c r="CL120" s="198"/>
      <c r="CM120" s="265"/>
      <c r="CN120" s="198"/>
      <c r="CO120" s="198"/>
      <c r="CP120" s="265"/>
      <c r="CQ120" s="198"/>
      <c r="CR120" s="198"/>
      <c r="CS120" s="265"/>
      <c r="CT120" s="198"/>
      <c r="CU120" s="198"/>
      <c r="CV120" s="265"/>
      <c r="CW120" s="198"/>
      <c r="CX120" s="198"/>
      <c r="CY120" s="528"/>
      <c r="CZ120" s="489"/>
      <c r="DA120" s="489"/>
      <c r="DB120" s="528"/>
      <c r="DC120" s="489"/>
      <c r="DD120" s="489"/>
      <c r="DE120" s="782"/>
      <c r="DF120" s="489"/>
      <c r="DG120" s="489"/>
      <c r="DH120" s="782"/>
      <c r="DI120" s="489"/>
      <c r="DJ120" s="489"/>
      <c r="DK120" s="692"/>
      <c r="DL120" s="489"/>
      <c r="DM120" s="489"/>
      <c r="DN120" s="692"/>
      <c r="DO120" s="489"/>
      <c r="DP120" s="489"/>
      <c r="DQ120" s="692"/>
      <c r="DR120" s="489"/>
      <c r="DS120" s="489"/>
      <c r="DT120" s="692"/>
      <c r="DU120" s="489"/>
      <c r="DV120" s="489"/>
      <c r="DW120" s="692"/>
      <c r="DX120" s="489"/>
      <c r="DY120" s="489"/>
      <c r="DZ120" s="692"/>
      <c r="EA120" s="489"/>
      <c r="EB120" s="489"/>
      <c r="EC120" s="692"/>
      <c r="ED120" s="489"/>
      <c r="EE120" s="489"/>
      <c r="EF120" s="692"/>
      <c r="EG120" s="489"/>
      <c r="EH120" s="489"/>
      <c r="EI120" s="692"/>
      <c r="EJ120" s="489"/>
      <c r="EK120" s="489"/>
      <c r="EL120" s="692"/>
      <c r="EM120" s="489"/>
      <c r="EN120" s="489"/>
      <c r="EO120" s="692"/>
      <c r="EP120" s="489"/>
      <c r="EQ120" s="489"/>
      <c r="ER120" s="692"/>
      <c r="ES120" s="489"/>
      <c r="ET120" s="489"/>
      <c r="EU120" s="692"/>
      <c r="EV120" s="489"/>
      <c r="EW120" s="489"/>
      <c r="EX120" s="692"/>
      <c r="EY120" s="489"/>
      <c r="EZ120" s="489"/>
      <c r="FA120" s="527"/>
      <c r="FB120" s="11"/>
      <c r="FC120" s="11"/>
      <c r="FD120" s="11"/>
      <c r="FE120" s="11"/>
      <c r="FF120" s="11"/>
      <c r="FG120" s="11"/>
      <c r="FH120" s="11"/>
      <c r="FI120" s="11"/>
      <c r="FJ120" s="11"/>
      <c r="FK120" s="11"/>
      <c r="FL120" s="11"/>
      <c r="FM120" s="11"/>
      <c r="FN120" s="11"/>
      <c r="FO120" s="11"/>
      <c r="FP120" s="11"/>
      <c r="FQ120" s="11"/>
      <c r="FR120" s="11"/>
      <c r="FS120" s="11"/>
      <c r="FT120" s="11"/>
      <c r="FU120" s="11"/>
      <c r="FV120" s="11"/>
    </row>
    <row r="121" spans="1:184" ht="13.35" customHeight="1">
      <c r="A121" s="760"/>
      <c r="B121" s="177" t="s">
        <v>450</v>
      </c>
      <c r="C121" s="4"/>
      <c r="D121" s="250" t="s">
        <v>357</v>
      </c>
      <c r="E121" s="251"/>
      <c r="F121" s="251"/>
      <c r="G121" s="252"/>
      <c r="H121" s="251"/>
      <c r="I121" s="251"/>
      <c r="J121" s="252"/>
      <c r="K121" s="251"/>
      <c r="L121" s="251"/>
      <c r="M121" s="252"/>
      <c r="N121" s="251"/>
      <c r="O121" s="251"/>
      <c r="P121" s="252"/>
      <c r="Q121" s="251"/>
      <c r="R121" s="251"/>
      <c r="S121" s="252"/>
      <c r="T121" s="251"/>
      <c r="U121" s="251"/>
      <c r="V121" s="252"/>
      <c r="W121" s="251"/>
      <c r="X121" s="251"/>
      <c r="Y121" s="252"/>
      <c r="Z121" s="251"/>
      <c r="AA121" s="251"/>
      <c r="AB121" s="252"/>
      <c r="AC121" s="251"/>
      <c r="AD121" s="251"/>
      <c r="AE121" s="252"/>
      <c r="AF121" s="251"/>
      <c r="AG121" s="251"/>
      <c r="AH121" s="252"/>
      <c r="AI121" s="251"/>
      <c r="AJ121" s="251"/>
      <c r="AK121" s="252"/>
      <c r="AL121" s="251"/>
      <c r="AM121" s="251"/>
      <c r="AN121" s="252"/>
      <c r="AO121" s="251"/>
      <c r="AP121" s="251"/>
      <c r="AQ121" s="252"/>
      <c r="AR121" s="251"/>
      <c r="AS121" s="251"/>
      <c r="AT121" s="252"/>
      <c r="AU121" s="251"/>
      <c r="AV121" s="251"/>
      <c r="AW121" s="252"/>
      <c r="AX121" s="251"/>
      <c r="AY121" s="251"/>
      <c r="AZ121" s="4"/>
      <c r="BA121" s="251"/>
      <c r="BB121" s="251"/>
      <c r="BC121" s="4"/>
      <c r="BD121" s="251"/>
      <c r="BE121" s="251"/>
      <c r="BF121" s="4"/>
      <c r="BG121" s="251"/>
      <c r="BH121" s="251"/>
      <c r="BI121" s="4"/>
      <c r="BJ121" s="251"/>
      <c r="BK121" s="251"/>
      <c r="BL121" s="252"/>
      <c r="BM121" s="198"/>
      <c r="BN121" s="198"/>
      <c r="BO121" s="79"/>
      <c r="BP121" s="198"/>
      <c r="BQ121" s="198"/>
      <c r="BR121" s="79"/>
      <c r="BS121" s="198"/>
      <c r="BT121" s="198"/>
      <c r="BU121" s="254"/>
      <c r="BV121" s="198"/>
      <c r="BW121" s="198"/>
      <c r="BX121" s="79"/>
      <c r="BY121" s="198"/>
      <c r="BZ121" s="198"/>
      <c r="CA121" s="79"/>
      <c r="CB121" s="198"/>
      <c r="CC121" s="198"/>
      <c r="CD121" s="79"/>
      <c r="CE121" s="198"/>
      <c r="CF121" s="198"/>
      <c r="CG121" s="79"/>
      <c r="CH121" s="198"/>
      <c r="CI121" s="198"/>
      <c r="CJ121" s="79"/>
      <c r="CK121" s="198"/>
      <c r="CL121" s="198"/>
      <c r="CM121" s="79"/>
      <c r="CN121" s="198"/>
      <c r="CO121" s="198"/>
      <c r="CP121" s="79"/>
      <c r="CQ121" s="198"/>
      <c r="CR121" s="198"/>
      <c r="CS121" s="79"/>
      <c r="CT121" s="198"/>
      <c r="CU121" s="198"/>
      <c r="CV121" s="79"/>
      <c r="CW121" s="198"/>
      <c r="CX121" s="198"/>
      <c r="CY121" s="488"/>
      <c r="CZ121" s="489"/>
      <c r="DA121" s="489"/>
      <c r="DB121" s="488"/>
      <c r="DC121" s="489"/>
      <c r="DD121" s="489"/>
      <c r="DE121" s="783"/>
      <c r="DF121" s="489"/>
      <c r="DG121" s="489"/>
      <c r="DH121" s="783"/>
      <c r="DI121" s="631">
        <f>DI118/DI133</f>
        <v>476.77875480042258</v>
      </c>
      <c r="DJ121" s="631">
        <f>DJ118/DJ133</f>
        <v>504.53066051055271</v>
      </c>
      <c r="DK121" s="674">
        <f>DK118/DK133</f>
        <v>490.10693279794151</v>
      </c>
      <c r="DL121" s="631">
        <f t="shared" ref="DL121:ER121" si="197">DL118/DL133</f>
        <v>559.69717003939945</v>
      </c>
      <c r="DM121" s="631">
        <f t="shared" si="197"/>
        <v>569.53109702682934</v>
      </c>
      <c r="DN121" s="674">
        <f t="shared" si="197"/>
        <v>564.51351587575391</v>
      </c>
      <c r="DO121" s="631">
        <f t="shared" si="197"/>
        <v>516.40763953377711</v>
      </c>
      <c r="DP121" s="631">
        <f t="shared" si="197"/>
        <v>489.39782981562718</v>
      </c>
      <c r="DQ121" s="674">
        <f t="shared" si="197"/>
        <v>502.27011437161264</v>
      </c>
      <c r="DR121" s="631">
        <f t="shared" si="197"/>
        <v>516.64535475551838</v>
      </c>
      <c r="DS121" s="631">
        <f t="shared" si="197"/>
        <v>475.78501099099162</v>
      </c>
      <c r="DT121" s="674">
        <f t="shared" si="197"/>
        <v>495.05875804973067</v>
      </c>
      <c r="DU121" s="631">
        <f t="shared" si="197"/>
        <v>468.22994982979304</v>
      </c>
      <c r="DV121" s="631">
        <f>DV118/DV133</f>
        <v>393.46363684953184</v>
      </c>
      <c r="DW121" s="674">
        <f>DW118/DW133</f>
        <v>428.73076561380594</v>
      </c>
      <c r="DX121" s="631">
        <f t="shared" ref="DX121" si="198">DX118/DX133</f>
        <v>439.94634258540862</v>
      </c>
      <c r="DY121" s="631">
        <f t="shared" si="197"/>
        <v>419.87995210579794</v>
      </c>
      <c r="DZ121" s="674">
        <f t="shared" si="197"/>
        <v>429.00767703284072</v>
      </c>
      <c r="EA121" s="631">
        <f t="shared" si="197"/>
        <v>453.65229130948387</v>
      </c>
      <c r="EB121" s="631">
        <f t="shared" si="197"/>
        <v>412.55916322417045</v>
      </c>
      <c r="EC121" s="674">
        <f t="shared" si="197"/>
        <v>431.2514522003865</v>
      </c>
      <c r="ED121" s="631">
        <f t="shared" si="197"/>
        <v>453.53067996132171</v>
      </c>
      <c r="EE121" s="631">
        <f t="shared" si="197"/>
        <v>412.42166802408917</v>
      </c>
      <c r="EF121" s="674">
        <f t="shared" si="197"/>
        <v>431.12118218767745</v>
      </c>
      <c r="EG121" s="631">
        <f t="shared" si="197"/>
        <v>453.76525031983374</v>
      </c>
      <c r="EH121" s="631">
        <f t="shared" si="197"/>
        <v>413.25752866497771</v>
      </c>
      <c r="EI121" s="674">
        <f t="shared" si="197"/>
        <v>431.68353014553452</v>
      </c>
      <c r="EJ121" s="631">
        <f t="shared" si="197"/>
        <v>454.11754697210375</v>
      </c>
      <c r="EK121" s="631">
        <f t="shared" si="197"/>
        <v>415.51028722262009</v>
      </c>
      <c r="EL121" s="674">
        <f t="shared" si="197"/>
        <v>433.07181367344049</v>
      </c>
      <c r="EM121" s="631">
        <f t="shared" si="197"/>
        <v>452.22788555287292</v>
      </c>
      <c r="EN121" s="631">
        <f t="shared" si="197"/>
        <v>412.25291928022398</v>
      </c>
      <c r="EO121" s="674">
        <f t="shared" si="197"/>
        <v>430.43658297775352</v>
      </c>
      <c r="EP121" s="631">
        <f t="shared" si="197"/>
        <v>449.68287526848104</v>
      </c>
      <c r="EQ121" s="631">
        <f t="shared" si="197"/>
        <v>410.56016422037305</v>
      </c>
      <c r="ER121" s="674">
        <f t="shared" si="197"/>
        <v>428.3561572371616</v>
      </c>
      <c r="ES121" s="631">
        <f t="shared" ref="ES121:FA121" si="199">ES118/ES133</f>
        <v>447.93464702009948</v>
      </c>
      <c r="ET121" s="631">
        <f t="shared" si="199"/>
        <v>408.9307581693509</v>
      </c>
      <c r="EU121" s="674">
        <f t="shared" si="199"/>
        <v>426.67270178777721</v>
      </c>
      <c r="EV121" s="631">
        <f t="shared" si="199"/>
        <v>446.25298825147843</v>
      </c>
      <c r="EW121" s="631">
        <f t="shared" si="199"/>
        <v>407.36222950958739</v>
      </c>
      <c r="EX121" s="674">
        <f t="shared" si="199"/>
        <v>425.05271292565862</v>
      </c>
      <c r="EY121" s="631">
        <f t="shared" si="199"/>
        <v>444.63533332836278</v>
      </c>
      <c r="EZ121" s="631">
        <f t="shared" si="199"/>
        <v>405.85224014378804</v>
      </c>
      <c r="FA121" s="6">
        <f t="shared" si="199"/>
        <v>423.4937490523464</v>
      </c>
      <c r="FB121" s="11"/>
      <c r="FC121" s="11"/>
      <c r="FD121" s="11"/>
      <c r="FE121" s="11"/>
      <c r="FF121" s="11"/>
      <c r="FG121" s="11"/>
      <c r="FH121" s="11"/>
      <c r="FI121" s="11"/>
      <c r="FJ121" s="11"/>
      <c r="FK121" s="11"/>
      <c r="FL121" s="11"/>
      <c r="FM121" s="11"/>
      <c r="FN121" s="11"/>
      <c r="FO121" s="11"/>
      <c r="FP121" s="11"/>
      <c r="FQ121" s="11"/>
    </row>
    <row r="122" spans="1:184" s="256" customFormat="1" ht="13.35" customHeight="1">
      <c r="A122" s="990"/>
      <c r="B122" s="256" t="s">
        <v>178</v>
      </c>
      <c r="C122" s="255"/>
      <c r="D122" s="250" t="s">
        <v>507</v>
      </c>
      <c r="E122" s="257"/>
      <c r="F122" s="257"/>
      <c r="G122" s="258"/>
      <c r="H122" s="257"/>
      <c r="I122" s="257"/>
      <c r="J122" s="258"/>
      <c r="K122" s="257"/>
      <c r="L122" s="257"/>
      <c r="M122" s="258"/>
      <c r="N122" s="257"/>
      <c r="O122" s="257"/>
      <c r="P122" s="258"/>
      <c r="Q122" s="257"/>
      <c r="R122" s="257"/>
      <c r="S122" s="258"/>
      <c r="T122" s="257"/>
      <c r="U122" s="257"/>
      <c r="V122" s="258"/>
      <c r="W122" s="257"/>
      <c r="X122" s="257"/>
      <c r="Y122" s="258"/>
      <c r="Z122" s="257"/>
      <c r="AA122" s="257"/>
      <c r="AB122" s="258"/>
      <c r="AC122" s="257"/>
      <c r="AD122" s="257"/>
      <c r="AE122" s="258"/>
      <c r="AF122" s="257"/>
      <c r="AG122" s="257"/>
      <c r="AH122" s="258"/>
      <c r="AI122" s="257"/>
      <c r="AJ122" s="257"/>
      <c r="AK122" s="258"/>
      <c r="AL122" s="257"/>
      <c r="AM122" s="257"/>
      <c r="AN122" s="258"/>
      <c r="AO122" s="257"/>
      <c r="AP122" s="257"/>
      <c r="AQ122" s="258"/>
      <c r="AR122" s="257"/>
      <c r="AS122" s="257"/>
      <c r="AT122" s="258"/>
      <c r="AU122" s="257"/>
      <c r="AV122" s="257"/>
      <c r="AW122" s="258"/>
      <c r="AX122" s="257"/>
      <c r="AY122" s="257"/>
      <c r="AZ122" s="255"/>
      <c r="BA122" s="257"/>
      <c r="BB122" s="257"/>
      <c r="BC122" s="255"/>
      <c r="BD122" s="257"/>
      <c r="BE122" s="257"/>
      <c r="BF122" s="255"/>
      <c r="BG122" s="257"/>
      <c r="BH122" s="257"/>
      <c r="BI122" s="255"/>
      <c r="BJ122" s="257"/>
      <c r="BK122" s="257"/>
      <c r="BL122" s="258"/>
      <c r="BM122" s="667"/>
      <c r="BN122" s="667"/>
      <c r="BO122" s="357"/>
      <c r="BP122" s="667"/>
      <c r="BQ122" s="667"/>
      <c r="BR122" s="357"/>
      <c r="BS122" s="667"/>
      <c r="BT122" s="667"/>
      <c r="BU122" s="668"/>
      <c r="BV122" s="667"/>
      <c r="BW122" s="667"/>
      <c r="BX122" s="357"/>
      <c r="BY122" s="667"/>
      <c r="BZ122" s="667"/>
      <c r="CA122" s="357"/>
      <c r="CB122" s="667"/>
      <c r="CC122" s="667"/>
      <c r="CD122" s="357"/>
      <c r="CE122" s="667"/>
      <c r="CF122" s="667"/>
      <c r="CG122" s="357"/>
      <c r="CH122" s="667"/>
      <c r="CI122" s="667"/>
      <c r="CJ122" s="357"/>
      <c r="CK122" s="667"/>
      <c r="CL122" s="667"/>
      <c r="CM122" s="357"/>
      <c r="CN122" s="667"/>
      <c r="CO122" s="667"/>
      <c r="CP122" s="357"/>
      <c r="CQ122" s="667"/>
      <c r="CR122" s="667"/>
      <c r="CS122" s="357"/>
      <c r="CT122" s="667"/>
      <c r="CU122" s="667"/>
      <c r="CV122" s="357"/>
      <c r="CW122" s="667"/>
      <c r="CX122" s="667"/>
      <c r="CY122" s="669"/>
      <c r="CZ122" s="670"/>
      <c r="DA122" s="670"/>
      <c r="DB122" s="669"/>
      <c r="DC122" s="670"/>
      <c r="DD122" s="670"/>
      <c r="DE122" s="780"/>
      <c r="DF122" s="670"/>
      <c r="DG122" s="670"/>
      <c r="DH122" s="780"/>
      <c r="DI122" s="832"/>
      <c r="DJ122" s="832"/>
      <c r="DK122" s="688"/>
      <c r="DL122" s="669">
        <f t="shared" ref="DL122:DZ122" si="200">DL121/DI121-1</f>
        <v>0.17391382146145773</v>
      </c>
      <c r="DM122" s="669">
        <f t="shared" si="200"/>
        <v>0.12883347158822889</v>
      </c>
      <c r="DN122" s="688">
        <f t="shared" si="200"/>
        <v>0.15181703848390238</v>
      </c>
      <c r="DO122" s="669">
        <f t="shared" si="200"/>
        <v>-7.7344558491469595E-2</v>
      </c>
      <c r="DP122" s="669">
        <f t="shared" si="200"/>
        <v>-0.14070042466430466</v>
      </c>
      <c r="DQ122" s="688">
        <f t="shared" si="200"/>
        <v>-0.11026025020424968</v>
      </c>
      <c r="DR122" s="669">
        <f t="shared" si="200"/>
        <v>4.6032475808432949E-4</v>
      </c>
      <c r="DS122" s="669">
        <f t="shared" si="200"/>
        <v>-2.7815445830162266E-2</v>
      </c>
      <c r="DT122" s="688">
        <f t="shared" si="200"/>
        <v>-1.4357526190671432E-2</v>
      </c>
      <c r="DU122" s="669">
        <f t="shared" si="200"/>
        <v>-9.3711100816218473E-2</v>
      </c>
      <c r="DV122" s="669">
        <f>DV121/DS121-1</f>
        <v>-0.17302221011543895</v>
      </c>
      <c r="DW122" s="688">
        <f>DW121/DT121-1</f>
        <v>-0.13398004046473577</v>
      </c>
      <c r="DX122" s="669">
        <f t="shared" si="200"/>
        <v>-6.0405378286172984E-2</v>
      </c>
      <c r="DY122" s="669">
        <f t="shared" si="200"/>
        <v>6.7137882086847567E-2</v>
      </c>
      <c r="DZ122" s="688">
        <f t="shared" si="200"/>
        <v>6.4588651257224683E-4</v>
      </c>
      <c r="EA122" s="669">
        <f t="shared" ref="EA122:EF122" si="201">EA121/DX121-1</f>
        <v>3.1153682613952904E-2</v>
      </c>
      <c r="EB122" s="669">
        <f t="shared" si="201"/>
        <v>-1.74354332587493E-2</v>
      </c>
      <c r="EC122" s="688">
        <f t="shared" si="201"/>
        <v>5.2301515512833685E-3</v>
      </c>
      <c r="ED122" s="669">
        <f t="shared" si="201"/>
        <v>-2.6807171591958223E-4</v>
      </c>
      <c r="EE122" s="669">
        <f t="shared" si="201"/>
        <v>-3.3327389702542121E-4</v>
      </c>
      <c r="EF122" s="688">
        <f t="shared" si="201"/>
        <v>-3.0207437457741015E-4</v>
      </c>
      <c r="EG122" s="669">
        <f t="shared" ref="EG122:EL122" si="202">EG121/ED121-1</f>
        <v>5.1720946096089904E-4</v>
      </c>
      <c r="EH122" s="669">
        <f t="shared" si="202"/>
        <v>2.0267136906098049E-3</v>
      </c>
      <c r="EI122" s="688">
        <f t="shared" si="202"/>
        <v>1.3043848947609238E-3</v>
      </c>
      <c r="EJ122" s="669">
        <f t="shared" si="202"/>
        <v>7.7638526092882465E-4</v>
      </c>
      <c r="EK122" s="669">
        <f t="shared" si="202"/>
        <v>5.4512220622329188E-3</v>
      </c>
      <c r="EL122" s="688">
        <f t="shared" si="202"/>
        <v>3.2159752016434062E-3</v>
      </c>
      <c r="EM122" s="669">
        <f t="shared" ref="EM122:FA122" si="203">EM121/EJ121-1</f>
        <v>-4.1611724361466651E-3</v>
      </c>
      <c r="EN122" s="669">
        <f t="shared" si="203"/>
        <v>-7.8394399430378181E-3</v>
      </c>
      <c r="EO122" s="688">
        <f t="shared" si="203"/>
        <v>-6.0849739292293537E-3</v>
      </c>
      <c r="EP122" s="669">
        <f t="shared" si="203"/>
        <v>-5.6277163918816431E-3</v>
      </c>
      <c r="EQ122" s="669">
        <f t="shared" si="203"/>
        <v>-4.1061081212144801E-3</v>
      </c>
      <c r="ER122" s="688">
        <f t="shared" si="203"/>
        <v>-4.8332921105347371E-3</v>
      </c>
      <c r="ES122" s="669">
        <f t="shared" si="203"/>
        <v>-3.8876914032757171E-3</v>
      </c>
      <c r="ET122" s="669">
        <f t="shared" si="203"/>
        <v>-3.9687387940237073E-3</v>
      </c>
      <c r="EU122" s="688">
        <f t="shared" si="203"/>
        <v>-3.9300367718358986E-3</v>
      </c>
      <c r="EV122" s="669">
        <f t="shared" si="203"/>
        <v>-3.7542502679985823E-3</v>
      </c>
      <c r="EW122" s="669">
        <f t="shared" si="203"/>
        <v>-3.8356827615151357E-3</v>
      </c>
      <c r="EX122" s="688">
        <f t="shared" si="203"/>
        <v>-3.7967951906244801E-3</v>
      </c>
      <c r="EY122" s="669">
        <f t="shared" si="203"/>
        <v>-3.6249727524604314E-3</v>
      </c>
      <c r="EZ122" s="669">
        <f t="shared" si="203"/>
        <v>-3.7067485800468258E-3</v>
      </c>
      <c r="FA122" s="671">
        <f t="shared" si="203"/>
        <v>-3.6676953843719495E-3</v>
      </c>
      <c r="FB122" s="13"/>
      <c r="FC122" s="672"/>
      <c r="FD122" s="13"/>
      <c r="FE122" s="672"/>
      <c r="FF122" s="13"/>
      <c r="FG122" s="672"/>
      <c r="FH122" s="263"/>
      <c r="FI122" s="263"/>
      <c r="FJ122" s="263"/>
      <c r="FK122" s="263"/>
      <c r="FL122" s="263"/>
      <c r="FM122" s="263"/>
      <c r="FN122" s="263"/>
      <c r="FO122" s="263"/>
      <c r="FP122" s="263"/>
      <c r="FQ122" s="263"/>
      <c r="FR122" s="263"/>
      <c r="FS122" s="263"/>
      <c r="FT122" s="263"/>
      <c r="FU122" s="263"/>
      <c r="FV122" s="263"/>
      <c r="FW122" s="263"/>
      <c r="FX122" s="263"/>
      <c r="FY122" s="263"/>
      <c r="FZ122" s="263"/>
      <c r="GA122" s="263"/>
      <c r="GB122" s="263"/>
    </row>
    <row r="123" spans="1:184" s="256" customFormat="1" ht="13.35" customHeight="1">
      <c r="A123" s="990"/>
      <c r="C123" s="255"/>
      <c r="D123" s="250"/>
      <c r="E123" s="257"/>
      <c r="F123" s="257"/>
      <c r="G123" s="258"/>
      <c r="H123" s="257"/>
      <c r="I123" s="257"/>
      <c r="J123" s="258"/>
      <c r="K123" s="257"/>
      <c r="L123" s="257"/>
      <c r="M123" s="258"/>
      <c r="N123" s="257"/>
      <c r="O123" s="257"/>
      <c r="P123" s="258"/>
      <c r="Q123" s="257"/>
      <c r="R123" s="257"/>
      <c r="S123" s="258"/>
      <c r="T123" s="257"/>
      <c r="U123" s="257"/>
      <c r="V123" s="258"/>
      <c r="W123" s="257"/>
      <c r="X123" s="257"/>
      <c r="Y123" s="258"/>
      <c r="Z123" s="257"/>
      <c r="AA123" s="257"/>
      <c r="AB123" s="258"/>
      <c r="AC123" s="257"/>
      <c r="AD123" s="257"/>
      <c r="AE123" s="258"/>
      <c r="AF123" s="257"/>
      <c r="AG123" s="257"/>
      <c r="AH123" s="258"/>
      <c r="AI123" s="257"/>
      <c r="AJ123" s="257"/>
      <c r="AK123" s="258"/>
      <c r="AL123" s="257"/>
      <c r="AM123" s="257"/>
      <c r="AN123" s="258"/>
      <c r="AO123" s="257"/>
      <c r="AP123" s="257"/>
      <c r="AQ123" s="258"/>
      <c r="AR123" s="257"/>
      <c r="AS123" s="257"/>
      <c r="AT123" s="258"/>
      <c r="AU123" s="257"/>
      <c r="AV123" s="257"/>
      <c r="AW123" s="258"/>
      <c r="AX123" s="257"/>
      <c r="AY123" s="257"/>
      <c r="AZ123" s="255"/>
      <c r="BA123" s="257"/>
      <c r="BB123" s="257"/>
      <c r="BC123" s="255"/>
      <c r="BD123" s="257"/>
      <c r="BE123" s="257"/>
      <c r="BF123" s="255"/>
      <c r="BG123" s="257"/>
      <c r="BH123" s="257"/>
      <c r="BI123" s="255"/>
      <c r="BJ123" s="257"/>
      <c r="BK123" s="257"/>
      <c r="BL123" s="258"/>
      <c r="BM123" s="257"/>
      <c r="BN123" s="257"/>
      <c r="BO123" s="270"/>
      <c r="BP123" s="271"/>
      <c r="BQ123" s="271"/>
      <c r="BR123" s="272"/>
      <c r="BS123" s="271"/>
      <c r="BT123" s="271"/>
      <c r="BU123" s="273"/>
      <c r="BV123" s="271"/>
      <c r="BW123" s="271"/>
      <c r="BX123" s="272"/>
      <c r="BY123" s="271"/>
      <c r="BZ123" s="271"/>
      <c r="CA123" s="272"/>
      <c r="CB123" s="271"/>
      <c r="CC123" s="271"/>
      <c r="CD123" s="272"/>
      <c r="CE123" s="271"/>
      <c r="CF123" s="271"/>
      <c r="CG123" s="272"/>
      <c r="CH123" s="271"/>
      <c r="CI123" s="271"/>
      <c r="CJ123" s="272"/>
      <c r="CK123" s="271"/>
      <c r="CL123" s="271"/>
      <c r="CM123" s="272"/>
      <c r="CN123" s="271"/>
      <c r="CO123" s="271"/>
      <c r="CP123" s="272"/>
      <c r="CQ123" s="271"/>
      <c r="CR123" s="271"/>
      <c r="CS123" s="272"/>
      <c r="CT123" s="271"/>
      <c r="CU123" s="271"/>
      <c r="CV123" s="272"/>
      <c r="CW123" s="271"/>
      <c r="CX123" s="271"/>
      <c r="CY123" s="537"/>
      <c r="CZ123" s="538"/>
      <c r="DA123" s="538"/>
      <c r="DB123" s="537"/>
      <c r="DC123" s="538"/>
      <c r="DD123" s="538"/>
      <c r="DE123" s="784"/>
      <c r="DF123" s="538"/>
      <c r="DG123" s="538"/>
      <c r="DH123" s="784"/>
      <c r="DI123" s="538"/>
      <c r="DJ123" s="538"/>
      <c r="DK123" s="693"/>
      <c r="DL123" s="538"/>
      <c r="DM123" s="538"/>
      <c r="DN123" s="693"/>
      <c r="DO123" s="538"/>
      <c r="DP123" s="538"/>
      <c r="DQ123" s="688"/>
      <c r="DR123" s="538"/>
      <c r="DS123" s="538"/>
      <c r="DT123" s="693"/>
      <c r="DU123" s="538"/>
      <c r="DV123" s="538"/>
      <c r="DW123" s="693"/>
      <c r="DX123" s="538"/>
      <c r="DY123" s="538"/>
      <c r="DZ123" s="693"/>
      <c r="EA123" s="538"/>
      <c r="EB123" s="538"/>
      <c r="EC123" s="693"/>
      <c r="ED123" s="538"/>
      <c r="EE123" s="538"/>
      <c r="EF123" s="693"/>
      <c r="EG123" s="538"/>
      <c r="EH123" s="538"/>
      <c r="EI123" s="693"/>
      <c r="EJ123" s="538"/>
      <c r="EK123" s="538"/>
      <c r="EL123" s="693"/>
      <c r="EM123" s="538"/>
      <c r="EN123" s="538"/>
      <c r="EO123" s="693"/>
      <c r="EP123" s="538"/>
      <c r="EQ123" s="538"/>
      <c r="ER123" s="693"/>
      <c r="ES123" s="538"/>
      <c r="ET123" s="538"/>
      <c r="EU123" s="693"/>
      <c r="EV123" s="538"/>
      <c r="EW123" s="538"/>
      <c r="EX123" s="693"/>
      <c r="EY123" s="538"/>
      <c r="EZ123" s="538"/>
      <c r="FA123" s="539"/>
      <c r="FB123" s="11"/>
      <c r="FC123" s="262"/>
      <c r="FD123" s="11"/>
      <c r="FE123" s="262"/>
      <c r="FF123" s="11"/>
      <c r="FG123" s="262"/>
      <c r="FH123" s="263"/>
      <c r="FI123" s="11"/>
      <c r="FJ123" s="263"/>
      <c r="FK123" s="263"/>
      <c r="FL123" s="263"/>
      <c r="FM123" s="263"/>
      <c r="FN123" s="11"/>
      <c r="FO123" s="263"/>
      <c r="FP123" s="263"/>
      <c r="FQ123" s="11"/>
      <c r="FR123" s="263"/>
      <c r="FS123" s="263"/>
      <c r="FT123" s="263"/>
      <c r="FU123" s="263"/>
      <c r="FV123" s="263"/>
      <c r="FW123" s="263"/>
      <c r="FX123" s="263"/>
      <c r="FY123" s="263"/>
      <c r="FZ123" s="263"/>
      <c r="GA123" s="263"/>
      <c r="GB123" s="263"/>
    </row>
    <row r="124" spans="1:184" ht="13.35" customHeight="1">
      <c r="A124" s="760" t="s">
        <v>997</v>
      </c>
      <c r="B124" s="177" t="s">
        <v>793</v>
      </c>
      <c r="C124" s="4"/>
      <c r="D124" s="250" t="s">
        <v>357</v>
      </c>
      <c r="E124" s="251"/>
      <c r="F124" s="251"/>
      <c r="G124" s="252"/>
      <c r="H124" s="251"/>
      <c r="I124" s="251"/>
      <c r="J124" s="252"/>
      <c r="K124" s="251"/>
      <c r="L124" s="251"/>
      <c r="M124" s="252"/>
      <c r="N124" s="251"/>
      <c r="O124" s="251"/>
      <c r="P124" s="252"/>
      <c r="Q124" s="251"/>
      <c r="R124" s="251"/>
      <c r="S124" s="252"/>
      <c r="T124" s="251"/>
      <c r="U124" s="251"/>
      <c r="V124" s="252"/>
      <c r="W124" s="251"/>
      <c r="X124" s="251"/>
      <c r="Y124" s="252"/>
      <c r="Z124" s="251"/>
      <c r="AA124" s="251"/>
      <c r="AB124" s="252"/>
      <c r="AC124" s="251"/>
      <c r="AD124" s="251"/>
      <c r="AE124" s="252"/>
      <c r="AF124" s="251"/>
      <c r="AG124" s="251"/>
      <c r="AH124" s="252"/>
      <c r="AI124" s="251"/>
      <c r="AJ124" s="251"/>
      <c r="AK124" s="252"/>
      <c r="AL124" s="251"/>
      <c r="AM124" s="251"/>
      <c r="AN124" s="252"/>
      <c r="AO124" s="251"/>
      <c r="AP124" s="251"/>
      <c r="AQ124" s="252"/>
      <c r="AR124" s="251"/>
      <c r="AS124" s="251"/>
      <c r="AT124" s="252"/>
      <c r="AU124" s="251"/>
      <c r="AV124" s="251"/>
      <c r="AW124" s="252"/>
      <c r="AX124" s="251"/>
      <c r="AY124" s="251"/>
      <c r="AZ124" s="4"/>
      <c r="BA124" s="251"/>
      <c r="BB124" s="251"/>
      <c r="BC124" s="4"/>
      <c r="BD124" s="251"/>
      <c r="BE124" s="251"/>
      <c r="BF124" s="4"/>
      <c r="BG124" s="251"/>
      <c r="BH124" s="251"/>
      <c r="BI124" s="4"/>
      <c r="BJ124" s="251"/>
      <c r="BK124" s="251"/>
      <c r="BL124" s="252"/>
      <c r="BM124" s="198"/>
      <c r="BN124" s="198"/>
      <c r="BO124" s="253"/>
      <c r="BP124" s="198"/>
      <c r="BQ124" s="198"/>
      <c r="BR124" s="253"/>
      <c r="BS124" s="198"/>
      <c r="BT124" s="198"/>
      <c r="BU124" s="254"/>
      <c r="BV124" s="198"/>
      <c r="BW124" s="198"/>
      <c r="BX124" s="253"/>
      <c r="BY124" s="198"/>
      <c r="BZ124" s="198"/>
      <c r="CA124" s="253"/>
      <c r="CB124" s="198"/>
      <c r="CC124" s="198"/>
      <c r="CD124" s="253"/>
      <c r="CE124" s="198"/>
      <c r="CF124" s="198"/>
      <c r="CG124" s="253"/>
      <c r="CH124" s="198"/>
      <c r="CI124" s="198"/>
      <c r="CJ124" s="253"/>
      <c r="CK124" s="198"/>
      <c r="CL124" s="198"/>
      <c r="CM124" s="253"/>
      <c r="CN124" s="198"/>
      <c r="CO124" s="198"/>
      <c r="CP124" s="253"/>
      <c r="CQ124" s="198"/>
      <c r="CR124" s="198"/>
      <c r="CS124" s="253"/>
      <c r="CT124" s="198"/>
      <c r="CU124" s="198"/>
      <c r="CV124" s="253"/>
      <c r="CW124" s="198"/>
      <c r="CX124" s="198"/>
      <c r="CY124" s="521"/>
      <c r="CZ124" s="489"/>
      <c r="DA124" s="489"/>
      <c r="DB124" s="521"/>
      <c r="DC124" s="489"/>
      <c r="DD124" s="489"/>
      <c r="DE124" s="779"/>
      <c r="DF124" s="489"/>
      <c r="DG124" s="489"/>
      <c r="DH124" s="779"/>
      <c r="DI124" s="631">
        <f>+DI351</f>
        <v>336</v>
      </c>
      <c r="DJ124" s="631">
        <f>+DJ351</f>
        <v>338</v>
      </c>
      <c r="DK124" s="674">
        <f>SUM(DI124:DJ124)</f>
        <v>674</v>
      </c>
      <c r="DL124" s="631">
        <f>+DL351</f>
        <v>372</v>
      </c>
      <c r="DM124" s="631">
        <f>+DM351</f>
        <v>387</v>
      </c>
      <c r="DN124" s="674">
        <f>SUM(DL124:DM124)</f>
        <v>759</v>
      </c>
      <c r="DO124" s="631">
        <f>+DO351+DO331</f>
        <v>419</v>
      </c>
      <c r="DP124" s="631">
        <f>+DP351+DP331</f>
        <v>395</v>
      </c>
      <c r="DQ124" s="674">
        <f>SUM(DO124:DP124)</f>
        <v>814</v>
      </c>
      <c r="DR124" s="631">
        <f>+DR351+DR331</f>
        <v>445</v>
      </c>
      <c r="DS124" s="631">
        <f>+DS351+DS331</f>
        <v>438</v>
      </c>
      <c r="DT124" s="674">
        <f>SUM(DR124:DS124)</f>
        <v>883</v>
      </c>
      <c r="DU124" s="631">
        <f>+DU351+DU331</f>
        <v>515</v>
      </c>
      <c r="DV124" s="631">
        <f>+DV351+DV331</f>
        <v>535</v>
      </c>
      <c r="DW124" s="674">
        <f>SUM(DU124:DV124)</f>
        <v>1050</v>
      </c>
      <c r="DX124" s="1895">
        <f>+DX351+DX331</f>
        <v>532</v>
      </c>
      <c r="DY124" s="631">
        <f>+DY351+DY331</f>
        <v>559.23</v>
      </c>
      <c r="DZ124" s="674">
        <f>SUM(DX124:DY124)</f>
        <v>1091.23</v>
      </c>
      <c r="EA124" s="631">
        <f>+EA351+EA331</f>
        <v>586.53</v>
      </c>
      <c r="EB124" s="631">
        <f>+EB351+EB331</f>
        <v>620.65629999999999</v>
      </c>
      <c r="EC124" s="674">
        <f>SUM(EA124:EB124)</f>
        <v>1207.1862999999998</v>
      </c>
      <c r="ED124" s="631">
        <f>+ED351+ED331</f>
        <v>635.29650000000004</v>
      </c>
      <c r="EE124" s="631">
        <f>+EE351+EE331</f>
        <v>674.25542300000006</v>
      </c>
      <c r="EF124" s="674">
        <f>SUM(ED124:EE124)</f>
        <v>1309.551923</v>
      </c>
      <c r="EG124" s="631">
        <f>+EG351+EG331</f>
        <v>689.47681299999999</v>
      </c>
      <c r="EH124" s="631">
        <f>+EH351+EH331</f>
        <v>733.9061396300001</v>
      </c>
      <c r="EI124" s="674">
        <f>SUM(EG124:EH124)</f>
        <v>1423.3829526300001</v>
      </c>
      <c r="EJ124" s="631">
        <f>+EJ351+EJ331</f>
        <v>735.09126369000001</v>
      </c>
      <c r="EK124" s="631">
        <f>+EK351+EK331</f>
        <v>783.48675955430008</v>
      </c>
      <c r="EL124" s="674">
        <f>SUM(EJ124:EK124)</f>
        <v>1518.5780232443001</v>
      </c>
      <c r="EM124" s="631">
        <f>+EM351+EM331</f>
        <v>769.80624301490002</v>
      </c>
      <c r="EN124" s="631">
        <f>+EN351+EN331</f>
        <v>820.68686360424317</v>
      </c>
      <c r="EO124" s="674">
        <f>SUM(EM124:EN124)</f>
        <v>1590.4931066191432</v>
      </c>
      <c r="EP124" s="631">
        <f>+EP351+EP331</f>
        <v>806.23657546744914</v>
      </c>
      <c r="EQ124" s="631">
        <f>+EQ351+EQ331</f>
        <v>859.72723051740559</v>
      </c>
      <c r="ER124" s="674">
        <f>SUM(EP124:EQ124)</f>
        <v>1665.9638059848548</v>
      </c>
      <c r="ES124" s="631">
        <f>+ES351+ES331</f>
        <v>844.46782474564361</v>
      </c>
      <c r="ET124" s="631">
        <f>+ET351+ET331</f>
        <v>900.69967601355575</v>
      </c>
      <c r="EU124" s="674">
        <f>SUM(ES124:ET124)</f>
        <v>1745.1675007591994</v>
      </c>
      <c r="EV124" s="631">
        <f>+EV351+EV331</f>
        <v>884.58983069279623</v>
      </c>
      <c r="EW124" s="631">
        <f>+EW351+EW331</f>
        <v>943.700604624216</v>
      </c>
      <c r="EX124" s="674">
        <f>SUM(EV124:EW124)</f>
        <v>1828.2904353170122</v>
      </c>
      <c r="EY124" s="631">
        <f>+EY351+EY331</f>
        <v>926.69692308440494</v>
      </c>
      <c r="EZ124" s="631">
        <f>+EZ351+EZ331</f>
        <v>988.83123911350924</v>
      </c>
      <c r="FA124" s="776">
        <f>SUM(EY124:EZ124)</f>
        <v>1915.5281621979143</v>
      </c>
      <c r="FB124" s="11"/>
      <c r="FC124" s="244"/>
      <c r="FD124" s="11"/>
      <c r="FE124" s="244"/>
      <c r="FF124" s="11"/>
      <c r="FG124" s="244"/>
      <c r="FI124" s="262"/>
      <c r="FQ124" s="262"/>
    </row>
    <row r="125" spans="1:184" s="256" customFormat="1" ht="13.35" customHeight="1">
      <c r="A125" s="760" t="s">
        <v>1003</v>
      </c>
      <c r="B125" s="256" t="s">
        <v>178</v>
      </c>
      <c r="C125" s="255"/>
      <c r="D125" s="250" t="s">
        <v>507</v>
      </c>
      <c r="E125" s="257"/>
      <c r="F125" s="257"/>
      <c r="G125" s="258"/>
      <c r="H125" s="257"/>
      <c r="I125" s="257"/>
      <c r="J125" s="258"/>
      <c r="K125" s="257"/>
      <c r="L125" s="257"/>
      <c r="M125" s="258"/>
      <c r="N125" s="257"/>
      <c r="O125" s="257"/>
      <c r="P125" s="258"/>
      <c r="Q125" s="257"/>
      <c r="R125" s="257"/>
      <c r="S125" s="258"/>
      <c r="T125" s="257"/>
      <c r="U125" s="257"/>
      <c r="V125" s="258"/>
      <c r="W125" s="257"/>
      <c r="X125" s="257"/>
      <c r="Y125" s="258"/>
      <c r="Z125" s="257"/>
      <c r="AA125" s="257"/>
      <c r="AB125" s="258"/>
      <c r="AC125" s="257"/>
      <c r="AD125" s="257"/>
      <c r="AE125" s="258"/>
      <c r="AF125" s="257"/>
      <c r="AG125" s="257"/>
      <c r="AH125" s="258"/>
      <c r="AI125" s="257"/>
      <c r="AJ125" s="257"/>
      <c r="AK125" s="258"/>
      <c r="AL125" s="257"/>
      <c r="AM125" s="257"/>
      <c r="AN125" s="258"/>
      <c r="AO125" s="257"/>
      <c r="AP125" s="257"/>
      <c r="AQ125" s="258"/>
      <c r="AR125" s="257"/>
      <c r="AS125" s="257"/>
      <c r="AT125" s="258"/>
      <c r="AU125" s="257"/>
      <c r="AV125" s="257"/>
      <c r="AW125" s="258"/>
      <c r="AX125" s="257"/>
      <c r="AY125" s="257"/>
      <c r="AZ125" s="255"/>
      <c r="BA125" s="257"/>
      <c r="BB125" s="257"/>
      <c r="BC125" s="255"/>
      <c r="BD125" s="257"/>
      <c r="BE125" s="257"/>
      <c r="BF125" s="255"/>
      <c r="BG125" s="257"/>
      <c r="BH125" s="257"/>
      <c r="BI125" s="255"/>
      <c r="BJ125" s="257"/>
      <c r="BK125" s="257"/>
      <c r="BL125" s="258"/>
      <c r="BM125" s="667"/>
      <c r="BN125" s="667"/>
      <c r="BO125" s="357"/>
      <c r="BP125" s="667"/>
      <c r="BQ125" s="667"/>
      <c r="BR125" s="357"/>
      <c r="BS125" s="667"/>
      <c r="BT125" s="667"/>
      <c r="BU125" s="668"/>
      <c r="BV125" s="667"/>
      <c r="BW125" s="667"/>
      <c r="BX125" s="357"/>
      <c r="BY125" s="667"/>
      <c r="BZ125" s="667"/>
      <c r="CA125" s="357"/>
      <c r="CB125" s="667"/>
      <c r="CC125" s="667"/>
      <c r="CD125" s="357"/>
      <c r="CE125" s="667"/>
      <c r="CF125" s="667"/>
      <c r="CG125" s="357"/>
      <c r="CH125" s="667"/>
      <c r="CI125" s="667"/>
      <c r="CJ125" s="357"/>
      <c r="CK125" s="667"/>
      <c r="CL125" s="667"/>
      <c r="CM125" s="357"/>
      <c r="CN125" s="667"/>
      <c r="CO125" s="667"/>
      <c r="CP125" s="357"/>
      <c r="CQ125" s="667"/>
      <c r="CR125" s="667"/>
      <c r="CS125" s="357"/>
      <c r="CT125" s="667"/>
      <c r="CU125" s="667"/>
      <c r="CV125" s="357"/>
      <c r="CW125" s="667"/>
      <c r="CX125" s="667"/>
      <c r="CY125" s="669"/>
      <c r="CZ125" s="670"/>
      <c r="DA125" s="670"/>
      <c r="DB125" s="669"/>
      <c r="DC125" s="670"/>
      <c r="DD125" s="670"/>
      <c r="DE125" s="780"/>
      <c r="DF125" s="670"/>
      <c r="DG125" s="670"/>
      <c r="DH125" s="780"/>
      <c r="DI125" s="832"/>
      <c r="DJ125" s="832"/>
      <c r="DK125" s="688"/>
      <c r="DL125" s="669">
        <f t="shared" ref="DL125:EC125" si="204">DL124/DI124-1</f>
        <v>0.10714285714285721</v>
      </c>
      <c r="DM125" s="669">
        <f t="shared" si="204"/>
        <v>0.1449704142011834</v>
      </c>
      <c r="DN125" s="688">
        <f t="shared" si="204"/>
        <v>0.12611275964391688</v>
      </c>
      <c r="DO125" s="669">
        <f t="shared" si="204"/>
        <v>0.12634408602150549</v>
      </c>
      <c r="DP125" s="669">
        <f t="shared" si="204"/>
        <v>2.067183462532296E-2</v>
      </c>
      <c r="DQ125" s="688">
        <f t="shared" si="204"/>
        <v>7.2463768115942129E-2</v>
      </c>
      <c r="DR125" s="669">
        <f t="shared" si="204"/>
        <v>6.2052505966587068E-2</v>
      </c>
      <c r="DS125" s="669">
        <f t="shared" si="204"/>
        <v>0.1088607594936708</v>
      </c>
      <c r="DT125" s="688">
        <f t="shared" si="204"/>
        <v>8.4766584766584829E-2</v>
      </c>
      <c r="DU125" s="669">
        <f t="shared" si="204"/>
        <v>0.15730337078651679</v>
      </c>
      <c r="DV125" s="669">
        <f>DV124/DS124-1</f>
        <v>0.22146118721461194</v>
      </c>
      <c r="DW125" s="688">
        <f>DW124/DT124-1</f>
        <v>0.18912797281993199</v>
      </c>
      <c r="DX125" s="669">
        <f t="shared" si="204"/>
        <v>3.3009708737864019E-2</v>
      </c>
      <c r="DY125" s="669">
        <f t="shared" si="204"/>
        <v>4.5289719626168345E-2</v>
      </c>
      <c r="DZ125" s="688">
        <f t="shared" si="204"/>
        <v>3.9266666666666783E-2</v>
      </c>
      <c r="EA125" s="669">
        <f t="shared" si="204"/>
        <v>0.10250000000000004</v>
      </c>
      <c r="EB125" s="669">
        <f t="shared" si="204"/>
        <v>0.1098408526008976</v>
      </c>
      <c r="EC125" s="688">
        <f t="shared" si="204"/>
        <v>0.10626201625688436</v>
      </c>
      <c r="ED125" s="669">
        <f t="shared" ref="ED125:EL125" si="205">ED124/EA124-1</f>
        <v>8.3144084701549881E-2</v>
      </c>
      <c r="EE125" s="669">
        <f t="shared" si="205"/>
        <v>8.6358783436178976E-2</v>
      </c>
      <c r="EF125" s="688">
        <f t="shared" si="205"/>
        <v>8.4796872694794523E-2</v>
      </c>
      <c r="EG125" s="669">
        <f t="shared" si="205"/>
        <v>8.5283506205370063E-2</v>
      </c>
      <c r="EH125" s="669">
        <f t="shared" si="205"/>
        <v>8.8469020189104297E-2</v>
      </c>
      <c r="EI125" s="688">
        <f t="shared" si="205"/>
        <v>8.6923647417682437E-2</v>
      </c>
      <c r="EJ125" s="669">
        <f t="shared" si="205"/>
        <v>6.6158063374931908E-2</v>
      </c>
      <c r="EK125" s="669">
        <f t="shared" si="205"/>
        <v>6.7557167391045558E-2</v>
      </c>
      <c r="EL125" s="688">
        <f t="shared" si="205"/>
        <v>6.6879451126210965E-2</v>
      </c>
      <c r="EM125" s="669">
        <f t="shared" ref="EM125:FA125" si="206">EM124/EJ124-1</f>
        <v>4.7225400490597869E-2</v>
      </c>
      <c r="EN125" s="669">
        <f t="shared" si="206"/>
        <v>4.748019490604416E-2</v>
      </c>
      <c r="EO125" s="688">
        <f t="shared" si="206"/>
        <v>4.7356857714299982E-2</v>
      </c>
      <c r="EP125" s="669">
        <f t="shared" si="206"/>
        <v>4.7324028329351897E-2</v>
      </c>
      <c r="EQ125" s="669">
        <f t="shared" si="206"/>
        <v>4.7570356788345869E-2</v>
      </c>
      <c r="ER125" s="688">
        <f t="shared" si="206"/>
        <v>4.745113264032752E-2</v>
      </c>
      <c r="ES125" s="669">
        <f t="shared" si="206"/>
        <v>4.7419393316444847E-2</v>
      </c>
      <c r="ET125" s="669">
        <f t="shared" si="206"/>
        <v>4.765749419323595E-2</v>
      </c>
      <c r="EU125" s="688">
        <f t="shared" si="206"/>
        <v>4.754226621839619E-2</v>
      </c>
      <c r="EV125" s="669">
        <f t="shared" si="206"/>
        <v>4.7511586316787646E-2</v>
      </c>
      <c r="EW125" s="669">
        <f t="shared" si="206"/>
        <v>4.7741694324771933E-2</v>
      </c>
      <c r="EX125" s="688">
        <f t="shared" si="206"/>
        <v>4.7630347529192374E-2</v>
      </c>
      <c r="EY125" s="669">
        <f t="shared" si="206"/>
        <v>4.7600696877366566E-2</v>
      </c>
      <c r="EZ125" s="669">
        <f t="shared" si="206"/>
        <v>4.7823042888972545E-2</v>
      </c>
      <c r="FA125" s="671">
        <f t="shared" si="206"/>
        <v>4.7715464236827154E-2</v>
      </c>
      <c r="FB125" s="13"/>
      <c r="FC125" s="672"/>
      <c r="FD125" s="13"/>
      <c r="FE125" s="672"/>
      <c r="FF125" s="13"/>
      <c r="FG125" s="672"/>
      <c r="FH125" s="263"/>
      <c r="FI125" s="263"/>
      <c r="FJ125" s="263"/>
      <c r="FK125" s="263"/>
      <c r="FL125" s="263"/>
      <c r="FM125" s="263"/>
      <c r="FN125" s="263"/>
      <c r="FO125" s="263"/>
      <c r="FP125" s="263"/>
      <c r="FQ125" s="263"/>
      <c r="FR125" s="263"/>
      <c r="FS125" s="263"/>
      <c r="FT125" s="263"/>
      <c r="FU125" s="263"/>
      <c r="FV125" s="263"/>
      <c r="FW125" s="263"/>
      <c r="FX125" s="263"/>
      <c r="FY125" s="263"/>
      <c r="FZ125" s="263"/>
      <c r="GA125" s="263"/>
      <c r="GB125" s="263"/>
    </row>
    <row r="126" spans="1:184" ht="13.35" customHeight="1">
      <c r="A126" s="760"/>
      <c r="C126" s="4"/>
      <c r="D126" s="250"/>
      <c r="E126" s="251"/>
      <c r="F126" s="251"/>
      <c r="G126" s="252"/>
      <c r="H126" s="251"/>
      <c r="I126" s="251"/>
      <c r="J126" s="252"/>
      <c r="K126" s="251"/>
      <c r="L126" s="251"/>
      <c r="M126" s="252"/>
      <c r="N126" s="251"/>
      <c r="O126" s="251"/>
      <c r="P126" s="252"/>
      <c r="Q126" s="251"/>
      <c r="R126" s="251"/>
      <c r="S126" s="252"/>
      <c r="T126" s="251"/>
      <c r="U126" s="251"/>
      <c r="V126" s="252"/>
      <c r="W126" s="251"/>
      <c r="X126" s="251"/>
      <c r="Y126" s="252"/>
      <c r="Z126" s="251"/>
      <c r="AA126" s="251"/>
      <c r="AB126" s="252"/>
      <c r="AC126" s="251"/>
      <c r="AD126" s="251"/>
      <c r="AE126" s="252"/>
      <c r="AF126" s="251"/>
      <c r="AG126" s="251"/>
      <c r="AH126" s="252"/>
      <c r="AI126" s="251"/>
      <c r="AJ126" s="251"/>
      <c r="AK126" s="252"/>
      <c r="AL126" s="251"/>
      <c r="AM126" s="251"/>
      <c r="AN126" s="252"/>
      <c r="AO126" s="251"/>
      <c r="AP126" s="251"/>
      <c r="AQ126" s="252"/>
      <c r="AR126" s="251"/>
      <c r="AS126" s="251"/>
      <c r="AT126" s="252"/>
      <c r="AU126" s="251"/>
      <c r="AV126" s="251"/>
      <c r="AW126" s="252"/>
      <c r="AX126" s="251"/>
      <c r="AY126" s="251"/>
      <c r="AZ126" s="4"/>
      <c r="BA126" s="251"/>
      <c r="BB126" s="251"/>
      <c r="BC126" s="4"/>
      <c r="BD126" s="251"/>
      <c r="BE126" s="251"/>
      <c r="BF126" s="4"/>
      <c r="BG126" s="251"/>
      <c r="BH126" s="251"/>
      <c r="BI126" s="4"/>
      <c r="BJ126" s="251"/>
      <c r="BK126" s="251"/>
      <c r="BL126" s="252"/>
      <c r="BM126" s="251"/>
      <c r="BN126" s="251"/>
      <c r="BO126" s="265"/>
      <c r="BP126" s="264"/>
      <c r="BQ126" s="264"/>
      <c r="BR126" s="265"/>
      <c r="BS126" s="264"/>
      <c r="BT126" s="264"/>
      <c r="BU126" s="266"/>
      <c r="BV126" s="264"/>
      <c r="BW126" s="264"/>
      <c r="BX126" s="265"/>
      <c r="BY126" s="264"/>
      <c r="BZ126" s="264"/>
      <c r="CA126" s="265"/>
      <c r="CB126" s="264"/>
      <c r="CC126" s="264"/>
      <c r="CD126" s="265"/>
      <c r="CE126" s="264"/>
      <c r="CF126" s="264"/>
      <c r="CG126" s="265"/>
      <c r="CH126" s="198"/>
      <c r="CI126" s="198"/>
      <c r="CJ126" s="265"/>
      <c r="CK126" s="198"/>
      <c r="CL126" s="198"/>
      <c r="CM126" s="253"/>
      <c r="CN126" s="198"/>
      <c r="CO126" s="198"/>
      <c r="CP126" s="265"/>
      <c r="CQ126" s="198"/>
      <c r="CR126" s="198"/>
      <c r="CS126" s="265"/>
      <c r="CT126" s="198"/>
      <c r="CU126" s="198"/>
      <c r="CV126" s="265"/>
      <c r="CW126" s="274"/>
      <c r="CX126" s="198"/>
      <c r="CY126" s="528"/>
      <c r="CZ126" s="489"/>
      <c r="DA126" s="489"/>
      <c r="DB126" s="528"/>
      <c r="DC126" s="489"/>
      <c r="DD126" s="489"/>
      <c r="DE126" s="782"/>
      <c r="DF126" s="489"/>
      <c r="DG126" s="489"/>
      <c r="DH126" s="782"/>
      <c r="DI126" s="489"/>
      <c r="DJ126" s="489"/>
      <c r="DK126" s="694"/>
      <c r="DL126" s="489"/>
      <c r="DM126" s="489"/>
      <c r="DN126" s="692"/>
      <c r="DO126" s="489"/>
      <c r="DP126" s="489"/>
      <c r="DQ126" s="692"/>
      <c r="DR126" s="489"/>
      <c r="DS126" s="489"/>
      <c r="DT126" s="692"/>
      <c r="DU126" s="489"/>
      <c r="DV126" s="489"/>
      <c r="DW126" s="692"/>
      <c r="DX126" s="489"/>
      <c r="DY126" s="489"/>
      <c r="DZ126" s="692"/>
      <c r="EA126" s="489"/>
      <c r="EB126" s="489"/>
      <c r="EC126" s="692"/>
      <c r="ED126" s="489"/>
      <c r="EE126" s="489"/>
      <c r="EF126" s="692"/>
      <c r="EG126" s="489"/>
      <c r="EH126" s="489"/>
      <c r="EI126" s="692"/>
      <c r="EJ126" s="489"/>
      <c r="EK126" s="489"/>
      <c r="EL126" s="692"/>
      <c r="EM126" s="489"/>
      <c r="EN126" s="489"/>
      <c r="EO126" s="692"/>
      <c r="EP126" s="489"/>
      <c r="EQ126" s="489"/>
      <c r="ER126" s="692"/>
      <c r="ES126" s="489"/>
      <c r="ET126" s="489"/>
      <c r="EU126" s="692"/>
      <c r="EV126" s="489"/>
      <c r="EW126" s="489"/>
      <c r="EX126" s="692"/>
      <c r="EY126" s="489"/>
      <c r="EZ126" s="489"/>
      <c r="FA126" s="527"/>
      <c r="FB126" s="11"/>
      <c r="FC126" s="11"/>
      <c r="FD126" s="11"/>
      <c r="FE126" s="11"/>
      <c r="FF126" s="11"/>
      <c r="FG126" s="11"/>
    </row>
    <row r="127" spans="1:184" ht="13.35" customHeight="1">
      <c r="A127" s="760"/>
      <c r="B127" s="177" t="s">
        <v>1066</v>
      </c>
      <c r="C127" s="4"/>
      <c r="D127" s="250"/>
      <c r="E127" s="251"/>
      <c r="F127" s="251"/>
      <c r="G127" s="252"/>
      <c r="H127" s="251"/>
      <c r="I127" s="251"/>
      <c r="J127" s="252"/>
      <c r="K127" s="251"/>
      <c r="L127" s="251"/>
      <c r="M127" s="252"/>
      <c r="N127" s="251"/>
      <c r="O127" s="251"/>
      <c r="P127" s="252"/>
      <c r="Q127" s="251"/>
      <c r="R127" s="251"/>
      <c r="S127" s="252"/>
      <c r="T127" s="251"/>
      <c r="U127" s="251"/>
      <c r="V127" s="252"/>
      <c r="W127" s="251"/>
      <c r="X127" s="251"/>
      <c r="Y127" s="252"/>
      <c r="Z127" s="251"/>
      <c r="AA127" s="251"/>
      <c r="AB127" s="252"/>
      <c r="AC127" s="251"/>
      <c r="AD127" s="251"/>
      <c r="AE127" s="252"/>
      <c r="AF127" s="251"/>
      <c r="AG127" s="251"/>
      <c r="AH127" s="252"/>
      <c r="AI127" s="251"/>
      <c r="AJ127" s="251"/>
      <c r="AK127" s="252"/>
      <c r="AL127" s="251"/>
      <c r="AM127" s="251"/>
      <c r="AN127" s="252"/>
      <c r="AO127" s="251"/>
      <c r="AP127" s="251"/>
      <c r="AQ127" s="252"/>
      <c r="AR127" s="251"/>
      <c r="AS127" s="251"/>
      <c r="AT127" s="252"/>
      <c r="AU127" s="251"/>
      <c r="AV127" s="251"/>
      <c r="AW127" s="252"/>
      <c r="AX127" s="251"/>
      <c r="AY127" s="251"/>
      <c r="AZ127" s="4"/>
      <c r="BA127" s="251"/>
      <c r="BB127" s="251"/>
      <c r="BC127" s="4"/>
      <c r="BD127" s="251"/>
      <c r="BE127" s="251"/>
      <c r="BF127" s="4"/>
      <c r="BG127" s="251"/>
      <c r="BH127" s="251"/>
      <c r="BI127" s="4"/>
      <c r="BJ127" s="251"/>
      <c r="BK127" s="251"/>
      <c r="BL127" s="252"/>
      <c r="BM127" s="251"/>
      <c r="BN127" s="251"/>
      <c r="BO127" s="265"/>
      <c r="BP127" s="264"/>
      <c r="BQ127" s="264"/>
      <c r="BR127" s="265"/>
      <c r="BS127" s="264"/>
      <c r="BT127" s="264"/>
      <c r="BU127" s="266"/>
      <c r="BV127" s="264"/>
      <c r="BW127" s="264"/>
      <c r="BX127" s="265"/>
      <c r="BY127" s="264"/>
      <c r="BZ127" s="264"/>
      <c r="CA127" s="265"/>
      <c r="CB127" s="264"/>
      <c r="CC127" s="264"/>
      <c r="CD127" s="265"/>
      <c r="CE127" s="264"/>
      <c r="CF127" s="264"/>
      <c r="CG127" s="265"/>
      <c r="CH127" s="198"/>
      <c r="CI127" s="198"/>
      <c r="CJ127" s="265"/>
      <c r="CK127" s="198"/>
      <c r="CL127" s="198"/>
      <c r="CM127" s="253"/>
      <c r="CN127" s="198"/>
      <c r="CO127" s="198"/>
      <c r="CP127" s="265"/>
      <c r="CQ127" s="198"/>
      <c r="CR127" s="198"/>
      <c r="CS127" s="265"/>
      <c r="CT127" s="198"/>
      <c r="CU127" s="198"/>
      <c r="CV127" s="265"/>
      <c r="CW127" s="274"/>
      <c r="CX127" s="198"/>
      <c r="CY127" s="528"/>
      <c r="CZ127" s="489"/>
      <c r="DA127" s="489"/>
      <c r="DB127" s="528"/>
      <c r="DC127" s="489"/>
      <c r="DD127" s="489"/>
      <c r="DE127" s="782"/>
      <c r="DF127" s="489"/>
      <c r="DG127" s="489"/>
      <c r="DH127" s="782"/>
      <c r="DI127" s="489"/>
      <c r="DJ127" s="489"/>
      <c r="DK127" s="694"/>
      <c r="DL127" s="489"/>
      <c r="DM127" s="489"/>
      <c r="DN127" s="692"/>
      <c r="DO127" s="489"/>
      <c r="DP127" s="489"/>
      <c r="DQ127" s="692"/>
      <c r="DR127" s="489"/>
      <c r="DS127" s="489"/>
      <c r="DT127" s="692"/>
      <c r="DU127" s="489"/>
      <c r="DV127" s="489"/>
      <c r="DW127" s="692"/>
      <c r="DX127" s="489"/>
      <c r="DY127" s="489"/>
      <c r="DZ127" s="692"/>
      <c r="EA127" s="489"/>
      <c r="EB127" s="489"/>
      <c r="EC127" s="692"/>
      <c r="ED127" s="489"/>
      <c r="EE127" s="489"/>
      <c r="EF127" s="692"/>
      <c r="EG127" s="489"/>
      <c r="EH127" s="489"/>
      <c r="EI127" s="692"/>
      <c r="EJ127" s="489"/>
      <c r="EK127" s="489"/>
      <c r="EL127" s="692"/>
      <c r="EM127" s="489"/>
      <c r="EN127" s="489"/>
      <c r="EO127" s="692"/>
      <c r="EP127" s="489"/>
      <c r="EQ127" s="489"/>
      <c r="ER127" s="692"/>
      <c r="ES127" s="489"/>
      <c r="ET127" s="489"/>
      <c r="EU127" s="692"/>
      <c r="EV127" s="489"/>
      <c r="EW127" s="489"/>
      <c r="EX127" s="692"/>
      <c r="EY127" s="489"/>
      <c r="EZ127" s="489"/>
      <c r="FA127" s="527"/>
      <c r="FB127" s="11"/>
      <c r="FC127" s="11"/>
      <c r="FD127" s="11"/>
      <c r="FE127" s="11"/>
      <c r="FF127" s="11"/>
      <c r="FG127" s="11"/>
    </row>
    <row r="128" spans="1:184" ht="13.35" customHeight="1">
      <c r="A128" s="760"/>
      <c r="C128" s="4"/>
      <c r="D128" s="250"/>
      <c r="E128" s="251"/>
      <c r="F128" s="251"/>
      <c r="G128" s="252"/>
      <c r="H128" s="251"/>
      <c r="I128" s="251"/>
      <c r="J128" s="252"/>
      <c r="K128" s="251"/>
      <c r="L128" s="251"/>
      <c r="M128" s="252"/>
      <c r="N128" s="251"/>
      <c r="O128" s="251"/>
      <c r="P128" s="252"/>
      <c r="Q128" s="251"/>
      <c r="R128" s="251"/>
      <c r="S128" s="252"/>
      <c r="T128" s="251"/>
      <c r="U128" s="251"/>
      <c r="V128" s="252"/>
      <c r="W128" s="251"/>
      <c r="X128" s="251"/>
      <c r="Y128" s="252"/>
      <c r="Z128" s="251"/>
      <c r="AA128" s="251"/>
      <c r="AB128" s="252"/>
      <c r="AC128" s="251"/>
      <c r="AD128" s="251"/>
      <c r="AE128" s="252"/>
      <c r="AF128" s="251"/>
      <c r="AG128" s="251"/>
      <c r="AH128" s="252"/>
      <c r="AI128" s="251"/>
      <c r="AJ128" s="251"/>
      <c r="AK128" s="252"/>
      <c r="AL128" s="251"/>
      <c r="AM128" s="251"/>
      <c r="AN128" s="252"/>
      <c r="AO128" s="251"/>
      <c r="AP128" s="251"/>
      <c r="AQ128" s="252"/>
      <c r="AR128" s="251"/>
      <c r="AS128" s="251"/>
      <c r="AT128" s="252"/>
      <c r="AU128" s="251"/>
      <c r="AV128" s="251"/>
      <c r="AW128" s="252"/>
      <c r="AX128" s="251"/>
      <c r="AY128" s="251"/>
      <c r="AZ128" s="4"/>
      <c r="BA128" s="251"/>
      <c r="BB128" s="251"/>
      <c r="BC128" s="4"/>
      <c r="BD128" s="251"/>
      <c r="BE128" s="251"/>
      <c r="BF128" s="4"/>
      <c r="BG128" s="251"/>
      <c r="BH128" s="251"/>
      <c r="BI128" s="4"/>
      <c r="BJ128" s="251"/>
      <c r="BK128" s="251"/>
      <c r="BL128" s="252"/>
      <c r="BM128" s="251"/>
      <c r="BN128" s="251"/>
      <c r="BO128" s="265"/>
      <c r="BP128" s="264"/>
      <c r="BQ128" s="264"/>
      <c r="BR128" s="265"/>
      <c r="BS128" s="264"/>
      <c r="BT128" s="264"/>
      <c r="BU128" s="266"/>
      <c r="BV128" s="264"/>
      <c r="BW128" s="264"/>
      <c r="BX128" s="265"/>
      <c r="BY128" s="264"/>
      <c r="BZ128" s="264"/>
      <c r="CA128" s="265"/>
      <c r="CB128" s="264"/>
      <c r="CC128" s="264"/>
      <c r="CD128" s="265"/>
      <c r="CE128" s="264"/>
      <c r="CF128" s="264"/>
      <c r="CG128" s="265"/>
      <c r="CH128" s="198"/>
      <c r="CI128" s="198"/>
      <c r="CJ128" s="265"/>
      <c r="CK128" s="198"/>
      <c r="CL128" s="198"/>
      <c r="CM128" s="253"/>
      <c r="CN128" s="198"/>
      <c r="CO128" s="198"/>
      <c r="CP128" s="265"/>
      <c r="CQ128" s="198"/>
      <c r="CR128" s="198"/>
      <c r="CS128" s="265"/>
      <c r="CT128" s="198"/>
      <c r="CU128" s="198"/>
      <c r="CV128" s="265"/>
      <c r="CW128" s="274"/>
      <c r="CX128" s="198"/>
      <c r="CY128" s="528"/>
      <c r="CZ128" s="489"/>
      <c r="DA128" s="489"/>
      <c r="DB128" s="528"/>
      <c r="DC128" s="489"/>
      <c r="DD128" s="489"/>
      <c r="DE128" s="782"/>
      <c r="DF128" s="489"/>
      <c r="DG128" s="489"/>
      <c r="DH128" s="782"/>
      <c r="DI128" s="489"/>
      <c r="DJ128" s="489"/>
      <c r="DK128" s="694"/>
      <c r="DL128" s="489"/>
      <c r="DM128" s="489"/>
      <c r="DN128" s="692"/>
      <c r="DO128" s="489"/>
      <c r="DP128" s="489"/>
      <c r="DQ128" s="692"/>
      <c r="DR128" s="489"/>
      <c r="DS128" s="489"/>
      <c r="DT128" s="692"/>
      <c r="DU128" s="489"/>
      <c r="DV128" s="489"/>
      <c r="DW128" s="692"/>
      <c r="DX128" s="489"/>
      <c r="DY128" s="489"/>
      <c r="DZ128" s="692"/>
      <c r="EA128" s="489"/>
      <c r="EB128" s="489"/>
      <c r="EC128" s="692"/>
      <c r="ED128" s="489"/>
      <c r="EE128" s="489"/>
      <c r="EF128" s="692"/>
      <c r="EG128" s="489"/>
      <c r="EH128" s="489"/>
      <c r="EI128" s="692"/>
      <c r="EJ128" s="489"/>
      <c r="EK128" s="489"/>
      <c r="EL128" s="692"/>
      <c r="EM128" s="489"/>
      <c r="EN128" s="489"/>
      <c r="EO128" s="692"/>
      <c r="EP128" s="489"/>
      <c r="EQ128" s="489"/>
      <c r="ER128" s="692"/>
      <c r="ES128" s="489"/>
      <c r="ET128" s="489"/>
      <c r="EU128" s="692"/>
      <c r="EV128" s="489"/>
      <c r="EW128" s="489"/>
      <c r="EX128" s="692"/>
      <c r="EY128" s="489"/>
      <c r="EZ128" s="489"/>
      <c r="FA128" s="527"/>
      <c r="FB128" s="11"/>
      <c r="FC128" s="11"/>
      <c r="FD128" s="11"/>
      <c r="FE128" s="11"/>
      <c r="FF128" s="11"/>
      <c r="FG128" s="11"/>
    </row>
    <row r="129" spans="1:184" ht="13.35" customHeight="1">
      <c r="A129" s="760"/>
      <c r="B129" s="177" t="s">
        <v>97</v>
      </c>
      <c r="C129" s="4"/>
      <c r="D129" s="250" t="s">
        <v>357</v>
      </c>
      <c r="E129" s="251"/>
      <c r="F129" s="251"/>
      <c r="G129" s="252"/>
      <c r="H129" s="251"/>
      <c r="I129" s="251"/>
      <c r="J129" s="252"/>
      <c r="K129" s="251"/>
      <c r="L129" s="251"/>
      <c r="M129" s="252"/>
      <c r="N129" s="251"/>
      <c r="O129" s="251"/>
      <c r="P129" s="252"/>
      <c r="Q129" s="251"/>
      <c r="R129" s="251"/>
      <c r="S129" s="252"/>
      <c r="T129" s="251"/>
      <c r="U129" s="251"/>
      <c r="V129" s="252"/>
      <c r="W129" s="251"/>
      <c r="X129" s="251"/>
      <c r="Y129" s="252"/>
      <c r="Z129" s="251"/>
      <c r="AA129" s="251"/>
      <c r="AB129" s="252"/>
      <c r="AC129" s="251"/>
      <c r="AD129" s="251"/>
      <c r="AE129" s="252"/>
      <c r="AF129" s="251"/>
      <c r="AG129" s="251"/>
      <c r="AH129" s="252"/>
      <c r="AI129" s="251"/>
      <c r="AJ129" s="251"/>
      <c r="AK129" s="252"/>
      <c r="AL129" s="251"/>
      <c r="AM129" s="251"/>
      <c r="AN129" s="252"/>
      <c r="AO129" s="251"/>
      <c r="AP129" s="251"/>
      <c r="AQ129" s="252"/>
      <c r="AR129" s="251"/>
      <c r="AS129" s="251"/>
      <c r="AT129" s="252"/>
      <c r="AU129" s="251"/>
      <c r="AV129" s="251"/>
      <c r="AW129" s="252"/>
      <c r="AX129" s="251"/>
      <c r="AY129" s="251"/>
      <c r="AZ129" s="4"/>
      <c r="BA129" s="251"/>
      <c r="BB129" s="251"/>
      <c r="BC129" s="4"/>
      <c r="BD129" s="251"/>
      <c r="BE129" s="251"/>
      <c r="BF129" s="4"/>
      <c r="BG129" s="198"/>
      <c r="BH129" s="198"/>
      <c r="BI129" s="79"/>
      <c r="BJ129" s="198"/>
      <c r="BK129" s="198"/>
      <c r="BL129" s="79"/>
      <c r="BM129" s="198"/>
      <c r="BN129" s="198"/>
      <c r="BO129" s="253"/>
      <c r="BP129" s="198"/>
      <c r="BQ129" s="198"/>
      <c r="BR129" s="253"/>
      <c r="BS129" s="198"/>
      <c r="BT129" s="198"/>
      <c r="BU129" s="254"/>
      <c r="BV129" s="198"/>
      <c r="BW129" s="198"/>
      <c r="BX129" s="253"/>
      <c r="BY129" s="198"/>
      <c r="BZ129" s="198"/>
      <c r="CA129" s="253"/>
      <c r="CB129" s="198"/>
      <c r="CC129" s="198"/>
      <c r="CD129" s="253"/>
      <c r="CE129" s="198"/>
      <c r="CF129" s="198"/>
      <c r="CG129" s="253"/>
      <c r="CH129" s="198"/>
      <c r="CI129" s="198"/>
      <c r="CJ129" s="253"/>
      <c r="CK129" s="198"/>
      <c r="CL129" s="198"/>
      <c r="CM129" s="253"/>
      <c r="CN129" s="198"/>
      <c r="CO129" s="198"/>
      <c r="CP129" s="253"/>
      <c r="CQ129" s="198"/>
      <c r="CR129" s="198"/>
      <c r="CS129" s="253"/>
      <c r="CT129" s="198"/>
      <c r="CU129" s="198"/>
      <c r="CV129" s="253"/>
      <c r="CW129" s="198"/>
      <c r="CX129" s="198"/>
      <c r="CY129" s="521"/>
      <c r="CZ129" s="489"/>
      <c r="DA129" s="489"/>
      <c r="DB129" s="521"/>
      <c r="DC129" s="489"/>
      <c r="DD129" s="489"/>
      <c r="DE129" s="779"/>
      <c r="DF129" s="489"/>
      <c r="DG129" s="489"/>
      <c r="DH129" s="779"/>
      <c r="DI129" s="631">
        <f>DI118+DI124</f>
        <v>4256.0256347644754</v>
      </c>
      <c r="DJ129" s="631">
        <f>DJ118+DJ124</f>
        <v>4171.1237854531682</v>
      </c>
      <c r="DK129" s="674">
        <f>SUM(DI129:DJ129)</f>
        <v>8427.1494202176436</v>
      </c>
      <c r="DL129" s="631">
        <f>DL118+DL124</f>
        <v>4135.749925876089</v>
      </c>
      <c r="DM129" s="631">
        <f>DM118+DM124</f>
        <v>4063.2780358459813</v>
      </c>
      <c r="DN129" s="674">
        <f>SUM(DL129:DM129)</f>
        <v>8199.0279617220694</v>
      </c>
      <c r="DO129" s="631">
        <f>DO118+DO124</f>
        <v>4336</v>
      </c>
      <c r="DP129" s="631">
        <f>DP118+DP124</f>
        <v>4472</v>
      </c>
      <c r="DQ129" s="674">
        <f>SUM(DO129:DP129)</f>
        <v>8808</v>
      </c>
      <c r="DR129" s="631">
        <f>DR118+DR124</f>
        <v>4996</v>
      </c>
      <c r="DS129" s="631">
        <f>DS118+DS124</f>
        <v>5132</v>
      </c>
      <c r="DT129" s="674">
        <f>SUM(DR129:DS129)</f>
        <v>10128</v>
      </c>
      <c r="DU129" s="631">
        <f>DU118+DU124</f>
        <v>5498</v>
      </c>
      <c r="DV129" s="631">
        <f>DV118+DV124</f>
        <v>5224.8</v>
      </c>
      <c r="DW129" s="674">
        <f>SUM(DU129:DV129)</f>
        <v>10722.8</v>
      </c>
      <c r="DX129" s="631">
        <f>DX118+DX124</f>
        <v>5214</v>
      </c>
      <c r="DY129" s="631">
        <f>DY118+DY124</f>
        <v>5914.2196661696617</v>
      </c>
      <c r="DZ129" s="674">
        <f>SUM(DX129:DY129)</f>
        <v>11128.219666169662</v>
      </c>
      <c r="EA129" s="631">
        <f>EA118+EA124</f>
        <v>5752.3418499384252</v>
      </c>
      <c r="EB129" s="631">
        <f>EB118+EB124</f>
        <v>6250.5930183309383</v>
      </c>
      <c r="EC129" s="674">
        <f>SUM(EA129:EB129)</f>
        <v>12002.934868269364</v>
      </c>
      <c r="ED129" s="631">
        <f>ED118+ED124</f>
        <v>6161.2334348241147</v>
      </c>
      <c r="EE129" s="631">
        <f>EE118+EE124</f>
        <v>6696.2800588974715</v>
      </c>
      <c r="EF129" s="674">
        <f>SUM(ED129:EE129)</f>
        <v>12857.513493721586</v>
      </c>
      <c r="EG129" s="631">
        <f>EG118+EG124</f>
        <v>6605.2874648056022</v>
      </c>
      <c r="EH129" s="631">
        <f>EH118+EH124</f>
        <v>7190.5317641992915</v>
      </c>
      <c r="EI129" s="674">
        <f>SUM(EG129:EH129)</f>
        <v>13795.819229004894</v>
      </c>
      <c r="EJ129" s="631">
        <f>EJ118+EJ124</f>
        <v>7069.9231156922588</v>
      </c>
      <c r="EK129" s="631">
        <f>EK118+EK124</f>
        <v>7729.736432899329</v>
      </c>
      <c r="EL129" s="674">
        <f>SUM(EJ129:EK129)</f>
        <v>14799.659548591588</v>
      </c>
      <c r="EM129" s="631">
        <f>EM118+EM124</f>
        <v>7519.8707740288301</v>
      </c>
      <c r="EN129" s="631">
        <f>EN118+EN124</f>
        <v>8194.9074774398414</v>
      </c>
      <c r="EO129" s="674">
        <f>SUM(EM129:EN129)</f>
        <v>15714.778251468671</v>
      </c>
      <c r="EP129" s="631">
        <f>EP118+EP124</f>
        <v>7988.1590534283869</v>
      </c>
      <c r="EQ129" s="631">
        <f>EQ118+EQ124</f>
        <v>8717.7443858708939</v>
      </c>
      <c r="ER129" s="674">
        <f>SUM(EP129:EQ129)</f>
        <v>16705.90343929928</v>
      </c>
      <c r="ES129" s="631">
        <f>ES118+ES124</f>
        <v>8499.249301007927</v>
      </c>
      <c r="ET129" s="631">
        <f>ET118+ET124</f>
        <v>9275.408565486232</v>
      </c>
      <c r="EU129" s="674">
        <f>SUM(ES129:ET129)</f>
        <v>17774.657866494159</v>
      </c>
      <c r="EV129" s="631">
        <f>EV118+EV124</f>
        <v>9044.4563873061015</v>
      </c>
      <c r="EW129" s="631">
        <f>EW118+EW124</f>
        <v>9870.2677989835192</v>
      </c>
      <c r="EX129" s="674">
        <f>SUM(EV129:EW129)</f>
        <v>18914.724186289619</v>
      </c>
      <c r="EY129" s="631">
        <f>EY118+EY124</f>
        <v>9626.1042941540036</v>
      </c>
      <c r="EZ129" s="631">
        <f>EZ118+EZ124</f>
        <v>10504.853398986514</v>
      </c>
      <c r="FA129" s="6">
        <f>SUM(EY129:EZ129)</f>
        <v>20130.957693140517</v>
      </c>
      <c r="FB129" s="11"/>
      <c r="FC129" s="244"/>
      <c r="FD129" s="11"/>
      <c r="FE129" s="244"/>
      <c r="FF129" s="11"/>
      <c r="FG129" s="244"/>
    </row>
    <row r="130" spans="1:184" s="256" customFormat="1" ht="13.35" customHeight="1">
      <c r="A130" s="990"/>
      <c r="B130" s="256" t="s">
        <v>178</v>
      </c>
      <c r="C130" s="255"/>
      <c r="D130" s="250" t="s">
        <v>507</v>
      </c>
      <c r="E130" s="257"/>
      <c r="F130" s="257"/>
      <c r="G130" s="258"/>
      <c r="H130" s="257"/>
      <c r="I130" s="257"/>
      <c r="J130" s="258"/>
      <c r="K130" s="257"/>
      <c r="L130" s="257"/>
      <c r="M130" s="258"/>
      <c r="N130" s="257"/>
      <c r="O130" s="257"/>
      <c r="P130" s="258"/>
      <c r="Q130" s="257"/>
      <c r="R130" s="257"/>
      <c r="S130" s="258"/>
      <c r="T130" s="257"/>
      <c r="U130" s="257"/>
      <c r="V130" s="258"/>
      <c r="W130" s="257"/>
      <c r="X130" s="257"/>
      <c r="Y130" s="258"/>
      <c r="Z130" s="257"/>
      <c r="AA130" s="257"/>
      <c r="AB130" s="258"/>
      <c r="AC130" s="257"/>
      <c r="AD130" s="257"/>
      <c r="AE130" s="258"/>
      <c r="AF130" s="257"/>
      <c r="AG130" s="257"/>
      <c r="AH130" s="258"/>
      <c r="AI130" s="257"/>
      <c r="AJ130" s="257"/>
      <c r="AK130" s="258"/>
      <c r="AL130" s="257"/>
      <c r="AM130" s="257"/>
      <c r="AN130" s="258"/>
      <c r="AO130" s="257"/>
      <c r="AP130" s="257"/>
      <c r="AQ130" s="258"/>
      <c r="AR130" s="257"/>
      <c r="AS130" s="257"/>
      <c r="AT130" s="258"/>
      <c r="AU130" s="257"/>
      <c r="AV130" s="257"/>
      <c r="AW130" s="258"/>
      <c r="AX130" s="257"/>
      <c r="AY130" s="257"/>
      <c r="AZ130" s="255"/>
      <c r="BA130" s="257"/>
      <c r="BB130" s="257"/>
      <c r="BC130" s="255"/>
      <c r="BD130" s="257"/>
      <c r="BE130" s="257"/>
      <c r="BF130" s="255"/>
      <c r="BG130" s="257"/>
      <c r="BH130" s="257"/>
      <c r="BI130" s="255"/>
      <c r="BJ130" s="257"/>
      <c r="BK130" s="257"/>
      <c r="BL130" s="258"/>
      <c r="BM130" s="667"/>
      <c r="BN130" s="667"/>
      <c r="BO130" s="357"/>
      <c r="BP130" s="667"/>
      <c r="BQ130" s="667"/>
      <c r="BR130" s="357"/>
      <c r="BS130" s="667"/>
      <c r="BT130" s="667"/>
      <c r="BU130" s="668"/>
      <c r="BV130" s="667"/>
      <c r="BW130" s="667"/>
      <c r="BX130" s="357"/>
      <c r="BY130" s="667"/>
      <c r="BZ130" s="667"/>
      <c r="CA130" s="357"/>
      <c r="CB130" s="667"/>
      <c r="CC130" s="667"/>
      <c r="CD130" s="357"/>
      <c r="CE130" s="667"/>
      <c r="CF130" s="667"/>
      <c r="CG130" s="357"/>
      <c r="CH130" s="667"/>
      <c r="CI130" s="667"/>
      <c r="CJ130" s="357"/>
      <c r="CK130" s="667"/>
      <c r="CL130" s="667"/>
      <c r="CM130" s="357"/>
      <c r="CN130" s="667"/>
      <c r="CO130" s="667"/>
      <c r="CP130" s="357"/>
      <c r="CQ130" s="667"/>
      <c r="CR130" s="667"/>
      <c r="CS130" s="357"/>
      <c r="CT130" s="667"/>
      <c r="CU130" s="667"/>
      <c r="CV130" s="357"/>
      <c r="CW130" s="667"/>
      <c r="CX130" s="667"/>
      <c r="CY130" s="669"/>
      <c r="CZ130" s="670"/>
      <c r="DA130" s="670"/>
      <c r="DB130" s="669"/>
      <c r="DC130" s="670"/>
      <c r="DD130" s="670"/>
      <c r="DE130" s="780"/>
      <c r="DF130" s="670"/>
      <c r="DG130" s="670"/>
      <c r="DH130" s="780"/>
      <c r="DI130" s="832"/>
      <c r="DJ130" s="832"/>
      <c r="DK130" s="688"/>
      <c r="DL130" s="669">
        <f t="shared" ref="DL130:DZ130" si="207">DL129/DI129-1</f>
        <v>-2.8260099729178978E-2</v>
      </c>
      <c r="DM130" s="669">
        <f t="shared" si="207"/>
        <v>-2.5855322247519963E-2</v>
      </c>
      <c r="DN130" s="688">
        <f t="shared" si="207"/>
        <v>-2.7069824815053822E-2</v>
      </c>
      <c r="DO130" s="669">
        <f t="shared" si="207"/>
        <v>4.8419289781282293E-2</v>
      </c>
      <c r="DP130" s="669">
        <f t="shared" si="207"/>
        <v>0.10058921898730522</v>
      </c>
      <c r="DQ130" s="688">
        <f t="shared" si="207"/>
        <v>7.4273687212798034E-2</v>
      </c>
      <c r="DR130" s="669">
        <f t="shared" si="207"/>
        <v>0.15221402214022151</v>
      </c>
      <c r="DS130" s="669">
        <f t="shared" si="207"/>
        <v>0.14758497316636854</v>
      </c>
      <c r="DT130" s="688">
        <f t="shared" si="207"/>
        <v>0.14986376021798375</v>
      </c>
      <c r="DU130" s="669">
        <f t="shared" si="207"/>
        <v>0.10048038430744599</v>
      </c>
      <c r="DV130" s="669">
        <f>DV129/DS129-1</f>
        <v>1.808261886204221E-2</v>
      </c>
      <c r="DW130" s="688">
        <f>DW129/DT129-1</f>
        <v>5.8728278041074278E-2</v>
      </c>
      <c r="DX130" s="669">
        <f t="shared" si="207"/>
        <v>-5.1655147326300499E-2</v>
      </c>
      <c r="DY130" s="669">
        <f t="shared" si="207"/>
        <v>0.131951398363509</v>
      </c>
      <c r="DZ130" s="688">
        <f t="shared" si="207"/>
        <v>3.7809123192604766E-2</v>
      </c>
      <c r="EA130" s="669">
        <f t="shared" ref="EA130:EF130" si="208">EA129/DX129-1</f>
        <v>0.10324929994983223</v>
      </c>
      <c r="EB130" s="669">
        <f t="shared" si="208"/>
        <v>5.6875356538646837E-2</v>
      </c>
      <c r="EC130" s="688">
        <f t="shared" si="208"/>
        <v>7.8603337132073348E-2</v>
      </c>
      <c r="ED130" s="669">
        <f t="shared" si="208"/>
        <v>7.1082629571131317E-2</v>
      </c>
      <c r="EE130" s="669">
        <f t="shared" si="208"/>
        <v>7.1303161037597373E-2</v>
      </c>
      <c r="EF130" s="688">
        <f t="shared" si="208"/>
        <v>7.1197472520771798E-2</v>
      </c>
      <c r="EG130" s="669">
        <f t="shared" ref="EG130:EL130" si="209">EG129/ED129-1</f>
        <v>7.2072261938922022E-2</v>
      </c>
      <c r="EH130" s="669">
        <f t="shared" si="209"/>
        <v>7.3809891604682543E-2</v>
      </c>
      <c r="EI130" s="688">
        <f t="shared" si="209"/>
        <v>7.2977231230711093E-2</v>
      </c>
      <c r="EJ130" s="669">
        <f t="shared" si="209"/>
        <v>7.0342987093648279E-2</v>
      </c>
      <c r="EK130" s="669">
        <f t="shared" si="209"/>
        <v>7.4988149191505649E-2</v>
      </c>
      <c r="EL130" s="688">
        <f t="shared" si="209"/>
        <v>7.2764096348564733E-2</v>
      </c>
      <c r="EM130" s="669">
        <f t="shared" ref="EM130:FA130" si="210">EM129/EJ129-1</f>
        <v>6.3642510812865316E-2</v>
      </c>
      <c r="EN130" s="669">
        <f t="shared" si="210"/>
        <v>6.0179418610012414E-2</v>
      </c>
      <c r="EO130" s="688">
        <f t="shared" si="210"/>
        <v>6.1833767180419441E-2</v>
      </c>
      <c r="EP130" s="669">
        <f t="shared" si="210"/>
        <v>6.2273447705627039E-2</v>
      </c>
      <c r="EQ130" s="669">
        <f t="shared" si="210"/>
        <v>6.3800221036100169E-2</v>
      </c>
      <c r="ER130" s="688">
        <f t="shared" si="210"/>
        <v>6.3069626053296579E-2</v>
      </c>
      <c r="ES130" s="669">
        <f t="shared" si="210"/>
        <v>6.3980980368710583E-2</v>
      </c>
      <c r="ET130" s="669">
        <f t="shared" si="210"/>
        <v>6.3968861087411621E-2</v>
      </c>
      <c r="EU130" s="688">
        <f t="shared" si="210"/>
        <v>6.3974656089578641E-2</v>
      </c>
      <c r="EV130" s="669">
        <f t="shared" si="210"/>
        <v>6.4147675516885716E-2</v>
      </c>
      <c r="EW130" s="669">
        <f t="shared" si="210"/>
        <v>6.4132941346730199E-2</v>
      </c>
      <c r="EX130" s="688">
        <f t="shared" si="210"/>
        <v>6.4139986736089227E-2</v>
      </c>
      <c r="EY130" s="669">
        <f t="shared" si="210"/>
        <v>6.430988021173345E-2</v>
      </c>
      <c r="EZ130" s="669">
        <f t="shared" si="210"/>
        <v>6.4292642603714034E-2</v>
      </c>
      <c r="FA130" s="671">
        <f t="shared" si="210"/>
        <v>6.4300885113222517E-2</v>
      </c>
      <c r="FB130" s="13"/>
      <c r="FC130" s="672"/>
      <c r="FD130" s="13"/>
      <c r="FE130" s="672"/>
      <c r="FF130" s="13"/>
      <c r="FG130" s="672"/>
      <c r="FH130" s="263"/>
      <c r="FI130" s="263"/>
      <c r="FJ130" s="263"/>
      <c r="FK130" s="263"/>
      <c r="FL130" s="263"/>
      <c r="FM130" s="263"/>
      <c r="FN130" s="263"/>
      <c r="FO130" s="263"/>
      <c r="FP130" s="263"/>
      <c r="FQ130" s="263"/>
      <c r="FR130" s="263"/>
      <c r="FS130" s="263"/>
      <c r="FT130" s="263"/>
      <c r="FU130" s="263"/>
      <c r="FV130" s="263"/>
      <c r="FW130" s="263"/>
      <c r="FX130" s="263"/>
      <c r="FY130" s="263"/>
      <c r="FZ130" s="263"/>
      <c r="GA130" s="263"/>
      <c r="GB130" s="263"/>
    </row>
    <row r="131" spans="1:184" s="256" customFormat="1" ht="13.35" customHeight="1">
      <c r="A131" s="990"/>
      <c r="C131" s="255"/>
      <c r="D131" s="250"/>
      <c r="E131" s="257"/>
      <c r="F131" s="257"/>
      <c r="G131" s="258"/>
      <c r="H131" s="257"/>
      <c r="I131" s="257"/>
      <c r="J131" s="258"/>
      <c r="K131" s="257"/>
      <c r="L131" s="257"/>
      <c r="M131" s="258"/>
      <c r="N131" s="257"/>
      <c r="O131" s="257"/>
      <c r="P131" s="258"/>
      <c r="Q131" s="257"/>
      <c r="R131" s="257"/>
      <c r="S131" s="258"/>
      <c r="T131" s="257"/>
      <c r="U131" s="257"/>
      <c r="V131" s="258"/>
      <c r="W131" s="257"/>
      <c r="X131" s="257"/>
      <c r="Y131" s="258"/>
      <c r="Z131" s="257"/>
      <c r="AA131" s="257"/>
      <c r="AB131" s="258"/>
      <c r="AC131" s="257"/>
      <c r="AD131" s="257"/>
      <c r="AE131" s="258"/>
      <c r="AF131" s="257"/>
      <c r="AG131" s="257"/>
      <c r="AH131" s="258"/>
      <c r="AI131" s="257"/>
      <c r="AJ131" s="257"/>
      <c r="AK131" s="258"/>
      <c r="AL131" s="257"/>
      <c r="AM131" s="257"/>
      <c r="AN131" s="258"/>
      <c r="AO131" s="257"/>
      <c r="AP131" s="257"/>
      <c r="AQ131" s="258"/>
      <c r="AR131" s="257"/>
      <c r="AS131" s="257"/>
      <c r="AT131" s="258"/>
      <c r="AU131" s="257"/>
      <c r="AV131" s="257"/>
      <c r="AW131" s="258"/>
      <c r="AX131" s="257"/>
      <c r="AY131" s="257"/>
      <c r="AZ131" s="255"/>
      <c r="BA131" s="257"/>
      <c r="BB131" s="257"/>
      <c r="BC131" s="255"/>
      <c r="BD131" s="257"/>
      <c r="BE131" s="257"/>
      <c r="BF131" s="255"/>
      <c r="BG131" s="257"/>
      <c r="BH131" s="257"/>
      <c r="BI131" s="255"/>
      <c r="BJ131" s="257"/>
      <c r="BK131" s="257"/>
      <c r="BL131" s="258"/>
      <c r="BM131" s="667"/>
      <c r="BN131" s="667"/>
      <c r="BO131" s="357"/>
      <c r="BP131" s="667"/>
      <c r="BQ131" s="667"/>
      <c r="BR131" s="357"/>
      <c r="BS131" s="667"/>
      <c r="BT131" s="667"/>
      <c r="BU131" s="668"/>
      <c r="BV131" s="667"/>
      <c r="BW131" s="667"/>
      <c r="BX131" s="357"/>
      <c r="BY131" s="667"/>
      <c r="BZ131" s="667"/>
      <c r="CA131" s="357"/>
      <c r="CB131" s="667"/>
      <c r="CC131" s="667"/>
      <c r="CD131" s="357"/>
      <c r="CE131" s="667"/>
      <c r="CF131" s="667"/>
      <c r="CG131" s="357"/>
      <c r="CH131" s="667"/>
      <c r="CI131" s="667"/>
      <c r="CJ131" s="357"/>
      <c r="CK131" s="667"/>
      <c r="CL131" s="667"/>
      <c r="CM131" s="357"/>
      <c r="CN131" s="667"/>
      <c r="CO131" s="667"/>
      <c r="CP131" s="357"/>
      <c r="CQ131" s="667"/>
      <c r="CR131" s="667"/>
      <c r="CS131" s="357"/>
      <c r="CT131" s="667"/>
      <c r="CU131" s="667"/>
      <c r="CV131" s="357"/>
      <c r="CW131" s="667"/>
      <c r="CX131" s="667"/>
      <c r="CY131" s="669"/>
      <c r="CZ131" s="670"/>
      <c r="DA131" s="670"/>
      <c r="DB131" s="669"/>
      <c r="DC131" s="670"/>
      <c r="DD131" s="670"/>
      <c r="DE131" s="780"/>
      <c r="DF131" s="670"/>
      <c r="DG131" s="670"/>
      <c r="DH131" s="780"/>
      <c r="DI131" s="670"/>
      <c r="DJ131" s="670"/>
      <c r="DK131" s="688"/>
      <c r="DL131" s="669"/>
      <c r="DM131" s="669"/>
      <c r="DN131" s="688"/>
      <c r="DO131" s="669"/>
      <c r="DP131" s="669"/>
      <c r="DQ131" s="688"/>
      <c r="DR131" s="669"/>
      <c r="DS131" s="669"/>
      <c r="DT131" s="688"/>
      <c r="DU131" s="669"/>
      <c r="DV131" s="669"/>
      <c r="DW131" s="688"/>
      <c r="DX131" s="669"/>
      <c r="DY131" s="669"/>
      <c r="DZ131" s="688"/>
      <c r="EA131" s="669"/>
      <c r="EB131" s="669"/>
      <c r="EC131" s="688"/>
      <c r="ED131" s="669"/>
      <c r="EE131" s="669"/>
      <c r="EF131" s="688"/>
      <c r="EG131" s="669"/>
      <c r="EH131" s="669"/>
      <c r="EI131" s="688"/>
      <c r="EJ131" s="669"/>
      <c r="EK131" s="669"/>
      <c r="EL131" s="688"/>
      <c r="EM131" s="669"/>
      <c r="EN131" s="669"/>
      <c r="EO131" s="688"/>
      <c r="EP131" s="669"/>
      <c r="EQ131" s="669"/>
      <c r="ER131" s="688"/>
      <c r="ES131" s="669"/>
      <c r="ET131" s="669"/>
      <c r="EU131" s="688"/>
      <c r="EV131" s="669"/>
      <c r="EW131" s="669"/>
      <c r="EX131" s="688"/>
      <c r="EY131" s="669"/>
      <c r="EZ131" s="669"/>
      <c r="FA131" s="671"/>
      <c r="FB131" s="13"/>
      <c r="FC131" s="672"/>
      <c r="FD131" s="13"/>
      <c r="FE131" s="672"/>
      <c r="FF131" s="13"/>
      <c r="FG131" s="672"/>
      <c r="FH131" s="263"/>
      <c r="FI131" s="263"/>
      <c r="FJ131" s="263"/>
      <c r="FK131" s="263"/>
      <c r="FL131" s="263"/>
      <c r="FM131" s="263"/>
      <c r="FN131" s="263"/>
      <c r="FO131" s="263"/>
      <c r="FP131" s="263"/>
      <c r="FQ131" s="263"/>
      <c r="FR131" s="263"/>
      <c r="FS131" s="263"/>
      <c r="FT131" s="263"/>
      <c r="FU131" s="263"/>
      <c r="FV131" s="263"/>
      <c r="FW131" s="263"/>
      <c r="FX131" s="263"/>
      <c r="FY131" s="263"/>
      <c r="FZ131" s="263"/>
      <c r="GA131" s="263"/>
      <c r="GB131" s="263"/>
    </row>
    <row r="132" spans="1:184" s="218" customFormat="1" ht="13.35" customHeight="1">
      <c r="A132" s="989"/>
      <c r="B132" s="277" t="s">
        <v>359</v>
      </c>
      <c r="C132" s="277"/>
      <c r="D132" s="246"/>
      <c r="E132" s="278"/>
      <c r="F132" s="278"/>
      <c r="G132" s="279"/>
      <c r="H132" s="278"/>
      <c r="I132" s="278"/>
      <c r="J132" s="279"/>
      <c r="K132" s="278"/>
      <c r="L132" s="278"/>
      <c r="M132" s="279"/>
      <c r="N132" s="278"/>
      <c r="O132" s="278"/>
      <c r="P132" s="279"/>
      <c r="Q132" s="278"/>
      <c r="R132" s="278"/>
      <c r="S132" s="279"/>
      <c r="T132" s="278"/>
      <c r="U132" s="278"/>
      <c r="V132" s="279"/>
      <c r="W132" s="278"/>
      <c r="X132" s="278"/>
      <c r="Y132" s="279"/>
      <c r="Z132" s="278"/>
      <c r="AA132" s="278"/>
      <c r="AB132" s="279"/>
      <c r="AC132" s="278"/>
      <c r="AD132" s="278"/>
      <c r="AE132" s="279"/>
      <c r="AF132" s="278"/>
      <c r="AG132" s="278"/>
      <c r="AH132" s="279"/>
      <c r="AI132" s="278"/>
      <c r="AJ132" s="278"/>
      <c r="AK132" s="279"/>
      <c r="AL132" s="278"/>
      <c r="AM132" s="278"/>
      <c r="AN132" s="279"/>
      <c r="AO132" s="247"/>
      <c r="AP132" s="247"/>
      <c r="AQ132" s="279"/>
      <c r="AR132" s="278"/>
      <c r="AS132" s="278"/>
      <c r="AT132" s="279"/>
      <c r="AU132" s="278"/>
      <c r="AV132" s="278"/>
      <c r="AW132" s="279"/>
      <c r="AX132" s="278"/>
      <c r="AY132" s="278"/>
      <c r="AZ132" s="5"/>
      <c r="BA132" s="278"/>
      <c r="BB132" s="278"/>
      <c r="BC132" s="5"/>
      <c r="BD132" s="278"/>
      <c r="BE132" s="278"/>
      <c r="BF132" s="5"/>
      <c r="BG132" s="278"/>
      <c r="BH132" s="278"/>
      <c r="BI132" s="5"/>
      <c r="BJ132" s="278"/>
      <c r="BK132" s="278"/>
      <c r="BL132" s="279"/>
      <c r="BM132" s="280"/>
      <c r="BN132" s="280"/>
      <c r="BO132" s="280"/>
      <c r="BP132" s="280"/>
      <c r="BQ132" s="280"/>
      <c r="BR132" s="280"/>
      <c r="BS132" s="280"/>
      <c r="BT132" s="280"/>
      <c r="BU132" s="281"/>
      <c r="BV132" s="280"/>
      <c r="BW132" s="280"/>
      <c r="BX132" s="280"/>
      <c r="BY132" s="280"/>
      <c r="BZ132" s="280"/>
      <c r="CA132" s="280"/>
      <c r="CB132" s="280"/>
      <c r="CC132" s="280"/>
      <c r="CD132" s="280"/>
      <c r="CE132" s="280"/>
      <c r="CF132" s="280"/>
      <c r="CG132" s="280"/>
      <c r="CH132" s="280"/>
      <c r="CI132" s="280"/>
      <c r="CJ132" s="280"/>
      <c r="CK132" s="280"/>
      <c r="CL132" s="280"/>
      <c r="CM132" s="280"/>
      <c r="CN132" s="280"/>
      <c r="CO132" s="280"/>
      <c r="CP132" s="280"/>
      <c r="CQ132" s="280"/>
      <c r="CR132" s="280"/>
      <c r="CS132" s="280"/>
      <c r="CT132" s="280"/>
      <c r="CU132" s="280"/>
      <c r="CV132" s="280"/>
      <c r="CW132" s="280"/>
      <c r="CX132" s="280"/>
      <c r="CY132" s="280"/>
      <c r="CZ132" s="280"/>
      <c r="DA132" s="280"/>
      <c r="DB132" s="280"/>
      <c r="DC132" s="280"/>
      <c r="DD132" s="280"/>
      <c r="DE132" s="785"/>
      <c r="DF132" s="280"/>
      <c r="DG132" s="280"/>
      <c r="DH132" s="785"/>
      <c r="DI132" s="540" t="str">
        <f t="shared" ref="DI132:EU132" si="211">DI102</f>
        <v>1h21</v>
      </c>
      <c r="DJ132" s="540" t="str">
        <f t="shared" si="211"/>
        <v>2h21</v>
      </c>
      <c r="DK132" s="695" t="str">
        <f t="shared" si="211"/>
        <v>2021</v>
      </c>
      <c r="DL132" s="540" t="str">
        <f t="shared" si="211"/>
        <v>1h22</v>
      </c>
      <c r="DM132" s="540" t="str">
        <f t="shared" si="211"/>
        <v>2h22</v>
      </c>
      <c r="DN132" s="695" t="str">
        <f t="shared" si="211"/>
        <v>2022</v>
      </c>
      <c r="DO132" s="540" t="str">
        <f t="shared" si="211"/>
        <v>1h23</v>
      </c>
      <c r="DP132" s="540" t="str">
        <f t="shared" si="211"/>
        <v>2h23</v>
      </c>
      <c r="DQ132" s="695" t="str">
        <f t="shared" si="211"/>
        <v>2023</v>
      </c>
      <c r="DR132" s="540" t="str">
        <f t="shared" si="211"/>
        <v>1h24</v>
      </c>
      <c r="DS132" s="540" t="str">
        <f t="shared" si="211"/>
        <v>2h24</v>
      </c>
      <c r="DT132" s="695" t="str">
        <f t="shared" si="211"/>
        <v>2024</v>
      </c>
      <c r="DU132" s="540" t="str">
        <f t="shared" si="211"/>
        <v>1h25</v>
      </c>
      <c r="DV132" s="540" t="str">
        <f>DV102</f>
        <v>2h25</v>
      </c>
      <c r="DW132" s="695" t="str">
        <f>DW102</f>
        <v>2025</v>
      </c>
      <c r="DX132" s="540" t="str">
        <f t="shared" ref="DX132" si="212">DX102</f>
        <v>1h26</v>
      </c>
      <c r="DY132" s="540" t="str">
        <f t="shared" si="211"/>
        <v>2h26E</v>
      </c>
      <c r="DZ132" s="695" t="str">
        <f t="shared" si="211"/>
        <v>2026E</v>
      </c>
      <c r="EA132" s="540" t="str">
        <f t="shared" si="211"/>
        <v>1h27E</v>
      </c>
      <c r="EB132" s="540" t="str">
        <f t="shared" si="211"/>
        <v>2h27E</v>
      </c>
      <c r="EC132" s="695" t="str">
        <f t="shared" si="211"/>
        <v>2027E</v>
      </c>
      <c r="ED132" s="540" t="str">
        <f t="shared" si="211"/>
        <v>1h28E</v>
      </c>
      <c r="EE132" s="540" t="str">
        <f t="shared" si="211"/>
        <v>2h28E</v>
      </c>
      <c r="EF132" s="695" t="str">
        <f t="shared" si="211"/>
        <v>2028E</v>
      </c>
      <c r="EG132" s="540" t="str">
        <f t="shared" si="211"/>
        <v>1h29E</v>
      </c>
      <c r="EH132" s="540" t="str">
        <f t="shared" si="211"/>
        <v>2h29E</v>
      </c>
      <c r="EI132" s="695" t="str">
        <f t="shared" si="211"/>
        <v>2029E</v>
      </c>
      <c r="EJ132" s="540" t="str">
        <f t="shared" si="211"/>
        <v>1h30E</v>
      </c>
      <c r="EK132" s="540" t="str">
        <f t="shared" si="211"/>
        <v>2h30E</v>
      </c>
      <c r="EL132" s="695" t="str">
        <f t="shared" si="211"/>
        <v>2030E</v>
      </c>
      <c r="EM132" s="540" t="str">
        <f t="shared" si="211"/>
        <v>1h31E</v>
      </c>
      <c r="EN132" s="540" t="str">
        <f t="shared" si="211"/>
        <v>2h31E</v>
      </c>
      <c r="EO132" s="695" t="str">
        <f t="shared" si="211"/>
        <v>2031E</v>
      </c>
      <c r="EP132" s="540" t="str">
        <f t="shared" si="211"/>
        <v>1h32E</v>
      </c>
      <c r="EQ132" s="540" t="str">
        <f t="shared" si="211"/>
        <v>2h32E</v>
      </c>
      <c r="ER132" s="695" t="str">
        <f t="shared" si="211"/>
        <v>2032E</v>
      </c>
      <c r="ES132" s="540" t="str">
        <f t="shared" si="211"/>
        <v>1h33E</v>
      </c>
      <c r="ET132" s="540" t="str">
        <f t="shared" si="211"/>
        <v>2h33E</v>
      </c>
      <c r="EU132" s="695" t="str">
        <f t="shared" si="211"/>
        <v>2033E</v>
      </c>
      <c r="EV132" s="540" t="str">
        <f t="shared" ref="EV132:FA132" si="213">EV102</f>
        <v>1h34E</v>
      </c>
      <c r="EW132" s="540" t="str">
        <f t="shared" si="213"/>
        <v>2h34E</v>
      </c>
      <c r="EX132" s="695" t="str">
        <f t="shared" si="213"/>
        <v>2034E</v>
      </c>
      <c r="EY132" s="540" t="str">
        <f t="shared" si="213"/>
        <v>1h35E</v>
      </c>
      <c r="EZ132" s="540" t="str">
        <f t="shared" si="213"/>
        <v>2h35E</v>
      </c>
      <c r="FA132" s="540" t="str">
        <f t="shared" si="213"/>
        <v>2035E</v>
      </c>
      <c r="FB132" s="217"/>
      <c r="FC132" s="217"/>
      <c r="FD132" s="217"/>
      <c r="FE132" s="217"/>
      <c r="FF132" s="217"/>
      <c r="FG132" s="217"/>
      <c r="FH132" s="217"/>
      <c r="FI132" s="217"/>
      <c r="FJ132" s="217"/>
      <c r="FK132" s="217"/>
      <c r="FL132" s="217"/>
      <c r="FM132" s="217"/>
      <c r="FN132" s="217"/>
      <c r="FO132" s="217"/>
      <c r="FP132" s="217"/>
      <c r="FQ132" s="217"/>
      <c r="FR132" s="217"/>
      <c r="FS132" s="217"/>
      <c r="FT132" s="217"/>
      <c r="FU132" s="217"/>
      <c r="FV132" s="217"/>
      <c r="FW132" s="217"/>
      <c r="FX132" s="217"/>
      <c r="FY132" s="217"/>
      <c r="FZ132" s="217"/>
      <c r="GA132" s="217"/>
      <c r="GB132" s="217"/>
    </row>
    <row r="133" spans="1:184" ht="13.35" customHeight="1">
      <c r="A133" s="760"/>
      <c r="B133" s="4" t="s">
        <v>862</v>
      </c>
      <c r="C133" s="4"/>
      <c r="D133" s="250" t="s">
        <v>678</v>
      </c>
      <c r="E133" s="251"/>
      <c r="F133" s="251"/>
      <c r="G133" s="252"/>
      <c r="H133" s="251"/>
      <c r="I133" s="251"/>
      <c r="J133" s="252"/>
      <c r="K133" s="251"/>
      <c r="L133" s="251"/>
      <c r="M133" s="252"/>
      <c r="N133" s="251"/>
      <c r="O133" s="251"/>
      <c r="P133" s="252"/>
      <c r="Q133" s="251"/>
      <c r="R133" s="251"/>
      <c r="S133" s="252"/>
      <c r="T133" s="251"/>
      <c r="U133" s="251"/>
      <c r="V133" s="252"/>
      <c r="W133" s="251"/>
      <c r="X133" s="251"/>
      <c r="Y133" s="252"/>
      <c r="Z133" s="251"/>
      <c r="AA133" s="251"/>
      <c r="AB133" s="252"/>
      <c r="AC133" s="251"/>
      <c r="AD133" s="251"/>
      <c r="AE133" s="252"/>
      <c r="AF133" s="251"/>
      <c r="AG133" s="251"/>
      <c r="AH133" s="252"/>
      <c r="AI133" s="251"/>
      <c r="AJ133" s="251"/>
      <c r="AK133" s="252"/>
      <c r="AL133" s="251"/>
      <c r="AM133" s="251"/>
      <c r="AN133" s="252"/>
      <c r="AO133" s="251"/>
      <c r="AP133" s="251"/>
      <c r="AQ133" s="252"/>
      <c r="AR133" s="251"/>
      <c r="AS133" s="251"/>
      <c r="AT133" s="252"/>
      <c r="AU133" s="251"/>
      <c r="AV133" s="251"/>
      <c r="AW133" s="252"/>
      <c r="AX133" s="251"/>
      <c r="AY133" s="251"/>
      <c r="AZ133" s="4"/>
      <c r="BA133" s="251"/>
      <c r="BB133" s="251"/>
      <c r="BC133" s="4"/>
      <c r="BD133" s="198"/>
      <c r="BE133" s="198"/>
      <c r="BF133" s="79"/>
      <c r="BG133" s="198"/>
      <c r="BH133" s="198"/>
      <c r="BI133" s="79"/>
      <c r="BJ133" s="198"/>
      <c r="BK133" s="198"/>
      <c r="BL133" s="79"/>
      <c r="BM133" s="198"/>
      <c r="BN133" s="198"/>
      <c r="BO133" s="79"/>
      <c r="BP133" s="251"/>
      <c r="BQ133" s="251"/>
      <c r="BR133" s="132"/>
      <c r="BS133" s="282"/>
      <c r="BT133" s="251"/>
      <c r="BU133" s="283"/>
      <c r="BV133" s="198"/>
      <c r="BW133" s="198"/>
      <c r="BX133" s="79"/>
      <c r="BY133" s="198"/>
      <c r="BZ133" s="198"/>
      <c r="CA133" s="79"/>
      <c r="CB133" s="198"/>
      <c r="CC133" s="198"/>
      <c r="CD133" s="79"/>
      <c r="CE133" s="198"/>
      <c r="CF133" s="198"/>
      <c r="CG133" s="79"/>
      <c r="CH133" s="198"/>
      <c r="CI133" s="198"/>
      <c r="CJ133" s="79"/>
      <c r="CK133" s="198"/>
      <c r="CL133" s="198"/>
      <c r="CM133" s="79"/>
      <c r="CN133" s="198"/>
      <c r="CO133" s="198"/>
      <c r="CP133" s="79"/>
      <c r="CQ133" s="198"/>
      <c r="CR133" s="198"/>
      <c r="CS133" s="79"/>
      <c r="CT133" s="198"/>
      <c r="CU133" s="198"/>
      <c r="CV133" s="79"/>
      <c r="CW133" s="198"/>
      <c r="CX133" s="198"/>
      <c r="CY133" s="488"/>
      <c r="CZ133" s="489"/>
      <c r="DA133" s="489"/>
      <c r="DB133" s="488"/>
      <c r="DC133" s="489"/>
      <c r="DD133" s="489"/>
      <c r="DE133" s="783"/>
      <c r="DF133" s="489"/>
      <c r="DG133" s="489"/>
      <c r="DH133" s="783"/>
      <c r="DI133" s="747">
        <v>8.221896624578795</v>
      </c>
      <c r="DJ133" s="747">
        <v>7.5974050448674273</v>
      </c>
      <c r="DK133" s="696">
        <v>15.819301669446222</v>
      </c>
      <c r="DL133" s="747">
        <v>6.7246184675386917</v>
      </c>
      <c r="DM133" s="747">
        <v>6.454920644434627</v>
      </c>
      <c r="DN133" s="696">
        <f>SUM(DL133:DM133)</f>
        <v>13.17953911197332</v>
      </c>
      <c r="DO133" s="747">
        <v>7.5850930546580289</v>
      </c>
      <c r="DP133" s="747">
        <v>8.3306458500969338</v>
      </c>
      <c r="DQ133" s="696">
        <f>SUM(DO133:DP133)</f>
        <v>15.915738904754964</v>
      </c>
      <c r="DR133" s="747">
        <v>8.8087504476907128</v>
      </c>
      <c r="DS133" s="488">
        <f>DR133*(1+DS134)</f>
        <v>9.8658005014135988</v>
      </c>
      <c r="DT133" s="696">
        <f>SUM(DR133:DS133)</f>
        <v>18.674550949104312</v>
      </c>
      <c r="DU133" s="747">
        <v>10.642206893880619</v>
      </c>
      <c r="DV133" s="488">
        <f>DU133*(1+DV134)</f>
        <v>11.919271721146295</v>
      </c>
      <c r="DW133" s="696">
        <f>SUM(DU133:DV133)</f>
        <v>22.561478615026914</v>
      </c>
      <c r="DX133" s="1885">
        <v>10.642206893880619</v>
      </c>
      <c r="DY133" s="488">
        <f>(1+DY134)*DV133</f>
        <v>12.753620741626536</v>
      </c>
      <c r="DZ133" s="696">
        <f>SUM(DX133:DY133)</f>
        <v>23.395827635507153</v>
      </c>
      <c r="EA133" s="488">
        <f>(1+EA134)*DX133</f>
        <v>11.387161376452264</v>
      </c>
      <c r="EB133" s="488">
        <f>(1+EB134)*DY133</f>
        <v>13.646374193540394</v>
      </c>
      <c r="EC133" s="696">
        <f>SUM(EA133:EB133)</f>
        <v>25.033535569992658</v>
      </c>
      <c r="ED133" s="488">
        <f>(1+ED134)*EA133</f>
        <v>12.184262672803923</v>
      </c>
      <c r="EE133" s="488">
        <f>(1+EE134)*EB133</f>
        <v>14.601620387088223</v>
      </c>
      <c r="EF133" s="696">
        <f>SUM(ED133:EE133)</f>
        <v>26.785883059892146</v>
      </c>
      <c r="EG133" s="488">
        <f>(1+EG134)*ED133</f>
        <v>13.037161059900198</v>
      </c>
      <c r="EH133" s="488">
        <f>(1+EH134)*EE133</f>
        <v>15.6237338141844</v>
      </c>
      <c r="EI133" s="696">
        <f>SUM(EG133:EH133)</f>
        <v>28.660894874084597</v>
      </c>
      <c r="EJ133" s="488">
        <f>(1+EJ134)*EG133</f>
        <v>13.949762334093213</v>
      </c>
      <c r="EK133" s="488">
        <f>(1+EK134)*EH133</f>
        <v>16.717395181177309</v>
      </c>
      <c r="EL133" s="696">
        <f>SUM(EJ133:EK133)</f>
        <v>30.667157515270524</v>
      </c>
      <c r="EM133" s="488">
        <f>(1+EM134)*EJ133</f>
        <v>14.92624569747974</v>
      </c>
      <c r="EN133" s="488">
        <f>(1+EN134)*EK133</f>
        <v>17.887612843859721</v>
      </c>
      <c r="EO133" s="696">
        <f>SUM(EM133:EN133)</f>
        <v>32.813858541339457</v>
      </c>
      <c r="EP133" s="488">
        <f>(1+EP134)*EM133</f>
        <v>15.971082896303322</v>
      </c>
      <c r="EQ133" s="488">
        <f>(1+EQ134)*EN133</f>
        <v>19.139745742929904</v>
      </c>
      <c r="ER133" s="696">
        <f>SUM(EP133:EQ133)</f>
        <v>35.110828639233226</v>
      </c>
      <c r="ES133" s="488">
        <f>(1+ES134)*EP133</f>
        <v>17.089058699044557</v>
      </c>
      <c r="ET133" s="488">
        <f>(1+ET134)*EQ133</f>
        <v>20.479527944934997</v>
      </c>
      <c r="EU133" s="696">
        <f>SUM(ES133:ET133)</f>
        <v>37.568586643979557</v>
      </c>
      <c r="EV133" s="488">
        <f>(1+EV134)*ES133</f>
        <v>18.285292807977676</v>
      </c>
      <c r="EW133" s="488">
        <f>(1+EW134)*ET133</f>
        <v>21.913094901080449</v>
      </c>
      <c r="EX133" s="696">
        <f>SUM(EV133:EW133)</f>
        <v>40.198387709058125</v>
      </c>
      <c r="EY133" s="488">
        <f>(1+EY134)*EV133</f>
        <v>19.565263304536114</v>
      </c>
      <c r="EZ133" s="488">
        <f>(1+EZ134)*EW133</f>
        <v>23.44701154415608</v>
      </c>
      <c r="FA133" s="536">
        <f>SUM(EY133:EZ133)</f>
        <v>43.012274848692194</v>
      </c>
    </row>
    <row r="134" spans="1:184" ht="13.35" customHeight="1">
      <c r="A134" s="22"/>
      <c r="B134" s="4" t="s">
        <v>178</v>
      </c>
      <c r="C134" s="4"/>
      <c r="D134" s="250" t="s">
        <v>507</v>
      </c>
      <c r="E134" s="251"/>
      <c r="F134" s="251"/>
      <c r="G134" s="252"/>
      <c r="H134" s="251"/>
      <c r="I134" s="251"/>
      <c r="J134" s="252"/>
      <c r="K134" s="251"/>
      <c r="L134" s="251"/>
      <c r="M134" s="252"/>
      <c r="N134" s="251"/>
      <c r="O134" s="251"/>
      <c r="P134" s="252"/>
      <c r="Q134" s="251"/>
      <c r="R134" s="251"/>
      <c r="S134" s="252"/>
      <c r="T134" s="251"/>
      <c r="U134" s="251"/>
      <c r="V134" s="252"/>
      <c r="W134" s="251"/>
      <c r="X134" s="251"/>
      <c r="Y134" s="252"/>
      <c r="Z134" s="251"/>
      <c r="AA134" s="251"/>
      <c r="AB134" s="252"/>
      <c r="AC134" s="251"/>
      <c r="AD134" s="251"/>
      <c r="AE134" s="252"/>
      <c r="AF134" s="251"/>
      <c r="AG134" s="251"/>
      <c r="AH134" s="252"/>
      <c r="AI134" s="251"/>
      <c r="AJ134" s="251"/>
      <c r="AK134" s="252"/>
      <c r="AL134" s="251"/>
      <c r="AM134" s="251"/>
      <c r="AN134" s="252"/>
      <c r="AO134" s="251"/>
      <c r="AP134" s="251"/>
      <c r="AQ134" s="252"/>
      <c r="AR134" s="251"/>
      <c r="AS134" s="251"/>
      <c r="AT134" s="252"/>
      <c r="AU134" s="251"/>
      <c r="AV134" s="251"/>
      <c r="AW134" s="252"/>
      <c r="AX134" s="251"/>
      <c r="AY134" s="251"/>
      <c r="AZ134" s="4"/>
      <c r="BA134" s="251"/>
      <c r="BB134" s="251"/>
      <c r="BC134" s="4"/>
      <c r="BD134" s="198"/>
      <c r="BE134" s="198"/>
      <c r="BF134" s="79"/>
      <c r="BG134" s="198"/>
      <c r="BH134" s="198"/>
      <c r="BI134" s="79"/>
      <c r="BJ134" s="198"/>
      <c r="BK134" s="198"/>
      <c r="BL134" s="79"/>
      <c r="BM134" s="198"/>
      <c r="BN134" s="198"/>
      <c r="BO134" s="79"/>
      <c r="BP134" s="284"/>
      <c r="BQ134" s="284"/>
      <c r="BR134" s="66"/>
      <c r="BS134" s="284"/>
      <c r="BT134" s="284"/>
      <c r="BU134" s="285"/>
      <c r="BV134" s="286"/>
      <c r="BW134" s="286"/>
      <c r="BX134" s="287"/>
      <c r="BY134" s="286"/>
      <c r="BZ134" s="286"/>
      <c r="CA134" s="287"/>
      <c r="CB134" s="286"/>
      <c r="CC134" s="286"/>
      <c r="CD134" s="287"/>
      <c r="CE134" s="286"/>
      <c r="CF134" s="286"/>
      <c r="CG134" s="287"/>
      <c r="CH134" s="286"/>
      <c r="CI134" s="286"/>
      <c r="CJ134" s="287"/>
      <c r="CK134" s="284"/>
      <c r="CL134" s="284"/>
      <c r="CM134" s="66"/>
      <c r="CN134" s="284"/>
      <c r="CO134" s="284"/>
      <c r="CP134" s="66"/>
      <c r="CQ134" s="284"/>
      <c r="CR134" s="284"/>
      <c r="CS134" s="66"/>
      <c r="CT134" s="284"/>
      <c r="CU134" s="284"/>
      <c r="CV134" s="66"/>
      <c r="CW134" s="284"/>
      <c r="CX134" s="284"/>
      <c r="CY134" s="306"/>
      <c r="CZ134" s="305"/>
      <c r="DA134" s="305"/>
      <c r="DB134" s="306"/>
      <c r="DC134" s="305"/>
      <c r="DD134" s="305"/>
      <c r="DE134" s="786"/>
      <c r="DF134" s="305"/>
      <c r="DG134" s="305"/>
      <c r="DH134" s="786"/>
      <c r="DI134" s="541">
        <v>3.3999999999999808E-2</v>
      </c>
      <c r="DJ134" s="541">
        <v>-6.0000000000000053E-2</v>
      </c>
      <c r="DK134" s="697">
        <v>-1.3383417775149731E-2</v>
      </c>
      <c r="DL134" s="541">
        <f t="shared" ref="DL134:DX134" si="214">DL133/DI133-1</f>
        <v>-0.18210860892656966</v>
      </c>
      <c r="DM134" s="541">
        <f t="shared" si="214"/>
        <v>-0.15037824016038581</v>
      </c>
      <c r="DN134" s="697">
        <f t="shared" si="214"/>
        <v>-0.166869727414795</v>
      </c>
      <c r="DO134" s="541">
        <f t="shared" si="214"/>
        <v>0.12795887101596159</v>
      </c>
      <c r="DP134" s="541">
        <f t="shared" si="214"/>
        <v>0.29058842222631198</v>
      </c>
      <c r="DQ134" s="697">
        <f t="shared" si="214"/>
        <v>0.20760967204808156</v>
      </c>
      <c r="DR134" s="541">
        <f t="shared" si="214"/>
        <v>0.16132397904877815</v>
      </c>
      <c r="DS134" s="746">
        <v>0.12</v>
      </c>
      <c r="DT134" s="697">
        <f t="shared" si="214"/>
        <v>0.17333860908745669</v>
      </c>
      <c r="DU134" s="541">
        <f t="shared" si="214"/>
        <v>0.208140355102302</v>
      </c>
      <c r="DV134" s="746">
        <v>0.12</v>
      </c>
      <c r="DW134" s="697">
        <f>DW133/DT133-1</f>
        <v>0.208140355102302</v>
      </c>
      <c r="DX134" s="541">
        <f t="shared" si="214"/>
        <v>0</v>
      </c>
      <c r="DY134" s="746">
        <v>7.0000000000000007E-2</v>
      </c>
      <c r="DZ134" s="697">
        <f>DZ133/DW133-1</f>
        <v>3.6981132075471601E-2</v>
      </c>
      <c r="EA134" s="541">
        <f>DY134</f>
        <v>7.0000000000000007E-2</v>
      </c>
      <c r="EB134" s="541">
        <f>EA134</f>
        <v>7.0000000000000007E-2</v>
      </c>
      <c r="EC134" s="697">
        <f>EC133/DZ133-1</f>
        <v>7.0000000000000062E-2</v>
      </c>
      <c r="ED134" s="541">
        <f>EA134</f>
        <v>7.0000000000000007E-2</v>
      </c>
      <c r="EE134" s="541">
        <f>ED134</f>
        <v>7.0000000000000007E-2</v>
      </c>
      <c r="EF134" s="697">
        <f>EF133/EC133-1</f>
        <v>7.0000000000000062E-2</v>
      </c>
      <c r="EG134" s="746">
        <v>7.0000000000000007E-2</v>
      </c>
      <c r="EH134" s="541">
        <f>EG134</f>
        <v>7.0000000000000007E-2</v>
      </c>
      <c r="EI134" s="697">
        <f>EI133/EF133-1</f>
        <v>7.0000000000000062E-2</v>
      </c>
      <c r="EJ134" s="541">
        <f>EG134</f>
        <v>7.0000000000000007E-2</v>
      </c>
      <c r="EK134" s="541">
        <f>EJ134</f>
        <v>7.0000000000000007E-2</v>
      </c>
      <c r="EL134" s="697">
        <f>EL133/EI133-1</f>
        <v>7.0000000000000284E-2</v>
      </c>
      <c r="EM134" s="541">
        <f>EJ134</f>
        <v>7.0000000000000007E-2</v>
      </c>
      <c r="EN134" s="541">
        <f>EM134</f>
        <v>7.0000000000000007E-2</v>
      </c>
      <c r="EO134" s="697">
        <f>EO133/EL133-1</f>
        <v>6.999999999999984E-2</v>
      </c>
      <c r="EP134" s="541">
        <f>EM134</f>
        <v>7.0000000000000007E-2</v>
      </c>
      <c r="EQ134" s="541">
        <f>EP134</f>
        <v>7.0000000000000007E-2</v>
      </c>
      <c r="ER134" s="697">
        <f>ER133/EO133-1</f>
        <v>7.0000000000000284E-2</v>
      </c>
      <c r="ES134" s="541">
        <f>EP134</f>
        <v>7.0000000000000007E-2</v>
      </c>
      <c r="ET134" s="541">
        <f>ES134</f>
        <v>7.0000000000000007E-2</v>
      </c>
      <c r="EU134" s="697">
        <f>EU133/ER133-1</f>
        <v>7.0000000000000062E-2</v>
      </c>
      <c r="EV134" s="541">
        <f>ES134</f>
        <v>7.0000000000000007E-2</v>
      </c>
      <c r="EW134" s="541">
        <f>EV134</f>
        <v>7.0000000000000007E-2</v>
      </c>
      <c r="EX134" s="697">
        <f>EX133/EU133-1</f>
        <v>6.999999999999984E-2</v>
      </c>
      <c r="EY134" s="541">
        <f>EV134</f>
        <v>7.0000000000000007E-2</v>
      </c>
      <c r="EZ134" s="541">
        <f>EY134</f>
        <v>7.0000000000000007E-2</v>
      </c>
      <c r="FA134" s="542">
        <f>FA133/EX133-1</f>
        <v>7.0000000000000062E-2</v>
      </c>
    </row>
    <row r="135" spans="1:184" ht="13.35" customHeight="1">
      <c r="A135" s="22"/>
      <c r="B135" s="4"/>
      <c r="C135" s="4"/>
      <c r="D135" s="250"/>
      <c r="E135" s="251"/>
      <c r="F135" s="251"/>
      <c r="G135" s="252"/>
      <c r="H135" s="251"/>
      <c r="I135" s="251"/>
      <c r="J135" s="252"/>
      <c r="K135" s="251"/>
      <c r="L135" s="251"/>
      <c r="M135" s="252"/>
      <c r="N135" s="251"/>
      <c r="O135" s="251"/>
      <c r="P135" s="252"/>
      <c r="Q135" s="251"/>
      <c r="R135" s="251"/>
      <c r="S135" s="252"/>
      <c r="T135" s="251"/>
      <c r="U135" s="251"/>
      <c r="V135" s="252"/>
      <c r="W135" s="251"/>
      <c r="X135" s="251"/>
      <c r="Y135" s="252"/>
      <c r="Z135" s="251"/>
      <c r="AA135" s="251"/>
      <c r="AB135" s="252"/>
      <c r="AC135" s="251"/>
      <c r="AD135" s="251"/>
      <c r="AE135" s="252"/>
      <c r="AF135" s="251"/>
      <c r="AG135" s="251"/>
      <c r="AH135" s="252"/>
      <c r="AI135" s="251"/>
      <c r="AJ135" s="251"/>
      <c r="AK135" s="252"/>
      <c r="AL135" s="251"/>
      <c r="AM135" s="251"/>
      <c r="AN135" s="252"/>
      <c r="AO135" s="251"/>
      <c r="AP135" s="251"/>
      <c r="AQ135" s="252"/>
      <c r="AR135" s="251"/>
      <c r="AS135" s="251"/>
      <c r="AT135" s="252"/>
      <c r="AU135" s="251"/>
      <c r="AV135" s="251"/>
      <c r="AW135" s="252"/>
      <c r="AX135" s="251"/>
      <c r="AY135" s="251"/>
      <c r="AZ135" s="4"/>
      <c r="BA135" s="251"/>
      <c r="BB135" s="251"/>
      <c r="BC135" s="4"/>
      <c r="BD135" s="198"/>
      <c r="BE135" s="198"/>
      <c r="BF135" s="79"/>
      <c r="BG135" s="198"/>
      <c r="BH135" s="198"/>
      <c r="BI135" s="79"/>
      <c r="BJ135" s="198"/>
      <c r="BK135" s="198"/>
      <c r="BL135" s="79"/>
      <c r="BM135" s="198"/>
      <c r="BN135" s="198"/>
      <c r="BO135" s="79"/>
      <c r="BP135" s="284"/>
      <c r="BQ135" s="284"/>
      <c r="BR135" s="66"/>
      <c r="BS135" s="284"/>
      <c r="BT135" s="284"/>
      <c r="BU135" s="285"/>
      <c r="BV135" s="286"/>
      <c r="BW135" s="286"/>
      <c r="BX135" s="287"/>
      <c r="BY135" s="286"/>
      <c r="BZ135" s="286"/>
      <c r="CA135" s="287"/>
      <c r="CB135" s="286"/>
      <c r="CC135" s="286"/>
      <c r="CD135" s="287"/>
      <c r="CE135" s="286"/>
      <c r="CF135" s="286"/>
      <c r="CG135" s="287"/>
      <c r="CH135" s="286"/>
      <c r="CI135" s="286"/>
      <c r="CJ135" s="287"/>
      <c r="CK135" s="284"/>
      <c r="CL135" s="284"/>
      <c r="CM135" s="66"/>
      <c r="CN135" s="284"/>
      <c r="CO135" s="284"/>
      <c r="CP135" s="66"/>
      <c r="CQ135" s="284"/>
      <c r="CR135" s="284"/>
      <c r="CS135" s="66"/>
      <c r="CT135" s="284"/>
      <c r="CU135" s="284"/>
      <c r="CV135" s="66"/>
      <c r="CW135" s="284"/>
      <c r="CX135" s="284"/>
      <c r="CY135" s="306"/>
      <c r="CZ135" s="305"/>
      <c r="DA135" s="305"/>
      <c r="DB135" s="306"/>
      <c r="DC135" s="305"/>
      <c r="DD135" s="305"/>
      <c r="DE135" s="786"/>
      <c r="DF135" s="305"/>
      <c r="DG135" s="305"/>
      <c r="DH135" s="786"/>
      <c r="DI135" s="541"/>
      <c r="DJ135" s="541"/>
      <c r="DK135" s="697"/>
      <c r="DL135" s="541"/>
      <c r="DM135" s="541"/>
      <c r="DN135" s="697"/>
      <c r="DO135" s="541"/>
      <c r="DP135" s="541"/>
      <c r="DQ135" s="697"/>
      <c r="DR135" s="541"/>
      <c r="DS135" s="541"/>
      <c r="DT135" s="697"/>
      <c r="DU135" s="541"/>
      <c r="DV135" s="541"/>
      <c r="DW135" s="697"/>
      <c r="DX135" s="541"/>
      <c r="DY135" s="543"/>
      <c r="DZ135" s="697"/>
      <c r="EA135" s="544"/>
      <c r="EB135" s="544"/>
      <c r="EC135" s="697"/>
      <c r="ED135" s="544"/>
      <c r="EE135" s="544"/>
      <c r="EF135" s="697"/>
      <c r="EG135" s="544"/>
      <c r="EH135" s="544"/>
      <c r="EI135" s="697"/>
      <c r="EJ135" s="544"/>
      <c r="EK135" s="544"/>
      <c r="EL135" s="697"/>
      <c r="EM135" s="544"/>
      <c r="EN135" s="544"/>
      <c r="EO135" s="697"/>
      <c r="EP135" s="544"/>
      <c r="EQ135" s="544"/>
      <c r="ER135" s="697"/>
      <c r="ES135" s="544"/>
      <c r="ET135" s="544"/>
      <c r="EU135" s="697"/>
      <c r="EV135" s="544"/>
      <c r="EW135" s="544"/>
      <c r="EX135" s="697"/>
      <c r="EY135" s="544"/>
      <c r="EZ135" s="544"/>
      <c r="FA135" s="542"/>
    </row>
    <row r="136" spans="1:184" ht="13.15" customHeight="1">
      <c r="A136" s="760"/>
      <c r="B136" s="288" t="s">
        <v>381</v>
      </c>
      <c r="C136" s="289"/>
      <c r="D136" s="290"/>
      <c r="E136" s="251"/>
      <c r="F136" s="251"/>
      <c r="G136" s="252"/>
      <c r="H136" s="251"/>
      <c r="I136" s="251"/>
      <c r="J136" s="252"/>
      <c r="K136" s="251"/>
      <c r="L136" s="251"/>
      <c r="M136" s="252"/>
      <c r="N136" s="251"/>
      <c r="O136" s="251"/>
      <c r="P136" s="252"/>
      <c r="Q136" s="251"/>
      <c r="R136" s="251"/>
      <c r="S136" s="252"/>
      <c r="T136" s="251"/>
      <c r="U136" s="251"/>
      <c r="V136" s="252"/>
      <c r="W136" s="251"/>
      <c r="X136" s="251"/>
      <c r="Y136" s="252"/>
      <c r="Z136" s="251"/>
      <c r="AA136" s="251"/>
      <c r="AB136" s="252"/>
      <c r="AC136" s="251"/>
      <c r="AD136" s="251"/>
      <c r="AE136" s="252"/>
      <c r="AF136" s="251"/>
      <c r="AG136" s="251"/>
      <c r="AH136" s="252"/>
      <c r="AI136" s="251"/>
      <c r="AJ136" s="251"/>
      <c r="AK136" s="252"/>
      <c r="AL136" s="251"/>
      <c r="AM136" s="251"/>
      <c r="AN136" s="252"/>
      <c r="AO136" s="291"/>
      <c r="AP136" s="291"/>
      <c r="AQ136" s="252"/>
      <c r="AR136" s="251"/>
      <c r="AS136" s="251"/>
      <c r="AT136" s="252"/>
      <c r="AU136" s="251"/>
      <c r="AV136" s="251"/>
      <c r="AW136" s="252"/>
      <c r="AX136" s="251"/>
      <c r="AY136" s="251"/>
      <c r="AZ136" s="252"/>
      <c r="BA136" s="251"/>
      <c r="BB136" s="251"/>
      <c r="BC136" s="252"/>
      <c r="BD136" s="251"/>
      <c r="BE136" s="251"/>
      <c r="BF136" s="252"/>
      <c r="BG136" s="251"/>
      <c r="BH136" s="251"/>
      <c r="BI136" s="252"/>
      <c r="BJ136" s="251"/>
      <c r="BK136" s="251"/>
      <c r="BL136" s="252"/>
      <c r="BM136" s="280"/>
      <c r="BN136" s="280"/>
      <c r="BO136" s="280"/>
      <c r="BP136" s="280"/>
      <c r="BQ136" s="280"/>
      <c r="BR136" s="280"/>
      <c r="BS136" s="280"/>
      <c r="BT136" s="280"/>
      <c r="BU136" s="281"/>
      <c r="BV136" s="280"/>
      <c r="BW136" s="280"/>
      <c r="BX136" s="280"/>
      <c r="BY136" s="280"/>
      <c r="BZ136" s="280"/>
      <c r="CA136" s="280"/>
      <c r="CB136" s="280"/>
      <c r="CC136" s="280"/>
      <c r="CD136" s="280"/>
      <c r="CE136" s="280"/>
      <c r="CF136" s="280"/>
      <c r="CG136" s="280"/>
      <c r="CH136" s="280"/>
      <c r="CI136" s="280"/>
      <c r="CJ136" s="280"/>
      <c r="CK136" s="280"/>
      <c r="CL136" s="280"/>
      <c r="CM136" s="280"/>
      <c r="CN136" s="280"/>
      <c r="CO136" s="280"/>
      <c r="CP136" s="280"/>
      <c r="CQ136" s="280"/>
      <c r="CR136" s="280"/>
      <c r="CS136" s="280"/>
      <c r="CT136" s="280"/>
      <c r="CU136" s="280"/>
      <c r="CV136" s="280"/>
      <c r="CW136" s="280"/>
      <c r="CX136" s="280"/>
      <c r="CY136" s="280"/>
      <c r="CZ136" s="280"/>
      <c r="DA136" s="280"/>
      <c r="DB136" s="280"/>
      <c r="DC136" s="280"/>
      <c r="DD136" s="280"/>
      <c r="DE136" s="785"/>
      <c r="DF136" s="280"/>
      <c r="DG136" s="280"/>
      <c r="DH136" s="785"/>
      <c r="DI136" s="540" t="str">
        <f t="shared" ref="DI136:EU136" si="215">DI102</f>
        <v>1h21</v>
      </c>
      <c r="DJ136" s="540" t="str">
        <f t="shared" si="215"/>
        <v>2h21</v>
      </c>
      <c r="DK136" s="695" t="str">
        <f t="shared" si="215"/>
        <v>2021</v>
      </c>
      <c r="DL136" s="540" t="str">
        <f t="shared" si="215"/>
        <v>1h22</v>
      </c>
      <c r="DM136" s="540" t="str">
        <f t="shared" si="215"/>
        <v>2h22</v>
      </c>
      <c r="DN136" s="695" t="str">
        <f t="shared" si="215"/>
        <v>2022</v>
      </c>
      <c r="DO136" s="540" t="str">
        <f t="shared" si="215"/>
        <v>1h23</v>
      </c>
      <c r="DP136" s="540" t="str">
        <f t="shared" si="215"/>
        <v>2h23</v>
      </c>
      <c r="DQ136" s="695" t="str">
        <f t="shared" si="215"/>
        <v>2023</v>
      </c>
      <c r="DR136" s="540" t="str">
        <f t="shared" si="215"/>
        <v>1h24</v>
      </c>
      <c r="DS136" s="540" t="str">
        <f t="shared" si="215"/>
        <v>2h24</v>
      </c>
      <c r="DT136" s="695" t="str">
        <f t="shared" si="215"/>
        <v>2024</v>
      </c>
      <c r="DU136" s="540" t="str">
        <f t="shared" si="215"/>
        <v>1h25</v>
      </c>
      <c r="DV136" s="540" t="str">
        <f>DV102</f>
        <v>2h25</v>
      </c>
      <c r="DW136" s="695" t="str">
        <f>DW102</f>
        <v>2025</v>
      </c>
      <c r="DX136" s="540" t="str">
        <f t="shared" ref="DX136" si="216">DX102</f>
        <v>1h26</v>
      </c>
      <c r="DY136" s="540" t="str">
        <f t="shared" si="215"/>
        <v>2h26E</v>
      </c>
      <c r="DZ136" s="695" t="str">
        <f t="shared" si="215"/>
        <v>2026E</v>
      </c>
      <c r="EA136" s="540" t="str">
        <f t="shared" si="215"/>
        <v>1h27E</v>
      </c>
      <c r="EB136" s="540" t="str">
        <f t="shared" si="215"/>
        <v>2h27E</v>
      </c>
      <c r="EC136" s="695" t="str">
        <f t="shared" si="215"/>
        <v>2027E</v>
      </c>
      <c r="ED136" s="540" t="str">
        <f t="shared" si="215"/>
        <v>1h28E</v>
      </c>
      <c r="EE136" s="540" t="str">
        <f t="shared" si="215"/>
        <v>2h28E</v>
      </c>
      <c r="EF136" s="695" t="str">
        <f t="shared" si="215"/>
        <v>2028E</v>
      </c>
      <c r="EG136" s="540" t="str">
        <f t="shared" si="215"/>
        <v>1h29E</v>
      </c>
      <c r="EH136" s="540" t="str">
        <f t="shared" si="215"/>
        <v>2h29E</v>
      </c>
      <c r="EI136" s="695" t="str">
        <f t="shared" si="215"/>
        <v>2029E</v>
      </c>
      <c r="EJ136" s="540" t="str">
        <f t="shared" si="215"/>
        <v>1h30E</v>
      </c>
      <c r="EK136" s="540" t="str">
        <f t="shared" si="215"/>
        <v>2h30E</v>
      </c>
      <c r="EL136" s="695" t="str">
        <f t="shared" si="215"/>
        <v>2030E</v>
      </c>
      <c r="EM136" s="540" t="str">
        <f t="shared" si="215"/>
        <v>1h31E</v>
      </c>
      <c r="EN136" s="540" t="str">
        <f t="shared" si="215"/>
        <v>2h31E</v>
      </c>
      <c r="EO136" s="695" t="str">
        <f t="shared" si="215"/>
        <v>2031E</v>
      </c>
      <c r="EP136" s="540" t="str">
        <f t="shared" si="215"/>
        <v>1h32E</v>
      </c>
      <c r="EQ136" s="540" t="str">
        <f t="shared" si="215"/>
        <v>2h32E</v>
      </c>
      <c r="ER136" s="695" t="str">
        <f t="shared" si="215"/>
        <v>2032E</v>
      </c>
      <c r="ES136" s="540" t="str">
        <f t="shared" si="215"/>
        <v>1h33E</v>
      </c>
      <c r="ET136" s="540" t="str">
        <f t="shared" si="215"/>
        <v>2h33E</v>
      </c>
      <c r="EU136" s="695" t="str">
        <f t="shared" si="215"/>
        <v>2033E</v>
      </c>
      <c r="EV136" s="540" t="str">
        <f t="shared" ref="EV136:FA136" si="217">EV102</f>
        <v>1h34E</v>
      </c>
      <c r="EW136" s="540" t="str">
        <f t="shared" si="217"/>
        <v>2h34E</v>
      </c>
      <c r="EX136" s="695" t="str">
        <f t="shared" si="217"/>
        <v>2034E</v>
      </c>
      <c r="EY136" s="540" t="str">
        <f t="shared" si="217"/>
        <v>1h35E</v>
      </c>
      <c r="EZ136" s="540" t="str">
        <f t="shared" si="217"/>
        <v>2h35E</v>
      </c>
      <c r="FA136" s="540" t="str">
        <f t="shared" si="217"/>
        <v>2035E</v>
      </c>
    </row>
    <row r="137" spans="1:184" ht="13.35" customHeight="1">
      <c r="A137" s="760"/>
      <c r="C137" s="292" t="s">
        <v>435</v>
      </c>
      <c r="D137" s="250" t="s">
        <v>382</v>
      </c>
      <c r="E137" s="251"/>
      <c r="F137" s="251"/>
      <c r="G137" s="252"/>
      <c r="H137" s="251"/>
      <c r="I137" s="251"/>
      <c r="J137" s="252"/>
      <c r="K137" s="251"/>
      <c r="L137" s="251"/>
      <c r="M137" s="252"/>
      <c r="N137" s="251"/>
      <c r="O137" s="251"/>
      <c r="P137" s="252"/>
      <c r="Q137" s="251"/>
      <c r="R137" s="251"/>
      <c r="S137" s="252"/>
      <c r="T137" s="251"/>
      <c r="U137" s="251"/>
      <c r="V137" s="252"/>
      <c r="W137" s="251"/>
      <c r="X137" s="251"/>
      <c r="Y137" s="252"/>
      <c r="Z137" s="251"/>
      <c r="AA137" s="251"/>
      <c r="AB137" s="252"/>
      <c r="AC137" s="251"/>
      <c r="AD137" s="251"/>
      <c r="AE137" s="252"/>
      <c r="AF137" s="251"/>
      <c r="AG137" s="251"/>
      <c r="AH137" s="252"/>
      <c r="AI137" s="251"/>
      <c r="AJ137" s="251"/>
      <c r="AK137" s="252"/>
      <c r="AL137" s="251"/>
      <c r="AM137" s="251"/>
      <c r="AN137" s="252"/>
      <c r="AO137" s="251"/>
      <c r="AP137" s="251"/>
      <c r="AQ137" s="252"/>
      <c r="AR137" s="251"/>
      <c r="AS137" s="251"/>
      <c r="AT137" s="252"/>
      <c r="AU137" s="251"/>
      <c r="AV137" s="251"/>
      <c r="AW137" s="252"/>
      <c r="AX137" s="251"/>
      <c r="AY137" s="251"/>
      <c r="AZ137" s="252"/>
      <c r="BA137" s="251"/>
      <c r="BB137" s="251"/>
      <c r="BC137" s="252"/>
      <c r="BD137" s="251"/>
      <c r="BE137" s="251"/>
      <c r="BF137" s="252"/>
      <c r="BG137" s="251"/>
      <c r="BH137" s="251"/>
      <c r="BI137" s="252"/>
      <c r="BJ137" s="251"/>
      <c r="BK137" s="251"/>
      <c r="BL137" s="252"/>
      <c r="BM137" s="184"/>
      <c r="BN137" s="184"/>
      <c r="BO137" s="185"/>
      <c r="BP137" s="184"/>
      <c r="BQ137" s="184"/>
      <c r="BR137" s="185"/>
      <c r="BS137" s="184"/>
      <c r="BT137" s="184"/>
      <c r="BU137" s="186"/>
      <c r="BV137" s="184"/>
      <c r="BW137" s="184"/>
      <c r="BX137" s="185"/>
      <c r="BY137" s="184"/>
      <c r="BZ137" s="184"/>
      <c r="CA137" s="185"/>
      <c r="CB137" s="184"/>
      <c r="CC137" s="184"/>
      <c r="CD137" s="185"/>
      <c r="CE137" s="184"/>
      <c r="CF137" s="184"/>
      <c r="CG137" s="185"/>
      <c r="CH137" s="184"/>
      <c r="CI137" s="184"/>
      <c r="CJ137" s="185"/>
      <c r="CK137" s="184"/>
      <c r="CL137" s="184"/>
      <c r="CM137" s="185"/>
      <c r="CN137" s="184"/>
      <c r="CO137" s="184"/>
      <c r="CP137" s="185"/>
      <c r="CQ137" s="184"/>
      <c r="CR137" s="184"/>
      <c r="CS137" s="185"/>
      <c r="CT137" s="184"/>
      <c r="CU137" s="184"/>
      <c r="CV137" s="185"/>
      <c r="CW137" s="184"/>
      <c r="CX137" s="184"/>
      <c r="CY137" s="301"/>
      <c r="CZ137" s="300"/>
      <c r="DA137" s="300"/>
      <c r="DB137" s="301"/>
      <c r="DC137" s="300"/>
      <c r="DD137" s="300"/>
      <c r="DE137" s="787"/>
      <c r="DF137" s="300"/>
      <c r="DG137" s="300"/>
      <c r="DH137" s="787"/>
      <c r="DI137" s="748">
        <v>4</v>
      </c>
      <c r="DJ137" s="301">
        <f>+DI137</f>
        <v>4</v>
      </c>
      <c r="DK137" s="698">
        <v>4</v>
      </c>
      <c r="DL137" s="301">
        <f>+DJ137</f>
        <v>4</v>
      </c>
      <c r="DM137" s="301">
        <f>DL137</f>
        <v>4</v>
      </c>
      <c r="DN137" s="698">
        <f>AVERAGE(DL137:DM137)</f>
        <v>4</v>
      </c>
      <c r="DO137" s="301">
        <f>DL137</f>
        <v>4</v>
      </c>
      <c r="DP137" s="301">
        <f>DO137</f>
        <v>4</v>
      </c>
      <c r="DQ137" s="698">
        <f>AVERAGE(DO137:DP137)</f>
        <v>4</v>
      </c>
      <c r="DR137" s="301">
        <f>DO137</f>
        <v>4</v>
      </c>
      <c r="DS137" s="301">
        <f>DR137</f>
        <v>4</v>
      </c>
      <c r="DT137" s="698">
        <f>AVERAGE(DR137:DS137)</f>
        <v>4</v>
      </c>
      <c r="DU137" s="301">
        <f>DR137</f>
        <v>4</v>
      </c>
      <c r="DV137" s="301">
        <f>DU137</f>
        <v>4</v>
      </c>
      <c r="DW137" s="698">
        <f>AVERAGE(DU137:DV137)</f>
        <v>4</v>
      </c>
      <c r="DX137" s="301">
        <f>DU137</f>
        <v>4</v>
      </c>
      <c r="DY137" s="301">
        <f>DX137</f>
        <v>4</v>
      </c>
      <c r="DZ137" s="698">
        <f>AVERAGE(DX137:DY137)</f>
        <v>4</v>
      </c>
      <c r="EA137" s="301">
        <f>DX137</f>
        <v>4</v>
      </c>
      <c r="EB137" s="301">
        <f>EA137</f>
        <v>4</v>
      </c>
      <c r="EC137" s="698">
        <f>AVERAGE(EA137:EB137)</f>
        <v>4</v>
      </c>
      <c r="ED137" s="748">
        <v>4.05</v>
      </c>
      <c r="EE137" s="301">
        <f>ED137</f>
        <v>4.05</v>
      </c>
      <c r="EF137" s="698">
        <f>AVERAGE(ED137:EE137)</f>
        <v>4.05</v>
      </c>
      <c r="EG137" s="301">
        <f>ED137</f>
        <v>4.05</v>
      </c>
      <c r="EH137" s="301">
        <f>EG137</f>
        <v>4.05</v>
      </c>
      <c r="EI137" s="698">
        <f>AVERAGE(EG137:EH137)</f>
        <v>4.05</v>
      </c>
      <c r="EJ137" s="301">
        <f>EG137</f>
        <v>4.05</v>
      </c>
      <c r="EK137" s="301">
        <f>EJ137</f>
        <v>4.05</v>
      </c>
      <c r="EL137" s="698">
        <f>AVERAGE(EJ137:EK137)</f>
        <v>4.05</v>
      </c>
      <c r="EM137" s="301">
        <f>EJ137</f>
        <v>4.05</v>
      </c>
      <c r="EN137" s="301">
        <f>EM137</f>
        <v>4.05</v>
      </c>
      <c r="EO137" s="698">
        <f>AVERAGE(EM137:EN137)</f>
        <v>4.05</v>
      </c>
      <c r="EP137" s="301">
        <f>EM137</f>
        <v>4.05</v>
      </c>
      <c r="EQ137" s="301">
        <f>EP137</f>
        <v>4.05</v>
      </c>
      <c r="ER137" s="698">
        <f>AVERAGE(EP137:EQ137)</f>
        <v>4.05</v>
      </c>
      <c r="ES137" s="301">
        <f>EP137</f>
        <v>4.05</v>
      </c>
      <c r="ET137" s="301">
        <f>ES137</f>
        <v>4.05</v>
      </c>
      <c r="EU137" s="698">
        <f>AVERAGE(ES137:ET137)</f>
        <v>4.05</v>
      </c>
      <c r="EV137" s="301">
        <f>ES137</f>
        <v>4.05</v>
      </c>
      <c r="EW137" s="301">
        <f>EV137</f>
        <v>4.05</v>
      </c>
      <c r="EX137" s="698">
        <f>AVERAGE(EV137:EW137)</f>
        <v>4.05</v>
      </c>
      <c r="EY137" s="301">
        <f>EV137</f>
        <v>4.05</v>
      </c>
      <c r="EZ137" s="301">
        <f>EY137</f>
        <v>4.05</v>
      </c>
      <c r="FA137" s="502">
        <f>AVERAGE(EY137:EZ137)</f>
        <v>4.05</v>
      </c>
    </row>
    <row r="138" spans="1:184" ht="13.35" customHeight="1">
      <c r="A138" s="760"/>
      <c r="C138" s="292" t="s">
        <v>799</v>
      </c>
      <c r="D138" s="250" t="str">
        <f>D137</f>
        <v>g/L</v>
      </c>
      <c r="E138" s="251"/>
      <c r="F138" s="251"/>
      <c r="G138" s="252"/>
      <c r="H138" s="251"/>
      <c r="I138" s="251"/>
      <c r="J138" s="252"/>
      <c r="K138" s="251"/>
      <c r="L138" s="251"/>
      <c r="M138" s="252"/>
      <c r="N138" s="251"/>
      <c r="O138" s="251"/>
      <c r="P138" s="252"/>
      <c r="Q138" s="251"/>
      <c r="R138" s="251"/>
      <c r="S138" s="252"/>
      <c r="T138" s="251"/>
      <c r="U138" s="251"/>
      <c r="V138" s="252"/>
      <c r="W138" s="251"/>
      <c r="X138" s="251"/>
      <c r="Y138" s="252"/>
      <c r="Z138" s="251"/>
      <c r="AA138" s="251"/>
      <c r="AB138" s="252"/>
      <c r="AC138" s="251"/>
      <c r="AD138" s="251"/>
      <c r="AE138" s="252"/>
      <c r="AF138" s="251"/>
      <c r="AG138" s="251"/>
      <c r="AH138" s="252"/>
      <c r="AI138" s="251"/>
      <c r="AJ138" s="251"/>
      <c r="AK138" s="252"/>
      <c r="AL138" s="251"/>
      <c r="AM138" s="251"/>
      <c r="AN138" s="252"/>
      <c r="AO138" s="251"/>
      <c r="AP138" s="251"/>
      <c r="AQ138" s="252"/>
      <c r="AR138" s="251"/>
      <c r="AS138" s="251"/>
      <c r="AT138" s="252"/>
      <c r="AU138" s="251"/>
      <c r="AV138" s="251"/>
      <c r="AW138" s="252"/>
      <c r="AX138" s="251"/>
      <c r="AY138" s="251"/>
      <c r="AZ138" s="252"/>
      <c r="BA138" s="251"/>
      <c r="BB138" s="251"/>
      <c r="BC138" s="252"/>
      <c r="BD138" s="251"/>
      <c r="BE138" s="251"/>
      <c r="BF138" s="252"/>
      <c r="BG138" s="251"/>
      <c r="BH138" s="251"/>
      <c r="BI138" s="252"/>
      <c r="BJ138" s="251"/>
      <c r="BK138" s="251"/>
      <c r="BL138" s="252"/>
      <c r="BM138" s="264"/>
      <c r="BN138" s="264"/>
      <c r="BO138" s="265"/>
      <c r="BP138" s="251"/>
      <c r="BQ138" s="251"/>
      <c r="BR138" s="4"/>
      <c r="BS138" s="251"/>
      <c r="BT138" s="251"/>
      <c r="BU138" s="293"/>
      <c r="BV138" s="184"/>
      <c r="BW138" s="184"/>
      <c r="BX138" s="185"/>
      <c r="BY138" s="184"/>
      <c r="BZ138" s="184"/>
      <c r="CA138" s="185"/>
      <c r="CB138" s="184"/>
      <c r="CC138" s="184"/>
      <c r="CD138" s="185"/>
      <c r="CE138" s="184"/>
      <c r="CF138" s="184"/>
      <c r="CG138" s="185"/>
      <c r="CH138" s="184"/>
      <c r="CI138" s="184"/>
      <c r="CJ138" s="185"/>
      <c r="CK138" s="184"/>
      <c r="CL138" s="184"/>
      <c r="CM138" s="185"/>
      <c r="CN138" s="184"/>
      <c r="CO138" s="184"/>
      <c r="CP138" s="185"/>
      <c r="CQ138" s="184"/>
      <c r="CR138" s="184"/>
      <c r="CS138" s="185"/>
      <c r="CT138" s="184"/>
      <c r="CU138" s="184"/>
      <c r="CV138" s="185"/>
      <c r="CW138" s="184"/>
      <c r="CX138" s="184"/>
      <c r="CY138" s="301"/>
      <c r="CZ138" s="300"/>
      <c r="DA138" s="300"/>
      <c r="DB138" s="301"/>
      <c r="DC138" s="300"/>
      <c r="DD138" s="300"/>
      <c r="DE138" s="787"/>
      <c r="DF138" s="300"/>
      <c r="DG138" s="300"/>
      <c r="DH138" s="787"/>
      <c r="DI138" s="748">
        <v>4</v>
      </c>
      <c r="DJ138" s="301">
        <f>+DI138</f>
        <v>4</v>
      </c>
      <c r="DK138" s="698">
        <v>4</v>
      </c>
      <c r="DL138" s="301">
        <f>+DJ138</f>
        <v>4</v>
      </c>
      <c r="DM138" s="301">
        <f>DL138</f>
        <v>4</v>
      </c>
      <c r="DN138" s="698">
        <f>AVERAGE(DL138:DM138)</f>
        <v>4</v>
      </c>
      <c r="DO138" s="301">
        <f>DL138</f>
        <v>4</v>
      </c>
      <c r="DP138" s="301">
        <f>DO138</f>
        <v>4</v>
      </c>
      <c r="DQ138" s="698">
        <f>AVERAGE(DO138:DP138)</f>
        <v>4</v>
      </c>
      <c r="DR138" s="301">
        <f>DO138</f>
        <v>4</v>
      </c>
      <c r="DS138" s="301">
        <f>DR138</f>
        <v>4</v>
      </c>
      <c r="DT138" s="698">
        <f>AVERAGE(DR138:DS138)</f>
        <v>4</v>
      </c>
      <c r="DU138" s="301">
        <f>DR138</f>
        <v>4</v>
      </c>
      <c r="DV138" s="301">
        <f>DU138</f>
        <v>4</v>
      </c>
      <c r="DW138" s="698">
        <f>AVERAGE(DU138:DV138)</f>
        <v>4</v>
      </c>
      <c r="DX138" s="301">
        <f>DU138</f>
        <v>4</v>
      </c>
      <c r="DY138" s="301">
        <f>DX138</f>
        <v>4</v>
      </c>
      <c r="DZ138" s="698">
        <f>AVERAGE(DX138:DY138)</f>
        <v>4</v>
      </c>
      <c r="EA138" s="301">
        <f>DX138</f>
        <v>4</v>
      </c>
      <c r="EB138" s="301">
        <f>EA138</f>
        <v>4</v>
      </c>
      <c r="EC138" s="698">
        <f>AVERAGE(EA138:EB138)</f>
        <v>4</v>
      </c>
      <c r="ED138" s="748">
        <f>ED137</f>
        <v>4.05</v>
      </c>
      <c r="EE138" s="301">
        <f>ED138</f>
        <v>4.05</v>
      </c>
      <c r="EF138" s="698">
        <f>AVERAGE(ED138:EE138)</f>
        <v>4.05</v>
      </c>
      <c r="EG138" s="301">
        <f>ED138</f>
        <v>4.05</v>
      </c>
      <c r="EH138" s="301">
        <f>EG138</f>
        <v>4.05</v>
      </c>
      <c r="EI138" s="698">
        <f>AVERAGE(EG138:EH138)</f>
        <v>4.05</v>
      </c>
      <c r="EJ138" s="301">
        <f>EG138</f>
        <v>4.05</v>
      </c>
      <c r="EK138" s="301">
        <f>EJ138</f>
        <v>4.05</v>
      </c>
      <c r="EL138" s="698">
        <f>AVERAGE(EJ138:EK138)</f>
        <v>4.05</v>
      </c>
      <c r="EM138" s="301">
        <f>EJ138</f>
        <v>4.05</v>
      </c>
      <c r="EN138" s="301">
        <f>EM138</f>
        <v>4.05</v>
      </c>
      <c r="EO138" s="698">
        <f>AVERAGE(EM138:EN138)</f>
        <v>4.05</v>
      </c>
      <c r="EP138" s="301">
        <f>EM138</f>
        <v>4.05</v>
      </c>
      <c r="EQ138" s="301">
        <f>EP138</f>
        <v>4.05</v>
      </c>
      <c r="ER138" s="698">
        <f>AVERAGE(EP138:EQ138)</f>
        <v>4.05</v>
      </c>
      <c r="ES138" s="301">
        <f>EP138</f>
        <v>4.05</v>
      </c>
      <c r="ET138" s="301">
        <f>ES138</f>
        <v>4.05</v>
      </c>
      <c r="EU138" s="698">
        <f>AVERAGE(ES138:ET138)</f>
        <v>4.05</v>
      </c>
      <c r="EV138" s="301">
        <f>ES138</f>
        <v>4.05</v>
      </c>
      <c r="EW138" s="301">
        <f>EV138</f>
        <v>4.05</v>
      </c>
      <c r="EX138" s="698">
        <f>AVERAGE(EV138:EW138)</f>
        <v>4.05</v>
      </c>
      <c r="EY138" s="301">
        <f>EV138</f>
        <v>4.05</v>
      </c>
      <c r="EZ138" s="301">
        <f>EY138</f>
        <v>4.05</v>
      </c>
      <c r="FA138" s="502">
        <f>AVERAGE(EY138:EZ138)</f>
        <v>4.05</v>
      </c>
    </row>
    <row r="139" spans="1:184" ht="13.15" customHeight="1">
      <c r="A139" s="760"/>
      <c r="D139" s="250"/>
      <c r="E139" s="251"/>
      <c r="F139" s="251"/>
      <c r="G139" s="252"/>
      <c r="H139" s="251"/>
      <c r="I139" s="251"/>
      <c r="J139" s="252"/>
      <c r="K139" s="251"/>
      <c r="L139" s="251"/>
      <c r="M139" s="252"/>
      <c r="N139" s="251"/>
      <c r="O139" s="251"/>
      <c r="P139" s="252"/>
      <c r="Q139" s="251"/>
      <c r="R139" s="251"/>
      <c r="S139" s="252"/>
      <c r="T139" s="251"/>
      <c r="U139" s="251"/>
      <c r="V139" s="252"/>
      <c r="W139" s="251"/>
      <c r="X139" s="251"/>
      <c r="Y139" s="252"/>
      <c r="Z139" s="251"/>
      <c r="AA139" s="251"/>
      <c r="AB139" s="252"/>
      <c r="AC139" s="251"/>
      <c r="AD139" s="251"/>
      <c r="AE139" s="252"/>
      <c r="AF139" s="251"/>
      <c r="AG139" s="251"/>
      <c r="AH139" s="252"/>
      <c r="AI139" s="251"/>
      <c r="AJ139" s="251"/>
      <c r="AK139" s="252"/>
      <c r="AL139" s="251"/>
      <c r="AM139" s="251"/>
      <c r="AN139" s="252"/>
      <c r="AO139" s="251"/>
      <c r="AP139" s="251"/>
      <c r="AQ139" s="252"/>
      <c r="AR139" s="251"/>
      <c r="AS139" s="251"/>
      <c r="AT139" s="252"/>
      <c r="AU139" s="251"/>
      <c r="AV139" s="251"/>
      <c r="AW139" s="252"/>
      <c r="AX139" s="251"/>
      <c r="AY139" s="251"/>
      <c r="AZ139" s="252"/>
      <c r="BA139" s="251"/>
      <c r="BB139" s="251"/>
      <c r="BC139" s="252"/>
      <c r="BD139" s="251"/>
      <c r="BE139" s="251"/>
      <c r="BF139" s="252"/>
      <c r="BG139" s="251"/>
      <c r="BH139" s="251"/>
      <c r="BI139" s="252"/>
      <c r="BJ139" s="251"/>
      <c r="BK139" s="251"/>
      <c r="BL139" s="252"/>
      <c r="BM139" s="264"/>
      <c r="BN139" s="264"/>
      <c r="BO139" s="265"/>
      <c r="BP139" s="251"/>
      <c r="BQ139" s="251"/>
      <c r="BR139" s="4"/>
      <c r="BS139" s="251"/>
      <c r="BT139" s="251"/>
      <c r="BU139" s="293"/>
      <c r="BV139" s="184"/>
      <c r="BW139" s="184"/>
      <c r="BX139" s="185"/>
      <c r="BY139" s="184"/>
      <c r="BZ139" s="184"/>
      <c r="CA139" s="185"/>
      <c r="CB139" s="184"/>
      <c r="CC139" s="184"/>
      <c r="CD139" s="185"/>
      <c r="CE139" s="184"/>
      <c r="CF139" s="184"/>
      <c r="CG139" s="185"/>
      <c r="CH139" s="184"/>
      <c r="CI139" s="184"/>
      <c r="CJ139" s="185"/>
      <c r="CK139" s="184"/>
      <c r="CL139" s="184"/>
      <c r="CM139" s="185"/>
      <c r="CN139" s="184"/>
      <c r="CO139" s="184"/>
      <c r="CP139" s="185"/>
      <c r="CQ139" s="184"/>
      <c r="CR139" s="184"/>
      <c r="CS139" s="185"/>
      <c r="CT139" s="184"/>
      <c r="CU139" s="184"/>
      <c r="CV139" s="185"/>
      <c r="CW139" s="184"/>
      <c r="CX139" s="184"/>
      <c r="CY139" s="301"/>
      <c r="CZ139" s="300"/>
      <c r="DA139" s="300"/>
      <c r="DB139" s="301"/>
      <c r="DC139" s="300"/>
      <c r="DD139" s="300"/>
      <c r="DE139" s="787"/>
      <c r="DF139" s="300"/>
      <c r="DG139" s="300"/>
      <c r="DH139" s="787"/>
      <c r="DI139" s="300"/>
      <c r="DJ139" s="300"/>
      <c r="DK139" s="698"/>
      <c r="DL139" s="300"/>
      <c r="DM139" s="300"/>
      <c r="DN139" s="698"/>
      <c r="DO139" s="300"/>
      <c r="DP139" s="300"/>
      <c r="DQ139" s="691"/>
      <c r="DR139" s="300"/>
      <c r="DS139" s="300"/>
      <c r="DT139" s="698"/>
      <c r="DU139" s="300"/>
      <c r="DV139" s="300"/>
      <c r="DW139" s="698"/>
      <c r="DX139" s="300"/>
      <c r="DY139" s="300"/>
      <c r="DZ139" s="744"/>
      <c r="EA139" s="300"/>
      <c r="EB139" s="300"/>
      <c r="EC139" s="744"/>
      <c r="ED139" s="300"/>
      <c r="EE139" s="300"/>
      <c r="EF139" s="744"/>
      <c r="EG139" s="300"/>
      <c r="EH139" s="300"/>
      <c r="EI139" s="744"/>
      <c r="EJ139" s="300"/>
      <c r="EK139" s="300"/>
      <c r="EL139" s="744"/>
      <c r="EM139" s="300"/>
      <c r="EN139" s="300"/>
      <c r="EO139" s="744"/>
      <c r="EP139" s="300"/>
      <c r="EQ139" s="300"/>
      <c r="ER139" s="744"/>
      <c r="ES139" s="300"/>
      <c r="ET139" s="300"/>
      <c r="EU139" s="744"/>
      <c r="EV139" s="300"/>
      <c r="EW139" s="300"/>
      <c r="EX139" s="744"/>
      <c r="EY139" s="300"/>
      <c r="EZ139" s="300"/>
      <c r="FA139" s="502"/>
    </row>
    <row r="140" spans="1:184" ht="13.35" customHeight="1">
      <c r="A140" s="22"/>
      <c r="B140" s="11"/>
      <c r="C140" s="218" t="s">
        <v>436</v>
      </c>
      <c r="D140" s="294" t="s">
        <v>507</v>
      </c>
      <c r="E140" s="251"/>
      <c r="F140" s="251"/>
      <c r="G140" s="252"/>
      <c r="H140" s="251"/>
      <c r="I140" s="251"/>
      <c r="J140" s="252"/>
      <c r="K140" s="251"/>
      <c r="L140" s="251"/>
      <c r="M140" s="252"/>
      <c r="N140" s="251"/>
      <c r="O140" s="251"/>
      <c r="P140" s="252"/>
      <c r="Q140" s="251"/>
      <c r="R140" s="251"/>
      <c r="S140" s="252"/>
      <c r="T140" s="251"/>
      <c r="U140" s="251"/>
      <c r="V140" s="252"/>
      <c r="W140" s="251"/>
      <c r="X140" s="251"/>
      <c r="Y140" s="252"/>
      <c r="Z140" s="251"/>
      <c r="AA140" s="251"/>
      <c r="AB140" s="252"/>
      <c r="AC140" s="251"/>
      <c r="AD140" s="251"/>
      <c r="AE140" s="252"/>
      <c r="AF140" s="251"/>
      <c r="AG140" s="251"/>
      <c r="AH140" s="252"/>
      <c r="AI140" s="251"/>
      <c r="AJ140" s="251"/>
      <c r="AK140" s="252"/>
      <c r="AL140" s="251"/>
      <c r="AM140" s="251"/>
      <c r="AN140" s="252"/>
      <c r="AO140" s="251"/>
      <c r="AP140" s="251"/>
      <c r="AQ140" s="252"/>
      <c r="AR140" s="251"/>
      <c r="AS140" s="251"/>
      <c r="AT140" s="252"/>
      <c r="AU140" s="251"/>
      <c r="AV140" s="251"/>
      <c r="AW140" s="252"/>
      <c r="AX140" s="251"/>
      <c r="AY140" s="251"/>
      <c r="AZ140" s="252"/>
      <c r="BA140" s="251"/>
      <c r="BB140" s="251"/>
      <c r="BC140" s="252"/>
      <c r="BD140" s="251"/>
      <c r="BE140" s="251"/>
      <c r="BF140" s="252"/>
      <c r="BG140" s="251"/>
      <c r="BH140" s="251"/>
      <c r="BI140" s="252"/>
      <c r="BJ140" s="251"/>
      <c r="BK140" s="251"/>
      <c r="BL140" s="252"/>
      <c r="BM140" s="259"/>
      <c r="BN140" s="259"/>
      <c r="BO140" s="260"/>
      <c r="BP140" s="259"/>
      <c r="BQ140" s="259"/>
      <c r="BR140" s="260"/>
      <c r="BS140" s="259"/>
      <c r="BT140" s="259"/>
      <c r="BU140" s="261"/>
      <c r="BV140" s="286"/>
      <c r="BW140" s="286"/>
      <c r="BX140" s="287"/>
      <c r="BY140" s="286"/>
      <c r="BZ140" s="286"/>
      <c r="CA140" s="287"/>
      <c r="CB140" s="286"/>
      <c r="CC140" s="286"/>
      <c r="CD140" s="287"/>
      <c r="CE140" s="286"/>
      <c r="CF140" s="286"/>
      <c r="CG140" s="287"/>
      <c r="CH140" s="286"/>
      <c r="CI140" s="286"/>
      <c r="CJ140" s="66"/>
      <c r="CK140" s="284"/>
      <c r="CL140" s="284"/>
      <c r="CM140" s="66"/>
      <c r="CN140" s="284"/>
      <c r="CO140" s="284"/>
      <c r="CP140" s="66"/>
      <c r="CQ140" s="284"/>
      <c r="CR140" s="284"/>
      <c r="CS140" s="66"/>
      <c r="CT140" s="295"/>
      <c r="CU140" s="284"/>
      <c r="CV140" s="66"/>
      <c r="CW140" s="284"/>
      <c r="CX140" s="284"/>
      <c r="CY140" s="306"/>
      <c r="CZ140" s="305"/>
      <c r="DA140" s="305"/>
      <c r="DB140" s="306"/>
      <c r="DC140" s="305"/>
      <c r="DD140" s="305"/>
      <c r="DE140" s="786"/>
      <c r="DF140" s="305"/>
      <c r="DG140" s="305"/>
      <c r="DH140" s="786"/>
      <c r="DI140" s="306">
        <v>0.69863697845767958</v>
      </c>
      <c r="DJ140" s="306">
        <v>0.67401463803214778</v>
      </c>
      <c r="DK140" s="699">
        <v>0.68681181086973964</v>
      </c>
      <c r="DL140" s="306">
        <f t="shared" ref="DL140:DT140" si="218">DL146/DL150</f>
        <v>0.68421331942907204</v>
      </c>
      <c r="DM140" s="306">
        <f t="shared" si="218"/>
        <v>0.66664865181792976</v>
      </c>
      <c r="DN140" s="699">
        <f t="shared" si="218"/>
        <v>0.67527322506017173</v>
      </c>
      <c r="DO140" s="306">
        <f t="shared" si="218"/>
        <v>0.67033429355535346</v>
      </c>
      <c r="DP140" s="306">
        <f t="shared" si="218"/>
        <v>0.69425439019740331</v>
      </c>
      <c r="DQ140" s="699">
        <f t="shared" si="218"/>
        <v>0.68351664751593233</v>
      </c>
      <c r="DR140" s="306">
        <f t="shared" si="218"/>
        <v>0.69999065404786343</v>
      </c>
      <c r="DS140" s="306">
        <f t="shared" si="218"/>
        <v>0.70098250141612872</v>
      </c>
      <c r="DT140" s="699">
        <f t="shared" si="218"/>
        <v>0.70058181186414703</v>
      </c>
      <c r="DU140" s="306">
        <f>DS140</f>
        <v>0.70098250141612872</v>
      </c>
      <c r="DV140" s="306">
        <f>DV146/DV150</f>
        <v>0.71155492613779436</v>
      </c>
      <c r="DW140" s="699">
        <f>DW146/DW150</f>
        <v>0.70337589619577434</v>
      </c>
      <c r="DX140" s="306">
        <f>DV140</f>
        <v>0.71155492613779436</v>
      </c>
      <c r="DY140" s="306">
        <f>DV140-DS140+DV140</f>
        <v>0.72212735085946</v>
      </c>
      <c r="DZ140" s="699">
        <f>DZ146/DZ150</f>
        <v>0.70952695970801916</v>
      </c>
      <c r="EA140" s="306">
        <f>DX140-DU140+DX140</f>
        <v>0.72212735085946</v>
      </c>
      <c r="EB140" s="306">
        <f>DY140-DV140+DY140</f>
        <v>0.73269977558112565</v>
      </c>
      <c r="EC140" s="699">
        <f>EC146/EC150</f>
        <v>0.70952695970801927</v>
      </c>
      <c r="ED140" s="306">
        <f>EA140</f>
        <v>0.72212735085946</v>
      </c>
      <c r="EE140" s="306">
        <f>EB140</f>
        <v>0.73269977558112565</v>
      </c>
      <c r="EF140" s="699">
        <f>EF146/EF150</f>
        <v>0.70952695970801904</v>
      </c>
      <c r="EG140" s="306">
        <f>ED140-EA140+ED140</f>
        <v>0.72212735085946</v>
      </c>
      <c r="EH140" s="306">
        <f>EE140-EB140+EE140</f>
        <v>0.73269977558112565</v>
      </c>
      <c r="EI140" s="699">
        <f>EI146/EI150</f>
        <v>0.70952695970801904</v>
      </c>
      <c r="EJ140" s="306">
        <f>EG140-ED140+EG140</f>
        <v>0.72212735085946</v>
      </c>
      <c r="EK140" s="306">
        <f>EH140-EE140+EH140</f>
        <v>0.73269977558112565</v>
      </c>
      <c r="EL140" s="699">
        <f>EL146/EL150</f>
        <v>0.70952695970801916</v>
      </c>
      <c r="EM140" s="306">
        <f>EJ140-EG140+EJ140</f>
        <v>0.72212735085946</v>
      </c>
      <c r="EN140" s="306">
        <f>EK140-EH140+EK140</f>
        <v>0.73269977558112565</v>
      </c>
      <c r="EO140" s="699">
        <f>EO146/EO150</f>
        <v>0.70952695970801916</v>
      </c>
      <c r="EP140" s="306">
        <f>EM140-EJ140+EM140</f>
        <v>0.72212735085946</v>
      </c>
      <c r="EQ140" s="306">
        <f>EN140-EK140+EN140</f>
        <v>0.73269977558112565</v>
      </c>
      <c r="ER140" s="699">
        <f>ER146/ER150</f>
        <v>0.70952695970801916</v>
      </c>
      <c r="ES140" s="306">
        <f>EP140-EM140+EP140</f>
        <v>0.72212735085946</v>
      </c>
      <c r="ET140" s="306">
        <f>EQ140-EN140+EQ140</f>
        <v>0.73269977558112565</v>
      </c>
      <c r="EU140" s="699">
        <f>EU146/EU150</f>
        <v>0.70952695970801904</v>
      </c>
      <c r="EV140" s="306">
        <f>ES140-EP140+ES140</f>
        <v>0.72212735085946</v>
      </c>
      <c r="EW140" s="306">
        <f>ET140-EQ140+ET140</f>
        <v>0.73269977558112565</v>
      </c>
      <c r="EX140" s="699">
        <f>EX146/EX150</f>
        <v>0.70952695970801904</v>
      </c>
      <c r="EY140" s="306">
        <f>EV140-ES140+EV140</f>
        <v>0.72212735085946</v>
      </c>
      <c r="EZ140" s="306">
        <f>EW140-ET140+EW140</f>
        <v>0.73269977558112565</v>
      </c>
      <c r="FA140" s="545">
        <f>FA146/FA150</f>
        <v>0.70952695970801916</v>
      </c>
    </row>
    <row r="141" spans="1:184" ht="13.35" customHeight="1">
      <c r="A141" s="22"/>
      <c r="B141" s="296"/>
      <c r="C141" s="218" t="s">
        <v>800</v>
      </c>
      <c r="D141" s="294" t="s">
        <v>507</v>
      </c>
      <c r="E141" s="251"/>
      <c r="F141" s="251"/>
      <c r="G141" s="252"/>
      <c r="H141" s="251"/>
      <c r="I141" s="251"/>
      <c r="J141" s="252"/>
      <c r="K141" s="251"/>
      <c r="L141" s="251"/>
      <c r="M141" s="252"/>
      <c r="N141" s="251"/>
      <c r="O141" s="251"/>
      <c r="P141" s="252"/>
      <c r="Q141" s="251"/>
      <c r="R141" s="251"/>
      <c r="S141" s="252"/>
      <c r="T141" s="251"/>
      <c r="U141" s="251"/>
      <c r="V141" s="252"/>
      <c r="W141" s="251"/>
      <c r="X141" s="251"/>
      <c r="Y141" s="252"/>
      <c r="Z141" s="251"/>
      <c r="AA141" s="251"/>
      <c r="AB141" s="252"/>
      <c r="AC141" s="251"/>
      <c r="AD141" s="251"/>
      <c r="AE141" s="252"/>
      <c r="AF141" s="251"/>
      <c r="AG141" s="251"/>
      <c r="AH141" s="252"/>
      <c r="AI141" s="251"/>
      <c r="AJ141" s="251"/>
      <c r="AK141" s="252"/>
      <c r="AL141" s="251"/>
      <c r="AM141" s="251"/>
      <c r="AN141" s="252"/>
      <c r="AO141" s="251"/>
      <c r="AP141" s="251"/>
      <c r="AQ141" s="252"/>
      <c r="AR141" s="251"/>
      <c r="AS141" s="251"/>
      <c r="AT141" s="252"/>
      <c r="AU141" s="251"/>
      <c r="AV141" s="251"/>
      <c r="AW141" s="252"/>
      <c r="AX141" s="251"/>
      <c r="AY141" s="251"/>
      <c r="AZ141" s="252"/>
      <c r="BA141" s="251"/>
      <c r="BB141" s="251"/>
      <c r="BC141" s="252"/>
      <c r="BD141" s="251"/>
      <c r="BE141" s="251"/>
      <c r="BF141" s="252"/>
      <c r="BG141" s="251"/>
      <c r="BH141" s="251"/>
      <c r="BI141" s="252"/>
      <c r="BJ141" s="251"/>
      <c r="BK141" s="251"/>
      <c r="BL141" s="252"/>
      <c r="BM141" s="259"/>
      <c r="BN141" s="259"/>
      <c r="BO141" s="260"/>
      <c r="BP141" s="259"/>
      <c r="BQ141" s="259"/>
      <c r="BR141" s="260"/>
      <c r="BS141" s="259"/>
      <c r="BT141" s="259"/>
      <c r="BU141" s="261"/>
      <c r="BV141" s="286"/>
      <c r="BW141" s="286"/>
      <c r="BX141" s="287"/>
      <c r="BY141" s="286"/>
      <c r="BZ141" s="286"/>
      <c r="CA141" s="287"/>
      <c r="CB141" s="286"/>
      <c r="CC141" s="286"/>
      <c r="CD141" s="287"/>
      <c r="CE141" s="286"/>
      <c r="CF141" s="286"/>
      <c r="CG141" s="287"/>
      <c r="CH141" s="286"/>
      <c r="CI141" s="286"/>
      <c r="CJ141" s="66"/>
      <c r="CK141" s="284"/>
      <c r="CL141" s="284"/>
      <c r="CM141" s="66"/>
      <c r="CN141" s="284"/>
      <c r="CO141" s="284"/>
      <c r="CP141" s="66"/>
      <c r="CQ141" s="284"/>
      <c r="CR141" s="284"/>
      <c r="CS141" s="66"/>
      <c r="CT141" s="295"/>
      <c r="CU141" s="284"/>
      <c r="CV141" s="66"/>
      <c r="CW141" s="295"/>
      <c r="CX141" s="284"/>
      <c r="CY141" s="306"/>
      <c r="CZ141" s="546"/>
      <c r="DA141" s="546"/>
      <c r="DB141" s="306"/>
      <c r="DC141" s="546"/>
      <c r="DD141" s="546"/>
      <c r="DE141" s="786"/>
      <c r="DF141" s="546"/>
      <c r="DG141" s="546"/>
      <c r="DH141" s="786"/>
      <c r="DI141" s="306">
        <v>0.30136302154232042</v>
      </c>
      <c r="DJ141" s="306">
        <v>0.32598536196785233</v>
      </c>
      <c r="DK141" s="699">
        <v>0.31318818913026036</v>
      </c>
      <c r="DL141" s="306">
        <f t="shared" ref="DL141:DT141" si="219">DL148/DL150</f>
        <v>0.3157866805709279</v>
      </c>
      <c r="DM141" s="306">
        <f t="shared" si="219"/>
        <v>0.33335134818207024</v>
      </c>
      <c r="DN141" s="699">
        <f t="shared" si="219"/>
        <v>0.32470716370064262</v>
      </c>
      <c r="DO141" s="306">
        <f t="shared" si="219"/>
        <v>0.32966570644464649</v>
      </c>
      <c r="DP141" s="306">
        <f t="shared" si="219"/>
        <v>0.30574560980259674</v>
      </c>
      <c r="DQ141" s="699">
        <f t="shared" si="219"/>
        <v>0.31722658173322682</v>
      </c>
      <c r="DR141" s="306">
        <f t="shared" si="219"/>
        <v>0.30000934595213663</v>
      </c>
      <c r="DS141" s="306">
        <f t="shared" si="219"/>
        <v>0.29901749858387117</v>
      </c>
      <c r="DT141" s="699">
        <f t="shared" si="219"/>
        <v>0.29959984690249097</v>
      </c>
      <c r="DU141" s="549">
        <f>DU142-DU140</f>
        <v>0.29901749858387128</v>
      </c>
      <c r="DV141" s="306">
        <f>DV148/DV150</f>
        <v>0.28844507386220553</v>
      </c>
      <c r="DW141" s="699">
        <f>DW148/DW150</f>
        <v>0.29588063356007943</v>
      </c>
      <c r="DX141" s="549">
        <f>DX142-DX140</f>
        <v>0.28844507386220564</v>
      </c>
      <c r="DY141" s="549">
        <f>DY142-DY140</f>
        <v>0.27787264914054</v>
      </c>
      <c r="DZ141" s="699">
        <f>DZ148/DZ150</f>
        <v>0.29047304029198084</v>
      </c>
      <c r="EA141" s="549">
        <f>EA142-EA140</f>
        <v>0.27787264914054</v>
      </c>
      <c r="EB141" s="549">
        <f>EB142-EB140</f>
        <v>0.26730022441887435</v>
      </c>
      <c r="EC141" s="699">
        <f>EC148/EC150</f>
        <v>0.29047304029198084</v>
      </c>
      <c r="ED141" s="549">
        <f>ED142-ED140</f>
        <v>0.27787264914054</v>
      </c>
      <c r="EE141" s="549">
        <f>EE142-EE140</f>
        <v>0.26730022441887435</v>
      </c>
      <c r="EF141" s="699">
        <f>EF148/EF150</f>
        <v>0.29047304029198079</v>
      </c>
      <c r="EG141" s="549">
        <f>EG142-EG140</f>
        <v>0.27787264914054</v>
      </c>
      <c r="EH141" s="549">
        <f>EH142-EH140</f>
        <v>0.26730022441887435</v>
      </c>
      <c r="EI141" s="699">
        <f>EI148/EI150</f>
        <v>0.29047304029198084</v>
      </c>
      <c r="EJ141" s="549">
        <f>EJ142-EJ140</f>
        <v>0.27787264914054</v>
      </c>
      <c r="EK141" s="549">
        <f>EK142-EK140</f>
        <v>0.26730022441887435</v>
      </c>
      <c r="EL141" s="699">
        <f>EL148/EL150</f>
        <v>0.29047304029198084</v>
      </c>
      <c r="EM141" s="549">
        <f>EM142-EM140</f>
        <v>0.27787264914054</v>
      </c>
      <c r="EN141" s="549">
        <f>EN142-EN140</f>
        <v>0.26730022441887435</v>
      </c>
      <c r="EO141" s="699">
        <f>EO148/EO150</f>
        <v>0.29047304029198084</v>
      </c>
      <c r="EP141" s="549">
        <f>EP142-EP140</f>
        <v>0.27787264914054</v>
      </c>
      <c r="EQ141" s="549">
        <f>EQ142-EQ140</f>
        <v>0.26730022441887435</v>
      </c>
      <c r="ER141" s="699">
        <f>ER148/ER150</f>
        <v>0.2904730402919809</v>
      </c>
      <c r="ES141" s="549">
        <f>ES142-ES140</f>
        <v>0.27787264914054</v>
      </c>
      <c r="ET141" s="549">
        <f>ET142-ET140</f>
        <v>0.26730022441887435</v>
      </c>
      <c r="EU141" s="699">
        <f>EU148/EU150</f>
        <v>0.29047304029198084</v>
      </c>
      <c r="EV141" s="549">
        <f>EV142-EV140</f>
        <v>0.27787264914054</v>
      </c>
      <c r="EW141" s="549">
        <f>EW142-EW140</f>
        <v>0.26730022441887435</v>
      </c>
      <c r="EX141" s="699">
        <f>EX148/EX150</f>
        <v>0.2904730402919809</v>
      </c>
      <c r="EY141" s="549">
        <f>EY142-EY140</f>
        <v>0.27787264914054</v>
      </c>
      <c r="EZ141" s="549">
        <f>EZ142-EZ140</f>
        <v>0.26730022441887435</v>
      </c>
      <c r="FA141" s="545">
        <f>FA148/FA150</f>
        <v>0.29047304029198096</v>
      </c>
    </row>
    <row r="142" spans="1:184" ht="13.35" customHeight="1">
      <c r="A142" s="760"/>
      <c r="C142" s="218" t="s">
        <v>487</v>
      </c>
      <c r="D142" s="294" t="s">
        <v>507</v>
      </c>
      <c r="E142" s="251"/>
      <c r="F142" s="251"/>
      <c r="G142" s="252"/>
      <c r="H142" s="251"/>
      <c r="I142" s="251"/>
      <c r="J142" s="252"/>
      <c r="K142" s="251"/>
      <c r="L142" s="251"/>
      <c r="M142" s="252"/>
      <c r="N142" s="251"/>
      <c r="O142" s="251"/>
      <c r="P142" s="252"/>
      <c r="Q142" s="251"/>
      <c r="R142" s="251"/>
      <c r="S142" s="252"/>
      <c r="T142" s="251"/>
      <c r="U142" s="251"/>
      <c r="V142" s="252"/>
      <c r="W142" s="251"/>
      <c r="X142" s="251"/>
      <c r="Y142" s="252"/>
      <c r="Z142" s="251"/>
      <c r="AA142" s="251"/>
      <c r="AB142" s="252"/>
      <c r="AC142" s="251"/>
      <c r="AD142" s="251"/>
      <c r="AE142" s="252"/>
      <c r="AF142" s="251"/>
      <c r="AG142" s="251"/>
      <c r="AH142" s="252"/>
      <c r="AI142" s="251"/>
      <c r="AJ142" s="251"/>
      <c r="AK142" s="252"/>
      <c r="AL142" s="251"/>
      <c r="AM142" s="251"/>
      <c r="AN142" s="252"/>
      <c r="AO142" s="251"/>
      <c r="AP142" s="251"/>
      <c r="AQ142" s="252"/>
      <c r="AR142" s="251"/>
      <c r="AS142" s="251"/>
      <c r="AT142" s="252"/>
      <c r="AU142" s="251"/>
      <c r="AV142" s="251"/>
      <c r="AW142" s="252"/>
      <c r="AX142" s="251"/>
      <c r="AY142" s="251"/>
      <c r="AZ142" s="252"/>
      <c r="BA142" s="251"/>
      <c r="BB142" s="251"/>
      <c r="BC142" s="252"/>
      <c r="BD142" s="251"/>
      <c r="BE142" s="251"/>
      <c r="BF142" s="252"/>
      <c r="BG142" s="251"/>
      <c r="BH142" s="251"/>
      <c r="BI142" s="252"/>
      <c r="BJ142" s="251"/>
      <c r="BK142" s="251"/>
      <c r="BL142" s="252"/>
      <c r="BM142" s="259"/>
      <c r="BN142" s="259"/>
      <c r="BO142" s="260"/>
      <c r="BP142" s="259"/>
      <c r="BQ142" s="259"/>
      <c r="BR142" s="260"/>
      <c r="BS142" s="259"/>
      <c r="BT142" s="259"/>
      <c r="BU142" s="261"/>
      <c r="BV142" s="286"/>
      <c r="BW142" s="286"/>
      <c r="BX142" s="287"/>
      <c r="BY142" s="286"/>
      <c r="BZ142" s="286"/>
      <c r="CA142" s="287"/>
      <c r="CB142" s="286"/>
      <c r="CC142" s="286"/>
      <c r="CD142" s="287"/>
      <c r="CE142" s="286"/>
      <c r="CF142" s="286"/>
      <c r="CG142" s="287"/>
      <c r="CH142" s="286"/>
      <c r="CI142" s="286"/>
      <c r="CJ142" s="66"/>
      <c r="CK142" s="284"/>
      <c r="CL142" s="284"/>
      <c r="CM142" s="66"/>
      <c r="CN142" s="284"/>
      <c r="CO142" s="284"/>
      <c r="CP142" s="66"/>
      <c r="CQ142" s="284"/>
      <c r="CR142" s="284"/>
      <c r="CS142" s="66"/>
      <c r="CT142" s="295"/>
      <c r="CU142" s="295"/>
      <c r="CV142" s="66"/>
      <c r="CW142" s="295"/>
      <c r="CX142" s="295"/>
      <c r="CY142" s="306"/>
      <c r="CZ142" s="546"/>
      <c r="DA142" s="546"/>
      <c r="DB142" s="306"/>
      <c r="DC142" s="546"/>
      <c r="DD142" s="546"/>
      <c r="DE142" s="786"/>
      <c r="DF142" s="546"/>
      <c r="DG142" s="546"/>
      <c r="DH142" s="786"/>
      <c r="DI142" s="546">
        <v>1</v>
      </c>
      <c r="DJ142" s="546">
        <v>1</v>
      </c>
      <c r="DK142" s="699">
        <v>0.99999999999999989</v>
      </c>
      <c r="DL142" s="549">
        <v>1</v>
      </c>
      <c r="DM142" s="549">
        <v>1</v>
      </c>
      <c r="DN142" s="699">
        <v>0.99999999999999989</v>
      </c>
      <c r="DO142" s="549">
        <v>1</v>
      </c>
      <c r="DP142" s="549">
        <v>1</v>
      </c>
      <c r="DQ142" s="699">
        <v>0.99999999999999989</v>
      </c>
      <c r="DR142" s="549">
        <v>1</v>
      </c>
      <c r="DS142" s="549">
        <v>1</v>
      </c>
      <c r="DT142" s="699">
        <v>0.99999999999999989</v>
      </c>
      <c r="DU142" s="549">
        <v>1</v>
      </c>
      <c r="DV142" s="549">
        <v>1</v>
      </c>
      <c r="DW142" s="699">
        <v>0.99999999999999989</v>
      </c>
      <c r="DX142" s="549">
        <v>1</v>
      </c>
      <c r="DY142" s="549">
        <v>1</v>
      </c>
      <c r="DZ142" s="699">
        <v>0.99999999999999989</v>
      </c>
      <c r="EA142" s="549">
        <v>1</v>
      </c>
      <c r="EB142" s="549">
        <v>1</v>
      </c>
      <c r="EC142" s="699">
        <v>0.99999999999999989</v>
      </c>
      <c r="ED142" s="549">
        <v>1</v>
      </c>
      <c r="EE142" s="549">
        <v>1</v>
      </c>
      <c r="EF142" s="699">
        <v>0.99999999999999989</v>
      </c>
      <c r="EG142" s="549">
        <v>1</v>
      </c>
      <c r="EH142" s="549">
        <v>1</v>
      </c>
      <c r="EI142" s="699">
        <v>0.99999999999999989</v>
      </c>
      <c r="EJ142" s="549">
        <v>1</v>
      </c>
      <c r="EK142" s="549">
        <v>1</v>
      </c>
      <c r="EL142" s="699">
        <v>0.99999999999999989</v>
      </c>
      <c r="EM142" s="549">
        <v>1</v>
      </c>
      <c r="EN142" s="549">
        <v>1</v>
      </c>
      <c r="EO142" s="699">
        <v>0.99999999999999989</v>
      </c>
      <c r="EP142" s="549">
        <v>1</v>
      </c>
      <c r="EQ142" s="549">
        <v>1</v>
      </c>
      <c r="ER142" s="699">
        <v>0.99999999999999989</v>
      </c>
      <c r="ES142" s="549">
        <v>1</v>
      </c>
      <c r="ET142" s="549">
        <v>1</v>
      </c>
      <c r="EU142" s="699">
        <v>1</v>
      </c>
      <c r="EV142" s="549">
        <v>1</v>
      </c>
      <c r="EW142" s="549">
        <v>1</v>
      </c>
      <c r="EX142" s="699">
        <v>1</v>
      </c>
      <c r="EY142" s="549">
        <v>1</v>
      </c>
      <c r="EZ142" s="549">
        <v>1</v>
      </c>
      <c r="FA142" s="545">
        <v>1</v>
      </c>
    </row>
    <row r="143" spans="1:184" ht="13.35" customHeight="1">
      <c r="A143" s="760"/>
      <c r="C143" s="218"/>
      <c r="E143" s="251"/>
      <c r="F143" s="251"/>
      <c r="G143" s="252"/>
      <c r="H143" s="251"/>
      <c r="I143" s="251"/>
      <c r="J143" s="252"/>
      <c r="K143" s="251"/>
      <c r="L143" s="251"/>
      <c r="M143" s="252"/>
      <c r="N143" s="251"/>
      <c r="O143" s="251"/>
      <c r="P143" s="252"/>
      <c r="Q143" s="251"/>
      <c r="R143" s="251"/>
      <c r="S143" s="252"/>
      <c r="T143" s="251"/>
      <c r="U143" s="251"/>
      <c r="V143" s="252"/>
      <c r="W143" s="251"/>
      <c r="X143" s="251"/>
      <c r="Y143" s="252"/>
      <c r="Z143" s="251"/>
      <c r="AA143" s="251"/>
      <c r="AB143" s="252"/>
      <c r="AC143" s="251"/>
      <c r="AD143" s="251"/>
      <c r="AE143" s="252"/>
      <c r="AF143" s="251"/>
      <c r="AG143" s="251"/>
      <c r="AH143" s="252"/>
      <c r="AI143" s="251"/>
      <c r="AJ143" s="251"/>
      <c r="AK143" s="252"/>
      <c r="AL143" s="251"/>
      <c r="AM143" s="251"/>
      <c r="AN143" s="252"/>
      <c r="AO143" s="251"/>
      <c r="AP143" s="251"/>
      <c r="AQ143" s="252"/>
      <c r="AR143" s="251"/>
      <c r="AS143" s="251"/>
      <c r="AT143" s="252"/>
      <c r="AU143" s="251"/>
      <c r="AV143" s="251"/>
      <c r="AW143" s="252"/>
      <c r="AX143" s="251"/>
      <c r="AY143" s="251"/>
      <c r="AZ143" s="252"/>
      <c r="BA143" s="251"/>
      <c r="BB143" s="251"/>
      <c r="BC143" s="252"/>
      <c r="BD143" s="251"/>
      <c r="BE143" s="251"/>
      <c r="BF143" s="252"/>
      <c r="BG143" s="251"/>
      <c r="BH143" s="251"/>
      <c r="BI143" s="252"/>
      <c r="BJ143" s="251"/>
      <c r="BK143" s="251"/>
      <c r="BL143" s="252"/>
      <c r="BM143" s="259"/>
      <c r="BN143" s="259"/>
      <c r="BO143" s="260"/>
      <c r="BP143" s="259"/>
      <c r="BQ143" s="259"/>
      <c r="BR143" s="260"/>
      <c r="BS143" s="259"/>
      <c r="BT143" s="259"/>
      <c r="BU143" s="261"/>
      <c r="BV143" s="286"/>
      <c r="BW143" s="286"/>
      <c r="BX143" s="287"/>
      <c r="BY143" s="286"/>
      <c r="BZ143" s="286"/>
      <c r="CA143" s="287"/>
      <c r="CB143" s="286"/>
      <c r="CC143" s="286"/>
      <c r="CD143" s="287"/>
      <c r="CE143" s="286"/>
      <c r="CF143" s="286"/>
      <c r="CG143" s="287"/>
      <c r="CH143" s="286"/>
      <c r="CI143" s="286"/>
      <c r="CJ143" s="66"/>
      <c r="CK143" s="284"/>
      <c r="CL143" s="284"/>
      <c r="CM143" s="66"/>
      <c r="CN143" s="284"/>
      <c r="CO143" s="284"/>
      <c r="CP143" s="66"/>
      <c r="CQ143" s="284"/>
      <c r="CR143" s="284"/>
      <c r="CS143" s="66"/>
      <c r="CT143" s="295"/>
      <c r="CU143" s="295"/>
      <c r="CV143" s="66"/>
      <c r="CW143" s="295"/>
      <c r="CX143" s="295"/>
      <c r="CY143" s="306"/>
      <c r="CZ143" s="546"/>
      <c r="DA143" s="546"/>
      <c r="DB143" s="306"/>
      <c r="DC143" s="546"/>
      <c r="DD143" s="546"/>
      <c r="DE143" s="786"/>
      <c r="DF143" s="546"/>
      <c r="DG143" s="546"/>
      <c r="DH143" s="786"/>
      <c r="DJ143" s="546"/>
      <c r="DK143" s="699"/>
      <c r="DL143" s="745" t="s">
        <v>865</v>
      </c>
      <c r="DM143" s="546"/>
      <c r="DN143" s="699"/>
      <c r="DO143" s="546"/>
      <c r="DP143" s="546"/>
      <c r="DQ143" s="699"/>
      <c r="DR143" s="546"/>
      <c r="DS143" s="546"/>
      <c r="DT143" s="699"/>
      <c r="DU143" s="546"/>
      <c r="DV143" s="546"/>
      <c r="DW143" s="699"/>
      <c r="DX143" s="546"/>
      <c r="DY143" s="546"/>
      <c r="DZ143" s="699"/>
      <c r="EA143" s="546"/>
      <c r="EB143" s="546"/>
      <c r="EC143" s="699"/>
      <c r="ED143" s="546"/>
      <c r="EE143" s="546"/>
      <c r="EF143" s="699"/>
      <c r="EG143" s="546"/>
      <c r="EH143" s="546"/>
      <c r="EI143" s="699"/>
      <c r="EJ143" s="546"/>
      <c r="EK143" s="546"/>
      <c r="EL143" s="699"/>
      <c r="EM143" s="546"/>
      <c r="EN143" s="546"/>
      <c r="EO143" s="699"/>
      <c r="EP143" s="546"/>
      <c r="EQ143" s="546"/>
      <c r="ER143" s="699"/>
      <c r="ES143" s="546"/>
      <c r="ET143" s="546"/>
      <c r="EU143" s="699"/>
      <c r="EV143" s="546"/>
      <c r="EW143" s="546"/>
      <c r="EX143" s="699"/>
      <c r="EY143" s="546"/>
      <c r="EZ143" s="546"/>
      <c r="FA143" s="545"/>
    </row>
    <row r="144" spans="1:184" ht="13.35" customHeight="1">
      <c r="A144" s="989" t="s">
        <v>356</v>
      </c>
      <c r="C144" s="177" t="s">
        <v>437</v>
      </c>
      <c r="D144" s="250" t="s">
        <v>360</v>
      </c>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89"/>
      <c r="BH144" s="5"/>
      <c r="BI144" s="5"/>
      <c r="BJ144" s="5"/>
      <c r="BK144" s="5"/>
      <c r="BL144" s="5"/>
      <c r="BM144" s="297"/>
      <c r="BN144" s="297"/>
      <c r="BO144" s="298"/>
      <c r="BP144" s="297"/>
      <c r="BQ144" s="297"/>
      <c r="BR144" s="298"/>
      <c r="BS144" s="297"/>
      <c r="BT144" s="297"/>
      <c r="BU144" s="299"/>
      <c r="BV144" s="184"/>
      <c r="BW144" s="184"/>
      <c r="BX144" s="185"/>
      <c r="BY144" s="184"/>
      <c r="BZ144" s="184"/>
      <c r="CA144" s="185"/>
      <c r="CB144" s="184"/>
      <c r="CC144" s="184"/>
      <c r="CD144" s="185"/>
      <c r="CE144" s="184"/>
      <c r="CF144" s="184"/>
      <c r="CG144" s="185"/>
      <c r="CH144" s="184"/>
      <c r="CI144" s="184"/>
      <c r="CJ144" s="185"/>
      <c r="CK144" s="184"/>
      <c r="CL144" s="184"/>
      <c r="CM144" s="185"/>
      <c r="CN144" s="184"/>
      <c r="CO144" s="184"/>
      <c r="CP144" s="185"/>
      <c r="CQ144" s="184"/>
      <c r="CR144" s="184"/>
      <c r="CS144" s="185"/>
      <c r="CT144" s="184"/>
      <c r="CU144" s="184"/>
      <c r="CV144" s="185"/>
      <c r="CW144" s="184"/>
      <c r="CX144" s="184"/>
      <c r="CY144" s="301"/>
      <c r="CZ144" s="300"/>
      <c r="DA144" s="300"/>
      <c r="DB144" s="301"/>
      <c r="DC144" s="300"/>
      <c r="DD144" s="300"/>
      <c r="DE144" s="787"/>
      <c r="DF144" s="300"/>
      <c r="DG144" s="300"/>
      <c r="DH144" s="787"/>
      <c r="DI144" s="758">
        <v>0</v>
      </c>
      <c r="DJ144" s="758">
        <v>0</v>
      </c>
      <c r="DK144" s="754">
        <v>0</v>
      </c>
      <c r="DL144" s="758">
        <v>0</v>
      </c>
      <c r="DM144" s="758">
        <v>0</v>
      </c>
      <c r="DN144" s="754">
        <v>0</v>
      </c>
      <c r="DO144" s="758">
        <v>0</v>
      </c>
      <c r="DP144" s="758">
        <v>0</v>
      </c>
      <c r="DQ144" s="754">
        <v>0</v>
      </c>
      <c r="DR144" s="758">
        <v>0</v>
      </c>
      <c r="DS144" s="758">
        <v>0</v>
      </c>
      <c r="DT144" s="754">
        <f>SUM(DR144:DS144)</f>
        <v>0</v>
      </c>
      <c r="DU144" s="758">
        <f>DR144</f>
        <v>0</v>
      </c>
      <c r="DV144" s="758">
        <v>0</v>
      </c>
      <c r="DW144" s="754">
        <f>SUM(DU144:DV144)</f>
        <v>0</v>
      </c>
      <c r="DX144" s="758">
        <f>DU144</f>
        <v>0</v>
      </c>
      <c r="DY144" s="758">
        <f>DV144</f>
        <v>0</v>
      </c>
      <c r="DZ144" s="754">
        <f>SUM(DX144:DY144)</f>
        <v>0</v>
      </c>
      <c r="EA144" s="758">
        <f>DX144</f>
        <v>0</v>
      </c>
      <c r="EB144" s="758">
        <f>DY144</f>
        <v>0</v>
      </c>
      <c r="EC144" s="754">
        <f>SUM(EA144:EB144)</f>
        <v>0</v>
      </c>
      <c r="ED144" s="758">
        <f>EA144</f>
        <v>0</v>
      </c>
      <c r="EE144" s="758">
        <f>EB144</f>
        <v>0</v>
      </c>
      <c r="EF144" s="754">
        <f>SUM(ED144:EE144)</f>
        <v>0</v>
      </c>
      <c r="EG144" s="758">
        <f>ED144</f>
        <v>0</v>
      </c>
      <c r="EH144" s="758">
        <f>EE144</f>
        <v>0</v>
      </c>
      <c r="EI144" s="754">
        <f>SUM(EG144:EH144)</f>
        <v>0</v>
      </c>
      <c r="EJ144" s="758">
        <f>EG144</f>
        <v>0</v>
      </c>
      <c r="EK144" s="758">
        <f>EH144</f>
        <v>0</v>
      </c>
      <c r="EL144" s="754">
        <f>SUM(EJ144:EK144)</f>
        <v>0</v>
      </c>
      <c r="EM144" s="758">
        <f>EJ144</f>
        <v>0</v>
      </c>
      <c r="EN144" s="758">
        <f>EK144</f>
        <v>0</v>
      </c>
      <c r="EO144" s="754">
        <f>SUM(EM144:EN144)</f>
        <v>0</v>
      </c>
      <c r="EP144" s="758">
        <f>EM144</f>
        <v>0</v>
      </c>
      <c r="EQ144" s="758">
        <f>EN144</f>
        <v>0</v>
      </c>
      <c r="ER144" s="754">
        <f>SUM(EP144:EQ144)</f>
        <v>0</v>
      </c>
      <c r="ES144" s="758">
        <f>EP144</f>
        <v>0</v>
      </c>
      <c r="ET144" s="758">
        <f>EQ144</f>
        <v>0</v>
      </c>
      <c r="EU144" s="754">
        <f>SUM(ES144:ET144)</f>
        <v>0</v>
      </c>
      <c r="EV144" s="758">
        <f>ES144</f>
        <v>0</v>
      </c>
      <c r="EW144" s="758">
        <f>ET144</f>
        <v>0</v>
      </c>
      <c r="EX144" s="754">
        <f>SUM(EV144:EW144)</f>
        <v>0</v>
      </c>
      <c r="EY144" s="758">
        <f>EV144</f>
        <v>0</v>
      </c>
      <c r="EZ144" s="758">
        <f>EW144</f>
        <v>0</v>
      </c>
      <c r="FA144" s="759">
        <f>SUM(EY144:EZ144)</f>
        <v>0</v>
      </c>
    </row>
    <row r="145" spans="1:157" ht="13.35" customHeight="1">
      <c r="A145" s="760"/>
      <c r="C145" s="177" t="s">
        <v>178</v>
      </c>
      <c r="D145" s="250" t="s">
        <v>507</v>
      </c>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79"/>
      <c r="BH145" s="4"/>
      <c r="BI145" s="4"/>
      <c r="BJ145" s="4"/>
      <c r="BK145" s="4"/>
      <c r="BL145" s="4"/>
      <c r="BM145" s="4"/>
      <c r="BN145" s="4"/>
      <c r="BO145" s="4"/>
      <c r="BP145" s="259"/>
      <c r="BQ145" s="259"/>
      <c r="BR145" s="260"/>
      <c r="BS145" s="259"/>
      <c r="BT145" s="259"/>
      <c r="BU145" s="261"/>
      <c r="BV145" s="259"/>
      <c r="BW145" s="259"/>
      <c r="BX145" s="260"/>
      <c r="BY145" s="259"/>
      <c r="BZ145" s="259"/>
      <c r="CA145" s="260"/>
      <c r="CB145" s="259"/>
      <c r="CC145" s="259"/>
      <c r="CD145" s="260"/>
      <c r="CE145" s="259"/>
      <c r="CF145" s="259"/>
      <c r="CG145" s="260"/>
      <c r="CH145" s="259"/>
      <c r="CI145" s="259"/>
      <c r="CJ145" s="260"/>
      <c r="CK145" s="259"/>
      <c r="CL145" s="259"/>
      <c r="CM145" s="260"/>
      <c r="CN145" s="259"/>
      <c r="CO145" s="259"/>
      <c r="CP145" s="260"/>
      <c r="CQ145" s="259"/>
      <c r="CR145" s="259"/>
      <c r="CS145" s="260"/>
      <c r="CT145" s="259"/>
      <c r="CU145" s="259"/>
      <c r="CV145" s="260"/>
      <c r="CW145" s="259"/>
      <c r="CX145" s="259"/>
      <c r="CY145" s="334"/>
      <c r="CZ145" s="333"/>
      <c r="DA145" s="333"/>
      <c r="DB145" s="334"/>
      <c r="DC145" s="333"/>
      <c r="DD145" s="333"/>
      <c r="DE145" s="788"/>
      <c r="DF145" s="333"/>
      <c r="DG145" s="333"/>
      <c r="DH145" s="788"/>
      <c r="DI145" s="755"/>
      <c r="DJ145" s="755"/>
      <c r="DK145" s="756">
        <v>0</v>
      </c>
      <c r="DL145" s="755">
        <v>0</v>
      </c>
      <c r="DM145" s="755">
        <v>0</v>
      </c>
      <c r="DN145" s="756">
        <v>0</v>
      </c>
      <c r="DO145" s="755">
        <v>0</v>
      </c>
      <c r="DP145" s="755">
        <v>0</v>
      </c>
      <c r="DQ145" s="756">
        <v>0</v>
      </c>
      <c r="DR145" s="755">
        <v>0</v>
      </c>
      <c r="DS145" s="755">
        <v>0</v>
      </c>
      <c r="DT145" s="756">
        <v>0</v>
      </c>
      <c r="DU145" s="755">
        <v>0</v>
      </c>
      <c r="DV145" s="755">
        <v>0</v>
      </c>
      <c r="DW145" s="756">
        <v>0</v>
      </c>
      <c r="DX145" s="755">
        <v>0</v>
      </c>
      <c r="DY145" s="755">
        <v>0</v>
      </c>
      <c r="DZ145" s="756">
        <v>0</v>
      </c>
      <c r="EA145" s="755">
        <v>0</v>
      </c>
      <c r="EB145" s="755">
        <v>0</v>
      </c>
      <c r="EC145" s="756">
        <v>0</v>
      </c>
      <c r="ED145" s="755">
        <v>0</v>
      </c>
      <c r="EE145" s="755">
        <v>0</v>
      </c>
      <c r="EF145" s="756">
        <v>0</v>
      </c>
      <c r="EG145" s="755">
        <v>0</v>
      </c>
      <c r="EH145" s="755">
        <v>0</v>
      </c>
      <c r="EI145" s="756">
        <v>0</v>
      </c>
      <c r="EJ145" s="755">
        <v>0</v>
      </c>
      <c r="EK145" s="755">
        <v>0</v>
      </c>
      <c r="EL145" s="756">
        <v>0</v>
      </c>
      <c r="EM145" s="755">
        <v>0</v>
      </c>
      <c r="EN145" s="755">
        <v>0</v>
      </c>
      <c r="EO145" s="756">
        <v>0</v>
      </c>
      <c r="EP145" s="755">
        <v>0</v>
      </c>
      <c r="EQ145" s="755">
        <v>0</v>
      </c>
      <c r="ER145" s="756">
        <v>0</v>
      </c>
      <c r="ES145" s="755">
        <v>0</v>
      </c>
      <c r="ET145" s="755">
        <v>0</v>
      </c>
      <c r="EU145" s="756">
        <v>0</v>
      </c>
      <c r="EV145" s="755">
        <v>0</v>
      </c>
      <c r="EW145" s="755">
        <v>0</v>
      </c>
      <c r="EX145" s="756">
        <v>0</v>
      </c>
      <c r="EY145" s="755">
        <v>0</v>
      </c>
      <c r="EZ145" s="755">
        <v>0</v>
      </c>
      <c r="FA145" s="757">
        <v>0</v>
      </c>
    </row>
    <row r="146" spans="1:157" ht="13.35" customHeight="1">
      <c r="A146" s="760" t="s">
        <v>355</v>
      </c>
      <c r="C146" s="177" t="s">
        <v>438</v>
      </c>
      <c r="D146" s="250" t="str">
        <f>D144</f>
        <v>g mn</v>
      </c>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79"/>
      <c r="BH146" s="4"/>
      <c r="BI146" s="4"/>
      <c r="BJ146" s="4"/>
      <c r="BK146" s="4"/>
      <c r="BL146" s="4"/>
      <c r="BM146" s="198"/>
      <c r="BN146" s="198"/>
      <c r="BO146" s="79"/>
      <c r="BP146" s="198"/>
      <c r="BQ146" s="198"/>
      <c r="BR146" s="79"/>
      <c r="BS146" s="198"/>
      <c r="BT146" s="198"/>
      <c r="BU146" s="254"/>
      <c r="BV146" s="184"/>
      <c r="BW146" s="184"/>
      <c r="BX146" s="185"/>
      <c r="BY146" s="184"/>
      <c r="BZ146" s="184"/>
      <c r="CA146" s="185"/>
      <c r="CB146" s="184"/>
      <c r="CC146" s="184"/>
      <c r="CD146" s="185"/>
      <c r="CE146" s="184"/>
      <c r="CF146" s="184"/>
      <c r="CG146" s="185"/>
      <c r="CH146" s="184"/>
      <c r="CI146" s="184"/>
      <c r="CJ146" s="185"/>
      <c r="CK146" s="184"/>
      <c r="CL146" s="184"/>
      <c r="CM146" s="185"/>
      <c r="CN146" s="184"/>
      <c r="CO146" s="184"/>
      <c r="CP146" s="185"/>
      <c r="CQ146" s="184"/>
      <c r="CR146" s="184"/>
      <c r="CS146" s="185"/>
      <c r="CT146" s="184"/>
      <c r="CU146" s="184"/>
      <c r="CV146" s="185"/>
      <c r="CW146" s="184"/>
      <c r="CX146" s="184"/>
      <c r="CY146" s="301"/>
      <c r="CZ146" s="300"/>
      <c r="DA146" s="300"/>
      <c r="DB146" s="301"/>
      <c r="DC146" s="300"/>
      <c r="DD146" s="300"/>
      <c r="DE146" s="787"/>
      <c r="DF146" s="300"/>
      <c r="DG146" s="300"/>
      <c r="DH146" s="787"/>
      <c r="DI146" s="479">
        <f t="shared" ref="DI146:DT146" si="220">+DI162/DI155</f>
        <v>22.976484059948497</v>
      </c>
      <c r="DJ146" s="479">
        <f t="shared" si="220"/>
        <v>20.483048845199729</v>
      </c>
      <c r="DK146" s="835">
        <f t="shared" si="220"/>
        <v>43.459532905148222</v>
      </c>
      <c r="DL146" s="479">
        <f t="shared" si="220"/>
        <v>19.575170037422538</v>
      </c>
      <c r="DM146" s="479">
        <f t="shared" si="220"/>
        <v>18.947739427687484</v>
      </c>
      <c r="DN146" s="835">
        <f t="shared" si="220"/>
        <v>38.512266499782804</v>
      </c>
      <c r="DO146" s="479">
        <f t="shared" si="220"/>
        <v>19.222935741996903</v>
      </c>
      <c r="DP146" s="479">
        <f t="shared" si="220"/>
        <v>21.711807352195322</v>
      </c>
      <c r="DQ146" s="835">
        <f t="shared" si="220"/>
        <v>40.97696126754915</v>
      </c>
      <c r="DR146" s="620">
        <f t="shared" si="220"/>
        <v>24.783891483884286</v>
      </c>
      <c r="DS146" s="620">
        <f t="shared" si="220"/>
        <v>25.637884720300882</v>
      </c>
      <c r="DT146" s="835">
        <f t="shared" si="220"/>
        <v>50.428051850910812</v>
      </c>
      <c r="DU146" s="620">
        <f>+DU162/DU155</f>
        <v>27.546125490588782</v>
      </c>
      <c r="DV146" s="620">
        <f>+DV162/DV155</f>
        <v>25.21301853561561</v>
      </c>
      <c r="DW146" s="835">
        <f>+DW162/DW155</f>
        <v>52.741998978213147</v>
      </c>
      <c r="DX146" s="620">
        <f>+DX162/DX155</f>
        <v>26.451416828760699</v>
      </c>
      <c r="DY146" s="301">
        <f>DY162/DY155</f>
        <v>28.458258545150301</v>
      </c>
      <c r="DZ146" s="698">
        <f>SUM(DX146:DY146)</f>
        <v>54.909675373911</v>
      </c>
      <c r="EA146" s="301">
        <f>EA162/EA155</f>
        <v>28.415630949708277</v>
      </c>
      <c r="EB146" s="301">
        <f>EB162/EB155</f>
        <v>30.571495565829775</v>
      </c>
      <c r="EC146" s="698">
        <f>SUM(EA146:EB146)</f>
        <v>58.987126515538051</v>
      </c>
      <c r="ED146" s="750">
        <f>EA146*(1+ED147)</f>
        <v>30.404725116187858</v>
      </c>
      <c r="EE146" s="750">
        <f>EB146*(1+EE147)</f>
        <v>32.711500255437862</v>
      </c>
      <c r="EF146" s="751">
        <f>SUM(ED146:EE146)</f>
        <v>63.116225371625717</v>
      </c>
      <c r="EG146" s="750">
        <f>ED146*(1+EG147)</f>
        <v>32.533055874321008</v>
      </c>
      <c r="EH146" s="750">
        <f>EE146*(1+EH147)</f>
        <v>35.001305273318515</v>
      </c>
      <c r="EI146" s="751">
        <f>SUM(EG146:EH146)</f>
        <v>67.534361147639515</v>
      </c>
      <c r="EJ146" s="750">
        <f>EG146*(1+EJ147)</f>
        <v>34.810369785523477</v>
      </c>
      <c r="EK146" s="750">
        <f>EH146*(1+EK147)</f>
        <v>37.45139664245081</v>
      </c>
      <c r="EL146" s="751">
        <f>SUM(EJ146:EK146)</f>
        <v>72.261766427974294</v>
      </c>
      <c r="EM146" s="750">
        <f>EJ146*(1+EM147)</f>
        <v>37.24709567051012</v>
      </c>
      <c r="EN146" s="750">
        <f>EK146*(1+EN147)</f>
        <v>40.072994407422371</v>
      </c>
      <c r="EO146" s="751">
        <f>SUM(EM146:EN146)</f>
        <v>77.320090077932491</v>
      </c>
      <c r="EP146" s="750">
        <f>EM146*(1+EP147)</f>
        <v>39.854392367445833</v>
      </c>
      <c r="EQ146" s="750">
        <f>EN146*(1+EQ147)</f>
        <v>42.878104015941936</v>
      </c>
      <c r="ER146" s="751">
        <f>SUM(EP146:EQ146)</f>
        <v>82.732496383387769</v>
      </c>
      <c r="ES146" s="750">
        <f>EP146*(1+ES147)</f>
        <v>42.644199833167043</v>
      </c>
      <c r="ET146" s="750">
        <f>EQ146*(1+ET147)</f>
        <v>45.879571297057872</v>
      </c>
      <c r="EU146" s="751">
        <f>SUM(ES146:ET146)</f>
        <v>88.523771130224915</v>
      </c>
      <c r="EV146" s="750">
        <f>ES146*(1+EV147)</f>
        <v>45.629293821488737</v>
      </c>
      <c r="EW146" s="750">
        <f>ET146*(1+EW147)</f>
        <v>49.091141287851926</v>
      </c>
      <c r="EX146" s="751">
        <f>SUM(EV146:EW146)</f>
        <v>94.720435109340656</v>
      </c>
      <c r="EY146" s="750">
        <f>EV146*(1+EY147)</f>
        <v>48.82334438899295</v>
      </c>
      <c r="EZ146" s="750">
        <f>EW146*(1+EZ147)</f>
        <v>52.527521178001564</v>
      </c>
      <c r="FA146" s="752">
        <f>SUM(EY146:EZ146)</f>
        <v>101.35086556699451</v>
      </c>
    </row>
    <row r="147" spans="1:157" ht="13.35" customHeight="1">
      <c r="A147" s="760"/>
      <c r="B147" s="176"/>
      <c r="C147" s="177" t="s">
        <v>178</v>
      </c>
      <c r="D147" s="250" t="str">
        <f>D145</f>
        <v>%</v>
      </c>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79"/>
      <c r="BH147" s="4"/>
      <c r="BI147" s="4"/>
      <c r="BJ147" s="4"/>
      <c r="BK147" s="4"/>
      <c r="BL147" s="4"/>
      <c r="BM147" s="198"/>
      <c r="BN147" s="251"/>
      <c r="BO147" s="4"/>
      <c r="BP147" s="259"/>
      <c r="BQ147" s="259"/>
      <c r="BR147" s="260"/>
      <c r="BS147" s="259"/>
      <c r="BT147" s="259"/>
      <c r="BU147" s="261"/>
      <c r="BV147" s="300"/>
      <c r="BW147" s="300"/>
      <c r="BX147" s="301"/>
      <c r="BY147" s="300"/>
      <c r="BZ147" s="302"/>
      <c r="CA147" s="303"/>
      <c r="CB147" s="302"/>
      <c r="CC147" s="302"/>
      <c r="CD147" s="303"/>
      <c r="CE147" s="302"/>
      <c r="CF147" s="302"/>
      <c r="CG147" s="303"/>
      <c r="CH147" s="302"/>
      <c r="CI147" s="302"/>
      <c r="CJ147" s="303"/>
      <c r="CK147" s="302"/>
      <c r="CL147" s="302"/>
      <c r="CM147" s="303"/>
      <c r="CN147" s="304"/>
      <c r="CO147" s="305"/>
      <c r="CP147" s="306"/>
      <c r="CQ147" s="304"/>
      <c r="CR147" s="304"/>
      <c r="CS147" s="307"/>
      <c r="CT147" s="304"/>
      <c r="CU147" s="304"/>
      <c r="CV147" s="307"/>
      <c r="CW147" s="304"/>
      <c r="CX147" s="304"/>
      <c r="CY147" s="307"/>
      <c r="CZ147" s="333"/>
      <c r="DA147" s="333"/>
      <c r="DB147" s="334"/>
      <c r="DC147" s="333"/>
      <c r="DD147" s="333"/>
      <c r="DE147" s="788"/>
      <c r="DF147" s="333"/>
      <c r="DG147" s="333"/>
      <c r="DH147" s="788"/>
      <c r="DI147" s="334"/>
      <c r="DJ147" s="334"/>
      <c r="DK147" s="700">
        <v>-5.8261457382169701E-2</v>
      </c>
      <c r="DL147" s="334">
        <f t="shared" ref="DL147:EC147" si="221">DL146/DI146-1</f>
        <v>-0.14803457368200934</v>
      </c>
      <c r="DM147" s="334">
        <f t="shared" si="221"/>
        <v>-7.4955121628392241E-2</v>
      </c>
      <c r="DN147" s="700">
        <f t="shared" si="221"/>
        <v>-0.11383616147377795</v>
      </c>
      <c r="DO147" s="334">
        <f t="shared" si="221"/>
        <v>-1.799393286251183E-2</v>
      </c>
      <c r="DP147" s="334">
        <f t="shared" si="221"/>
        <v>0.1458785062490795</v>
      </c>
      <c r="DQ147" s="700">
        <f t="shared" si="221"/>
        <v>6.3997655598385661E-2</v>
      </c>
      <c r="DR147" s="334">
        <f>DR146/DO146-1</f>
        <v>0.28928753737329527</v>
      </c>
      <c r="DS147" s="334">
        <f>DS146/DP146-1</f>
        <v>0.18082683327183191</v>
      </c>
      <c r="DT147" s="700">
        <f t="shared" si="221"/>
        <v>0.2306440080232659</v>
      </c>
      <c r="DU147" s="334">
        <f t="shared" si="221"/>
        <v>0.11145279620436677</v>
      </c>
      <c r="DV147" s="334">
        <f>DV146/DS146-1</f>
        <v>-1.6571811181787854E-2</v>
      </c>
      <c r="DW147" s="700">
        <f>DW146/DT146-1</f>
        <v>4.5886109860905577E-2</v>
      </c>
      <c r="DX147" s="334">
        <f t="shared" si="221"/>
        <v>-3.9740930614800773E-2</v>
      </c>
      <c r="DY147" s="334">
        <f>DY146/DV146-1</f>
        <v>0.12871287128712905</v>
      </c>
      <c r="DZ147" s="700">
        <f t="shared" si="221"/>
        <v>4.1099625302281062E-2</v>
      </c>
      <c r="EA147" s="334">
        <f t="shared" si="221"/>
        <v>7.4257425742574323E-2</v>
      </c>
      <c r="EB147" s="334">
        <f t="shared" si="221"/>
        <v>7.4257425742574101E-2</v>
      </c>
      <c r="EC147" s="700">
        <f t="shared" si="221"/>
        <v>7.4257425742574101E-2</v>
      </c>
      <c r="ED147" s="749">
        <v>7.0000000000000007E-2</v>
      </c>
      <c r="EE147" s="334">
        <f>ED147</f>
        <v>7.0000000000000007E-2</v>
      </c>
      <c r="EF147" s="700">
        <f>EF146/EC146-1</f>
        <v>7.0000000000000062E-2</v>
      </c>
      <c r="EG147" s="749">
        <v>7.0000000000000007E-2</v>
      </c>
      <c r="EH147" s="334">
        <f>EG147</f>
        <v>7.0000000000000007E-2</v>
      </c>
      <c r="EI147" s="700">
        <f>EI146/EF146-1</f>
        <v>7.0000000000000062E-2</v>
      </c>
      <c r="EJ147" s="334">
        <f>EG147</f>
        <v>7.0000000000000007E-2</v>
      </c>
      <c r="EK147" s="334">
        <f>EJ147</f>
        <v>7.0000000000000007E-2</v>
      </c>
      <c r="EL147" s="700">
        <f>EL146/EI146-1</f>
        <v>7.0000000000000284E-2</v>
      </c>
      <c r="EM147" s="334">
        <f>EJ147</f>
        <v>7.0000000000000007E-2</v>
      </c>
      <c r="EN147" s="334">
        <f>EM147</f>
        <v>7.0000000000000007E-2</v>
      </c>
      <c r="EO147" s="700">
        <f>EO146/EL146-1</f>
        <v>7.0000000000000062E-2</v>
      </c>
      <c r="EP147" s="334">
        <f>EM147</f>
        <v>7.0000000000000007E-2</v>
      </c>
      <c r="EQ147" s="334">
        <f>EP147</f>
        <v>7.0000000000000007E-2</v>
      </c>
      <c r="ER147" s="700">
        <f>ER146/EO146-1</f>
        <v>7.0000000000000062E-2</v>
      </c>
      <c r="ES147" s="334">
        <f>EP147</f>
        <v>7.0000000000000007E-2</v>
      </c>
      <c r="ET147" s="334">
        <f>ES147</f>
        <v>7.0000000000000007E-2</v>
      </c>
      <c r="EU147" s="700">
        <f>EU146/ER146-1</f>
        <v>7.0000000000000062E-2</v>
      </c>
      <c r="EV147" s="334">
        <f>ES147</f>
        <v>7.0000000000000007E-2</v>
      </c>
      <c r="EW147" s="334">
        <f>EV147</f>
        <v>7.0000000000000007E-2</v>
      </c>
      <c r="EX147" s="700">
        <f>EX146/EU146-1</f>
        <v>7.0000000000000062E-2</v>
      </c>
      <c r="EY147" s="334">
        <f>EV147</f>
        <v>7.0000000000000007E-2</v>
      </c>
      <c r="EZ147" s="334">
        <f>EY147</f>
        <v>7.0000000000000007E-2</v>
      </c>
      <c r="FA147" s="523">
        <f>FA146/EX146-1</f>
        <v>7.0000000000000062E-2</v>
      </c>
    </row>
    <row r="148" spans="1:157" ht="13.35" customHeight="1">
      <c r="A148" s="760"/>
      <c r="B148" s="176"/>
      <c r="C148" s="177" t="s">
        <v>801</v>
      </c>
      <c r="D148" s="250" t="str">
        <f>D146</f>
        <v>g mn</v>
      </c>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79"/>
      <c r="BH148" s="4"/>
      <c r="BI148" s="4"/>
      <c r="BJ148" s="4"/>
      <c r="BK148" s="4"/>
      <c r="BL148" s="4"/>
      <c r="BM148" s="198"/>
      <c r="BN148" s="251"/>
      <c r="BO148" s="4"/>
      <c r="BP148" s="259"/>
      <c r="BQ148" s="259"/>
      <c r="BR148" s="260"/>
      <c r="BS148" s="259"/>
      <c r="BT148" s="259"/>
      <c r="BU148" s="261"/>
      <c r="BV148" s="300"/>
      <c r="BW148" s="300"/>
      <c r="BX148" s="301"/>
      <c r="BY148" s="300"/>
      <c r="BZ148" s="302"/>
      <c r="CA148" s="303"/>
      <c r="CB148" s="302"/>
      <c r="CC148" s="302"/>
      <c r="CD148" s="303"/>
      <c r="CE148" s="302"/>
      <c r="CF148" s="302"/>
      <c r="CG148" s="303"/>
      <c r="CH148" s="302"/>
      <c r="CI148" s="302"/>
      <c r="CJ148" s="303"/>
      <c r="CK148" s="302"/>
      <c r="CL148" s="302"/>
      <c r="CM148" s="303"/>
      <c r="CN148" s="304"/>
      <c r="CO148" s="305"/>
      <c r="CP148" s="306"/>
      <c r="CQ148" s="184"/>
      <c r="CR148" s="184"/>
      <c r="CS148" s="185"/>
      <c r="CT148" s="184"/>
      <c r="CU148" s="184"/>
      <c r="CV148" s="185"/>
      <c r="CW148" s="184"/>
      <c r="CX148" s="184"/>
      <c r="CY148" s="301"/>
      <c r="CZ148" s="300"/>
      <c r="DA148" s="300"/>
      <c r="DB148" s="301"/>
      <c r="DC148" s="300"/>
      <c r="DD148" s="300"/>
      <c r="DE148" s="787"/>
      <c r="DF148" s="300"/>
      <c r="DG148" s="300"/>
      <c r="DH148" s="787"/>
      <c r="DI148" s="479">
        <f t="shared" ref="DI148:DT148" si="222">+DI164/DI157</f>
        <v>9.911102438366683</v>
      </c>
      <c r="DJ148" s="479">
        <f t="shared" si="222"/>
        <v>9.9065713342699819</v>
      </c>
      <c r="DK148" s="835">
        <f t="shared" si="222"/>
        <v>19.817673772636667</v>
      </c>
      <c r="DL148" s="479">
        <f t="shared" si="222"/>
        <v>9.0345770715005127</v>
      </c>
      <c r="DM148" s="479">
        <f t="shared" si="222"/>
        <v>9.4746377510821702</v>
      </c>
      <c r="DN148" s="835">
        <f t="shared" si="222"/>
        <v>18.518739317279234</v>
      </c>
      <c r="DO148" s="479">
        <f t="shared" si="222"/>
        <v>9.4537050427693181</v>
      </c>
      <c r="DP148" s="479">
        <f t="shared" si="222"/>
        <v>9.5617541243432971</v>
      </c>
      <c r="DQ148" s="835">
        <f t="shared" si="222"/>
        <v>19.0177977375693</v>
      </c>
      <c r="DR148" s="620">
        <f t="shared" si="222"/>
        <v>10.622140497493616</v>
      </c>
      <c r="DS148" s="620">
        <f t="shared" si="222"/>
        <v>10.936330282936835</v>
      </c>
      <c r="DT148" s="835">
        <f t="shared" si="222"/>
        <v>21.565270976594327</v>
      </c>
      <c r="DU148" s="620">
        <f>+DU164/DU157</f>
        <v>12.004268297367831</v>
      </c>
      <c r="DV148" s="620">
        <f>+DV164/DV157</f>
        <v>10.220674085230701</v>
      </c>
      <c r="DW148" s="835">
        <f>+DW164/DW157</f>
        <v>22.186338993560355</v>
      </c>
      <c r="DX148" s="620">
        <f>+DX164/DX157</f>
        <v>11.16725400302356</v>
      </c>
      <c r="DY148" s="301">
        <f>DY164/DY157</f>
        <v>11.312202385595144</v>
      </c>
      <c r="DZ148" s="698">
        <f>SUM(DX148:DY148)</f>
        <v>22.479456388618704</v>
      </c>
      <c r="EA148" s="301">
        <f>EA164/EA157</f>
        <v>11.996505537901546</v>
      </c>
      <c r="EB148" s="301">
        <f>EB164/EB157</f>
        <v>12.152217414228447</v>
      </c>
      <c r="EC148" s="698">
        <f>SUM(EA148:EB148)</f>
        <v>24.148722952129994</v>
      </c>
      <c r="ED148" s="750">
        <f>EA148*(1+ED149)</f>
        <v>12.836260925554656</v>
      </c>
      <c r="EE148" s="750">
        <f>EB148*(1+EE149)</f>
        <v>13.00287263322444</v>
      </c>
      <c r="EF148" s="751">
        <f>SUM(ED148:EE148)</f>
        <v>25.839133558779096</v>
      </c>
      <c r="EG148" s="750">
        <f>ED148*(1+EG149)</f>
        <v>13.734799190343484</v>
      </c>
      <c r="EH148" s="750">
        <f>EE148*(1+EH149)</f>
        <v>13.913073717550152</v>
      </c>
      <c r="EI148" s="751">
        <f>SUM(EG148:EH148)</f>
        <v>27.647872907893635</v>
      </c>
      <c r="EJ148" s="750">
        <f>EG148*(1+EJ149)</f>
        <v>14.696235133667528</v>
      </c>
      <c r="EK148" s="750">
        <f>EH148*(1+EK149)</f>
        <v>14.886988877778663</v>
      </c>
      <c r="EL148" s="751">
        <f>SUM(EJ148:EK148)</f>
        <v>29.583224011446191</v>
      </c>
      <c r="EM148" s="750">
        <f>EJ148*(1+EM149)</f>
        <v>15.724971593024256</v>
      </c>
      <c r="EN148" s="750">
        <f>EK148*(1+EN149)</f>
        <v>15.929078099223171</v>
      </c>
      <c r="EO148" s="751">
        <f>SUM(EM148:EN148)</f>
        <v>31.654049692247426</v>
      </c>
      <c r="EP148" s="750">
        <f>EM148*(1+EP149)</f>
        <v>16.825719604535955</v>
      </c>
      <c r="EQ148" s="750">
        <f>EN148*(1+EQ149)</f>
        <v>17.044113566168793</v>
      </c>
      <c r="ER148" s="751">
        <f>SUM(EP148:EQ148)</f>
        <v>33.869833170704752</v>
      </c>
      <c r="ES148" s="750">
        <f>EP148*(1+ES149)</f>
        <v>18.003519976853472</v>
      </c>
      <c r="ET148" s="750">
        <f>EQ148*(1+ET149)</f>
        <v>18.23720151580061</v>
      </c>
      <c r="EU148" s="751">
        <f>SUM(ES148:ET148)</f>
        <v>36.240721492654082</v>
      </c>
      <c r="EV148" s="750">
        <f>ES148*(1+EV149)</f>
        <v>19.263766375233217</v>
      </c>
      <c r="EW148" s="750">
        <f>ET148*(1+EW149)</f>
        <v>19.513805621906656</v>
      </c>
      <c r="EX148" s="751">
        <f>SUM(EV148:EW148)</f>
        <v>38.777571997139873</v>
      </c>
      <c r="EY148" s="750">
        <f>EV148*(1+EY149)</f>
        <v>20.612230021499542</v>
      </c>
      <c r="EZ148" s="750">
        <f>EW148*(1+EZ149)</f>
        <v>20.879772015440121</v>
      </c>
      <c r="FA148" s="752">
        <f>SUM(EY148:EZ148)</f>
        <v>41.492002036939667</v>
      </c>
    </row>
    <row r="149" spans="1:157" ht="13.35" customHeight="1">
      <c r="A149" s="760"/>
      <c r="B149" s="176"/>
      <c r="C149" s="177" t="s">
        <v>178</v>
      </c>
      <c r="D149" s="250" t="str">
        <f>D147</f>
        <v>%</v>
      </c>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79"/>
      <c r="BH149" s="4"/>
      <c r="BI149" s="4"/>
      <c r="BJ149" s="4"/>
      <c r="BK149" s="4"/>
      <c r="BL149" s="4"/>
      <c r="BM149" s="198"/>
      <c r="BN149" s="251"/>
      <c r="BO149" s="4"/>
      <c r="BP149" s="259"/>
      <c r="BQ149" s="259"/>
      <c r="BR149" s="260"/>
      <c r="BS149" s="259"/>
      <c r="BT149" s="259"/>
      <c r="BU149" s="261"/>
      <c r="BV149" s="300"/>
      <c r="BW149" s="300"/>
      <c r="BX149" s="301"/>
      <c r="BY149" s="300"/>
      <c r="BZ149" s="302"/>
      <c r="CA149" s="303"/>
      <c r="CB149" s="302"/>
      <c r="CC149" s="302"/>
      <c r="CD149" s="303"/>
      <c r="CE149" s="302"/>
      <c r="CF149" s="302"/>
      <c r="CG149" s="303"/>
      <c r="CH149" s="302"/>
      <c r="CI149" s="302"/>
      <c r="CJ149" s="303"/>
      <c r="CK149" s="302"/>
      <c r="CL149" s="302"/>
      <c r="CM149" s="303"/>
      <c r="CN149" s="304"/>
      <c r="CO149" s="305"/>
      <c r="CP149" s="306"/>
      <c r="CQ149" s="304"/>
      <c r="CR149" s="304"/>
      <c r="CS149" s="307"/>
      <c r="CT149" s="304"/>
      <c r="CU149" s="304"/>
      <c r="CV149" s="307"/>
      <c r="CW149" s="304"/>
      <c r="CX149" s="304"/>
      <c r="CY149" s="307"/>
      <c r="CZ149" s="333"/>
      <c r="DA149" s="333"/>
      <c r="DB149" s="334"/>
      <c r="DC149" s="333"/>
      <c r="DD149" s="333"/>
      <c r="DE149" s="788"/>
      <c r="DF149" s="333"/>
      <c r="DG149" s="333"/>
      <c r="DH149" s="788"/>
      <c r="DI149" s="333"/>
      <c r="DJ149" s="333"/>
      <c r="DK149" s="700">
        <v>0.10175520267648985</v>
      </c>
      <c r="DL149" s="334">
        <f t="shared" ref="DL149:DU149" si="223">DL148/DI148-1</f>
        <v>-8.8438735480431463E-2</v>
      </c>
      <c r="DM149" s="334">
        <f t="shared" si="223"/>
        <v>-4.3600713971908345E-2</v>
      </c>
      <c r="DN149" s="700">
        <f t="shared" si="223"/>
        <v>-6.5544244509208816E-2</v>
      </c>
      <c r="DO149" s="334">
        <v>0.1</v>
      </c>
      <c r="DP149" s="334">
        <f>DO149</f>
        <v>0.1</v>
      </c>
      <c r="DQ149" s="700">
        <f t="shared" si="223"/>
        <v>2.6948833381136739E-2</v>
      </c>
      <c r="DR149" s="334">
        <f>DR148/DO148-1</f>
        <v>0.12359550561797761</v>
      </c>
      <c r="DS149" s="334">
        <f>DS148/DP148-1</f>
        <v>0.14375773950242032</v>
      </c>
      <c r="DT149" s="742">
        <f t="shared" si="223"/>
        <v>0.13395206291381156</v>
      </c>
      <c r="DU149" s="334">
        <f t="shared" si="223"/>
        <v>0.1301176349720039</v>
      </c>
      <c r="DV149" s="334">
        <f t="shared" ref="DV149:EC149" si="224">DV148/DS148-1</f>
        <v>-6.5438422138980212E-2</v>
      </c>
      <c r="DW149" s="742">
        <f t="shared" si="224"/>
        <v>2.8799453419347198E-2</v>
      </c>
      <c r="DX149" s="334">
        <f t="shared" si="224"/>
        <v>-6.9726390114739689E-2</v>
      </c>
      <c r="DY149" s="334">
        <f t="shared" si="224"/>
        <v>0.10679611650485432</v>
      </c>
      <c r="DZ149" s="742">
        <f t="shared" si="224"/>
        <v>1.3211616172610796E-2</v>
      </c>
      <c r="EA149" s="334">
        <f t="shared" si="224"/>
        <v>7.4257425742574101E-2</v>
      </c>
      <c r="EB149" s="334">
        <f t="shared" si="224"/>
        <v>7.4257425742574323E-2</v>
      </c>
      <c r="EC149" s="742">
        <f t="shared" si="224"/>
        <v>7.4257425742574323E-2</v>
      </c>
      <c r="ED149" s="334">
        <f>ED147</f>
        <v>7.0000000000000007E-2</v>
      </c>
      <c r="EE149" s="334">
        <f>ED149</f>
        <v>7.0000000000000007E-2</v>
      </c>
      <c r="EF149" s="742">
        <f>EF148/EC148-1</f>
        <v>7.0000000000000062E-2</v>
      </c>
      <c r="EG149" s="334">
        <f>EG147</f>
        <v>7.0000000000000007E-2</v>
      </c>
      <c r="EH149" s="334">
        <f>EG149</f>
        <v>7.0000000000000007E-2</v>
      </c>
      <c r="EI149" s="742">
        <f>EI148/EF148-1</f>
        <v>7.0000000000000062E-2</v>
      </c>
      <c r="EJ149" s="334">
        <f>EJ147</f>
        <v>7.0000000000000007E-2</v>
      </c>
      <c r="EK149" s="334">
        <f>EJ149</f>
        <v>7.0000000000000007E-2</v>
      </c>
      <c r="EL149" s="742">
        <f>EL148/EI148-1</f>
        <v>7.0000000000000062E-2</v>
      </c>
      <c r="EM149" s="334">
        <f>EM147</f>
        <v>7.0000000000000007E-2</v>
      </c>
      <c r="EN149" s="334">
        <f>EM149</f>
        <v>7.0000000000000007E-2</v>
      </c>
      <c r="EO149" s="742">
        <f>EO148/EL148-1</f>
        <v>7.0000000000000062E-2</v>
      </c>
      <c r="EP149" s="334">
        <f>EP147</f>
        <v>7.0000000000000007E-2</v>
      </c>
      <c r="EQ149" s="334">
        <f>EP149</f>
        <v>7.0000000000000007E-2</v>
      </c>
      <c r="ER149" s="742">
        <f>ER148/EO148-1</f>
        <v>7.0000000000000284E-2</v>
      </c>
      <c r="ES149" s="334">
        <f>ES147</f>
        <v>7.0000000000000007E-2</v>
      </c>
      <c r="ET149" s="334">
        <f>ES149</f>
        <v>7.0000000000000007E-2</v>
      </c>
      <c r="EU149" s="742">
        <f>EU148/ER148-1</f>
        <v>6.999999999999984E-2</v>
      </c>
      <c r="EV149" s="334">
        <f>EV147</f>
        <v>7.0000000000000007E-2</v>
      </c>
      <c r="EW149" s="334">
        <f>EV149</f>
        <v>7.0000000000000007E-2</v>
      </c>
      <c r="EX149" s="742">
        <f>EX148/EU148-1</f>
        <v>7.0000000000000062E-2</v>
      </c>
      <c r="EY149" s="334">
        <f>EY147</f>
        <v>7.0000000000000007E-2</v>
      </c>
      <c r="EZ149" s="334">
        <f>EY149</f>
        <v>7.0000000000000007E-2</v>
      </c>
      <c r="FA149" s="547">
        <f>FA148/EX148-1</f>
        <v>7.0000000000000062E-2</v>
      </c>
    </row>
    <row r="150" spans="1:157" s="11" customFormat="1" ht="13.35" customHeight="1">
      <c r="A150" s="1017"/>
      <c r="B150" s="72"/>
      <c r="C150" s="11" t="s">
        <v>487</v>
      </c>
      <c r="D150" s="250" t="str">
        <f>D148</f>
        <v>g mn</v>
      </c>
      <c r="BU150" s="72"/>
      <c r="BV150" s="72"/>
      <c r="BW150" s="72"/>
      <c r="BX150" s="72"/>
      <c r="BY150" s="72"/>
      <c r="BZ150" s="72"/>
      <c r="CA150" s="72"/>
      <c r="CB150" s="72"/>
      <c r="CC150" s="72"/>
      <c r="CD150" s="72"/>
      <c r="CE150" s="72"/>
      <c r="CF150" s="72"/>
      <c r="CG150" s="72"/>
      <c r="CH150" s="72"/>
      <c r="CI150" s="72"/>
      <c r="CJ150" s="72"/>
      <c r="CK150" s="72"/>
      <c r="CL150" s="72"/>
      <c r="CM150" s="72"/>
      <c r="CN150" s="72"/>
      <c r="CO150" s="72"/>
      <c r="CP150" s="72"/>
      <c r="CQ150" s="72"/>
      <c r="CR150" s="72"/>
      <c r="CS150" s="72"/>
      <c r="CT150" s="72"/>
      <c r="CU150" s="72"/>
      <c r="CV150" s="72"/>
      <c r="CW150" s="72"/>
      <c r="CX150" s="72"/>
      <c r="CY150" s="479"/>
      <c r="CZ150" s="479"/>
      <c r="DA150" s="479"/>
      <c r="DB150" s="479"/>
      <c r="DC150" s="479"/>
      <c r="DD150" s="479"/>
      <c r="DE150" s="789"/>
      <c r="DF150" s="479"/>
      <c r="DG150" s="479"/>
      <c r="DH150" s="789"/>
      <c r="DI150" s="479">
        <v>32.88758649831518</v>
      </c>
      <c r="DJ150" s="479">
        <v>30.389620179469709</v>
      </c>
      <c r="DK150" s="701">
        <v>63.277206677784889</v>
      </c>
      <c r="DL150" s="479">
        <f>DL144+DL146+DL148</f>
        <v>28.609747108923052</v>
      </c>
      <c r="DM150" s="479">
        <f>DM144+DM146+DM148</f>
        <v>28.422377178769654</v>
      </c>
      <c r="DN150" s="701">
        <f>SUM(DL150:DM150)</f>
        <v>57.03212428769271</v>
      </c>
      <c r="DO150" s="479">
        <f>DO144+DO146+DO148</f>
        <v>28.676640784766221</v>
      </c>
      <c r="DP150" s="479">
        <f>DP144+DP146+DP148</f>
        <v>31.273561476538617</v>
      </c>
      <c r="DQ150" s="701">
        <f>SUM(DO150:DP150)</f>
        <v>59.950202261304838</v>
      </c>
      <c r="DR150" s="479">
        <f>DR144+DR146+DR148</f>
        <v>35.4060319813779</v>
      </c>
      <c r="DS150" s="479">
        <f>DS144+DS146+DS148</f>
        <v>36.574215003237718</v>
      </c>
      <c r="DT150" s="701">
        <f>SUM(DR150:DS150)</f>
        <v>71.980246984615619</v>
      </c>
      <c r="DU150" s="479">
        <f>DU144+DU146+DU148</f>
        <v>39.550393787956615</v>
      </c>
      <c r="DV150" s="479">
        <f>DV144+DV146+DV148</f>
        <v>35.433692620846315</v>
      </c>
      <c r="DW150" s="701">
        <f>SUM(DU150:DV150)</f>
        <v>74.984086408802938</v>
      </c>
      <c r="DX150" s="479">
        <f>DX144+DX146+DX148</f>
        <v>37.618670831784257</v>
      </c>
      <c r="DY150" s="479">
        <f>DY144+DY146+DY148</f>
        <v>39.770460930745443</v>
      </c>
      <c r="DZ150" s="701">
        <f>SUM(DX150:DY150)</f>
        <v>77.389131762529701</v>
      </c>
      <c r="EA150" s="479">
        <f>EA144+EA146+EA148</f>
        <v>40.412136487609821</v>
      </c>
      <c r="EB150" s="479">
        <f>EB144+EB146+EB148</f>
        <v>42.723712980058224</v>
      </c>
      <c r="EC150" s="701">
        <f>SUM(EA150:EB150)</f>
        <v>83.135849467668038</v>
      </c>
      <c r="ED150" s="479">
        <f>ED144+ED146+ED148</f>
        <v>43.240986041742516</v>
      </c>
      <c r="EE150" s="479">
        <f>EE144+EE146+EE148</f>
        <v>45.714372888662304</v>
      </c>
      <c r="EF150" s="701">
        <f>SUM(ED150:EE150)</f>
        <v>88.955358930404827</v>
      </c>
      <c r="EG150" s="479">
        <f>EG144+EG146+EG148</f>
        <v>46.267855064664488</v>
      </c>
      <c r="EH150" s="479">
        <f>EH144+EH146+EH148</f>
        <v>48.91437899086867</v>
      </c>
      <c r="EI150" s="701">
        <f>SUM(EG150:EH150)</f>
        <v>95.182234055533158</v>
      </c>
      <c r="EJ150" s="479">
        <f>EJ144+EJ146+EJ148</f>
        <v>49.506604919191005</v>
      </c>
      <c r="EK150" s="479">
        <f>EK144+EK146+EK148</f>
        <v>52.338385520229473</v>
      </c>
      <c r="EL150" s="701">
        <f>SUM(EJ150:EK150)</f>
        <v>101.84499043942049</v>
      </c>
      <c r="EM150" s="479">
        <f>EM144+EM146+EM148</f>
        <v>52.972067263534377</v>
      </c>
      <c r="EN150" s="479">
        <f>EN144+EN146+EN148</f>
        <v>56.00207250664554</v>
      </c>
      <c r="EO150" s="701">
        <f>SUM(EM150:EN150)</f>
        <v>108.97413977017992</v>
      </c>
      <c r="EP150" s="479">
        <f>EP144+EP146+EP148</f>
        <v>56.680111971981788</v>
      </c>
      <c r="EQ150" s="479">
        <f>EQ144+EQ146+EQ148</f>
        <v>59.922217582110733</v>
      </c>
      <c r="ER150" s="701">
        <f>SUM(EP150:EQ150)</f>
        <v>116.60232955409252</v>
      </c>
      <c r="ES150" s="479">
        <f>ES144+ES146+ES148</f>
        <v>60.647719810020519</v>
      </c>
      <c r="ET150" s="479">
        <f>ET144+ET146+ET148</f>
        <v>64.116772812858486</v>
      </c>
      <c r="EU150" s="701">
        <f>SUM(ES150:ET150)</f>
        <v>124.764492622879</v>
      </c>
      <c r="EV150" s="479">
        <f>EV144+EV146+EV148</f>
        <v>64.893060196721962</v>
      </c>
      <c r="EW150" s="479">
        <f>EW144+EW146+EW148</f>
        <v>68.604946909758581</v>
      </c>
      <c r="EX150" s="701">
        <f>SUM(EV150:EW150)</f>
        <v>133.49800710648054</v>
      </c>
      <c r="EY150" s="479">
        <f>EY144+EY146+EY148</f>
        <v>69.435574410492492</v>
      </c>
      <c r="EZ150" s="479">
        <f>EZ144+EZ146+EZ148</f>
        <v>73.407293193441689</v>
      </c>
      <c r="FA150" s="548">
        <f>SUM(EY150:EZ150)</f>
        <v>142.84286760393417</v>
      </c>
    </row>
    <row r="151" spans="1:157" ht="13.35" customHeight="1">
      <c r="A151" s="760"/>
      <c r="B151" s="176"/>
      <c r="C151" s="177" t="s">
        <v>178</v>
      </c>
      <c r="D151" s="250" t="str">
        <f>D147</f>
        <v>%</v>
      </c>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79"/>
      <c r="BH151" s="4"/>
      <c r="BI151" s="4"/>
      <c r="BJ151" s="4"/>
      <c r="BK151" s="4"/>
      <c r="BL151" s="4"/>
      <c r="BM151" s="198"/>
      <c r="BN151" s="198"/>
      <c r="BO151" s="79"/>
      <c r="BP151" s="259"/>
      <c r="BQ151" s="259"/>
      <c r="BR151" s="260"/>
      <c r="BS151" s="259"/>
      <c r="BT151" s="259"/>
      <c r="BU151" s="261"/>
      <c r="BV151" s="259"/>
      <c r="BW151" s="259"/>
      <c r="BX151" s="260"/>
      <c r="BY151" s="259"/>
      <c r="BZ151" s="259"/>
      <c r="CA151" s="260"/>
      <c r="CB151" s="259"/>
      <c r="CC151" s="259"/>
      <c r="CD151" s="260"/>
      <c r="CE151" s="259"/>
      <c r="CF151" s="259"/>
      <c r="CG151" s="260"/>
      <c r="CH151" s="259"/>
      <c r="CI151" s="259"/>
      <c r="CJ151" s="260"/>
      <c r="CK151" s="259"/>
      <c r="CL151" s="259"/>
      <c r="CM151" s="260"/>
      <c r="CN151" s="308"/>
      <c r="CO151" s="259"/>
      <c r="CP151" s="260"/>
      <c r="CQ151" s="304"/>
      <c r="CR151" s="304"/>
      <c r="CS151" s="307"/>
      <c r="CT151" s="304"/>
      <c r="CU151" s="304"/>
      <c r="CV151" s="307"/>
      <c r="CW151" s="304"/>
      <c r="CX151" s="304"/>
      <c r="CY151" s="307"/>
      <c r="CZ151" s="304"/>
      <c r="DA151" s="304"/>
      <c r="DB151" s="307"/>
      <c r="DC151" s="304"/>
      <c r="DD151" s="304"/>
      <c r="DE151" s="790"/>
      <c r="DF151" s="333"/>
      <c r="DG151" s="333"/>
      <c r="DH151" s="788"/>
      <c r="DI151" s="333"/>
      <c r="DJ151" s="333"/>
      <c r="DK151" s="700">
        <v>-1.3383417775149731E-2</v>
      </c>
      <c r="DL151" s="334">
        <f t="shared" ref="DL151:EF151" si="225">DL150/DI150-1</f>
        <v>-0.13007459181023451</v>
      </c>
      <c r="DM151" s="334">
        <f t="shared" si="225"/>
        <v>-6.4734043699205657E-2</v>
      </c>
      <c r="DN151" s="700">
        <f t="shared" si="225"/>
        <v>-9.8694027723013833E-2</v>
      </c>
      <c r="DO151" s="334">
        <f t="shared" si="225"/>
        <v>2.3381428569952956E-3</v>
      </c>
      <c r="DP151" s="334">
        <f t="shared" si="225"/>
        <v>0.10031477240048314</v>
      </c>
      <c r="DQ151" s="700">
        <f t="shared" si="225"/>
        <v>5.1165514349284624E-2</v>
      </c>
      <c r="DR151" s="334">
        <f t="shared" si="225"/>
        <v>0.23466455667242969</v>
      </c>
      <c r="DS151" s="334">
        <f t="shared" si="225"/>
        <v>0.16949312059247368</v>
      </c>
      <c r="DT151" s="700">
        <f t="shared" si="225"/>
        <v>0.20066729167777364</v>
      </c>
      <c r="DU151" s="334">
        <f t="shared" si="225"/>
        <v>0.11705242227534773</v>
      </c>
      <c r="DV151" s="334">
        <f>DV150/DS150-1</f>
        <v>-3.1183782954478656E-2</v>
      </c>
      <c r="DW151" s="700">
        <f>DW150/DT150-1</f>
        <v>4.1731440916413343E-2</v>
      </c>
      <c r="DX151" s="334">
        <f t="shared" si="225"/>
        <v>-4.8842066314914501E-2</v>
      </c>
      <c r="DY151" s="334">
        <f t="shared" si="225"/>
        <v>0.12239109133513582</v>
      </c>
      <c r="DZ151" s="700">
        <f t="shared" si="225"/>
        <v>3.2074076899660797E-2</v>
      </c>
      <c r="EA151" s="334">
        <f t="shared" si="225"/>
        <v>7.4257425742574323E-2</v>
      </c>
      <c r="EB151" s="334">
        <f t="shared" si="225"/>
        <v>7.4257425742574323E-2</v>
      </c>
      <c r="EC151" s="700">
        <f t="shared" si="225"/>
        <v>7.4257425742574101E-2</v>
      </c>
      <c r="ED151" s="334">
        <f t="shared" si="225"/>
        <v>7.0000000000000284E-2</v>
      </c>
      <c r="EE151" s="334">
        <f t="shared" si="225"/>
        <v>7.0000000000000062E-2</v>
      </c>
      <c r="EF151" s="700">
        <f t="shared" si="225"/>
        <v>7.0000000000000284E-2</v>
      </c>
      <c r="EG151" s="334">
        <f t="shared" ref="EG151:FA151" si="226">EG150/ED150-1</f>
        <v>6.999999999999984E-2</v>
      </c>
      <c r="EH151" s="334">
        <f t="shared" si="226"/>
        <v>7.0000000000000062E-2</v>
      </c>
      <c r="EI151" s="700">
        <f t="shared" si="226"/>
        <v>6.999999999999984E-2</v>
      </c>
      <c r="EJ151" s="334">
        <f t="shared" si="226"/>
        <v>7.0000000000000062E-2</v>
      </c>
      <c r="EK151" s="334">
        <f t="shared" si="226"/>
        <v>6.999999999999984E-2</v>
      </c>
      <c r="EL151" s="700">
        <f t="shared" si="226"/>
        <v>7.0000000000000062E-2</v>
      </c>
      <c r="EM151" s="334">
        <f t="shared" si="226"/>
        <v>7.0000000000000062E-2</v>
      </c>
      <c r="EN151" s="334">
        <f t="shared" si="226"/>
        <v>7.0000000000000062E-2</v>
      </c>
      <c r="EO151" s="700">
        <f t="shared" si="226"/>
        <v>7.0000000000000062E-2</v>
      </c>
      <c r="EP151" s="334">
        <f t="shared" si="226"/>
        <v>7.0000000000000062E-2</v>
      </c>
      <c r="EQ151" s="334">
        <f t="shared" si="226"/>
        <v>7.0000000000000062E-2</v>
      </c>
      <c r="ER151" s="700">
        <f t="shared" si="226"/>
        <v>7.0000000000000062E-2</v>
      </c>
      <c r="ES151" s="334">
        <f t="shared" si="226"/>
        <v>7.0000000000000062E-2</v>
      </c>
      <c r="ET151" s="334">
        <f t="shared" si="226"/>
        <v>7.0000000000000062E-2</v>
      </c>
      <c r="EU151" s="700">
        <f t="shared" si="226"/>
        <v>7.0000000000000062E-2</v>
      </c>
      <c r="EV151" s="334">
        <f t="shared" si="226"/>
        <v>7.0000000000000062E-2</v>
      </c>
      <c r="EW151" s="334">
        <f t="shared" si="226"/>
        <v>7.0000000000000062E-2</v>
      </c>
      <c r="EX151" s="700">
        <f t="shared" si="226"/>
        <v>7.0000000000000062E-2</v>
      </c>
      <c r="EY151" s="334">
        <f t="shared" si="226"/>
        <v>6.999999999999984E-2</v>
      </c>
      <c r="EZ151" s="334">
        <f t="shared" si="226"/>
        <v>7.0000000000000062E-2</v>
      </c>
      <c r="FA151" s="523">
        <f t="shared" si="226"/>
        <v>6.999999999999984E-2</v>
      </c>
    </row>
    <row r="152" spans="1:157" ht="13.35" customHeight="1">
      <c r="A152" s="760"/>
      <c r="B152" s="176"/>
      <c r="D152" s="250"/>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79"/>
      <c r="BH152" s="4"/>
      <c r="BI152" s="4"/>
      <c r="BJ152" s="4"/>
      <c r="BK152" s="4"/>
      <c r="BL152" s="4"/>
      <c r="BM152" s="251"/>
      <c r="BN152" s="251"/>
      <c r="BO152" s="4"/>
      <c r="BP152" s="251"/>
      <c r="BQ152" s="251"/>
      <c r="BR152" s="252"/>
      <c r="BS152" s="264"/>
      <c r="BT152" s="251"/>
      <c r="BU152" s="293"/>
      <c r="BV152" s="185"/>
      <c r="BW152" s="185"/>
      <c r="BX152" s="185"/>
      <c r="BY152" s="185"/>
      <c r="BZ152" s="185"/>
      <c r="CA152" s="185"/>
      <c r="CB152" s="185"/>
      <c r="CC152" s="185"/>
      <c r="CD152" s="185"/>
      <c r="CE152" s="185"/>
      <c r="CF152" s="185"/>
      <c r="CG152" s="185"/>
      <c r="CH152" s="185"/>
      <c r="CI152" s="185"/>
      <c r="CJ152" s="287"/>
      <c r="CK152" s="185"/>
      <c r="CL152" s="185"/>
      <c r="CM152" s="185"/>
      <c r="CN152" s="244"/>
      <c r="CO152" s="185"/>
      <c r="CP152" s="185"/>
      <c r="CQ152" s="185"/>
      <c r="CR152" s="185"/>
      <c r="CS152" s="185"/>
      <c r="CT152" s="185"/>
      <c r="CU152" s="185"/>
      <c r="CV152" s="185"/>
      <c r="CW152" s="185"/>
      <c r="CX152" s="185"/>
      <c r="CY152" s="301"/>
      <c r="CZ152" s="301"/>
      <c r="DA152" s="301"/>
      <c r="DB152" s="301"/>
      <c r="DC152" s="301"/>
      <c r="DD152" s="301"/>
      <c r="DE152" s="787"/>
      <c r="DF152" s="301"/>
      <c r="DG152" s="301"/>
      <c r="DH152" s="787"/>
      <c r="DI152" s="301"/>
      <c r="DJ152" s="301"/>
      <c r="DK152" s="698"/>
      <c r="DL152" s="301"/>
      <c r="DM152" s="301"/>
      <c r="DN152" s="698"/>
      <c r="DO152" s="301"/>
      <c r="DP152" s="301"/>
      <c r="DQ152" s="739"/>
      <c r="DR152" s="301"/>
      <c r="DS152" s="301"/>
      <c r="DT152" s="698"/>
      <c r="DU152" s="301"/>
      <c r="DV152" s="301"/>
      <c r="DW152" s="698"/>
      <c r="DX152" s="301"/>
      <c r="DY152" s="301"/>
      <c r="DZ152" s="698"/>
      <c r="EA152" s="301"/>
      <c r="EB152" s="301"/>
      <c r="EC152" s="698"/>
      <c r="ED152" s="301"/>
      <c r="EE152" s="301"/>
      <c r="EF152" s="698"/>
      <c r="EG152" s="301"/>
      <c r="EH152" s="301"/>
      <c r="EI152" s="698"/>
      <c r="EJ152" s="301"/>
      <c r="EK152" s="301"/>
      <c r="EL152" s="698"/>
      <c r="EM152" s="301"/>
      <c r="EN152" s="301"/>
      <c r="EO152" s="698"/>
      <c r="EP152" s="301"/>
      <c r="EQ152" s="301"/>
      <c r="ER152" s="698"/>
      <c r="ES152" s="301"/>
      <c r="ET152" s="301"/>
      <c r="EU152" s="698"/>
      <c r="EV152" s="301"/>
      <c r="EW152" s="301"/>
      <c r="EX152" s="698"/>
      <c r="EY152" s="301"/>
      <c r="EZ152" s="301"/>
      <c r="FA152" s="502"/>
    </row>
    <row r="153" spans="1:157" ht="13.35" customHeight="1">
      <c r="A153" s="760"/>
      <c r="B153" s="176"/>
      <c r="C153" s="177" t="s">
        <v>439</v>
      </c>
      <c r="D153" s="250" t="s">
        <v>339</v>
      </c>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79"/>
      <c r="BH153" s="4"/>
      <c r="BI153" s="4"/>
      <c r="BJ153" s="4"/>
      <c r="BK153" s="4"/>
      <c r="BL153" s="4"/>
      <c r="BM153" s="198"/>
      <c r="BN153" s="198"/>
      <c r="BO153" s="79"/>
      <c r="BP153" s="198"/>
      <c r="BQ153" s="198"/>
      <c r="BR153" s="79"/>
      <c r="BS153" s="198"/>
      <c r="BT153" s="198"/>
      <c r="BU153" s="254"/>
      <c r="BV153" s="198"/>
      <c r="BW153" s="198"/>
      <c r="BX153" s="79"/>
      <c r="BY153" s="198"/>
      <c r="BZ153" s="198"/>
      <c r="CA153" s="79"/>
      <c r="CB153" s="198"/>
      <c r="CC153" s="198"/>
      <c r="CD153" s="79"/>
      <c r="CE153" s="198"/>
      <c r="CF153" s="198"/>
      <c r="CG153" s="79"/>
      <c r="CH153" s="198"/>
      <c r="CI153" s="198"/>
      <c r="CJ153" s="79"/>
      <c r="CK153" s="198"/>
      <c r="CL153" s="198"/>
      <c r="CM153" s="79"/>
      <c r="CN153" s="309"/>
      <c r="CO153" s="198"/>
      <c r="CP153" s="79"/>
      <c r="CQ153" s="198"/>
      <c r="CR153" s="198"/>
      <c r="CS153" s="79"/>
      <c r="CT153" s="198"/>
      <c r="CU153" s="198"/>
      <c r="CV153" s="79"/>
      <c r="CW153" s="198"/>
      <c r="CX153" s="198"/>
      <c r="CY153" s="488"/>
      <c r="CZ153" s="489"/>
      <c r="DA153" s="489"/>
      <c r="DB153" s="301"/>
      <c r="DC153" s="489"/>
      <c r="DD153" s="489"/>
      <c r="DE153" s="787"/>
      <c r="DF153" s="489"/>
      <c r="DG153" s="489"/>
      <c r="DH153" s="787"/>
      <c r="DI153" s="753">
        <v>58.485495738598416</v>
      </c>
      <c r="DJ153" s="753">
        <v>58.485495738598416</v>
      </c>
      <c r="DK153" s="754">
        <v>0</v>
      </c>
      <c r="DL153" s="753">
        <f>+DI153*(1+DL154)</f>
        <v>58.485495738598416</v>
      </c>
      <c r="DM153" s="753">
        <f>+DJ153*(1+DM154)</f>
        <v>58.485495738598416</v>
      </c>
      <c r="DN153" s="754">
        <f>IFERROR(#REF!/DN144,0)</f>
        <v>0</v>
      </c>
      <c r="DO153" s="753">
        <f>+DL153*(1+DO154)</f>
        <v>58.485495738598416</v>
      </c>
      <c r="DP153" s="753">
        <f>+DM153*(1+DP154)</f>
        <v>58.485495738598416</v>
      </c>
      <c r="DQ153" s="754">
        <f>IFERROR(#REF!/DQ144,0)</f>
        <v>0</v>
      </c>
      <c r="DR153" s="753">
        <f>+DO153*(1+DR154)</f>
        <v>58.485495738598416</v>
      </c>
      <c r="DS153" s="753">
        <f>+DP153*(1+DS154)</f>
        <v>58.485495738598416</v>
      </c>
      <c r="DT153" s="754">
        <f>IFERROR(#REF!/DT144,0)</f>
        <v>0</v>
      </c>
      <c r="DU153" s="753">
        <f>+DR153*(1+DU154)</f>
        <v>58.485495738598416</v>
      </c>
      <c r="DV153" s="753">
        <f>+DS153*(1+DV154)</f>
        <v>58.485495738598416</v>
      </c>
      <c r="DW153" s="754">
        <f>IFERROR(#REF!/DW144,0)</f>
        <v>0</v>
      </c>
      <c r="DX153" s="753">
        <f>+DU153*(1+DX154)</f>
        <v>58.485495738598416</v>
      </c>
      <c r="DY153" s="753">
        <f>+DV153*(1+DY154)</f>
        <v>58.485495738598416</v>
      </c>
      <c r="DZ153" s="754">
        <f>IFERROR(#REF!/DZ144,0)</f>
        <v>0</v>
      </c>
      <c r="EA153" s="753">
        <f>+DX153*(1+EA154)</f>
        <v>58.485495738598416</v>
      </c>
      <c r="EB153" s="753">
        <f>+DY153*(1+EB154)</f>
        <v>58.485495738598416</v>
      </c>
      <c r="EC153" s="754">
        <f>IFERROR(#REF!/EC144,0)</f>
        <v>0</v>
      </c>
      <c r="ED153" s="753">
        <f>+EA153*(1+ED154)</f>
        <v>58.485495738598416</v>
      </c>
      <c r="EE153" s="753">
        <f>+EB153*(1+EE154)</f>
        <v>58.485495738598416</v>
      </c>
      <c r="EF153" s="754">
        <f>IFERROR(#REF!/EF144,0)</f>
        <v>0</v>
      </c>
      <c r="EG153" s="753">
        <f>+ED153*(1+EG154)</f>
        <v>58.485495738598416</v>
      </c>
      <c r="EH153" s="753">
        <f>+EE153*(1+EH154)</f>
        <v>58.485495738598416</v>
      </c>
      <c r="EI153" s="754">
        <f>IFERROR(#REF!/EI144,0)</f>
        <v>0</v>
      </c>
      <c r="EJ153" s="753">
        <f>+EG153*(1+EJ154)</f>
        <v>58.485495738598416</v>
      </c>
      <c r="EK153" s="753">
        <f>+EH153*(1+EK154)</f>
        <v>58.485495738598416</v>
      </c>
      <c r="EL153" s="754">
        <f>IFERROR(#REF!/EL144,0)</f>
        <v>0</v>
      </c>
      <c r="EM153" s="753">
        <f>+EJ153*(1+EM154)</f>
        <v>58.485495738598416</v>
      </c>
      <c r="EN153" s="753">
        <f>+EK153*(1+EN154)</f>
        <v>58.485495738598416</v>
      </c>
      <c r="EO153" s="754">
        <f>IFERROR(#REF!/EO144,0)</f>
        <v>0</v>
      </c>
      <c r="EP153" s="753">
        <f>+EM153*(1+EP154)</f>
        <v>58.485495738598416</v>
      </c>
      <c r="EQ153" s="753">
        <f>+EN153*(1+EQ154)</f>
        <v>58.485495738598416</v>
      </c>
      <c r="ER153" s="754">
        <f>IFERROR(#REF!/ER144,0)</f>
        <v>0</v>
      </c>
      <c r="ES153" s="753">
        <f>+EP153*(1+ES154)</f>
        <v>58.485495738598416</v>
      </c>
      <c r="ET153" s="753">
        <f>+EQ153*(1+ET154)</f>
        <v>58.485495738598416</v>
      </c>
      <c r="EU153" s="754">
        <f>IFERROR(#REF!/EU144,0)</f>
        <v>0</v>
      </c>
      <c r="EV153" s="753">
        <f>+ES153*(1+EV154)</f>
        <v>58.485495738598416</v>
      </c>
      <c r="EW153" s="753">
        <f>+ET153*(1+EW154)</f>
        <v>58.485495738598416</v>
      </c>
      <c r="EX153" s="754">
        <f>IFERROR(#REF!/EX144,0)</f>
        <v>0</v>
      </c>
      <c r="EY153" s="753">
        <f>+EV153*(1+EY154)</f>
        <v>58.485495738598416</v>
      </c>
      <c r="EZ153" s="753">
        <f>+EW153*(1+EZ154)</f>
        <v>58.485495738598416</v>
      </c>
      <c r="FA153" s="759">
        <f>IFERROR(#REF!/FA144,0)</f>
        <v>0</v>
      </c>
    </row>
    <row r="154" spans="1:157" ht="13.35" customHeight="1">
      <c r="A154" s="760"/>
      <c r="B154" s="176"/>
      <c r="C154" s="177" t="s">
        <v>178</v>
      </c>
      <c r="D154" s="250" t="s">
        <v>507</v>
      </c>
      <c r="E154" s="251"/>
      <c r="F154" s="251"/>
      <c r="G154" s="252"/>
      <c r="H154" s="251"/>
      <c r="I154" s="251"/>
      <c r="J154" s="252"/>
      <c r="K154" s="251"/>
      <c r="L154" s="251"/>
      <c r="M154" s="252"/>
      <c r="N154" s="251"/>
      <c r="O154" s="251"/>
      <c r="P154" s="252"/>
      <c r="Q154" s="251"/>
      <c r="R154" s="251"/>
      <c r="S154" s="252"/>
      <c r="T154" s="251"/>
      <c r="U154" s="251"/>
      <c r="V154" s="252"/>
      <c r="W154" s="251"/>
      <c r="X154" s="251"/>
      <c r="Y154" s="252"/>
      <c r="Z154" s="251"/>
      <c r="AA154" s="251"/>
      <c r="AB154" s="252"/>
      <c r="AC154" s="251"/>
      <c r="AD154" s="251"/>
      <c r="AE154" s="252"/>
      <c r="AF154" s="251"/>
      <c r="AG154" s="251"/>
      <c r="AH154" s="252"/>
      <c r="AI154" s="251"/>
      <c r="AJ154" s="251"/>
      <c r="AK154" s="252"/>
      <c r="AL154" s="251"/>
      <c r="AM154" s="251"/>
      <c r="AN154" s="252"/>
      <c r="AO154" s="251"/>
      <c r="AP154" s="251"/>
      <c r="AQ154" s="252"/>
      <c r="AR154" s="251"/>
      <c r="AS154" s="251"/>
      <c r="AT154" s="252"/>
      <c r="AU154" s="251"/>
      <c r="AV154" s="251"/>
      <c r="AW154" s="252"/>
      <c r="AX154" s="251"/>
      <c r="AY154" s="251"/>
      <c r="AZ154" s="252"/>
      <c r="BA154" s="251"/>
      <c r="BB154" s="251"/>
      <c r="BC154" s="252"/>
      <c r="BD154" s="251"/>
      <c r="BE154" s="251"/>
      <c r="BF154" s="252"/>
      <c r="BG154" s="198"/>
      <c r="BH154" s="251"/>
      <c r="BI154" s="252"/>
      <c r="BJ154" s="252"/>
      <c r="BK154" s="252"/>
      <c r="BL154" s="252"/>
      <c r="BM154" s="252"/>
      <c r="BN154" s="252"/>
      <c r="BO154" s="252"/>
      <c r="BP154" s="259"/>
      <c r="BQ154" s="259"/>
      <c r="BR154" s="260"/>
      <c r="BS154" s="259"/>
      <c r="BT154" s="259"/>
      <c r="BU154" s="261"/>
      <c r="BV154" s="259"/>
      <c r="BW154" s="259"/>
      <c r="BX154" s="260"/>
      <c r="BY154" s="259"/>
      <c r="BZ154" s="259"/>
      <c r="CA154" s="260"/>
      <c r="CB154" s="259"/>
      <c r="CC154" s="259"/>
      <c r="CD154" s="260"/>
      <c r="CE154" s="259"/>
      <c r="CF154" s="259"/>
      <c r="CG154" s="260"/>
      <c r="CH154" s="259"/>
      <c r="CI154" s="259"/>
      <c r="CJ154" s="260"/>
      <c r="CK154" s="259"/>
      <c r="CL154" s="259"/>
      <c r="CM154" s="260"/>
      <c r="CN154" s="308"/>
      <c r="CO154" s="259"/>
      <c r="CP154" s="260"/>
      <c r="CQ154" s="260"/>
      <c r="CR154" s="259"/>
      <c r="CS154" s="260"/>
      <c r="CT154" s="259"/>
      <c r="CU154" s="259"/>
      <c r="CV154" s="260"/>
      <c r="CW154" s="259"/>
      <c r="CX154" s="259"/>
      <c r="CY154" s="334"/>
      <c r="CZ154" s="333"/>
      <c r="DA154" s="333"/>
      <c r="DB154" s="334"/>
      <c r="DC154" s="333"/>
      <c r="DD154" s="333"/>
      <c r="DE154" s="788"/>
      <c r="DF154" s="333"/>
      <c r="DG154" s="333"/>
      <c r="DH154" s="788"/>
      <c r="DI154" s="755"/>
      <c r="DJ154" s="755"/>
      <c r="DK154" s="756">
        <f>IFERROR(DK153/DH153-1,0)</f>
        <v>0</v>
      </c>
      <c r="DL154" s="755">
        <v>0</v>
      </c>
      <c r="DM154" s="755">
        <f>+DL154</f>
        <v>0</v>
      </c>
      <c r="DN154" s="756">
        <f>IFERROR(DN153/DK153-1,0)</f>
        <v>0</v>
      </c>
      <c r="DO154" s="755">
        <f>+DM154</f>
        <v>0</v>
      </c>
      <c r="DP154" s="755">
        <f>+DO154</f>
        <v>0</v>
      </c>
      <c r="DQ154" s="756">
        <f>IFERROR(DQ153/DN153-1,0)</f>
        <v>0</v>
      </c>
      <c r="DR154" s="755">
        <f>+DP154</f>
        <v>0</v>
      </c>
      <c r="DS154" s="755">
        <f>+DR154</f>
        <v>0</v>
      </c>
      <c r="DT154" s="756">
        <f>IFERROR(DT153/DQ153-1,0)</f>
        <v>0</v>
      </c>
      <c r="DU154" s="755">
        <f>+DS154</f>
        <v>0</v>
      </c>
      <c r="DV154" s="755">
        <f>+DU154</f>
        <v>0</v>
      </c>
      <c r="DW154" s="756">
        <f>IFERROR(DW153/DT153-1,0)</f>
        <v>0</v>
      </c>
      <c r="DX154" s="755">
        <f>+DV154</f>
        <v>0</v>
      </c>
      <c r="DY154" s="755">
        <f>+DX154</f>
        <v>0</v>
      </c>
      <c r="DZ154" s="756">
        <f>IFERROR(DZ153/DW153-1,0)</f>
        <v>0</v>
      </c>
      <c r="EA154" s="755">
        <f>+DY154</f>
        <v>0</v>
      </c>
      <c r="EB154" s="755">
        <f>+EA154</f>
        <v>0</v>
      </c>
      <c r="EC154" s="756">
        <f>IFERROR(EC153/DZ153-1,0)</f>
        <v>0</v>
      </c>
      <c r="ED154" s="755">
        <f>+EB154</f>
        <v>0</v>
      </c>
      <c r="EE154" s="755">
        <f>+ED154</f>
        <v>0</v>
      </c>
      <c r="EF154" s="756">
        <f>IFERROR(EF153/EC153-1,0)</f>
        <v>0</v>
      </c>
      <c r="EG154" s="755">
        <f>+EE154</f>
        <v>0</v>
      </c>
      <c r="EH154" s="755">
        <f>+EG154</f>
        <v>0</v>
      </c>
      <c r="EI154" s="756">
        <f>IFERROR(EI153/EF153-1,0)</f>
        <v>0</v>
      </c>
      <c r="EJ154" s="755">
        <f>+EH154</f>
        <v>0</v>
      </c>
      <c r="EK154" s="755">
        <f>+EJ154</f>
        <v>0</v>
      </c>
      <c r="EL154" s="756">
        <f>IFERROR(EL153/EI153-1,0)</f>
        <v>0</v>
      </c>
      <c r="EM154" s="755">
        <f>+EK154</f>
        <v>0</v>
      </c>
      <c r="EN154" s="755">
        <f>+EM154</f>
        <v>0</v>
      </c>
      <c r="EO154" s="756">
        <f>IFERROR(EO153/EL153-1,0)</f>
        <v>0</v>
      </c>
      <c r="EP154" s="755">
        <f>+EN154</f>
        <v>0</v>
      </c>
      <c r="EQ154" s="755">
        <f>+EP154</f>
        <v>0</v>
      </c>
      <c r="ER154" s="756">
        <f>IFERROR(ER153/EO153-1,0)</f>
        <v>0</v>
      </c>
      <c r="ES154" s="755">
        <f>+EQ154</f>
        <v>0</v>
      </c>
      <c r="ET154" s="755">
        <f>+ES154</f>
        <v>0</v>
      </c>
      <c r="EU154" s="756">
        <f>IFERROR(EU153/ER153-1,0)</f>
        <v>0</v>
      </c>
      <c r="EV154" s="755">
        <f>+ET154</f>
        <v>0</v>
      </c>
      <c r="EW154" s="755">
        <f>+EV154</f>
        <v>0</v>
      </c>
      <c r="EX154" s="756">
        <f>IFERROR(EX153/EU153-1,0)</f>
        <v>0</v>
      </c>
      <c r="EY154" s="755">
        <f>+EW154</f>
        <v>0</v>
      </c>
      <c r="EZ154" s="755">
        <f>+EY154</f>
        <v>0</v>
      </c>
      <c r="FA154" s="757">
        <f>IFERROR(FA153/EX153-1,0)</f>
        <v>0</v>
      </c>
    </row>
    <row r="155" spans="1:157" ht="13.35" customHeight="1">
      <c r="A155" s="760"/>
      <c r="B155" s="176"/>
      <c r="C155" s="177" t="s">
        <v>440</v>
      </c>
      <c r="D155" s="250" t="s">
        <v>339</v>
      </c>
      <c r="E155" s="251"/>
      <c r="F155" s="251"/>
      <c r="G155" s="252"/>
      <c r="H155" s="251"/>
      <c r="I155" s="251"/>
      <c r="J155" s="252"/>
      <c r="K155" s="251"/>
      <c r="L155" s="251"/>
      <c r="M155" s="252"/>
      <c r="N155" s="251"/>
      <c r="O155" s="251"/>
      <c r="P155" s="252"/>
      <c r="Q155" s="251"/>
      <c r="R155" s="251"/>
      <c r="S155" s="252"/>
      <c r="T155" s="251"/>
      <c r="U155" s="251"/>
      <c r="V155" s="252"/>
      <c r="W155" s="251"/>
      <c r="X155" s="251"/>
      <c r="Y155" s="252"/>
      <c r="Z155" s="251"/>
      <c r="AA155" s="251"/>
      <c r="AB155" s="252"/>
      <c r="AC155" s="251"/>
      <c r="AD155" s="251"/>
      <c r="AE155" s="252"/>
      <c r="AF155" s="251"/>
      <c r="AG155" s="251"/>
      <c r="AH155" s="252"/>
      <c r="AI155" s="251"/>
      <c r="AJ155" s="251"/>
      <c r="AK155" s="252"/>
      <c r="AL155" s="251"/>
      <c r="AM155" s="251"/>
      <c r="AN155" s="252"/>
      <c r="AO155" s="251"/>
      <c r="AP155" s="251"/>
      <c r="AQ155" s="252"/>
      <c r="AR155" s="251"/>
      <c r="AS155" s="251"/>
      <c r="AT155" s="252"/>
      <c r="AU155" s="251"/>
      <c r="AV155" s="251"/>
      <c r="AW155" s="252"/>
      <c r="AX155" s="251"/>
      <c r="AY155" s="251"/>
      <c r="AZ155" s="252"/>
      <c r="BA155" s="251"/>
      <c r="BB155" s="251"/>
      <c r="BC155" s="252"/>
      <c r="BD155" s="251"/>
      <c r="BE155" s="251"/>
      <c r="BF155" s="4"/>
      <c r="BG155" s="251"/>
      <c r="BH155" s="251"/>
      <c r="BI155" s="4"/>
      <c r="BJ155" s="251"/>
      <c r="BK155" s="251"/>
      <c r="BL155" s="4"/>
      <c r="BM155" s="282"/>
      <c r="BN155" s="282"/>
      <c r="BO155" s="132"/>
      <c r="BP155" s="251"/>
      <c r="BQ155" s="251"/>
      <c r="BR155" s="252"/>
      <c r="BS155" s="251"/>
      <c r="BT155" s="251"/>
      <c r="BU155" s="293"/>
      <c r="BV155" s="184"/>
      <c r="BW155" s="184"/>
      <c r="BX155" s="185"/>
      <c r="BY155" s="184"/>
      <c r="BZ155" s="184"/>
      <c r="CA155" s="185"/>
      <c r="CB155" s="184"/>
      <c r="CC155" s="184"/>
      <c r="CD155" s="185"/>
      <c r="CE155" s="184"/>
      <c r="CF155" s="184"/>
      <c r="CG155" s="185"/>
      <c r="CH155" s="184"/>
      <c r="CI155" s="184"/>
      <c r="CJ155" s="185"/>
      <c r="CK155" s="184"/>
      <c r="CL155" s="184"/>
      <c r="CM155" s="185"/>
      <c r="CN155" s="310"/>
      <c r="CO155" s="184"/>
      <c r="CP155" s="185"/>
      <c r="CQ155" s="184"/>
      <c r="CR155" s="184"/>
      <c r="CS155" s="185"/>
      <c r="CT155" s="184"/>
      <c r="CU155" s="184"/>
      <c r="CV155" s="185"/>
      <c r="CW155" s="184"/>
      <c r="CX155" s="184"/>
      <c r="CY155" s="301"/>
      <c r="CZ155" s="300"/>
      <c r="DA155" s="300"/>
      <c r="DB155" s="301"/>
      <c r="DC155" s="300"/>
      <c r="DD155" s="300"/>
      <c r="DE155" s="787"/>
      <c r="DF155" s="300"/>
      <c r="DG155" s="300"/>
      <c r="DH155" s="787"/>
      <c r="DI155" s="748">
        <v>61.041935887944923</v>
      </c>
      <c r="DJ155" s="748">
        <v>63.148551391844663</v>
      </c>
      <c r="DK155" s="698">
        <v>62.034811452406451</v>
      </c>
      <c r="DL155" s="301">
        <f>+DI155*(1+DL156)</f>
        <v>64.094032682342174</v>
      </c>
      <c r="DM155" s="301">
        <f>+DJ155*(1+DM156)</f>
        <v>66.305978961436892</v>
      </c>
      <c r="DN155" s="698">
        <f>+AVERAGE(DL155:DM155)</f>
        <v>65.200005821889533</v>
      </c>
      <c r="DO155" s="301">
        <f>+DL155*(1+DO156)</f>
        <v>67.939674643282714</v>
      </c>
      <c r="DP155" s="301">
        <f>+DM155*(1+DP156)</f>
        <v>70.284337699123114</v>
      </c>
      <c r="DQ155" s="698">
        <f>+AVERAGE(DO155:DP155)</f>
        <v>69.112006171202921</v>
      </c>
      <c r="DR155" s="301">
        <f>+DO155*(1+DR156)</f>
        <v>71.336658375446859</v>
      </c>
      <c r="DS155" s="301">
        <f>+DP155*(1+DS156)</f>
        <v>72.392867830096804</v>
      </c>
      <c r="DT155" s="698">
        <f>+AVERAGE(DR155:DS155)</f>
        <v>71.864763102771832</v>
      </c>
      <c r="DU155" s="301">
        <f>+DR155*(1+DU156)</f>
        <v>73.476758126710266</v>
      </c>
      <c r="DV155" s="301">
        <f>+DS155*(1+DV156)</f>
        <v>74.564653864999713</v>
      </c>
      <c r="DW155" s="698">
        <f>+AVERAGE(DU155:DV155)</f>
        <v>74.020705995854996</v>
      </c>
      <c r="DX155" s="301">
        <f>+DU155*(1+DX156)</f>
        <v>74.211525707977373</v>
      </c>
      <c r="DY155" s="301">
        <f>+DV155*(1+DY156)</f>
        <v>75.310300403649705</v>
      </c>
      <c r="DZ155" s="698">
        <f>DZ162/DZ146</f>
        <v>74.780992093625855</v>
      </c>
      <c r="EA155" s="301">
        <f>+DX155*(1+EA156)</f>
        <v>74.953640965057147</v>
      </c>
      <c r="EB155" s="301">
        <f>+DY155*(1+EB156)</f>
        <v>76.063403407686209</v>
      </c>
      <c r="EC155" s="698">
        <f>EC162/EC146</f>
        <v>75.528802014562118</v>
      </c>
      <c r="ED155" s="301">
        <f>+EA155*(1+ED156)</f>
        <v>75.32840916988242</v>
      </c>
      <c r="EE155" s="301">
        <f>+EB155*(1+EE156)</f>
        <v>76.443720424724631</v>
      </c>
      <c r="EF155" s="698">
        <f>EF162/EF146</f>
        <v>75.906446024634903</v>
      </c>
      <c r="EG155" s="301">
        <f>+ED155*(1+EG156)</f>
        <v>75.705051215731828</v>
      </c>
      <c r="EH155" s="301">
        <f>+EE155*(1+EH156)</f>
        <v>76.825939026848246</v>
      </c>
      <c r="EI155" s="698">
        <f>EI162/EI146</f>
        <v>76.285978254758092</v>
      </c>
      <c r="EJ155" s="301">
        <f>+EG155*(1+EJ156)</f>
        <v>75.705051215731828</v>
      </c>
      <c r="EK155" s="301">
        <f>+EH155*(1+EK156)</f>
        <v>76.825939026848246</v>
      </c>
      <c r="EL155" s="698">
        <f>EL162/EL146</f>
        <v>76.285978254758064</v>
      </c>
      <c r="EM155" s="301">
        <f>+EJ155*(1+EM156)</f>
        <v>75.705051215731828</v>
      </c>
      <c r="EN155" s="301">
        <f>+EK155*(1+EN156)</f>
        <v>76.825939026848246</v>
      </c>
      <c r="EO155" s="698">
        <f>EO162/EO146</f>
        <v>76.285978254758078</v>
      </c>
      <c r="EP155" s="301">
        <f>+EM155*(1+EP156)</f>
        <v>75.705051215731828</v>
      </c>
      <c r="EQ155" s="301">
        <f>+EN155*(1+EQ156)</f>
        <v>76.825939026848246</v>
      </c>
      <c r="ER155" s="698">
        <f>ER162/ER146</f>
        <v>76.285978254758078</v>
      </c>
      <c r="ES155" s="301">
        <f>+EP155*(1+ES156)</f>
        <v>75.705051215731828</v>
      </c>
      <c r="ET155" s="301">
        <f>+EQ155*(1+ET156)</f>
        <v>76.825939026848246</v>
      </c>
      <c r="EU155" s="698">
        <f>EU162/EU146</f>
        <v>76.285978254758078</v>
      </c>
      <c r="EV155" s="301">
        <f>+ES155*(1+EV156)</f>
        <v>75.705051215731828</v>
      </c>
      <c r="EW155" s="301">
        <f>+ET155*(1+EW156)</f>
        <v>76.825939026848246</v>
      </c>
      <c r="EX155" s="698">
        <f>EX162/EX146</f>
        <v>76.285978254758078</v>
      </c>
      <c r="EY155" s="301">
        <f>+EV155*(1+EY156)</f>
        <v>75.705051215731828</v>
      </c>
      <c r="EZ155" s="301">
        <f>+EW155*(1+EZ156)</f>
        <v>76.825939026848246</v>
      </c>
      <c r="FA155" s="502">
        <f>FA162/FA146</f>
        <v>76.285978254758078</v>
      </c>
    </row>
    <row r="156" spans="1:157" ht="13.35" customHeight="1">
      <c r="A156" s="22"/>
      <c r="B156" s="296"/>
      <c r="C156" s="177" t="str">
        <f>C154</f>
        <v>Growth</v>
      </c>
      <c r="D156" s="250" t="s">
        <v>507</v>
      </c>
      <c r="E156" s="251"/>
      <c r="F156" s="251"/>
      <c r="G156" s="252"/>
      <c r="H156" s="251"/>
      <c r="I156" s="251"/>
      <c r="J156" s="252"/>
      <c r="K156" s="251"/>
      <c r="L156" s="251"/>
      <c r="M156" s="252"/>
      <c r="N156" s="251"/>
      <c r="O156" s="251"/>
      <c r="P156" s="252"/>
      <c r="Q156" s="251"/>
      <c r="R156" s="251"/>
      <c r="S156" s="252"/>
      <c r="T156" s="251"/>
      <c r="U156" s="251"/>
      <c r="V156" s="252"/>
      <c r="W156" s="251"/>
      <c r="X156" s="251"/>
      <c r="Y156" s="252"/>
      <c r="Z156" s="251"/>
      <c r="AA156" s="251"/>
      <c r="AB156" s="252"/>
      <c r="AC156" s="251"/>
      <c r="AD156" s="251"/>
      <c r="AE156" s="252"/>
      <c r="AF156" s="251"/>
      <c r="AG156" s="251"/>
      <c r="AH156" s="252"/>
      <c r="AI156" s="251"/>
      <c r="AJ156" s="251"/>
      <c r="AK156" s="252"/>
      <c r="AL156" s="251"/>
      <c r="AM156" s="251"/>
      <c r="AN156" s="252"/>
      <c r="AO156" s="251"/>
      <c r="AP156" s="251"/>
      <c r="AQ156" s="252"/>
      <c r="AR156" s="251"/>
      <c r="AS156" s="251"/>
      <c r="AT156" s="252"/>
      <c r="AU156" s="251"/>
      <c r="AV156" s="251"/>
      <c r="AW156" s="252"/>
      <c r="AX156" s="251"/>
      <c r="AY156" s="251"/>
      <c r="AZ156" s="252"/>
      <c r="BA156" s="251"/>
      <c r="BB156" s="251"/>
      <c r="BC156" s="252"/>
      <c r="BD156" s="251"/>
      <c r="BE156" s="251"/>
      <c r="BF156" s="252"/>
      <c r="BG156" s="198"/>
      <c r="BH156" s="251"/>
      <c r="BI156" s="252"/>
      <c r="BJ156" s="252"/>
      <c r="BK156" s="252"/>
      <c r="BL156" s="252"/>
      <c r="BM156" s="252"/>
      <c r="BN156" s="252"/>
      <c r="BO156" s="252"/>
      <c r="BP156" s="311"/>
      <c r="BQ156" s="311"/>
      <c r="BR156" s="311"/>
      <c r="BS156" s="311"/>
      <c r="BT156" s="311"/>
      <c r="BU156" s="312"/>
      <c r="BV156" s="286"/>
      <c r="BW156" s="286"/>
      <c r="BX156" s="287"/>
      <c r="BY156" s="286"/>
      <c r="BZ156" s="286"/>
      <c r="CA156" s="287"/>
      <c r="CB156" s="286"/>
      <c r="CC156" s="286"/>
      <c r="CD156" s="287"/>
      <c r="CE156" s="286"/>
      <c r="CF156" s="286"/>
      <c r="CG156" s="287"/>
      <c r="CH156" s="286"/>
      <c r="CI156" s="286"/>
      <c r="CJ156" s="287"/>
      <c r="CK156" s="286"/>
      <c r="CL156" s="286"/>
      <c r="CM156" s="287"/>
      <c r="CN156" s="313"/>
      <c r="CO156" s="284"/>
      <c r="CP156" s="66"/>
      <c r="CQ156" s="314"/>
      <c r="CR156" s="284"/>
      <c r="CS156" s="66"/>
      <c r="CT156" s="284"/>
      <c r="CU156" s="284"/>
      <c r="CV156" s="66"/>
      <c r="CW156" s="284"/>
      <c r="CX156" s="284"/>
      <c r="CY156" s="306"/>
      <c r="CZ156" s="333"/>
      <c r="DA156" s="333"/>
      <c r="DB156" s="334"/>
      <c r="DC156" s="333"/>
      <c r="DD156" s="333"/>
      <c r="DE156" s="788"/>
      <c r="DF156" s="333"/>
      <c r="DG156" s="333"/>
      <c r="DH156" s="788"/>
      <c r="DI156" s="334"/>
      <c r="DJ156" s="334"/>
      <c r="DK156" s="700">
        <v>6.0687110008808665E-2</v>
      </c>
      <c r="DL156" s="749">
        <v>0.05</v>
      </c>
      <c r="DM156" s="334">
        <f>+DL156</f>
        <v>0.05</v>
      </c>
      <c r="DN156" s="700">
        <f>DN155/DK155-1</f>
        <v>5.1022874018266995E-2</v>
      </c>
      <c r="DO156" s="749">
        <v>0.06</v>
      </c>
      <c r="DP156" s="334">
        <f>+DO156</f>
        <v>0.06</v>
      </c>
      <c r="DQ156" s="700">
        <f>DQ155/DN155-1</f>
        <v>6.0000000000000275E-2</v>
      </c>
      <c r="DR156" s="749">
        <v>0.05</v>
      </c>
      <c r="DS156" s="749">
        <v>0.03</v>
      </c>
      <c r="DT156" s="700">
        <f>DT155/DQ155-1</f>
        <v>3.9830372233007338E-2</v>
      </c>
      <c r="DU156" s="749">
        <v>0.03</v>
      </c>
      <c r="DV156" s="749">
        <v>0.03</v>
      </c>
      <c r="DW156" s="700">
        <f>DW155/DT155-1</f>
        <v>3.0000000000000027E-2</v>
      </c>
      <c r="DX156" s="749">
        <v>0.01</v>
      </c>
      <c r="DY156" s="334">
        <f>DX156</f>
        <v>0.01</v>
      </c>
      <c r="DZ156" s="700">
        <f>IFERROR(DZ155/DW155-1,0)</f>
        <v>1.0271262446664986E-2</v>
      </c>
      <c r="EA156" s="334">
        <v>0.01</v>
      </c>
      <c r="EB156" s="334">
        <f>+EA156</f>
        <v>0.01</v>
      </c>
      <c r="EC156" s="700">
        <f>IFERROR(EC155/DZ155-1,0)</f>
        <v>1.0000000000000009E-2</v>
      </c>
      <c r="ED156" s="749">
        <v>5.0000000000000001E-3</v>
      </c>
      <c r="EE156" s="334">
        <f>ED156</f>
        <v>5.0000000000000001E-3</v>
      </c>
      <c r="EF156" s="700">
        <f>IFERROR(EF155/EC155-1,0)</f>
        <v>4.9999999999996714E-3</v>
      </c>
      <c r="EG156" s="334">
        <f>ED156</f>
        <v>5.0000000000000001E-3</v>
      </c>
      <c r="EH156" s="334">
        <f>EE156</f>
        <v>5.0000000000000001E-3</v>
      </c>
      <c r="EI156" s="700">
        <f>IFERROR(EI155/EF155-1,0)</f>
        <v>5.0000000000001155E-3</v>
      </c>
      <c r="EJ156" s="334">
        <v>0</v>
      </c>
      <c r="EK156" s="334">
        <f>+EJ156</f>
        <v>0</v>
      </c>
      <c r="EL156" s="700">
        <f>IFERROR(EL155/EI155-1,0)</f>
        <v>-3.3306690738754696E-16</v>
      </c>
      <c r="EM156" s="334">
        <f>EJ156</f>
        <v>0</v>
      </c>
      <c r="EN156" s="334">
        <f>EK156</f>
        <v>0</v>
      </c>
      <c r="EO156" s="700">
        <f>IFERROR(EO155/EL155-1,0)</f>
        <v>2.2204460492503131E-16</v>
      </c>
      <c r="EP156" s="334">
        <f>EM156</f>
        <v>0</v>
      </c>
      <c r="EQ156" s="334">
        <f>EN156</f>
        <v>0</v>
      </c>
      <c r="ER156" s="700">
        <f>IFERROR(ER155/EO155-1,0)</f>
        <v>0</v>
      </c>
      <c r="ES156" s="334">
        <f>EP156</f>
        <v>0</v>
      </c>
      <c r="ET156" s="334">
        <f>EQ156</f>
        <v>0</v>
      </c>
      <c r="EU156" s="700">
        <f>IFERROR(EU155/ER155-1,0)</f>
        <v>0</v>
      </c>
      <c r="EV156" s="334">
        <f>ES156</f>
        <v>0</v>
      </c>
      <c r="EW156" s="334">
        <f>ET156</f>
        <v>0</v>
      </c>
      <c r="EX156" s="700">
        <f>IFERROR(EX155/EU155-1,0)</f>
        <v>0</v>
      </c>
      <c r="EY156" s="334">
        <f>EV156</f>
        <v>0</v>
      </c>
      <c r="EZ156" s="334">
        <f>EW156</f>
        <v>0</v>
      </c>
      <c r="FA156" s="523">
        <f>IFERROR(FA155/EX155-1,0)</f>
        <v>0</v>
      </c>
    </row>
    <row r="157" spans="1:157" ht="13.35" customHeight="1">
      <c r="A157" s="760"/>
      <c r="B157" s="176"/>
      <c r="C157" s="177" t="s">
        <v>802</v>
      </c>
      <c r="D157" s="250" t="s">
        <v>339</v>
      </c>
      <c r="E157" s="251"/>
      <c r="F157" s="251"/>
      <c r="G157" s="252"/>
      <c r="H157" s="251"/>
      <c r="I157" s="251"/>
      <c r="J157" s="252"/>
      <c r="K157" s="251"/>
      <c r="L157" s="251"/>
      <c r="M157" s="252"/>
      <c r="N157" s="251"/>
      <c r="O157" s="251"/>
      <c r="P157" s="252"/>
      <c r="Q157" s="251"/>
      <c r="R157" s="251"/>
      <c r="S157" s="252"/>
      <c r="T157" s="251"/>
      <c r="U157" s="251"/>
      <c r="V157" s="252"/>
      <c r="W157" s="251"/>
      <c r="X157" s="251"/>
      <c r="Y157" s="252"/>
      <c r="Z157" s="251"/>
      <c r="AA157" s="251"/>
      <c r="AB157" s="252"/>
      <c r="AC157" s="251"/>
      <c r="AD157" s="251"/>
      <c r="AE157" s="252"/>
      <c r="AF157" s="251"/>
      <c r="AG157" s="251"/>
      <c r="AH157" s="252"/>
      <c r="AI157" s="251"/>
      <c r="AJ157" s="251"/>
      <c r="AK157" s="252"/>
      <c r="AL157" s="251"/>
      <c r="AM157" s="251"/>
      <c r="AN157" s="252"/>
      <c r="AO157" s="251"/>
      <c r="AP157" s="251"/>
      <c r="AQ157" s="252"/>
      <c r="AR157" s="251"/>
      <c r="AS157" s="251"/>
      <c r="AT157" s="252"/>
      <c r="AU157" s="251"/>
      <c r="AV157" s="251"/>
      <c r="AW157" s="252"/>
      <c r="AX157" s="251"/>
      <c r="AY157" s="251"/>
      <c r="AZ157" s="252"/>
      <c r="BA157" s="251"/>
      <c r="BB157" s="251"/>
      <c r="BC157" s="252"/>
      <c r="BD157" s="251"/>
      <c r="BE157" s="251"/>
      <c r="BF157" s="252"/>
      <c r="BG157" s="198"/>
      <c r="BH157" s="251"/>
      <c r="BI157" s="252"/>
      <c r="BJ157" s="252"/>
      <c r="BK157" s="252"/>
      <c r="BL157" s="252"/>
      <c r="BM157" s="252"/>
      <c r="BN157" s="252"/>
      <c r="BO157" s="252"/>
      <c r="BP157" s="4"/>
      <c r="BQ157" s="4"/>
      <c r="BR157" s="4"/>
      <c r="BS157" s="4"/>
      <c r="BT157" s="4"/>
      <c r="BU157" s="315"/>
      <c r="BV157" s="184"/>
      <c r="BW157" s="184"/>
      <c r="BX157" s="185"/>
      <c r="BY157" s="184"/>
      <c r="BZ157" s="184"/>
      <c r="CA157" s="185"/>
      <c r="CB157" s="184"/>
      <c r="CC157" s="184"/>
      <c r="CD157" s="185"/>
      <c r="CE157" s="184"/>
      <c r="CF157" s="184"/>
      <c r="CG157" s="185"/>
      <c r="CH157" s="184"/>
      <c r="CI157" s="184"/>
      <c r="CJ157" s="185"/>
      <c r="CK157" s="184"/>
      <c r="CL157" s="184"/>
      <c r="CM157" s="185"/>
      <c r="CN157" s="310"/>
      <c r="CO157" s="184"/>
      <c r="CP157" s="185"/>
      <c r="CQ157" s="184"/>
      <c r="CR157" s="184"/>
      <c r="CS157" s="185"/>
      <c r="CT157" s="184"/>
      <c r="CU157" s="184"/>
      <c r="CV157" s="185"/>
      <c r="CW157" s="184"/>
      <c r="CX157" s="184"/>
      <c r="CY157" s="301"/>
      <c r="CZ157" s="300"/>
      <c r="DA157" s="300"/>
      <c r="DB157" s="301"/>
      <c r="DC157" s="300"/>
      <c r="DD157" s="300"/>
      <c r="DE157" s="787"/>
      <c r="DF157" s="300"/>
      <c r="DG157" s="300"/>
      <c r="DH157" s="787"/>
      <c r="DI157" s="301">
        <v>76.12640193546919</v>
      </c>
      <c r="DJ157" s="301">
        <v>79.494599717475424</v>
      </c>
      <c r="DK157" s="698">
        <v>77.810115774852619</v>
      </c>
      <c r="DL157" s="301">
        <f>+DI157*(1+DL158)</f>
        <v>79.932722032242651</v>
      </c>
      <c r="DM157" s="301">
        <f>+DJ157*(1+DM158)</f>
        <v>83.469329703349203</v>
      </c>
      <c r="DN157" s="698">
        <f>+AVERAGE(DL157:DM157)</f>
        <v>81.70102586779592</v>
      </c>
      <c r="DO157" s="301">
        <f>+DL157*(1+DO158)</f>
        <v>84.728685354177216</v>
      </c>
      <c r="DP157" s="301">
        <f>+DM157*(1+DP158)</f>
        <v>88.477489485550166</v>
      </c>
      <c r="DQ157" s="698">
        <f>+AVERAGE(DO157:DP157)</f>
        <v>86.603087419863698</v>
      </c>
      <c r="DR157" s="301">
        <f>+DO157*(1+DR158)</f>
        <v>88.965119621886075</v>
      </c>
      <c r="DS157" s="301">
        <f>+DP157*(1+DS158)</f>
        <v>92.901363959827677</v>
      </c>
      <c r="DT157" s="698">
        <f>+AVERAGE(DR157:DS157)</f>
        <v>90.933241790856869</v>
      </c>
      <c r="DU157" s="301">
        <f>+DR157*(1+DU158)</f>
        <v>91.634073210542653</v>
      </c>
      <c r="DV157" s="301">
        <f>+DS157*(1+DV158)</f>
        <v>95.688404878622507</v>
      </c>
      <c r="DW157" s="698">
        <f>+AVERAGE(DU157:DV157)</f>
        <v>93.661239044582572</v>
      </c>
      <c r="DX157" s="301">
        <f>+DU157*(1+DX158)</f>
        <v>94.383095406858928</v>
      </c>
      <c r="DY157" s="301">
        <f>+DV157*(1+DY158)</f>
        <v>98.559057024981186</v>
      </c>
      <c r="DZ157" s="698">
        <f>DZ164/DZ148</f>
        <v>96.484539594921841</v>
      </c>
      <c r="EA157" s="301">
        <f>+DX157*(1+EA158)</f>
        <v>95.326926360927516</v>
      </c>
      <c r="EB157" s="301">
        <f>+DY157*(1+EB158)</f>
        <v>99.544647595230998</v>
      </c>
      <c r="EC157" s="698">
        <f>EC164/EC148</f>
        <v>97.449384990871039</v>
      </c>
      <c r="ED157" s="301">
        <f>+EA157*(1+ED158)</f>
        <v>95.803560992732145</v>
      </c>
      <c r="EE157" s="301">
        <f>+EB157*(1+EE158)</f>
        <v>100.04237083320714</v>
      </c>
      <c r="EF157" s="698">
        <f>EF164/EF148</f>
        <v>97.936631915825402</v>
      </c>
      <c r="EG157" s="301">
        <f>+ED157*(1+EG158)</f>
        <v>96.282578797695791</v>
      </c>
      <c r="EH157" s="301">
        <f>+EE157*(1+EH158)</f>
        <v>100.54258268737317</v>
      </c>
      <c r="EI157" s="698">
        <f>EI164/EI148</f>
        <v>98.426315075404503</v>
      </c>
      <c r="EJ157" s="301">
        <f>+EG157*(1+EJ158)</f>
        <v>96.763991691684254</v>
      </c>
      <c r="EK157" s="301">
        <f>+EH157*(1+EK158)</f>
        <v>101.04529560081002</v>
      </c>
      <c r="EL157" s="698">
        <f>EL164/EL148</f>
        <v>98.918446650781519</v>
      </c>
      <c r="EM157" s="301">
        <f>+EJ157*(1+EM158)</f>
        <v>97.247811650142665</v>
      </c>
      <c r="EN157" s="301">
        <f>+EK157*(1+EN158)</f>
        <v>101.55052207881405</v>
      </c>
      <c r="EO157" s="698">
        <f>EO164/EO148</f>
        <v>99.413038884035416</v>
      </c>
      <c r="EP157" s="301">
        <f>+EM157*(1+EP158)</f>
        <v>97.734050708393369</v>
      </c>
      <c r="EQ157" s="301">
        <f>+EN157*(1+EQ158)</f>
        <v>102.05827468920812</v>
      </c>
      <c r="ER157" s="698">
        <f>ER164/ER148</f>
        <v>99.910104078455575</v>
      </c>
      <c r="ES157" s="301">
        <f>+EP157*(1+ES158)</f>
        <v>98.222720961935323</v>
      </c>
      <c r="ET157" s="301">
        <f>+EQ157*(1+ET158)</f>
        <v>102.56856606265414</v>
      </c>
      <c r="EU157" s="698">
        <f>EU164/EU148</f>
        <v>100.40965459884785</v>
      </c>
      <c r="EV157" s="301">
        <f>+ES157*(1+EV158)</f>
        <v>98.713834566744993</v>
      </c>
      <c r="EW157" s="301">
        <f>+ET157*(1+EW158)</f>
        <v>103.0814088929674</v>
      </c>
      <c r="EX157" s="698">
        <f>EX164/EX148</f>
        <v>100.91170287184208</v>
      </c>
      <c r="EY157" s="301">
        <f>+EV157*(1+EY158)</f>
        <v>99.207403739578709</v>
      </c>
      <c r="EZ157" s="301">
        <f>+EW157*(1+EZ158)</f>
        <v>103.59681593743223</v>
      </c>
      <c r="FA157" s="502">
        <f>FA164/FA148</f>
        <v>101.41626138620127</v>
      </c>
    </row>
    <row r="158" spans="1:157" ht="13.35" customHeight="1">
      <c r="A158" s="22"/>
      <c r="B158" s="296"/>
      <c r="C158" s="177" t="str">
        <f>C156</f>
        <v>Growth</v>
      </c>
      <c r="D158" s="250" t="s">
        <v>507</v>
      </c>
      <c r="E158" s="251"/>
      <c r="F158" s="251"/>
      <c r="G158" s="252"/>
      <c r="H158" s="251"/>
      <c r="I158" s="251"/>
      <c r="J158" s="252"/>
      <c r="K158" s="251"/>
      <c r="L158" s="251"/>
      <c r="M158" s="252"/>
      <c r="N158" s="251"/>
      <c r="O158" s="251"/>
      <c r="P158" s="252"/>
      <c r="Q158" s="251"/>
      <c r="R158" s="251"/>
      <c r="S158" s="252"/>
      <c r="T158" s="251"/>
      <c r="U158" s="251"/>
      <c r="V158" s="252"/>
      <c r="W158" s="251"/>
      <c r="X158" s="251"/>
      <c r="Y158" s="252"/>
      <c r="Z158" s="251"/>
      <c r="AA158" s="251"/>
      <c r="AB158" s="252"/>
      <c r="AC158" s="251"/>
      <c r="AD158" s="251"/>
      <c r="AE158" s="252"/>
      <c r="AF158" s="251"/>
      <c r="AG158" s="251"/>
      <c r="AH158" s="252"/>
      <c r="AI158" s="251"/>
      <c r="AJ158" s="251"/>
      <c r="AK158" s="252"/>
      <c r="AL158" s="251"/>
      <c r="AM158" s="251"/>
      <c r="AN158" s="252"/>
      <c r="AO158" s="251"/>
      <c r="AP158" s="251"/>
      <c r="AQ158" s="252"/>
      <c r="AR158" s="251"/>
      <c r="AS158" s="251"/>
      <c r="AT158" s="252"/>
      <c r="AU158" s="251"/>
      <c r="AV158" s="251"/>
      <c r="AW158" s="252"/>
      <c r="AX158" s="251"/>
      <c r="AY158" s="251"/>
      <c r="AZ158" s="252"/>
      <c r="BA158" s="251"/>
      <c r="BB158" s="251"/>
      <c r="BC158" s="252"/>
      <c r="BD158" s="251"/>
      <c r="BE158" s="251"/>
      <c r="BF158" s="252"/>
      <c r="BG158" s="198"/>
      <c r="BH158" s="251"/>
      <c r="BI158" s="252"/>
      <c r="BJ158" s="252"/>
      <c r="BK158" s="252"/>
      <c r="BL158" s="252"/>
      <c r="BM158" s="252"/>
      <c r="BN158" s="252"/>
      <c r="BO158" s="252"/>
      <c r="BP158" s="4"/>
      <c r="BQ158" s="4"/>
      <c r="BR158" s="4"/>
      <c r="BS158" s="4"/>
      <c r="BT158" s="4"/>
      <c r="BU158" s="315"/>
      <c r="BV158" s="184"/>
      <c r="BW158" s="184"/>
      <c r="BX158" s="185"/>
      <c r="BY158" s="184"/>
      <c r="BZ158" s="184"/>
      <c r="CA158" s="185"/>
      <c r="CB158" s="184"/>
      <c r="CC158" s="184"/>
      <c r="CD158" s="185"/>
      <c r="CE158" s="184"/>
      <c r="CF158" s="184"/>
      <c r="CG158" s="185"/>
      <c r="CH158" s="184"/>
      <c r="CI158" s="184"/>
      <c r="CJ158" s="185"/>
      <c r="CK158" s="184"/>
      <c r="CL158" s="184"/>
      <c r="CM158" s="185"/>
      <c r="CN158" s="310"/>
      <c r="CO158" s="184"/>
      <c r="CP158" s="185"/>
      <c r="CQ158" s="184"/>
      <c r="CR158" s="184"/>
      <c r="CS158" s="185"/>
      <c r="CT158" s="295"/>
      <c r="CU158" s="295"/>
      <c r="CV158" s="316"/>
      <c r="CW158" s="295"/>
      <c r="CX158" s="295"/>
      <c r="CY158" s="549"/>
      <c r="CZ158" s="333"/>
      <c r="DA158" s="333"/>
      <c r="DB158" s="334"/>
      <c r="DC158" s="333"/>
      <c r="DD158" s="333"/>
      <c r="DE158" s="788"/>
      <c r="DF158" s="333"/>
      <c r="DG158" s="333"/>
      <c r="DH158" s="788"/>
      <c r="DI158" s="334"/>
      <c r="DJ158" s="334"/>
      <c r="DK158" s="700">
        <v>6.4333846088963087E-2</v>
      </c>
      <c r="DL158" s="749">
        <v>0.05</v>
      </c>
      <c r="DM158" s="334">
        <f>+DL158</f>
        <v>0.05</v>
      </c>
      <c r="DN158" s="700">
        <f>DN157/DK157-1</f>
        <v>5.0005196036487565E-2</v>
      </c>
      <c r="DO158" s="749">
        <v>0.06</v>
      </c>
      <c r="DP158" s="334">
        <f>+DO158</f>
        <v>0.06</v>
      </c>
      <c r="DQ158" s="700">
        <f>DQ157/DN157-1</f>
        <v>6.0000000000000275E-2</v>
      </c>
      <c r="DR158" s="749">
        <v>0.05</v>
      </c>
      <c r="DS158" s="334">
        <f>+DR158</f>
        <v>0.05</v>
      </c>
      <c r="DT158" s="700">
        <f>DT157/DQ157-1</f>
        <v>4.9999999999999822E-2</v>
      </c>
      <c r="DU158" s="334">
        <v>0.03</v>
      </c>
      <c r="DV158" s="334">
        <f>+DU158</f>
        <v>0.03</v>
      </c>
      <c r="DW158" s="700">
        <f>DW157/DT157-1</f>
        <v>3.0000000000000027E-2</v>
      </c>
      <c r="DX158" s="334">
        <v>0.03</v>
      </c>
      <c r="DY158" s="334">
        <f>+DX158</f>
        <v>0.03</v>
      </c>
      <c r="DZ158" s="700">
        <f>DZ157/DW157-1</f>
        <v>3.0143745471863603E-2</v>
      </c>
      <c r="EA158" s="334">
        <v>0.01</v>
      </c>
      <c r="EB158" s="334">
        <f>+EA158</f>
        <v>0.01</v>
      </c>
      <c r="EC158" s="700">
        <f>EC157/DZ157-1</f>
        <v>9.9999999999997868E-3</v>
      </c>
      <c r="ED158" s="749">
        <v>5.0000000000000001E-3</v>
      </c>
      <c r="EE158" s="334">
        <f>ED158</f>
        <v>5.0000000000000001E-3</v>
      </c>
      <c r="EF158" s="700">
        <f>IFERROR(EF157/EC157-1,0)</f>
        <v>5.0000000000001155E-3</v>
      </c>
      <c r="EG158" s="334">
        <f>+EE158</f>
        <v>5.0000000000000001E-3</v>
      </c>
      <c r="EH158" s="334">
        <f>+EG158</f>
        <v>5.0000000000000001E-3</v>
      </c>
      <c r="EI158" s="700">
        <f>IFERROR(EI157/EF157-1,0)</f>
        <v>4.9999999999996714E-3</v>
      </c>
      <c r="EJ158" s="334">
        <v>5.0000000000000001E-3</v>
      </c>
      <c r="EK158" s="334">
        <f>+EJ158</f>
        <v>5.0000000000000001E-3</v>
      </c>
      <c r="EL158" s="700">
        <f>IFERROR(EL157/EI157-1,0)</f>
        <v>4.9999999999998934E-3</v>
      </c>
      <c r="EM158" s="334">
        <f>+EK158</f>
        <v>5.0000000000000001E-3</v>
      </c>
      <c r="EN158" s="334">
        <f>+EM158</f>
        <v>5.0000000000000001E-3</v>
      </c>
      <c r="EO158" s="700">
        <f>IFERROR(EO157/EL157-1,0)</f>
        <v>4.9999999999998934E-3</v>
      </c>
      <c r="EP158" s="334">
        <f>+EN158</f>
        <v>5.0000000000000001E-3</v>
      </c>
      <c r="EQ158" s="334">
        <f>+EP158</f>
        <v>5.0000000000000001E-3</v>
      </c>
      <c r="ER158" s="700">
        <f>IFERROR(ER157/EO157-1,0)</f>
        <v>4.9999999999998934E-3</v>
      </c>
      <c r="ES158" s="334">
        <f>+EQ158</f>
        <v>5.0000000000000001E-3</v>
      </c>
      <c r="ET158" s="334">
        <f>+ES158</f>
        <v>5.0000000000000001E-3</v>
      </c>
      <c r="EU158" s="700">
        <f>IFERROR(EU157/ER157-1,0)</f>
        <v>4.9999999999998934E-3</v>
      </c>
      <c r="EV158" s="334">
        <f>+ET158</f>
        <v>5.0000000000000001E-3</v>
      </c>
      <c r="EW158" s="334">
        <f>+EV158</f>
        <v>5.0000000000000001E-3</v>
      </c>
      <c r="EX158" s="700">
        <f>IFERROR(EX157/EU157-1,0)</f>
        <v>4.9999999999998934E-3</v>
      </c>
      <c r="EY158" s="334">
        <f>+EW158</f>
        <v>5.0000000000000001E-3</v>
      </c>
      <c r="EZ158" s="334">
        <f>+EY158</f>
        <v>5.0000000000000001E-3</v>
      </c>
      <c r="FA158" s="523">
        <f>IFERROR(FA157/EX157-1,0)</f>
        <v>4.9999999999998934E-3</v>
      </c>
    </row>
    <row r="159" spans="1:157" ht="13.35" customHeight="1">
      <c r="A159" s="760"/>
      <c r="C159" s="177" t="s">
        <v>171</v>
      </c>
      <c r="D159" s="250" t="s">
        <v>339</v>
      </c>
      <c r="E159" s="251"/>
      <c r="F159" s="251"/>
      <c r="G159" s="252"/>
      <c r="H159" s="251"/>
      <c r="I159" s="251"/>
      <c r="J159" s="252"/>
      <c r="K159" s="251"/>
      <c r="L159" s="251"/>
      <c r="M159" s="252"/>
      <c r="N159" s="251"/>
      <c r="O159" s="251"/>
      <c r="P159" s="252"/>
      <c r="Q159" s="251"/>
      <c r="R159" s="251"/>
      <c r="S159" s="252"/>
      <c r="T159" s="251"/>
      <c r="U159" s="251"/>
      <c r="V159" s="252"/>
      <c r="W159" s="251"/>
      <c r="X159" s="251"/>
      <c r="Y159" s="252"/>
      <c r="Z159" s="251"/>
      <c r="AA159" s="251"/>
      <c r="AB159" s="252"/>
      <c r="AC159" s="251"/>
      <c r="AD159" s="251"/>
      <c r="AE159" s="252"/>
      <c r="AF159" s="251"/>
      <c r="AG159" s="251"/>
      <c r="AH159" s="252"/>
      <c r="AI159" s="251"/>
      <c r="AJ159" s="251"/>
      <c r="AK159" s="252"/>
      <c r="AL159" s="251"/>
      <c r="AM159" s="251"/>
      <c r="AN159" s="252"/>
      <c r="AO159" s="251"/>
      <c r="AP159" s="251"/>
      <c r="AQ159" s="252"/>
      <c r="AR159" s="251"/>
      <c r="AS159" s="251"/>
      <c r="AT159" s="252"/>
      <c r="AU159" s="251"/>
      <c r="AV159" s="251"/>
      <c r="AW159" s="252"/>
      <c r="AX159" s="251"/>
      <c r="AY159" s="251"/>
      <c r="AZ159" s="252"/>
      <c r="BA159" s="251"/>
      <c r="BB159" s="251"/>
      <c r="BC159" s="252"/>
      <c r="BD159" s="251"/>
      <c r="BE159" s="251"/>
      <c r="BF159" s="252"/>
      <c r="BG159" s="198"/>
      <c r="BH159" s="251"/>
      <c r="BI159" s="252"/>
      <c r="BJ159" s="252"/>
      <c r="BK159" s="252"/>
      <c r="BL159" s="252"/>
      <c r="BM159" s="252"/>
      <c r="BN159" s="252"/>
      <c r="BO159" s="252"/>
      <c r="BP159" s="4"/>
      <c r="BQ159" s="4"/>
      <c r="BR159" s="4"/>
      <c r="BS159" s="4"/>
      <c r="BT159" s="4"/>
      <c r="BU159" s="315"/>
      <c r="BV159" s="184"/>
      <c r="BW159" s="184"/>
      <c r="BX159" s="185"/>
      <c r="BY159" s="184"/>
      <c r="BZ159" s="184"/>
      <c r="CA159" s="185"/>
      <c r="CB159" s="184"/>
      <c r="CC159" s="184"/>
      <c r="CD159" s="185"/>
      <c r="CE159" s="184"/>
      <c r="CF159" s="184"/>
      <c r="CG159" s="185"/>
      <c r="CH159" s="184"/>
      <c r="CI159" s="184"/>
      <c r="CJ159" s="185"/>
      <c r="CK159" s="184"/>
      <c r="CL159" s="184"/>
      <c r="CM159" s="185"/>
      <c r="CN159" s="184"/>
      <c r="CO159" s="184"/>
      <c r="CP159" s="185"/>
      <c r="CQ159" s="184"/>
      <c r="CR159" s="184"/>
      <c r="CS159" s="185"/>
      <c r="CT159" s="184"/>
      <c r="CU159" s="184"/>
      <c r="CV159" s="185"/>
      <c r="CW159" s="184"/>
      <c r="CX159" s="184"/>
      <c r="CY159" s="301"/>
      <c r="CZ159" s="300"/>
      <c r="DA159" s="300"/>
      <c r="DB159" s="301"/>
      <c r="DC159" s="300"/>
      <c r="DD159" s="300"/>
      <c r="DE159" s="787"/>
      <c r="DF159" s="300"/>
      <c r="DG159" s="300"/>
      <c r="DH159" s="787"/>
      <c r="DI159" s="301">
        <f t="shared" ref="DI159:EU159" si="227">DI166/DI150</f>
        <v>65.587836154379374</v>
      </c>
      <c r="DJ159" s="301">
        <f t="shared" si="227"/>
        <v>68.477123872019419</v>
      </c>
      <c r="DK159" s="698">
        <f t="shared" si="227"/>
        <v>66.975450446132143</v>
      </c>
      <c r="DL159" s="301">
        <f t="shared" si="227"/>
        <v>69.095679816741352</v>
      </c>
      <c r="DM159" s="301">
        <f t="shared" si="227"/>
        <v>72.027405070575099</v>
      </c>
      <c r="DN159" s="698">
        <f t="shared" si="227"/>
        <v>70.556726586254157</v>
      </c>
      <c r="DO159" s="301">
        <f t="shared" si="227"/>
        <v>73.474435719796489</v>
      </c>
      <c r="DP159" s="301">
        <f t="shared" si="227"/>
        <v>75.846813986295459</v>
      </c>
      <c r="DQ159" s="698">
        <f t="shared" si="227"/>
        <v>74.712008150988225</v>
      </c>
      <c r="DR159" s="301">
        <f t="shared" si="227"/>
        <v>76.625361504133679</v>
      </c>
      <c r="DS159" s="301">
        <f t="shared" si="227"/>
        <v>78.525267042525925</v>
      </c>
      <c r="DT159" s="698">
        <f t="shared" si="227"/>
        <v>77.590731262615492</v>
      </c>
      <c r="DU159" s="301">
        <f t="shared" si="227"/>
        <v>78.987835538347554</v>
      </c>
      <c r="DV159" s="301">
        <f>DV166/DV150</f>
        <v>80.657695786370965</v>
      </c>
      <c r="DW159" s="698">
        <f>DW166/DW150</f>
        <v>79.776927165411578</v>
      </c>
      <c r="DX159" s="301">
        <f t="shared" ref="DX159" si="228">DX166/DX150</f>
        <v>80.199537444872121</v>
      </c>
      <c r="DY159" s="301">
        <f t="shared" si="227"/>
        <v>81.923113882777201</v>
      </c>
      <c r="DZ159" s="698">
        <f t="shared" si="227"/>
        <v>81.08528752144872</v>
      </c>
      <c r="EA159" s="301">
        <f t="shared" si="227"/>
        <v>81.001532819320829</v>
      </c>
      <c r="EB159" s="301">
        <f t="shared" si="227"/>
        <v>82.742345021604976</v>
      </c>
      <c r="EC159" s="698">
        <f t="shared" si="227"/>
        <v>81.896140396663199</v>
      </c>
      <c r="ED159" s="301">
        <f t="shared" si="227"/>
        <v>81.406540483417416</v>
      </c>
      <c r="EE159" s="301">
        <f t="shared" si="227"/>
        <v>83.156056746712991</v>
      </c>
      <c r="EF159" s="698">
        <f t="shared" si="227"/>
        <v>82.305621098646498</v>
      </c>
      <c r="EG159" s="301">
        <f t="shared" si="227"/>
        <v>81.8135731858345</v>
      </c>
      <c r="EH159" s="301">
        <f t="shared" si="227"/>
        <v>83.571837030446545</v>
      </c>
      <c r="EI159" s="698">
        <f t="shared" si="227"/>
        <v>82.71714920413973</v>
      </c>
      <c r="EJ159" s="301">
        <f t="shared" si="227"/>
        <v>81.956482543040124</v>
      </c>
      <c r="EK159" s="301">
        <f t="shared" si="227"/>
        <v>83.714827332433558</v>
      </c>
      <c r="EL159" s="698">
        <f t="shared" si="227"/>
        <v>82.860100159063165</v>
      </c>
      <c r="EM159" s="301">
        <f t="shared" si="227"/>
        <v>82.100106447031749</v>
      </c>
      <c r="EN159" s="301">
        <f t="shared" si="227"/>
        <v>83.858532585930504</v>
      </c>
      <c r="EO159" s="698">
        <f t="shared" si="227"/>
        <v>83.003765868761235</v>
      </c>
      <c r="EP159" s="301">
        <f t="shared" si="227"/>
        <v>82.244448470543361</v>
      </c>
      <c r="EQ159" s="301">
        <f t="shared" si="227"/>
        <v>84.002956365694928</v>
      </c>
      <c r="ER159" s="698">
        <f t="shared" si="227"/>
        <v>83.148149907007792</v>
      </c>
      <c r="ES159" s="301">
        <f t="shared" si="227"/>
        <v>82.389512204172505</v>
      </c>
      <c r="ET159" s="301">
        <f t="shared" si="227"/>
        <v>84.148102264358172</v>
      </c>
      <c r="EU159" s="698">
        <f t="shared" si="227"/>
        <v>83.293255865445559</v>
      </c>
      <c r="EV159" s="301">
        <f t="shared" ref="EV159:FA159" si="229">EV166/EV150</f>
        <v>82.535301256469822</v>
      </c>
      <c r="EW159" s="301">
        <f t="shared" si="229"/>
        <v>84.293973892514757</v>
      </c>
      <c r="EX159" s="698">
        <f t="shared" si="229"/>
        <v>83.439087353675546</v>
      </c>
      <c r="EY159" s="301">
        <f t="shared" si="229"/>
        <v>82.681819254028611</v>
      </c>
      <c r="EZ159" s="301">
        <f t="shared" si="229"/>
        <v>84.4405748788121</v>
      </c>
      <c r="FA159" s="502">
        <f t="shared" si="229"/>
        <v>83.585647999346676</v>
      </c>
    </row>
    <row r="160" spans="1:157" ht="13.35" customHeight="1">
      <c r="A160" s="760"/>
      <c r="C160" s="177" t="s">
        <v>690</v>
      </c>
      <c r="D160" s="250" t="s">
        <v>507</v>
      </c>
      <c r="E160" s="251"/>
      <c r="F160" s="251"/>
      <c r="G160" s="252"/>
      <c r="H160" s="251"/>
      <c r="I160" s="251"/>
      <c r="J160" s="252"/>
      <c r="K160" s="251"/>
      <c r="L160" s="251"/>
      <c r="M160" s="252"/>
      <c r="N160" s="251"/>
      <c r="O160" s="251"/>
      <c r="P160" s="252"/>
      <c r="Q160" s="251"/>
      <c r="R160" s="251"/>
      <c r="S160" s="252"/>
      <c r="T160" s="251"/>
      <c r="U160" s="251"/>
      <c r="V160" s="252"/>
      <c r="W160" s="251"/>
      <c r="X160" s="251"/>
      <c r="Y160" s="252"/>
      <c r="Z160" s="251"/>
      <c r="AA160" s="251"/>
      <c r="AB160" s="252"/>
      <c r="AC160" s="251"/>
      <c r="AD160" s="251"/>
      <c r="AE160" s="252"/>
      <c r="AF160" s="251"/>
      <c r="AG160" s="251"/>
      <c r="AH160" s="252"/>
      <c r="AI160" s="251"/>
      <c r="AJ160" s="251"/>
      <c r="AK160" s="252"/>
      <c r="AL160" s="251"/>
      <c r="AM160" s="251"/>
      <c r="AN160" s="252"/>
      <c r="AO160" s="251"/>
      <c r="AP160" s="251"/>
      <c r="AQ160" s="252"/>
      <c r="AR160" s="251"/>
      <c r="AS160" s="251"/>
      <c r="AT160" s="252"/>
      <c r="AU160" s="251"/>
      <c r="AV160" s="251"/>
      <c r="AW160" s="252"/>
      <c r="AX160" s="251"/>
      <c r="AY160" s="251"/>
      <c r="AZ160" s="252"/>
      <c r="BA160" s="251"/>
      <c r="BB160" s="251"/>
      <c r="BC160" s="252"/>
      <c r="BD160" s="251"/>
      <c r="BE160" s="251"/>
      <c r="BF160" s="252"/>
      <c r="BG160" s="198"/>
      <c r="BH160" s="251"/>
      <c r="BI160" s="252"/>
      <c r="BJ160" s="252"/>
      <c r="BK160" s="252"/>
      <c r="BL160" s="252"/>
      <c r="BM160" s="252"/>
      <c r="BN160" s="252"/>
      <c r="BO160" s="252"/>
      <c r="BP160" s="4"/>
      <c r="BQ160" s="4"/>
      <c r="BR160" s="4"/>
      <c r="BS160" s="4"/>
      <c r="BT160" s="4"/>
      <c r="BU160" s="315"/>
      <c r="BV160" s="184"/>
      <c r="BW160" s="184"/>
      <c r="BX160" s="185"/>
      <c r="BY160" s="184"/>
      <c r="BZ160" s="184"/>
      <c r="CA160" s="185"/>
      <c r="CB160" s="184"/>
      <c r="CC160" s="184"/>
      <c r="CD160" s="185"/>
      <c r="CE160" s="184"/>
      <c r="CF160" s="184"/>
      <c r="CG160" s="185"/>
      <c r="CH160" s="184"/>
      <c r="CI160" s="184"/>
      <c r="CJ160" s="185"/>
      <c r="CK160" s="184"/>
      <c r="CL160" s="184"/>
      <c r="CM160" s="185"/>
      <c r="CN160" s="184"/>
      <c r="CO160" s="184"/>
      <c r="CP160" s="185"/>
      <c r="CQ160" s="184"/>
      <c r="CR160" s="184"/>
      <c r="CS160" s="185"/>
      <c r="CT160" s="295"/>
      <c r="CU160" s="295"/>
      <c r="CV160" s="316"/>
      <c r="CW160" s="295"/>
      <c r="CX160" s="295"/>
      <c r="CY160" s="549"/>
      <c r="CZ160" s="333"/>
      <c r="DA160" s="333"/>
      <c r="DB160" s="334"/>
      <c r="DC160" s="333"/>
      <c r="DD160" s="333"/>
      <c r="DE160" s="788"/>
      <c r="DF160" s="333"/>
      <c r="DG160" s="333"/>
      <c r="DH160" s="788"/>
      <c r="DI160" s="334"/>
      <c r="DJ160" s="334"/>
      <c r="DK160" s="700"/>
      <c r="DL160" s="334">
        <f t="shared" ref="DL160:EL160" si="230">DL159/DI159-1</f>
        <v>5.3483143644277087E-2</v>
      </c>
      <c r="DM160" s="334">
        <f t="shared" si="230"/>
        <v>5.1846237076063506E-2</v>
      </c>
      <c r="DN160" s="700">
        <f t="shared" si="230"/>
        <v>5.3471475238563881E-2</v>
      </c>
      <c r="DO160" s="334">
        <f t="shared" ref="DO160:DU160" si="231">DO159/DL159-1</f>
        <v>6.3372354316053814E-2</v>
      </c>
      <c r="DP160" s="334">
        <f t="shared" si="231"/>
        <v>5.3027162535953742E-2</v>
      </c>
      <c r="DQ160" s="700">
        <f t="shared" si="231"/>
        <v>5.88927770005645E-2</v>
      </c>
      <c r="DR160" s="334">
        <f t="shared" si="231"/>
        <v>4.2884654417131074E-2</v>
      </c>
      <c r="DS160" s="334">
        <f t="shared" si="231"/>
        <v>3.5313982426663726E-2</v>
      </c>
      <c r="DT160" s="700">
        <f t="shared" si="231"/>
        <v>3.8530929403069347E-2</v>
      </c>
      <c r="DU160" s="334">
        <f t="shared" si="231"/>
        <v>3.0831489572632265E-2</v>
      </c>
      <c r="DV160" s="334">
        <f>DV159/DS159-1</f>
        <v>2.7155956600443121E-2</v>
      </c>
      <c r="DW160" s="700">
        <f>DW159/DT159-1</f>
        <v>2.817599302417495E-2</v>
      </c>
      <c r="DX160" s="334">
        <f t="shared" ref="DX160" si="232">DX159/DU159-1</f>
        <v>1.5340360933631336E-2</v>
      </c>
      <c r="DY160" s="334">
        <f t="shared" si="230"/>
        <v>1.568874592894165E-2</v>
      </c>
      <c r="DZ160" s="700">
        <f t="shared" si="230"/>
        <v>1.640023503693433E-2</v>
      </c>
      <c r="EA160" s="334">
        <f t="shared" si="230"/>
        <v>9.9999999999997868E-3</v>
      </c>
      <c r="EB160" s="334">
        <f t="shared" si="230"/>
        <v>1.0000000000000009E-2</v>
      </c>
      <c r="EC160" s="700">
        <f t="shared" si="230"/>
        <v>1.0000000000000009E-2</v>
      </c>
      <c r="ED160" s="334">
        <f t="shared" si="230"/>
        <v>4.9999999999998934E-3</v>
      </c>
      <c r="EE160" s="334">
        <f t="shared" si="230"/>
        <v>4.9999999999998934E-3</v>
      </c>
      <c r="EF160" s="700">
        <f t="shared" si="230"/>
        <v>4.9999999999998934E-3</v>
      </c>
      <c r="EG160" s="334">
        <f t="shared" si="230"/>
        <v>4.9999999999998934E-3</v>
      </c>
      <c r="EH160" s="334">
        <f t="shared" si="230"/>
        <v>4.9999999999998934E-3</v>
      </c>
      <c r="EI160" s="700">
        <f t="shared" si="230"/>
        <v>4.9999999999998934E-3</v>
      </c>
      <c r="EJ160" s="334">
        <f t="shared" si="230"/>
        <v>1.7467683128937761E-3</v>
      </c>
      <c r="EK160" s="334">
        <f t="shared" si="230"/>
        <v>1.7109867039888371E-3</v>
      </c>
      <c r="EL160" s="700">
        <f t="shared" si="230"/>
        <v>1.7281900585166543E-3</v>
      </c>
      <c r="EM160" s="334">
        <f t="shared" ref="EM160:FA160" si="233">EM159/EJ159-1</f>
        <v>1.7524410459686113E-3</v>
      </c>
      <c r="EN160" s="334">
        <f t="shared" si="233"/>
        <v>1.7166045499477089E-3</v>
      </c>
      <c r="EO160" s="700">
        <f t="shared" si="233"/>
        <v>1.7338346130679749E-3</v>
      </c>
      <c r="EP160" s="334">
        <f t="shared" si="233"/>
        <v>1.7581222456115597E-3</v>
      </c>
      <c r="EQ160" s="334">
        <f t="shared" si="233"/>
        <v>1.7222311828128944E-3</v>
      </c>
      <c r="ER160" s="700">
        <f t="shared" si="233"/>
        <v>1.7394878019731941E-3</v>
      </c>
      <c r="ES160" s="334">
        <f t="shared" si="233"/>
        <v>1.7638118599712094E-3</v>
      </c>
      <c r="ET160" s="334">
        <f t="shared" si="233"/>
        <v>1.7278665530695569E-3</v>
      </c>
      <c r="EU160" s="700">
        <f t="shared" si="233"/>
        <v>1.7451495745852696E-3</v>
      </c>
      <c r="EV160" s="334">
        <f t="shared" si="233"/>
        <v>1.7695098368348816E-3</v>
      </c>
      <c r="EW160" s="334">
        <f t="shared" si="233"/>
        <v>1.7335106108313791E-3</v>
      </c>
      <c r="EX160" s="700">
        <f t="shared" si="233"/>
        <v>1.7508198798901198E-3</v>
      </c>
      <c r="EY160" s="334">
        <f t="shared" si="233"/>
        <v>1.7752161236257447E-3</v>
      </c>
      <c r="EZ160" s="334">
        <f t="shared" si="233"/>
        <v>1.7391633058405631E-3</v>
      </c>
      <c r="FA160" s="523">
        <f t="shared" si="233"/>
        <v>1.7564986665050686E-3</v>
      </c>
    </row>
    <row r="161" spans="1:184" ht="13.35" customHeight="1">
      <c r="A161" s="760"/>
      <c r="D161" s="250"/>
      <c r="E161" s="251"/>
      <c r="F161" s="251"/>
      <c r="G161" s="252"/>
      <c r="H161" s="251"/>
      <c r="I161" s="251"/>
      <c r="J161" s="252"/>
      <c r="K161" s="251"/>
      <c r="L161" s="251"/>
      <c r="M161" s="252"/>
      <c r="N161" s="251"/>
      <c r="O161" s="251"/>
      <c r="P161" s="252"/>
      <c r="Q161" s="251"/>
      <c r="R161" s="251"/>
      <c r="S161" s="252"/>
      <c r="T161" s="251"/>
      <c r="U161" s="251"/>
      <c r="V161" s="252"/>
      <c r="W161" s="251"/>
      <c r="X161" s="251"/>
      <c r="Y161" s="252"/>
      <c r="Z161" s="251"/>
      <c r="AA161" s="251"/>
      <c r="AB161" s="252"/>
      <c r="AC161" s="251"/>
      <c r="AD161" s="251"/>
      <c r="AE161" s="252"/>
      <c r="AF161" s="251"/>
      <c r="AG161" s="251"/>
      <c r="AH161" s="252"/>
      <c r="AI161" s="251"/>
      <c r="AJ161" s="251"/>
      <c r="AK161" s="252"/>
      <c r="AL161" s="251"/>
      <c r="AM161" s="251"/>
      <c r="AN161" s="252"/>
      <c r="AO161" s="251"/>
      <c r="AP161" s="251"/>
      <c r="AQ161" s="252"/>
      <c r="AR161" s="251"/>
      <c r="AS161" s="251"/>
      <c r="AT161" s="252"/>
      <c r="AU161" s="251"/>
      <c r="AV161" s="251"/>
      <c r="AW161" s="252"/>
      <c r="AX161" s="251"/>
      <c r="AY161" s="251"/>
      <c r="AZ161" s="252"/>
      <c r="BA161" s="251"/>
      <c r="BB161" s="251"/>
      <c r="BC161" s="252"/>
      <c r="BD161" s="251"/>
      <c r="BE161" s="251"/>
      <c r="BF161" s="4"/>
      <c r="BG161" s="251"/>
      <c r="BH161" s="251"/>
      <c r="BI161" s="4"/>
      <c r="BJ161" s="251"/>
      <c r="BK161" s="251"/>
      <c r="BL161" s="4"/>
      <c r="BM161" s="251"/>
      <c r="BN161" s="251"/>
      <c r="BO161" s="4"/>
      <c r="BP161" s="198"/>
      <c r="BQ161" s="198"/>
      <c r="BR161" s="79"/>
      <c r="BS161" s="198"/>
      <c r="BT161" s="198"/>
      <c r="BU161" s="254"/>
      <c r="BV161" s="185"/>
      <c r="BW161" s="185"/>
      <c r="BX161" s="185"/>
      <c r="BY161" s="185"/>
      <c r="BZ161" s="185"/>
      <c r="CA161" s="185"/>
      <c r="CB161" s="185"/>
      <c r="CC161" s="185"/>
      <c r="CD161" s="185"/>
      <c r="CE161" s="185"/>
      <c r="CF161" s="185"/>
      <c r="CG161" s="287"/>
      <c r="CH161" s="185"/>
      <c r="CI161" s="185"/>
      <c r="CJ161" s="185"/>
      <c r="CK161" s="185"/>
      <c r="CL161" s="185"/>
      <c r="CM161" s="185"/>
      <c r="CN161" s="185"/>
      <c r="CO161" s="185"/>
      <c r="CP161" s="185"/>
      <c r="CQ161" s="185"/>
      <c r="CR161" s="185"/>
      <c r="CS161" s="185"/>
      <c r="CT161" s="185"/>
      <c r="CU161" s="185"/>
      <c r="CV161" s="185"/>
      <c r="CW161" s="185"/>
      <c r="CX161" s="185"/>
      <c r="CY161" s="301"/>
      <c r="CZ161" s="301"/>
      <c r="DA161" s="301"/>
      <c r="DB161" s="301"/>
      <c r="DC161" s="301"/>
      <c r="DD161" s="301"/>
      <c r="DE161" s="787"/>
      <c r="DF161" s="301"/>
      <c r="DG161" s="301"/>
      <c r="DH161" s="787"/>
      <c r="DI161" s="10"/>
      <c r="DJ161" s="10"/>
      <c r="DK161" s="691"/>
      <c r="DL161" s="10"/>
      <c r="DM161" s="10"/>
      <c r="DN161" s="691"/>
      <c r="DO161" s="10"/>
      <c r="DP161" s="10"/>
      <c r="DQ161" s="691"/>
      <c r="DR161" s="301"/>
      <c r="DS161" s="301"/>
      <c r="DT161" s="698"/>
      <c r="DU161" s="301"/>
      <c r="DV161" s="301"/>
      <c r="DW161" s="698"/>
      <c r="DX161" s="301"/>
      <c r="DY161" s="301"/>
      <c r="DZ161" s="698"/>
      <c r="EA161" s="301"/>
      <c r="EB161" s="301"/>
      <c r="EC161" s="698"/>
      <c r="ED161" s="301"/>
      <c r="EE161" s="301"/>
      <c r="EF161" s="698"/>
      <c r="EG161" s="301"/>
      <c r="EH161" s="301"/>
      <c r="EI161" s="698"/>
      <c r="EJ161" s="301"/>
      <c r="EK161" s="301"/>
      <c r="EL161" s="698"/>
      <c r="EM161" s="301"/>
      <c r="EN161" s="301"/>
      <c r="EO161" s="698"/>
      <c r="EP161" s="301"/>
      <c r="EQ161" s="301"/>
      <c r="ER161" s="698"/>
      <c r="ES161" s="301"/>
      <c r="ET161" s="301"/>
      <c r="EU161" s="698"/>
      <c r="EV161" s="301"/>
      <c r="EW161" s="301"/>
      <c r="EX161" s="698"/>
      <c r="EY161" s="301"/>
      <c r="EZ161" s="301"/>
      <c r="FA161" s="502"/>
    </row>
    <row r="162" spans="1:184" ht="13.35" customHeight="1">
      <c r="A162" s="760"/>
      <c r="B162" s="176"/>
      <c r="C162" s="177" t="s">
        <v>441</v>
      </c>
      <c r="D162" s="250" t="s">
        <v>357</v>
      </c>
      <c r="E162" s="251"/>
      <c r="F162" s="251"/>
      <c r="G162" s="252"/>
      <c r="H162" s="251"/>
      <c r="I162" s="251"/>
      <c r="J162" s="252"/>
      <c r="K162" s="251"/>
      <c r="L162" s="251"/>
      <c r="M162" s="252"/>
      <c r="N162" s="251"/>
      <c r="O162" s="251"/>
      <c r="P162" s="252"/>
      <c r="Q162" s="251"/>
      <c r="R162" s="251"/>
      <c r="S162" s="252"/>
      <c r="T162" s="251"/>
      <c r="U162" s="251"/>
      <c r="V162" s="252"/>
      <c r="W162" s="251"/>
      <c r="X162" s="251"/>
      <c r="Y162" s="252"/>
      <c r="Z162" s="251"/>
      <c r="AA162" s="251"/>
      <c r="AB162" s="252"/>
      <c r="AC162" s="251"/>
      <c r="AD162" s="251"/>
      <c r="AE162" s="252"/>
      <c r="AF162" s="251"/>
      <c r="AG162" s="251"/>
      <c r="AH162" s="252"/>
      <c r="AI162" s="251"/>
      <c r="AJ162" s="251"/>
      <c r="AK162" s="252"/>
      <c r="AL162" s="251"/>
      <c r="AM162" s="251"/>
      <c r="AN162" s="252"/>
      <c r="AO162" s="251"/>
      <c r="AP162" s="251"/>
      <c r="AQ162" s="252"/>
      <c r="AR162" s="251"/>
      <c r="AS162" s="251"/>
      <c r="AT162" s="252"/>
      <c r="AU162" s="251"/>
      <c r="AV162" s="251"/>
      <c r="AW162" s="252"/>
      <c r="AX162" s="251"/>
      <c r="AY162" s="251"/>
      <c r="AZ162" s="252"/>
      <c r="BA162" s="251"/>
      <c r="BB162" s="251"/>
      <c r="BC162" s="252"/>
      <c r="BD162" s="251"/>
      <c r="BE162" s="251"/>
      <c r="BF162" s="4"/>
      <c r="BG162" s="251"/>
      <c r="BH162" s="251"/>
      <c r="BI162" s="4"/>
      <c r="BJ162" s="251"/>
      <c r="BK162" s="251"/>
      <c r="BL162" s="4"/>
      <c r="BM162" s="282"/>
      <c r="BN162" s="282"/>
      <c r="BO162" s="132"/>
      <c r="BP162" s="251"/>
      <c r="BQ162" s="251"/>
      <c r="BR162" s="252"/>
      <c r="BS162" s="251"/>
      <c r="BT162" s="251"/>
      <c r="BU162" s="293"/>
      <c r="BV162" s="184"/>
      <c r="BW162" s="184"/>
      <c r="BX162" s="185"/>
      <c r="BY162" s="184"/>
      <c r="BZ162" s="184"/>
      <c r="CA162" s="185"/>
      <c r="CB162" s="184"/>
      <c r="CC162" s="184"/>
      <c r="CD162" s="185"/>
      <c r="CE162" s="184"/>
      <c r="CF162" s="184"/>
      <c r="CG162" s="185"/>
      <c r="CH162" s="184"/>
      <c r="CI162" s="184"/>
      <c r="CJ162" s="185"/>
      <c r="CK162" s="184"/>
      <c r="CL162" s="184"/>
      <c r="CM162" s="185"/>
      <c r="CN162" s="310"/>
      <c r="CO162" s="184"/>
      <c r="CP162" s="185"/>
      <c r="CQ162" s="184"/>
      <c r="CR162" s="184"/>
      <c r="CS162" s="185"/>
      <c r="CT162" s="184"/>
      <c r="CU162" s="184"/>
      <c r="CV162" s="185"/>
      <c r="CW162" s="184"/>
      <c r="CX162" s="184"/>
      <c r="CY162" s="301"/>
      <c r="CZ162" s="300"/>
      <c r="DA162" s="300"/>
      <c r="DB162" s="301"/>
      <c r="DC162" s="300"/>
      <c r="DD162" s="300"/>
      <c r="DE162" s="787"/>
      <c r="DF162" s="300"/>
      <c r="DG162" s="300"/>
      <c r="DH162" s="787"/>
      <c r="DI162" s="831">
        <v>1402.5290669177646</v>
      </c>
      <c r="DJ162" s="646">
        <f>+DK162-DI162</f>
        <v>1293.4748626627595</v>
      </c>
      <c r="DK162" s="834">
        <v>2696.0039295805241</v>
      </c>
      <c r="DL162" s="831">
        <v>1254.6515881409655</v>
      </c>
      <c r="DM162" s="646">
        <f>+DN162-DL162</f>
        <v>1256.3484118590345</v>
      </c>
      <c r="DN162" s="834">
        <v>2511</v>
      </c>
      <c r="DO162" s="831">
        <v>1306</v>
      </c>
      <c r="DP162" s="646">
        <f>+DQ162-DO162</f>
        <v>1526</v>
      </c>
      <c r="DQ162" s="834">
        <v>2832</v>
      </c>
      <c r="DR162" s="831">
        <v>1768</v>
      </c>
      <c r="DS162" s="646">
        <f>+DT162-DR162</f>
        <v>1856</v>
      </c>
      <c r="DT162" s="834">
        <v>3624</v>
      </c>
      <c r="DU162" s="831">
        <v>2024</v>
      </c>
      <c r="DV162" s="646">
        <f>+DW162-DU162</f>
        <v>1880</v>
      </c>
      <c r="DW162" s="834">
        <v>3904</v>
      </c>
      <c r="DX162" s="831">
        <v>1963</v>
      </c>
      <c r="DY162" s="646">
        <f>+DV162*(1+DY163)</f>
        <v>2143.2000000000003</v>
      </c>
      <c r="DZ162" s="675">
        <f>SUM(DX162:DY162)</f>
        <v>4106.2000000000007</v>
      </c>
      <c r="EA162" s="646">
        <f>+DX162*(1+EA163)</f>
        <v>2129.855</v>
      </c>
      <c r="EB162" s="646">
        <f>+DY162*(1+EB163)</f>
        <v>2325.3720000000003</v>
      </c>
      <c r="EC162" s="675">
        <f>SUM(EA162:EB162)</f>
        <v>4455.2270000000008</v>
      </c>
      <c r="ED162" s="646">
        <f>ED146*ED155</f>
        <v>2290.3395742499997</v>
      </c>
      <c r="EE162" s="646">
        <f>EE146*EE155</f>
        <v>2500.5887802000002</v>
      </c>
      <c r="EF162" s="675">
        <f>SUM(ED162:EE162)</f>
        <v>4790.9283544499995</v>
      </c>
      <c r="EG162" s="646">
        <f>EG146*EG155</f>
        <v>2462.9166611697369</v>
      </c>
      <c r="EH162" s="646">
        <f>EH146*EH155</f>
        <v>2689.0081447880702</v>
      </c>
      <c r="EI162" s="675">
        <f>SUM(EG162:EH162)</f>
        <v>5151.9248059578076</v>
      </c>
      <c r="EJ162" s="646">
        <f>EJ146*EJ155</f>
        <v>2635.3208274516187</v>
      </c>
      <c r="EK162" s="646">
        <f>EK146*EK155</f>
        <v>2877.238714923235</v>
      </c>
      <c r="EL162" s="675">
        <f>SUM(EJ162:EK162)</f>
        <v>5512.5595423748537</v>
      </c>
      <c r="EM162" s="646">
        <f>EM146*EM155</f>
        <v>2819.7932853732318</v>
      </c>
      <c r="EN162" s="646">
        <f>EN146*EN155</f>
        <v>3078.6454249678618</v>
      </c>
      <c r="EO162" s="675">
        <f>SUM(EM162:EN162)</f>
        <v>5898.4387103410936</v>
      </c>
      <c r="EP162" s="646">
        <f>EP146*EP155</f>
        <v>3017.1788153493585</v>
      </c>
      <c r="EQ162" s="646">
        <f>EQ146*EQ155</f>
        <v>3294.1506047156122</v>
      </c>
      <c r="ER162" s="675">
        <f>SUM(EP162:EQ162)</f>
        <v>6311.3294200649707</v>
      </c>
      <c r="ES162" s="646">
        <f>ES146*ES155</f>
        <v>3228.3813324238135</v>
      </c>
      <c r="ET162" s="646">
        <f>ET146*ET155</f>
        <v>3524.741147045705</v>
      </c>
      <c r="EU162" s="675">
        <f>SUM(ES162:ET162)</f>
        <v>6753.122479469519</v>
      </c>
      <c r="EV162" s="646">
        <f>EV146*EV155</f>
        <v>3454.3680256934808</v>
      </c>
      <c r="EW162" s="646">
        <f>EW146*EW155</f>
        <v>3771.4730273389046</v>
      </c>
      <c r="EX162" s="675">
        <f>SUM(EV162:EW162)</f>
        <v>7225.8410530323854</v>
      </c>
      <c r="EY162" s="646">
        <f>EY146*EY155</f>
        <v>3696.1737874920245</v>
      </c>
      <c r="EZ162" s="646">
        <f>EZ146*EZ155</f>
        <v>4035.4761392526279</v>
      </c>
      <c r="FA162" s="632">
        <f>SUM(EY162:EZ162)</f>
        <v>7731.6499267446525</v>
      </c>
    </row>
    <row r="163" spans="1:184" ht="13.35" customHeight="1">
      <c r="A163" s="22"/>
      <c r="B163" s="296"/>
      <c r="C163" s="177" t="s">
        <v>178</v>
      </c>
      <c r="D163" s="250" t="s">
        <v>507</v>
      </c>
      <c r="E163" s="251"/>
      <c r="F163" s="251"/>
      <c r="G163" s="252"/>
      <c r="H163" s="251"/>
      <c r="I163" s="251"/>
      <c r="J163" s="252"/>
      <c r="K163" s="251"/>
      <c r="L163" s="251"/>
      <c r="M163" s="252"/>
      <c r="N163" s="251"/>
      <c r="O163" s="251"/>
      <c r="P163" s="252"/>
      <c r="Q163" s="251"/>
      <c r="R163" s="251"/>
      <c r="S163" s="252"/>
      <c r="T163" s="251"/>
      <c r="U163" s="251"/>
      <c r="V163" s="252"/>
      <c r="W163" s="251"/>
      <c r="X163" s="251"/>
      <c r="Y163" s="252"/>
      <c r="Z163" s="251"/>
      <c r="AA163" s="251"/>
      <c r="AB163" s="252"/>
      <c r="AC163" s="251"/>
      <c r="AD163" s="251"/>
      <c r="AE163" s="252"/>
      <c r="AF163" s="251"/>
      <c r="AG163" s="251"/>
      <c r="AH163" s="252"/>
      <c r="AI163" s="251"/>
      <c r="AJ163" s="251"/>
      <c r="AK163" s="252"/>
      <c r="AL163" s="251"/>
      <c r="AM163" s="251"/>
      <c r="AN163" s="252"/>
      <c r="AO163" s="251"/>
      <c r="AP163" s="251"/>
      <c r="AQ163" s="252"/>
      <c r="AR163" s="251"/>
      <c r="AS163" s="251"/>
      <c r="AT163" s="252"/>
      <c r="AU163" s="251"/>
      <c r="AV163" s="251"/>
      <c r="AW163" s="252"/>
      <c r="AX163" s="251"/>
      <c r="AY163" s="251"/>
      <c r="AZ163" s="252"/>
      <c r="BA163" s="251"/>
      <c r="BB163" s="251"/>
      <c r="BC163" s="252"/>
      <c r="BD163" s="251"/>
      <c r="BE163" s="251"/>
      <c r="BF163" s="252"/>
      <c r="BG163" s="198"/>
      <c r="BH163" s="251"/>
      <c r="BI163" s="252"/>
      <c r="BJ163" s="252"/>
      <c r="BK163" s="252"/>
      <c r="BL163" s="252"/>
      <c r="BM163" s="252"/>
      <c r="BN163" s="252"/>
      <c r="BO163" s="252"/>
      <c r="BP163" s="311"/>
      <c r="BQ163" s="311"/>
      <c r="BR163" s="311"/>
      <c r="BS163" s="311"/>
      <c r="BT163" s="311"/>
      <c r="BU163" s="312"/>
      <c r="BV163" s="286"/>
      <c r="BW163" s="286"/>
      <c r="BX163" s="287"/>
      <c r="BY163" s="286"/>
      <c r="BZ163" s="286"/>
      <c r="CA163" s="287"/>
      <c r="CB163" s="286"/>
      <c r="CC163" s="286"/>
      <c r="CD163" s="287"/>
      <c r="CE163" s="286"/>
      <c r="CF163" s="286"/>
      <c r="CG163" s="287"/>
      <c r="CH163" s="286"/>
      <c r="CI163" s="286"/>
      <c r="CJ163" s="287"/>
      <c r="CK163" s="286"/>
      <c r="CL163" s="286"/>
      <c r="CM163" s="287"/>
      <c r="CN163" s="313"/>
      <c r="CO163" s="284"/>
      <c r="CP163" s="66"/>
      <c r="CQ163" s="314"/>
      <c r="CR163" s="284"/>
      <c r="CS163" s="66"/>
      <c r="CT163" s="284"/>
      <c r="CU163" s="284"/>
      <c r="CV163" s="66"/>
      <c r="CW163" s="284"/>
      <c r="CX163" s="284"/>
      <c r="CY163" s="306"/>
      <c r="CZ163" s="333"/>
      <c r="DA163" s="333"/>
      <c r="DB163" s="334"/>
      <c r="DC163" s="333"/>
      <c r="DD163" s="333"/>
      <c r="DE163" s="788"/>
      <c r="DF163" s="333"/>
      <c r="DG163" s="333"/>
      <c r="DH163" s="788"/>
      <c r="DI163" s="334"/>
      <c r="DJ163" s="334"/>
      <c r="DK163" s="700">
        <v>-1.1100668467861619E-3</v>
      </c>
      <c r="DL163" s="334">
        <f t="shared" ref="DL163:DS163" si="234">DL162/DI162-1</f>
        <v>-0.10543630236610968</v>
      </c>
      <c r="DM163" s="334">
        <f t="shared" si="234"/>
        <v>-2.8702877709811947E-2</v>
      </c>
      <c r="DN163" s="700">
        <f t="shared" si="234"/>
        <v>-6.8621535581110615E-2</v>
      </c>
      <c r="DO163" s="334">
        <f t="shared" si="234"/>
        <v>4.0926431165737576E-2</v>
      </c>
      <c r="DP163" s="334">
        <f t="shared" si="234"/>
        <v>0.21463121662402451</v>
      </c>
      <c r="DQ163" s="700">
        <f t="shared" si="234"/>
        <v>0.12783751493428919</v>
      </c>
      <c r="DR163" s="334">
        <f>DR162/DO162-1</f>
        <v>0.35375191424196029</v>
      </c>
      <c r="DS163" s="334">
        <f t="shared" si="234"/>
        <v>0.21625163826998683</v>
      </c>
      <c r="DT163" s="700">
        <f>DT162/DQ162-1</f>
        <v>0.27966101694915246</v>
      </c>
      <c r="DU163" s="334">
        <f>DU162/DR162-1</f>
        <v>0.14479638009049767</v>
      </c>
      <c r="DV163" s="334">
        <f>DV162/DS162-1</f>
        <v>1.2931034482758674E-2</v>
      </c>
      <c r="DW163" s="700">
        <f>DW162/DT162-1</f>
        <v>7.7262693156732842E-2</v>
      </c>
      <c r="DX163" s="334">
        <f>DX162/DU162-1</f>
        <v>-3.0138339920948609E-2</v>
      </c>
      <c r="DY163" s="1905">
        <f>11%+DY3</f>
        <v>0.14000000000000001</v>
      </c>
      <c r="DZ163" s="700">
        <f>DZ162/DW162-1</f>
        <v>5.1793032786885407E-2</v>
      </c>
      <c r="EA163" s="749">
        <v>8.5000000000000006E-2</v>
      </c>
      <c r="EB163" s="334">
        <f>+EA163</f>
        <v>8.5000000000000006E-2</v>
      </c>
      <c r="EC163" s="700">
        <f t="shared" ref="EC163:FA163" si="235">EC162/DZ162-1</f>
        <v>8.4999999999999964E-2</v>
      </c>
      <c r="ED163" s="334">
        <f t="shared" si="235"/>
        <v>7.5349999999999806E-2</v>
      </c>
      <c r="EE163" s="334">
        <f t="shared" si="235"/>
        <v>7.5350000000000028E-2</v>
      </c>
      <c r="EF163" s="700">
        <f t="shared" si="235"/>
        <v>7.5349999999999584E-2</v>
      </c>
      <c r="EG163" s="334">
        <f t="shared" si="235"/>
        <v>7.5349999999999806E-2</v>
      </c>
      <c r="EH163" s="334">
        <f t="shared" si="235"/>
        <v>7.5350000000000028E-2</v>
      </c>
      <c r="EI163" s="700">
        <f t="shared" si="235"/>
        <v>7.535000000000025E-2</v>
      </c>
      <c r="EJ163" s="334">
        <f t="shared" si="235"/>
        <v>7.0000000000000062E-2</v>
      </c>
      <c r="EK163" s="334">
        <f t="shared" si="235"/>
        <v>6.999999999999984E-2</v>
      </c>
      <c r="EL163" s="700">
        <f t="shared" si="235"/>
        <v>6.999999999999984E-2</v>
      </c>
      <c r="EM163" s="334">
        <f t="shared" si="235"/>
        <v>6.999999999999984E-2</v>
      </c>
      <c r="EN163" s="334">
        <f t="shared" si="235"/>
        <v>7.0000000000000062E-2</v>
      </c>
      <c r="EO163" s="700">
        <f t="shared" si="235"/>
        <v>7.0000000000000062E-2</v>
      </c>
      <c r="EP163" s="334">
        <f t="shared" si="235"/>
        <v>7.0000000000000062E-2</v>
      </c>
      <c r="EQ163" s="334">
        <f t="shared" si="235"/>
        <v>7.0000000000000062E-2</v>
      </c>
      <c r="ER163" s="700">
        <f t="shared" si="235"/>
        <v>7.0000000000000062E-2</v>
      </c>
      <c r="ES163" s="334">
        <f t="shared" si="235"/>
        <v>7.0000000000000062E-2</v>
      </c>
      <c r="ET163" s="334">
        <f t="shared" si="235"/>
        <v>7.0000000000000062E-2</v>
      </c>
      <c r="EU163" s="700">
        <f t="shared" si="235"/>
        <v>7.0000000000000062E-2</v>
      </c>
      <c r="EV163" s="334">
        <f t="shared" si="235"/>
        <v>7.0000000000000062E-2</v>
      </c>
      <c r="EW163" s="334">
        <f t="shared" si="235"/>
        <v>7.0000000000000062E-2</v>
      </c>
      <c r="EX163" s="700">
        <f t="shared" si="235"/>
        <v>7.0000000000000062E-2</v>
      </c>
      <c r="EY163" s="334">
        <f t="shared" si="235"/>
        <v>7.0000000000000062E-2</v>
      </c>
      <c r="EZ163" s="334">
        <f t="shared" si="235"/>
        <v>7.0000000000000062E-2</v>
      </c>
      <c r="FA163" s="523">
        <f t="shared" si="235"/>
        <v>7.0000000000000062E-2</v>
      </c>
    </row>
    <row r="164" spans="1:184" ht="13.35" customHeight="1">
      <c r="A164" s="760"/>
      <c r="B164" s="176"/>
      <c r="C164" s="177" t="s">
        <v>803</v>
      </c>
      <c r="D164" s="250" t="s">
        <v>357</v>
      </c>
      <c r="E164" s="251"/>
      <c r="F164" s="251"/>
      <c r="G164" s="252"/>
      <c r="H164" s="251"/>
      <c r="I164" s="251"/>
      <c r="J164" s="252"/>
      <c r="K164" s="251"/>
      <c r="L164" s="251"/>
      <c r="M164" s="252"/>
      <c r="N164" s="251"/>
      <c r="O164" s="251"/>
      <c r="P164" s="252"/>
      <c r="Q164" s="251"/>
      <c r="R164" s="251"/>
      <c r="S164" s="252"/>
      <c r="T164" s="251"/>
      <c r="U164" s="251"/>
      <c r="V164" s="252"/>
      <c r="W164" s="251"/>
      <c r="X164" s="251"/>
      <c r="Y164" s="252"/>
      <c r="Z164" s="251"/>
      <c r="AA164" s="251"/>
      <c r="AB164" s="252"/>
      <c r="AC164" s="251"/>
      <c r="AD164" s="251"/>
      <c r="AE164" s="252"/>
      <c r="AF164" s="251"/>
      <c r="AG164" s="251"/>
      <c r="AH164" s="252"/>
      <c r="AI164" s="251"/>
      <c r="AJ164" s="251"/>
      <c r="AK164" s="252"/>
      <c r="AL164" s="251"/>
      <c r="AM164" s="251"/>
      <c r="AN164" s="252"/>
      <c r="AO164" s="251"/>
      <c r="AP164" s="251"/>
      <c r="AQ164" s="252"/>
      <c r="AR164" s="251"/>
      <c r="AS164" s="251"/>
      <c r="AT164" s="252"/>
      <c r="AU164" s="251"/>
      <c r="AV164" s="251"/>
      <c r="AW164" s="252"/>
      <c r="AX164" s="251"/>
      <c r="AY164" s="251"/>
      <c r="AZ164" s="252"/>
      <c r="BA164" s="251"/>
      <c r="BB164" s="251"/>
      <c r="BC164" s="252"/>
      <c r="BD164" s="251"/>
      <c r="BE164" s="251"/>
      <c r="BF164" s="252"/>
      <c r="BG164" s="198"/>
      <c r="BH164" s="251"/>
      <c r="BI164" s="252"/>
      <c r="BJ164" s="252"/>
      <c r="BK164" s="252"/>
      <c r="BL164" s="252"/>
      <c r="BM164" s="252"/>
      <c r="BN164" s="252"/>
      <c r="BO164" s="252"/>
      <c r="BP164" s="4"/>
      <c r="BQ164" s="4"/>
      <c r="BR164" s="4"/>
      <c r="BS164" s="4"/>
      <c r="BT164" s="4"/>
      <c r="BU164" s="315"/>
      <c r="BV164" s="184"/>
      <c r="BW164" s="184"/>
      <c r="BX164" s="185"/>
      <c r="BY164" s="184"/>
      <c r="BZ164" s="184"/>
      <c r="CA164" s="185"/>
      <c r="CB164" s="184"/>
      <c r="CC164" s="184"/>
      <c r="CD164" s="185"/>
      <c r="CE164" s="184"/>
      <c r="CF164" s="184"/>
      <c r="CG164" s="185"/>
      <c r="CH164" s="184"/>
      <c r="CI164" s="184"/>
      <c r="CJ164" s="185"/>
      <c r="CK164" s="184"/>
      <c r="CL164" s="184"/>
      <c r="CM164" s="185"/>
      <c r="CN164" s="310"/>
      <c r="CO164" s="184"/>
      <c r="CP164" s="185"/>
      <c r="CQ164" s="184"/>
      <c r="CR164" s="184"/>
      <c r="CS164" s="185"/>
      <c r="CT164" s="184"/>
      <c r="CU164" s="184"/>
      <c r="CV164" s="185"/>
      <c r="CW164" s="184"/>
      <c r="CX164" s="184"/>
      <c r="CY164" s="301"/>
      <c r="CZ164" s="300"/>
      <c r="DA164" s="300"/>
      <c r="DB164" s="301"/>
      <c r="DC164" s="300"/>
      <c r="DD164" s="300"/>
      <c r="DE164" s="787"/>
      <c r="DF164" s="300"/>
      <c r="DG164" s="300"/>
      <c r="DH164" s="787"/>
      <c r="DI164" s="831">
        <v>754.49656784671083</v>
      </c>
      <c r="DJ164" s="646">
        <f>+DK164-DI164</f>
        <v>787.51892279040862</v>
      </c>
      <c r="DK164" s="834">
        <v>1542.0154906371195</v>
      </c>
      <c r="DL164" s="831">
        <v>722.15833773512327</v>
      </c>
      <c r="DM164" s="646">
        <f>+DN164-DL164</f>
        <v>790.84166226487673</v>
      </c>
      <c r="DN164" s="834">
        <v>1513</v>
      </c>
      <c r="DO164" s="831">
        <v>801</v>
      </c>
      <c r="DP164" s="646">
        <f>+DQ164-DO164</f>
        <v>846</v>
      </c>
      <c r="DQ164" s="834">
        <v>1647</v>
      </c>
      <c r="DR164" s="831">
        <v>945</v>
      </c>
      <c r="DS164" s="646">
        <f>+DT164-DR164</f>
        <v>1016</v>
      </c>
      <c r="DT164" s="834">
        <v>1961</v>
      </c>
      <c r="DU164" s="831">
        <v>1100</v>
      </c>
      <c r="DV164" s="646">
        <f>+DW164-DU164</f>
        <v>978</v>
      </c>
      <c r="DW164" s="834">
        <v>2078</v>
      </c>
      <c r="DX164" s="831">
        <v>1054</v>
      </c>
      <c r="DY164" s="646">
        <f>+DV164*(1+DY165)</f>
        <v>1114.92</v>
      </c>
      <c r="DZ164" s="675">
        <f>SUM(DX164:DY164)</f>
        <v>2168.92</v>
      </c>
      <c r="EA164" s="646">
        <f>+DX164*(1+EA165)</f>
        <v>1143.5899999999999</v>
      </c>
      <c r="EB164" s="646">
        <f>+DY164*(1+EB165)</f>
        <v>1209.6882000000001</v>
      </c>
      <c r="EC164" s="675">
        <f>SUM(EA164:EB164)</f>
        <v>2353.2781999999997</v>
      </c>
      <c r="ED164" s="646">
        <f>ED148*ED157</f>
        <v>1229.7595064999998</v>
      </c>
      <c r="EE164" s="646">
        <f>EE148*EE157</f>
        <v>1300.8382058700001</v>
      </c>
      <c r="EF164" s="675">
        <f>SUM(ED164:EE164)</f>
        <v>2530.59771237</v>
      </c>
      <c r="EG164" s="646">
        <f>EG148*EG157</f>
        <v>1322.4218853147747</v>
      </c>
      <c r="EH164" s="646">
        <f>EH148*EH157</f>
        <v>1398.8563646823045</v>
      </c>
      <c r="EI164" s="675">
        <f>SUM(EG164:EH164)</f>
        <v>2721.278249997079</v>
      </c>
      <c r="EJ164" s="646">
        <f>EJ148*EJ157</f>
        <v>1422.066374373243</v>
      </c>
      <c r="EK164" s="646">
        <f>EK148*EK157</f>
        <v>1504.2601917611159</v>
      </c>
      <c r="EL164" s="675">
        <f>SUM(EJ164:EK164)</f>
        <v>2926.3265661343589</v>
      </c>
      <c r="EM164" s="646">
        <f>EM148*EM157</f>
        <v>1529.2190756822667</v>
      </c>
      <c r="EN164" s="646">
        <f>EN148*EN157</f>
        <v>1617.6061972103159</v>
      </c>
      <c r="EO164" s="675">
        <f>SUM(EM164:EN164)</f>
        <v>3146.8252728925827</v>
      </c>
      <c r="EP164" s="646">
        <f>EP148*EP157</f>
        <v>1644.4457330349255</v>
      </c>
      <c r="EQ164" s="646">
        <f>EQ148*EQ157</f>
        <v>1739.4928241701132</v>
      </c>
      <c r="ER164" s="675">
        <f>SUM(EP164:EQ164)</f>
        <v>3383.9385572050387</v>
      </c>
      <c r="ES164" s="646">
        <f>ES148*ES157</f>
        <v>1768.3547190191068</v>
      </c>
      <c r="ET164" s="646">
        <f>ET148*ET157</f>
        <v>1870.5636084713312</v>
      </c>
      <c r="EU164" s="675">
        <f>SUM(ES164:ET164)</f>
        <v>3638.9183274904381</v>
      </c>
      <c r="EV164" s="646">
        <f>EV148*EV157</f>
        <v>1901.6002470971966</v>
      </c>
      <c r="EW164" s="646">
        <f>EW148*EW157</f>
        <v>2011.5105763696461</v>
      </c>
      <c r="EX164" s="675">
        <f>SUM(EV164:EW164)</f>
        <v>3913.1108234668427</v>
      </c>
      <c r="EY164" s="646">
        <f>EY148*EY157</f>
        <v>2044.8858257159702</v>
      </c>
      <c r="EZ164" s="646">
        <f>EZ148*EZ157</f>
        <v>2163.0778982990987</v>
      </c>
      <c r="FA164" s="632">
        <f>SUM(EY164:EZ164)</f>
        <v>4207.9637240150687</v>
      </c>
    </row>
    <row r="165" spans="1:184" ht="13.35" customHeight="1">
      <c r="A165" s="22"/>
      <c r="B165" s="296"/>
      <c r="C165" s="177" t="s">
        <v>178</v>
      </c>
      <c r="D165" s="250" t="s">
        <v>507</v>
      </c>
      <c r="E165" s="251"/>
      <c r="F165" s="251"/>
      <c r="G165" s="252"/>
      <c r="H165" s="251"/>
      <c r="I165" s="251"/>
      <c r="J165" s="252"/>
      <c r="K165" s="251"/>
      <c r="L165" s="251"/>
      <c r="M165" s="252"/>
      <c r="N165" s="251"/>
      <c r="O165" s="251"/>
      <c r="P165" s="252"/>
      <c r="Q165" s="251"/>
      <c r="R165" s="251"/>
      <c r="S165" s="252"/>
      <c r="T165" s="251"/>
      <c r="U165" s="251"/>
      <c r="V165" s="252"/>
      <c r="W165" s="251"/>
      <c r="X165" s="251"/>
      <c r="Y165" s="252"/>
      <c r="Z165" s="251"/>
      <c r="AA165" s="251"/>
      <c r="AB165" s="252"/>
      <c r="AC165" s="251"/>
      <c r="AD165" s="251"/>
      <c r="AE165" s="252"/>
      <c r="AF165" s="251"/>
      <c r="AG165" s="251"/>
      <c r="AH165" s="252"/>
      <c r="AI165" s="251"/>
      <c r="AJ165" s="251"/>
      <c r="AK165" s="252"/>
      <c r="AL165" s="251"/>
      <c r="AM165" s="251"/>
      <c r="AN165" s="252"/>
      <c r="AO165" s="251"/>
      <c r="AP165" s="251"/>
      <c r="AQ165" s="252"/>
      <c r="AR165" s="251"/>
      <c r="AS165" s="251"/>
      <c r="AT165" s="252"/>
      <c r="AU165" s="251"/>
      <c r="AV165" s="251"/>
      <c r="AW165" s="252"/>
      <c r="AX165" s="251"/>
      <c r="AY165" s="251"/>
      <c r="AZ165" s="252"/>
      <c r="BA165" s="251"/>
      <c r="BB165" s="251"/>
      <c r="BC165" s="252"/>
      <c r="BD165" s="251"/>
      <c r="BE165" s="251"/>
      <c r="BF165" s="252"/>
      <c r="BG165" s="198"/>
      <c r="BH165" s="251"/>
      <c r="BI165" s="252"/>
      <c r="BJ165" s="252"/>
      <c r="BK165" s="252"/>
      <c r="BL165" s="252"/>
      <c r="BM165" s="252"/>
      <c r="BN165" s="252"/>
      <c r="BO165" s="252"/>
      <c r="BP165" s="4"/>
      <c r="BQ165" s="4"/>
      <c r="BR165" s="4"/>
      <c r="BS165" s="4"/>
      <c r="BT165" s="4"/>
      <c r="BU165" s="315"/>
      <c r="BV165" s="184"/>
      <c r="BW165" s="184"/>
      <c r="BX165" s="185"/>
      <c r="BY165" s="184"/>
      <c r="BZ165" s="184"/>
      <c r="CA165" s="185"/>
      <c r="CB165" s="184"/>
      <c r="CC165" s="184"/>
      <c r="CD165" s="185"/>
      <c r="CE165" s="184"/>
      <c r="CF165" s="184"/>
      <c r="CG165" s="185"/>
      <c r="CH165" s="184"/>
      <c r="CI165" s="184"/>
      <c r="CJ165" s="185"/>
      <c r="CK165" s="184"/>
      <c r="CL165" s="184"/>
      <c r="CM165" s="185"/>
      <c r="CN165" s="310"/>
      <c r="CO165" s="184"/>
      <c r="CP165" s="185"/>
      <c r="CQ165" s="184"/>
      <c r="CR165" s="184"/>
      <c r="CS165" s="185"/>
      <c r="CT165" s="295"/>
      <c r="CU165" s="295"/>
      <c r="CV165" s="316"/>
      <c r="CW165" s="295"/>
      <c r="CX165" s="295"/>
      <c r="CY165" s="549"/>
      <c r="CZ165" s="333"/>
      <c r="DA165" s="333"/>
      <c r="DB165" s="334"/>
      <c r="DC165" s="333"/>
      <c r="DD165" s="333"/>
      <c r="DE165" s="788"/>
      <c r="DF165" s="333"/>
      <c r="DG165" s="333"/>
      <c r="DH165" s="788"/>
      <c r="DI165" s="334"/>
      <c r="DJ165" s="334"/>
      <c r="DK165" s="700">
        <v>0.17263535231319338</v>
      </c>
      <c r="DL165" s="334">
        <f t="shared" ref="DL165:DQ165" si="236">DL164/DI164-1</f>
        <v>-4.2860672254453003E-2</v>
      </c>
      <c r="DM165" s="334">
        <f t="shared" si="236"/>
        <v>4.2192503294964379E-3</v>
      </c>
      <c r="DN165" s="700">
        <f t="shared" si="236"/>
        <v>-1.8816601268467847E-2</v>
      </c>
      <c r="DO165" s="334">
        <f t="shared" si="236"/>
        <v>0.10917503564681508</v>
      </c>
      <c r="DP165" s="334">
        <f t="shared" si="236"/>
        <v>6.9746373221102553E-2</v>
      </c>
      <c r="DQ165" s="700">
        <f t="shared" si="236"/>
        <v>8.8565763384005347E-2</v>
      </c>
      <c r="DR165" s="334">
        <f t="shared" ref="DR165:EL165" si="237">DR164/DO164-1</f>
        <v>0.1797752808988764</v>
      </c>
      <c r="DS165" s="334">
        <f t="shared" si="237"/>
        <v>0.20094562647754133</v>
      </c>
      <c r="DT165" s="700">
        <f t="shared" si="237"/>
        <v>0.19064966605950207</v>
      </c>
      <c r="DU165" s="334">
        <f>DU164/DR164-1</f>
        <v>0.16402116402116396</v>
      </c>
      <c r="DV165" s="334">
        <f>DV164/DS164-1</f>
        <v>-3.7401574803149651E-2</v>
      </c>
      <c r="DW165" s="700">
        <f>DW164/DT164-1</f>
        <v>5.9663437021927557E-2</v>
      </c>
      <c r="DX165" s="334">
        <f>DX164/DU164-1</f>
        <v>-4.1818181818181865E-2</v>
      </c>
      <c r="DY165" s="1905">
        <f>11%+DY3</f>
        <v>0.14000000000000001</v>
      </c>
      <c r="DZ165" s="700">
        <f t="shared" si="237"/>
        <v>4.3753609239653546E-2</v>
      </c>
      <c r="EA165" s="749">
        <v>8.5000000000000006E-2</v>
      </c>
      <c r="EB165" s="334">
        <f>+EA165</f>
        <v>8.5000000000000006E-2</v>
      </c>
      <c r="EC165" s="700">
        <f t="shared" si="237"/>
        <v>8.4999999999999742E-2</v>
      </c>
      <c r="ED165" s="334">
        <f>ED164/EA164-1</f>
        <v>7.5349999999999806E-2</v>
      </c>
      <c r="EE165" s="334">
        <f>EE164/EB164-1</f>
        <v>7.5350000000000028E-2</v>
      </c>
      <c r="EF165" s="700">
        <f>EF164/EC164-1</f>
        <v>7.5350000000000028E-2</v>
      </c>
      <c r="EG165" s="334">
        <f t="shared" si="237"/>
        <v>7.5350000000000028E-2</v>
      </c>
      <c r="EH165" s="334">
        <f t="shared" si="237"/>
        <v>7.5349999999999806E-2</v>
      </c>
      <c r="EI165" s="700">
        <f t="shared" si="237"/>
        <v>7.5349999999999806E-2</v>
      </c>
      <c r="EJ165" s="334">
        <f t="shared" si="237"/>
        <v>7.5350000000000028E-2</v>
      </c>
      <c r="EK165" s="334">
        <f t="shared" si="237"/>
        <v>7.5349999999999806E-2</v>
      </c>
      <c r="EL165" s="700">
        <f t="shared" si="237"/>
        <v>7.5350000000000028E-2</v>
      </c>
      <c r="EM165" s="334">
        <f t="shared" ref="EM165:FA165" si="238">EM164/EJ164-1</f>
        <v>7.5350000000000028E-2</v>
      </c>
      <c r="EN165" s="334">
        <f t="shared" si="238"/>
        <v>7.5350000000000028E-2</v>
      </c>
      <c r="EO165" s="700">
        <f t="shared" si="238"/>
        <v>7.5350000000000028E-2</v>
      </c>
      <c r="EP165" s="334">
        <f t="shared" si="238"/>
        <v>7.5350000000000028E-2</v>
      </c>
      <c r="EQ165" s="334">
        <f t="shared" si="238"/>
        <v>7.5350000000000028E-2</v>
      </c>
      <c r="ER165" s="700">
        <f t="shared" si="238"/>
        <v>7.5350000000000028E-2</v>
      </c>
      <c r="ES165" s="334">
        <f t="shared" si="238"/>
        <v>7.5349999999999806E-2</v>
      </c>
      <c r="ET165" s="334">
        <f t="shared" si="238"/>
        <v>7.5350000000000028E-2</v>
      </c>
      <c r="EU165" s="700">
        <f t="shared" si="238"/>
        <v>7.5349999999999806E-2</v>
      </c>
      <c r="EV165" s="334">
        <f t="shared" si="238"/>
        <v>7.5350000000000028E-2</v>
      </c>
      <c r="EW165" s="334">
        <f t="shared" si="238"/>
        <v>7.5350000000000028E-2</v>
      </c>
      <c r="EX165" s="700">
        <f t="shared" si="238"/>
        <v>7.5350000000000028E-2</v>
      </c>
      <c r="EY165" s="334">
        <f t="shared" si="238"/>
        <v>7.5349999999999806E-2</v>
      </c>
      <c r="EZ165" s="334">
        <f t="shared" si="238"/>
        <v>7.5349999999999806E-2</v>
      </c>
      <c r="FA165" s="523">
        <f t="shared" si="238"/>
        <v>7.5349999999999806E-2</v>
      </c>
    </row>
    <row r="166" spans="1:184" s="218" customFormat="1" ht="13.35" customHeight="1">
      <c r="A166" s="989"/>
      <c r="C166" s="218" t="s">
        <v>859</v>
      </c>
      <c r="D166" s="317" t="s">
        <v>357</v>
      </c>
      <c r="E166" s="278"/>
      <c r="F166" s="278"/>
      <c r="G166" s="279"/>
      <c r="H166" s="278"/>
      <c r="I166" s="278"/>
      <c r="J166" s="279"/>
      <c r="K166" s="278"/>
      <c r="L166" s="278"/>
      <c r="M166" s="279"/>
      <c r="N166" s="278"/>
      <c r="O166" s="278"/>
      <c r="P166" s="279"/>
      <c r="Q166" s="278"/>
      <c r="R166" s="278"/>
      <c r="S166" s="279"/>
      <c r="T166" s="278"/>
      <c r="U166" s="278"/>
      <c r="V166" s="279"/>
      <c r="W166" s="278"/>
      <c r="X166" s="278"/>
      <c r="Y166" s="279"/>
      <c r="Z166" s="278"/>
      <c r="AA166" s="278"/>
      <c r="AB166" s="279"/>
      <c r="AC166" s="278"/>
      <c r="AD166" s="278"/>
      <c r="AE166" s="279"/>
      <c r="AF166" s="278"/>
      <c r="AG166" s="278"/>
      <c r="AH166" s="279"/>
      <c r="AI166" s="278"/>
      <c r="AJ166" s="278"/>
      <c r="AK166" s="279"/>
      <c r="AL166" s="278"/>
      <c r="AM166" s="278"/>
      <c r="AN166" s="279"/>
      <c r="AO166" s="278"/>
      <c r="AP166" s="278"/>
      <c r="AQ166" s="279"/>
      <c r="AR166" s="278"/>
      <c r="AS166" s="278"/>
      <c r="AT166" s="279"/>
      <c r="AU166" s="278"/>
      <c r="AV166" s="278"/>
      <c r="AW166" s="279"/>
      <c r="AX166" s="278"/>
      <c r="AY166" s="278"/>
      <c r="AZ166" s="279"/>
      <c r="BA166" s="278"/>
      <c r="BB166" s="278"/>
      <c r="BC166" s="279"/>
      <c r="BD166" s="278"/>
      <c r="BE166" s="278"/>
      <c r="BF166" s="279"/>
      <c r="BG166" s="226"/>
      <c r="BH166" s="278"/>
      <c r="BI166" s="279"/>
      <c r="BJ166" s="279"/>
      <c r="BK166" s="279"/>
      <c r="BL166" s="279"/>
      <c r="BM166" s="279"/>
      <c r="BN166" s="279"/>
      <c r="BO166" s="279"/>
      <c r="BP166" s="5"/>
      <c r="BQ166" s="5"/>
      <c r="BR166" s="5"/>
      <c r="BS166" s="5"/>
      <c r="BT166" s="5"/>
      <c r="BU166" s="318"/>
      <c r="BV166" s="319"/>
      <c r="BW166" s="319"/>
      <c r="BX166" s="320"/>
      <c r="BY166" s="319"/>
      <c r="BZ166" s="319"/>
      <c r="CA166" s="320"/>
      <c r="CB166" s="319"/>
      <c r="CC166" s="319"/>
      <c r="CD166" s="320"/>
      <c r="CE166" s="319"/>
      <c r="CF166" s="319"/>
      <c r="CG166" s="320"/>
      <c r="CH166" s="319"/>
      <c r="CI166" s="319"/>
      <c r="CJ166" s="320"/>
      <c r="CK166" s="319"/>
      <c r="CL166" s="319"/>
      <c r="CM166" s="320"/>
      <c r="CN166" s="319"/>
      <c r="CO166" s="319"/>
      <c r="CP166" s="320"/>
      <c r="CQ166" s="319"/>
      <c r="CR166" s="319"/>
      <c r="CS166" s="320"/>
      <c r="CT166" s="319"/>
      <c r="CU166" s="319"/>
      <c r="CV166" s="320"/>
      <c r="CW166" s="319"/>
      <c r="CX166" s="319"/>
      <c r="CY166" s="502"/>
      <c r="CZ166" s="550"/>
      <c r="DA166" s="550"/>
      <c r="DB166" s="502"/>
      <c r="DC166" s="550"/>
      <c r="DD166" s="550"/>
      <c r="DE166" s="698"/>
      <c r="DF166" s="550"/>
      <c r="DG166" s="550"/>
      <c r="DH166" s="698"/>
      <c r="DI166" s="632">
        <v>2157.0256347644754</v>
      </c>
      <c r="DJ166" s="632">
        <v>2080.9937854531681</v>
      </c>
      <c r="DK166" s="675">
        <v>4238.0194202176435</v>
      </c>
      <c r="DL166" s="632">
        <f>DL164+DL162</f>
        <v>1976.8099258760888</v>
      </c>
      <c r="DM166" s="632">
        <f>DM164+DM162</f>
        <v>2047.1900741239112</v>
      </c>
      <c r="DN166" s="675">
        <f>SUM(DL166:DM166)</f>
        <v>4024</v>
      </c>
      <c r="DO166" s="632">
        <f>DO164+DO162</f>
        <v>2107</v>
      </c>
      <c r="DP166" s="632">
        <f>DP164+DP162</f>
        <v>2372</v>
      </c>
      <c r="DQ166" s="675">
        <f>SUM(DO166:DP166)</f>
        <v>4479</v>
      </c>
      <c r="DR166" s="632">
        <f>DR164+DR162</f>
        <v>2713</v>
      </c>
      <c r="DS166" s="632">
        <f>DS164+DS162</f>
        <v>2872</v>
      </c>
      <c r="DT166" s="675">
        <f>SUM(DR166:DS166)</f>
        <v>5585</v>
      </c>
      <c r="DU166" s="632">
        <f>DU164+DU162</f>
        <v>3124</v>
      </c>
      <c r="DV166" s="632">
        <f>DV164+DV162</f>
        <v>2858</v>
      </c>
      <c r="DW166" s="675">
        <f>SUM(DU166:DV166)</f>
        <v>5982</v>
      </c>
      <c r="DX166" s="632">
        <f>DX164+DX162</f>
        <v>3017</v>
      </c>
      <c r="DY166" s="632">
        <f>DY164+DY162</f>
        <v>3258.1200000000003</v>
      </c>
      <c r="DZ166" s="675">
        <f>SUM(DX166:DY166)</f>
        <v>6275.1200000000008</v>
      </c>
      <c r="EA166" s="632">
        <f>EA164+EA162</f>
        <v>3273.4449999999997</v>
      </c>
      <c r="EB166" s="632">
        <f>EB164+EB162</f>
        <v>3535.0602000000003</v>
      </c>
      <c r="EC166" s="675">
        <f>SUM(EA166:EB166)</f>
        <v>6808.5051999999996</v>
      </c>
      <c r="ED166" s="632">
        <f>ED164+ED162</f>
        <v>3520.0990807499993</v>
      </c>
      <c r="EE166" s="632">
        <f>EE164+EE162</f>
        <v>3801.4269860700006</v>
      </c>
      <c r="EF166" s="675">
        <f>SUM(ED166:EE166)</f>
        <v>7321.5260668199999</v>
      </c>
      <c r="EG166" s="632">
        <f>EG164+EG162</f>
        <v>3785.3385464845114</v>
      </c>
      <c r="EH166" s="632">
        <f>EH164+EH162</f>
        <v>4087.8645094703747</v>
      </c>
      <c r="EI166" s="675">
        <f>SUM(EG166:EH166)</f>
        <v>7873.2030559548857</v>
      </c>
      <c r="EJ166" s="632">
        <f>EJ164+EJ162</f>
        <v>4057.3872018248617</v>
      </c>
      <c r="EK166" s="632">
        <f>EK164+EK162</f>
        <v>4381.4989066843509</v>
      </c>
      <c r="EL166" s="675">
        <f>SUM(EJ166:EK166)</f>
        <v>8438.8861085092121</v>
      </c>
      <c r="EM166" s="632">
        <f>EM164+EM162</f>
        <v>4349.0123610554983</v>
      </c>
      <c r="EN166" s="632">
        <f>EN164+EN162</f>
        <v>4696.251622178178</v>
      </c>
      <c r="EO166" s="675">
        <f>SUM(EM166:EN166)</f>
        <v>9045.2639832336754</v>
      </c>
      <c r="EP166" s="632">
        <f>EP164+EP162</f>
        <v>4661.624548384284</v>
      </c>
      <c r="EQ166" s="632">
        <f>EQ164+EQ162</f>
        <v>5033.6434288857254</v>
      </c>
      <c r="ER166" s="675">
        <f>SUM(EP166:EQ166)</f>
        <v>9695.2679772700103</v>
      </c>
      <c r="ES166" s="632">
        <f>ES164+ES162</f>
        <v>4996.7360514429201</v>
      </c>
      <c r="ET166" s="632">
        <f>ET164+ET162</f>
        <v>5395.304755517036</v>
      </c>
      <c r="EU166" s="675">
        <f>SUM(ES166:ET166)</f>
        <v>10392.040806959956</v>
      </c>
      <c r="EV166" s="632">
        <f>EV164+EV162</f>
        <v>5355.9682727906775</v>
      </c>
      <c r="EW166" s="632">
        <f>EW164+EW162</f>
        <v>5782.9836037085506</v>
      </c>
      <c r="EX166" s="675">
        <f>SUM(EV166:EW166)</f>
        <v>11138.951876499228</v>
      </c>
      <c r="EY166" s="632">
        <f>EY164+EY162</f>
        <v>5741.0596132079945</v>
      </c>
      <c r="EZ166" s="632">
        <f>EZ164+EZ162</f>
        <v>6198.5540375517267</v>
      </c>
      <c r="FA166" s="632">
        <f>SUM(EY166:EZ166)</f>
        <v>11939.613650759722</v>
      </c>
      <c r="FB166" s="217"/>
      <c r="FC166" s="217"/>
      <c r="FD166" s="217"/>
      <c r="FE166" s="217"/>
      <c r="FF166" s="217"/>
      <c r="FG166" s="217"/>
      <c r="FH166" s="217"/>
      <c r="FI166" s="217"/>
      <c r="FJ166" s="217"/>
      <c r="FK166" s="217"/>
      <c r="FL166" s="217"/>
      <c r="FM166" s="217"/>
      <c r="FN166" s="217"/>
      <c r="FO166" s="217"/>
      <c r="FP166" s="217"/>
      <c r="FQ166" s="217"/>
      <c r="FR166" s="217"/>
      <c r="FS166" s="217"/>
      <c r="FT166" s="217"/>
      <c r="FU166" s="217"/>
      <c r="FV166" s="217"/>
      <c r="FW166" s="217"/>
      <c r="FX166" s="217"/>
      <c r="FY166" s="217"/>
      <c r="FZ166" s="217"/>
      <c r="GA166" s="217"/>
      <c r="GB166" s="217"/>
    </row>
    <row r="167" spans="1:184" ht="13.35" customHeight="1">
      <c r="A167" s="760"/>
      <c r="C167" s="177" t="s">
        <v>178</v>
      </c>
      <c r="D167" s="250" t="s">
        <v>507</v>
      </c>
      <c r="E167" s="251"/>
      <c r="F167" s="251"/>
      <c r="G167" s="252"/>
      <c r="H167" s="251"/>
      <c r="I167" s="251"/>
      <c r="J167" s="252"/>
      <c r="K167" s="251"/>
      <c r="L167" s="251"/>
      <c r="M167" s="252"/>
      <c r="N167" s="251"/>
      <c r="O167" s="251"/>
      <c r="P167" s="252"/>
      <c r="Q167" s="251"/>
      <c r="R167" s="251"/>
      <c r="S167" s="252"/>
      <c r="T167" s="251"/>
      <c r="U167" s="251"/>
      <c r="V167" s="252"/>
      <c r="W167" s="251"/>
      <c r="X167" s="251"/>
      <c r="Y167" s="252"/>
      <c r="Z167" s="251"/>
      <c r="AA167" s="251"/>
      <c r="AB167" s="252"/>
      <c r="AC167" s="251"/>
      <c r="AD167" s="251"/>
      <c r="AE167" s="252"/>
      <c r="AF167" s="251"/>
      <c r="AG167" s="251"/>
      <c r="AH167" s="252"/>
      <c r="AI167" s="251"/>
      <c r="AJ167" s="251"/>
      <c r="AK167" s="252"/>
      <c r="AL167" s="251"/>
      <c r="AM167" s="251"/>
      <c r="AN167" s="252"/>
      <c r="AO167" s="251"/>
      <c r="AP167" s="251"/>
      <c r="AQ167" s="252"/>
      <c r="AR167" s="251"/>
      <c r="AS167" s="251"/>
      <c r="AT167" s="252"/>
      <c r="AU167" s="251"/>
      <c r="AV167" s="251"/>
      <c r="AW167" s="252"/>
      <c r="AX167" s="251"/>
      <c r="AY167" s="251"/>
      <c r="AZ167" s="252"/>
      <c r="BA167" s="251"/>
      <c r="BB167" s="251"/>
      <c r="BC167" s="252"/>
      <c r="BD167" s="251"/>
      <c r="BE167" s="251"/>
      <c r="BF167" s="252"/>
      <c r="BG167" s="198"/>
      <c r="BH167" s="251"/>
      <c r="BI167" s="252"/>
      <c r="BJ167" s="252"/>
      <c r="BK167" s="252"/>
      <c r="BL167" s="252"/>
      <c r="BM167" s="252"/>
      <c r="BN167" s="252"/>
      <c r="BO167" s="252"/>
      <c r="BP167" s="4"/>
      <c r="BQ167" s="4"/>
      <c r="BR167" s="4"/>
      <c r="BS167" s="4"/>
      <c r="BT167" s="4"/>
      <c r="BU167" s="315"/>
      <c r="BV167" s="184"/>
      <c r="BW167" s="184"/>
      <c r="BX167" s="185"/>
      <c r="BY167" s="184"/>
      <c r="BZ167" s="184"/>
      <c r="CA167" s="185"/>
      <c r="CB167" s="184"/>
      <c r="CC167" s="184"/>
      <c r="CD167" s="185"/>
      <c r="CE167" s="184"/>
      <c r="CF167" s="184"/>
      <c r="CG167" s="185"/>
      <c r="CH167" s="184"/>
      <c r="CI167" s="184"/>
      <c r="CJ167" s="185"/>
      <c r="CK167" s="184"/>
      <c r="CL167" s="184"/>
      <c r="CM167" s="185"/>
      <c r="CN167" s="184"/>
      <c r="CO167" s="184"/>
      <c r="CP167" s="185"/>
      <c r="CQ167" s="184"/>
      <c r="CR167" s="184"/>
      <c r="CS167" s="185"/>
      <c r="CT167" s="295"/>
      <c r="CU167" s="295"/>
      <c r="CV167" s="316"/>
      <c r="CW167" s="295"/>
      <c r="CX167" s="295"/>
      <c r="CY167" s="549"/>
      <c r="CZ167" s="333"/>
      <c r="DA167" s="333"/>
      <c r="DB167" s="334"/>
      <c r="DC167" s="333"/>
      <c r="DD167" s="333"/>
      <c r="DE167" s="788"/>
      <c r="DF167" s="333"/>
      <c r="DG167" s="333"/>
      <c r="DH167" s="788"/>
      <c r="DI167" s="334"/>
      <c r="DJ167" s="334"/>
      <c r="DK167" s="700">
        <v>5.5809521202298207E-2</v>
      </c>
      <c r="DL167" s="334">
        <f t="shared" ref="DL167:DQ167" si="239">DL166/DI166-1</f>
        <v>-8.3548246244215085E-2</v>
      </c>
      <c r="DM167" s="334">
        <f t="shared" si="239"/>
        <v>-1.624402319966356E-2</v>
      </c>
      <c r="DN167" s="700">
        <f t="shared" si="239"/>
        <v>-5.0499867744035143E-2</v>
      </c>
      <c r="DO167" s="334">
        <f t="shared" si="239"/>
        <v>6.585867079062413E-2</v>
      </c>
      <c r="DP167" s="334">
        <f t="shared" si="239"/>
        <v>0.1586613426772745</v>
      </c>
      <c r="DQ167" s="700">
        <f t="shared" si="239"/>
        <v>0.11307157057654083</v>
      </c>
      <c r="DR167" s="334">
        <f t="shared" ref="DR167:EL167" si="240">DR166/DO166-1</f>
        <v>0.28761271950640732</v>
      </c>
      <c r="DS167" s="334">
        <f t="shared" si="240"/>
        <v>0.21079258010118052</v>
      </c>
      <c r="DT167" s="700">
        <f t="shared" si="240"/>
        <v>0.24693011832998435</v>
      </c>
      <c r="DU167" s="334">
        <f t="shared" si="240"/>
        <v>0.15149281238481382</v>
      </c>
      <c r="DV167" s="334">
        <f>DV166/DS166-1</f>
        <v>-4.8746518105849956E-3</v>
      </c>
      <c r="DW167" s="700">
        <f>DW166/DT166-1</f>
        <v>7.1083258728737775E-2</v>
      </c>
      <c r="DX167" s="334">
        <f t="shared" si="240"/>
        <v>-3.425096030729835E-2</v>
      </c>
      <c r="DY167" s="334">
        <f t="shared" si="240"/>
        <v>0.14000000000000012</v>
      </c>
      <c r="DZ167" s="700">
        <f t="shared" si="240"/>
        <v>4.9000334336342544E-2</v>
      </c>
      <c r="EA167" s="334">
        <f t="shared" si="240"/>
        <v>8.4999999999999964E-2</v>
      </c>
      <c r="EB167" s="334">
        <f t="shared" si="240"/>
        <v>8.4999999999999964E-2</v>
      </c>
      <c r="EC167" s="700">
        <f t="shared" si="240"/>
        <v>8.4999999999999742E-2</v>
      </c>
      <c r="ED167" s="334">
        <f t="shared" si="240"/>
        <v>7.5349999999999806E-2</v>
      </c>
      <c r="EE167" s="334">
        <f t="shared" si="240"/>
        <v>7.5350000000000028E-2</v>
      </c>
      <c r="EF167" s="700">
        <f t="shared" si="240"/>
        <v>7.5350000000000028E-2</v>
      </c>
      <c r="EG167" s="334">
        <f t="shared" si="240"/>
        <v>7.5349999999999806E-2</v>
      </c>
      <c r="EH167" s="334">
        <f t="shared" si="240"/>
        <v>7.5349999999999806E-2</v>
      </c>
      <c r="EI167" s="700">
        <f t="shared" si="240"/>
        <v>7.5349999999999806E-2</v>
      </c>
      <c r="EJ167" s="334">
        <f t="shared" si="240"/>
        <v>7.1869042094796276E-2</v>
      </c>
      <c r="EK167" s="334">
        <f t="shared" si="240"/>
        <v>7.1830755773268029E-2</v>
      </c>
      <c r="EL167" s="700">
        <f t="shared" si="240"/>
        <v>7.1849163362613044E-2</v>
      </c>
      <c r="EM167" s="334">
        <f t="shared" ref="EM167:FA167" si="241">EM166/EJ166-1</f>
        <v>7.1875111919186496E-2</v>
      </c>
      <c r="EN167" s="334">
        <f t="shared" si="241"/>
        <v>7.1836766868444313E-2</v>
      </c>
      <c r="EO167" s="700">
        <f t="shared" si="241"/>
        <v>7.1855203035982695E-2</v>
      </c>
      <c r="EP167" s="334">
        <f t="shared" si="241"/>
        <v>7.1881190802804529E-2</v>
      </c>
      <c r="EQ167" s="334">
        <f t="shared" si="241"/>
        <v>7.1842787365610006E-2</v>
      </c>
      <c r="ER167" s="700">
        <f t="shared" si="241"/>
        <v>7.186125194811166E-2</v>
      </c>
      <c r="ES167" s="334">
        <f t="shared" si="241"/>
        <v>7.1887278690169421E-2</v>
      </c>
      <c r="ET167" s="334">
        <f t="shared" si="241"/>
        <v>7.1848817211784599E-2</v>
      </c>
      <c r="EU167" s="700">
        <f t="shared" si="241"/>
        <v>7.1867310044806398E-2</v>
      </c>
      <c r="EV167" s="334">
        <f t="shared" si="241"/>
        <v>7.1893375525413417E-2</v>
      </c>
      <c r="EW167" s="334">
        <f t="shared" si="241"/>
        <v>7.1854856353589458E-2</v>
      </c>
      <c r="EX167" s="700">
        <f t="shared" si="241"/>
        <v>7.1873377271482353E-2</v>
      </c>
      <c r="EY167" s="334">
        <f t="shared" si="241"/>
        <v>7.1899481252279518E-2</v>
      </c>
      <c r="EZ167" s="334">
        <f t="shared" si="241"/>
        <v>7.1860904737249598E-2</v>
      </c>
      <c r="FA167" s="523">
        <f t="shared" si="241"/>
        <v>7.187945357316039E-2</v>
      </c>
    </row>
    <row r="168" spans="1:184" ht="13.35" customHeight="1">
      <c r="A168" s="760"/>
      <c r="E168" s="251"/>
      <c r="F168" s="251"/>
      <c r="G168" s="252"/>
      <c r="H168" s="251"/>
      <c r="I168" s="251"/>
      <c r="J168" s="252"/>
      <c r="K168" s="251"/>
      <c r="L168" s="251"/>
      <c r="M168" s="252"/>
      <c r="N168" s="251"/>
      <c r="O168" s="251"/>
      <c r="P168" s="252"/>
      <c r="Q168" s="251"/>
      <c r="R168" s="251"/>
      <c r="S168" s="252"/>
      <c r="T168" s="251"/>
      <c r="U168" s="251"/>
      <c r="V168" s="252"/>
      <c r="W168" s="251"/>
      <c r="X168" s="251"/>
      <c r="Y168" s="252"/>
      <c r="Z168" s="251"/>
      <c r="AA168" s="251"/>
      <c r="AB168" s="252"/>
      <c r="AC168" s="251"/>
      <c r="AD168" s="251"/>
      <c r="AE168" s="252"/>
      <c r="AF168" s="251"/>
      <c r="AG168" s="251"/>
      <c r="AH168" s="252"/>
      <c r="AI168" s="251"/>
      <c r="AJ168" s="251"/>
      <c r="AK168" s="252"/>
      <c r="AL168" s="251"/>
      <c r="AM168" s="251"/>
      <c r="AN168" s="252"/>
      <c r="AO168" s="251"/>
      <c r="AP168" s="251"/>
      <c r="AQ168" s="252"/>
      <c r="AR168" s="251"/>
      <c r="AS168" s="251"/>
      <c r="AT168" s="252"/>
      <c r="AU168" s="251"/>
      <c r="AV168" s="251"/>
      <c r="AW168" s="252"/>
      <c r="AX168" s="251"/>
      <c r="AY168" s="251"/>
      <c r="AZ168" s="252"/>
      <c r="BA168" s="251"/>
      <c r="BB168" s="251"/>
      <c r="BC168" s="252"/>
      <c r="BD168" s="251"/>
      <c r="BE168" s="251"/>
      <c r="BF168" s="252"/>
      <c r="BG168" s="321"/>
      <c r="BH168" s="321"/>
      <c r="BI168" s="322"/>
      <c r="BJ168" s="321"/>
      <c r="BK168" s="321"/>
      <c r="BL168" s="322"/>
      <c r="BM168" s="323"/>
      <c r="BN168" s="323"/>
      <c r="BO168" s="324"/>
      <c r="BP168" s="323"/>
      <c r="BQ168" s="323"/>
      <c r="BR168" s="324"/>
      <c r="BS168" s="325"/>
      <c r="BT168" s="323"/>
      <c r="BU168" s="326"/>
      <c r="BV168" s="327"/>
      <c r="BW168" s="327"/>
      <c r="BX168" s="327"/>
      <c r="BY168" s="328"/>
      <c r="BZ168" s="328"/>
      <c r="CA168" s="329"/>
      <c r="CB168" s="328"/>
      <c r="CC168" s="328"/>
      <c r="CD168" s="329"/>
      <c r="CE168" s="328"/>
      <c r="CF168" s="328"/>
      <c r="CG168" s="329"/>
      <c r="CH168" s="328"/>
      <c r="CI168" s="328"/>
      <c r="CJ168" s="324"/>
      <c r="CK168" s="323"/>
      <c r="CL168" s="323"/>
      <c r="CM168" s="324"/>
      <c r="CN168" s="323"/>
      <c r="CO168" s="323"/>
      <c r="CP168" s="324"/>
      <c r="CQ168" s="323"/>
      <c r="CR168" s="323"/>
      <c r="CS168" s="324"/>
      <c r="CT168" s="323"/>
      <c r="CU168" s="323"/>
      <c r="CV168" s="324"/>
      <c r="CW168" s="323"/>
      <c r="CX168" s="323"/>
      <c r="CY168" s="324"/>
      <c r="CZ168" s="323"/>
      <c r="DA168" s="323"/>
      <c r="DB168" s="324"/>
      <c r="DC168" s="330"/>
      <c r="DD168" s="331"/>
      <c r="DE168" s="791"/>
      <c r="DF168" s="332"/>
      <c r="DG168" s="323"/>
      <c r="DH168" s="65"/>
      <c r="DI168" s="323"/>
      <c r="DJ168" s="323"/>
      <c r="DK168" s="702"/>
      <c r="DL168" s="328"/>
      <c r="DM168" s="328"/>
      <c r="DN168" s="732"/>
      <c r="DO168" s="332"/>
      <c r="DP168" s="332"/>
      <c r="DQ168" s="691"/>
      <c r="DR168" s="332"/>
      <c r="DS168" s="332"/>
      <c r="DT168" s="699"/>
      <c r="DU168" s="332"/>
      <c r="DV168" s="332"/>
      <c r="DW168" s="699"/>
      <c r="DX168" s="332"/>
      <c r="DY168" s="332"/>
      <c r="DZ168" s="702"/>
      <c r="EA168" s="323"/>
      <c r="EB168" s="323"/>
      <c r="EC168" s="702"/>
      <c r="ED168" s="323"/>
      <c r="EE168" s="323"/>
      <c r="EF168" s="702"/>
      <c r="EG168" s="323"/>
      <c r="EH168" s="323"/>
      <c r="EI168" s="702"/>
      <c r="EJ168" s="323"/>
      <c r="EK168" s="323"/>
      <c r="EL168" s="702"/>
      <c r="EM168" s="323"/>
      <c r="EN168" s="323"/>
      <c r="EO168" s="702"/>
      <c r="EP168" s="323"/>
      <c r="EQ168" s="323"/>
      <c r="ER168" s="702"/>
      <c r="ES168" s="323"/>
      <c r="ET168" s="323"/>
      <c r="EU168" s="702"/>
      <c r="EV168" s="323"/>
      <c r="EW168" s="323"/>
      <c r="EX168" s="702"/>
      <c r="EY168" s="323"/>
      <c r="EZ168" s="323"/>
      <c r="FA168" s="551"/>
    </row>
    <row r="169" spans="1:184" ht="13.35" customHeight="1">
      <c r="A169" s="760"/>
      <c r="C169" s="177" t="s">
        <v>442</v>
      </c>
      <c r="D169" s="294" t="s">
        <v>380</v>
      </c>
      <c r="E169" s="251"/>
      <c r="F169" s="251"/>
      <c r="G169" s="252"/>
      <c r="H169" s="251"/>
      <c r="I169" s="251"/>
      <c r="J169" s="252"/>
      <c r="K169" s="251"/>
      <c r="L169" s="251"/>
      <c r="M169" s="252"/>
      <c r="N169" s="251"/>
      <c r="O169" s="251"/>
      <c r="P169" s="252"/>
      <c r="Q169" s="251"/>
      <c r="R169" s="251"/>
      <c r="S169" s="252"/>
      <c r="T169" s="251"/>
      <c r="U169" s="251"/>
      <c r="V169" s="252"/>
      <c r="W169" s="251"/>
      <c r="X169" s="251"/>
      <c r="Y169" s="252"/>
      <c r="Z169" s="251"/>
      <c r="AA169" s="251"/>
      <c r="AB169" s="252"/>
      <c r="AC169" s="251"/>
      <c r="AD169" s="251"/>
      <c r="AE169" s="252"/>
      <c r="AF169" s="251"/>
      <c r="AG169" s="251"/>
      <c r="AH169" s="252"/>
      <c r="AI169" s="251"/>
      <c r="AJ169" s="251"/>
      <c r="AK169" s="252"/>
      <c r="AL169" s="251"/>
      <c r="AM169" s="251"/>
      <c r="AN169" s="252"/>
      <c r="AO169" s="251"/>
      <c r="AP169" s="251"/>
      <c r="AQ169" s="252"/>
      <c r="AR169" s="251"/>
      <c r="AS169" s="251"/>
      <c r="AT169" s="252"/>
      <c r="AU169" s="251"/>
      <c r="AV169" s="251"/>
      <c r="AW169" s="252"/>
      <c r="AX169" s="251"/>
      <c r="AY169" s="251"/>
      <c r="AZ169" s="252"/>
      <c r="BA169" s="251"/>
      <c r="BB169" s="251"/>
      <c r="BC169" s="252"/>
      <c r="BD169" s="251"/>
      <c r="BE169" s="251"/>
      <c r="BF169" s="252"/>
      <c r="BG169" s="333"/>
      <c r="BH169" s="333"/>
      <c r="BI169" s="334"/>
      <c r="BJ169" s="333"/>
      <c r="BK169" s="333"/>
      <c r="BL169" s="334"/>
      <c r="BM169" s="305"/>
      <c r="BN169" s="305"/>
      <c r="BO169" s="306"/>
      <c r="BP169" s="305"/>
      <c r="BQ169" s="305"/>
      <c r="BR169" s="306"/>
      <c r="BS169" s="300"/>
      <c r="BT169" s="305"/>
      <c r="BU169" s="335"/>
      <c r="BV169" s="300"/>
      <c r="BW169" s="300"/>
      <c r="BX169" s="301"/>
      <c r="BY169" s="300"/>
      <c r="BZ169" s="300"/>
      <c r="CA169" s="301"/>
      <c r="CB169" s="300"/>
      <c r="CC169" s="300"/>
      <c r="CD169" s="301"/>
      <c r="CE169" s="300"/>
      <c r="CF169" s="300"/>
      <c r="CG169" s="301"/>
      <c r="CH169" s="300"/>
      <c r="CI169" s="300"/>
      <c r="CJ169" s="301"/>
      <c r="CK169" s="300"/>
      <c r="CL169" s="300"/>
      <c r="CM169" s="301"/>
      <c r="CN169" s="300"/>
      <c r="CO169" s="300"/>
      <c r="CP169" s="301"/>
      <c r="CQ169" s="300"/>
      <c r="CR169" s="300"/>
      <c r="CS169" s="301"/>
      <c r="CT169" s="300"/>
      <c r="CU169" s="300"/>
      <c r="CV169" s="301"/>
      <c r="CW169" s="300"/>
      <c r="CX169" s="300"/>
      <c r="CY169" s="301"/>
      <c r="CZ169" s="300"/>
      <c r="DA169" s="300"/>
      <c r="DB169" s="301"/>
      <c r="DC169" s="300"/>
      <c r="DD169" s="300"/>
      <c r="DE169" s="787"/>
      <c r="DF169" s="300"/>
      <c r="DG169" s="300"/>
      <c r="DH169" s="787"/>
      <c r="DI169" s="301">
        <v>11.068005857427318</v>
      </c>
      <c r="DJ169" s="301">
        <v>19.760694488893044</v>
      </c>
      <c r="DK169" s="698">
        <v>15.2427714597367</v>
      </c>
      <c r="DL169" s="301">
        <f>+DI169*(1+DL170)</f>
        <v>12.9286145258173</v>
      </c>
      <c r="DM169" s="301">
        <f>+DJ169*(1+DM170)</f>
        <v>8.9990202702418927</v>
      </c>
      <c r="DN169" s="698">
        <f>DN172/DN133</f>
        <v>11.004023774269571</v>
      </c>
      <c r="DO169" s="301">
        <f>+DL169*(1+DO170)</f>
        <v>15.51433743098076</v>
      </c>
      <c r="DP169" s="301">
        <f>+DM169*(1+DP170)</f>
        <v>9.7773210177244394</v>
      </c>
      <c r="DQ169" s="698">
        <f>DQ172/DQ133</f>
        <v>12.314853942561431</v>
      </c>
      <c r="DR169" s="301">
        <f>+DO169*(1+DR170)</f>
        <v>4.9932073021576544</v>
      </c>
      <c r="DS169" s="301">
        <f>+DP169*(1+DS170)</f>
        <v>4.8886605088622197</v>
      </c>
      <c r="DT169" s="698">
        <f>DT172/DT133</f>
        <v>4.3374536941079702</v>
      </c>
      <c r="DU169" s="301">
        <f>+DR169*(1+DU170)</f>
        <v>4.9932073021576544</v>
      </c>
      <c r="DV169" s="301">
        <f>+DS169*(1+DV170)</f>
        <v>2.4443302544311099</v>
      </c>
      <c r="DW169" s="698">
        <f>DW172/DW133</f>
        <v>3.6345135617744697</v>
      </c>
      <c r="DX169" s="301">
        <f>+DU169*(1+DX170)</f>
        <v>4.9932073021576544</v>
      </c>
      <c r="DY169" s="301">
        <f>+DV169*(1+DY170)</f>
        <v>2.4443302544311099</v>
      </c>
      <c r="DZ169" s="698">
        <f>DZ172/DZ133</f>
        <v>2.5719996731799086</v>
      </c>
      <c r="EA169" s="301">
        <f>+DX169*(1+EA170)</f>
        <v>4.9932073021576544</v>
      </c>
      <c r="EB169" s="301">
        <f>+DY169*(1+EB170)</f>
        <v>2.4443302544311099</v>
      </c>
      <c r="EC169" s="698">
        <f>EC172/EC133</f>
        <v>3.6037539479020637</v>
      </c>
      <c r="ED169" s="301">
        <f>+EA169*(1+ED170)</f>
        <v>4.9932073021576544</v>
      </c>
      <c r="EE169" s="301">
        <f>+EB169*(1+EE170)</f>
        <v>2.4443302544311099</v>
      </c>
      <c r="EF169" s="698">
        <f>EF172/EF133</f>
        <v>3.6037539479020633</v>
      </c>
      <c r="EG169" s="301">
        <f>+ED169*(1+EG170)</f>
        <v>4.9932073021576544</v>
      </c>
      <c r="EH169" s="301">
        <f>+EE169*(1+EH170)</f>
        <v>2.4443302544311099</v>
      </c>
      <c r="EI169" s="698">
        <f>EI172/EI133</f>
        <v>3.6037539479020633</v>
      </c>
      <c r="EJ169" s="301">
        <f>+EG169*(1+EJ170)</f>
        <v>4.9932073021576544</v>
      </c>
      <c r="EK169" s="301">
        <f>+EH169*(1+EK170)</f>
        <v>2.4443302544311099</v>
      </c>
      <c r="EL169" s="698">
        <f>EL172/EL133</f>
        <v>3.6037539479020633</v>
      </c>
      <c r="EM169" s="301">
        <f>+EJ169*(1+EM170)</f>
        <v>4.9932073021576544</v>
      </c>
      <c r="EN169" s="301">
        <f>+EK169*(1+EN170)</f>
        <v>2.4443302544311099</v>
      </c>
      <c r="EO169" s="698">
        <f>EO172/EO133</f>
        <v>3.6037539479020637</v>
      </c>
      <c r="EP169" s="301">
        <f>+EM169*(1+EP170)</f>
        <v>4.9932073021576544</v>
      </c>
      <c r="EQ169" s="301">
        <f>+EN169*(1+EQ170)</f>
        <v>2.4443302544311099</v>
      </c>
      <c r="ER169" s="698">
        <f>ER172/ER133</f>
        <v>3.6037539479020637</v>
      </c>
      <c r="ES169" s="301">
        <f>+EP169*(1+ES170)</f>
        <v>4.9932073021576544</v>
      </c>
      <c r="ET169" s="301">
        <f>+EQ169*(1+ET170)</f>
        <v>2.4443302544311099</v>
      </c>
      <c r="EU169" s="698">
        <f>EU172/EU133</f>
        <v>3.6037539479020628</v>
      </c>
      <c r="EV169" s="301">
        <f>+ES169*(1+EV170)</f>
        <v>4.9932073021576544</v>
      </c>
      <c r="EW169" s="301">
        <f>+ET169*(1+EW170)</f>
        <v>2.4443302544311099</v>
      </c>
      <c r="EX169" s="698">
        <f>EX172/EX133</f>
        <v>3.6037539479020637</v>
      </c>
      <c r="EY169" s="301">
        <f>+EV169*(1+EY170)</f>
        <v>4.9932073021576544</v>
      </c>
      <c r="EZ169" s="301">
        <f>+EW169*(1+EZ170)</f>
        <v>2.4443302544311099</v>
      </c>
      <c r="FA169" s="502">
        <f>FA172/FA133</f>
        <v>3.6037539479020633</v>
      </c>
    </row>
    <row r="170" spans="1:184" ht="13.35" customHeight="1">
      <c r="A170" s="22"/>
      <c r="B170" s="296"/>
      <c r="C170" s="177" t="s">
        <v>178</v>
      </c>
      <c r="D170" s="250" t="s">
        <v>507</v>
      </c>
      <c r="E170" s="251"/>
      <c r="F170" s="251"/>
      <c r="G170" s="252"/>
      <c r="H170" s="251"/>
      <c r="I170" s="251"/>
      <c r="J170" s="252"/>
      <c r="K170" s="251"/>
      <c r="L170" s="251"/>
      <c r="M170" s="252"/>
      <c r="N170" s="251"/>
      <c r="O170" s="251"/>
      <c r="P170" s="252"/>
      <c r="Q170" s="251"/>
      <c r="R170" s="251"/>
      <c r="S170" s="252"/>
      <c r="T170" s="251"/>
      <c r="U170" s="251"/>
      <c r="V170" s="252"/>
      <c r="W170" s="251"/>
      <c r="X170" s="251"/>
      <c r="Y170" s="252"/>
      <c r="Z170" s="251"/>
      <c r="AA170" s="251"/>
      <c r="AB170" s="252"/>
      <c r="AC170" s="251"/>
      <c r="AD170" s="251"/>
      <c r="AE170" s="252"/>
      <c r="AF170" s="251"/>
      <c r="AG170" s="251"/>
      <c r="AH170" s="252"/>
      <c r="AI170" s="251"/>
      <c r="AJ170" s="251"/>
      <c r="AK170" s="252"/>
      <c r="AL170" s="251"/>
      <c r="AM170" s="251"/>
      <c r="AN170" s="252"/>
      <c r="AO170" s="251"/>
      <c r="AP170" s="251"/>
      <c r="AQ170" s="252"/>
      <c r="AR170" s="251"/>
      <c r="AS170" s="251"/>
      <c r="AT170" s="252"/>
      <c r="AU170" s="251"/>
      <c r="AV170" s="251"/>
      <c r="AW170" s="252"/>
      <c r="AX170" s="251"/>
      <c r="AY170" s="251"/>
      <c r="AZ170" s="252"/>
      <c r="BA170" s="251"/>
      <c r="BB170" s="251"/>
      <c r="BC170" s="252"/>
      <c r="BD170" s="251"/>
      <c r="BE170" s="251"/>
      <c r="BF170" s="252"/>
      <c r="BG170" s="251"/>
      <c r="BH170" s="251"/>
      <c r="BI170" s="252"/>
      <c r="BJ170" s="251"/>
      <c r="BK170" s="251"/>
      <c r="BL170" s="252"/>
      <c r="BM170" s="198"/>
      <c r="BN170" s="198"/>
      <c r="BO170" s="79"/>
      <c r="BP170" s="251"/>
      <c r="BQ170" s="251"/>
      <c r="BR170" s="4"/>
      <c r="BS170" s="251"/>
      <c r="BT170" s="251"/>
      <c r="BU170" s="293"/>
      <c r="BV170" s="286"/>
      <c r="BW170" s="286"/>
      <c r="BX170" s="287"/>
      <c r="BY170" s="286"/>
      <c r="BZ170" s="286"/>
      <c r="CA170" s="287"/>
      <c r="CB170" s="286"/>
      <c r="CC170" s="286"/>
      <c r="CD170" s="287"/>
      <c r="CE170" s="286"/>
      <c r="CF170" s="286"/>
      <c r="CG170" s="287"/>
      <c r="CH170" s="286"/>
      <c r="CI170" s="286"/>
      <c r="CJ170" s="287"/>
      <c r="CK170" s="286"/>
      <c r="CL170" s="286"/>
      <c r="CM170" s="287"/>
      <c r="CN170" s="286"/>
      <c r="CO170" s="286"/>
      <c r="CP170" s="287"/>
      <c r="CQ170" s="286"/>
      <c r="CR170" s="286"/>
      <c r="CS170" s="287"/>
      <c r="CT170" s="286"/>
      <c r="CU170" s="286"/>
      <c r="CV170" s="287"/>
      <c r="CW170" s="286"/>
      <c r="CX170" s="286"/>
      <c r="CY170" s="303"/>
      <c r="CZ170" s="302"/>
      <c r="DA170" s="302"/>
      <c r="DB170" s="303"/>
      <c r="DC170" s="302"/>
      <c r="DD170" s="302"/>
      <c r="DE170" s="788"/>
      <c r="DF170" s="302"/>
      <c r="DG170" s="302"/>
      <c r="DH170" s="788"/>
      <c r="DI170" s="303"/>
      <c r="DJ170" s="10"/>
      <c r="DK170" s="700">
        <v>0.30000489155210341</v>
      </c>
      <c r="DL170" s="772">
        <v>0.16810694648678731</v>
      </c>
      <c r="DM170" s="772">
        <v>-0.54459999999999997</v>
      </c>
      <c r="DN170" s="700">
        <f>DN169/DK169-1</f>
        <v>-0.2780824797290733</v>
      </c>
      <c r="DO170" s="772">
        <v>0.2</v>
      </c>
      <c r="DP170" s="302">
        <v>8.6487275737809427E-2</v>
      </c>
      <c r="DQ170" s="773">
        <f>DQ169/DN169-1</f>
        <v>0.11912280409253029</v>
      </c>
      <c r="DR170" s="772">
        <v>-0.67815529832510535</v>
      </c>
      <c r="DS170" s="772">
        <v>-0.5</v>
      </c>
      <c r="DT170" s="700">
        <f>DT169/DQ169-1</f>
        <v>-0.647786834148534</v>
      </c>
      <c r="DU170" s="774">
        <v>0</v>
      </c>
      <c r="DV170" s="772">
        <v>-0.5</v>
      </c>
      <c r="DW170" s="700">
        <f>DW169/DT169-1</f>
        <v>-0.16206285574607504</v>
      </c>
      <c r="DX170" s="774">
        <v>0</v>
      </c>
      <c r="DY170" s="303">
        <v>0</v>
      </c>
      <c r="DZ170" s="700">
        <f>DZ169/DW169-1</f>
        <v>-0.29234005336213753</v>
      </c>
      <c r="EA170" s="303">
        <f>DX170</f>
        <v>0</v>
      </c>
      <c r="EB170" s="303">
        <f>DY170</f>
        <v>0</v>
      </c>
      <c r="EC170" s="700">
        <f>EC169/DZ169-1</f>
        <v>0.40114868033654871</v>
      </c>
      <c r="ED170" s="303">
        <f>EA170</f>
        <v>0</v>
      </c>
      <c r="EE170" s="303">
        <f>EB170</f>
        <v>0</v>
      </c>
      <c r="EF170" s="700">
        <f>EF169/EC169-1</f>
        <v>0</v>
      </c>
      <c r="EG170" s="303">
        <f>ED170</f>
        <v>0</v>
      </c>
      <c r="EH170" s="303">
        <f>EE170</f>
        <v>0</v>
      </c>
      <c r="EI170" s="700">
        <f>EI169/EF169-1</f>
        <v>0</v>
      </c>
      <c r="EJ170" s="303">
        <f>EG170</f>
        <v>0</v>
      </c>
      <c r="EK170" s="303">
        <f>EH170</f>
        <v>0</v>
      </c>
      <c r="EL170" s="700">
        <f>EL169/EI169-1</f>
        <v>0</v>
      </c>
      <c r="EM170" s="303">
        <f>EJ170</f>
        <v>0</v>
      </c>
      <c r="EN170" s="303">
        <f>EK170</f>
        <v>0</v>
      </c>
      <c r="EO170" s="700">
        <f>EO169/EL169-1</f>
        <v>0</v>
      </c>
      <c r="EP170" s="303">
        <f>EM170</f>
        <v>0</v>
      </c>
      <c r="EQ170" s="303">
        <f>EN170</f>
        <v>0</v>
      </c>
      <c r="ER170" s="700">
        <f>ER169/EO169-1</f>
        <v>0</v>
      </c>
      <c r="ES170" s="303">
        <f>EP170</f>
        <v>0</v>
      </c>
      <c r="ET170" s="303">
        <f>EQ170</f>
        <v>0</v>
      </c>
      <c r="EU170" s="700">
        <f>EU169/ER169-1</f>
        <v>0</v>
      </c>
      <c r="EV170" s="303">
        <f>ES170</f>
        <v>0</v>
      </c>
      <c r="EW170" s="303">
        <f>ET170</f>
        <v>0</v>
      </c>
      <c r="EX170" s="700">
        <f>EX169/EU169-1</f>
        <v>0</v>
      </c>
      <c r="EY170" s="303">
        <f>EV170</f>
        <v>0</v>
      </c>
      <c r="EZ170" s="303">
        <f>EW170</f>
        <v>0</v>
      </c>
      <c r="FA170" s="552">
        <f>FA169/EX169-1</f>
        <v>0</v>
      </c>
      <c r="FF170" s="336"/>
      <c r="FG170" s="336"/>
      <c r="FH170" s="336"/>
      <c r="FI170" s="336"/>
      <c r="FJ170" s="336"/>
      <c r="FK170" s="336"/>
    </row>
    <row r="171" spans="1:184" ht="13.35" customHeight="1">
      <c r="A171" s="760"/>
      <c r="E171" s="251"/>
      <c r="F171" s="251"/>
      <c r="G171" s="252"/>
      <c r="H171" s="251"/>
      <c r="I171" s="251"/>
      <c r="J171" s="252"/>
      <c r="K171" s="251"/>
      <c r="L171" s="251"/>
      <c r="M171" s="252"/>
      <c r="N171" s="251"/>
      <c r="O171" s="251"/>
      <c r="P171" s="252"/>
      <c r="Q171" s="251"/>
      <c r="R171" s="251"/>
      <c r="S171" s="252"/>
      <c r="T171" s="251"/>
      <c r="U171" s="251"/>
      <c r="V171" s="252"/>
      <c r="W171" s="251"/>
      <c r="X171" s="251"/>
      <c r="Y171" s="252"/>
      <c r="Z171" s="251"/>
      <c r="AA171" s="251"/>
      <c r="AB171" s="252"/>
      <c r="AC171" s="251"/>
      <c r="AD171" s="251"/>
      <c r="AE171" s="252"/>
      <c r="AF171" s="251"/>
      <c r="AG171" s="251"/>
      <c r="AH171" s="252"/>
      <c r="AI171" s="251"/>
      <c r="AJ171" s="251"/>
      <c r="AK171" s="252"/>
      <c r="AL171" s="251"/>
      <c r="AM171" s="251"/>
      <c r="AN171" s="252"/>
      <c r="AO171" s="251"/>
      <c r="AP171" s="251"/>
      <c r="AQ171" s="252"/>
      <c r="AR171" s="251"/>
      <c r="AS171" s="251"/>
      <c r="AT171" s="252"/>
      <c r="AU171" s="251"/>
      <c r="AV171" s="251"/>
      <c r="AW171" s="252"/>
      <c r="AX171" s="251"/>
      <c r="AY171" s="251"/>
      <c r="AZ171" s="252"/>
      <c r="BA171" s="251"/>
      <c r="BB171" s="251"/>
      <c r="BC171" s="252"/>
      <c r="BD171" s="251"/>
      <c r="BE171" s="251"/>
      <c r="BF171" s="252"/>
      <c r="BG171" s="251"/>
      <c r="BH171" s="251"/>
      <c r="BI171" s="252"/>
      <c r="BJ171" s="251"/>
      <c r="BK171" s="251"/>
      <c r="BL171" s="252"/>
      <c r="BM171" s="184"/>
      <c r="BN171" s="184"/>
      <c r="BO171" s="185"/>
      <c r="BP171" s="184"/>
      <c r="BQ171" s="184"/>
      <c r="BR171" s="185"/>
      <c r="BS171" s="184"/>
      <c r="BT171" s="184"/>
      <c r="BU171" s="186"/>
      <c r="BV171" s="184"/>
      <c r="BW171" s="184"/>
      <c r="BX171" s="185"/>
      <c r="BY171" s="184"/>
      <c r="BZ171" s="184"/>
      <c r="CA171" s="185"/>
      <c r="CB171" s="184"/>
      <c r="CC171" s="184"/>
      <c r="CD171" s="185"/>
      <c r="CE171" s="184"/>
      <c r="CF171" s="184"/>
      <c r="CG171" s="185"/>
      <c r="CH171" s="184"/>
      <c r="CI171" s="184"/>
      <c r="CJ171" s="185"/>
      <c r="CK171" s="184"/>
      <c r="CL171" s="184"/>
      <c r="CM171" s="185"/>
      <c r="CN171" s="184"/>
      <c r="CO171" s="184"/>
      <c r="CP171" s="185"/>
      <c r="CQ171" s="184"/>
      <c r="CR171" s="184"/>
      <c r="CS171" s="185"/>
      <c r="CT171" s="184"/>
      <c r="CU171" s="184"/>
      <c r="CV171" s="185"/>
      <c r="CW171" s="184"/>
      <c r="CX171" s="184"/>
      <c r="CY171" s="301"/>
      <c r="CZ171" s="300"/>
      <c r="DA171" s="300"/>
      <c r="DB171" s="301"/>
      <c r="DC171" s="300"/>
      <c r="DD171" s="300"/>
      <c r="DE171" s="787"/>
      <c r="DF171" s="300"/>
      <c r="DG171" s="300"/>
      <c r="DH171" s="787"/>
      <c r="DI171" s="300"/>
      <c r="DJ171" s="300"/>
      <c r="DK171" s="698"/>
      <c r="DL171" s="300"/>
      <c r="DM171" s="300"/>
      <c r="DN171" s="698"/>
      <c r="DO171" s="300"/>
      <c r="DP171" s="300"/>
      <c r="DQ171" s="739"/>
      <c r="DR171" s="300"/>
      <c r="DS171" s="300"/>
      <c r="DT171" s="743"/>
      <c r="DU171" s="300"/>
      <c r="DV171" s="300"/>
      <c r="DW171" s="743"/>
      <c r="DX171" s="300"/>
      <c r="DY171" s="300"/>
      <c r="DZ171" s="698"/>
      <c r="EA171" s="300"/>
      <c r="EB171" s="300"/>
      <c r="EC171" s="698"/>
      <c r="ED171" s="300"/>
      <c r="EE171" s="300"/>
      <c r="EF171" s="698"/>
      <c r="EG171" s="300"/>
      <c r="EH171" s="300"/>
      <c r="EI171" s="698"/>
      <c r="EJ171" s="300"/>
      <c r="EK171" s="300"/>
      <c r="EL171" s="698"/>
      <c r="EM171" s="300"/>
      <c r="EN171" s="300"/>
      <c r="EO171" s="698"/>
      <c r="EP171" s="300"/>
      <c r="EQ171" s="300"/>
      <c r="ER171" s="698"/>
      <c r="ES171" s="300"/>
      <c r="ET171" s="300"/>
      <c r="EU171" s="698"/>
      <c r="EV171" s="300"/>
      <c r="EW171" s="300"/>
      <c r="EX171" s="698"/>
      <c r="EY171" s="300"/>
      <c r="EZ171" s="300"/>
      <c r="FA171" s="502"/>
      <c r="FF171" s="336"/>
      <c r="FG171" s="336"/>
      <c r="FH171" s="336"/>
      <c r="FI171" s="336"/>
      <c r="FJ171" s="336"/>
      <c r="FK171" s="336"/>
    </row>
    <row r="172" spans="1:184" ht="13.35" customHeight="1">
      <c r="A172" s="760"/>
      <c r="C172" s="177" t="s">
        <v>443</v>
      </c>
      <c r="D172" s="294" t="s">
        <v>357</v>
      </c>
      <c r="E172" s="251"/>
      <c r="F172" s="251"/>
      <c r="G172" s="252"/>
      <c r="H172" s="251"/>
      <c r="I172" s="251"/>
      <c r="J172" s="252"/>
      <c r="K172" s="251"/>
      <c r="L172" s="251"/>
      <c r="M172" s="252"/>
      <c r="N172" s="251"/>
      <c r="O172" s="251"/>
      <c r="P172" s="252"/>
      <c r="Q172" s="251"/>
      <c r="R172" s="251"/>
      <c r="S172" s="252"/>
      <c r="T172" s="251"/>
      <c r="U172" s="251"/>
      <c r="V172" s="252"/>
      <c r="W172" s="251"/>
      <c r="X172" s="251"/>
      <c r="Y172" s="252"/>
      <c r="Z172" s="251"/>
      <c r="AA172" s="251"/>
      <c r="AB172" s="252"/>
      <c r="AC172" s="251"/>
      <c r="AD172" s="251"/>
      <c r="AE172" s="252"/>
      <c r="AF172" s="251"/>
      <c r="AG172" s="251"/>
      <c r="AH172" s="252"/>
      <c r="AI172" s="251"/>
      <c r="AJ172" s="251"/>
      <c r="AK172" s="252"/>
      <c r="AL172" s="251"/>
      <c r="AM172" s="251"/>
      <c r="AN172" s="252"/>
      <c r="AO172" s="251"/>
      <c r="AP172" s="251"/>
      <c r="AQ172" s="252"/>
      <c r="AR172" s="251"/>
      <c r="AS172" s="251"/>
      <c r="AT172" s="252"/>
      <c r="AU172" s="251"/>
      <c r="AV172" s="251"/>
      <c r="AW172" s="252"/>
      <c r="AX172" s="251"/>
      <c r="AY172" s="251"/>
      <c r="AZ172" s="252"/>
      <c r="BA172" s="251"/>
      <c r="BB172" s="251"/>
      <c r="BC172" s="252"/>
      <c r="BD172" s="251"/>
      <c r="BE172" s="251"/>
      <c r="BF172" s="252"/>
      <c r="BG172" s="251"/>
      <c r="BH172" s="251"/>
      <c r="BI172" s="252"/>
      <c r="BJ172" s="251"/>
      <c r="BK172" s="251"/>
      <c r="BL172" s="252"/>
      <c r="BM172" s="284"/>
      <c r="BN172" s="284"/>
      <c r="BO172" s="66"/>
      <c r="BP172" s="284"/>
      <c r="BQ172" s="284"/>
      <c r="BR172" s="66"/>
      <c r="BS172" s="300"/>
      <c r="BT172" s="284"/>
      <c r="BU172" s="335"/>
      <c r="BV172" s="300"/>
      <c r="BW172" s="300"/>
      <c r="BX172" s="301"/>
      <c r="BY172" s="300"/>
      <c r="BZ172" s="300"/>
      <c r="CA172" s="301"/>
      <c r="CB172" s="300"/>
      <c r="CC172" s="300"/>
      <c r="CD172" s="301"/>
      <c r="CE172" s="300"/>
      <c r="CF172" s="300"/>
      <c r="CG172" s="301"/>
      <c r="CH172" s="300"/>
      <c r="CI172" s="300"/>
      <c r="CJ172" s="301"/>
      <c r="CK172" s="300"/>
      <c r="CL172" s="300"/>
      <c r="CM172" s="301"/>
      <c r="CN172" s="300"/>
      <c r="CO172" s="300"/>
      <c r="CP172" s="301"/>
      <c r="CQ172" s="300"/>
      <c r="CR172" s="300"/>
      <c r="CS172" s="301"/>
      <c r="CT172" s="300"/>
      <c r="CU172" s="300"/>
      <c r="CV172" s="301"/>
      <c r="CW172" s="300"/>
      <c r="CX172" s="300"/>
      <c r="CY172" s="301"/>
      <c r="CZ172" s="300"/>
      <c r="DA172" s="300"/>
      <c r="DB172" s="301"/>
      <c r="DC172" s="300"/>
      <c r="DD172" s="300"/>
      <c r="DE172" s="787"/>
      <c r="DF172" s="300"/>
      <c r="DG172" s="300"/>
      <c r="DH172" s="787"/>
      <c r="DI172" s="666">
        <v>91</v>
      </c>
      <c r="DJ172" s="666">
        <v>150.13</v>
      </c>
      <c r="DK172" s="675">
        <v>241.13</v>
      </c>
      <c r="DL172" s="631">
        <f>DL169*DL133</f>
        <v>86.94</v>
      </c>
      <c r="DM172" s="631">
        <f>DM169*DM133</f>
        <v>58.087961722070069</v>
      </c>
      <c r="DN172" s="675">
        <f>SUM(DL172:DM172)</f>
        <v>145.02796172207007</v>
      </c>
      <c r="DO172" s="666">
        <f>1424-DO162</f>
        <v>118</v>
      </c>
      <c r="DP172" s="631">
        <f>+DQ172-DO172</f>
        <v>78</v>
      </c>
      <c r="DQ172" s="834">
        <f>3028-DQ162</f>
        <v>196</v>
      </c>
      <c r="DR172" s="666">
        <f>1812-DR162</f>
        <v>44</v>
      </c>
      <c r="DS172" s="631">
        <f>+DT172-DR172</f>
        <v>37</v>
      </c>
      <c r="DT172" s="834">
        <f>3705-DT162</f>
        <v>81</v>
      </c>
      <c r="DU172" s="666">
        <f>2074-DU162</f>
        <v>50</v>
      </c>
      <c r="DV172" s="631">
        <f>+DW172-DU172</f>
        <v>32</v>
      </c>
      <c r="DW172" s="834">
        <f>3986-DW162</f>
        <v>82</v>
      </c>
      <c r="DX172" s="666">
        <f>1992-DX162</f>
        <v>29</v>
      </c>
      <c r="DY172" s="631">
        <f>DY169*DY133</f>
        <v>31.174061032297871</v>
      </c>
      <c r="DZ172" s="675">
        <f>SUM(DX172:DY172)</f>
        <v>60.174061032297871</v>
      </c>
      <c r="EA172" s="631">
        <f>EA169*EA133</f>
        <v>56.858457335749051</v>
      </c>
      <c r="EB172" s="631">
        <f>EB169*EB133</f>
        <v>33.356245304558726</v>
      </c>
      <c r="EC172" s="675">
        <f>SUM(EA172:EB172)</f>
        <v>90.214702640307777</v>
      </c>
      <c r="ED172" s="631">
        <f>ED169*ED133</f>
        <v>60.838549349251487</v>
      </c>
      <c r="EE172" s="631">
        <f>EE169*EE133</f>
        <v>35.691182475877838</v>
      </c>
      <c r="EF172" s="675">
        <f>SUM(ED172:EE172)</f>
        <v>96.529731825129318</v>
      </c>
      <c r="EG172" s="631">
        <f>EG169*EG133</f>
        <v>65.097247803699091</v>
      </c>
      <c r="EH172" s="631">
        <f>EH169*EH133</f>
        <v>38.189565249189286</v>
      </c>
      <c r="EI172" s="675">
        <f>SUM(EG172:EH172)</f>
        <v>103.28681305288838</v>
      </c>
      <c r="EJ172" s="631">
        <f>EJ169*EJ133</f>
        <v>69.65405514995804</v>
      </c>
      <c r="EK172" s="631">
        <f>EK169*EK133</f>
        <v>40.862834816632542</v>
      </c>
      <c r="EL172" s="675">
        <f>SUM(EJ172:EK172)</f>
        <v>110.51688996659058</v>
      </c>
      <c r="EM172" s="631">
        <f>EM169*EM133</f>
        <v>74.529839010455106</v>
      </c>
      <c r="EN172" s="631">
        <f>EN169*EN133</f>
        <v>43.72323325379682</v>
      </c>
      <c r="EO172" s="675">
        <f>SUM(EM172:EN172)</f>
        <v>118.25307226425193</v>
      </c>
      <c r="EP172" s="631">
        <f>EP169*EP133</f>
        <v>79.746927741186965</v>
      </c>
      <c r="EQ172" s="631">
        <f>EQ169*EQ133</f>
        <v>46.783859581562602</v>
      </c>
      <c r="ER172" s="675">
        <f>SUM(EP172:EQ172)</f>
        <v>126.53078732274957</v>
      </c>
      <c r="ES172" s="631">
        <f>ES169*ES133</f>
        <v>85.329212683070068</v>
      </c>
      <c r="ET172" s="631">
        <f>ET169*ET133</f>
        <v>50.058729752271987</v>
      </c>
      <c r="EU172" s="675">
        <f>SUM(ES172:ET172)</f>
        <v>135.38794243534204</v>
      </c>
      <c r="EV172" s="631">
        <f>EV169*EV133</f>
        <v>91.302257570884976</v>
      </c>
      <c r="EW172" s="631">
        <f>EW169*EW133</f>
        <v>53.562840834931031</v>
      </c>
      <c r="EX172" s="675">
        <f>SUM(EV172:EW172)</f>
        <v>144.86509840581601</v>
      </c>
      <c r="EY172" s="631">
        <f>EY169*EY133</f>
        <v>97.693415600846919</v>
      </c>
      <c r="EZ172" s="631">
        <f>EZ169*EZ133</f>
        <v>57.312239693376199</v>
      </c>
      <c r="FA172" s="632">
        <f>SUM(EY172:EZ172)</f>
        <v>155.00565529422312</v>
      </c>
    </row>
    <row r="173" spans="1:184" ht="13.35" customHeight="1">
      <c r="A173" s="760"/>
      <c r="C173" s="177" t="s">
        <v>178</v>
      </c>
      <c r="D173" s="294" t="s">
        <v>507</v>
      </c>
      <c r="E173" s="251"/>
      <c r="F173" s="251"/>
      <c r="G173" s="252"/>
      <c r="H173" s="251"/>
      <c r="I173" s="251"/>
      <c r="J173" s="252"/>
      <c r="K173" s="251"/>
      <c r="L173" s="251"/>
      <c r="M173" s="252"/>
      <c r="N173" s="251"/>
      <c r="O173" s="251"/>
      <c r="P173" s="252"/>
      <c r="Q173" s="251"/>
      <c r="R173" s="251"/>
      <c r="S173" s="252"/>
      <c r="T173" s="251"/>
      <c r="U173" s="251"/>
      <c r="V173" s="252"/>
      <c r="W173" s="251"/>
      <c r="X173" s="251"/>
      <c r="Y173" s="252"/>
      <c r="Z173" s="251"/>
      <c r="AA173" s="251"/>
      <c r="AB173" s="252"/>
      <c r="AC173" s="251"/>
      <c r="AD173" s="251"/>
      <c r="AE173" s="252"/>
      <c r="AF173" s="251"/>
      <c r="AG173" s="251"/>
      <c r="AH173" s="252"/>
      <c r="AI173" s="251"/>
      <c r="AJ173" s="251"/>
      <c r="AK173" s="252"/>
      <c r="AL173" s="251"/>
      <c r="AM173" s="251"/>
      <c r="AN173" s="252"/>
      <c r="AO173" s="251"/>
      <c r="AP173" s="251"/>
      <c r="AQ173" s="252"/>
      <c r="AR173" s="251"/>
      <c r="AS173" s="251"/>
      <c r="AT173" s="252"/>
      <c r="AU173" s="251"/>
      <c r="AV173" s="251"/>
      <c r="AW173" s="252"/>
      <c r="AX173" s="251"/>
      <c r="AY173" s="251"/>
      <c r="AZ173" s="252"/>
      <c r="BA173" s="251"/>
      <c r="BB173" s="251"/>
      <c r="BC173" s="252"/>
      <c r="BD173" s="251"/>
      <c r="BE173" s="251"/>
      <c r="BF173" s="252"/>
      <c r="BG173" s="251"/>
      <c r="BH173" s="251"/>
      <c r="BI173" s="252"/>
      <c r="BJ173" s="251"/>
      <c r="BK173" s="251"/>
      <c r="BL173" s="252"/>
      <c r="BM173" s="184"/>
      <c r="BN173" s="184"/>
      <c r="BO173" s="185"/>
      <c r="BP173" s="184"/>
      <c r="BQ173" s="184"/>
      <c r="BR173" s="185"/>
      <c r="BS173" s="284"/>
      <c r="BT173" s="184"/>
      <c r="BU173" s="285"/>
      <c r="BV173" s="284"/>
      <c r="BW173" s="284"/>
      <c r="BX173" s="66"/>
      <c r="BY173" s="284"/>
      <c r="BZ173" s="284"/>
      <c r="CA173" s="66"/>
      <c r="CB173" s="284"/>
      <c r="CC173" s="284"/>
      <c r="CD173" s="66"/>
      <c r="CE173" s="284"/>
      <c r="CF173" s="284"/>
      <c r="CG173" s="66"/>
      <c r="CH173" s="284"/>
      <c r="CI173" s="286"/>
      <c r="CJ173" s="287"/>
      <c r="CK173" s="286"/>
      <c r="CL173" s="286"/>
      <c r="CM173" s="287"/>
      <c r="CN173" s="286"/>
      <c r="CO173" s="286"/>
      <c r="CP173" s="66"/>
      <c r="CQ173" s="284"/>
      <c r="CR173" s="284"/>
      <c r="CS173" s="66"/>
      <c r="CT173" s="284"/>
      <c r="CU173" s="284"/>
      <c r="CV173" s="66"/>
      <c r="CW173" s="284"/>
      <c r="CX173" s="284"/>
      <c r="CY173" s="306"/>
      <c r="CZ173" s="305"/>
      <c r="DA173" s="305"/>
      <c r="DB173" s="306"/>
      <c r="DC173" s="305"/>
      <c r="DD173" s="305"/>
      <c r="DE173" s="786"/>
      <c r="DF173" s="302"/>
      <c r="DG173" s="302"/>
      <c r="DH173" s="788"/>
      <c r="DI173" s="302"/>
      <c r="DJ173" s="302"/>
      <c r="DK173" s="700">
        <v>0.28260638297872331</v>
      </c>
      <c r="DL173" s="303">
        <f t="shared" ref="DL173:DT173" si="242">DL172/DI172-1</f>
        <v>-4.4615384615384612E-2</v>
      </c>
      <c r="DM173" s="303">
        <f t="shared" si="242"/>
        <v>-0.61308225056903964</v>
      </c>
      <c r="DN173" s="700">
        <f t="shared" si="242"/>
        <v>-0.39854865955264762</v>
      </c>
      <c r="DO173" s="303">
        <f t="shared" si="242"/>
        <v>0.35725787899700956</v>
      </c>
      <c r="DP173" s="303">
        <f t="shared" si="242"/>
        <v>0.3427911341286487</v>
      </c>
      <c r="DQ173" s="700">
        <f t="shared" si="242"/>
        <v>0.35146352243170975</v>
      </c>
      <c r="DR173" s="303">
        <f t="shared" si="242"/>
        <v>-0.6271186440677966</v>
      </c>
      <c r="DS173" s="303">
        <f t="shared" si="242"/>
        <v>-0.52564102564102566</v>
      </c>
      <c r="DT173" s="700">
        <f t="shared" si="242"/>
        <v>-0.58673469387755106</v>
      </c>
      <c r="DU173" s="303">
        <f t="shared" ref="DU173:FA173" si="243">DU172/DR172-1</f>
        <v>0.13636363636363646</v>
      </c>
      <c r="DV173" s="303">
        <f t="shared" si="243"/>
        <v>-0.13513513513513509</v>
      </c>
      <c r="DW173" s="700">
        <f t="shared" si="243"/>
        <v>1.2345679012345734E-2</v>
      </c>
      <c r="DX173" s="303">
        <f t="shared" si="243"/>
        <v>-0.42000000000000004</v>
      </c>
      <c r="DY173" s="303">
        <f t="shared" si="243"/>
        <v>-2.5810592740691529E-2</v>
      </c>
      <c r="DZ173" s="700">
        <f t="shared" si="243"/>
        <v>-0.26616998741100162</v>
      </c>
      <c r="EA173" s="303">
        <f t="shared" si="243"/>
        <v>0.96063645985341561</v>
      </c>
      <c r="EB173" s="303">
        <f t="shared" si="243"/>
        <v>7.0000000000000062E-2</v>
      </c>
      <c r="EC173" s="700">
        <f t="shared" si="243"/>
        <v>0.49922908796010734</v>
      </c>
      <c r="ED173" s="303">
        <f t="shared" si="243"/>
        <v>7.0000000000000062E-2</v>
      </c>
      <c r="EE173" s="303">
        <f t="shared" si="243"/>
        <v>7.0000000000000062E-2</v>
      </c>
      <c r="EF173" s="700">
        <f t="shared" si="243"/>
        <v>7.0000000000000062E-2</v>
      </c>
      <c r="EG173" s="303">
        <f t="shared" si="243"/>
        <v>7.0000000000000062E-2</v>
      </c>
      <c r="EH173" s="303">
        <f t="shared" si="243"/>
        <v>7.0000000000000062E-2</v>
      </c>
      <c r="EI173" s="700">
        <f t="shared" si="243"/>
        <v>7.0000000000000062E-2</v>
      </c>
      <c r="EJ173" s="303">
        <f t="shared" si="243"/>
        <v>7.0000000000000284E-2</v>
      </c>
      <c r="EK173" s="303">
        <f t="shared" si="243"/>
        <v>7.0000000000000062E-2</v>
      </c>
      <c r="EL173" s="700">
        <f t="shared" si="243"/>
        <v>7.0000000000000284E-2</v>
      </c>
      <c r="EM173" s="303">
        <f t="shared" si="243"/>
        <v>7.0000000000000062E-2</v>
      </c>
      <c r="EN173" s="303">
        <f t="shared" si="243"/>
        <v>7.0000000000000062E-2</v>
      </c>
      <c r="EO173" s="700">
        <f t="shared" si="243"/>
        <v>7.0000000000000062E-2</v>
      </c>
      <c r="EP173" s="303">
        <f t="shared" si="243"/>
        <v>7.0000000000000062E-2</v>
      </c>
      <c r="EQ173" s="303">
        <f t="shared" si="243"/>
        <v>7.0000000000000062E-2</v>
      </c>
      <c r="ER173" s="700">
        <f t="shared" si="243"/>
        <v>7.0000000000000062E-2</v>
      </c>
      <c r="ES173" s="303">
        <f t="shared" si="243"/>
        <v>7.0000000000000284E-2</v>
      </c>
      <c r="ET173" s="303">
        <f t="shared" si="243"/>
        <v>7.0000000000000062E-2</v>
      </c>
      <c r="EU173" s="700">
        <f t="shared" si="243"/>
        <v>7.0000000000000062E-2</v>
      </c>
      <c r="EV173" s="303">
        <f t="shared" si="243"/>
        <v>7.0000000000000062E-2</v>
      </c>
      <c r="EW173" s="303">
        <f t="shared" si="243"/>
        <v>7.0000000000000062E-2</v>
      </c>
      <c r="EX173" s="700">
        <f t="shared" si="243"/>
        <v>7.0000000000000284E-2</v>
      </c>
      <c r="EY173" s="303">
        <f t="shared" si="243"/>
        <v>6.999999999999984E-2</v>
      </c>
      <c r="EZ173" s="303">
        <f t="shared" si="243"/>
        <v>6.999999999999984E-2</v>
      </c>
      <c r="FA173" s="552">
        <f t="shared" si="243"/>
        <v>6.999999999999984E-2</v>
      </c>
    </row>
    <row r="174" spans="1:184" ht="13.35" customHeight="1">
      <c r="A174" s="760"/>
      <c r="E174" s="251"/>
      <c r="F174" s="251"/>
      <c r="G174" s="252"/>
      <c r="H174" s="251"/>
      <c r="I174" s="251"/>
      <c r="J174" s="252"/>
      <c r="K174" s="251"/>
      <c r="L174" s="251"/>
      <c r="M174" s="252"/>
      <c r="N174" s="251"/>
      <c r="O174" s="251"/>
      <c r="P174" s="252"/>
      <c r="Q174" s="251"/>
      <c r="R174" s="251"/>
      <c r="S174" s="252"/>
      <c r="T174" s="251"/>
      <c r="U174" s="251"/>
      <c r="V174" s="252"/>
      <c r="W174" s="251"/>
      <c r="X174" s="251"/>
      <c r="Y174" s="252"/>
      <c r="Z174" s="251"/>
      <c r="AA174" s="251"/>
      <c r="AB174" s="252"/>
      <c r="AC174" s="251"/>
      <c r="AD174" s="251"/>
      <c r="AE174" s="252"/>
      <c r="AF174" s="251"/>
      <c r="AG174" s="251"/>
      <c r="AH174" s="252"/>
      <c r="AI174" s="251"/>
      <c r="AJ174" s="251"/>
      <c r="AK174" s="252"/>
      <c r="AL174" s="251"/>
      <c r="AM174" s="251"/>
      <c r="AN174" s="252"/>
      <c r="AO174" s="251"/>
      <c r="AP174" s="251"/>
      <c r="AQ174" s="252"/>
      <c r="AR174" s="251"/>
      <c r="AS174" s="251"/>
      <c r="AT174" s="252"/>
      <c r="AU174" s="251"/>
      <c r="AV174" s="251"/>
      <c r="AW174" s="252"/>
      <c r="AX174" s="251"/>
      <c r="AY174" s="251"/>
      <c r="AZ174" s="252"/>
      <c r="BA174" s="251"/>
      <c r="BB174" s="251"/>
      <c r="BC174" s="252"/>
      <c r="BD174" s="251"/>
      <c r="BE174" s="251"/>
      <c r="BF174" s="252"/>
      <c r="BG174" s="251"/>
      <c r="BH174" s="251"/>
      <c r="BI174" s="252"/>
      <c r="BJ174" s="251"/>
      <c r="BK174" s="251"/>
      <c r="BL174" s="252"/>
      <c r="BM174" s="284"/>
      <c r="BN174" s="284"/>
      <c r="BO174" s="66"/>
      <c r="BP174" s="284"/>
      <c r="BQ174" s="284"/>
      <c r="BR174" s="66"/>
      <c r="BS174" s="284"/>
      <c r="BT174" s="284"/>
      <c r="BU174" s="285"/>
      <c r="BV174" s="284"/>
      <c r="BW174" s="284"/>
      <c r="BX174" s="66"/>
      <c r="BY174" s="284"/>
      <c r="BZ174" s="284"/>
      <c r="CA174" s="66"/>
      <c r="CB174" s="284"/>
      <c r="CC174" s="284"/>
      <c r="CD174" s="66"/>
      <c r="CE174" s="284"/>
      <c r="CF174" s="284"/>
      <c r="CG174" s="66"/>
      <c r="CH174" s="284"/>
      <c r="CI174" s="286"/>
      <c r="CJ174" s="287"/>
      <c r="CK174" s="286"/>
      <c r="CL174" s="286"/>
      <c r="CM174" s="287"/>
      <c r="CN174" s="286"/>
      <c r="CO174" s="286"/>
      <c r="CP174" s="66"/>
      <c r="CQ174" s="284"/>
      <c r="CR174" s="284"/>
      <c r="CS174" s="66"/>
      <c r="CT174" s="284"/>
      <c r="CU174" s="284"/>
      <c r="CV174" s="66"/>
      <c r="CW174" s="284"/>
      <c r="CX174" s="284"/>
      <c r="CY174" s="306"/>
      <c r="CZ174" s="553"/>
      <c r="DA174" s="305"/>
      <c r="DB174" s="306"/>
      <c r="DC174" s="305"/>
      <c r="DD174" s="305"/>
      <c r="DE174" s="786"/>
      <c r="DF174" s="305"/>
      <c r="DG174" s="305"/>
      <c r="DH174" s="786"/>
      <c r="DI174" s="305"/>
      <c r="DJ174" s="305"/>
      <c r="DK174" s="699"/>
      <c r="DL174" s="554"/>
      <c r="DM174" s="305"/>
      <c r="DN174" s="699"/>
      <c r="DO174" s="305"/>
      <c r="DP174" s="305"/>
      <c r="DQ174" s="699"/>
      <c r="DR174" s="305"/>
      <c r="DS174" s="305"/>
      <c r="DT174" s="699"/>
      <c r="DU174" s="305"/>
      <c r="DV174" s="305"/>
      <c r="DW174" s="699"/>
      <c r="DX174" s="305"/>
      <c r="DY174" s="1872"/>
      <c r="DZ174" s="699"/>
      <c r="EA174" s="305"/>
      <c r="EB174" s="305"/>
      <c r="EC174" s="699"/>
      <c r="ED174" s="305"/>
      <c r="EE174" s="305"/>
      <c r="EF174" s="699"/>
      <c r="EG174" s="305"/>
      <c r="EH174" s="305"/>
      <c r="EI174" s="699"/>
      <c r="EJ174" s="305"/>
      <c r="EK174" s="305"/>
      <c r="EL174" s="699"/>
      <c r="EM174" s="305"/>
      <c r="EN174" s="305"/>
      <c r="EO174" s="699"/>
      <c r="EP174" s="305"/>
      <c r="EQ174" s="305"/>
      <c r="ER174" s="699"/>
      <c r="ES174" s="305"/>
      <c r="ET174" s="305"/>
      <c r="EU174" s="699"/>
      <c r="EV174" s="305"/>
      <c r="EW174" s="305"/>
      <c r="EX174" s="699"/>
      <c r="EY174" s="305"/>
      <c r="EZ174" s="305"/>
      <c r="FA174" s="545"/>
    </row>
    <row r="175" spans="1:184" ht="13.35" customHeight="1">
      <c r="A175" s="760" t="s">
        <v>290</v>
      </c>
      <c r="B175" s="4"/>
      <c r="C175" s="5" t="s">
        <v>860</v>
      </c>
      <c r="D175" s="250" t="s">
        <v>357</v>
      </c>
      <c r="E175" s="251"/>
      <c r="F175" s="251"/>
      <c r="G175" s="252"/>
      <c r="H175" s="251"/>
      <c r="I175" s="251"/>
      <c r="J175" s="252"/>
      <c r="K175" s="251"/>
      <c r="L175" s="251"/>
      <c r="M175" s="252"/>
      <c r="N175" s="251"/>
      <c r="O175" s="251"/>
      <c r="P175" s="252"/>
      <c r="Q175" s="251"/>
      <c r="R175" s="251"/>
      <c r="S175" s="252"/>
      <c r="T175" s="251"/>
      <c r="U175" s="251"/>
      <c r="V175" s="252"/>
      <c r="W175" s="251"/>
      <c r="X175" s="251"/>
      <c r="Y175" s="252"/>
      <c r="Z175" s="251"/>
      <c r="AA175" s="251"/>
      <c r="AB175" s="252"/>
      <c r="AC175" s="251"/>
      <c r="AD175" s="251"/>
      <c r="AE175" s="252"/>
      <c r="AF175" s="251"/>
      <c r="AG175" s="251"/>
      <c r="AH175" s="252"/>
      <c r="AI175" s="251"/>
      <c r="AJ175" s="251"/>
      <c r="AK175" s="252"/>
      <c r="AL175" s="251"/>
      <c r="AM175" s="251"/>
      <c r="AN175" s="252"/>
      <c r="AO175" s="251"/>
      <c r="AP175" s="251"/>
      <c r="AQ175" s="252"/>
      <c r="AR175" s="251"/>
      <c r="AS175" s="251"/>
      <c r="AT175" s="252"/>
      <c r="AU175" s="251"/>
      <c r="AV175" s="251"/>
      <c r="AW175" s="252"/>
      <c r="AX175" s="251"/>
      <c r="AY175" s="251"/>
      <c r="AZ175" s="252"/>
      <c r="BA175" s="251"/>
      <c r="BB175" s="251"/>
      <c r="BC175" s="252"/>
      <c r="BD175" s="251"/>
      <c r="BE175" s="251"/>
      <c r="BF175" s="252"/>
      <c r="BG175" s="251"/>
      <c r="BH175" s="251"/>
      <c r="BI175" s="252"/>
      <c r="BJ175" s="251"/>
      <c r="BK175" s="251"/>
      <c r="BL175" s="252"/>
      <c r="BM175" s="282"/>
      <c r="BN175" s="282"/>
      <c r="BO175" s="252"/>
      <c r="BP175" s="311"/>
      <c r="BQ175" s="311"/>
      <c r="BR175" s="311"/>
      <c r="BS175" s="337"/>
      <c r="BT175" s="311"/>
      <c r="BU175" s="338"/>
      <c r="BV175" s="337"/>
      <c r="BW175" s="337"/>
      <c r="BX175" s="339"/>
      <c r="BY175" s="337"/>
      <c r="BZ175" s="337"/>
      <c r="CA175" s="339"/>
      <c r="CB175" s="337"/>
      <c r="CC175" s="337"/>
      <c r="CD175" s="339"/>
      <c r="CE175" s="340"/>
      <c r="CF175" s="337"/>
      <c r="CG175" s="339"/>
      <c r="CH175" s="337"/>
      <c r="CI175" s="337"/>
      <c r="CJ175" s="339"/>
      <c r="CK175" s="337"/>
      <c r="CL175" s="337"/>
      <c r="CM175" s="341"/>
      <c r="CN175" s="337"/>
      <c r="CO175" s="337"/>
      <c r="CP175" s="341"/>
      <c r="CQ175" s="337"/>
      <c r="CR175" s="337"/>
      <c r="CS175" s="341"/>
      <c r="CT175" s="337"/>
      <c r="CU175" s="337"/>
      <c r="CV175" s="341"/>
      <c r="CW175" s="337"/>
      <c r="CX175" s="337"/>
      <c r="CY175" s="555"/>
      <c r="CZ175" s="553"/>
      <c r="DA175" s="553"/>
      <c r="DB175" s="555"/>
      <c r="DC175" s="553"/>
      <c r="DD175" s="553"/>
      <c r="DE175" s="792"/>
      <c r="DF175" s="553"/>
      <c r="DG175" s="553"/>
      <c r="DH175" s="792"/>
      <c r="DI175" s="646">
        <f>DI172+DI166</f>
        <v>2248.0256347644754</v>
      </c>
      <c r="DJ175" s="646">
        <f>DJ172+DJ166</f>
        <v>2231.1237854531682</v>
      </c>
      <c r="DK175" s="775">
        <v>4479.1494202176436</v>
      </c>
      <c r="DL175" s="646">
        <f>DL172+DL166</f>
        <v>2063.7499258760886</v>
      </c>
      <c r="DM175" s="646">
        <f>DM172+DM166</f>
        <v>2105.2780358459813</v>
      </c>
      <c r="DN175" s="674">
        <f>SUM(DL175:DM175)</f>
        <v>4169.0279617220694</v>
      </c>
      <c r="DO175" s="646">
        <f>DO172+DO166</f>
        <v>2225</v>
      </c>
      <c r="DP175" s="646">
        <f>DP172+DP166</f>
        <v>2450</v>
      </c>
      <c r="DQ175" s="674">
        <f>SUM(DO175:DP175)</f>
        <v>4675</v>
      </c>
      <c r="DR175" s="646">
        <f>DR172+DR166</f>
        <v>2757</v>
      </c>
      <c r="DS175" s="646">
        <f>DS172+DS166</f>
        <v>2909</v>
      </c>
      <c r="DT175" s="674">
        <f>SUM(DR175:DS175)</f>
        <v>5666</v>
      </c>
      <c r="DU175" s="646">
        <f>DU172+DU166</f>
        <v>3174</v>
      </c>
      <c r="DV175" s="646">
        <f>DV172+DV166</f>
        <v>2890</v>
      </c>
      <c r="DW175" s="674">
        <f>SUM(DU175:DV175)</f>
        <v>6064</v>
      </c>
      <c r="DX175" s="646">
        <f>DX172+DX166</f>
        <v>3046</v>
      </c>
      <c r="DY175" s="646">
        <f>DY172+DY166</f>
        <v>3289.294061032298</v>
      </c>
      <c r="DZ175" s="674">
        <f>SUM(DX175:DY175)</f>
        <v>6335.2940610322985</v>
      </c>
      <c r="EA175" s="646">
        <f>EA172+EA166</f>
        <v>3330.3034573357486</v>
      </c>
      <c r="EB175" s="646">
        <f>EB172+EB166</f>
        <v>3568.4164453045591</v>
      </c>
      <c r="EC175" s="674">
        <f>SUM(EA175:EB175)</f>
        <v>6898.7199026403077</v>
      </c>
      <c r="ED175" s="646">
        <f>ED172+ED166</f>
        <v>3580.9376300992508</v>
      </c>
      <c r="EE175" s="646">
        <f>EE172+EE166</f>
        <v>3837.1181685458782</v>
      </c>
      <c r="EF175" s="674">
        <f>SUM(ED175:EE175)</f>
        <v>7418.0557986451295</v>
      </c>
      <c r="EG175" s="646">
        <f>EG172+EG166</f>
        <v>3850.4357942882107</v>
      </c>
      <c r="EH175" s="646">
        <f>EH172+EH166</f>
        <v>4126.0540747195637</v>
      </c>
      <c r="EI175" s="674">
        <f>SUM(EG175:EH175)</f>
        <v>7976.4898690077744</v>
      </c>
      <c r="EJ175" s="646">
        <f>EJ172+EJ166</f>
        <v>4127.0412569748196</v>
      </c>
      <c r="EK175" s="646">
        <f>EK172+EK166</f>
        <v>4422.361741500983</v>
      </c>
      <c r="EL175" s="674">
        <f>SUM(EJ175:EK175)</f>
        <v>8549.4029984758017</v>
      </c>
      <c r="EM175" s="646">
        <f>EM172+EM166</f>
        <v>4423.5422000659537</v>
      </c>
      <c r="EN175" s="646">
        <f>EN172+EN166</f>
        <v>4739.9748554319749</v>
      </c>
      <c r="EO175" s="674">
        <f>SUM(EM175:EN175)</f>
        <v>9163.5170554979286</v>
      </c>
      <c r="EP175" s="646">
        <f>EP172+EP166</f>
        <v>4741.3714761254714</v>
      </c>
      <c r="EQ175" s="646">
        <f>EQ172+EQ166</f>
        <v>5080.4272884672882</v>
      </c>
      <c r="ER175" s="674">
        <f>SUM(EP175:EQ175)</f>
        <v>9821.7987645927606</v>
      </c>
      <c r="ES175" s="646">
        <f>ES172+ES166</f>
        <v>5082.0652641259903</v>
      </c>
      <c r="ET175" s="646">
        <f>ET172+ET166</f>
        <v>5445.3634852693076</v>
      </c>
      <c r="EU175" s="674">
        <f>SUM(ES175:ET175)</f>
        <v>10527.428749395298</v>
      </c>
      <c r="EV175" s="646">
        <f>EV172+EV166</f>
        <v>5447.2705303615621</v>
      </c>
      <c r="EW175" s="646">
        <f>EW172+EW166</f>
        <v>5836.5464445434818</v>
      </c>
      <c r="EX175" s="674">
        <f>SUM(EV175:EW175)</f>
        <v>11283.816974905043</v>
      </c>
      <c r="EY175" s="646">
        <f>EY172+EY166</f>
        <v>5838.753028808841</v>
      </c>
      <c r="EZ175" s="646">
        <f>EZ172+EZ166</f>
        <v>6255.8662772451025</v>
      </c>
      <c r="FA175" s="776">
        <f>SUM(EY175:EZ175)</f>
        <v>12094.619306053944</v>
      </c>
    </row>
    <row r="176" spans="1:184" ht="13.35" customHeight="1">
      <c r="A176" s="760"/>
      <c r="B176" s="4"/>
      <c r="C176" s="4" t="s">
        <v>178</v>
      </c>
      <c r="D176" s="250" t="s">
        <v>507</v>
      </c>
      <c r="E176" s="251"/>
      <c r="F176" s="251"/>
      <c r="G176" s="252"/>
      <c r="H176" s="251"/>
      <c r="I176" s="251"/>
      <c r="J176" s="252"/>
      <c r="K176" s="251"/>
      <c r="L176" s="251"/>
      <c r="M176" s="252"/>
      <c r="N176" s="251"/>
      <c r="O176" s="251"/>
      <c r="P176" s="252"/>
      <c r="Q176" s="251"/>
      <c r="R176" s="251"/>
      <c r="S176" s="252"/>
      <c r="T176" s="251"/>
      <c r="U176" s="251"/>
      <c r="V176" s="252"/>
      <c r="W176" s="251"/>
      <c r="X176" s="251"/>
      <c r="Y176" s="252"/>
      <c r="Z176" s="251"/>
      <c r="AA176" s="251"/>
      <c r="AB176" s="252"/>
      <c r="AC176" s="251"/>
      <c r="AD176" s="251"/>
      <c r="AE176" s="252"/>
      <c r="AF176" s="251"/>
      <c r="AG176" s="251"/>
      <c r="AH176" s="252"/>
      <c r="AI176" s="251"/>
      <c r="AJ176" s="251"/>
      <c r="AK176" s="252"/>
      <c r="AL176" s="251"/>
      <c r="AM176" s="251"/>
      <c r="AN176" s="252"/>
      <c r="AO176" s="251"/>
      <c r="AP176" s="251"/>
      <c r="AQ176" s="252"/>
      <c r="AR176" s="251"/>
      <c r="AS176" s="251"/>
      <c r="AT176" s="252"/>
      <c r="AU176" s="251"/>
      <c r="AV176" s="251"/>
      <c r="AW176" s="252"/>
      <c r="AX176" s="251"/>
      <c r="AY176" s="251"/>
      <c r="AZ176" s="4"/>
      <c r="BA176" s="251"/>
      <c r="BB176" s="251"/>
      <c r="BC176" s="4"/>
      <c r="BD176" s="198"/>
      <c r="BE176" s="198"/>
      <c r="BF176" s="79"/>
      <c r="BG176" s="198"/>
      <c r="BH176" s="198"/>
      <c r="BI176" s="79"/>
      <c r="BJ176" s="198"/>
      <c r="BK176" s="198"/>
      <c r="BL176" s="79"/>
      <c r="BM176" s="198"/>
      <c r="BN176" s="198"/>
      <c r="BO176" s="79"/>
      <c r="BP176" s="284"/>
      <c r="BQ176" s="284"/>
      <c r="BR176" s="66"/>
      <c r="BS176" s="284"/>
      <c r="BT176" s="284"/>
      <c r="BU176" s="285"/>
      <c r="BV176" s="284"/>
      <c r="BW176" s="284"/>
      <c r="BX176" s="66"/>
      <c r="BY176" s="284"/>
      <c r="BZ176" s="284"/>
      <c r="CA176" s="66"/>
      <c r="CB176" s="284"/>
      <c r="CC176" s="284"/>
      <c r="CD176" s="66"/>
      <c r="CE176" s="284"/>
      <c r="CF176" s="284"/>
      <c r="CG176" s="66"/>
      <c r="CH176" s="284"/>
      <c r="CI176" s="284"/>
      <c r="CJ176" s="66"/>
      <c r="CK176" s="284"/>
      <c r="CL176" s="284"/>
      <c r="CM176" s="66"/>
      <c r="CN176" s="284"/>
      <c r="CO176" s="284"/>
      <c r="CP176" s="66"/>
      <c r="CQ176" s="284"/>
      <c r="CR176" s="284"/>
      <c r="CS176" s="66"/>
      <c r="CT176" s="284"/>
      <c r="CU176" s="284"/>
      <c r="CV176" s="66"/>
      <c r="CW176" s="284"/>
      <c r="CX176" s="284"/>
      <c r="CY176" s="306"/>
      <c r="CZ176" s="305"/>
      <c r="DA176" s="305"/>
      <c r="DB176" s="306"/>
      <c r="DC176" s="305"/>
      <c r="DD176" s="305"/>
      <c r="DE176" s="786"/>
      <c r="DF176" s="305"/>
      <c r="DG176" s="305"/>
      <c r="DH176" s="786"/>
      <c r="DI176" s="833">
        <v>7.6125244023205418E-2</v>
      </c>
      <c r="DJ176" s="833">
        <v>5.59033522675636E-2</v>
      </c>
      <c r="DK176" s="699">
        <v>6.5956548806694881E-2</v>
      </c>
      <c r="DL176" s="306">
        <f t="shared" ref="DL176:EL176" si="244">DL175/DI175-1</f>
        <v>-8.1972245351060402E-2</v>
      </c>
      <c r="DM176" s="306">
        <f t="shared" si="244"/>
        <v>-5.6404647033793331E-2</v>
      </c>
      <c r="DN176" s="699">
        <f t="shared" si="244"/>
        <v>-6.9236685227729078E-2</v>
      </c>
      <c r="DO176" s="306">
        <f t="shared" si="244"/>
        <v>7.8134502684698459E-2</v>
      </c>
      <c r="DP176" s="306">
        <f t="shared" si="244"/>
        <v>0.16374177580563432</v>
      </c>
      <c r="DQ176" s="699">
        <f t="shared" si="244"/>
        <v>0.12136451060619224</v>
      </c>
      <c r="DR176" s="306">
        <f t="shared" si="244"/>
        <v>0.23910112359550562</v>
      </c>
      <c r="DS176" s="306">
        <f t="shared" si="244"/>
        <v>0.18734693877551023</v>
      </c>
      <c r="DT176" s="699">
        <f t="shared" si="244"/>
        <v>0.21197860962566839</v>
      </c>
      <c r="DU176" s="306">
        <f t="shared" si="244"/>
        <v>0.15125136017410235</v>
      </c>
      <c r="DV176" s="306">
        <f>DV175/DS175-1</f>
        <v>-6.5314541079408706E-3</v>
      </c>
      <c r="DW176" s="699">
        <f>DW175/DT175-1</f>
        <v>7.0243558065654854E-2</v>
      </c>
      <c r="DX176" s="306">
        <f t="shared" si="244"/>
        <v>-4.0327662255828622E-2</v>
      </c>
      <c r="DY176" s="306">
        <f t="shared" si="244"/>
        <v>0.13816403495927276</v>
      </c>
      <c r="DZ176" s="1906">
        <f t="shared" si="244"/>
        <v>4.4738466529072873E-2</v>
      </c>
      <c r="EA176" s="306">
        <f t="shared" si="244"/>
        <v>9.3336657037343507E-2</v>
      </c>
      <c r="EB176" s="306">
        <f t="shared" si="244"/>
        <v>8.4857838518901607E-2</v>
      </c>
      <c r="EC176" s="699">
        <f t="shared" si="244"/>
        <v>8.8934441902796646E-2</v>
      </c>
      <c r="ED176" s="306">
        <f t="shared" si="244"/>
        <v>7.5258659150541751E-2</v>
      </c>
      <c r="EE176" s="306">
        <f t="shared" si="244"/>
        <v>7.5299990166474373E-2</v>
      </c>
      <c r="EF176" s="699">
        <f t="shared" si="244"/>
        <v>7.528003793951088E-2</v>
      </c>
      <c r="EG176" s="306">
        <f t="shared" si="244"/>
        <v>7.5259105862028219E-2</v>
      </c>
      <c r="EH176" s="306">
        <f t="shared" si="244"/>
        <v>7.5300236657340536E-2</v>
      </c>
      <c r="EI176" s="699">
        <f t="shared" si="244"/>
        <v>7.5280381480096192E-2</v>
      </c>
      <c r="EJ176" s="306">
        <f t="shared" si="244"/>
        <v>7.1837443204981977E-2</v>
      </c>
      <c r="EK176" s="306">
        <f t="shared" si="244"/>
        <v>7.1813810826402813E-2</v>
      </c>
      <c r="EL176" s="699">
        <f t="shared" si="244"/>
        <v>7.1825218721088158E-2</v>
      </c>
      <c r="EM176" s="306">
        <f t="shared" ref="EM176:FA176" si="245">EM175/EJ175-1</f>
        <v>7.1843464755783293E-2</v>
      </c>
      <c r="EN176" s="306">
        <f t="shared" si="245"/>
        <v>7.1819795054393509E-2</v>
      </c>
      <c r="EO176" s="699">
        <f t="shared" si="245"/>
        <v>7.1831221095977282E-2</v>
      </c>
      <c r="EP176" s="306">
        <f t="shared" si="245"/>
        <v>7.184949564961296E-2</v>
      </c>
      <c r="EQ176" s="306">
        <f t="shared" si="245"/>
        <v>7.1825788832013959E-2</v>
      </c>
      <c r="ER176" s="699">
        <f t="shared" si="245"/>
        <v>7.183723292137878E-2</v>
      </c>
      <c r="ES176" s="306">
        <f t="shared" si="245"/>
        <v>7.1855535833046602E-2</v>
      </c>
      <c r="ET176" s="306">
        <f t="shared" si="245"/>
        <v>7.1831792107414749E-2</v>
      </c>
      <c r="EU176" s="699">
        <f t="shared" si="245"/>
        <v>7.1843254144679625E-2</v>
      </c>
      <c r="EV176" s="306">
        <f t="shared" si="245"/>
        <v>7.186158525226638E-2</v>
      </c>
      <c r="EW176" s="306">
        <f t="shared" si="245"/>
        <v>7.1837804828345231E-2</v>
      </c>
      <c r="EX176" s="699">
        <f t="shared" si="245"/>
        <v>7.1849284712868888E-2</v>
      </c>
      <c r="EY176" s="306">
        <f t="shared" si="245"/>
        <v>7.1867643853057217E-2</v>
      </c>
      <c r="EZ176" s="306">
        <f t="shared" si="245"/>
        <v>7.1843826942153077E-2</v>
      </c>
      <c r="FA176" s="545">
        <f t="shared" si="245"/>
        <v>7.1855324572536627E-2</v>
      </c>
    </row>
    <row r="177" spans="1:184" s="350" customFormat="1" ht="13.35" customHeight="1">
      <c r="A177" s="760"/>
      <c r="B177" s="342"/>
      <c r="C177" s="342"/>
      <c r="D177" s="343"/>
      <c r="E177" s="342"/>
      <c r="F177" s="342"/>
      <c r="G177" s="342"/>
      <c r="H177" s="342"/>
      <c r="I177" s="342"/>
      <c r="J177" s="342"/>
      <c r="K177" s="342"/>
      <c r="L177" s="342"/>
      <c r="M177" s="342"/>
      <c r="N177" s="342"/>
      <c r="O177" s="342"/>
      <c r="P177" s="342"/>
      <c r="Q177" s="342"/>
      <c r="R177" s="342"/>
      <c r="S177" s="342"/>
      <c r="T177" s="342"/>
      <c r="U177" s="342"/>
      <c r="V177" s="342"/>
      <c r="W177" s="342"/>
      <c r="X177" s="342"/>
      <c r="Y177" s="342"/>
      <c r="Z177" s="342"/>
      <c r="AA177" s="342"/>
      <c r="AB177" s="342"/>
      <c r="AC177" s="342"/>
      <c r="AD177" s="342"/>
      <c r="AE177" s="342"/>
      <c r="AF177" s="342"/>
      <c r="AG177" s="342"/>
      <c r="AH177" s="342"/>
      <c r="AI177" s="342"/>
      <c r="AJ177" s="342"/>
      <c r="AK177" s="342"/>
      <c r="AL177" s="342"/>
      <c r="AM177" s="342"/>
      <c r="AN177" s="342"/>
      <c r="AO177" s="342"/>
      <c r="AP177" s="342"/>
      <c r="AQ177" s="342"/>
      <c r="AR177" s="342"/>
      <c r="AS177" s="342"/>
      <c r="AT177" s="342"/>
      <c r="AU177" s="342"/>
      <c r="AV177" s="342"/>
      <c r="AW177" s="342"/>
      <c r="AX177" s="342"/>
      <c r="AY177" s="342"/>
      <c r="AZ177" s="342"/>
      <c r="BA177" s="342"/>
      <c r="BB177" s="342"/>
      <c r="BC177" s="342"/>
      <c r="BD177" s="342"/>
      <c r="BE177" s="342"/>
      <c r="BF177" s="342"/>
      <c r="BG177" s="342"/>
      <c r="BH177" s="342"/>
      <c r="BI177" s="342"/>
      <c r="BJ177" s="342"/>
      <c r="BK177" s="342"/>
      <c r="BL177" s="342"/>
      <c r="BM177" s="344"/>
      <c r="BN177" s="344"/>
      <c r="BO177" s="342"/>
      <c r="BP177" s="345"/>
      <c r="BQ177" s="345"/>
      <c r="BR177" s="345"/>
      <c r="BS177" s="346"/>
      <c r="BT177" s="345"/>
      <c r="BU177" s="346"/>
      <c r="BV177" s="346"/>
      <c r="BW177" s="346"/>
      <c r="BX177" s="346"/>
      <c r="BY177" s="346"/>
      <c r="BZ177" s="346"/>
      <c r="CA177" s="346"/>
      <c r="CB177" s="346"/>
      <c r="CC177" s="346"/>
      <c r="CD177" s="346"/>
      <c r="CE177" s="347"/>
      <c r="CF177" s="346"/>
      <c r="CG177" s="346"/>
      <c r="CH177" s="346"/>
      <c r="CI177" s="346"/>
      <c r="CJ177" s="346"/>
      <c r="CK177" s="346"/>
      <c r="CL177" s="346"/>
      <c r="CM177" s="346"/>
      <c r="CN177" s="346"/>
      <c r="CO177" s="346"/>
      <c r="CP177" s="348"/>
      <c r="CQ177" s="346"/>
      <c r="CR177" s="346"/>
      <c r="CS177" s="346"/>
      <c r="CT177" s="346"/>
      <c r="CU177" s="346"/>
      <c r="CV177" s="346"/>
      <c r="CW177" s="346"/>
      <c r="CX177" s="346"/>
      <c r="CY177" s="556"/>
      <c r="CZ177" s="556"/>
      <c r="DA177" s="556"/>
      <c r="DB177" s="556"/>
      <c r="DC177" s="556"/>
      <c r="DD177" s="556"/>
      <c r="DE177" s="793"/>
      <c r="DF177" s="10"/>
      <c r="DG177" s="10"/>
      <c r="DH177" s="67"/>
      <c r="DI177" s="10"/>
      <c r="DJ177" s="10"/>
      <c r="DK177" s="691"/>
      <c r="DL177" s="10"/>
      <c r="DM177" s="10"/>
      <c r="DN177" s="691"/>
      <c r="DO177" s="10"/>
      <c r="DP177" s="10"/>
      <c r="DQ177" s="691"/>
      <c r="DR177" s="10"/>
      <c r="DS177" s="10"/>
      <c r="DT177" s="691"/>
      <c r="DU177" s="10"/>
      <c r="DV177" s="10"/>
      <c r="DW177" s="691"/>
      <c r="DX177" s="10"/>
      <c r="DY177" s="556"/>
      <c r="DZ177" s="1874"/>
      <c r="EA177" s="556"/>
      <c r="EB177" s="556"/>
      <c r="EC177" s="704"/>
      <c r="ED177" s="556"/>
      <c r="EE177" s="556"/>
      <c r="EF177" s="704"/>
      <c r="EG177" s="556"/>
      <c r="EH177" s="556"/>
      <c r="EI177" s="704"/>
      <c r="EJ177" s="556"/>
      <c r="EK177" s="556"/>
      <c r="EL177" s="704"/>
      <c r="EM177" s="556"/>
      <c r="EN177" s="556"/>
      <c r="EO177" s="704"/>
      <c r="EP177" s="556"/>
      <c r="EQ177" s="556"/>
      <c r="ER177" s="704"/>
      <c r="ES177" s="556"/>
      <c r="ET177" s="556"/>
      <c r="EU177" s="704"/>
      <c r="EV177" s="556"/>
      <c r="EW177" s="556"/>
      <c r="EX177" s="704"/>
      <c r="EY177" s="556"/>
      <c r="EZ177" s="556"/>
      <c r="FA177" s="557"/>
      <c r="FB177" s="349"/>
      <c r="FC177" s="349"/>
      <c r="FD177" s="349"/>
      <c r="FE177" s="349"/>
      <c r="FF177" s="349"/>
      <c r="FG177" s="349"/>
      <c r="FH177" s="349"/>
      <c r="FI177" s="349"/>
      <c r="FJ177" s="349"/>
      <c r="FK177" s="349"/>
      <c r="FL177" s="349"/>
      <c r="FM177" s="349"/>
      <c r="FN177" s="349"/>
      <c r="FO177" s="349"/>
      <c r="FP177" s="349"/>
      <c r="FQ177" s="349"/>
      <c r="FR177" s="349"/>
      <c r="FS177" s="349"/>
      <c r="FT177" s="349"/>
      <c r="FU177" s="349"/>
      <c r="FV177" s="349"/>
      <c r="FW177" s="349"/>
      <c r="FX177" s="349"/>
      <c r="FY177" s="349"/>
      <c r="FZ177" s="349"/>
      <c r="GA177" s="349"/>
      <c r="GB177" s="349"/>
    </row>
    <row r="178" spans="1:184" ht="12.75" customHeight="1">
      <c r="A178" s="760"/>
      <c r="B178" s="4"/>
      <c r="C178" s="4" t="s">
        <v>220</v>
      </c>
      <c r="D178" s="250" t="s">
        <v>380</v>
      </c>
      <c r="E178" s="251"/>
      <c r="F178" s="251"/>
      <c r="G178" s="252"/>
      <c r="H178" s="251"/>
      <c r="I178" s="251"/>
      <c r="J178" s="252"/>
      <c r="K178" s="251"/>
      <c r="L178" s="251"/>
      <c r="M178" s="252"/>
      <c r="N178" s="251"/>
      <c r="O178" s="251"/>
      <c r="P178" s="252"/>
      <c r="Q178" s="251"/>
      <c r="R178" s="251"/>
      <c r="S178" s="252"/>
      <c r="T178" s="251"/>
      <c r="U178" s="251"/>
      <c r="V178" s="252"/>
      <c r="W178" s="251"/>
      <c r="X178" s="251"/>
      <c r="Y178" s="252"/>
      <c r="Z178" s="251"/>
      <c r="AA178" s="251"/>
      <c r="AB178" s="252"/>
      <c r="AC178" s="251"/>
      <c r="AD178" s="251"/>
      <c r="AE178" s="252"/>
      <c r="AF178" s="251"/>
      <c r="AG178" s="251"/>
      <c r="AH178" s="252"/>
      <c r="AI178" s="251"/>
      <c r="AJ178" s="251"/>
      <c r="AK178" s="252"/>
      <c r="AL178" s="251"/>
      <c r="AM178" s="251"/>
      <c r="AN178" s="252"/>
      <c r="AO178" s="251"/>
      <c r="AP178" s="251"/>
      <c r="AQ178" s="252"/>
      <c r="AR178" s="251"/>
      <c r="AS178" s="251"/>
      <c r="AT178" s="252"/>
      <c r="AU178" s="251"/>
      <c r="AV178" s="251"/>
      <c r="AW178" s="252"/>
      <c r="AX178" s="251"/>
      <c r="AY178" s="251"/>
      <c r="AZ178" s="4"/>
      <c r="BA178" s="251"/>
      <c r="BB178" s="251"/>
      <c r="BC178" s="4"/>
      <c r="BD178" s="198"/>
      <c r="BE178" s="198"/>
      <c r="BF178" s="79"/>
      <c r="BG178" s="198"/>
      <c r="BH178" s="198"/>
      <c r="BI178" s="79"/>
      <c r="BJ178" s="198"/>
      <c r="BK178" s="198"/>
      <c r="BL178" s="79"/>
      <c r="BM178" s="198"/>
      <c r="BN178" s="198"/>
      <c r="BO178" s="79"/>
      <c r="BP178" s="337"/>
      <c r="BQ178" s="337"/>
      <c r="BR178" s="339"/>
      <c r="BS178" s="337"/>
      <c r="BT178" s="337"/>
      <c r="BU178" s="338"/>
      <c r="BV178" s="337"/>
      <c r="BW178" s="337"/>
      <c r="BX178" s="339"/>
      <c r="BY178" s="337"/>
      <c r="BZ178" s="337"/>
      <c r="CA178" s="339"/>
      <c r="CB178" s="337"/>
      <c r="CC178" s="337"/>
      <c r="CD178" s="339"/>
      <c r="CE178" s="337"/>
      <c r="CF178" s="337"/>
      <c r="CG178" s="339"/>
      <c r="CH178" s="337"/>
      <c r="CI178" s="337"/>
      <c r="CJ178" s="339"/>
      <c r="CK178" s="337"/>
      <c r="CL178" s="337"/>
      <c r="CM178" s="339"/>
      <c r="CN178" s="337"/>
      <c r="CO178" s="337"/>
      <c r="CP178" s="339"/>
      <c r="CQ178" s="337"/>
      <c r="CR178" s="337"/>
      <c r="CS178" s="339"/>
      <c r="CT178" s="337"/>
      <c r="CU178" s="337"/>
      <c r="CV178" s="339"/>
      <c r="CW178" s="337"/>
      <c r="CX178" s="337"/>
      <c r="CY178" s="558"/>
      <c r="CZ178" s="559"/>
      <c r="DA178" s="559"/>
      <c r="DB178" s="558"/>
      <c r="DC178" s="559"/>
      <c r="DD178" s="559"/>
      <c r="DE178" s="794"/>
      <c r="DF178" s="559"/>
      <c r="DG178" s="559"/>
      <c r="DH178" s="794"/>
      <c r="DI178" s="831">
        <v>273.41935047494485</v>
      </c>
      <c r="DJ178" s="831">
        <v>293.6691899769707</v>
      </c>
      <c r="DK178" s="674">
        <v>283.14457324426525</v>
      </c>
      <c r="DL178" s="646">
        <f t="shared" ref="DL178:EU178" si="246">DL175/DL133</f>
        <v>306.89472359484671</v>
      </c>
      <c r="DM178" s="646">
        <f t="shared" si="246"/>
        <v>326.15087803769245</v>
      </c>
      <c r="DN178" s="674">
        <f t="shared" si="246"/>
        <v>316.32577788206567</v>
      </c>
      <c r="DO178" s="646">
        <f t="shared" si="246"/>
        <v>293.33852386077461</v>
      </c>
      <c r="DP178" s="646">
        <f t="shared" si="246"/>
        <v>294.09484499590059</v>
      </c>
      <c r="DQ178" s="674">
        <f t="shared" si="246"/>
        <v>293.73439888507494</v>
      </c>
      <c r="DR178" s="646">
        <f t="shared" si="246"/>
        <v>312.98423270950656</v>
      </c>
      <c r="DS178" s="646">
        <f t="shared" si="246"/>
        <v>294.85696569509901</v>
      </c>
      <c r="DT178" s="674">
        <f t="shared" si="246"/>
        <v>303.40756334340443</v>
      </c>
      <c r="DU178" s="646">
        <f>DU175/DU133</f>
        <v>298.24640994576822</v>
      </c>
      <c r="DV178" s="646">
        <f>DV175/DV133</f>
        <v>242.46447833492834</v>
      </c>
      <c r="DW178" s="674">
        <f>DW175/DW133</f>
        <v>268.77671022683398</v>
      </c>
      <c r="DX178" s="646">
        <f>DX175/DX133</f>
        <v>286.21882945646189</v>
      </c>
      <c r="DY178" s="646">
        <f t="shared" si="246"/>
        <v>257.91060653829646</v>
      </c>
      <c r="DZ178" s="674">
        <f t="shared" si="246"/>
        <v>270.78734549306608</v>
      </c>
      <c r="EA178" s="646">
        <f t="shared" si="246"/>
        <v>292.46125063464444</v>
      </c>
      <c r="EB178" s="646">
        <f t="shared" si="246"/>
        <v>261.49190947685531</v>
      </c>
      <c r="EC178" s="674">
        <f t="shared" si="246"/>
        <v>275.57912798021647</v>
      </c>
      <c r="ED178" s="646">
        <f t="shared" si="246"/>
        <v>293.89859085130684</v>
      </c>
      <c r="EE178" s="646">
        <f t="shared" si="246"/>
        <v>262.78714737296741</v>
      </c>
      <c r="EF178" s="674">
        <f t="shared" si="246"/>
        <v>276.93900485037801</v>
      </c>
      <c r="EG178" s="646">
        <f t="shared" si="246"/>
        <v>295.34311776905258</v>
      </c>
      <c r="EH178" s="646">
        <f t="shared" si="246"/>
        <v>264.08886145856002</v>
      </c>
      <c r="EI178" s="674">
        <f t="shared" si="246"/>
        <v>278.30568110489037</v>
      </c>
      <c r="EJ178" s="646">
        <f t="shared" si="246"/>
        <v>295.85029179230764</v>
      </c>
      <c r="EK178" s="646">
        <f t="shared" si="246"/>
        <v>264.53653177262163</v>
      </c>
      <c r="EL178" s="674">
        <f t="shared" si="246"/>
        <v>278.78041824445836</v>
      </c>
      <c r="EM178" s="646">
        <f t="shared" si="246"/>
        <v>296.36000168567892</v>
      </c>
      <c r="EN178" s="646">
        <f t="shared" si="246"/>
        <v>264.98644043825368</v>
      </c>
      <c r="EO178" s="674">
        <f t="shared" si="246"/>
        <v>279.25752906972446</v>
      </c>
      <c r="EP178" s="646">
        <f t="shared" si="246"/>
        <v>296.87226012851715</v>
      </c>
      <c r="EQ178" s="646">
        <f t="shared" si="246"/>
        <v>265.43859864721372</v>
      </c>
      <c r="ER178" s="674">
        <f t="shared" si="246"/>
        <v>279.73702544911669</v>
      </c>
      <c r="ES178" s="646">
        <f t="shared" si="246"/>
        <v>297.38707986356945</v>
      </c>
      <c r="ET178" s="646">
        <f t="shared" si="246"/>
        <v>265.89301764721858</v>
      </c>
      <c r="EU178" s="674">
        <f t="shared" si="246"/>
        <v>280.21891931040585</v>
      </c>
      <c r="EV178" s="646">
        <f t="shared" ref="EV178:FA178" si="247">EV175/EV133</f>
        <v>297.90447369729714</v>
      </c>
      <c r="EW178" s="646">
        <f t="shared" si="247"/>
        <v>266.34970874222358</v>
      </c>
      <c r="EX178" s="674">
        <f t="shared" si="247"/>
        <v>280.70322264100156</v>
      </c>
      <c r="EY178" s="646">
        <f t="shared" si="247"/>
        <v>298.42445450019341</v>
      </c>
      <c r="EZ178" s="646">
        <f t="shared" si="247"/>
        <v>266.80868329270351</v>
      </c>
      <c r="FA178" s="776">
        <f t="shared" si="247"/>
        <v>281.18994748825025</v>
      </c>
    </row>
    <row r="179" spans="1:184" ht="13.35" customHeight="1">
      <c r="A179" s="760"/>
      <c r="B179" s="4"/>
      <c r="C179" s="4" t="s">
        <v>178</v>
      </c>
      <c r="D179" s="250" t="s">
        <v>507</v>
      </c>
      <c r="E179" s="251"/>
      <c r="F179" s="251"/>
      <c r="G179" s="252"/>
      <c r="H179" s="251"/>
      <c r="I179" s="251"/>
      <c r="J179" s="252"/>
      <c r="K179" s="251"/>
      <c r="L179" s="251"/>
      <c r="M179" s="252"/>
      <c r="N179" s="251"/>
      <c r="O179" s="251"/>
      <c r="P179" s="252"/>
      <c r="Q179" s="251"/>
      <c r="R179" s="251"/>
      <c r="S179" s="252"/>
      <c r="T179" s="251"/>
      <c r="U179" s="251"/>
      <c r="V179" s="252"/>
      <c r="W179" s="251"/>
      <c r="X179" s="251"/>
      <c r="Y179" s="252"/>
      <c r="Z179" s="251"/>
      <c r="AA179" s="251"/>
      <c r="AB179" s="252"/>
      <c r="AC179" s="251"/>
      <c r="AD179" s="251"/>
      <c r="AE179" s="252"/>
      <c r="AF179" s="251"/>
      <c r="AG179" s="251"/>
      <c r="AH179" s="252"/>
      <c r="AI179" s="251"/>
      <c r="AJ179" s="251"/>
      <c r="AK179" s="252"/>
      <c r="AL179" s="251"/>
      <c r="AM179" s="251"/>
      <c r="AN179" s="252"/>
      <c r="AO179" s="251"/>
      <c r="AP179" s="251"/>
      <c r="AQ179" s="252"/>
      <c r="AR179" s="251"/>
      <c r="AS179" s="251"/>
      <c r="AT179" s="252"/>
      <c r="AU179" s="251"/>
      <c r="AV179" s="251"/>
      <c r="AW179" s="252"/>
      <c r="AX179" s="251"/>
      <c r="AY179" s="251"/>
      <c r="AZ179" s="4"/>
      <c r="BA179" s="251"/>
      <c r="BB179" s="251"/>
      <c r="BC179" s="4"/>
      <c r="BD179" s="198"/>
      <c r="BE179" s="198"/>
      <c r="BF179" s="79"/>
      <c r="BG179" s="198"/>
      <c r="BH179" s="198"/>
      <c r="BI179" s="79"/>
      <c r="BJ179" s="198"/>
      <c r="BK179" s="198"/>
      <c r="BL179" s="79"/>
      <c r="BM179" s="198"/>
      <c r="BN179" s="198"/>
      <c r="BO179" s="79"/>
      <c r="BP179" s="284"/>
      <c r="BQ179" s="284"/>
      <c r="BR179" s="66"/>
      <c r="BS179" s="284"/>
      <c r="BT179" s="284"/>
      <c r="BU179" s="285"/>
      <c r="BV179" s="284"/>
      <c r="BW179" s="284"/>
      <c r="BX179" s="66"/>
      <c r="BY179" s="284"/>
      <c r="BZ179" s="284"/>
      <c r="CA179" s="66"/>
      <c r="CB179" s="284"/>
      <c r="CC179" s="284"/>
      <c r="CD179" s="66"/>
      <c r="CE179" s="284"/>
      <c r="CF179" s="284"/>
      <c r="CG179" s="66"/>
      <c r="CH179" s="284"/>
      <c r="CI179" s="284"/>
      <c r="CJ179" s="66"/>
      <c r="CK179" s="284"/>
      <c r="CL179" s="284"/>
      <c r="CM179" s="66"/>
      <c r="CN179" s="284"/>
      <c r="CO179" s="284"/>
      <c r="CP179" s="66"/>
      <c r="CQ179" s="284"/>
      <c r="CR179" s="284"/>
      <c r="CS179" s="66"/>
      <c r="CT179" s="284"/>
      <c r="CU179" s="284"/>
      <c r="CV179" s="66"/>
      <c r="CW179" s="284"/>
      <c r="CX179" s="284"/>
      <c r="CY179" s="306"/>
      <c r="CZ179" s="305"/>
      <c r="DA179" s="305"/>
      <c r="DB179" s="306"/>
      <c r="DC179" s="305"/>
      <c r="DD179" s="305"/>
      <c r="DE179" s="786"/>
      <c r="DF179" s="305"/>
      <c r="DG179" s="305"/>
      <c r="DH179" s="786"/>
      <c r="DI179" s="833">
        <v>4.0740081260353556E-2</v>
      </c>
      <c r="DJ179" s="833">
        <v>0.12330143858251441</v>
      </c>
      <c r="DK179" s="699">
        <v>8.0416210320457537E-2</v>
      </c>
      <c r="DL179" s="306">
        <f t="shared" ref="DL179:EL179" si="248">DL178/DI178-1</f>
        <v>0.12243234819244964</v>
      </c>
      <c r="DM179" s="306">
        <f t="shared" si="248"/>
        <v>0.11060638694603586</v>
      </c>
      <c r="DN179" s="699">
        <f t="shared" si="248"/>
        <v>0.11718820621426995</v>
      </c>
      <c r="DO179" s="306">
        <f t="shared" si="248"/>
        <v>-4.4172149899744051E-2</v>
      </c>
      <c r="DP179" s="306">
        <f t="shared" si="248"/>
        <v>-9.8285901404463583E-2</v>
      </c>
      <c r="DQ179" s="699">
        <f t="shared" si="248"/>
        <v>-7.1418077743298447E-2</v>
      </c>
      <c r="DR179" s="306">
        <f t="shared" si="248"/>
        <v>6.6972822356112571E-2</v>
      </c>
      <c r="DS179" s="306">
        <f t="shared" si="248"/>
        <v>2.5914112816531887E-3</v>
      </c>
      <c r="DT179" s="699">
        <f t="shared" si="248"/>
        <v>3.2931670567171611E-2</v>
      </c>
      <c r="DU179" s="306">
        <f t="shared" si="248"/>
        <v>-4.7088067779494591E-2</v>
      </c>
      <c r="DV179" s="306">
        <f>DV178/DS178-1</f>
        <v>-0.17768780614241231</v>
      </c>
      <c r="DW179" s="699">
        <f>DW178/DT178-1</f>
        <v>-0.11413971601417983</v>
      </c>
      <c r="DX179" s="306">
        <f t="shared" si="248"/>
        <v>-4.0327662255828622E-2</v>
      </c>
      <c r="DY179" s="306">
        <f t="shared" si="248"/>
        <v>6.3704705569413766E-2</v>
      </c>
      <c r="DZ179" s="699">
        <f t="shared" si="248"/>
        <v>7.4806900662458542E-3</v>
      </c>
      <c r="EA179" s="306">
        <f t="shared" si="248"/>
        <v>2.1809959847984395E-2</v>
      </c>
      <c r="EB179" s="306">
        <f t="shared" si="248"/>
        <v>1.3885830391496823E-2</v>
      </c>
      <c r="EC179" s="699">
        <f t="shared" si="248"/>
        <v>1.7695740096071333E-2</v>
      </c>
      <c r="ED179" s="306">
        <f t="shared" si="248"/>
        <v>4.914634720132538E-3</v>
      </c>
      <c r="EE179" s="306">
        <f t="shared" si="248"/>
        <v>4.953261837826517E-3</v>
      </c>
      <c r="EF179" s="699">
        <f t="shared" si="248"/>
        <v>4.9346148967390757E-3</v>
      </c>
      <c r="EG179" s="306">
        <f t="shared" si="248"/>
        <v>4.9150522075029901E-3</v>
      </c>
      <c r="EH179" s="306">
        <f t="shared" si="248"/>
        <v>4.9534922031218009E-3</v>
      </c>
      <c r="EI179" s="699">
        <f t="shared" si="248"/>
        <v>4.9349359627066658E-3</v>
      </c>
      <c r="EJ179" s="306">
        <f t="shared" si="248"/>
        <v>1.7172366401700945E-3</v>
      </c>
      <c r="EK179" s="306">
        <f t="shared" si="248"/>
        <v>1.6951503050492978E-3</v>
      </c>
      <c r="EL179" s="699">
        <f t="shared" si="248"/>
        <v>1.7058118888670926E-3</v>
      </c>
      <c r="EM179" s="306">
        <f t="shared" ref="EM179:FA179" si="249">EM178/EJ178-1</f>
        <v>1.7228642577411524E-3</v>
      </c>
      <c r="EN179" s="306">
        <f t="shared" si="249"/>
        <v>1.7007430414894831E-3</v>
      </c>
      <c r="EO179" s="699">
        <f t="shared" si="249"/>
        <v>1.7114215850257963E-3</v>
      </c>
      <c r="EP179" s="306">
        <f t="shared" si="249"/>
        <v>1.7285006071148246E-3</v>
      </c>
      <c r="EQ179" s="306">
        <f t="shared" si="249"/>
        <v>1.706344702816498E-3</v>
      </c>
      <c r="ER179" s="699">
        <f t="shared" si="249"/>
        <v>1.7170401134378732E-3</v>
      </c>
      <c r="ES179" s="306">
        <f t="shared" si="249"/>
        <v>1.734145638361273E-3</v>
      </c>
      <c r="ET179" s="306">
        <f t="shared" si="249"/>
        <v>1.7119552405746585E-3</v>
      </c>
      <c r="EU179" s="699">
        <f t="shared" si="249"/>
        <v>1.72266742493421E-3</v>
      </c>
      <c r="EV179" s="306">
        <f t="shared" si="249"/>
        <v>1.7397993011836199E-3</v>
      </c>
      <c r="EW179" s="306">
        <f t="shared" si="249"/>
        <v>1.7175746059301389E-3</v>
      </c>
      <c r="EX179" s="699">
        <f t="shared" si="249"/>
        <v>1.7283034699711042E-3</v>
      </c>
      <c r="EY179" s="306">
        <f t="shared" si="249"/>
        <v>1.7454615449132849E-3</v>
      </c>
      <c r="EZ179" s="306">
        <f t="shared" si="249"/>
        <v>1.7232027496756341E-3</v>
      </c>
      <c r="FA179" s="545">
        <f t="shared" si="249"/>
        <v>1.7339481986324845E-3</v>
      </c>
    </row>
    <row r="180" spans="1:184" ht="13.35" customHeight="1">
      <c r="A180" s="760"/>
      <c r="B180" s="4"/>
      <c r="C180" s="4"/>
      <c r="D180" s="250"/>
      <c r="E180" s="251"/>
      <c r="F180" s="251"/>
      <c r="G180" s="252"/>
      <c r="H180" s="251"/>
      <c r="I180" s="251"/>
      <c r="J180" s="252"/>
      <c r="K180" s="251"/>
      <c r="L180" s="251"/>
      <c r="M180" s="252"/>
      <c r="N180" s="251"/>
      <c r="O180" s="251"/>
      <c r="P180" s="252"/>
      <c r="Q180" s="251"/>
      <c r="R180" s="251"/>
      <c r="S180" s="252"/>
      <c r="T180" s="251"/>
      <c r="U180" s="251"/>
      <c r="V180" s="252"/>
      <c r="W180" s="251"/>
      <c r="X180" s="251"/>
      <c r="Y180" s="252"/>
      <c r="Z180" s="251"/>
      <c r="AA180" s="251"/>
      <c r="AB180" s="252"/>
      <c r="AC180" s="251"/>
      <c r="AD180" s="251"/>
      <c r="AE180" s="252"/>
      <c r="AF180" s="251"/>
      <c r="AG180" s="251"/>
      <c r="AH180" s="252"/>
      <c r="AI180" s="251"/>
      <c r="AJ180" s="251"/>
      <c r="AK180" s="252"/>
      <c r="AL180" s="251"/>
      <c r="AM180" s="251"/>
      <c r="AN180" s="252"/>
      <c r="AO180" s="251"/>
      <c r="AP180" s="251"/>
      <c r="AQ180" s="252"/>
      <c r="AR180" s="251"/>
      <c r="AS180" s="251"/>
      <c r="AT180" s="252"/>
      <c r="AU180" s="251"/>
      <c r="AV180" s="251"/>
      <c r="AW180" s="252"/>
      <c r="AX180" s="251"/>
      <c r="AY180" s="251"/>
      <c r="AZ180" s="4"/>
      <c r="BA180" s="251"/>
      <c r="BB180" s="251"/>
      <c r="BC180" s="4"/>
      <c r="BD180" s="198"/>
      <c r="BE180" s="198"/>
      <c r="BF180" s="79"/>
      <c r="BG180" s="198"/>
      <c r="BH180" s="198"/>
      <c r="BI180" s="79"/>
      <c r="BJ180" s="198"/>
      <c r="BK180" s="198"/>
      <c r="BL180" s="79"/>
      <c r="BM180" s="198"/>
      <c r="BN180" s="198"/>
      <c r="BO180" s="79"/>
      <c r="BP180" s="284"/>
      <c r="BQ180" s="284"/>
      <c r="BR180" s="66"/>
      <c r="BS180" s="284"/>
      <c r="BT180" s="284"/>
      <c r="BU180" s="285"/>
      <c r="BV180" s="284"/>
      <c r="BW180" s="284"/>
      <c r="BX180" s="66"/>
      <c r="BY180" s="284"/>
      <c r="BZ180" s="284"/>
      <c r="CA180" s="66"/>
      <c r="CB180" s="284"/>
      <c r="CC180" s="284"/>
      <c r="CD180" s="66"/>
      <c r="CE180" s="284"/>
      <c r="CF180" s="284"/>
      <c r="CG180" s="66"/>
      <c r="CH180" s="284"/>
      <c r="CI180" s="284"/>
      <c r="CJ180" s="66"/>
      <c r="CK180" s="284"/>
      <c r="CL180" s="284"/>
      <c r="CM180" s="66"/>
      <c r="CN180" s="284"/>
      <c r="CO180" s="284"/>
      <c r="CP180" s="66"/>
      <c r="CQ180" s="284"/>
      <c r="CR180" s="284"/>
      <c r="CS180" s="66"/>
      <c r="CT180" s="284"/>
      <c r="CU180" s="284"/>
      <c r="CV180" s="66"/>
      <c r="CW180" s="284"/>
      <c r="CX180" s="284"/>
      <c r="CY180" s="306"/>
      <c r="CZ180" s="305"/>
      <c r="DA180" s="305"/>
      <c r="DB180" s="306"/>
      <c r="DC180" s="305"/>
      <c r="DD180" s="305"/>
      <c r="DE180" s="786"/>
      <c r="DF180" s="305"/>
      <c r="DG180" s="305"/>
      <c r="DH180" s="786"/>
      <c r="DI180" s="833"/>
      <c r="DJ180" s="833"/>
      <c r="DK180" s="699"/>
      <c r="DL180" s="306"/>
      <c r="DM180" s="306"/>
      <c r="DN180" s="699"/>
      <c r="DO180" s="306"/>
      <c r="DP180" s="306"/>
      <c r="DQ180" s="699"/>
      <c r="DR180" s="306"/>
      <c r="DS180" s="306"/>
      <c r="DT180" s="699"/>
      <c r="DU180" s="306"/>
      <c r="DV180" s="306"/>
      <c r="DW180" s="699"/>
      <c r="DX180" s="306"/>
      <c r="DY180" s="306"/>
      <c r="DZ180" s="699"/>
      <c r="EA180" s="306"/>
      <c r="EB180" s="306"/>
      <c r="EC180" s="699"/>
      <c r="ED180" s="306"/>
      <c r="EE180" s="306"/>
      <c r="EF180" s="699"/>
      <c r="EG180" s="306"/>
      <c r="EH180" s="306"/>
      <c r="EI180" s="699"/>
      <c r="EJ180" s="306"/>
      <c r="EK180" s="306"/>
      <c r="EL180" s="699"/>
      <c r="EM180" s="306"/>
      <c r="EN180" s="306"/>
      <c r="EO180" s="699"/>
      <c r="EP180" s="306"/>
      <c r="EQ180" s="306"/>
      <c r="ER180" s="699"/>
      <c r="ES180" s="306"/>
      <c r="ET180" s="306"/>
      <c r="EU180" s="699"/>
      <c r="EV180" s="306"/>
      <c r="EW180" s="306"/>
      <c r="EX180" s="699"/>
      <c r="EY180" s="306"/>
      <c r="EZ180" s="306"/>
      <c r="FA180" s="545"/>
    </row>
    <row r="181" spans="1:184" ht="13.35" customHeight="1">
      <c r="A181" s="760"/>
      <c r="B181" s="351" t="s">
        <v>153</v>
      </c>
      <c r="C181" s="289"/>
      <c r="D181" s="290"/>
      <c r="E181" s="251"/>
      <c r="F181" s="251"/>
      <c r="G181" s="252"/>
      <c r="H181" s="251"/>
      <c r="I181" s="251"/>
      <c r="J181" s="252"/>
      <c r="K181" s="251"/>
      <c r="L181" s="251"/>
      <c r="M181" s="252"/>
      <c r="N181" s="251"/>
      <c r="O181" s="251"/>
      <c r="P181" s="252"/>
      <c r="Q181" s="251"/>
      <c r="R181" s="251"/>
      <c r="S181" s="252"/>
      <c r="T181" s="251"/>
      <c r="U181" s="251"/>
      <c r="V181" s="252"/>
      <c r="W181" s="251"/>
      <c r="X181" s="251"/>
      <c r="Y181" s="252"/>
      <c r="Z181" s="251"/>
      <c r="AA181" s="251"/>
      <c r="AB181" s="252"/>
      <c r="AC181" s="251"/>
      <c r="AD181" s="251"/>
      <c r="AE181" s="252"/>
      <c r="AF181" s="251"/>
      <c r="AG181" s="251"/>
      <c r="AH181" s="252"/>
      <c r="AI181" s="251"/>
      <c r="AJ181" s="251"/>
      <c r="AK181" s="252"/>
      <c r="AL181" s="251"/>
      <c r="AM181" s="251"/>
      <c r="AN181" s="252"/>
      <c r="AO181" s="291"/>
      <c r="AP181" s="291"/>
      <c r="AQ181" s="252"/>
      <c r="AR181" s="251"/>
      <c r="AS181" s="251"/>
      <c r="AT181" s="252"/>
      <c r="AU181" s="251"/>
      <c r="AV181" s="251"/>
      <c r="AW181" s="252"/>
      <c r="AX181" s="251"/>
      <c r="AY181" s="251"/>
      <c r="AZ181" s="252"/>
      <c r="BA181" s="251"/>
      <c r="BB181" s="251"/>
      <c r="BC181" s="252"/>
      <c r="BD181" s="251"/>
      <c r="BE181" s="251"/>
      <c r="BF181" s="252"/>
      <c r="BG181" s="251"/>
      <c r="BH181" s="251"/>
      <c r="BI181" s="252"/>
      <c r="BJ181" s="251"/>
      <c r="BK181" s="251"/>
      <c r="BL181" s="252"/>
      <c r="BM181" s="280"/>
      <c r="BN181" s="280"/>
      <c r="BO181" s="280"/>
      <c r="BP181" s="280"/>
      <c r="BQ181" s="280"/>
      <c r="BR181" s="280"/>
      <c r="BS181" s="280"/>
      <c r="BT181" s="280"/>
      <c r="BU181" s="281"/>
      <c r="BV181" s="280"/>
      <c r="BW181" s="280"/>
      <c r="BX181" s="280"/>
      <c r="BY181" s="280"/>
      <c r="BZ181" s="280"/>
      <c r="CA181" s="280"/>
      <c r="CB181" s="280"/>
      <c r="CC181" s="280"/>
      <c r="CD181" s="280"/>
      <c r="CE181" s="280"/>
      <c r="CF181" s="280"/>
      <c r="CG181" s="280"/>
      <c r="CH181" s="280"/>
      <c r="CI181" s="280"/>
      <c r="CJ181" s="280"/>
      <c r="CK181" s="280"/>
      <c r="CL181" s="280"/>
      <c r="CM181" s="280"/>
      <c r="CN181" s="280"/>
      <c r="CO181" s="280"/>
      <c r="CP181" s="280"/>
      <c r="CQ181" s="280"/>
      <c r="CR181" s="280"/>
      <c r="CS181" s="280"/>
      <c r="CT181" s="280"/>
      <c r="CU181" s="280"/>
      <c r="CV181" s="280"/>
      <c r="CW181" s="280"/>
      <c r="CX181" s="280"/>
      <c r="CY181" s="280"/>
      <c r="CZ181" s="280"/>
      <c r="DA181" s="280"/>
      <c r="DB181" s="280"/>
      <c r="DC181" s="280"/>
      <c r="DD181" s="280"/>
      <c r="DE181" s="785"/>
      <c r="DF181" s="280"/>
      <c r="DG181" s="280"/>
      <c r="DH181" s="785"/>
      <c r="DI181" s="280" t="str">
        <f t="shared" ref="DI181:EU181" si="250">DI102</f>
        <v>1h21</v>
      </c>
      <c r="DJ181" s="280" t="str">
        <f t="shared" si="250"/>
        <v>2h21</v>
      </c>
      <c r="DK181" s="695" t="str">
        <f t="shared" si="250"/>
        <v>2021</v>
      </c>
      <c r="DL181" s="280" t="str">
        <f t="shared" si="250"/>
        <v>1h22</v>
      </c>
      <c r="DM181" s="280" t="str">
        <f t="shared" si="250"/>
        <v>2h22</v>
      </c>
      <c r="DN181" s="695" t="str">
        <f t="shared" si="250"/>
        <v>2022</v>
      </c>
      <c r="DO181" s="280" t="str">
        <f t="shared" si="250"/>
        <v>1h23</v>
      </c>
      <c r="DP181" s="280" t="str">
        <f t="shared" si="250"/>
        <v>2h23</v>
      </c>
      <c r="DQ181" s="695" t="str">
        <f t="shared" si="250"/>
        <v>2023</v>
      </c>
      <c r="DR181" s="280" t="str">
        <f t="shared" si="250"/>
        <v>1h24</v>
      </c>
      <c r="DS181" s="280" t="str">
        <f t="shared" si="250"/>
        <v>2h24</v>
      </c>
      <c r="DT181" s="695" t="str">
        <f t="shared" si="250"/>
        <v>2024</v>
      </c>
      <c r="DU181" s="280" t="str">
        <f t="shared" si="250"/>
        <v>1h25</v>
      </c>
      <c r="DV181" s="280" t="str">
        <f>DV102</f>
        <v>2h25</v>
      </c>
      <c r="DW181" s="695" t="str">
        <f>DW102</f>
        <v>2025</v>
      </c>
      <c r="DX181" s="280" t="str">
        <f t="shared" si="250"/>
        <v>1h26</v>
      </c>
      <c r="DY181" s="280" t="str">
        <f t="shared" si="250"/>
        <v>2h26E</v>
      </c>
      <c r="DZ181" s="695" t="str">
        <f t="shared" si="250"/>
        <v>2026E</v>
      </c>
      <c r="EA181" s="280" t="str">
        <f t="shared" si="250"/>
        <v>1h27E</v>
      </c>
      <c r="EB181" s="280" t="str">
        <f t="shared" si="250"/>
        <v>2h27E</v>
      </c>
      <c r="EC181" s="695" t="str">
        <f t="shared" si="250"/>
        <v>2027E</v>
      </c>
      <c r="ED181" s="280" t="str">
        <f t="shared" si="250"/>
        <v>1h28E</v>
      </c>
      <c r="EE181" s="280" t="str">
        <f t="shared" si="250"/>
        <v>2h28E</v>
      </c>
      <c r="EF181" s="695" t="str">
        <f t="shared" si="250"/>
        <v>2028E</v>
      </c>
      <c r="EG181" s="280" t="str">
        <f t="shared" si="250"/>
        <v>1h29E</v>
      </c>
      <c r="EH181" s="280" t="str">
        <f t="shared" si="250"/>
        <v>2h29E</v>
      </c>
      <c r="EI181" s="695" t="str">
        <f t="shared" si="250"/>
        <v>2029E</v>
      </c>
      <c r="EJ181" s="280" t="str">
        <f t="shared" si="250"/>
        <v>1h30E</v>
      </c>
      <c r="EK181" s="280" t="str">
        <f t="shared" si="250"/>
        <v>2h30E</v>
      </c>
      <c r="EL181" s="695" t="str">
        <f t="shared" si="250"/>
        <v>2030E</v>
      </c>
      <c r="EM181" s="280" t="str">
        <f t="shared" si="250"/>
        <v>1h31E</v>
      </c>
      <c r="EN181" s="280" t="str">
        <f t="shared" si="250"/>
        <v>2h31E</v>
      </c>
      <c r="EO181" s="695" t="str">
        <f t="shared" si="250"/>
        <v>2031E</v>
      </c>
      <c r="EP181" s="280" t="str">
        <f t="shared" si="250"/>
        <v>1h32E</v>
      </c>
      <c r="EQ181" s="280" t="str">
        <f t="shared" si="250"/>
        <v>2h32E</v>
      </c>
      <c r="ER181" s="695" t="str">
        <f t="shared" si="250"/>
        <v>2032E</v>
      </c>
      <c r="ES181" s="280" t="str">
        <f t="shared" si="250"/>
        <v>1h33E</v>
      </c>
      <c r="ET181" s="280" t="str">
        <f t="shared" si="250"/>
        <v>2h33E</v>
      </c>
      <c r="EU181" s="695" t="str">
        <f t="shared" si="250"/>
        <v>2033E</v>
      </c>
      <c r="EV181" s="280" t="str">
        <f t="shared" ref="EV181:FA181" si="251">EV102</f>
        <v>1h34E</v>
      </c>
      <c r="EW181" s="280" t="str">
        <f t="shared" si="251"/>
        <v>2h34E</v>
      </c>
      <c r="EX181" s="695" t="str">
        <f t="shared" si="251"/>
        <v>2034E</v>
      </c>
      <c r="EY181" s="280" t="str">
        <f t="shared" si="251"/>
        <v>1h35E</v>
      </c>
      <c r="EZ181" s="280" t="str">
        <f t="shared" si="251"/>
        <v>2h35E</v>
      </c>
      <c r="FA181" s="540" t="str">
        <f t="shared" si="251"/>
        <v>2035E</v>
      </c>
    </row>
    <row r="182" spans="1:184" ht="13.35" hidden="1" customHeight="1" outlineLevel="1">
      <c r="B182" s="177" t="s">
        <v>220</v>
      </c>
      <c r="DE182" s="795"/>
      <c r="DH182" s="795"/>
      <c r="DK182" s="703"/>
      <c r="DN182" s="703"/>
      <c r="DQ182" s="703"/>
      <c r="DT182" s="703"/>
      <c r="DW182" s="703"/>
      <c r="DZ182" s="703"/>
      <c r="EC182" s="703"/>
      <c r="EF182" s="703"/>
      <c r="EI182" s="703"/>
      <c r="EL182" s="703"/>
      <c r="EO182" s="703"/>
      <c r="ER182" s="703"/>
      <c r="EU182" s="703"/>
      <c r="EX182" s="703"/>
    </row>
    <row r="183" spans="1:184" ht="13.35" hidden="1" customHeight="1" outlineLevel="1">
      <c r="C183" s="177" t="s">
        <v>769</v>
      </c>
      <c r="D183" s="294" t="s">
        <v>406</v>
      </c>
      <c r="BS183" s="198"/>
      <c r="BU183" s="254"/>
      <c r="BV183" s="198"/>
      <c r="BW183" s="198"/>
      <c r="BX183" s="79"/>
      <c r="BY183" s="198"/>
      <c r="BZ183" s="198"/>
      <c r="CA183" s="79"/>
      <c r="CB183" s="198"/>
      <c r="CC183" s="198"/>
      <c r="CD183" s="79"/>
      <c r="CE183" s="198"/>
      <c r="CF183" s="198"/>
      <c r="CG183" s="79"/>
      <c r="CH183" s="198"/>
      <c r="CI183" s="198"/>
      <c r="CJ183" s="79"/>
      <c r="CK183" s="198"/>
      <c r="CL183" s="198"/>
      <c r="CM183" s="79"/>
      <c r="CN183" s="198"/>
      <c r="CO183" s="198"/>
      <c r="CP183" s="79"/>
      <c r="CQ183" s="198"/>
      <c r="CR183" s="198"/>
      <c r="CS183" s="79"/>
      <c r="CT183" s="198"/>
      <c r="CU183" s="198"/>
      <c r="CV183" s="79"/>
      <c r="CW183" s="198"/>
      <c r="CX183" s="198"/>
      <c r="CY183" s="488"/>
      <c r="CZ183" s="489"/>
      <c r="DA183" s="489"/>
      <c r="DB183" s="488"/>
      <c r="DC183" s="489"/>
      <c r="DD183" s="489"/>
      <c r="DE183" s="783"/>
      <c r="DF183" s="489"/>
      <c r="DG183" s="489"/>
      <c r="DH183" s="783"/>
      <c r="DI183" s="489">
        <f t="shared" ref="DI183:EU183" si="252">DI247/DI$133</f>
        <v>10.967035164457272</v>
      </c>
      <c r="DJ183" s="489">
        <f t="shared" si="252"/>
        <v>5.7348989862317268</v>
      </c>
      <c r="DK183" s="696">
        <f t="shared" si="252"/>
        <v>8.4542404389695154</v>
      </c>
      <c r="DL183" s="489">
        <f t="shared" si="252"/>
        <v>9.2521505251986795</v>
      </c>
      <c r="DM183" s="489">
        <f t="shared" si="252"/>
        <v>7.540362029721118</v>
      </c>
      <c r="DN183" s="696">
        <f t="shared" si="252"/>
        <v>8.4137707605887311</v>
      </c>
      <c r="DO183" s="489">
        <f t="shared" si="252"/>
        <v>8.366611388234837</v>
      </c>
      <c r="DP183" s="489">
        <f t="shared" si="252"/>
        <v>6.3099829905887566</v>
      </c>
      <c r="DQ183" s="696">
        <f t="shared" si="252"/>
        <v>7.2901271025493521</v>
      </c>
      <c r="DR183" s="489">
        <f t="shared" si="252"/>
        <v>7.5645918935060523</v>
      </c>
      <c r="DS183" s="489">
        <f t="shared" si="252"/>
        <v>6.9265645184451294</v>
      </c>
      <c r="DT183" s="696">
        <f t="shared" si="252"/>
        <v>7.2275208274361304</v>
      </c>
      <c r="DU183" s="489">
        <f t="shared" si="252"/>
        <v>6.5744194825019147</v>
      </c>
      <c r="DV183" s="489">
        <f>DV247/DV$133</f>
        <v>7.4532183582396678</v>
      </c>
      <c r="DW183" s="696">
        <f>DW247/DW$133</f>
        <v>7.0386905866652558</v>
      </c>
      <c r="DX183" s="489">
        <f t="shared" si="252"/>
        <v>8.5467453272524878</v>
      </c>
      <c r="DY183" s="489">
        <f t="shared" si="252"/>
        <v>9.0553120240295026</v>
      </c>
      <c r="DZ183" s="696">
        <f t="shared" si="252"/>
        <v>8.8239771000952718</v>
      </c>
      <c r="EA183" s="489">
        <f t="shared" si="252"/>
        <v>10.383896191989004</v>
      </c>
      <c r="EB183" s="489">
        <f t="shared" si="252"/>
        <v>11.001780963774161</v>
      </c>
      <c r="EC183" s="696">
        <f t="shared" si="252"/>
        <v>10.720719841237246</v>
      </c>
      <c r="ED183" s="489">
        <f t="shared" si="252"/>
        <v>12.615948644472621</v>
      </c>
      <c r="EE183" s="489">
        <f t="shared" si="252"/>
        <v>13.36664976907141</v>
      </c>
      <c r="EF183" s="696">
        <f t="shared" si="252"/>
        <v>13.02517363888637</v>
      </c>
      <c r="EG183" s="489">
        <f t="shared" si="252"/>
        <v>15.327788072723745</v>
      </c>
      <c r="EH183" s="489">
        <f t="shared" si="252"/>
        <v>16.23985485961947</v>
      </c>
      <c r="EI183" s="696">
        <f t="shared" si="252"/>
        <v>15.824977318273163</v>
      </c>
      <c r="EJ183" s="489">
        <f t="shared" si="252"/>
        <v>18.62254625658025</v>
      </c>
      <c r="EK183" s="489">
        <f t="shared" si="252"/>
        <v>19.730664782715245</v>
      </c>
      <c r="EL183" s="696">
        <f t="shared" si="252"/>
        <v>19.226607956780477</v>
      </c>
      <c r="EM183" s="489">
        <f t="shared" si="252"/>
        <v>22.625523489303106</v>
      </c>
      <c r="EN183" s="489">
        <f t="shared" si="252"/>
        <v>23.971835717317585</v>
      </c>
      <c r="EO183" s="696">
        <f t="shared" si="252"/>
        <v>23.359430227864131</v>
      </c>
      <c r="EP183" s="489">
        <f t="shared" si="252"/>
        <v>27.4889537720505</v>
      </c>
      <c r="EQ183" s="489">
        <f t="shared" si="252"/>
        <v>29.124660217301734</v>
      </c>
      <c r="ER183" s="696">
        <f t="shared" si="252"/>
        <v>28.380616164694736</v>
      </c>
      <c r="ES183" s="489">
        <f t="shared" si="252"/>
        <v>33.397794302491263</v>
      </c>
      <c r="ET183" s="489">
        <f t="shared" si="252"/>
        <v>35.385101198590895</v>
      </c>
      <c r="EU183" s="696">
        <f t="shared" si="252"/>
        <v>34.481122443087052</v>
      </c>
      <c r="EV183" s="489">
        <f t="shared" ref="EV183:FA183" si="253">EV247/EV$133</f>
        <v>40.576759432933308</v>
      </c>
      <c r="EW183" s="489">
        <f t="shared" si="253"/>
        <v>42.991244446886135</v>
      </c>
      <c r="EX183" s="696">
        <f t="shared" si="253"/>
        <v>41.89295250094689</v>
      </c>
      <c r="EY183" s="489">
        <f t="shared" si="253"/>
        <v>49.298866600760093</v>
      </c>
      <c r="EZ183" s="489">
        <f t="shared" si="253"/>
        <v>52.23235306631026</v>
      </c>
      <c r="FA183" s="536">
        <f t="shared" si="253"/>
        <v>50.897979674047626</v>
      </c>
    </row>
    <row r="184" spans="1:184" ht="13.35" hidden="1" customHeight="1" outlineLevel="1">
      <c r="C184" s="177" t="s">
        <v>178</v>
      </c>
      <c r="D184" s="294" t="s">
        <v>507</v>
      </c>
      <c r="BS184" s="286"/>
      <c r="BU184" s="353"/>
      <c r="BV184" s="259"/>
      <c r="BW184" s="259"/>
      <c r="BX184" s="260"/>
      <c r="BY184" s="264"/>
      <c r="BZ184" s="264"/>
      <c r="CA184" s="82"/>
      <c r="CB184" s="264"/>
      <c r="CC184" s="264"/>
      <c r="CD184" s="82"/>
      <c r="CE184" s="264"/>
      <c r="CF184" s="264"/>
      <c r="CG184" s="82"/>
      <c r="CH184" s="264"/>
      <c r="CI184" s="264"/>
      <c r="CJ184" s="82"/>
      <c r="CK184" s="354"/>
      <c r="CL184" s="264"/>
      <c r="CM184" s="82"/>
      <c r="CN184" s="264"/>
      <c r="CO184" s="264"/>
      <c r="CP184" s="82"/>
      <c r="CQ184" s="264"/>
      <c r="CR184" s="264"/>
      <c r="CS184" s="82"/>
      <c r="CT184" s="264"/>
      <c r="CU184" s="264"/>
      <c r="CV184" s="82"/>
      <c r="CW184" s="264"/>
      <c r="CX184" s="264"/>
      <c r="CY184" s="562"/>
      <c r="CZ184" s="526"/>
      <c r="DA184" s="526"/>
      <c r="DB184" s="562"/>
      <c r="DC184" s="526"/>
      <c r="DD184" s="526"/>
      <c r="DE184" s="796"/>
      <c r="DF184" s="526"/>
      <c r="DG184" s="526"/>
      <c r="DH184" s="796"/>
      <c r="DI184" s="526" t="e">
        <f t="shared" ref="DI184:EL184" si="254">DI183/DF183-1</f>
        <v>#DIV/0!</v>
      </c>
      <c r="DJ184" s="526" t="e">
        <f t="shared" si="254"/>
        <v>#DIV/0!</v>
      </c>
      <c r="DK184" s="678" t="e">
        <f t="shared" si="254"/>
        <v>#DIV/0!</v>
      </c>
      <c r="DL184" s="526">
        <f t="shared" si="254"/>
        <v>-0.15636720531509818</v>
      </c>
      <c r="DM184" s="526">
        <f t="shared" si="254"/>
        <v>0.31482037396367812</v>
      </c>
      <c r="DN184" s="678">
        <f t="shared" si="254"/>
        <v>-4.7869088504084445E-3</v>
      </c>
      <c r="DO184" s="526">
        <f t="shared" si="254"/>
        <v>-9.5711708813214225E-2</v>
      </c>
      <c r="DP184" s="526">
        <f t="shared" si="254"/>
        <v>-0.16317240926664989</v>
      </c>
      <c r="DQ184" s="678">
        <f t="shared" si="254"/>
        <v>-0.13354816645381895</v>
      </c>
      <c r="DR184" s="526">
        <f t="shared" si="254"/>
        <v>-9.5859537094861058E-2</v>
      </c>
      <c r="DS184" s="526">
        <f t="shared" si="254"/>
        <v>9.7715244046773897E-2</v>
      </c>
      <c r="DT184" s="678">
        <f t="shared" si="254"/>
        <v>-8.5878166776170994E-3</v>
      </c>
      <c r="DU184" s="526">
        <f t="shared" si="254"/>
        <v>-0.13089568147809372</v>
      </c>
      <c r="DV184" s="526">
        <f>DV183/DS183-1</f>
        <v>7.6033918169979176E-2</v>
      </c>
      <c r="DW184" s="678">
        <f>DW183/DT183-1</f>
        <v>-2.6126557816902207E-2</v>
      </c>
      <c r="DX184" s="526">
        <f t="shared" si="254"/>
        <v>0.29999999999999982</v>
      </c>
      <c r="DY184" s="526">
        <f t="shared" si="254"/>
        <v>0.2149532710280373</v>
      </c>
      <c r="DZ184" s="678">
        <f t="shared" si="254"/>
        <v>0.25363901018922852</v>
      </c>
      <c r="EA184" s="526">
        <f t="shared" si="254"/>
        <v>0.21495327102803752</v>
      </c>
      <c r="EB184" s="526">
        <f t="shared" si="254"/>
        <v>0.2149532710280373</v>
      </c>
      <c r="EC184" s="678">
        <f t="shared" si="254"/>
        <v>0.2149532710280373</v>
      </c>
      <c r="ED184" s="526">
        <f t="shared" si="254"/>
        <v>0.2149532710280373</v>
      </c>
      <c r="EE184" s="526">
        <f t="shared" si="254"/>
        <v>0.2149532710280373</v>
      </c>
      <c r="EF184" s="678">
        <f t="shared" si="254"/>
        <v>0.21495327102803707</v>
      </c>
      <c r="EG184" s="526">
        <f t="shared" si="254"/>
        <v>0.21495327102803752</v>
      </c>
      <c r="EH184" s="526">
        <f t="shared" si="254"/>
        <v>0.2149532710280373</v>
      </c>
      <c r="EI184" s="678">
        <f t="shared" si="254"/>
        <v>0.21495327102803752</v>
      </c>
      <c r="EJ184" s="526">
        <f t="shared" si="254"/>
        <v>0.2149532710280373</v>
      </c>
      <c r="EK184" s="526">
        <f t="shared" si="254"/>
        <v>0.21495327102803752</v>
      </c>
      <c r="EL184" s="678">
        <f t="shared" si="254"/>
        <v>0.2149532710280373</v>
      </c>
      <c r="EM184" s="526">
        <f t="shared" ref="EM184:FA184" si="255">EM183/EJ183-1</f>
        <v>0.2149532710280373</v>
      </c>
      <c r="EN184" s="526">
        <f t="shared" si="255"/>
        <v>0.2149532710280373</v>
      </c>
      <c r="EO184" s="678">
        <f t="shared" si="255"/>
        <v>0.2149532710280373</v>
      </c>
      <c r="EP184" s="526">
        <f t="shared" si="255"/>
        <v>0.2149532710280373</v>
      </c>
      <c r="EQ184" s="526">
        <f t="shared" si="255"/>
        <v>0.21495327102803707</v>
      </c>
      <c r="ER184" s="678">
        <f t="shared" si="255"/>
        <v>0.2149532710280373</v>
      </c>
      <c r="ES184" s="526">
        <f t="shared" si="255"/>
        <v>0.21495327102803752</v>
      </c>
      <c r="ET184" s="526">
        <f t="shared" si="255"/>
        <v>0.21495327102803752</v>
      </c>
      <c r="EU184" s="678">
        <f t="shared" si="255"/>
        <v>0.21495327102803707</v>
      </c>
      <c r="EV184" s="526">
        <f t="shared" si="255"/>
        <v>0.2149532710280373</v>
      </c>
      <c r="EW184" s="526">
        <f t="shared" si="255"/>
        <v>0.2149532710280373</v>
      </c>
      <c r="EX184" s="678">
        <f t="shared" si="255"/>
        <v>0.21495327102803752</v>
      </c>
      <c r="EY184" s="526">
        <f t="shared" si="255"/>
        <v>0.2149532710280373</v>
      </c>
      <c r="EZ184" s="526">
        <f t="shared" si="255"/>
        <v>0.21495327102803752</v>
      </c>
      <c r="FA184" s="563">
        <f t="shared" si="255"/>
        <v>0.21495327102803752</v>
      </c>
    </row>
    <row r="185" spans="1:184" ht="13.35" hidden="1" customHeight="1" outlineLevel="1">
      <c r="BS185" s="286"/>
      <c r="BU185" s="353"/>
      <c r="BV185" s="259"/>
      <c r="BW185" s="259"/>
      <c r="BX185" s="260"/>
      <c r="BY185" s="264"/>
      <c r="BZ185" s="264"/>
      <c r="CA185" s="82"/>
      <c r="CB185" s="264"/>
      <c r="CC185" s="264"/>
      <c r="CD185" s="82"/>
      <c r="CE185" s="264"/>
      <c r="CF185" s="264"/>
      <c r="CG185" s="82"/>
      <c r="CH185" s="264"/>
      <c r="CI185" s="264"/>
      <c r="CJ185" s="82"/>
      <c r="CK185" s="82"/>
      <c r="CL185" s="264"/>
      <c r="CM185" s="82"/>
      <c r="CN185" s="264"/>
      <c r="CO185" s="264"/>
      <c r="CP185" s="82"/>
      <c r="CQ185" s="267"/>
      <c r="CR185" s="264"/>
      <c r="CS185" s="82"/>
      <c r="CT185" s="264"/>
      <c r="CU185" s="264"/>
      <c r="CV185" s="82"/>
      <c r="CW185" s="264"/>
      <c r="CX185" s="264"/>
      <c r="CY185" s="562"/>
      <c r="CZ185" s="526"/>
      <c r="DA185" s="526"/>
      <c r="DB185" s="562"/>
      <c r="DC185" s="526"/>
      <c r="DD185" s="526"/>
      <c r="DE185" s="796"/>
      <c r="DF185" s="526"/>
      <c r="DG185" s="526"/>
      <c r="DH185" s="796"/>
      <c r="DI185" s="526"/>
      <c r="DJ185" s="526"/>
      <c r="DK185" s="678"/>
      <c r="DL185" s="526"/>
      <c r="DM185" s="526"/>
      <c r="DN185" s="678"/>
      <c r="DO185" s="526"/>
      <c r="DP185" s="526"/>
      <c r="DQ185" s="678"/>
      <c r="DR185" s="526"/>
      <c r="DS185" s="526"/>
      <c r="DT185" s="678"/>
      <c r="DU185" s="526"/>
      <c r="DV185" s="526"/>
      <c r="DW185" s="678"/>
      <c r="DX185" s="526"/>
      <c r="DY185" s="526"/>
      <c r="DZ185" s="678"/>
      <c r="EA185" s="526"/>
      <c r="EB185" s="526"/>
      <c r="EC185" s="678"/>
      <c r="ED185" s="526"/>
      <c r="EE185" s="526"/>
      <c r="EF185" s="678"/>
      <c r="EG185" s="526"/>
      <c r="EH185" s="526"/>
      <c r="EI185" s="678"/>
      <c r="EJ185" s="526"/>
      <c r="EK185" s="526"/>
      <c r="EL185" s="678"/>
      <c r="EM185" s="526"/>
      <c r="EN185" s="526"/>
      <c r="EO185" s="678"/>
      <c r="EP185" s="526"/>
      <c r="EQ185" s="526"/>
      <c r="ER185" s="678"/>
      <c r="ES185" s="526"/>
      <c r="ET185" s="526"/>
      <c r="EU185" s="678"/>
      <c r="EV185" s="526"/>
      <c r="EW185" s="526"/>
      <c r="EX185" s="678"/>
      <c r="EY185" s="526"/>
      <c r="EZ185" s="526"/>
      <c r="FA185" s="563"/>
    </row>
    <row r="186" spans="1:184" ht="13.35" hidden="1" customHeight="1" outlineLevel="1">
      <c r="C186" s="177" t="s">
        <v>770</v>
      </c>
      <c r="D186" s="294" t="s">
        <v>406</v>
      </c>
      <c r="BS186" s="286"/>
      <c r="BU186" s="353"/>
      <c r="BV186" s="259"/>
      <c r="BW186" s="259"/>
      <c r="BX186" s="260"/>
      <c r="BY186" s="264"/>
      <c r="BZ186" s="264"/>
      <c r="CA186" s="82"/>
      <c r="CB186" s="264"/>
      <c r="CC186" s="264"/>
      <c r="CD186" s="82"/>
      <c r="CE186" s="264"/>
      <c r="CF186" s="264"/>
      <c r="CG186" s="82"/>
      <c r="CH186" s="264"/>
      <c r="CI186" s="264"/>
      <c r="CJ186" s="82"/>
      <c r="CK186" s="82"/>
      <c r="CL186" s="264"/>
      <c r="CM186" s="82"/>
      <c r="CN186" s="198"/>
      <c r="CO186" s="198"/>
      <c r="CP186" s="79"/>
      <c r="CQ186" s="198"/>
      <c r="CR186" s="198"/>
      <c r="CS186" s="79"/>
      <c r="CT186" s="198"/>
      <c r="CU186" s="198"/>
      <c r="CV186" s="79"/>
      <c r="CW186" s="198"/>
      <c r="CX186" s="198"/>
      <c r="CY186" s="488"/>
      <c r="CZ186" s="489"/>
      <c r="DA186" s="489"/>
      <c r="DB186" s="488"/>
      <c r="DC186" s="489"/>
      <c r="DD186" s="489"/>
      <c r="DE186" s="783"/>
      <c r="DF186" s="489"/>
      <c r="DG186" s="489"/>
      <c r="DH186" s="783"/>
      <c r="DI186" s="489">
        <v>48.032850468469199</v>
      </c>
      <c r="DJ186" s="489">
        <v>40.073574708175208</v>
      </c>
      <c r="DK186" s="696">
        <v>88.106425176644407</v>
      </c>
      <c r="DL186" s="489">
        <v>44.190222430991668</v>
      </c>
      <c r="DM186" s="489">
        <v>36.867688731521191</v>
      </c>
      <c r="DN186" s="696">
        <v>81.057911162512852</v>
      </c>
      <c r="DO186" s="489">
        <v>40.655004636512338</v>
      </c>
      <c r="DP186" s="489">
        <v>33.918273632999501</v>
      </c>
      <c r="DQ186" s="696">
        <v>74.573278269511832</v>
      </c>
      <c r="DR186" s="489">
        <v>37.40260426559135</v>
      </c>
      <c r="DS186" s="489">
        <v>31.204811742359542</v>
      </c>
      <c r="DT186" s="696">
        <v>68.607416007950889</v>
      </c>
      <c r="DU186" s="489">
        <v>34.410395924344044</v>
      </c>
      <c r="DV186" s="489">
        <v>31.204811742359542</v>
      </c>
      <c r="DW186" s="696">
        <v>68.607416007950889</v>
      </c>
      <c r="DX186" s="489">
        <v>31.657564250396522</v>
      </c>
      <c r="DY186" s="489">
        <v>26.411752658733118</v>
      </c>
      <c r="DZ186" s="696">
        <v>58.06931690912964</v>
      </c>
      <c r="EA186" s="489">
        <v>29.124959110364802</v>
      </c>
      <c r="EB186" s="489">
        <v>24.298812446034468</v>
      </c>
      <c r="EC186" s="696">
        <v>53.423771556399274</v>
      </c>
      <c r="ED186" s="489">
        <v>26.794962381535619</v>
      </c>
      <c r="EE186" s="489">
        <v>22.35490745035171</v>
      </c>
      <c r="EF186" s="696">
        <v>49.149869831887329</v>
      </c>
      <c r="EG186" s="489">
        <v>24.651365391012771</v>
      </c>
      <c r="EH186" s="489">
        <v>20.566514854323575</v>
      </c>
      <c r="EI186" s="696">
        <v>45.217880245336346</v>
      </c>
      <c r="EJ186" s="489">
        <v>22.67925615973175</v>
      </c>
      <c r="EK186" s="489">
        <v>18.92119366597769</v>
      </c>
      <c r="EL186" s="696">
        <v>41.60044982570944</v>
      </c>
      <c r="EM186" s="489">
        <v>22.67925615973175</v>
      </c>
      <c r="EN186" s="489">
        <v>18.92119366597769</v>
      </c>
      <c r="EO186" s="696">
        <v>41.60044982570944</v>
      </c>
      <c r="EP186" s="489">
        <v>22.67925615973175</v>
      </c>
      <c r="EQ186" s="489">
        <v>18.92119366597769</v>
      </c>
      <c r="ER186" s="696">
        <v>41.60044982570944</v>
      </c>
      <c r="ES186" s="489">
        <v>46.654826883117302</v>
      </c>
      <c r="ET186" s="489">
        <v>56.1154237161062</v>
      </c>
      <c r="EU186" s="696">
        <v>65.576020549095006</v>
      </c>
      <c r="EV186" s="489">
        <v>46.654826883117302</v>
      </c>
      <c r="EW186" s="489">
        <v>56.1154237161062</v>
      </c>
      <c r="EX186" s="696">
        <v>65.576020549095006</v>
      </c>
      <c r="EY186" s="489">
        <v>46.654826883117302</v>
      </c>
      <c r="EZ186" s="489">
        <v>56.1154237161062</v>
      </c>
      <c r="FA186" s="536">
        <v>65.576020549095006</v>
      </c>
    </row>
    <row r="187" spans="1:184" ht="13.35" hidden="1" customHeight="1" outlineLevel="1">
      <c r="C187" s="177" t="s">
        <v>178</v>
      </c>
      <c r="D187" s="294" t="s">
        <v>507</v>
      </c>
      <c r="BS187" s="286"/>
      <c r="BU187" s="353"/>
      <c r="BV187" s="259"/>
      <c r="BW187" s="259"/>
      <c r="BX187" s="260"/>
      <c r="BY187" s="264"/>
      <c r="BZ187" s="264"/>
      <c r="CA187" s="82"/>
      <c r="CB187" s="264"/>
      <c r="CC187" s="264"/>
      <c r="CD187" s="82"/>
      <c r="CE187" s="264"/>
      <c r="CF187" s="264"/>
      <c r="CG187" s="82"/>
      <c r="CH187" s="264"/>
      <c r="CI187" s="264"/>
      <c r="CJ187" s="82"/>
      <c r="CK187" s="82"/>
      <c r="CL187" s="264"/>
      <c r="CM187" s="82"/>
      <c r="CN187" s="264"/>
      <c r="CO187" s="264"/>
      <c r="CP187" s="82"/>
      <c r="CQ187" s="264"/>
      <c r="CR187" s="264"/>
      <c r="CS187" s="82"/>
      <c r="CT187" s="264"/>
      <c r="CU187" s="264"/>
      <c r="CV187" s="82"/>
      <c r="CW187" s="264"/>
      <c r="CX187" s="264"/>
      <c r="CY187" s="562"/>
      <c r="CZ187" s="526"/>
      <c r="DA187" s="526"/>
      <c r="DB187" s="562"/>
      <c r="DC187" s="526"/>
      <c r="DD187" s="526"/>
      <c r="DE187" s="796"/>
      <c r="DF187" s="526"/>
      <c r="DG187" s="526"/>
      <c r="DH187" s="796"/>
      <c r="DI187" s="526">
        <v>-0.08</v>
      </c>
      <c r="DJ187" s="526">
        <v>-0.08</v>
      </c>
      <c r="DK187" s="678">
        <v>-8.0000000000000071E-2</v>
      </c>
      <c r="DL187" s="526">
        <v>-0.08</v>
      </c>
      <c r="DM187" s="526">
        <v>-0.08</v>
      </c>
      <c r="DN187" s="678">
        <v>-8.0000000000000071E-2</v>
      </c>
      <c r="DO187" s="526">
        <v>-0.08</v>
      </c>
      <c r="DP187" s="526">
        <v>-0.08</v>
      </c>
      <c r="DQ187" s="678">
        <v>-7.9999999999999849E-2</v>
      </c>
      <c r="DR187" s="526">
        <v>-0.08</v>
      </c>
      <c r="DS187" s="526">
        <v>-0.08</v>
      </c>
      <c r="DT187" s="678">
        <v>-7.999999999999996E-2</v>
      </c>
      <c r="DU187" s="526">
        <v>-0.08</v>
      </c>
      <c r="DV187" s="526">
        <v>-0.08</v>
      </c>
      <c r="DW187" s="678">
        <v>-7.999999999999996E-2</v>
      </c>
      <c r="DX187" s="526">
        <v>-0.08</v>
      </c>
      <c r="DY187" s="526">
        <v>-0.08</v>
      </c>
      <c r="DZ187" s="678">
        <v>-7.999999999999996E-2</v>
      </c>
      <c r="EA187" s="526">
        <v>-0.08</v>
      </c>
      <c r="EB187" s="526">
        <v>-0.08</v>
      </c>
      <c r="EC187" s="678">
        <v>-7.999999999999996E-2</v>
      </c>
      <c r="ED187" s="526">
        <v>-0.08</v>
      </c>
      <c r="EE187" s="526">
        <v>-0.08</v>
      </c>
      <c r="EF187" s="678">
        <v>-8.0000000000000071E-2</v>
      </c>
      <c r="EG187" s="526">
        <v>-0.08</v>
      </c>
      <c r="EH187" s="526">
        <v>-0.08</v>
      </c>
      <c r="EI187" s="678">
        <v>-7.999999999999996E-2</v>
      </c>
      <c r="EJ187" s="526">
        <v>-0.08</v>
      </c>
      <c r="EK187" s="526">
        <v>-0.08</v>
      </c>
      <c r="EL187" s="678">
        <v>-7.999999999999996E-2</v>
      </c>
      <c r="EM187" s="526">
        <v>-0.08</v>
      </c>
      <c r="EN187" s="526">
        <v>-0.08</v>
      </c>
      <c r="EO187" s="678">
        <v>-7.999999999999996E-2</v>
      </c>
      <c r="EP187" s="526">
        <v>-0.08</v>
      </c>
      <c r="EQ187" s="526">
        <v>-0.08</v>
      </c>
      <c r="ER187" s="678">
        <v>-7.999999999999996E-2</v>
      </c>
      <c r="ES187" s="526">
        <v>-0.08</v>
      </c>
      <c r="ET187" s="526">
        <v>-0.08</v>
      </c>
      <c r="EU187" s="678">
        <v>-0.08</v>
      </c>
      <c r="EV187" s="526">
        <v>-0.08</v>
      </c>
      <c r="EW187" s="526">
        <v>-0.08</v>
      </c>
      <c r="EX187" s="678">
        <v>-0.08</v>
      </c>
      <c r="EY187" s="526">
        <v>-0.08</v>
      </c>
      <c r="EZ187" s="526">
        <v>-0.08</v>
      </c>
      <c r="FA187" s="563">
        <v>-0.08</v>
      </c>
    </row>
    <row r="188" spans="1:184" ht="13.35" hidden="1" customHeight="1" outlineLevel="1">
      <c r="DE188" s="795"/>
      <c r="DH188" s="795"/>
      <c r="DI188" s="560" t="e">
        <v>#DIV/0!</v>
      </c>
      <c r="DK188" s="703"/>
      <c r="DN188" s="703"/>
      <c r="DQ188" s="703"/>
      <c r="DT188" s="703"/>
      <c r="DW188" s="703"/>
      <c r="DZ188" s="703"/>
      <c r="EC188" s="703"/>
      <c r="EF188" s="703"/>
      <c r="EI188" s="703"/>
      <c r="EL188" s="703"/>
      <c r="EO188" s="703"/>
      <c r="ER188" s="703"/>
      <c r="EU188" s="703"/>
      <c r="EX188" s="703"/>
    </row>
    <row r="189" spans="1:184" ht="13.35" hidden="1" customHeight="1" outlineLevel="1">
      <c r="C189" s="177" t="s">
        <v>768</v>
      </c>
      <c r="D189" s="294" t="s">
        <v>406</v>
      </c>
      <c r="BS189" s="198"/>
      <c r="BU189" s="254"/>
      <c r="BV189" s="198"/>
      <c r="BW189" s="198"/>
      <c r="BX189" s="79"/>
      <c r="BY189" s="198"/>
      <c r="BZ189" s="198"/>
      <c r="CA189" s="253"/>
      <c r="CB189" s="198"/>
      <c r="CC189" s="198"/>
      <c r="CD189" s="253"/>
      <c r="CE189" s="198"/>
      <c r="CF189" s="198"/>
      <c r="CG189" s="253"/>
      <c r="CH189" s="198"/>
      <c r="CI189" s="198"/>
      <c r="CJ189" s="253"/>
      <c r="CK189" s="198"/>
      <c r="CL189" s="198"/>
      <c r="CM189" s="253"/>
      <c r="CN189" s="198"/>
      <c r="CO189" s="198"/>
      <c r="CP189" s="253"/>
      <c r="CQ189" s="198"/>
      <c r="CR189" s="198"/>
      <c r="CS189" s="253"/>
      <c r="CT189" s="198"/>
      <c r="CU189" s="198"/>
      <c r="CV189" s="253"/>
      <c r="CW189" s="198"/>
      <c r="CX189" s="198"/>
      <c r="CY189" s="521"/>
      <c r="CZ189" s="489"/>
      <c r="DA189" s="489"/>
      <c r="DB189" s="488"/>
      <c r="DC189" s="489"/>
      <c r="DD189" s="489"/>
      <c r="DE189" s="783"/>
      <c r="DF189" s="489"/>
      <c r="DG189" s="489"/>
      <c r="DH189" s="783"/>
      <c r="DI189" s="489">
        <f t="shared" ref="DI189:EU189" si="256">DI262/DI$133</f>
        <v>33.458758060256621</v>
      </c>
      <c r="DJ189" s="489">
        <f t="shared" si="256"/>
        <v>34.997593034562648</v>
      </c>
      <c r="DK189" s="696">
        <f t="shared" si="256"/>
        <v>34.197801593359706</v>
      </c>
      <c r="DL189" s="489">
        <f t="shared" si="256"/>
        <v>47.491850389658779</v>
      </c>
      <c r="DM189" s="489">
        <f t="shared" si="256"/>
        <v>47.751641071809587</v>
      </c>
      <c r="DN189" s="696">
        <f t="shared" si="256"/>
        <v>47.619087633935671</v>
      </c>
      <c r="DO189" s="489">
        <f t="shared" si="256"/>
        <v>42.847200114495166</v>
      </c>
      <c r="DP189" s="489">
        <f t="shared" si="256"/>
        <v>40.933200874939629</v>
      </c>
      <c r="DQ189" s="696">
        <f t="shared" si="256"/>
        <v>41.845371049724044</v>
      </c>
      <c r="DR189" s="489">
        <f t="shared" si="256"/>
        <v>41.549593460892055</v>
      </c>
      <c r="DS189" s="489">
        <f t="shared" si="256"/>
        <v>34.057043820403322</v>
      </c>
      <c r="DT189" s="696">
        <f t="shared" si="256"/>
        <v>37.591265348935742</v>
      </c>
      <c r="DU189" s="489">
        <f t="shared" si="256"/>
        <v>27.531883463802803</v>
      </c>
      <c r="DV189" s="489">
        <f>DV262/DV$133</f>
        <v>25.085425267177708</v>
      </c>
      <c r="DW189" s="696">
        <f>DW262/DW$133</f>
        <v>26.239414982566903</v>
      </c>
      <c r="DX189" s="489">
        <f t="shared" si="256"/>
        <v>22.645678890022101</v>
      </c>
      <c r="DY189" s="489">
        <f t="shared" si="256"/>
        <v>24.147652359993497</v>
      </c>
      <c r="DZ189" s="696">
        <f t="shared" si="256"/>
        <v>23.464440264846392</v>
      </c>
      <c r="EA189" s="489">
        <f t="shared" si="256"/>
        <v>22.222395172451591</v>
      </c>
      <c r="EB189" s="489">
        <f t="shared" si="256"/>
        <v>23.696294371956235</v>
      </c>
      <c r="EC189" s="696">
        <f t="shared" si="256"/>
        <v>23.025852596344585</v>
      </c>
      <c r="ED189" s="489">
        <f t="shared" si="256"/>
        <v>21.807023300069321</v>
      </c>
      <c r="EE189" s="489">
        <f t="shared" si="256"/>
        <v>23.25337298182621</v>
      </c>
      <c r="EF189" s="696">
        <f t="shared" si="256"/>
        <v>22.595462828188616</v>
      </c>
      <c r="EG189" s="489">
        <f t="shared" si="256"/>
        <v>21.399415387918491</v>
      </c>
      <c r="EH189" s="489">
        <f t="shared" si="256"/>
        <v>22.818730496184596</v>
      </c>
      <c r="EI189" s="696">
        <f t="shared" si="256"/>
        <v>22.173117728596303</v>
      </c>
      <c r="EJ189" s="489">
        <f t="shared" si="256"/>
        <v>20.999426315247113</v>
      </c>
      <c r="EK189" s="489">
        <f t="shared" si="256"/>
        <v>22.392212169153108</v>
      </c>
      <c r="EL189" s="696">
        <f t="shared" si="256"/>
        <v>21.758666929930946</v>
      </c>
      <c r="EM189" s="489">
        <f t="shared" si="256"/>
        <v>20.606913673840626</v>
      </c>
      <c r="EN189" s="489">
        <f t="shared" si="256"/>
        <v>21.973666147299781</v>
      </c>
      <c r="EO189" s="696">
        <f t="shared" si="256"/>
        <v>21.351962875165889</v>
      </c>
      <c r="EP189" s="489">
        <f t="shared" si="256"/>
        <v>20.221737717320242</v>
      </c>
      <c r="EQ189" s="489">
        <f t="shared" si="256"/>
        <v>21.562943415574551</v>
      </c>
      <c r="ER189" s="696">
        <f t="shared" si="256"/>
        <v>20.952860765349698</v>
      </c>
      <c r="ES189" s="489">
        <f t="shared" si="256"/>
        <v>19.84376131138902</v>
      </c>
      <c r="ET189" s="489">
        <f t="shared" si="256"/>
        <v>21.159897744255403</v>
      </c>
      <c r="EU189" s="696">
        <f t="shared" si="256"/>
        <v>20.561218508053443</v>
      </c>
      <c r="EV189" s="489">
        <f t="shared" ref="EV189:FA189" si="257">EV262/EV$133</f>
        <v>19.472849885007918</v>
      </c>
      <c r="EW189" s="489">
        <f t="shared" si="257"/>
        <v>20.764385636886143</v>
      </c>
      <c r="EX189" s="696">
        <f t="shared" si="257"/>
        <v>20.176896666781417</v>
      </c>
      <c r="EY189" s="489">
        <f t="shared" si="257"/>
        <v>19.108871382484406</v>
      </c>
      <c r="EZ189" s="489">
        <f t="shared" si="257"/>
        <v>20.376266279187334</v>
      </c>
      <c r="FA189" s="536">
        <f t="shared" si="257"/>
        <v>19.799758411327559</v>
      </c>
    </row>
    <row r="190" spans="1:184" ht="13.35" hidden="1" customHeight="1" outlineLevel="1">
      <c r="A190" s="760"/>
      <c r="C190" s="177" t="s">
        <v>178</v>
      </c>
      <c r="D190" s="294" t="s">
        <v>507</v>
      </c>
      <c r="E190" s="251"/>
      <c r="F190" s="251"/>
      <c r="G190" s="252"/>
      <c r="H190" s="251"/>
      <c r="I190" s="251"/>
      <c r="J190" s="252"/>
      <c r="K190" s="251"/>
      <c r="L190" s="251"/>
      <c r="M190" s="252"/>
      <c r="N190" s="251"/>
      <c r="O190" s="251"/>
      <c r="P190" s="252"/>
      <c r="Q190" s="251"/>
      <c r="R190" s="251"/>
      <c r="S190" s="252"/>
      <c r="T190" s="251"/>
      <c r="U190" s="251"/>
      <c r="V190" s="252"/>
      <c r="W190" s="251"/>
      <c r="X190" s="251"/>
      <c r="Y190" s="252"/>
      <c r="Z190" s="251"/>
      <c r="AA190" s="251"/>
      <c r="AB190" s="252"/>
      <c r="AC190" s="251"/>
      <c r="AD190" s="251"/>
      <c r="AE190" s="252"/>
      <c r="AF190" s="251"/>
      <c r="AG190" s="251"/>
      <c r="AH190" s="252"/>
      <c r="AI190" s="251"/>
      <c r="AJ190" s="251"/>
      <c r="AK190" s="252"/>
      <c r="AL190" s="251"/>
      <c r="AM190" s="251"/>
      <c r="AN190" s="252"/>
      <c r="AO190" s="251"/>
      <c r="AP190" s="251"/>
      <c r="AQ190" s="252"/>
      <c r="AR190" s="251"/>
      <c r="AS190" s="251"/>
      <c r="AT190" s="252"/>
      <c r="AU190" s="251"/>
      <c r="AV190" s="251"/>
      <c r="AW190" s="252"/>
      <c r="AX190" s="251"/>
      <c r="AY190" s="251"/>
      <c r="AZ190" s="252"/>
      <c r="BA190" s="251"/>
      <c r="BB190" s="251"/>
      <c r="BC190" s="252"/>
      <c r="BD190" s="251"/>
      <c r="BE190" s="251"/>
      <c r="BF190" s="252"/>
      <c r="BG190" s="251"/>
      <c r="BH190" s="251"/>
      <c r="BI190" s="252"/>
      <c r="BJ190" s="251"/>
      <c r="BK190" s="251"/>
      <c r="BL190" s="252"/>
      <c r="BM190" s="282"/>
      <c r="BN190" s="282"/>
      <c r="BO190" s="253"/>
      <c r="BP190" s="284"/>
      <c r="BQ190" s="284"/>
      <c r="BR190" s="66"/>
      <c r="BS190" s="286"/>
      <c r="BT190" s="284"/>
      <c r="BU190" s="353"/>
      <c r="BV190" s="259"/>
      <c r="BW190" s="259"/>
      <c r="BX190" s="260"/>
      <c r="BY190" s="264"/>
      <c r="BZ190" s="264"/>
      <c r="CA190" s="82"/>
      <c r="CB190" s="264"/>
      <c r="CC190" s="264"/>
      <c r="CD190" s="82"/>
      <c r="CE190" s="264"/>
      <c r="CF190" s="264"/>
      <c r="CG190" s="82"/>
      <c r="CH190" s="264"/>
      <c r="CI190" s="264"/>
      <c r="CJ190" s="82"/>
      <c r="CK190" s="354"/>
      <c r="CL190" s="264"/>
      <c r="CM190" s="82"/>
      <c r="CN190" s="264"/>
      <c r="CO190" s="264"/>
      <c r="CP190" s="82"/>
      <c r="CQ190" s="354"/>
      <c r="CR190" s="264"/>
      <c r="CS190" s="82"/>
      <c r="CT190" s="264"/>
      <c r="CU190" s="264"/>
      <c r="CV190" s="82"/>
      <c r="CW190" s="354"/>
      <c r="CX190" s="264"/>
      <c r="CY190" s="562"/>
      <c r="CZ190" s="526"/>
      <c r="DA190" s="526"/>
      <c r="DB190" s="562"/>
      <c r="DC190" s="526"/>
      <c r="DD190" s="526"/>
      <c r="DE190" s="796"/>
      <c r="DF190" s="526"/>
      <c r="DG190" s="526"/>
      <c r="DH190" s="796"/>
      <c r="DI190" s="526" t="e">
        <f t="shared" ref="DI190:EL190" si="258">DI189/DF189-1</f>
        <v>#DIV/0!</v>
      </c>
      <c r="DJ190" s="526" t="e">
        <f t="shared" si="258"/>
        <v>#DIV/0!</v>
      </c>
      <c r="DK190" s="678" t="e">
        <f t="shared" si="258"/>
        <v>#DIV/0!</v>
      </c>
      <c r="DL190" s="526">
        <f t="shared" si="258"/>
        <v>0.41941462095304471</v>
      </c>
      <c r="DM190" s="526">
        <f t="shared" si="258"/>
        <v>0.36442643425939014</v>
      </c>
      <c r="DN190" s="678">
        <f t="shared" si="258"/>
        <v>0.39246049205636702</v>
      </c>
      <c r="DO190" s="526">
        <f t="shared" si="258"/>
        <v>-9.7798890484481427E-2</v>
      </c>
      <c r="DP190" s="526">
        <f t="shared" si="258"/>
        <v>-0.14278965170257274</v>
      </c>
      <c r="DQ190" s="678">
        <f t="shared" si="258"/>
        <v>-0.12124794638226111</v>
      </c>
      <c r="DR190" s="526">
        <f t="shared" si="258"/>
        <v>-3.0284514510532379E-2</v>
      </c>
      <c r="DS190" s="526">
        <f t="shared" si="258"/>
        <v>-0.16798483645450923</v>
      </c>
      <c r="DT190" s="678">
        <f t="shared" si="258"/>
        <v>-0.10166251592639075</v>
      </c>
      <c r="DU190" s="526">
        <f t="shared" si="258"/>
        <v>-0.3373729759903239</v>
      </c>
      <c r="DV190" s="526">
        <f>DV189/DS189-1</f>
        <v>-0.26342916315745479</v>
      </c>
      <c r="DW190" s="678">
        <f>DW189/DT189-1</f>
        <v>-0.3019810655745917</v>
      </c>
      <c r="DX190" s="526">
        <f t="shared" si="258"/>
        <v>-0.1774744027303754</v>
      </c>
      <c r="DY190" s="526">
        <f t="shared" si="258"/>
        <v>-3.7383177570093351E-2</v>
      </c>
      <c r="DZ190" s="678">
        <f t="shared" si="258"/>
        <v>-0.10575596748495208</v>
      </c>
      <c r="EA190" s="526">
        <f t="shared" si="258"/>
        <v>-1.8691588785046842E-2</v>
      </c>
      <c r="EB190" s="526">
        <f t="shared" si="258"/>
        <v>-1.8691588785046731E-2</v>
      </c>
      <c r="EC190" s="678">
        <f t="shared" si="258"/>
        <v>-1.8691588785046953E-2</v>
      </c>
      <c r="ED190" s="526">
        <f t="shared" si="258"/>
        <v>-1.869158878504662E-2</v>
      </c>
      <c r="EE190" s="526">
        <f t="shared" si="258"/>
        <v>-1.8691588785046731E-2</v>
      </c>
      <c r="EF190" s="678">
        <f t="shared" si="258"/>
        <v>-1.8691588785046509E-2</v>
      </c>
      <c r="EG190" s="526">
        <f t="shared" si="258"/>
        <v>-1.8691588785046842E-2</v>
      </c>
      <c r="EH190" s="526">
        <f t="shared" si="258"/>
        <v>-1.8691588785046842E-2</v>
      </c>
      <c r="EI190" s="678">
        <f t="shared" si="258"/>
        <v>-1.8691588785046842E-2</v>
      </c>
      <c r="EJ190" s="526">
        <f t="shared" si="258"/>
        <v>-1.8691588785046953E-2</v>
      </c>
      <c r="EK190" s="526">
        <f t="shared" si="258"/>
        <v>-1.8691588785046731E-2</v>
      </c>
      <c r="EL190" s="678">
        <f t="shared" si="258"/>
        <v>-1.8691588785046953E-2</v>
      </c>
      <c r="EM190" s="526">
        <f t="shared" ref="EM190:FA190" si="259">EM189/EJ189-1</f>
        <v>-1.8691588785046731E-2</v>
      </c>
      <c r="EN190" s="526">
        <f t="shared" si="259"/>
        <v>-1.869158878504662E-2</v>
      </c>
      <c r="EO190" s="678">
        <f t="shared" si="259"/>
        <v>-1.8691588785046398E-2</v>
      </c>
      <c r="EP190" s="526">
        <f t="shared" si="259"/>
        <v>-1.8691588785046731E-2</v>
      </c>
      <c r="EQ190" s="526">
        <f t="shared" si="259"/>
        <v>-1.8691588785046731E-2</v>
      </c>
      <c r="ER190" s="678">
        <f t="shared" si="259"/>
        <v>-1.8691588785047064E-2</v>
      </c>
      <c r="ES190" s="526">
        <f t="shared" si="259"/>
        <v>-1.8691588785046842E-2</v>
      </c>
      <c r="ET190" s="526">
        <f t="shared" si="259"/>
        <v>-1.869158878504662E-2</v>
      </c>
      <c r="EU190" s="678">
        <f t="shared" si="259"/>
        <v>-1.869158878504662E-2</v>
      </c>
      <c r="EV190" s="526">
        <f t="shared" si="259"/>
        <v>-1.8691588785046731E-2</v>
      </c>
      <c r="EW190" s="526">
        <f t="shared" si="259"/>
        <v>-1.8691588785046731E-2</v>
      </c>
      <c r="EX190" s="678">
        <f t="shared" si="259"/>
        <v>-1.8691588785046731E-2</v>
      </c>
      <c r="EY190" s="526">
        <f t="shared" si="259"/>
        <v>-1.8691588785046731E-2</v>
      </c>
      <c r="EZ190" s="526">
        <f t="shared" si="259"/>
        <v>-1.8691588785046842E-2</v>
      </c>
      <c r="FA190" s="563">
        <f t="shared" si="259"/>
        <v>-1.8691588785046731E-2</v>
      </c>
    </row>
    <row r="191" spans="1:184" ht="13.35" hidden="1" customHeight="1" outlineLevel="1">
      <c r="A191" s="760"/>
      <c r="D191" s="250"/>
      <c r="E191" s="251"/>
      <c r="F191" s="251"/>
      <c r="G191" s="252"/>
      <c r="H191" s="251"/>
      <c r="I191" s="251"/>
      <c r="J191" s="252"/>
      <c r="K191" s="251"/>
      <c r="L191" s="251"/>
      <c r="M191" s="252"/>
      <c r="N191" s="251"/>
      <c r="O191" s="251"/>
      <c r="P191" s="252"/>
      <c r="Q191" s="251"/>
      <c r="R191" s="251"/>
      <c r="S191" s="252"/>
      <c r="T191" s="251"/>
      <c r="U191" s="251"/>
      <c r="V191" s="252"/>
      <c r="W191" s="251"/>
      <c r="X191" s="251"/>
      <c r="Y191" s="252"/>
      <c r="Z191" s="251"/>
      <c r="AA191" s="251"/>
      <c r="AB191" s="252"/>
      <c r="AC191" s="251"/>
      <c r="AD191" s="251"/>
      <c r="AE191" s="252"/>
      <c r="AF191" s="251"/>
      <c r="AG191" s="251"/>
      <c r="AH191" s="252"/>
      <c r="AI191" s="251"/>
      <c r="AJ191" s="251"/>
      <c r="AK191" s="252"/>
      <c r="AL191" s="251"/>
      <c r="AM191" s="251"/>
      <c r="AN191" s="252"/>
      <c r="AO191" s="251"/>
      <c r="AP191" s="251"/>
      <c r="AQ191" s="252"/>
      <c r="AR191" s="251"/>
      <c r="AS191" s="251"/>
      <c r="AT191" s="252"/>
      <c r="AU191" s="251"/>
      <c r="AV191" s="251"/>
      <c r="AW191" s="252"/>
      <c r="AX191" s="251"/>
      <c r="AY191" s="251"/>
      <c r="AZ191" s="252"/>
      <c r="BA191" s="251"/>
      <c r="BB191" s="251"/>
      <c r="BC191" s="252"/>
      <c r="BD191" s="251"/>
      <c r="BE191" s="251"/>
      <c r="BF191" s="252"/>
      <c r="BG191" s="251"/>
      <c r="BH191" s="251"/>
      <c r="BI191" s="252"/>
      <c r="BJ191" s="251"/>
      <c r="BK191" s="251"/>
      <c r="BL191" s="252"/>
      <c r="BM191" s="282"/>
      <c r="BN191" s="282"/>
      <c r="BO191" s="252"/>
      <c r="BP191" s="282"/>
      <c r="BQ191" s="282"/>
      <c r="BR191" s="252"/>
      <c r="BS191" s="282"/>
      <c r="BT191" s="282"/>
      <c r="BU191" s="293"/>
      <c r="BV191" s="282"/>
      <c r="BW191" s="282"/>
      <c r="BX191" s="132"/>
      <c r="BY191" s="264"/>
      <c r="BZ191" s="264"/>
      <c r="CA191" s="82"/>
      <c r="CB191" s="264"/>
      <c r="CC191" s="264"/>
      <c r="CD191" s="82"/>
      <c r="CE191" s="264"/>
      <c r="CF191" s="264"/>
      <c r="CG191" s="82"/>
      <c r="CH191" s="264"/>
      <c r="CI191" s="264"/>
      <c r="CJ191" s="82"/>
      <c r="CK191" s="264"/>
      <c r="CL191" s="264"/>
      <c r="CM191" s="82"/>
      <c r="CN191" s="264"/>
      <c r="CO191" s="264"/>
      <c r="CP191" s="82"/>
      <c r="CQ191" s="267"/>
      <c r="CR191" s="264"/>
      <c r="CS191" s="82"/>
      <c r="CT191" s="264"/>
      <c r="CU191" s="264"/>
      <c r="CV191" s="82"/>
      <c r="CW191" s="264"/>
      <c r="CX191" s="264"/>
      <c r="CY191" s="562"/>
      <c r="CZ191" s="526"/>
      <c r="DA191" s="526"/>
      <c r="DB191" s="562"/>
      <c r="DC191" s="526"/>
      <c r="DD191" s="526"/>
      <c r="DE191" s="796"/>
      <c r="DF191" s="526"/>
      <c r="DG191" s="526"/>
      <c r="DH191" s="796"/>
      <c r="DI191" s="526"/>
      <c r="DJ191" s="526"/>
      <c r="DK191" s="678"/>
      <c r="DL191" s="526"/>
      <c r="DM191" s="526"/>
      <c r="DN191" s="678"/>
      <c r="DO191" s="526"/>
      <c r="DP191" s="526"/>
      <c r="DQ191" s="678"/>
      <c r="DR191" s="526"/>
      <c r="DS191" s="526"/>
      <c r="DT191" s="678"/>
      <c r="DU191" s="526"/>
      <c r="DV191" s="526"/>
      <c r="DW191" s="678"/>
      <c r="DX191" s="526"/>
      <c r="DY191" s="526"/>
      <c r="DZ191" s="678"/>
      <c r="EA191" s="526"/>
      <c r="EB191" s="526"/>
      <c r="EC191" s="678"/>
      <c r="ED191" s="526"/>
      <c r="EE191" s="526"/>
      <c r="EF191" s="678"/>
      <c r="EG191" s="526"/>
      <c r="EH191" s="526"/>
      <c r="EI191" s="678"/>
      <c r="EJ191" s="526"/>
      <c r="EK191" s="526"/>
      <c r="EL191" s="678"/>
      <c r="EM191" s="526"/>
      <c r="EN191" s="526"/>
      <c r="EO191" s="678"/>
      <c r="EP191" s="526"/>
      <c r="EQ191" s="526"/>
      <c r="ER191" s="678"/>
      <c r="ES191" s="526"/>
      <c r="ET191" s="526"/>
      <c r="EU191" s="678"/>
      <c r="EV191" s="526"/>
      <c r="EW191" s="526"/>
      <c r="EX191" s="678"/>
      <c r="EY191" s="526"/>
      <c r="EZ191" s="526"/>
      <c r="FA191" s="563"/>
    </row>
    <row r="192" spans="1:184" ht="13.35" hidden="1" customHeight="1" outlineLevel="1">
      <c r="A192" s="760"/>
      <c r="C192" s="177" t="s">
        <v>657</v>
      </c>
      <c r="D192" s="294" t="s">
        <v>406</v>
      </c>
      <c r="E192" s="251"/>
      <c r="F192" s="251"/>
      <c r="G192" s="252"/>
      <c r="H192" s="251"/>
      <c r="I192" s="251"/>
      <c r="J192" s="252"/>
      <c r="K192" s="251"/>
      <c r="L192" s="251"/>
      <c r="M192" s="252"/>
      <c r="N192" s="251"/>
      <c r="O192" s="251"/>
      <c r="P192" s="252"/>
      <c r="Q192" s="251"/>
      <c r="R192" s="251"/>
      <c r="S192" s="252"/>
      <c r="T192" s="251"/>
      <c r="U192" s="251"/>
      <c r="V192" s="252"/>
      <c r="W192" s="251"/>
      <c r="X192" s="251"/>
      <c r="Y192" s="252"/>
      <c r="Z192" s="251"/>
      <c r="AA192" s="251"/>
      <c r="AB192" s="252"/>
      <c r="AC192" s="251"/>
      <c r="AD192" s="251"/>
      <c r="AE192" s="252"/>
      <c r="AF192" s="251"/>
      <c r="AG192" s="251"/>
      <c r="AH192" s="252"/>
      <c r="AI192" s="251"/>
      <c r="AJ192" s="251"/>
      <c r="AK192" s="252"/>
      <c r="AL192" s="251"/>
      <c r="AM192" s="251"/>
      <c r="AN192" s="252"/>
      <c r="AO192" s="251"/>
      <c r="AP192" s="251"/>
      <c r="AQ192" s="252"/>
      <c r="AR192" s="251"/>
      <c r="AS192" s="251"/>
      <c r="AT192" s="252"/>
      <c r="AU192" s="251"/>
      <c r="AV192" s="251"/>
      <c r="AW192" s="252"/>
      <c r="AX192" s="251"/>
      <c r="AY192" s="251"/>
      <c r="AZ192" s="252"/>
      <c r="BA192" s="251"/>
      <c r="BB192" s="251"/>
      <c r="BC192" s="252"/>
      <c r="BD192" s="251"/>
      <c r="BE192" s="251"/>
      <c r="BF192" s="252"/>
      <c r="BG192" s="251"/>
      <c r="BH192" s="251"/>
      <c r="BI192" s="252"/>
      <c r="BJ192" s="251"/>
      <c r="BK192" s="251"/>
      <c r="BL192" s="252"/>
      <c r="BM192" s="282"/>
      <c r="BN192" s="282"/>
      <c r="BO192" s="252"/>
      <c r="BP192" s="282"/>
      <c r="BQ192" s="282"/>
      <c r="BR192" s="252"/>
      <c r="BS192" s="198"/>
      <c r="BT192" s="282"/>
      <c r="BU192" s="254"/>
      <c r="BV192" s="198"/>
      <c r="BW192" s="198"/>
      <c r="BX192" s="79"/>
      <c r="BY192" s="198"/>
      <c r="BZ192" s="198"/>
      <c r="CA192" s="79"/>
      <c r="CB192" s="198"/>
      <c r="CC192" s="198"/>
      <c r="CD192" s="79"/>
      <c r="CE192" s="198"/>
      <c r="CF192" s="198"/>
      <c r="CG192" s="79"/>
      <c r="CH192" s="198"/>
      <c r="CI192" s="198"/>
      <c r="CJ192" s="79"/>
      <c r="CK192" s="198"/>
      <c r="CL192" s="198"/>
      <c r="CM192" s="79"/>
      <c r="CN192" s="198"/>
      <c r="CO192" s="198"/>
      <c r="CP192" s="79"/>
      <c r="CQ192" s="198"/>
      <c r="CR192" s="198"/>
      <c r="CS192" s="79"/>
      <c r="CT192" s="198"/>
      <c r="CU192" s="198"/>
      <c r="CV192" s="79"/>
      <c r="CW192" s="198"/>
      <c r="CX192" s="198"/>
      <c r="CY192" s="488"/>
      <c r="CZ192" s="489"/>
      <c r="DA192" s="489"/>
      <c r="DB192" s="488"/>
      <c r="DC192" s="489"/>
      <c r="DD192" s="489"/>
      <c r="DE192" s="783"/>
      <c r="DF192" s="489"/>
      <c r="DG192" s="489"/>
      <c r="DH192" s="783"/>
      <c r="DI192" s="489">
        <f t="shared" ref="DI192:EL192" si="260">DI195-DI189-DI183</f>
        <v>64.916374531628506</v>
      </c>
      <c r="DJ192" s="489">
        <f t="shared" si="260"/>
        <v>73.91191549153389</v>
      </c>
      <c r="DK192" s="696">
        <f t="shared" si="260"/>
        <v>69.23658851440473</v>
      </c>
      <c r="DL192" s="489">
        <f t="shared" si="260"/>
        <v>79.17449087944911</v>
      </c>
      <c r="DM192" s="489">
        <f t="shared" si="260"/>
        <v>80.728259325243428</v>
      </c>
      <c r="DN192" s="696">
        <f t="shared" si="260"/>
        <v>79.935477430816235</v>
      </c>
      <c r="DO192" s="489">
        <f t="shared" si="260"/>
        <v>69.417536511925618</v>
      </c>
      <c r="DP192" s="489">
        <f t="shared" si="260"/>
        <v>62.712276549265461</v>
      </c>
      <c r="DQ192" s="696">
        <f t="shared" si="260"/>
        <v>65.907856790736702</v>
      </c>
      <c r="DR192" s="489">
        <f t="shared" si="260"/>
        <v>61.684730541314032</v>
      </c>
      <c r="DS192" s="489">
        <f t="shared" si="260"/>
        <v>56.727672145880121</v>
      </c>
      <c r="DT192" s="696">
        <f t="shared" si="260"/>
        <v>59.06590723806594</v>
      </c>
      <c r="DU192" s="489">
        <f t="shared" si="260"/>
        <v>52.435897293157332</v>
      </c>
      <c r="DV192" s="489">
        <f>DV195-DV189-DV183</f>
        <v>47.399126256077338</v>
      </c>
      <c r="DW192" s="696">
        <f>DW195-DW189-DW183</f>
        <v>49.7749616509264</v>
      </c>
      <c r="DX192" s="489">
        <f t="shared" si="260"/>
        <v>56.0075343301964</v>
      </c>
      <c r="DY192" s="489">
        <f t="shared" si="260"/>
        <v>49.666835605435466</v>
      </c>
      <c r="DZ192" s="696">
        <f t="shared" si="260"/>
        <v>52.55106901371466</v>
      </c>
      <c r="EA192" s="489">
        <f t="shared" si="260"/>
        <v>54.334603496965435</v>
      </c>
      <c r="EB192" s="489">
        <f t="shared" si="260"/>
        <v>46.979041544708224</v>
      </c>
      <c r="EC192" s="696">
        <f t="shared" si="260"/>
        <v>50.324912156178939</v>
      </c>
      <c r="ED192" s="489">
        <f t="shared" si="260"/>
        <v>51.371123937292822</v>
      </c>
      <c r="EE192" s="489">
        <f t="shared" si="260"/>
        <v>43.978938104205554</v>
      </c>
      <c r="EF192" s="696">
        <f t="shared" si="260"/>
        <v>47.341468050114969</v>
      </c>
      <c r="EG192" s="489">
        <f t="shared" si="260"/>
        <v>48.987960206174847</v>
      </c>
      <c r="EH192" s="489">
        <f t="shared" si="260"/>
        <v>41.421676203595752</v>
      </c>
      <c r="EI192" s="696">
        <f t="shared" si="260"/>
        <v>44.863399276093531</v>
      </c>
      <c r="EJ192" s="489">
        <f t="shared" si="260"/>
        <v>48.515890455781147</v>
      </c>
      <c r="EK192" s="489">
        <f t="shared" si="260"/>
        <v>40.50235947400315</v>
      </c>
      <c r="EL192" s="696">
        <f t="shared" si="260"/>
        <v>44.147524585801733</v>
      </c>
      <c r="EM192" s="489">
        <f t="shared" ref="EM192:ER192" si="261">EM195-EM189-EM183</f>
        <v>42.892860518413158</v>
      </c>
      <c r="EN192" s="489">
        <f t="shared" si="261"/>
        <v>34.803879192609543</v>
      </c>
      <c r="EO192" s="696">
        <f t="shared" si="261"/>
        <v>38.483364875744385</v>
      </c>
      <c r="EP192" s="489">
        <f t="shared" si="261"/>
        <v>36.463545811272176</v>
      </c>
      <c r="EQ192" s="489">
        <f t="shared" si="261"/>
        <v>28.242668968977288</v>
      </c>
      <c r="ER192" s="696">
        <f t="shared" si="261"/>
        <v>31.982150793165282</v>
      </c>
      <c r="ES192" s="489">
        <f t="shared" ref="ES192:FA192" si="262">ES195-ES189-ES183</f>
        <v>29.040413949684662</v>
      </c>
      <c r="ET192" s="489">
        <f t="shared" si="262"/>
        <v>20.620432834669266</v>
      </c>
      <c r="EU192" s="696">
        <f t="shared" si="262"/>
        <v>24.450482468500859</v>
      </c>
      <c r="EV192" s="489">
        <f t="shared" si="262"/>
        <v>20.396325761109033</v>
      </c>
      <c r="EW192" s="489">
        <f t="shared" si="262"/>
        <v>11.696888365030354</v>
      </c>
      <c r="EX192" s="696">
        <f t="shared" si="262"/>
        <v>15.654056030641115</v>
      </c>
      <c r="EY192" s="489">
        <f t="shared" si="262"/>
        <v>10.255979856002227</v>
      </c>
      <c r="EZ192" s="489">
        <f t="shared" si="262"/>
        <v>1.1807036093956143</v>
      </c>
      <c r="FA192" s="536">
        <f t="shared" si="262"/>
        <v>5.3088314508287695</v>
      </c>
    </row>
    <row r="193" spans="1:184" ht="13.35" hidden="1" customHeight="1" outlineLevel="1">
      <c r="A193" s="760"/>
      <c r="C193" s="177" t="s">
        <v>178</v>
      </c>
      <c r="D193" s="294" t="s">
        <v>507</v>
      </c>
      <c r="E193" s="251"/>
      <c r="F193" s="251"/>
      <c r="G193" s="252"/>
      <c r="H193" s="251"/>
      <c r="I193" s="251"/>
      <c r="J193" s="252"/>
      <c r="K193" s="251"/>
      <c r="L193" s="251"/>
      <c r="M193" s="252"/>
      <c r="N193" s="251"/>
      <c r="O193" s="251"/>
      <c r="P193" s="252"/>
      <c r="Q193" s="251"/>
      <c r="R193" s="251"/>
      <c r="S193" s="252"/>
      <c r="T193" s="251"/>
      <c r="U193" s="251"/>
      <c r="V193" s="252"/>
      <c r="W193" s="251"/>
      <c r="X193" s="251"/>
      <c r="Y193" s="252"/>
      <c r="Z193" s="251"/>
      <c r="AA193" s="251"/>
      <c r="AB193" s="252"/>
      <c r="AC193" s="251"/>
      <c r="AD193" s="251"/>
      <c r="AE193" s="252"/>
      <c r="AF193" s="251"/>
      <c r="AG193" s="251"/>
      <c r="AH193" s="252"/>
      <c r="AI193" s="251"/>
      <c r="AJ193" s="251"/>
      <c r="AK193" s="252"/>
      <c r="AL193" s="251"/>
      <c r="AM193" s="251"/>
      <c r="AN193" s="252"/>
      <c r="AO193" s="251"/>
      <c r="AP193" s="251"/>
      <c r="AQ193" s="252"/>
      <c r="AR193" s="251"/>
      <c r="AS193" s="251"/>
      <c r="AT193" s="252"/>
      <c r="AU193" s="251"/>
      <c r="AV193" s="251"/>
      <c r="AW193" s="252"/>
      <c r="AX193" s="251"/>
      <c r="AY193" s="251"/>
      <c r="AZ193" s="252"/>
      <c r="BA193" s="251"/>
      <c r="BB193" s="251"/>
      <c r="BC193" s="252"/>
      <c r="BD193" s="251"/>
      <c r="BE193" s="251"/>
      <c r="BF193" s="252"/>
      <c r="BG193" s="251"/>
      <c r="BH193" s="251"/>
      <c r="BI193" s="252"/>
      <c r="BJ193" s="251"/>
      <c r="BK193" s="251"/>
      <c r="BL193" s="252"/>
      <c r="BM193" s="198"/>
      <c r="BN193" s="198"/>
      <c r="BS193" s="286"/>
      <c r="BU193" s="353"/>
      <c r="BV193" s="259"/>
      <c r="BW193" s="259"/>
      <c r="BX193" s="287"/>
      <c r="BY193" s="264"/>
      <c r="BZ193" s="264"/>
      <c r="CA193" s="287"/>
      <c r="CB193" s="264"/>
      <c r="CC193" s="264"/>
      <c r="CD193" s="287"/>
      <c r="CE193" s="264"/>
      <c r="CF193" s="264"/>
      <c r="CG193" s="287"/>
      <c r="CH193" s="264"/>
      <c r="CI193" s="264"/>
      <c r="CJ193" s="287"/>
      <c r="CK193" s="355"/>
      <c r="CL193" s="284"/>
      <c r="CM193" s="287"/>
      <c r="CN193" s="286"/>
      <c r="CO193" s="286"/>
      <c r="CP193" s="287"/>
      <c r="CQ193" s="355"/>
      <c r="CR193" s="284"/>
      <c r="CS193" s="287"/>
      <c r="CT193" s="284"/>
      <c r="CU193" s="284"/>
      <c r="CV193" s="287"/>
      <c r="CW193" s="355"/>
      <c r="CX193" s="284"/>
      <c r="CY193" s="303"/>
      <c r="CZ193" s="526"/>
      <c r="DA193" s="526"/>
      <c r="DB193" s="562"/>
      <c r="DC193" s="526"/>
      <c r="DD193" s="526"/>
      <c r="DE193" s="796"/>
      <c r="DF193" s="526"/>
      <c r="DG193" s="526"/>
      <c r="DH193" s="796"/>
      <c r="DI193" s="526" t="e">
        <f t="shared" ref="DI193:EL193" si="263">DI192/DF192-1</f>
        <v>#DIV/0!</v>
      </c>
      <c r="DJ193" s="526" t="e">
        <f t="shared" si="263"/>
        <v>#DIV/0!</v>
      </c>
      <c r="DK193" s="678" t="e">
        <f t="shared" si="263"/>
        <v>#DIV/0!</v>
      </c>
      <c r="DL193" s="526">
        <f t="shared" si="263"/>
        <v>0.21963821070866762</v>
      </c>
      <c r="DM193" s="526">
        <f t="shared" si="263"/>
        <v>9.2222529863812186E-2</v>
      </c>
      <c r="DN193" s="678">
        <f t="shared" si="263"/>
        <v>0.15452651764010006</v>
      </c>
      <c r="DO193" s="526">
        <f t="shared" si="263"/>
        <v>-0.12323355994015051</v>
      </c>
      <c r="DP193" s="526">
        <f t="shared" si="263"/>
        <v>-0.22316823038874112</v>
      </c>
      <c r="DQ193" s="678">
        <f t="shared" si="263"/>
        <v>-0.17548679373586495</v>
      </c>
      <c r="DR193" s="526">
        <f t="shared" si="263"/>
        <v>-0.1113955688888949</v>
      </c>
      <c r="DS193" s="526">
        <f t="shared" si="263"/>
        <v>-9.5429551161070658E-2</v>
      </c>
      <c r="DT193" s="678">
        <f t="shared" si="263"/>
        <v>-0.1038108335762542</v>
      </c>
      <c r="DU193" s="526">
        <f t="shared" si="263"/>
        <v>-0.14993715895317383</v>
      </c>
      <c r="DV193" s="526">
        <f>DV192/DS192-1</f>
        <v>-0.16444436263511075</v>
      </c>
      <c r="DW193" s="678">
        <f>DW192/DT192-1</f>
        <v>-0.15729794092033933</v>
      </c>
      <c r="DX193" s="526">
        <f t="shared" si="263"/>
        <v>6.8114349547044872E-2</v>
      </c>
      <c r="DY193" s="526">
        <f t="shared" si="263"/>
        <v>4.7842851302926093E-2</v>
      </c>
      <c r="DZ193" s="678">
        <f t="shared" si="263"/>
        <v>5.5773169294578206E-2</v>
      </c>
      <c r="EA193" s="526">
        <f t="shared" si="263"/>
        <v>-2.9869746155366861E-2</v>
      </c>
      <c r="EB193" s="526">
        <f t="shared" si="263"/>
        <v>-5.4116474866240383E-2</v>
      </c>
      <c r="EC193" s="678">
        <f t="shared" si="263"/>
        <v>-4.2361780631993251E-2</v>
      </c>
      <c r="ED193" s="526">
        <f t="shared" si="263"/>
        <v>-5.4541293557762383E-2</v>
      </c>
      <c r="EE193" s="526">
        <f t="shared" si="263"/>
        <v>-6.3860465046899351E-2</v>
      </c>
      <c r="EF193" s="678">
        <f t="shared" si="263"/>
        <v>-5.9283642598423447E-2</v>
      </c>
      <c r="EG193" s="526">
        <f t="shared" si="263"/>
        <v>-4.6391115250408621E-2</v>
      </c>
      <c r="EH193" s="526">
        <f t="shared" si="263"/>
        <v>-5.8147422626497192E-2</v>
      </c>
      <c r="EI193" s="678">
        <f t="shared" si="263"/>
        <v>-5.2344569699405818E-2</v>
      </c>
      <c r="EJ193" s="526">
        <f t="shared" si="263"/>
        <v>-9.6364443101306652E-3</v>
      </c>
      <c r="EK193" s="526">
        <f t="shared" si="263"/>
        <v>-2.2194097724920092E-2</v>
      </c>
      <c r="EL193" s="678">
        <f t="shared" si="263"/>
        <v>-1.5956764352300645E-2</v>
      </c>
      <c r="EM193" s="526">
        <f t="shared" ref="EM193:FA193" si="264">EM192/EJ192-1</f>
        <v>-0.11590078806227389</v>
      </c>
      <c r="EN193" s="526">
        <f t="shared" si="264"/>
        <v>-0.14069502012719126</v>
      </c>
      <c r="EO193" s="678">
        <f t="shared" si="264"/>
        <v>-0.12830073176694023</v>
      </c>
      <c r="EP193" s="526">
        <f t="shared" si="264"/>
        <v>-0.1498924210098086</v>
      </c>
      <c r="EQ193" s="526">
        <f t="shared" si="264"/>
        <v>-0.18851950919958083</v>
      </c>
      <c r="ER193" s="678">
        <f t="shared" si="264"/>
        <v>-0.16893569737392544</v>
      </c>
      <c r="ES193" s="526">
        <f t="shared" si="264"/>
        <v>-0.20357679694695952</v>
      </c>
      <c r="ET193" s="526">
        <f t="shared" si="264"/>
        <v>-0.26988370478301982</v>
      </c>
      <c r="EU193" s="678">
        <f t="shared" si="264"/>
        <v>-0.23549599191665282</v>
      </c>
      <c r="EV193" s="526">
        <f t="shared" si="264"/>
        <v>-0.29765719605623919</v>
      </c>
      <c r="EW193" s="526">
        <f t="shared" si="264"/>
        <v>-0.43275252955096555</v>
      </c>
      <c r="EX193" s="678">
        <f t="shared" si="264"/>
        <v>-0.35976494325590636</v>
      </c>
      <c r="EY193" s="526">
        <f t="shared" si="264"/>
        <v>-0.49716532398408964</v>
      </c>
      <c r="EZ193" s="526">
        <f t="shared" si="264"/>
        <v>-0.89905831597696451</v>
      </c>
      <c r="FA193" s="563">
        <f t="shared" si="264"/>
        <v>-0.66086543701917844</v>
      </c>
    </row>
    <row r="194" spans="1:184" ht="13.35" hidden="1" customHeight="1" outlineLevel="1">
      <c r="A194" s="760"/>
      <c r="D194" s="250"/>
      <c r="E194" s="251"/>
      <c r="F194" s="251"/>
      <c r="G194" s="252"/>
      <c r="H194" s="251"/>
      <c r="I194" s="251"/>
      <c r="J194" s="252"/>
      <c r="K194" s="251"/>
      <c r="L194" s="251"/>
      <c r="M194" s="252"/>
      <c r="N194" s="251"/>
      <c r="O194" s="251"/>
      <c r="P194" s="252"/>
      <c r="Q194" s="251"/>
      <c r="R194" s="251"/>
      <c r="S194" s="252"/>
      <c r="T194" s="251"/>
      <c r="U194" s="251"/>
      <c r="V194" s="252"/>
      <c r="W194" s="251"/>
      <c r="X194" s="251"/>
      <c r="Y194" s="252"/>
      <c r="Z194" s="251"/>
      <c r="AA194" s="251"/>
      <c r="AB194" s="252"/>
      <c r="AC194" s="251"/>
      <c r="AD194" s="251"/>
      <c r="AE194" s="252"/>
      <c r="AF194" s="251"/>
      <c r="AG194" s="251"/>
      <c r="AH194" s="252"/>
      <c r="AI194" s="251"/>
      <c r="AJ194" s="251"/>
      <c r="AK194" s="252"/>
      <c r="AL194" s="251"/>
      <c r="AM194" s="251"/>
      <c r="AN194" s="252"/>
      <c r="AO194" s="251"/>
      <c r="AP194" s="251"/>
      <c r="AQ194" s="252"/>
      <c r="AR194" s="251"/>
      <c r="AS194" s="251"/>
      <c r="AT194" s="252"/>
      <c r="AU194" s="251"/>
      <c r="AV194" s="251"/>
      <c r="AW194" s="252"/>
      <c r="AX194" s="251"/>
      <c r="AY194" s="251"/>
      <c r="AZ194" s="252"/>
      <c r="BA194" s="251"/>
      <c r="BB194" s="251"/>
      <c r="BC194" s="252"/>
      <c r="BD194" s="251"/>
      <c r="BE194" s="251"/>
      <c r="BF194" s="252"/>
      <c r="BG194" s="251"/>
      <c r="BH194" s="251"/>
      <c r="BI194" s="252"/>
      <c r="BJ194" s="251"/>
      <c r="BK194" s="251"/>
      <c r="BL194" s="252"/>
      <c r="BM194" s="198"/>
      <c r="BN194" s="198"/>
      <c r="DE194" s="795"/>
      <c r="DH194" s="795"/>
      <c r="DK194" s="703"/>
      <c r="DN194" s="703"/>
      <c r="DQ194" s="703"/>
      <c r="DT194" s="703"/>
      <c r="DW194" s="703"/>
      <c r="DZ194" s="703"/>
      <c r="EC194" s="703"/>
      <c r="EF194" s="703"/>
      <c r="EI194" s="703"/>
      <c r="EL194" s="703"/>
      <c r="EO194" s="703"/>
      <c r="ER194" s="703"/>
      <c r="EU194" s="703"/>
      <c r="EX194" s="703"/>
    </row>
    <row r="195" spans="1:184" ht="13.35" hidden="1" customHeight="1" outlineLevel="1">
      <c r="A195" s="760"/>
      <c r="C195" s="177" t="s">
        <v>487</v>
      </c>
      <c r="D195" s="294" t="s">
        <v>406</v>
      </c>
      <c r="E195" s="251"/>
      <c r="F195" s="251"/>
      <c r="G195" s="252"/>
      <c r="H195" s="251"/>
      <c r="I195" s="251"/>
      <c r="J195" s="252"/>
      <c r="K195" s="251"/>
      <c r="L195" s="251"/>
      <c r="M195" s="252"/>
      <c r="N195" s="251"/>
      <c r="O195" s="251"/>
      <c r="P195" s="252"/>
      <c r="Q195" s="251"/>
      <c r="R195" s="251"/>
      <c r="S195" s="252"/>
      <c r="T195" s="251"/>
      <c r="U195" s="251"/>
      <c r="V195" s="252"/>
      <c r="W195" s="251"/>
      <c r="X195" s="251"/>
      <c r="Y195" s="252"/>
      <c r="Z195" s="251"/>
      <c r="AA195" s="251"/>
      <c r="AB195" s="252"/>
      <c r="AC195" s="251"/>
      <c r="AD195" s="251"/>
      <c r="AE195" s="252"/>
      <c r="AF195" s="251"/>
      <c r="AG195" s="251"/>
      <c r="AH195" s="252"/>
      <c r="AI195" s="251"/>
      <c r="AJ195" s="251"/>
      <c r="AK195" s="252"/>
      <c r="AL195" s="251"/>
      <c r="AM195" s="251"/>
      <c r="AN195" s="252"/>
      <c r="AO195" s="251"/>
      <c r="AP195" s="251"/>
      <c r="AQ195" s="252"/>
      <c r="AR195" s="251"/>
      <c r="AS195" s="251"/>
      <c r="AT195" s="252"/>
      <c r="AU195" s="251"/>
      <c r="AV195" s="251"/>
      <c r="AW195" s="252"/>
      <c r="AX195" s="251"/>
      <c r="AY195" s="251"/>
      <c r="AZ195" s="252"/>
      <c r="BA195" s="251"/>
      <c r="BB195" s="251"/>
      <c r="BC195" s="252"/>
      <c r="BD195" s="251"/>
      <c r="BE195" s="251"/>
      <c r="BF195" s="252"/>
      <c r="BG195" s="251"/>
      <c r="BH195" s="251"/>
      <c r="BI195" s="252"/>
      <c r="BJ195" s="251"/>
      <c r="BK195" s="251"/>
      <c r="BL195" s="252"/>
      <c r="BM195" s="198"/>
      <c r="BN195" s="198"/>
      <c r="BO195" s="79"/>
      <c r="BP195" s="198"/>
      <c r="BQ195" s="198"/>
      <c r="BR195" s="79"/>
      <c r="BS195" s="184"/>
      <c r="BT195" s="198"/>
      <c r="BU195" s="186"/>
      <c r="BV195" s="184"/>
      <c r="BW195" s="184"/>
      <c r="BX195" s="185"/>
      <c r="BY195" s="184"/>
      <c r="BZ195" s="184"/>
      <c r="CA195" s="185"/>
      <c r="CB195" s="184"/>
      <c r="CC195" s="184"/>
      <c r="CD195" s="185"/>
      <c r="CE195" s="184"/>
      <c r="CF195" s="184"/>
      <c r="CG195" s="185"/>
      <c r="CH195" s="184"/>
      <c r="CI195" s="184"/>
      <c r="CJ195" s="185"/>
      <c r="CK195" s="184"/>
      <c r="CL195" s="184"/>
      <c r="CM195" s="185"/>
      <c r="CN195" s="184"/>
      <c r="CO195" s="184"/>
      <c r="CP195" s="185"/>
      <c r="CQ195" s="184"/>
      <c r="CR195" s="184"/>
      <c r="CS195" s="185"/>
      <c r="CT195" s="184"/>
      <c r="CU195" s="184"/>
      <c r="CV195" s="185"/>
      <c r="CW195" s="184"/>
      <c r="CX195" s="184"/>
      <c r="CY195" s="301"/>
      <c r="CZ195" s="489"/>
      <c r="DA195" s="489"/>
      <c r="DB195" s="488"/>
      <c r="DC195" s="489"/>
      <c r="DD195" s="489"/>
      <c r="DE195" s="783"/>
      <c r="DF195" s="489"/>
      <c r="DG195" s="489"/>
      <c r="DH195" s="783"/>
      <c r="DI195" s="489">
        <f t="shared" ref="DI195:EU195" si="265">DI268/DI$133</f>
        <v>109.34216775634241</v>
      </c>
      <c r="DJ195" s="489">
        <f t="shared" si="265"/>
        <v>114.64440751232827</v>
      </c>
      <c r="DK195" s="696">
        <f t="shared" si="265"/>
        <v>111.88863054673395</v>
      </c>
      <c r="DL195" s="489">
        <f t="shared" si="265"/>
        <v>135.91849179430656</v>
      </c>
      <c r="DM195" s="489">
        <f t="shared" si="265"/>
        <v>136.02026242677414</v>
      </c>
      <c r="DN195" s="696">
        <f t="shared" si="265"/>
        <v>135.96833582534063</v>
      </c>
      <c r="DO195" s="489">
        <f t="shared" si="265"/>
        <v>120.63134801465563</v>
      </c>
      <c r="DP195" s="489">
        <f t="shared" si="265"/>
        <v>109.95546041479385</v>
      </c>
      <c r="DQ195" s="696">
        <f t="shared" si="265"/>
        <v>115.0433549430101</v>
      </c>
      <c r="DR195" s="489">
        <f t="shared" si="265"/>
        <v>110.79891589571214</v>
      </c>
      <c r="DS195" s="489">
        <f t="shared" si="265"/>
        <v>97.711280484728576</v>
      </c>
      <c r="DT195" s="696">
        <f t="shared" si="265"/>
        <v>103.88469341443781</v>
      </c>
      <c r="DU195" s="489">
        <f t="shared" si="265"/>
        <v>86.542200239462048</v>
      </c>
      <c r="DV195" s="489">
        <f>DV268/DV$133</f>
        <v>79.937769881494717</v>
      </c>
      <c r="DW195" s="696">
        <f>DW268/DW$133</f>
        <v>83.053067220158553</v>
      </c>
      <c r="DX195" s="489">
        <f t="shared" si="265"/>
        <v>87.199958547470985</v>
      </c>
      <c r="DY195" s="489">
        <f t="shared" si="265"/>
        <v>82.869799989458471</v>
      </c>
      <c r="DZ195" s="696">
        <f t="shared" si="265"/>
        <v>84.839486378656318</v>
      </c>
      <c r="EA195" s="489">
        <f t="shared" si="265"/>
        <v>86.940894861406036</v>
      </c>
      <c r="EB195" s="489">
        <f t="shared" si="265"/>
        <v>81.677116880438618</v>
      </c>
      <c r="EC195" s="696">
        <f t="shared" si="265"/>
        <v>84.071484593760772</v>
      </c>
      <c r="ED195" s="489">
        <f t="shared" si="265"/>
        <v>85.794095881834764</v>
      </c>
      <c r="EE195" s="489">
        <f t="shared" si="265"/>
        <v>80.598960855103172</v>
      </c>
      <c r="EF195" s="696">
        <f t="shared" si="265"/>
        <v>82.962104517189957</v>
      </c>
      <c r="EG195" s="489">
        <f t="shared" si="265"/>
        <v>85.715163666817091</v>
      </c>
      <c r="EH195" s="489">
        <f t="shared" si="265"/>
        <v>80.480261559399821</v>
      </c>
      <c r="EI195" s="696">
        <f t="shared" si="265"/>
        <v>82.861494322962997</v>
      </c>
      <c r="EJ195" s="489">
        <f t="shared" si="265"/>
        <v>88.137863027608518</v>
      </c>
      <c r="EK195" s="489">
        <f t="shared" si="265"/>
        <v>82.625236425871506</v>
      </c>
      <c r="EL195" s="696">
        <f t="shared" si="265"/>
        <v>85.132799472513156</v>
      </c>
      <c r="EM195" s="489">
        <f t="shared" si="265"/>
        <v>86.125297681556887</v>
      </c>
      <c r="EN195" s="489">
        <f t="shared" si="265"/>
        <v>80.749381057226913</v>
      </c>
      <c r="EO195" s="696">
        <f t="shared" si="265"/>
        <v>83.194757978774405</v>
      </c>
      <c r="EP195" s="489">
        <f t="shared" si="265"/>
        <v>84.174237300642915</v>
      </c>
      <c r="EQ195" s="489">
        <f t="shared" si="265"/>
        <v>78.930272601853574</v>
      </c>
      <c r="ER195" s="696">
        <f t="shared" si="265"/>
        <v>81.315627723209715</v>
      </c>
      <c r="ES195" s="489">
        <f t="shared" si="265"/>
        <v>82.281969563564942</v>
      </c>
      <c r="ET195" s="489">
        <f t="shared" si="265"/>
        <v>77.165431777515565</v>
      </c>
      <c r="EU195" s="696">
        <f t="shared" si="265"/>
        <v>79.492823419641354</v>
      </c>
      <c r="EV195" s="489">
        <f t="shared" ref="EV195:FA195" si="266">EV268/EV$133</f>
        <v>80.445935079050258</v>
      </c>
      <c r="EW195" s="489">
        <f t="shared" si="266"/>
        <v>75.452518448802635</v>
      </c>
      <c r="EX195" s="696">
        <f t="shared" si="266"/>
        <v>77.723905198369422</v>
      </c>
      <c r="EY195" s="489">
        <f t="shared" si="266"/>
        <v>78.663717839246729</v>
      </c>
      <c r="EZ195" s="489">
        <f t="shared" si="266"/>
        <v>73.789322954893208</v>
      </c>
      <c r="FA195" s="536">
        <f t="shared" si="266"/>
        <v>76.006569536203955</v>
      </c>
    </row>
    <row r="196" spans="1:184" ht="13.35" hidden="1" customHeight="1" outlineLevel="1">
      <c r="A196" s="760"/>
      <c r="B196" s="4"/>
      <c r="C196" s="4" t="s">
        <v>178</v>
      </c>
      <c r="D196" s="294" t="s">
        <v>507</v>
      </c>
      <c r="E196" s="251"/>
      <c r="F196" s="251"/>
      <c r="G196" s="252"/>
      <c r="H196" s="251"/>
      <c r="I196" s="251"/>
      <c r="J196" s="252"/>
      <c r="K196" s="251"/>
      <c r="L196" s="251"/>
      <c r="M196" s="252"/>
      <c r="N196" s="251"/>
      <c r="O196" s="251"/>
      <c r="P196" s="252"/>
      <c r="Q196" s="251"/>
      <c r="R196" s="251"/>
      <c r="S196" s="252"/>
      <c r="T196" s="251"/>
      <c r="U196" s="251"/>
      <c r="V196" s="252"/>
      <c r="W196" s="251"/>
      <c r="X196" s="251"/>
      <c r="Y196" s="252"/>
      <c r="Z196" s="251"/>
      <c r="AA196" s="251"/>
      <c r="AB196" s="252"/>
      <c r="AC196" s="251"/>
      <c r="AD196" s="251"/>
      <c r="AE196" s="252"/>
      <c r="AF196" s="251"/>
      <c r="AG196" s="251"/>
      <c r="AH196" s="252"/>
      <c r="AI196" s="251"/>
      <c r="AJ196" s="251"/>
      <c r="AK196" s="252"/>
      <c r="AL196" s="251"/>
      <c r="AM196" s="251"/>
      <c r="AN196" s="252"/>
      <c r="AO196" s="251"/>
      <c r="AP196" s="251"/>
      <c r="AQ196" s="252"/>
      <c r="AR196" s="251"/>
      <c r="AS196" s="251"/>
      <c r="AT196" s="252"/>
      <c r="AU196" s="251"/>
      <c r="AV196" s="251"/>
      <c r="AW196" s="252"/>
      <c r="AX196" s="251"/>
      <c r="AY196" s="251"/>
      <c r="AZ196" s="252"/>
      <c r="BA196" s="251"/>
      <c r="BB196" s="251"/>
      <c r="BC196" s="252"/>
      <c r="BD196" s="251"/>
      <c r="BE196" s="251"/>
      <c r="BF196" s="252"/>
      <c r="BG196" s="251"/>
      <c r="BH196" s="251"/>
      <c r="BI196" s="252"/>
      <c r="BJ196" s="251"/>
      <c r="BK196" s="251"/>
      <c r="BL196" s="252"/>
      <c r="BM196" s="282"/>
      <c r="BN196" s="282"/>
      <c r="BO196" s="253"/>
      <c r="BP196" s="284"/>
      <c r="BQ196" s="284"/>
      <c r="BR196" s="66"/>
      <c r="BS196" s="256"/>
      <c r="BT196" s="284"/>
      <c r="BU196" s="356"/>
      <c r="BV196" s="259"/>
      <c r="BW196" s="259"/>
      <c r="BX196" s="260"/>
      <c r="BY196" s="259"/>
      <c r="BZ196" s="259"/>
      <c r="CA196" s="260"/>
      <c r="CB196" s="259"/>
      <c r="CC196" s="259"/>
      <c r="CD196" s="260"/>
      <c r="CE196" s="259"/>
      <c r="CF196" s="259"/>
      <c r="CG196" s="260"/>
      <c r="CH196" s="259"/>
      <c r="CI196" s="259"/>
      <c r="CJ196" s="260"/>
      <c r="CK196" s="259"/>
      <c r="CL196" s="259"/>
      <c r="CM196" s="260"/>
      <c r="CN196" s="259"/>
      <c r="CO196" s="259"/>
      <c r="CP196" s="260"/>
      <c r="CQ196" s="259"/>
      <c r="CR196" s="259"/>
      <c r="CS196" s="260"/>
      <c r="CT196" s="259"/>
      <c r="CU196" s="259"/>
      <c r="CV196" s="260"/>
      <c r="CW196" s="259"/>
      <c r="CX196" s="259"/>
      <c r="CY196" s="334"/>
      <c r="CZ196" s="526"/>
      <c r="DA196" s="526"/>
      <c r="DB196" s="562"/>
      <c r="DC196" s="526"/>
      <c r="DD196" s="526"/>
      <c r="DE196" s="796"/>
      <c r="DF196" s="526"/>
      <c r="DG196" s="526"/>
      <c r="DH196" s="796"/>
      <c r="DI196" s="526" t="e">
        <f t="shared" ref="DI196:EL196" si="267">DI195/DF195-1</f>
        <v>#DIV/0!</v>
      </c>
      <c r="DJ196" s="526" t="e">
        <f t="shared" si="267"/>
        <v>#DIV/0!</v>
      </c>
      <c r="DK196" s="678" t="e">
        <f t="shared" si="267"/>
        <v>#DIV/0!</v>
      </c>
      <c r="DL196" s="526">
        <f t="shared" si="267"/>
        <v>0.24305649488481618</v>
      </c>
      <c r="DM196" s="526">
        <f t="shared" si="267"/>
        <v>0.18645353382935159</v>
      </c>
      <c r="DN196" s="678">
        <f t="shared" si="267"/>
        <v>0.21521136831278853</v>
      </c>
      <c r="DO196" s="526">
        <f t="shared" si="267"/>
        <v>-0.11247287677960605</v>
      </c>
      <c r="DP196" s="526">
        <f t="shared" si="267"/>
        <v>-0.19162440615060683</v>
      </c>
      <c r="DQ196" s="678">
        <f t="shared" si="267"/>
        <v>-0.15389598435042928</v>
      </c>
      <c r="DR196" s="526">
        <f t="shared" si="267"/>
        <v>-8.150810117573204E-2</v>
      </c>
      <c r="DS196" s="526">
        <f t="shared" si="267"/>
        <v>-0.11135581519895021</v>
      </c>
      <c r="DT196" s="678">
        <f t="shared" si="267"/>
        <v>-9.6995272209334016E-2</v>
      </c>
      <c r="DU196" s="526">
        <f t="shared" si="267"/>
        <v>-0.21892556854149525</v>
      </c>
      <c r="DV196" s="526">
        <f>DV195/DS195-1</f>
        <v>-0.18189824670255661</v>
      </c>
      <c r="DW196" s="678">
        <f>DW195/DT195-1</f>
        <v>-0.20052642511224938</v>
      </c>
      <c r="DX196" s="526">
        <f t="shared" si="267"/>
        <v>7.6004343105320338E-3</v>
      </c>
      <c r="DY196" s="526">
        <f t="shared" si="267"/>
        <v>3.6678908009447841E-2</v>
      </c>
      <c r="DZ196" s="678">
        <f t="shared" si="267"/>
        <v>2.1509370072537948E-2</v>
      </c>
      <c r="EA196" s="526">
        <f t="shared" si="267"/>
        <v>-2.9709152433130548E-3</v>
      </c>
      <c r="EB196" s="526">
        <f t="shared" si="267"/>
        <v>-1.4392252776905146E-2</v>
      </c>
      <c r="EC196" s="678">
        <f t="shared" si="267"/>
        <v>-9.0524096464680293E-3</v>
      </c>
      <c r="ED196" s="526">
        <f t="shared" si="267"/>
        <v>-1.3190558728425783E-2</v>
      </c>
      <c r="EE196" s="526">
        <f t="shared" si="267"/>
        <v>-1.3200221390205047E-2</v>
      </c>
      <c r="EF196" s="678">
        <f t="shared" si="267"/>
        <v>-1.3195676059860495E-2</v>
      </c>
      <c r="EG196" s="526">
        <f t="shared" si="267"/>
        <v>-9.2001919486850436E-4</v>
      </c>
      <c r="EH196" s="526">
        <f t="shared" si="267"/>
        <v>-1.4727149636177828E-3</v>
      </c>
      <c r="EI196" s="678">
        <f t="shared" si="267"/>
        <v>-1.2127247110289563E-3</v>
      </c>
      <c r="EJ196" s="526">
        <f t="shared" si="267"/>
        <v>2.8264536368485471E-2</v>
      </c>
      <c r="EK196" s="526">
        <f t="shared" si="267"/>
        <v>2.6652185578305509E-2</v>
      </c>
      <c r="EL196" s="678">
        <f t="shared" si="267"/>
        <v>2.7410863973771349E-2</v>
      </c>
      <c r="EM196" s="526">
        <f t="shared" ref="EM196:FA196" si="268">EM195/EJ195-1</f>
        <v>-2.2834287977020806E-2</v>
      </c>
      <c r="EN196" s="526">
        <f t="shared" si="268"/>
        <v>-2.2703177016958342E-2</v>
      </c>
      <c r="EO196" s="678">
        <f t="shared" si="268"/>
        <v>-2.2764921460905141E-2</v>
      </c>
      <c r="EP196" s="526">
        <f t="shared" si="268"/>
        <v>-2.2653743248910452E-2</v>
      </c>
      <c r="EQ196" s="526">
        <f t="shared" si="268"/>
        <v>-2.2527831564233769E-2</v>
      </c>
      <c r="ER196" s="678">
        <f t="shared" si="268"/>
        <v>-2.2587123290197186E-2</v>
      </c>
      <c r="ES196" s="526">
        <f t="shared" si="268"/>
        <v>-2.2480366888498304E-2</v>
      </c>
      <c r="ET196" s="526">
        <f t="shared" si="268"/>
        <v>-2.23594923235646E-2</v>
      </c>
      <c r="EU196" s="678">
        <f t="shared" si="268"/>
        <v>-2.2416408193674742E-2</v>
      </c>
      <c r="EV196" s="526">
        <f t="shared" si="268"/>
        <v>-2.2313934562496085E-2</v>
      </c>
      <c r="EW196" s="526">
        <f t="shared" si="268"/>
        <v>-2.2197936164623844E-2</v>
      </c>
      <c r="EX196" s="678">
        <f t="shared" si="268"/>
        <v>-2.2252552433995709E-2</v>
      </c>
      <c r="EY196" s="526">
        <f t="shared" si="268"/>
        <v>-2.2154223678949481E-2</v>
      </c>
      <c r="EZ196" s="526">
        <f t="shared" si="268"/>
        <v>-2.20429420793683E-2</v>
      </c>
      <c r="FA196" s="563">
        <f t="shared" si="268"/>
        <v>-2.2095334219020879E-2</v>
      </c>
    </row>
    <row r="197" spans="1:184" s="256" customFormat="1" ht="13.35" hidden="1" customHeight="1" outlineLevel="1">
      <c r="A197" s="990"/>
      <c r="B197" s="4" t="s">
        <v>335</v>
      </c>
      <c r="C197" s="255"/>
      <c r="D197" s="250"/>
      <c r="E197" s="257"/>
      <c r="F197" s="257"/>
      <c r="G197" s="258"/>
      <c r="H197" s="257"/>
      <c r="I197" s="257"/>
      <c r="J197" s="258"/>
      <c r="K197" s="257"/>
      <c r="L197" s="257"/>
      <c r="M197" s="258"/>
      <c r="N197" s="257"/>
      <c r="O197" s="257"/>
      <c r="P197" s="258"/>
      <c r="Q197" s="257"/>
      <c r="R197" s="257"/>
      <c r="S197" s="258"/>
      <c r="T197" s="257"/>
      <c r="U197" s="257"/>
      <c r="V197" s="258"/>
      <c r="W197" s="257"/>
      <c r="X197" s="257"/>
      <c r="Y197" s="258"/>
      <c r="Z197" s="257"/>
      <c r="AA197" s="257"/>
      <c r="AB197" s="258"/>
      <c r="AC197" s="257"/>
      <c r="AD197" s="257"/>
      <c r="AE197" s="258"/>
      <c r="AF197" s="257"/>
      <c r="AG197" s="257"/>
      <c r="AH197" s="258"/>
      <c r="AI197" s="257"/>
      <c r="AJ197" s="257"/>
      <c r="AK197" s="258"/>
      <c r="AL197" s="257"/>
      <c r="AM197" s="257"/>
      <c r="AN197" s="258"/>
      <c r="AO197" s="257"/>
      <c r="AP197" s="257"/>
      <c r="AQ197" s="258"/>
      <c r="AR197" s="257"/>
      <c r="AS197" s="257"/>
      <c r="AT197" s="258"/>
      <c r="AU197" s="257"/>
      <c r="AV197" s="257"/>
      <c r="AW197" s="258"/>
      <c r="AX197" s="257"/>
      <c r="AY197" s="257"/>
      <c r="AZ197" s="255"/>
      <c r="BA197" s="257"/>
      <c r="BB197" s="257"/>
      <c r="BC197" s="255"/>
      <c r="BD197" s="275"/>
      <c r="BE197" s="275"/>
      <c r="BF197" s="276"/>
      <c r="BG197" s="275"/>
      <c r="BH197" s="275"/>
      <c r="BI197" s="276"/>
      <c r="BJ197" s="275"/>
      <c r="BK197" s="275"/>
      <c r="BL197" s="276"/>
      <c r="BM197" s="275"/>
      <c r="BN197" s="275"/>
      <c r="BO197" s="276"/>
      <c r="BP197" s="271"/>
      <c r="BQ197" s="271"/>
      <c r="BR197" s="272"/>
      <c r="BS197" s="271"/>
      <c r="BT197" s="271"/>
      <c r="BU197" s="273"/>
      <c r="BV197" s="271"/>
      <c r="BW197" s="271"/>
      <c r="BX197" s="272"/>
      <c r="BY197" s="271"/>
      <c r="BZ197" s="271"/>
      <c r="CA197" s="272"/>
      <c r="CB197" s="271"/>
      <c r="CC197" s="271"/>
      <c r="CD197" s="272"/>
      <c r="CH197" s="357"/>
      <c r="CI197" s="357"/>
      <c r="CJ197" s="357"/>
      <c r="CK197" s="357"/>
      <c r="CL197" s="357"/>
      <c r="CM197" s="357"/>
      <c r="CN197" s="357"/>
      <c r="CO197" s="357"/>
      <c r="CP197" s="357"/>
      <c r="CQ197" s="357"/>
      <c r="CR197" s="357"/>
      <c r="CS197" s="357"/>
      <c r="CT197" s="357"/>
      <c r="CU197" s="357"/>
      <c r="CV197" s="357"/>
      <c r="CW197" s="271"/>
      <c r="CX197" s="271"/>
      <c r="CY197" s="537"/>
      <c r="CZ197" s="538"/>
      <c r="DA197" s="538"/>
      <c r="DB197" s="537"/>
      <c r="DC197" s="538"/>
      <c r="DD197" s="538"/>
      <c r="DE197" s="784"/>
      <c r="DF197" s="538"/>
      <c r="DG197" s="538"/>
      <c r="DH197" s="784"/>
      <c r="DI197" s="538"/>
      <c r="DJ197" s="538"/>
      <c r="DK197" s="693"/>
      <c r="DL197" s="538"/>
      <c r="DM197" s="538"/>
      <c r="DN197" s="693"/>
      <c r="DO197" s="538"/>
      <c r="DP197" s="538"/>
      <c r="DQ197" s="693"/>
      <c r="DR197" s="538"/>
      <c r="DS197" s="538"/>
      <c r="DT197" s="693"/>
      <c r="DU197" s="538"/>
      <c r="DV197" s="538"/>
      <c r="DW197" s="693"/>
      <c r="DX197" s="538"/>
      <c r="DY197" s="538"/>
      <c r="DZ197" s="693"/>
      <c r="EA197" s="538"/>
      <c r="EB197" s="538"/>
      <c r="EC197" s="693"/>
      <c r="ED197" s="538"/>
      <c r="EE197" s="538"/>
      <c r="EF197" s="693"/>
      <c r="EG197" s="538"/>
      <c r="EH197" s="538"/>
      <c r="EI197" s="693"/>
      <c r="EJ197" s="538"/>
      <c r="EK197" s="538"/>
      <c r="EL197" s="693"/>
      <c r="EM197" s="538"/>
      <c r="EN197" s="538"/>
      <c r="EO197" s="693"/>
      <c r="EP197" s="538"/>
      <c r="EQ197" s="538"/>
      <c r="ER197" s="693"/>
      <c r="ES197" s="538"/>
      <c r="ET197" s="538"/>
      <c r="EU197" s="693"/>
      <c r="EV197" s="538"/>
      <c r="EW197" s="538"/>
      <c r="EX197" s="693"/>
      <c r="EY197" s="538"/>
      <c r="EZ197" s="538"/>
      <c r="FA197" s="539"/>
      <c r="FB197" s="263"/>
      <c r="FC197" s="263"/>
      <c r="FD197" s="263"/>
      <c r="FE197" s="263"/>
      <c r="FF197" s="263"/>
      <c r="FG197" s="263"/>
      <c r="FH197" s="263"/>
      <c r="FI197" s="263"/>
      <c r="FJ197" s="263"/>
      <c r="FK197" s="263"/>
      <c r="FL197" s="263"/>
      <c r="FM197" s="263"/>
      <c r="FN197" s="263"/>
      <c r="FO197" s="263"/>
      <c r="FP197" s="263"/>
      <c r="FQ197" s="263"/>
      <c r="FR197" s="263"/>
      <c r="FS197" s="263"/>
      <c r="FT197" s="263"/>
      <c r="FU197" s="263"/>
      <c r="FV197" s="263"/>
      <c r="FW197" s="263"/>
      <c r="FX197" s="263"/>
      <c r="FY197" s="263"/>
      <c r="FZ197" s="263"/>
      <c r="GA197" s="263"/>
      <c r="GB197" s="263"/>
    </row>
    <row r="198" spans="1:184" s="350" customFormat="1" ht="13.35" hidden="1" customHeight="1" outlineLevel="1">
      <c r="A198" s="760"/>
      <c r="B198" s="342"/>
      <c r="C198" s="177"/>
      <c r="D198" s="294"/>
      <c r="E198" s="342"/>
      <c r="F198" s="342"/>
      <c r="G198" s="342"/>
      <c r="H198" s="342"/>
      <c r="I198" s="342"/>
      <c r="J198" s="342"/>
      <c r="K198" s="342"/>
      <c r="L198" s="342"/>
      <c r="M198" s="342"/>
      <c r="N198" s="342"/>
      <c r="O198" s="342"/>
      <c r="P198" s="342"/>
      <c r="Q198" s="342"/>
      <c r="R198" s="342"/>
      <c r="S198" s="342"/>
      <c r="T198" s="342"/>
      <c r="U198" s="342"/>
      <c r="V198" s="342"/>
      <c r="W198" s="342"/>
      <c r="X198" s="342"/>
      <c r="Y198" s="342"/>
      <c r="Z198" s="342"/>
      <c r="AA198" s="342"/>
      <c r="AB198" s="342"/>
      <c r="AC198" s="342"/>
      <c r="AD198" s="342"/>
      <c r="AE198" s="342"/>
      <c r="AF198" s="342"/>
      <c r="AG198" s="342"/>
      <c r="AH198" s="342"/>
      <c r="AI198" s="342"/>
      <c r="AJ198" s="342"/>
      <c r="AK198" s="342"/>
      <c r="AL198" s="342"/>
      <c r="AM198" s="342"/>
      <c r="AN198" s="342"/>
      <c r="AO198" s="342"/>
      <c r="AP198" s="342"/>
      <c r="AQ198" s="342"/>
      <c r="AR198" s="342"/>
      <c r="AS198" s="342"/>
      <c r="AT198" s="342"/>
      <c r="AU198" s="342"/>
      <c r="AV198" s="342"/>
      <c r="AW198" s="342"/>
      <c r="AX198" s="342"/>
      <c r="AY198" s="342"/>
      <c r="AZ198" s="342"/>
      <c r="BA198" s="342"/>
      <c r="BB198" s="342"/>
      <c r="BC198" s="342"/>
      <c r="BD198" s="342"/>
      <c r="BE198" s="342"/>
      <c r="BF198" s="342"/>
      <c r="BG198" s="342"/>
      <c r="BH198" s="342"/>
      <c r="BI198" s="342"/>
      <c r="BJ198" s="342"/>
      <c r="BK198" s="342"/>
      <c r="BL198" s="342"/>
      <c r="BM198" s="344"/>
      <c r="BN198" s="344"/>
      <c r="BO198" s="342"/>
      <c r="BP198" s="345"/>
      <c r="BQ198" s="345"/>
      <c r="BR198" s="345"/>
      <c r="BS198" s="346"/>
      <c r="BT198" s="345"/>
      <c r="BU198" s="346"/>
      <c r="BV198" s="346"/>
      <c r="BW198" s="346"/>
      <c r="BX198" s="346"/>
      <c r="BY198" s="346"/>
      <c r="BZ198" s="346"/>
      <c r="CA198" s="346"/>
      <c r="CB198" s="346"/>
      <c r="CC198" s="346"/>
      <c r="CD198" s="346"/>
      <c r="CE198" s="347"/>
      <c r="CF198" s="346"/>
      <c r="CG198" s="346"/>
      <c r="CH198" s="346"/>
      <c r="CI198" s="346"/>
      <c r="CJ198" s="346"/>
      <c r="CK198" s="346"/>
      <c r="CL198" s="346"/>
      <c r="CM198" s="346"/>
      <c r="CN198" s="284"/>
      <c r="CO198" s="284"/>
      <c r="CP198" s="66"/>
      <c r="CQ198" s="284"/>
      <c r="CR198" s="284"/>
      <c r="CS198" s="66"/>
      <c r="CT198" s="284"/>
      <c r="CU198" s="284"/>
      <c r="CV198" s="66"/>
      <c r="CW198" s="284"/>
      <c r="CX198" s="284"/>
      <c r="CY198" s="306"/>
      <c r="CZ198" s="489"/>
      <c r="DA198" s="305"/>
      <c r="DB198" s="306"/>
      <c r="DC198" s="554"/>
      <c r="DD198" s="305"/>
      <c r="DE198" s="786"/>
      <c r="DF198" s="305"/>
      <c r="DG198" s="305"/>
      <c r="DH198" s="786"/>
      <c r="DI198" s="305"/>
      <c r="DJ198" s="305"/>
      <c r="DK198" s="699"/>
      <c r="DL198" s="302"/>
      <c r="DM198" s="302"/>
      <c r="DN198" s="700"/>
      <c r="DO198" s="302"/>
      <c r="DP198" s="302"/>
      <c r="DQ198" s="699"/>
      <c r="DR198" s="305"/>
      <c r="DS198" s="305"/>
      <c r="DT198" s="699"/>
      <c r="DU198" s="305"/>
      <c r="DV198" s="305"/>
      <c r="DW198" s="699"/>
      <c r="DX198" s="305"/>
      <c r="DY198" s="305"/>
      <c r="DZ198" s="699"/>
      <c r="EA198" s="305"/>
      <c r="EB198" s="305"/>
      <c r="EC198" s="699"/>
      <c r="ED198" s="305"/>
      <c r="EE198" s="305"/>
      <c r="EF198" s="699"/>
      <c r="EG198" s="305"/>
      <c r="EH198" s="305"/>
      <c r="EI198" s="699"/>
      <c r="EJ198" s="305"/>
      <c r="EK198" s="305"/>
      <c r="EL198" s="699"/>
      <c r="EM198" s="305"/>
      <c r="EN198" s="305"/>
      <c r="EO198" s="699"/>
      <c r="EP198" s="305"/>
      <c r="EQ198" s="305"/>
      <c r="ER198" s="699"/>
      <c r="ES198" s="305"/>
      <c r="ET198" s="305"/>
      <c r="EU198" s="699"/>
      <c r="EV198" s="305"/>
      <c r="EW198" s="305"/>
      <c r="EX198" s="699"/>
      <c r="EY198" s="305"/>
      <c r="EZ198" s="305"/>
      <c r="FA198" s="545"/>
      <c r="FB198" s="361"/>
      <c r="FC198" s="361"/>
      <c r="FD198" s="361"/>
      <c r="FE198" s="361"/>
      <c r="FF198" s="361"/>
      <c r="FG198" s="361"/>
      <c r="FH198" s="361"/>
      <c r="FI198" s="362"/>
      <c r="FJ198" s="349"/>
      <c r="FK198" s="349"/>
      <c r="FL198" s="349"/>
      <c r="FM198" s="349"/>
      <c r="FN198" s="349"/>
      <c r="FO198" s="349"/>
      <c r="FP198" s="349"/>
      <c r="FQ198" s="349"/>
      <c r="FR198" s="349"/>
      <c r="FS198" s="349"/>
      <c r="FT198" s="349"/>
      <c r="FU198" s="349"/>
      <c r="FV198" s="349"/>
      <c r="FW198" s="349"/>
      <c r="FX198" s="349"/>
      <c r="FY198" s="349"/>
      <c r="FZ198" s="349"/>
      <c r="GA198" s="349"/>
      <c r="GB198" s="349"/>
    </row>
    <row r="199" spans="1:184" ht="13.35" hidden="1" customHeight="1" outlineLevel="1">
      <c r="A199" s="760"/>
      <c r="B199" s="351" t="s">
        <v>804</v>
      </c>
      <c r="C199" s="289"/>
      <c r="D199" s="290"/>
      <c r="E199" s="251"/>
      <c r="F199" s="251"/>
      <c r="G199" s="252"/>
      <c r="H199" s="251"/>
      <c r="I199" s="251"/>
      <c r="J199" s="252"/>
      <c r="K199" s="251"/>
      <c r="L199" s="251"/>
      <c r="M199" s="252"/>
      <c r="N199" s="251"/>
      <c r="O199" s="251"/>
      <c r="P199" s="252"/>
      <c r="Q199" s="251"/>
      <c r="R199" s="251"/>
      <c r="S199" s="252"/>
      <c r="T199" s="251"/>
      <c r="U199" s="251"/>
      <c r="V199" s="252"/>
      <c r="W199" s="251"/>
      <c r="X199" s="251"/>
      <c r="Y199" s="252"/>
      <c r="Z199" s="251"/>
      <c r="AA199" s="251"/>
      <c r="AB199" s="252"/>
      <c r="AC199" s="251"/>
      <c r="AD199" s="251"/>
      <c r="AE199" s="252"/>
      <c r="AF199" s="251"/>
      <c r="AG199" s="251"/>
      <c r="AH199" s="252"/>
      <c r="AI199" s="251"/>
      <c r="AJ199" s="251"/>
      <c r="AK199" s="252"/>
      <c r="AL199" s="251"/>
      <c r="AM199" s="251"/>
      <c r="AN199" s="252"/>
      <c r="AO199" s="291"/>
      <c r="AP199" s="291"/>
      <c r="AQ199" s="252"/>
      <c r="AR199" s="251"/>
      <c r="AS199" s="251"/>
      <c r="AT199" s="252"/>
      <c r="AU199" s="251"/>
      <c r="AV199" s="251"/>
      <c r="AW199" s="252"/>
      <c r="AX199" s="251"/>
      <c r="AY199" s="251"/>
      <c r="AZ199" s="252"/>
      <c r="BA199" s="251"/>
      <c r="BB199" s="251"/>
      <c r="BC199" s="252"/>
      <c r="BD199" s="251"/>
      <c r="BE199" s="251"/>
      <c r="BF199" s="252"/>
      <c r="BG199" s="251"/>
      <c r="BH199" s="251"/>
      <c r="BI199" s="252"/>
      <c r="BJ199" s="251"/>
      <c r="BK199" s="251"/>
      <c r="BL199" s="252"/>
      <c r="BM199" s="280"/>
      <c r="BN199" s="280"/>
      <c r="BO199" s="280"/>
      <c r="BP199" s="280"/>
      <c r="BQ199" s="280"/>
      <c r="BR199" s="280"/>
      <c r="BS199" s="280"/>
      <c r="BT199" s="280"/>
      <c r="BU199" s="281"/>
      <c r="BV199" s="280"/>
      <c r="BW199" s="280"/>
      <c r="BX199" s="280"/>
      <c r="BY199" s="280"/>
      <c r="BZ199" s="280"/>
      <c r="CA199" s="280"/>
      <c r="CB199" s="280"/>
      <c r="CC199" s="280"/>
      <c r="CD199" s="280"/>
      <c r="CE199" s="280"/>
      <c r="CF199" s="280"/>
      <c r="CG199" s="280"/>
      <c r="CH199" s="280"/>
      <c r="CI199" s="280"/>
      <c r="CJ199" s="280"/>
      <c r="CK199" s="280"/>
      <c r="CL199" s="280"/>
      <c r="CM199" s="280"/>
      <c r="CN199" s="280"/>
      <c r="CO199" s="280"/>
      <c r="CP199" s="280"/>
      <c r="CQ199" s="280"/>
      <c r="CR199" s="280"/>
      <c r="CS199" s="280"/>
      <c r="CT199" s="280"/>
      <c r="CU199" s="280"/>
      <c r="CV199" s="280"/>
      <c r="CW199" s="280"/>
      <c r="CX199" s="280"/>
      <c r="CY199" s="280"/>
      <c r="CZ199" s="280"/>
      <c r="DA199" s="280"/>
      <c r="DB199" s="280"/>
      <c r="DC199" s="280"/>
      <c r="DD199" s="280"/>
      <c r="DE199" s="785"/>
      <c r="DF199" s="280"/>
      <c r="DG199" s="280"/>
      <c r="DH199" s="785"/>
      <c r="DI199" s="280" t="s">
        <v>930</v>
      </c>
      <c r="DJ199" s="280" t="s">
        <v>931</v>
      </c>
      <c r="DK199" s="695" t="s">
        <v>932</v>
      </c>
      <c r="DL199" s="280" t="str">
        <f t="shared" ref="DL199:FA199" si="269">DL5</f>
        <v>1h22</v>
      </c>
      <c r="DM199" s="280" t="str">
        <f t="shared" si="269"/>
        <v>2h22</v>
      </c>
      <c r="DN199" s="695" t="str">
        <f t="shared" si="269"/>
        <v>2022</v>
      </c>
      <c r="DO199" s="280" t="str">
        <f t="shared" si="269"/>
        <v>1h23</v>
      </c>
      <c r="DP199" s="280" t="str">
        <f t="shared" si="269"/>
        <v>2h23</v>
      </c>
      <c r="DQ199" s="695" t="str">
        <f t="shared" si="269"/>
        <v>2023</v>
      </c>
      <c r="DR199" s="280" t="str">
        <f t="shared" si="269"/>
        <v>1h24</v>
      </c>
      <c r="DS199" s="280" t="str">
        <f t="shared" si="269"/>
        <v>2h24</v>
      </c>
      <c r="DT199" s="695" t="str">
        <f t="shared" si="269"/>
        <v>2024</v>
      </c>
      <c r="DU199" s="280" t="str">
        <f t="shared" si="269"/>
        <v>1h25</v>
      </c>
      <c r="DV199" s="280" t="str">
        <f t="shared" si="269"/>
        <v>2h25</v>
      </c>
      <c r="DW199" s="695" t="str">
        <f t="shared" si="269"/>
        <v>2025</v>
      </c>
      <c r="DX199" s="280" t="str">
        <f t="shared" si="269"/>
        <v>1h26</v>
      </c>
      <c r="DY199" s="280" t="str">
        <f t="shared" si="269"/>
        <v>2h26E</v>
      </c>
      <c r="DZ199" s="695" t="str">
        <f t="shared" si="269"/>
        <v>2026E</v>
      </c>
      <c r="EA199" s="280" t="str">
        <f t="shared" si="269"/>
        <v>1h27E</v>
      </c>
      <c r="EB199" s="280" t="str">
        <f t="shared" si="269"/>
        <v>2h27E</v>
      </c>
      <c r="EC199" s="695" t="str">
        <f t="shared" si="269"/>
        <v>2027E</v>
      </c>
      <c r="ED199" s="280" t="str">
        <f t="shared" si="269"/>
        <v>1h28E</v>
      </c>
      <c r="EE199" s="280" t="str">
        <f t="shared" si="269"/>
        <v>2h28E</v>
      </c>
      <c r="EF199" s="695" t="str">
        <f t="shared" si="269"/>
        <v>2028E</v>
      </c>
      <c r="EG199" s="280" t="str">
        <f t="shared" si="269"/>
        <v>1h29E</v>
      </c>
      <c r="EH199" s="280" t="str">
        <f t="shared" si="269"/>
        <v>2h29E</v>
      </c>
      <c r="EI199" s="695" t="str">
        <f t="shared" si="269"/>
        <v>2029E</v>
      </c>
      <c r="EJ199" s="280" t="str">
        <f t="shared" si="269"/>
        <v>1h30E</v>
      </c>
      <c r="EK199" s="280" t="str">
        <f t="shared" si="269"/>
        <v>2h30E</v>
      </c>
      <c r="EL199" s="695" t="str">
        <f t="shared" si="269"/>
        <v>2030E</v>
      </c>
      <c r="EM199" s="280" t="str">
        <f t="shared" si="269"/>
        <v>1h31E</v>
      </c>
      <c r="EN199" s="280" t="str">
        <f t="shared" si="269"/>
        <v>2h31E</v>
      </c>
      <c r="EO199" s="695" t="str">
        <f t="shared" si="269"/>
        <v>2031E</v>
      </c>
      <c r="EP199" s="280" t="str">
        <f t="shared" si="269"/>
        <v>1h32E</v>
      </c>
      <c r="EQ199" s="280" t="str">
        <f t="shared" si="269"/>
        <v>2h32E</v>
      </c>
      <c r="ER199" s="695" t="str">
        <f t="shared" si="269"/>
        <v>2032E</v>
      </c>
      <c r="ES199" s="280" t="str">
        <f t="shared" si="269"/>
        <v>1h33E</v>
      </c>
      <c r="ET199" s="280" t="str">
        <f t="shared" si="269"/>
        <v>2h33E</v>
      </c>
      <c r="EU199" s="695" t="str">
        <f t="shared" si="269"/>
        <v>2033E</v>
      </c>
      <c r="EV199" s="280" t="str">
        <f t="shared" si="269"/>
        <v>1h34E</v>
      </c>
      <c r="EW199" s="280" t="str">
        <f t="shared" si="269"/>
        <v>2h34E</v>
      </c>
      <c r="EX199" s="695" t="str">
        <f t="shared" si="269"/>
        <v>2034E</v>
      </c>
      <c r="EY199" s="280" t="str">
        <f t="shared" si="269"/>
        <v>1h35E</v>
      </c>
      <c r="EZ199" s="280" t="str">
        <f t="shared" si="269"/>
        <v>2h35E</v>
      </c>
      <c r="FA199" s="540" t="str">
        <f t="shared" si="269"/>
        <v>2035E</v>
      </c>
      <c r="FB199" s="361"/>
      <c r="FC199" s="361"/>
      <c r="FD199" s="361"/>
      <c r="FE199" s="361"/>
      <c r="FF199" s="361"/>
      <c r="FG199" s="361"/>
      <c r="FH199" s="361"/>
      <c r="FI199" s="361"/>
    </row>
    <row r="200" spans="1:184" s="350" customFormat="1" ht="13.35" hidden="1" customHeight="1" outlineLevel="1">
      <c r="A200" s="760"/>
      <c r="B200" s="342"/>
      <c r="C200" s="350" t="s">
        <v>805</v>
      </c>
      <c r="D200" s="363" t="s">
        <v>357</v>
      </c>
      <c r="E200" s="342"/>
      <c r="F200" s="342"/>
      <c r="G200" s="342"/>
      <c r="H200" s="342"/>
      <c r="I200" s="342"/>
      <c r="J200" s="342"/>
      <c r="K200" s="342"/>
      <c r="L200" s="342"/>
      <c r="M200" s="342"/>
      <c r="N200" s="342"/>
      <c r="O200" s="342"/>
      <c r="P200" s="342"/>
      <c r="Q200" s="342"/>
      <c r="R200" s="342"/>
      <c r="S200" s="342"/>
      <c r="T200" s="342"/>
      <c r="U200" s="342"/>
      <c r="V200" s="342"/>
      <c r="W200" s="342"/>
      <c r="X200" s="342"/>
      <c r="Y200" s="342"/>
      <c r="Z200" s="342"/>
      <c r="AA200" s="342"/>
      <c r="AB200" s="342"/>
      <c r="AC200" s="342"/>
      <c r="AD200" s="342"/>
      <c r="AE200" s="342"/>
      <c r="AF200" s="342"/>
      <c r="AG200" s="342"/>
      <c r="AH200" s="342"/>
      <c r="AI200" s="342"/>
      <c r="AJ200" s="342"/>
      <c r="AK200" s="342"/>
      <c r="AL200" s="342"/>
      <c r="AM200" s="342"/>
      <c r="AN200" s="342"/>
      <c r="AO200" s="342"/>
      <c r="AP200" s="342"/>
      <c r="AQ200" s="342"/>
      <c r="AR200" s="342"/>
      <c r="AS200" s="342"/>
      <c r="AT200" s="342"/>
      <c r="AU200" s="342"/>
      <c r="AV200" s="342"/>
      <c r="AW200" s="342"/>
      <c r="AX200" s="342"/>
      <c r="AY200" s="342"/>
      <c r="AZ200" s="342"/>
      <c r="BA200" s="342"/>
      <c r="BB200" s="342"/>
      <c r="BC200" s="342"/>
      <c r="BD200" s="342"/>
      <c r="BE200" s="342"/>
      <c r="BF200" s="342"/>
      <c r="BG200" s="342"/>
      <c r="BH200" s="342"/>
      <c r="BI200" s="342"/>
      <c r="BJ200" s="342"/>
      <c r="BK200" s="342"/>
      <c r="BL200" s="342"/>
      <c r="BM200" s="344"/>
      <c r="BN200" s="344"/>
      <c r="BO200" s="342"/>
      <c r="BP200" s="345"/>
      <c r="BQ200" s="345"/>
      <c r="BR200" s="345"/>
      <c r="BS200" s="346"/>
      <c r="BT200" s="345"/>
      <c r="BU200" s="346"/>
      <c r="BV200" s="346"/>
      <c r="BW200" s="346"/>
      <c r="BX200" s="346"/>
      <c r="BY200" s="346"/>
      <c r="BZ200" s="346"/>
      <c r="CA200" s="346"/>
      <c r="CB200" s="346"/>
      <c r="CC200" s="346"/>
      <c r="CD200" s="346"/>
      <c r="CE200" s="347"/>
      <c r="CF200" s="346"/>
      <c r="CG200" s="346"/>
      <c r="CH200" s="346"/>
      <c r="CI200" s="346"/>
      <c r="CJ200" s="346"/>
      <c r="CK200" s="346"/>
      <c r="CL200" s="346"/>
      <c r="CM200" s="346"/>
      <c r="CN200" s="364"/>
      <c r="CO200" s="364"/>
      <c r="CP200" s="364"/>
      <c r="CQ200" s="365"/>
      <c r="CR200" s="365"/>
      <c r="CS200" s="366"/>
      <c r="CT200" s="365"/>
      <c r="CU200" s="365"/>
      <c r="CV200" s="366"/>
      <c r="CW200" s="365"/>
      <c r="CX200" s="365"/>
      <c r="CY200" s="566"/>
      <c r="CZ200" s="567"/>
      <c r="DA200" s="567"/>
      <c r="DB200" s="566"/>
      <c r="DC200" s="567"/>
      <c r="DD200" s="567"/>
      <c r="DE200" s="705"/>
      <c r="DF200" s="567"/>
      <c r="DG200" s="567"/>
      <c r="DH200" s="705"/>
      <c r="DI200" s="567">
        <v>152.01217583437545</v>
      </c>
      <c r="DJ200" s="567">
        <v>127.65841728065895</v>
      </c>
      <c r="DK200" s="705">
        <v>279.67059311503442</v>
      </c>
      <c r="DL200" s="567">
        <f>DL217*DL220/1000000</f>
        <v>145.54237831080198</v>
      </c>
      <c r="DM200" s="567">
        <f>DM217*DM220/1000000</f>
        <v>117.14931527950459</v>
      </c>
      <c r="DN200" s="705">
        <f>SUM(DL200:DM200)</f>
        <v>262.69169359030656</v>
      </c>
      <c r="DO200" s="567">
        <f>DO217*DO220/1000000</f>
        <v>131</v>
      </c>
      <c r="DP200" s="567">
        <f>DP217*DP220/1000000</f>
        <v>115.97782212670957</v>
      </c>
      <c r="DQ200" s="705">
        <f>SUM(DO200:DP200)</f>
        <v>246.97782212670955</v>
      </c>
      <c r="DR200" s="567">
        <f>DR217*DR220/1000000</f>
        <v>120.00000000000001</v>
      </c>
      <c r="DS200" s="567">
        <f>DS217*DS220/1000000</f>
        <v>114.81804390544247</v>
      </c>
      <c r="DT200" s="705">
        <f>SUM(DR200:DS200)</f>
        <v>234.81804390544249</v>
      </c>
      <c r="DU200" s="567">
        <f>DU217*DU220/1000000</f>
        <v>109.92366412213744</v>
      </c>
      <c r="DV200" s="567">
        <f>DV217*DV220/1000000</f>
        <v>113.66986346638805</v>
      </c>
      <c r="DW200" s="705">
        <f>SUM(DU200:DV200)</f>
        <v>223.59352758852549</v>
      </c>
      <c r="DX200" s="567">
        <f>DX217*DX220/1000000</f>
        <v>100.69343278363738</v>
      </c>
      <c r="DY200" s="567">
        <f>DY217*DY220/1000000</f>
        <v>112.53316483172415</v>
      </c>
      <c r="DZ200" s="705">
        <f>SUM(DX200:DY200)</f>
        <v>213.22659761536153</v>
      </c>
      <c r="EA200" s="567">
        <f>EA217*EA220/1000000</f>
        <v>92.238259038446458</v>
      </c>
      <c r="EB200" s="567">
        <f>EB217*EB220/1000000</f>
        <v>111.40783318340692</v>
      </c>
      <c r="EC200" s="705">
        <f>SUM(EA200:EB200)</f>
        <v>203.64609222185339</v>
      </c>
      <c r="ED200" s="567">
        <f>ED217*ED220/1000000</f>
        <v>84.493061714607435</v>
      </c>
      <c r="EE200" s="567">
        <f>EE217*EE220/1000000</f>
        <v>110.29375485157284</v>
      </c>
      <c r="EF200" s="705">
        <f>SUM(ED200:EE200)</f>
        <v>194.78681656618028</v>
      </c>
      <c r="EG200" s="567">
        <f>EG217*EG220/1000000</f>
        <v>77.398224471396148</v>
      </c>
      <c r="EH200" s="567">
        <f>EH217*EH220/1000000</f>
        <v>109.19081730305712</v>
      </c>
      <c r="EI200" s="705">
        <f>SUM(EG200:EH200)</f>
        <v>186.58904177445328</v>
      </c>
      <c r="EJ200" s="567">
        <f>EJ217*EJ220/1000000</f>
        <v>70.899136920362892</v>
      </c>
      <c r="EK200" s="567">
        <f>EK217*EK220/1000000</f>
        <v>108.09890913002653</v>
      </c>
      <c r="EL200" s="705">
        <f>SUM(EJ200:EK200)</f>
        <v>178.99804605038941</v>
      </c>
      <c r="EM200" s="567">
        <f>EM217*EM220/1000000</f>
        <v>64.945774278195003</v>
      </c>
      <c r="EN200" s="567">
        <f>EN217*EN220/1000000</f>
        <v>107.01792003872629</v>
      </c>
      <c r="EO200" s="705">
        <f>SUM(EM200:EN200)</f>
        <v>171.96369431692131</v>
      </c>
      <c r="EP200" s="567">
        <f>EP217*EP220/1000000</f>
        <v>59.492312315903824</v>
      </c>
      <c r="EQ200" s="567">
        <f>EQ217*EQ220/1000000</f>
        <v>105.94774083833902</v>
      </c>
      <c r="ER200" s="705">
        <f>SUM(EP200:EQ200)</f>
        <v>165.44005315424283</v>
      </c>
      <c r="ES200" s="567">
        <f>ES217*ES220/1000000</f>
        <v>54.496774640522602</v>
      </c>
      <c r="ET200" s="567">
        <f>ET217*ET220/1000000</f>
        <v>104.88826342995561</v>
      </c>
      <c r="EU200" s="705">
        <f>SUM(ES200:ET200)</f>
        <v>159.38503807047823</v>
      </c>
      <c r="EV200" s="567">
        <f>EV217*EV220/1000000</f>
        <v>49.92070959437185</v>
      </c>
      <c r="EW200" s="567">
        <f>EW217*EW220/1000000</f>
        <v>103.83938079565606</v>
      </c>
      <c r="EX200" s="705">
        <f>SUM(EV200:EW200)</f>
        <v>153.7600903900279</v>
      </c>
      <c r="EY200" s="567">
        <f>EY217*EY220/1000000</f>
        <v>45.728894284920784</v>
      </c>
      <c r="EZ200" s="567">
        <f>EZ217*EZ220/1000000</f>
        <v>102.8009869876995</v>
      </c>
      <c r="FA200" s="566">
        <f>SUM(EY200:EZ200)</f>
        <v>148.52988127262029</v>
      </c>
      <c r="FB200" s="361"/>
      <c r="FC200" s="361"/>
      <c r="FD200" s="361"/>
      <c r="FE200" s="361"/>
      <c r="FF200" s="361"/>
      <c r="FG200" s="361"/>
      <c r="FH200" s="361"/>
      <c r="FI200" s="367"/>
      <c r="FJ200" s="349"/>
      <c r="FK200" s="349"/>
      <c r="FL200" s="349"/>
      <c r="FM200" s="349"/>
      <c r="FN200" s="349"/>
      <c r="FO200" s="349"/>
      <c r="FP200" s="349"/>
      <c r="FQ200" s="349"/>
      <c r="FR200" s="349"/>
      <c r="FS200" s="349"/>
      <c r="FT200" s="349"/>
      <c r="FU200" s="349"/>
      <c r="FV200" s="349"/>
      <c r="FW200" s="349"/>
      <c r="FX200" s="349"/>
      <c r="FY200" s="349"/>
      <c r="FZ200" s="349"/>
      <c r="GA200" s="349"/>
      <c r="GB200" s="349"/>
    </row>
    <row r="201" spans="1:184" s="350" customFormat="1" ht="13.35" hidden="1" customHeight="1" outlineLevel="1">
      <c r="A201" s="760"/>
      <c r="B201" s="342"/>
      <c r="C201" s="350" t="s">
        <v>690</v>
      </c>
      <c r="D201" s="363" t="s">
        <v>507</v>
      </c>
      <c r="E201" s="342"/>
      <c r="F201" s="342"/>
      <c r="G201" s="342"/>
      <c r="H201" s="342"/>
      <c r="I201" s="342"/>
      <c r="J201" s="342"/>
      <c r="K201" s="342"/>
      <c r="L201" s="342"/>
      <c r="M201" s="342"/>
      <c r="N201" s="342"/>
      <c r="O201" s="342"/>
      <c r="P201" s="342"/>
      <c r="Q201" s="342"/>
      <c r="R201" s="342"/>
      <c r="S201" s="342"/>
      <c r="T201" s="342"/>
      <c r="U201" s="342"/>
      <c r="V201" s="342"/>
      <c r="W201" s="342"/>
      <c r="X201" s="342"/>
      <c r="Y201" s="342"/>
      <c r="Z201" s="342"/>
      <c r="AA201" s="342"/>
      <c r="AB201" s="342"/>
      <c r="AC201" s="342"/>
      <c r="AD201" s="342"/>
      <c r="AE201" s="342"/>
      <c r="AF201" s="342"/>
      <c r="AG201" s="342"/>
      <c r="AH201" s="342"/>
      <c r="AI201" s="342"/>
      <c r="AJ201" s="342"/>
      <c r="AK201" s="342"/>
      <c r="AL201" s="342"/>
      <c r="AM201" s="342"/>
      <c r="AN201" s="342"/>
      <c r="AO201" s="342"/>
      <c r="AP201" s="342"/>
      <c r="AQ201" s="342"/>
      <c r="AR201" s="342"/>
      <c r="AS201" s="342"/>
      <c r="AT201" s="342"/>
      <c r="AU201" s="342"/>
      <c r="AV201" s="342"/>
      <c r="AW201" s="342"/>
      <c r="AX201" s="342"/>
      <c r="AY201" s="342"/>
      <c r="AZ201" s="342"/>
      <c r="BA201" s="342"/>
      <c r="BB201" s="342"/>
      <c r="BC201" s="342"/>
      <c r="BD201" s="342"/>
      <c r="BE201" s="342"/>
      <c r="BF201" s="342"/>
      <c r="BG201" s="342"/>
      <c r="BH201" s="342"/>
      <c r="BI201" s="342"/>
      <c r="BJ201" s="342"/>
      <c r="BK201" s="342"/>
      <c r="BL201" s="342"/>
      <c r="BM201" s="344"/>
      <c r="BN201" s="344"/>
      <c r="BO201" s="342"/>
      <c r="BP201" s="345"/>
      <c r="BQ201" s="345"/>
      <c r="BR201" s="345"/>
      <c r="BS201" s="346"/>
      <c r="BT201" s="345"/>
      <c r="BU201" s="346"/>
      <c r="BV201" s="346"/>
      <c r="BW201" s="346"/>
      <c r="BX201" s="346"/>
      <c r="BY201" s="346"/>
      <c r="BZ201" s="346"/>
      <c r="CA201" s="346"/>
      <c r="CB201" s="346"/>
      <c r="CC201" s="346"/>
      <c r="CD201" s="346"/>
      <c r="CE201" s="347"/>
      <c r="CF201" s="346"/>
      <c r="CG201" s="346"/>
      <c r="CH201" s="346"/>
      <c r="CI201" s="346"/>
      <c r="CJ201" s="346"/>
      <c r="CK201" s="346"/>
      <c r="CL201" s="346"/>
      <c r="CM201" s="346"/>
      <c r="CN201" s="364"/>
      <c r="CO201" s="198"/>
      <c r="CP201" s="198"/>
      <c r="CQ201" s="79"/>
      <c r="CR201" s="284"/>
      <c r="CS201" s="368"/>
      <c r="CT201" s="369"/>
      <c r="CU201" s="369"/>
      <c r="CV201" s="370"/>
      <c r="CW201" s="369"/>
      <c r="CX201" s="369"/>
      <c r="CY201" s="568"/>
      <c r="CZ201" s="389"/>
      <c r="DA201" s="389"/>
      <c r="DB201" s="568"/>
      <c r="DC201" s="389"/>
      <c r="DD201" s="389"/>
      <c r="DE201" s="706"/>
      <c r="DF201" s="389"/>
      <c r="DG201" s="389"/>
      <c r="DH201" s="706"/>
      <c r="DI201" s="389">
        <v>1.2018402275278284E-2</v>
      </c>
      <c r="DJ201" s="389">
        <v>-7.0894529550244112E-2</v>
      </c>
      <c r="DK201" s="706">
        <v>-2.7591927909934588E-2</v>
      </c>
      <c r="DL201" s="391">
        <f t="shared" ref="DL201:EC201" si="270">DL200/DI200-1</f>
        <v>-4.256104807435046E-2</v>
      </c>
      <c r="DM201" s="391">
        <f t="shared" si="270"/>
        <v>-8.232204522832165E-2</v>
      </c>
      <c r="DN201" s="733">
        <f t="shared" si="270"/>
        <v>-6.0710349756880166E-2</v>
      </c>
      <c r="DO201" s="391">
        <f t="shared" si="270"/>
        <v>-9.9918515002874964E-2</v>
      </c>
      <c r="DP201" s="391">
        <f t="shared" si="270"/>
        <v>-9.9999999999997868E-3</v>
      </c>
      <c r="DQ201" s="706">
        <f t="shared" si="270"/>
        <v>-5.9818684210488637E-2</v>
      </c>
      <c r="DR201" s="389">
        <f t="shared" si="270"/>
        <v>-8.396946564885488E-2</v>
      </c>
      <c r="DS201" s="389">
        <f t="shared" si="270"/>
        <v>-1.000000000000012E-2</v>
      </c>
      <c r="DT201" s="706">
        <f t="shared" si="270"/>
        <v>-4.9234292037074523E-2</v>
      </c>
      <c r="DU201" s="389">
        <f t="shared" si="270"/>
        <v>-8.3969465648854769E-2</v>
      </c>
      <c r="DV201" s="389">
        <f>DV200/DS200-1</f>
        <v>-9.9999999999998979E-3</v>
      </c>
      <c r="DW201" s="706">
        <f>DW200/DT200-1</f>
        <v>-4.7800910569874899E-2</v>
      </c>
      <c r="DX201" s="389">
        <f t="shared" si="270"/>
        <v>-8.3969465648854658E-2</v>
      </c>
      <c r="DY201" s="389">
        <f t="shared" si="270"/>
        <v>-1.0000000000000231E-2</v>
      </c>
      <c r="DZ201" s="706">
        <f t="shared" si="270"/>
        <v>-4.6365071855934969E-2</v>
      </c>
      <c r="EA201" s="389">
        <f t="shared" si="270"/>
        <v>-8.396946564885488E-2</v>
      </c>
      <c r="EB201" s="389">
        <f t="shared" si="270"/>
        <v>-9.9999999999998979E-3</v>
      </c>
      <c r="EC201" s="706">
        <f t="shared" si="270"/>
        <v>-4.4931099124839724E-2</v>
      </c>
      <c r="ED201" s="389">
        <f t="shared" ref="ED201:EL201" si="271">ED200/EA200-1</f>
        <v>-8.3969465648854991E-2</v>
      </c>
      <c r="EE201" s="389">
        <f t="shared" si="271"/>
        <v>-1.000000000000012E-2</v>
      </c>
      <c r="EF201" s="706">
        <f t="shared" si="271"/>
        <v>-4.3503293183852376E-2</v>
      </c>
      <c r="EG201" s="389">
        <f t="shared" si="271"/>
        <v>-8.3969465648854658E-2</v>
      </c>
      <c r="EH201" s="389">
        <f t="shared" si="271"/>
        <v>-1.0000000000000009E-2</v>
      </c>
      <c r="EI201" s="706">
        <f t="shared" si="271"/>
        <v>-4.2085881048021245E-2</v>
      </c>
      <c r="EJ201" s="389">
        <f t="shared" si="271"/>
        <v>-8.396946564885488E-2</v>
      </c>
      <c r="EK201" s="389">
        <f t="shared" si="271"/>
        <v>-1.000000000000012E-2</v>
      </c>
      <c r="EL201" s="706">
        <f t="shared" si="271"/>
        <v>-4.0682966437224022E-2</v>
      </c>
      <c r="EM201" s="389">
        <f t="shared" ref="EM201:FA201" si="272">EM200/EJ200-1</f>
        <v>-8.3969465648855102E-2</v>
      </c>
      <c r="EN201" s="389">
        <f t="shared" si="272"/>
        <v>-9.9999999999997868E-3</v>
      </c>
      <c r="EO201" s="706">
        <f t="shared" si="272"/>
        <v>-3.9298483356001945E-2</v>
      </c>
      <c r="EP201" s="389">
        <f t="shared" si="272"/>
        <v>-8.396946564885488E-2</v>
      </c>
      <c r="EQ201" s="389">
        <f t="shared" si="272"/>
        <v>-1.000000000000012E-2</v>
      </c>
      <c r="ER201" s="706">
        <f t="shared" si="272"/>
        <v>-3.793615384102933E-2</v>
      </c>
      <c r="ES201" s="389">
        <f t="shared" si="272"/>
        <v>-8.3969465648854658E-2</v>
      </c>
      <c r="ET201" s="389">
        <f t="shared" si="272"/>
        <v>-1.000000000000012E-2</v>
      </c>
      <c r="EU201" s="706">
        <f t="shared" si="272"/>
        <v>-3.6599450787889953E-2</v>
      </c>
      <c r="EV201" s="389">
        <f t="shared" si="272"/>
        <v>-8.3969465648854991E-2</v>
      </c>
      <c r="EW201" s="389">
        <f t="shared" si="272"/>
        <v>-1.0000000000000009E-2</v>
      </c>
      <c r="EX201" s="706">
        <f t="shared" si="272"/>
        <v>-3.5291566564504273E-2</v>
      </c>
      <c r="EY201" s="389">
        <f t="shared" si="272"/>
        <v>-8.396946564885488E-2</v>
      </c>
      <c r="EZ201" s="389">
        <f t="shared" si="272"/>
        <v>-9.9999999999998979E-3</v>
      </c>
      <c r="FA201" s="568">
        <f t="shared" si="272"/>
        <v>-3.4015387895133697E-2</v>
      </c>
      <c r="FB201" s="371"/>
      <c r="FC201" s="371"/>
      <c r="FD201" s="371"/>
      <c r="FE201" s="371"/>
      <c r="FF201" s="371"/>
      <c r="FG201" s="371"/>
      <c r="FH201" s="371"/>
      <c r="FI201" s="367"/>
      <c r="FJ201" s="349"/>
      <c r="FK201" s="349"/>
      <c r="FL201" s="349"/>
      <c r="FM201" s="349"/>
      <c r="FN201" s="349"/>
      <c r="FO201" s="349"/>
      <c r="FP201" s="349"/>
      <c r="FQ201" s="349"/>
      <c r="FR201" s="349"/>
      <c r="FS201" s="349"/>
      <c r="FT201" s="349"/>
      <c r="FU201" s="349"/>
      <c r="FV201" s="349"/>
      <c r="FW201" s="349"/>
      <c r="FX201" s="349"/>
      <c r="FY201" s="349"/>
      <c r="FZ201" s="349"/>
      <c r="GA201" s="349"/>
      <c r="GB201" s="349"/>
    </row>
    <row r="202" spans="1:184" s="350" customFormat="1" ht="13.35" hidden="1" customHeight="1" outlineLevel="1">
      <c r="A202" s="760"/>
      <c r="B202" s="342"/>
      <c r="D202" s="363"/>
      <c r="E202" s="342"/>
      <c r="F202" s="342"/>
      <c r="G202" s="342"/>
      <c r="H202" s="342"/>
      <c r="I202" s="342"/>
      <c r="J202" s="342"/>
      <c r="K202" s="342"/>
      <c r="L202" s="342"/>
      <c r="M202" s="342"/>
      <c r="N202" s="342"/>
      <c r="O202" s="342"/>
      <c r="P202" s="342"/>
      <c r="Q202" s="342"/>
      <c r="R202" s="342"/>
      <c r="S202" s="342"/>
      <c r="T202" s="342"/>
      <c r="U202" s="342"/>
      <c r="V202" s="342"/>
      <c r="W202" s="342"/>
      <c r="X202" s="342"/>
      <c r="Y202" s="342"/>
      <c r="Z202" s="342"/>
      <c r="AA202" s="342"/>
      <c r="AB202" s="342"/>
      <c r="AC202" s="342"/>
      <c r="AD202" s="342"/>
      <c r="AE202" s="342"/>
      <c r="AF202" s="342"/>
      <c r="AG202" s="342"/>
      <c r="AH202" s="342"/>
      <c r="AI202" s="342"/>
      <c r="AJ202" s="342"/>
      <c r="AK202" s="342"/>
      <c r="AL202" s="342"/>
      <c r="AM202" s="342"/>
      <c r="AN202" s="342"/>
      <c r="AO202" s="342"/>
      <c r="AP202" s="342"/>
      <c r="AQ202" s="342"/>
      <c r="AR202" s="342"/>
      <c r="AS202" s="342"/>
      <c r="AT202" s="342"/>
      <c r="AU202" s="342"/>
      <c r="AV202" s="342"/>
      <c r="AW202" s="342"/>
      <c r="AX202" s="342"/>
      <c r="AY202" s="342"/>
      <c r="AZ202" s="342"/>
      <c r="BA202" s="342"/>
      <c r="BB202" s="342"/>
      <c r="BC202" s="342"/>
      <c r="BD202" s="342"/>
      <c r="BE202" s="342"/>
      <c r="BF202" s="342"/>
      <c r="BG202" s="342"/>
      <c r="BH202" s="342"/>
      <c r="BI202" s="342"/>
      <c r="BJ202" s="342"/>
      <c r="BK202" s="342"/>
      <c r="BL202" s="342"/>
      <c r="BM202" s="344"/>
      <c r="BN202" s="344"/>
      <c r="BO202" s="342"/>
      <c r="BP202" s="345"/>
      <c r="BQ202" s="345"/>
      <c r="BR202" s="345"/>
      <c r="BS202" s="346"/>
      <c r="BT202" s="345"/>
      <c r="BU202" s="346"/>
      <c r="BV202" s="346"/>
      <c r="BW202" s="346"/>
      <c r="BX202" s="346"/>
      <c r="BY202" s="346"/>
      <c r="BZ202" s="346"/>
      <c r="CA202" s="346"/>
      <c r="CB202" s="346"/>
      <c r="CC202" s="346"/>
      <c r="CD202" s="346"/>
      <c r="CE202" s="347"/>
      <c r="CF202" s="346"/>
      <c r="CG202" s="346"/>
      <c r="CH202" s="346"/>
      <c r="CI202" s="346"/>
      <c r="CJ202" s="346"/>
      <c r="CK202" s="346"/>
      <c r="CL202" s="346"/>
      <c r="CM202" s="346"/>
      <c r="CN202" s="364"/>
      <c r="CO202" s="364"/>
      <c r="CP202" s="364"/>
      <c r="CQ202" s="284"/>
      <c r="CR202" s="284"/>
      <c r="CS202" s="368"/>
      <c r="CT202" s="284"/>
      <c r="CU202" s="284"/>
      <c r="CV202" s="368"/>
      <c r="CW202" s="284"/>
      <c r="CX202" s="284"/>
      <c r="CY202" s="545"/>
      <c r="CZ202" s="564"/>
      <c r="DA202" s="489"/>
      <c r="DB202" s="552"/>
      <c r="DC202" s="302"/>
      <c r="DD202" s="302"/>
      <c r="DE202" s="798"/>
      <c r="DF202" s="305"/>
      <c r="DG202" s="305"/>
      <c r="DH202" s="786"/>
      <c r="DI202" s="305"/>
      <c r="DJ202" s="305"/>
      <c r="DK202" s="699"/>
      <c r="DL202" s="302"/>
      <c r="DM202" s="302"/>
      <c r="DN202" s="700"/>
      <c r="DO202" s="302"/>
      <c r="DP202" s="302"/>
      <c r="DQ202" s="699"/>
      <c r="DR202" s="305"/>
      <c r="DS202" s="305"/>
      <c r="DT202" s="699"/>
      <c r="DU202" s="305"/>
      <c r="DV202" s="305"/>
      <c r="DW202" s="699"/>
      <c r="DX202" s="305"/>
      <c r="DY202" s="305"/>
      <c r="DZ202" s="699"/>
      <c r="EA202" s="305"/>
      <c r="EB202" s="305"/>
      <c r="EC202" s="699"/>
      <c r="ED202" s="305"/>
      <c r="EE202" s="305"/>
      <c r="EF202" s="699"/>
      <c r="EG202" s="305"/>
      <c r="EH202" s="305"/>
      <c r="EI202" s="699"/>
      <c r="EJ202" s="305"/>
      <c r="EK202" s="305"/>
      <c r="EL202" s="699"/>
      <c r="EM202" s="305"/>
      <c r="EN202" s="305"/>
      <c r="EO202" s="699"/>
      <c r="EP202" s="305"/>
      <c r="EQ202" s="305"/>
      <c r="ER202" s="699"/>
      <c r="ES202" s="305"/>
      <c r="ET202" s="305"/>
      <c r="EU202" s="699"/>
      <c r="EV202" s="305"/>
      <c r="EW202" s="305"/>
      <c r="EX202" s="699"/>
      <c r="EY202" s="305"/>
      <c r="EZ202" s="305"/>
      <c r="FA202" s="545"/>
      <c r="FB202" s="361"/>
      <c r="FC202" s="361"/>
      <c r="FD202" s="361"/>
      <c r="FE202" s="361"/>
      <c r="FF202" s="361"/>
      <c r="FG202" s="361"/>
      <c r="FH202" s="361"/>
      <c r="FI202" s="360"/>
      <c r="FJ202" s="360"/>
      <c r="FK202" s="360"/>
      <c r="FL202" s="360"/>
      <c r="FM202" s="360"/>
      <c r="FN202" s="360"/>
      <c r="FO202" s="360"/>
      <c r="FP202" s="349"/>
      <c r="FQ202" s="349"/>
      <c r="FR202" s="349"/>
      <c r="FS202" s="349"/>
      <c r="FT202" s="349"/>
      <c r="FU202" s="349"/>
      <c r="FV202" s="349"/>
      <c r="FW202" s="349"/>
      <c r="FX202" s="349"/>
      <c r="FY202" s="349"/>
      <c r="FZ202" s="349"/>
      <c r="GA202" s="349"/>
      <c r="GB202" s="349"/>
    </row>
    <row r="203" spans="1:184" s="350" customFormat="1" ht="13.35" hidden="1" customHeight="1" outlineLevel="1">
      <c r="A203" s="760"/>
      <c r="B203" s="342"/>
      <c r="C203" s="350" t="s">
        <v>806</v>
      </c>
      <c r="D203" s="363" t="s">
        <v>807</v>
      </c>
      <c r="E203" s="342"/>
      <c r="F203" s="342"/>
      <c r="G203" s="342"/>
      <c r="H203" s="342"/>
      <c r="I203" s="342"/>
      <c r="J203" s="342"/>
      <c r="K203" s="342"/>
      <c r="L203" s="342"/>
      <c r="M203" s="342"/>
      <c r="N203" s="342"/>
      <c r="O203" s="342"/>
      <c r="P203" s="342"/>
      <c r="Q203" s="342"/>
      <c r="R203" s="342"/>
      <c r="S203" s="342"/>
      <c r="T203" s="342"/>
      <c r="U203" s="342"/>
      <c r="V203" s="342"/>
      <c r="W203" s="342"/>
      <c r="X203" s="342"/>
      <c r="Y203" s="342"/>
      <c r="Z203" s="342"/>
      <c r="AA203" s="342"/>
      <c r="AB203" s="342"/>
      <c r="AC203" s="342"/>
      <c r="AD203" s="342"/>
      <c r="AE203" s="342"/>
      <c r="AF203" s="342"/>
      <c r="AG203" s="342"/>
      <c r="AH203" s="342"/>
      <c r="AI203" s="342"/>
      <c r="AJ203" s="342"/>
      <c r="AK203" s="342"/>
      <c r="AL203" s="342"/>
      <c r="AM203" s="342"/>
      <c r="AN203" s="342"/>
      <c r="AO203" s="342"/>
      <c r="AP203" s="342"/>
      <c r="AQ203" s="342"/>
      <c r="AR203" s="342"/>
      <c r="AS203" s="342"/>
      <c r="AT203" s="342"/>
      <c r="AU203" s="342"/>
      <c r="AV203" s="342"/>
      <c r="AW203" s="342"/>
      <c r="AX203" s="342"/>
      <c r="AY203" s="342"/>
      <c r="AZ203" s="342"/>
      <c r="BA203" s="342"/>
      <c r="BB203" s="342"/>
      <c r="BC203" s="342"/>
      <c r="BD203" s="342"/>
      <c r="BE203" s="342"/>
      <c r="BF203" s="342"/>
      <c r="BG203" s="342"/>
      <c r="BH203" s="342"/>
      <c r="BI203" s="342"/>
      <c r="BJ203" s="342"/>
      <c r="BK203" s="342"/>
      <c r="BL203" s="342"/>
      <c r="BM203" s="344"/>
      <c r="BN203" s="344"/>
      <c r="BO203" s="342"/>
      <c r="BP203" s="345"/>
      <c r="BQ203" s="345"/>
      <c r="BR203" s="345"/>
      <c r="BS203" s="346"/>
      <c r="BT203" s="345"/>
      <c r="BU203" s="346"/>
      <c r="BV203" s="346"/>
      <c r="BW203" s="346"/>
      <c r="BX203" s="346"/>
      <c r="BY203" s="346"/>
      <c r="BZ203" s="346"/>
      <c r="CA203" s="346"/>
      <c r="CB203" s="346"/>
      <c r="CC203" s="346"/>
      <c r="CD203" s="346"/>
      <c r="CE203" s="347"/>
      <c r="CF203" s="346"/>
      <c r="CG203" s="346"/>
      <c r="CH203" s="346"/>
      <c r="CI203" s="346"/>
      <c r="CJ203" s="346"/>
      <c r="CK203" s="346"/>
      <c r="CL203" s="346"/>
      <c r="CM203" s="346"/>
      <c r="CN203" s="364"/>
      <c r="CO203" s="364"/>
      <c r="CP203" s="364"/>
      <c r="CQ203" s="372"/>
      <c r="CR203" s="372"/>
      <c r="CS203" s="373"/>
      <c r="CT203" s="372"/>
      <c r="CU203" s="372"/>
      <c r="CV203" s="373"/>
      <c r="CW203" s="372"/>
      <c r="CX203" s="372"/>
      <c r="CY203" s="570"/>
      <c r="CZ203" s="571"/>
      <c r="DA203" s="571"/>
      <c r="DB203" s="570"/>
      <c r="DC203" s="572"/>
      <c r="DD203" s="572"/>
      <c r="DE203" s="707"/>
      <c r="DF203" s="572"/>
      <c r="DG203" s="572"/>
      <c r="DH203" s="707"/>
      <c r="DI203" s="572">
        <v>48.972999999999999</v>
      </c>
      <c r="DJ203" s="572">
        <v>48.917000000000002</v>
      </c>
      <c r="DK203" s="707">
        <v>53.583017457168651</v>
      </c>
      <c r="DL203" s="572">
        <f>DI203*(1+DL204)</f>
        <v>48.972999999999999</v>
      </c>
      <c r="DM203" s="572">
        <f>DJ203*(1+DM204)</f>
        <v>48.917000000000002</v>
      </c>
      <c r="DN203" s="707">
        <f>(DN200*1000000)/(DN214*DN220)*10</f>
        <v>56.251199677109902</v>
      </c>
      <c r="DO203" s="572">
        <f>DL203*(1+DO204)</f>
        <v>48.972999999999999</v>
      </c>
      <c r="DP203" s="572">
        <f>DM203*(1+DP204)</f>
        <v>48.917000000000002</v>
      </c>
      <c r="DQ203" s="707">
        <f>(DQ200*1000000)/(DQ214*DQ220)*10</f>
        <v>56.095758874123462</v>
      </c>
      <c r="DR203" s="572">
        <f>DO203*(1+DR204)</f>
        <v>48.972999999999999</v>
      </c>
      <c r="DS203" s="572">
        <f>DP203*(1+DS204)</f>
        <v>48.917000000000002</v>
      </c>
      <c r="DT203" s="707">
        <f>(DT200*1000000)/(DT214*DT220)*10</f>
        <v>56.421573347408945</v>
      </c>
      <c r="DU203" s="572">
        <f>DR203*(1+DU204)</f>
        <v>48.972999999999999</v>
      </c>
      <c r="DV203" s="572">
        <f>DS203*(1+DV204)</f>
        <v>48.917000000000002</v>
      </c>
      <c r="DW203" s="707">
        <f>(DW200*1000000)/(DW214*DW220)*10</f>
        <v>56.68676293112906</v>
      </c>
      <c r="DX203" s="572">
        <f>DU203*(1+DX204)</f>
        <v>48.972999999999999</v>
      </c>
      <c r="DY203" s="572">
        <f>DV203*(1+DY204)</f>
        <v>48.917000000000002</v>
      </c>
      <c r="DZ203" s="707">
        <f>(DZ200*1000000)/(DZ214*DZ220)*10</f>
        <v>56.89279527283594</v>
      </c>
      <c r="EA203" s="572">
        <f>DX203*(1+EA204)</f>
        <v>48.972999999999999</v>
      </c>
      <c r="EB203" s="572">
        <f>DY203*(1+EB204)</f>
        <v>48.917000000000002</v>
      </c>
      <c r="EC203" s="707">
        <f>(EC200*1000000)/(EC214*EC220)*10</f>
        <v>57.041804788898666</v>
      </c>
      <c r="ED203" s="572">
        <f>EA203*(1+ED204)</f>
        <v>48.972999999999999</v>
      </c>
      <c r="EE203" s="572">
        <f>EB203*(1+EE204)</f>
        <v>48.917000000000002</v>
      </c>
      <c r="EF203" s="707">
        <f>(EF200*1000000)/(EF214*EF220)*10</f>
        <v>57.136518556189301</v>
      </c>
      <c r="EG203" s="572">
        <f>ED203*(1+EG204)</f>
        <v>48.972999999999999</v>
      </c>
      <c r="EH203" s="572">
        <f>EE203*(1+EH204)</f>
        <v>48.917000000000002</v>
      </c>
      <c r="EI203" s="707">
        <f>(EI200*1000000)/(EI214*EI220)*10</f>
        <v>57.180168369371877</v>
      </c>
      <c r="EJ203" s="572">
        <f>EG203*(1+EJ204)</f>
        <v>48.972999999999999</v>
      </c>
      <c r="EK203" s="572">
        <f>EH203*(1+EK204)</f>
        <v>48.917000000000002</v>
      </c>
      <c r="EL203" s="707">
        <f>(EL200*1000000)/(EL214*EL220)*10</f>
        <v>57.17639362536714</v>
      </c>
      <c r="EM203" s="572">
        <f>EJ203*(1+EM204)</f>
        <v>48.972999999999999</v>
      </c>
      <c r="EN203" s="572">
        <f>EK203*(1+EN204)</f>
        <v>48.917000000000002</v>
      </c>
      <c r="EO203" s="707">
        <f>(EO200*1000000)/(EO214*EO220)*10</f>
        <v>57.129139797069314</v>
      </c>
      <c r="EP203" s="572">
        <f>EM203*(1+EP204)</f>
        <v>48.972999999999999</v>
      </c>
      <c r="EQ203" s="572">
        <f>EN203*(1+EQ204)</f>
        <v>48.917000000000002</v>
      </c>
      <c r="ER203" s="707">
        <f>(ER200*1000000)/(ER214*ER220)*10</f>
        <v>57.042557018773394</v>
      </c>
      <c r="ES203" s="572">
        <f>EP203*(1+ES204)</f>
        <v>48.972999999999999</v>
      </c>
      <c r="ET203" s="572">
        <f>EQ203*(1+ET204)</f>
        <v>48.917000000000002</v>
      </c>
      <c r="EU203" s="707">
        <f>(EU200*1000000)/(EU214*EU220)*10</f>
        <v>56.920902787966163</v>
      </c>
      <c r="EV203" s="572">
        <f>ES203*(1+EV204)</f>
        <v>48.972999999999999</v>
      </c>
      <c r="EW203" s="572">
        <f>ET203*(1+EW204)</f>
        <v>48.917000000000002</v>
      </c>
      <c r="EX203" s="707">
        <f>(EX200*1000000)/(EX214*EX220)*10</f>
        <v>56.768452073464402</v>
      </c>
      <c r="EY203" s="572">
        <f>EV203*(1+EY204)</f>
        <v>48.972999999999999</v>
      </c>
      <c r="EZ203" s="572">
        <f>EW203*(1+EZ204)</f>
        <v>48.917000000000002</v>
      </c>
      <c r="FA203" s="570">
        <f>(FA200*1000000)/(FA214*FA220)*10</f>
        <v>56.589417296283287</v>
      </c>
      <c r="FB203" s="349"/>
      <c r="FC203" s="349"/>
      <c r="FD203" s="360"/>
      <c r="FE203" s="360"/>
      <c r="FF203" s="360"/>
      <c r="FG203" s="360"/>
      <c r="FH203" s="360"/>
      <c r="FI203" s="360"/>
      <c r="FJ203" s="360"/>
      <c r="FK203" s="360"/>
      <c r="FL203" s="360"/>
      <c r="FM203" s="360"/>
      <c r="FN203" s="360"/>
      <c r="FO203" s="360"/>
      <c r="FP203" s="349"/>
      <c r="FQ203" s="349"/>
      <c r="FR203" s="349"/>
      <c r="FS203" s="349"/>
      <c r="FT203" s="349"/>
      <c r="FU203" s="349"/>
      <c r="FV203" s="349"/>
      <c r="FW203" s="349"/>
      <c r="FX203" s="349"/>
      <c r="FY203" s="349"/>
      <c r="FZ203" s="349"/>
      <c r="GA203" s="349"/>
      <c r="GB203" s="349"/>
    </row>
    <row r="204" spans="1:184" s="350" customFormat="1" ht="13.35" hidden="1" customHeight="1" outlineLevel="1">
      <c r="A204" s="760"/>
      <c r="B204" s="342"/>
      <c r="C204" s="350" t="s">
        <v>690</v>
      </c>
      <c r="D204" s="363" t="s">
        <v>507</v>
      </c>
      <c r="E204" s="342"/>
      <c r="F204" s="342"/>
      <c r="G204" s="342"/>
      <c r="H204" s="342"/>
      <c r="I204" s="342"/>
      <c r="J204" s="342"/>
      <c r="K204" s="342"/>
      <c r="L204" s="342"/>
      <c r="M204" s="342"/>
      <c r="N204" s="342"/>
      <c r="O204" s="342"/>
      <c r="P204" s="342"/>
      <c r="Q204" s="342"/>
      <c r="R204" s="342"/>
      <c r="S204" s="342"/>
      <c r="T204" s="342"/>
      <c r="U204" s="342"/>
      <c r="V204" s="342"/>
      <c r="W204" s="342"/>
      <c r="X204" s="342"/>
      <c r="Y204" s="342"/>
      <c r="Z204" s="342"/>
      <c r="AA204" s="342"/>
      <c r="AB204" s="342"/>
      <c r="AC204" s="342"/>
      <c r="AD204" s="342"/>
      <c r="AE204" s="342"/>
      <c r="AF204" s="342"/>
      <c r="AG204" s="342"/>
      <c r="AH204" s="342"/>
      <c r="AI204" s="342"/>
      <c r="AJ204" s="342"/>
      <c r="AK204" s="342"/>
      <c r="AL204" s="342"/>
      <c r="AM204" s="342"/>
      <c r="AN204" s="342"/>
      <c r="AO204" s="342"/>
      <c r="AP204" s="342"/>
      <c r="AQ204" s="342"/>
      <c r="AR204" s="342"/>
      <c r="AS204" s="342"/>
      <c r="AT204" s="342"/>
      <c r="AU204" s="342"/>
      <c r="AV204" s="342"/>
      <c r="AW204" s="342"/>
      <c r="AX204" s="342"/>
      <c r="AY204" s="342"/>
      <c r="AZ204" s="342"/>
      <c r="BA204" s="342"/>
      <c r="BB204" s="342"/>
      <c r="BC204" s="342"/>
      <c r="BD204" s="342"/>
      <c r="BE204" s="342"/>
      <c r="BF204" s="342"/>
      <c r="BG204" s="342"/>
      <c r="BH204" s="342"/>
      <c r="BI204" s="342"/>
      <c r="BJ204" s="342"/>
      <c r="BK204" s="342"/>
      <c r="BL204" s="342"/>
      <c r="BM204" s="344"/>
      <c r="BN204" s="344"/>
      <c r="BO204" s="342"/>
      <c r="BP204" s="345"/>
      <c r="BQ204" s="345"/>
      <c r="BR204" s="345"/>
      <c r="BS204" s="346"/>
      <c r="BT204" s="345"/>
      <c r="BU204" s="346"/>
      <c r="BV204" s="346"/>
      <c r="BW204" s="346"/>
      <c r="BX204" s="346"/>
      <c r="BY204" s="346"/>
      <c r="BZ204" s="346"/>
      <c r="CA204" s="346"/>
      <c r="CB204" s="346"/>
      <c r="CC204" s="346"/>
      <c r="CD204" s="346"/>
      <c r="CE204" s="347"/>
      <c r="CF204" s="346"/>
      <c r="CG204" s="346"/>
      <c r="CH204" s="346"/>
      <c r="CI204" s="346"/>
      <c r="CJ204" s="346"/>
      <c r="CK204" s="346"/>
      <c r="CL204" s="346"/>
      <c r="CM204" s="346"/>
      <c r="CN204" s="364"/>
      <c r="CO204" s="364"/>
      <c r="CP204" s="364"/>
      <c r="CS204" s="375"/>
      <c r="CT204" s="369"/>
      <c r="CU204" s="369"/>
      <c r="CV204" s="375"/>
      <c r="CW204" s="369"/>
      <c r="CX204" s="369"/>
      <c r="CY204" s="573"/>
      <c r="CZ204" s="389"/>
      <c r="DA204" s="391"/>
      <c r="DB204" s="574"/>
      <c r="DC204" s="391"/>
      <c r="DD204" s="391"/>
      <c r="DE204" s="733"/>
      <c r="DF204" s="389"/>
      <c r="DG204" s="389"/>
      <c r="DH204" s="706"/>
      <c r="DI204" s="389">
        <v>0</v>
      </c>
      <c r="DJ204" s="389">
        <v>0</v>
      </c>
      <c r="DK204" s="706">
        <v>4.6606766419476253E-2</v>
      </c>
      <c r="DL204" s="391">
        <f>DI204</f>
        <v>0</v>
      </c>
      <c r="DM204" s="391">
        <f>DJ204</f>
        <v>0</v>
      </c>
      <c r="DN204" s="733">
        <f>DN203/DK203-1</f>
        <v>4.979529609496236E-2</v>
      </c>
      <c r="DO204" s="391">
        <f>DL204</f>
        <v>0</v>
      </c>
      <c r="DP204" s="391">
        <f>DM204</f>
        <v>0</v>
      </c>
      <c r="DQ204" s="706">
        <f>DQ203/DN203-1</f>
        <v>-2.7633331178480436E-3</v>
      </c>
      <c r="DR204" s="389">
        <f>DO204</f>
        <v>0</v>
      </c>
      <c r="DS204" s="389">
        <f>DP204</f>
        <v>0</v>
      </c>
      <c r="DT204" s="706">
        <f>DT203/DQ203-1</f>
        <v>5.8081837170007589E-3</v>
      </c>
      <c r="DU204" s="389">
        <f>DR204</f>
        <v>0</v>
      </c>
      <c r="DV204" s="389">
        <f>DS204</f>
        <v>0</v>
      </c>
      <c r="DW204" s="706">
        <f>DW203/DT203-1</f>
        <v>4.7001451392933991E-3</v>
      </c>
      <c r="DX204" s="389">
        <f>DU204</f>
        <v>0</v>
      </c>
      <c r="DY204" s="389">
        <f>DV204</f>
        <v>0</v>
      </c>
      <c r="DZ204" s="706">
        <f>DZ203/DW203-1</f>
        <v>3.6345758877993628E-3</v>
      </c>
      <c r="EA204" s="389">
        <f>DX204</f>
        <v>0</v>
      </c>
      <c r="EB204" s="389">
        <f>DY204</f>
        <v>0</v>
      </c>
      <c r="EC204" s="706">
        <f>EC203/DZ203-1</f>
        <v>2.619128052122166E-3</v>
      </c>
      <c r="ED204" s="389">
        <f>EA204</f>
        <v>0</v>
      </c>
      <c r="EE204" s="389">
        <f>EB204</f>
        <v>0</v>
      </c>
      <c r="EF204" s="706">
        <f>EF203/EC203-1</f>
        <v>1.6604272540314824E-3</v>
      </c>
      <c r="EG204" s="389">
        <f>ED204</f>
        <v>0</v>
      </c>
      <c r="EH204" s="389">
        <f>EE204</f>
        <v>0</v>
      </c>
      <c r="EI204" s="706">
        <f>EI203/EF203-1</f>
        <v>7.6395647277061052E-4</v>
      </c>
      <c r="EJ204" s="389">
        <f>EG204</f>
        <v>0</v>
      </c>
      <c r="EK204" s="389">
        <f>EH204</f>
        <v>0</v>
      </c>
      <c r="EL204" s="706">
        <f>EL203/EI203-1</f>
        <v>-6.6014915876988489E-5</v>
      </c>
      <c r="EM204" s="389">
        <f>EJ204</f>
        <v>0</v>
      </c>
      <c r="EN204" s="389">
        <f>EK204</f>
        <v>0</v>
      </c>
      <c r="EO204" s="706">
        <f>EO203/EL203-1</f>
        <v>-8.2645695717442624E-4</v>
      </c>
      <c r="EP204" s="389">
        <f>EM204</f>
        <v>0</v>
      </c>
      <c r="EQ204" s="389">
        <f>EN204</f>
        <v>0</v>
      </c>
      <c r="ER204" s="706">
        <f>ER203/EO203-1</f>
        <v>-1.5155624363236697E-3</v>
      </c>
      <c r="ES204" s="389">
        <f>EP204</f>
        <v>0</v>
      </c>
      <c r="ET204" s="389">
        <f>EQ204</f>
        <v>0</v>
      </c>
      <c r="EU204" s="706">
        <f>EU203/ER203-1</f>
        <v>-2.1326924521842816E-3</v>
      </c>
      <c r="EV204" s="389">
        <f>ES204</f>
        <v>0</v>
      </c>
      <c r="EW204" s="389">
        <f>ET204</f>
        <v>0</v>
      </c>
      <c r="EX204" s="706">
        <f>EX203/EU203-1</f>
        <v>-2.6782905230728904E-3</v>
      </c>
      <c r="EY204" s="389">
        <f>EV204</f>
        <v>0</v>
      </c>
      <c r="EZ204" s="389">
        <f>EW204</f>
        <v>0</v>
      </c>
      <c r="FA204" s="568">
        <f>FA203/EX203-1</f>
        <v>-3.1537723972009379E-3</v>
      </c>
      <c r="FB204" s="361"/>
      <c r="FC204" s="361"/>
      <c r="FD204" s="361"/>
      <c r="FE204" s="361"/>
      <c r="FF204" s="361"/>
      <c r="FG204" s="361"/>
      <c r="FH204" s="361"/>
      <c r="FI204" s="360"/>
      <c r="FJ204" s="360"/>
      <c r="FK204" s="360"/>
      <c r="FL204" s="360"/>
      <c r="FM204" s="360"/>
      <c r="FN204" s="360"/>
      <c r="FO204" s="360"/>
      <c r="FP204" s="349"/>
      <c r="FQ204" s="349"/>
      <c r="FR204" s="349"/>
      <c r="FS204" s="349"/>
      <c r="FT204" s="349"/>
      <c r="FU204" s="349"/>
      <c r="FV204" s="349"/>
      <c r="FW204" s="349"/>
      <c r="FX204" s="349"/>
      <c r="FY204" s="349"/>
      <c r="FZ204" s="349"/>
      <c r="GA204" s="349"/>
      <c r="GB204" s="349"/>
    </row>
    <row r="205" spans="1:184" s="352" customFormat="1" ht="13.35" hidden="1" customHeight="1" outlineLevel="1">
      <c r="A205" s="760"/>
      <c r="B205" s="293"/>
      <c r="C205" s="350" t="s">
        <v>808</v>
      </c>
      <c r="D205" s="363" t="s">
        <v>807</v>
      </c>
      <c r="E205" s="342"/>
      <c r="F205" s="342"/>
      <c r="G205" s="342"/>
      <c r="H205" s="342"/>
      <c r="I205" s="342"/>
      <c r="J205" s="342"/>
      <c r="K205" s="342"/>
      <c r="L205" s="342"/>
      <c r="M205" s="342"/>
      <c r="N205" s="342"/>
      <c r="O205" s="342"/>
      <c r="P205" s="342"/>
      <c r="Q205" s="342"/>
      <c r="R205" s="342"/>
      <c r="S205" s="342"/>
      <c r="T205" s="342"/>
      <c r="U205" s="342"/>
      <c r="V205" s="342"/>
      <c r="W205" s="342"/>
      <c r="X205" s="342"/>
      <c r="Y205" s="342"/>
      <c r="Z205" s="342"/>
      <c r="AA205" s="342"/>
      <c r="AB205" s="342"/>
      <c r="AC205" s="342"/>
      <c r="AD205" s="342"/>
      <c r="AE205" s="342"/>
      <c r="AF205" s="342"/>
      <c r="AG205" s="342"/>
      <c r="AH205" s="342"/>
      <c r="AI205" s="342"/>
      <c r="AJ205" s="342"/>
      <c r="AK205" s="342"/>
      <c r="AL205" s="342"/>
      <c r="AM205" s="342"/>
      <c r="AN205" s="342"/>
      <c r="AO205" s="342"/>
      <c r="AP205" s="342"/>
      <c r="AQ205" s="342"/>
      <c r="AR205" s="342"/>
      <c r="AS205" s="342"/>
      <c r="AT205" s="342"/>
      <c r="AU205" s="342"/>
      <c r="AV205" s="342"/>
      <c r="AW205" s="342"/>
      <c r="AX205" s="342"/>
      <c r="AY205" s="342"/>
      <c r="AZ205" s="342"/>
      <c r="BA205" s="342"/>
      <c r="BB205" s="342"/>
      <c r="BC205" s="342"/>
      <c r="BD205" s="342"/>
      <c r="BE205" s="342"/>
      <c r="BF205" s="342"/>
      <c r="BG205" s="342"/>
      <c r="BH205" s="342"/>
      <c r="BI205" s="342"/>
      <c r="BJ205" s="342"/>
      <c r="BK205" s="342"/>
      <c r="BL205" s="342"/>
      <c r="BM205" s="344"/>
      <c r="BN205" s="344"/>
      <c r="BO205" s="342"/>
      <c r="BP205" s="345"/>
      <c r="BQ205" s="345"/>
      <c r="BR205" s="345"/>
      <c r="BS205" s="346"/>
      <c r="BT205" s="345"/>
      <c r="BU205" s="346"/>
      <c r="BV205" s="346"/>
      <c r="BW205" s="346"/>
      <c r="BX205" s="346"/>
      <c r="BY205" s="346"/>
      <c r="BZ205" s="346"/>
      <c r="CA205" s="346"/>
      <c r="CB205" s="346"/>
      <c r="CC205" s="346"/>
      <c r="CD205" s="346"/>
      <c r="CE205" s="347"/>
      <c r="CF205" s="346"/>
      <c r="CG205" s="346"/>
      <c r="CH205" s="346"/>
      <c r="CI205" s="346"/>
      <c r="CJ205" s="346"/>
      <c r="CK205" s="346"/>
      <c r="CL205" s="346"/>
      <c r="CM205" s="346"/>
      <c r="CN205" s="364"/>
      <c r="CO205" s="364"/>
      <c r="CP205" s="364"/>
      <c r="CQ205" s="376"/>
      <c r="CR205" s="376"/>
      <c r="CS205" s="377"/>
      <c r="CT205" s="376"/>
      <c r="CU205" s="376"/>
      <c r="CV205" s="377"/>
      <c r="CW205" s="376"/>
      <c r="CX205" s="376"/>
      <c r="CY205" s="575"/>
      <c r="CZ205" s="576"/>
      <c r="DA205" s="576"/>
      <c r="DB205" s="577"/>
      <c r="DC205" s="578"/>
      <c r="DD205" s="578"/>
      <c r="DE205" s="799"/>
      <c r="DF205" s="579"/>
      <c r="DG205" s="579"/>
      <c r="DH205" s="824"/>
      <c r="DI205" s="579"/>
      <c r="DJ205" s="579"/>
      <c r="DK205" s="708"/>
      <c r="DL205" s="578"/>
      <c r="DM205" s="578"/>
      <c r="DN205" s="734"/>
      <c r="DO205" s="578"/>
      <c r="DP205" s="578"/>
      <c r="DQ205" s="708"/>
      <c r="DR205" s="579"/>
      <c r="DS205" s="579"/>
      <c r="DT205" s="708"/>
      <c r="DU205" s="579"/>
      <c r="DV205" s="579"/>
      <c r="DW205" s="708"/>
      <c r="DX205" s="579"/>
      <c r="DY205" s="579"/>
      <c r="DZ205" s="708"/>
      <c r="EA205" s="579"/>
      <c r="EB205" s="579"/>
      <c r="EC205" s="708"/>
      <c r="ED205" s="579"/>
      <c r="EE205" s="579"/>
      <c r="EF205" s="708"/>
      <c r="EG205" s="579"/>
      <c r="EH205" s="579"/>
      <c r="EI205" s="708"/>
      <c r="EJ205" s="579"/>
      <c r="EK205" s="579"/>
      <c r="EL205" s="708"/>
      <c r="EM205" s="579"/>
      <c r="EN205" s="579"/>
      <c r="EO205" s="708"/>
      <c r="EP205" s="579"/>
      <c r="EQ205" s="579"/>
      <c r="ER205" s="708"/>
      <c r="ES205" s="579"/>
      <c r="ET205" s="579"/>
      <c r="EU205" s="708"/>
      <c r="EV205" s="579"/>
      <c r="EW205" s="579"/>
      <c r="EX205" s="708"/>
      <c r="EY205" s="579"/>
      <c r="EZ205" s="579"/>
      <c r="FA205" s="580"/>
      <c r="FB205" s="361"/>
      <c r="FC205" s="361"/>
      <c r="FD205" s="361"/>
      <c r="FE205" s="361"/>
      <c r="FF205" s="361"/>
      <c r="FG205" s="361"/>
      <c r="FH205" s="361"/>
      <c r="FI205" s="379"/>
      <c r="FJ205" s="379"/>
      <c r="FK205" s="379"/>
      <c r="FL205" s="379"/>
      <c r="FM205" s="379"/>
      <c r="FN205" s="379"/>
      <c r="FO205" s="379"/>
      <c r="FP205" s="378"/>
      <c r="FQ205" s="378"/>
      <c r="FR205" s="378"/>
      <c r="FS205" s="378"/>
      <c r="FT205" s="378"/>
      <c r="FU205" s="378"/>
      <c r="FV205" s="378"/>
      <c r="FW205" s="378"/>
      <c r="FX205" s="378"/>
      <c r="FY205" s="378"/>
      <c r="FZ205" s="378"/>
      <c r="GA205" s="378"/>
      <c r="GB205" s="378"/>
    </row>
    <row r="206" spans="1:184" s="352" customFormat="1" ht="13.35" hidden="1" customHeight="1" outlineLevel="1">
      <c r="A206" s="760"/>
      <c r="B206" s="293"/>
      <c r="C206" s="350" t="str">
        <f>C205</f>
        <v>US CMS Price</v>
      </c>
      <c r="D206" s="363" t="s">
        <v>807</v>
      </c>
      <c r="E206" s="342"/>
      <c r="F206" s="342"/>
      <c r="G206" s="342"/>
      <c r="H206" s="342"/>
      <c r="I206" s="342"/>
      <c r="J206" s="342"/>
      <c r="K206" s="342"/>
      <c r="L206" s="342"/>
      <c r="M206" s="342"/>
      <c r="N206" s="342"/>
      <c r="O206" s="342"/>
      <c r="P206" s="342"/>
      <c r="Q206" s="342"/>
      <c r="R206" s="342"/>
      <c r="S206" s="342"/>
      <c r="T206" s="342"/>
      <c r="U206" s="342"/>
      <c r="V206" s="342"/>
      <c r="W206" s="342"/>
      <c r="X206" s="342"/>
      <c r="Y206" s="342"/>
      <c r="Z206" s="342"/>
      <c r="AA206" s="342"/>
      <c r="AB206" s="342"/>
      <c r="AC206" s="342"/>
      <c r="AD206" s="342"/>
      <c r="AE206" s="342"/>
      <c r="AF206" s="342"/>
      <c r="AG206" s="342"/>
      <c r="AH206" s="342"/>
      <c r="AI206" s="342"/>
      <c r="AJ206" s="342"/>
      <c r="AK206" s="342"/>
      <c r="AL206" s="342"/>
      <c r="AM206" s="342"/>
      <c r="AN206" s="342"/>
      <c r="AO206" s="342"/>
      <c r="AP206" s="342"/>
      <c r="AQ206" s="342"/>
      <c r="AR206" s="342"/>
      <c r="AS206" s="342"/>
      <c r="AT206" s="342"/>
      <c r="AU206" s="342"/>
      <c r="AV206" s="342"/>
      <c r="AW206" s="342"/>
      <c r="AX206" s="342"/>
      <c r="AY206" s="342"/>
      <c r="AZ206" s="342"/>
      <c r="BA206" s="342"/>
      <c r="BB206" s="342"/>
      <c r="BC206" s="342"/>
      <c r="BD206" s="342"/>
      <c r="BE206" s="342"/>
      <c r="BF206" s="342"/>
      <c r="BG206" s="342"/>
      <c r="BH206" s="342"/>
      <c r="BI206" s="342"/>
      <c r="BJ206" s="342"/>
      <c r="BK206" s="342"/>
      <c r="BL206" s="342"/>
      <c r="BM206" s="344"/>
      <c r="BN206" s="344"/>
      <c r="BO206" s="342"/>
      <c r="BP206" s="345"/>
      <c r="BQ206" s="345"/>
      <c r="BR206" s="345"/>
      <c r="BS206" s="346"/>
      <c r="BT206" s="345"/>
      <c r="BU206" s="346"/>
      <c r="BV206" s="346"/>
      <c r="BW206" s="346"/>
      <c r="BX206" s="346"/>
      <c r="BY206" s="346"/>
      <c r="BZ206" s="346"/>
      <c r="CA206" s="346"/>
      <c r="CB206" s="346"/>
      <c r="CC206" s="346"/>
      <c r="CD206" s="346"/>
      <c r="CE206" s="347"/>
      <c r="CF206" s="346"/>
      <c r="CG206" s="346"/>
      <c r="CH206" s="346"/>
      <c r="CI206" s="346"/>
      <c r="CJ206" s="346"/>
      <c r="CK206" s="346"/>
      <c r="CL206" s="346"/>
      <c r="CM206" s="346"/>
      <c r="CN206" s="364"/>
      <c r="CO206" s="364"/>
      <c r="CP206" s="364"/>
      <c r="CQ206" s="376"/>
      <c r="CR206" s="376"/>
      <c r="CS206" s="377"/>
      <c r="CT206" s="376"/>
      <c r="CU206" s="376"/>
      <c r="CV206" s="377"/>
      <c r="CW206" s="376"/>
      <c r="CX206" s="376"/>
      <c r="CY206" s="575"/>
      <c r="CZ206" s="576"/>
      <c r="DA206" s="576"/>
      <c r="DB206" s="577"/>
      <c r="DC206" s="578"/>
      <c r="DD206" s="578"/>
      <c r="DE206" s="799"/>
      <c r="DF206" s="579"/>
      <c r="DG206" s="579"/>
      <c r="DH206" s="824"/>
      <c r="DI206" s="579"/>
      <c r="DJ206" s="579"/>
      <c r="DK206" s="708"/>
      <c r="DL206" s="578"/>
      <c r="DM206" s="578"/>
      <c r="DN206" s="734"/>
      <c r="DO206" s="578"/>
      <c r="DP206" s="578"/>
      <c r="DQ206" s="708"/>
      <c r="DR206" s="579"/>
      <c r="DS206" s="579"/>
      <c r="DT206" s="708"/>
      <c r="DU206" s="579"/>
      <c r="DV206" s="579"/>
      <c r="DW206" s="708"/>
      <c r="DX206" s="579"/>
      <c r="DY206" s="579"/>
      <c r="DZ206" s="708"/>
      <c r="EA206" s="579"/>
      <c r="EB206" s="579"/>
      <c r="EC206" s="708"/>
      <c r="ED206" s="579"/>
      <c r="EE206" s="579"/>
      <c r="EF206" s="708"/>
      <c r="EG206" s="579"/>
      <c r="EH206" s="579"/>
      <c r="EI206" s="708"/>
      <c r="EJ206" s="579"/>
      <c r="EK206" s="579"/>
      <c r="EL206" s="708"/>
      <c r="EM206" s="579"/>
      <c r="EN206" s="579"/>
      <c r="EO206" s="708"/>
      <c r="EP206" s="579"/>
      <c r="EQ206" s="579"/>
      <c r="ER206" s="708"/>
      <c r="ES206" s="579"/>
      <c r="ET206" s="579"/>
      <c r="EU206" s="708"/>
      <c r="EV206" s="579"/>
      <c r="EW206" s="579"/>
      <c r="EX206" s="708"/>
      <c r="EY206" s="579"/>
      <c r="EZ206" s="579"/>
      <c r="FA206" s="580"/>
      <c r="FB206" s="361"/>
      <c r="FC206" s="361"/>
      <c r="FD206" s="361"/>
      <c r="FE206" s="361"/>
      <c r="FF206" s="361"/>
      <c r="FG206" s="361"/>
      <c r="FH206" s="361"/>
      <c r="FI206" s="378"/>
      <c r="FJ206" s="378"/>
      <c r="FK206" s="378"/>
      <c r="FL206" s="378"/>
      <c r="FM206" s="378"/>
      <c r="FN206" s="378"/>
      <c r="FO206" s="378"/>
      <c r="FP206" s="378"/>
      <c r="FQ206" s="378"/>
      <c r="FR206" s="378"/>
      <c r="FS206" s="378"/>
      <c r="FT206" s="378"/>
      <c r="FU206" s="378"/>
      <c r="FV206" s="378"/>
      <c r="FW206" s="378"/>
      <c r="FX206" s="378"/>
      <c r="FY206" s="378"/>
      <c r="FZ206" s="378"/>
      <c r="GA206" s="378"/>
      <c r="GB206" s="378"/>
    </row>
    <row r="207" spans="1:184" s="350" customFormat="1" ht="13.35" hidden="1" customHeight="1" outlineLevel="1">
      <c r="A207" s="760"/>
      <c r="B207" s="342"/>
      <c r="D207" s="363"/>
      <c r="E207" s="342"/>
      <c r="F207" s="342"/>
      <c r="G207" s="342"/>
      <c r="H207" s="342"/>
      <c r="I207" s="342"/>
      <c r="J207" s="342"/>
      <c r="K207" s="342"/>
      <c r="L207" s="342"/>
      <c r="M207" s="342"/>
      <c r="N207" s="342"/>
      <c r="O207" s="342"/>
      <c r="P207" s="342"/>
      <c r="Q207" s="342"/>
      <c r="R207" s="342"/>
      <c r="S207" s="342"/>
      <c r="T207" s="342"/>
      <c r="U207" s="342"/>
      <c r="V207" s="342"/>
      <c r="W207" s="342"/>
      <c r="X207" s="342"/>
      <c r="Y207" s="342"/>
      <c r="Z207" s="342"/>
      <c r="AA207" s="342"/>
      <c r="AB207" s="342"/>
      <c r="AC207" s="342"/>
      <c r="AD207" s="342"/>
      <c r="AE207" s="342"/>
      <c r="AF207" s="342"/>
      <c r="AG207" s="342"/>
      <c r="AH207" s="342"/>
      <c r="AI207" s="342"/>
      <c r="AJ207" s="342"/>
      <c r="AK207" s="342"/>
      <c r="AL207" s="342"/>
      <c r="AM207" s="342"/>
      <c r="AN207" s="342"/>
      <c r="AO207" s="342"/>
      <c r="AP207" s="342"/>
      <c r="AQ207" s="342"/>
      <c r="AR207" s="342"/>
      <c r="AS207" s="342"/>
      <c r="AT207" s="342"/>
      <c r="AU207" s="342"/>
      <c r="AV207" s="342"/>
      <c r="AW207" s="342"/>
      <c r="AX207" s="342"/>
      <c r="AY207" s="342"/>
      <c r="AZ207" s="342"/>
      <c r="BA207" s="342"/>
      <c r="BB207" s="342"/>
      <c r="BC207" s="342"/>
      <c r="BD207" s="342"/>
      <c r="BE207" s="342"/>
      <c r="BF207" s="342"/>
      <c r="BG207" s="342"/>
      <c r="BH207" s="342"/>
      <c r="BI207" s="342"/>
      <c r="BJ207" s="342"/>
      <c r="BK207" s="342"/>
      <c r="BL207" s="342"/>
      <c r="BM207" s="344"/>
      <c r="BN207" s="344"/>
      <c r="BO207" s="342"/>
      <c r="BP207" s="345"/>
      <c r="BQ207" s="345"/>
      <c r="BR207" s="345"/>
      <c r="BS207" s="346"/>
      <c r="BT207" s="345"/>
      <c r="BU207" s="346"/>
      <c r="BV207" s="346"/>
      <c r="BW207" s="346"/>
      <c r="BX207" s="346"/>
      <c r="BY207" s="346"/>
      <c r="BZ207" s="346"/>
      <c r="CA207" s="346"/>
      <c r="CB207" s="346"/>
      <c r="CC207" s="346"/>
      <c r="CD207" s="346"/>
      <c r="CE207" s="347"/>
      <c r="CF207" s="346"/>
      <c r="CG207" s="346"/>
      <c r="CH207" s="346"/>
      <c r="CI207" s="346"/>
      <c r="CJ207" s="346"/>
      <c r="CK207" s="346"/>
      <c r="CL207" s="346"/>
      <c r="CM207" s="346"/>
      <c r="CN207" s="364"/>
      <c r="CO207" s="364"/>
      <c r="CP207" s="364"/>
      <c r="CQ207" s="284"/>
      <c r="CR207" s="284"/>
      <c r="CS207" s="368"/>
      <c r="CT207" s="284"/>
      <c r="CU207" s="284"/>
      <c r="CV207" s="368"/>
      <c r="CW207" s="284"/>
      <c r="CX207" s="284"/>
      <c r="CY207" s="545"/>
      <c r="CZ207" s="305"/>
      <c r="DA207" s="302"/>
      <c r="DB207" s="552"/>
      <c r="DC207" s="302"/>
      <c r="DD207" s="302"/>
      <c r="DE207" s="788"/>
      <c r="DF207" s="305"/>
      <c r="DG207" s="305"/>
      <c r="DH207" s="786"/>
      <c r="DI207" s="305"/>
      <c r="DJ207" s="305"/>
      <c r="DK207" s="699"/>
      <c r="DL207" s="302"/>
      <c r="DM207" s="302"/>
      <c r="DN207" s="700"/>
      <c r="DO207" s="302"/>
      <c r="DP207" s="302"/>
      <c r="DQ207" s="699"/>
      <c r="DR207" s="305"/>
      <c r="DS207" s="305"/>
      <c r="DT207" s="699"/>
      <c r="DU207" s="305"/>
      <c r="DV207" s="305"/>
      <c r="DW207" s="699"/>
      <c r="DX207" s="305"/>
      <c r="DY207" s="305"/>
      <c r="DZ207" s="699"/>
      <c r="EA207" s="305"/>
      <c r="EB207" s="305"/>
      <c r="EC207" s="699"/>
      <c r="ED207" s="305"/>
      <c r="EE207" s="305"/>
      <c r="EF207" s="699"/>
      <c r="EG207" s="305"/>
      <c r="EH207" s="305"/>
      <c r="EI207" s="699"/>
      <c r="EJ207" s="305"/>
      <c r="EK207" s="305"/>
      <c r="EL207" s="699"/>
      <c r="EM207" s="305"/>
      <c r="EN207" s="305"/>
      <c r="EO207" s="699"/>
      <c r="EP207" s="305"/>
      <c r="EQ207" s="305"/>
      <c r="ER207" s="699"/>
      <c r="ES207" s="305"/>
      <c r="ET207" s="305"/>
      <c r="EU207" s="699"/>
      <c r="EV207" s="305"/>
      <c r="EW207" s="305"/>
      <c r="EX207" s="699"/>
      <c r="EY207" s="305"/>
      <c r="EZ207" s="305"/>
      <c r="FA207" s="545"/>
      <c r="FB207" s="380"/>
      <c r="FC207" s="380"/>
      <c r="FD207" s="380"/>
      <c r="FE207" s="380"/>
      <c r="FF207" s="380"/>
      <c r="FG207" s="380"/>
      <c r="FH207" s="380"/>
      <c r="FI207" s="360"/>
      <c r="FJ207" s="360"/>
      <c r="FK207" s="360"/>
      <c r="FL207" s="360"/>
      <c r="FM207" s="360"/>
      <c r="FN207" s="360"/>
      <c r="FO207" s="360"/>
      <c r="FP207" s="349"/>
      <c r="FQ207" s="349"/>
      <c r="FR207" s="349"/>
      <c r="FS207" s="349"/>
      <c r="FT207" s="349"/>
      <c r="FU207" s="349"/>
      <c r="FV207" s="349"/>
      <c r="FW207" s="349"/>
      <c r="FX207" s="349"/>
      <c r="FY207" s="349"/>
      <c r="FZ207" s="349"/>
      <c r="GA207" s="349"/>
      <c r="GB207" s="349"/>
    </row>
    <row r="208" spans="1:184" s="350" customFormat="1" ht="13.35" hidden="1" customHeight="1" outlineLevel="1">
      <c r="A208" s="760"/>
      <c r="B208" s="342"/>
      <c r="C208" s="350" t="s">
        <v>809</v>
      </c>
      <c r="D208" s="363" t="s">
        <v>810</v>
      </c>
      <c r="E208" s="342"/>
      <c r="F208" s="342"/>
      <c r="G208" s="342"/>
      <c r="H208" s="342"/>
      <c r="I208" s="342"/>
      <c r="J208" s="342"/>
      <c r="K208" s="342"/>
      <c r="L208" s="342"/>
      <c r="M208" s="342"/>
      <c r="N208" s="342"/>
      <c r="O208" s="342"/>
      <c r="P208" s="342"/>
      <c r="Q208" s="342"/>
      <c r="R208" s="342"/>
      <c r="S208" s="342"/>
      <c r="T208" s="342"/>
      <c r="U208" s="342"/>
      <c r="V208" s="342"/>
      <c r="W208" s="342"/>
      <c r="X208" s="342"/>
      <c r="Y208" s="342"/>
      <c r="Z208" s="342"/>
      <c r="AA208" s="342"/>
      <c r="AB208" s="342"/>
      <c r="AC208" s="342"/>
      <c r="AD208" s="342"/>
      <c r="AE208" s="342"/>
      <c r="AF208" s="342"/>
      <c r="AG208" s="342"/>
      <c r="AH208" s="342"/>
      <c r="AI208" s="342"/>
      <c r="AJ208" s="342"/>
      <c r="AK208" s="342"/>
      <c r="AL208" s="342"/>
      <c r="AM208" s="342"/>
      <c r="AN208" s="342"/>
      <c r="AO208" s="342"/>
      <c r="AP208" s="342"/>
      <c r="AQ208" s="342"/>
      <c r="AR208" s="342"/>
      <c r="AS208" s="342"/>
      <c r="AT208" s="342"/>
      <c r="AU208" s="342"/>
      <c r="AV208" s="342"/>
      <c r="AW208" s="342"/>
      <c r="AX208" s="342"/>
      <c r="AY208" s="342"/>
      <c r="AZ208" s="342"/>
      <c r="BA208" s="342"/>
      <c r="BB208" s="342"/>
      <c r="BC208" s="342"/>
      <c r="BD208" s="342"/>
      <c r="BE208" s="342"/>
      <c r="BF208" s="342"/>
      <c r="BG208" s="342"/>
      <c r="BH208" s="342"/>
      <c r="BI208" s="342"/>
      <c r="BJ208" s="342"/>
      <c r="BK208" s="342"/>
      <c r="BL208" s="342"/>
      <c r="BM208" s="344"/>
      <c r="BN208" s="344"/>
      <c r="BO208" s="342"/>
      <c r="BP208" s="345"/>
      <c r="BQ208" s="345"/>
      <c r="BR208" s="345"/>
      <c r="BS208" s="346"/>
      <c r="BT208" s="345"/>
      <c r="BU208" s="346"/>
      <c r="BV208" s="346"/>
      <c r="BW208" s="346"/>
      <c r="BX208" s="346"/>
      <c r="BY208" s="346"/>
      <c r="BZ208" s="346"/>
      <c r="CA208" s="346"/>
      <c r="CB208" s="346"/>
      <c r="CC208" s="346"/>
      <c r="CD208" s="346"/>
      <c r="CE208" s="347"/>
      <c r="CF208" s="346"/>
      <c r="CG208" s="346"/>
      <c r="CH208" s="346"/>
      <c r="CI208" s="346"/>
      <c r="CJ208" s="346"/>
      <c r="CK208" s="346"/>
      <c r="CL208" s="346"/>
      <c r="CM208" s="346"/>
      <c r="CN208" s="364"/>
      <c r="CO208" s="364"/>
      <c r="CP208" s="364"/>
      <c r="CQ208" s="374"/>
      <c r="CR208" s="374"/>
      <c r="CS208" s="366"/>
      <c r="CT208" s="374"/>
      <c r="CU208" s="374"/>
      <c r="CV208" s="366"/>
      <c r="CW208" s="374"/>
      <c r="CX208" s="374"/>
      <c r="CY208" s="566"/>
      <c r="CZ208" s="572"/>
      <c r="DA208" s="572"/>
      <c r="DB208" s="566"/>
      <c r="DC208" s="572"/>
      <c r="DD208" s="572"/>
      <c r="DE208" s="709"/>
      <c r="DF208" s="572"/>
      <c r="DG208" s="572"/>
      <c r="DH208" s="709"/>
      <c r="DI208" s="572">
        <v>1400</v>
      </c>
      <c r="DJ208" s="572">
        <v>1400</v>
      </c>
      <c r="DK208" s="709"/>
      <c r="DL208" s="572">
        <f>DI208*(1+DL209)</f>
        <v>1400</v>
      </c>
      <c r="DM208" s="572">
        <f>DJ208*(1+DM209)</f>
        <v>1400</v>
      </c>
      <c r="DN208" s="709"/>
      <c r="DO208" s="572">
        <f>DL208*(1+DO209)</f>
        <v>1400</v>
      </c>
      <c r="DP208" s="572">
        <f>DM208*(1+DP209)</f>
        <v>1400</v>
      </c>
      <c r="DQ208" s="709"/>
      <c r="DR208" s="572">
        <f>DO208*(1+DR209)</f>
        <v>1400</v>
      </c>
      <c r="DS208" s="572">
        <f>DP208*(1+DS209)</f>
        <v>1400</v>
      </c>
      <c r="DT208" s="709"/>
      <c r="DU208" s="572">
        <f>DR208*(1+DU209)</f>
        <v>1400</v>
      </c>
      <c r="DV208" s="572">
        <f>DS208*(1+DV209)</f>
        <v>1400</v>
      </c>
      <c r="DW208" s="709"/>
      <c r="DX208" s="572">
        <f>DU208*(1+DX209)</f>
        <v>1400</v>
      </c>
      <c r="DY208" s="572">
        <f>DV208*(1+DY209)</f>
        <v>1400</v>
      </c>
      <c r="DZ208" s="709"/>
      <c r="EA208" s="572">
        <f>DX208*(1+EA209)</f>
        <v>1400</v>
      </c>
      <c r="EB208" s="572">
        <f>DY208*(1+EB209)</f>
        <v>1400</v>
      </c>
      <c r="EC208" s="709"/>
      <c r="ED208" s="572">
        <f>EA208*(1+ED209)</f>
        <v>1400</v>
      </c>
      <c r="EE208" s="572">
        <f>EB208*(1+EE209)</f>
        <v>1400</v>
      </c>
      <c r="EF208" s="709"/>
      <c r="EG208" s="572">
        <f>ED208*(1+EG209)</f>
        <v>1400</v>
      </c>
      <c r="EH208" s="572">
        <f>EE208*(1+EH209)</f>
        <v>1400</v>
      </c>
      <c r="EI208" s="709"/>
      <c r="EJ208" s="572">
        <f>EG208*(1+EJ209)</f>
        <v>1400</v>
      </c>
      <c r="EK208" s="572">
        <f>EH208*(1+EK209)</f>
        <v>1400</v>
      </c>
      <c r="EL208" s="709"/>
      <c r="EM208" s="572">
        <f>EJ208*(1+EM209)</f>
        <v>1400</v>
      </c>
      <c r="EN208" s="572">
        <f>EK208*(1+EN209)</f>
        <v>1400</v>
      </c>
      <c r="EO208" s="709"/>
      <c r="EP208" s="572">
        <f>EM208*(1+EP209)</f>
        <v>1400</v>
      </c>
      <c r="EQ208" s="572">
        <f>EN208*(1+EQ209)</f>
        <v>1400</v>
      </c>
      <c r="ER208" s="709"/>
      <c r="ES208" s="572">
        <f>EP208*(1+ES209)</f>
        <v>1400</v>
      </c>
      <c r="ET208" s="572">
        <f>EQ208*(1+ET209)</f>
        <v>1400</v>
      </c>
      <c r="EU208" s="709"/>
      <c r="EV208" s="572">
        <f>ES208*(1+EV209)</f>
        <v>1400</v>
      </c>
      <c r="EW208" s="572">
        <f>ET208*(1+EW209)</f>
        <v>1400</v>
      </c>
      <c r="EX208" s="709"/>
      <c r="EY208" s="572">
        <f>EV208*(1+EY209)</f>
        <v>1400</v>
      </c>
      <c r="EZ208" s="572">
        <f>EW208*(1+EZ209)</f>
        <v>1400</v>
      </c>
      <c r="FA208" s="581"/>
      <c r="FB208" s="349"/>
      <c r="FC208" s="349"/>
      <c r="FD208" s="360"/>
      <c r="FE208" s="360"/>
      <c r="FF208" s="360"/>
      <c r="FG208" s="360"/>
      <c r="FH208" s="360"/>
      <c r="FI208" s="360"/>
      <c r="FJ208" s="360"/>
      <c r="FK208" s="360"/>
      <c r="FL208" s="360"/>
      <c r="FM208" s="360"/>
      <c r="FN208" s="360"/>
      <c r="FO208" s="360"/>
      <c r="FP208" s="349"/>
      <c r="FQ208" s="349"/>
      <c r="FR208" s="349"/>
      <c r="FS208" s="349"/>
      <c r="FT208" s="349"/>
      <c r="FU208" s="349"/>
      <c r="FV208" s="349"/>
      <c r="FW208" s="349"/>
      <c r="FX208" s="349"/>
      <c r="FY208" s="349"/>
      <c r="FZ208" s="349"/>
      <c r="GA208" s="349"/>
      <c r="GB208" s="349"/>
    </row>
    <row r="209" spans="1:184" s="350" customFormat="1" ht="13.35" hidden="1" customHeight="1" outlineLevel="1">
      <c r="A209" s="760"/>
      <c r="B209" s="342"/>
      <c r="C209" s="350" t="s">
        <v>690</v>
      </c>
      <c r="D209" s="363" t="s">
        <v>507</v>
      </c>
      <c r="E209" s="342"/>
      <c r="F209" s="342"/>
      <c r="G209" s="342"/>
      <c r="H209" s="342"/>
      <c r="I209" s="342"/>
      <c r="J209" s="342"/>
      <c r="K209" s="342"/>
      <c r="L209" s="342"/>
      <c r="M209" s="342"/>
      <c r="N209" s="342"/>
      <c r="O209" s="342"/>
      <c r="P209" s="342"/>
      <c r="Q209" s="342"/>
      <c r="R209" s="342"/>
      <c r="S209" s="342"/>
      <c r="T209" s="342"/>
      <c r="U209" s="342"/>
      <c r="V209" s="342"/>
      <c r="W209" s="342"/>
      <c r="X209" s="342"/>
      <c r="Y209" s="342"/>
      <c r="Z209" s="342"/>
      <c r="AA209" s="342"/>
      <c r="AB209" s="342"/>
      <c r="AC209" s="342"/>
      <c r="AD209" s="342"/>
      <c r="AE209" s="342"/>
      <c r="AF209" s="342"/>
      <c r="AG209" s="342"/>
      <c r="AH209" s="342"/>
      <c r="AI209" s="342"/>
      <c r="AJ209" s="342"/>
      <c r="AK209" s="342"/>
      <c r="AL209" s="342"/>
      <c r="AM209" s="342"/>
      <c r="AN209" s="342"/>
      <c r="AO209" s="342"/>
      <c r="AP209" s="342"/>
      <c r="AQ209" s="342"/>
      <c r="AR209" s="342"/>
      <c r="AS209" s="342"/>
      <c r="AT209" s="342"/>
      <c r="AU209" s="342"/>
      <c r="AV209" s="342"/>
      <c r="AW209" s="342"/>
      <c r="AX209" s="342"/>
      <c r="AY209" s="342"/>
      <c r="AZ209" s="342"/>
      <c r="BA209" s="342"/>
      <c r="BB209" s="342"/>
      <c r="BC209" s="342"/>
      <c r="BD209" s="342"/>
      <c r="BE209" s="342"/>
      <c r="BF209" s="342"/>
      <c r="BG209" s="342"/>
      <c r="BH209" s="342"/>
      <c r="BI209" s="342"/>
      <c r="BJ209" s="342"/>
      <c r="BK209" s="342"/>
      <c r="BL209" s="342"/>
      <c r="BM209" s="344"/>
      <c r="BN209" s="344"/>
      <c r="BO209" s="342"/>
      <c r="BP209" s="345"/>
      <c r="BQ209" s="345"/>
      <c r="BR209" s="345"/>
      <c r="BS209" s="346"/>
      <c r="BT209" s="345"/>
      <c r="BU209" s="346"/>
      <c r="BV209" s="346"/>
      <c r="BW209" s="346"/>
      <c r="BX209" s="346"/>
      <c r="BY209" s="346"/>
      <c r="BZ209" s="346"/>
      <c r="CA209" s="346"/>
      <c r="CB209" s="346"/>
      <c r="CC209" s="346"/>
      <c r="CD209" s="346"/>
      <c r="CE209" s="347"/>
      <c r="CF209" s="346"/>
      <c r="CG209" s="346"/>
      <c r="CH209" s="346"/>
      <c r="CI209" s="346"/>
      <c r="CJ209" s="346"/>
      <c r="CK209" s="346"/>
      <c r="CL209" s="346"/>
      <c r="CM209" s="346"/>
      <c r="CN209" s="364"/>
      <c r="CO209" s="364"/>
      <c r="CP209" s="364"/>
      <c r="CQ209" s="284"/>
      <c r="CR209" s="284"/>
      <c r="CS209" s="368"/>
      <c r="CT209" s="369"/>
      <c r="CU209" s="369"/>
      <c r="CV209" s="370"/>
      <c r="CW209" s="369"/>
      <c r="CX209" s="369"/>
      <c r="CY209" s="568"/>
      <c r="CZ209" s="389"/>
      <c r="DA209" s="391"/>
      <c r="DB209" s="569"/>
      <c r="DC209" s="391"/>
      <c r="DD209" s="391"/>
      <c r="DE209" s="733"/>
      <c r="DF209" s="389"/>
      <c r="DG209" s="389"/>
      <c r="DH209" s="706"/>
      <c r="DI209" s="389">
        <v>0</v>
      </c>
      <c r="DJ209" s="389">
        <v>0</v>
      </c>
      <c r="DK209" s="706"/>
      <c r="DL209" s="391">
        <f>DI209</f>
        <v>0</v>
      </c>
      <c r="DM209" s="391">
        <f>DJ209</f>
        <v>0</v>
      </c>
      <c r="DN209" s="733"/>
      <c r="DO209" s="391">
        <f>DL209</f>
        <v>0</v>
      </c>
      <c r="DP209" s="391">
        <f>DM209</f>
        <v>0</v>
      </c>
      <c r="DQ209" s="706"/>
      <c r="DR209" s="389">
        <f>DO209</f>
        <v>0</v>
      </c>
      <c r="DS209" s="389">
        <f>DP209</f>
        <v>0</v>
      </c>
      <c r="DT209" s="706"/>
      <c r="DU209" s="389">
        <f>DR209</f>
        <v>0</v>
      </c>
      <c r="DV209" s="389">
        <f>DS209</f>
        <v>0</v>
      </c>
      <c r="DW209" s="706"/>
      <c r="DX209" s="389">
        <f>DU209</f>
        <v>0</v>
      </c>
      <c r="DY209" s="389">
        <f>DV209</f>
        <v>0</v>
      </c>
      <c r="DZ209" s="706"/>
      <c r="EA209" s="389">
        <f>DX209</f>
        <v>0</v>
      </c>
      <c r="EB209" s="389">
        <f>DY209</f>
        <v>0</v>
      </c>
      <c r="EC209" s="706"/>
      <c r="ED209" s="389">
        <f>EA209</f>
        <v>0</v>
      </c>
      <c r="EE209" s="389">
        <f>EB209</f>
        <v>0</v>
      </c>
      <c r="EF209" s="706"/>
      <c r="EG209" s="389">
        <f>ED209</f>
        <v>0</v>
      </c>
      <c r="EH209" s="389">
        <f>EE209</f>
        <v>0</v>
      </c>
      <c r="EI209" s="706"/>
      <c r="EJ209" s="389">
        <f>EG209</f>
        <v>0</v>
      </c>
      <c r="EK209" s="389">
        <f>EH209</f>
        <v>0</v>
      </c>
      <c r="EL209" s="706"/>
      <c r="EM209" s="389">
        <f>EJ209</f>
        <v>0</v>
      </c>
      <c r="EN209" s="389">
        <f>EK209</f>
        <v>0</v>
      </c>
      <c r="EO209" s="706"/>
      <c r="EP209" s="389">
        <f>EM209</f>
        <v>0</v>
      </c>
      <c r="EQ209" s="389">
        <f>EN209</f>
        <v>0</v>
      </c>
      <c r="ER209" s="706"/>
      <c r="ES209" s="389">
        <f>EP209</f>
        <v>0</v>
      </c>
      <c r="ET209" s="389">
        <f>EQ209</f>
        <v>0</v>
      </c>
      <c r="EU209" s="706"/>
      <c r="EV209" s="389">
        <f>ES209</f>
        <v>0</v>
      </c>
      <c r="EW209" s="389">
        <f>ET209</f>
        <v>0</v>
      </c>
      <c r="EX209" s="706"/>
      <c r="EY209" s="389">
        <f>EV209</f>
        <v>0</v>
      </c>
      <c r="EZ209" s="389">
        <f>EW209</f>
        <v>0</v>
      </c>
      <c r="FA209" s="568"/>
      <c r="FB209" s="349"/>
      <c r="FC209" s="349"/>
      <c r="FD209" s="360"/>
      <c r="FE209" s="360"/>
      <c r="FF209" s="360"/>
      <c r="FG209" s="360"/>
      <c r="FH209" s="360"/>
      <c r="FI209" s="360"/>
      <c r="FJ209" s="360"/>
      <c r="FK209" s="360"/>
      <c r="FL209" s="360"/>
      <c r="FM209" s="360"/>
      <c r="FN209" s="360"/>
      <c r="FO209" s="360"/>
      <c r="FP209" s="349"/>
      <c r="FQ209" s="349"/>
      <c r="FR209" s="349"/>
      <c r="FS209" s="349"/>
      <c r="FT209" s="349"/>
      <c r="FU209" s="349"/>
      <c r="FV209" s="349"/>
      <c r="FW209" s="349"/>
      <c r="FX209" s="349"/>
      <c r="FY209" s="349"/>
      <c r="FZ209" s="349"/>
      <c r="GA209" s="349"/>
      <c r="GB209" s="349"/>
    </row>
    <row r="210" spans="1:184" s="350" customFormat="1" ht="13.35" hidden="1" customHeight="1" outlineLevel="1">
      <c r="A210" s="760"/>
      <c r="B210" s="342"/>
      <c r="D210" s="363"/>
      <c r="E210" s="342"/>
      <c r="F210" s="342"/>
      <c r="G210" s="342"/>
      <c r="H210" s="342"/>
      <c r="I210" s="342"/>
      <c r="J210" s="342"/>
      <c r="K210" s="342"/>
      <c r="L210" s="342"/>
      <c r="M210" s="342"/>
      <c r="N210" s="342"/>
      <c r="O210" s="342"/>
      <c r="P210" s="342"/>
      <c r="Q210" s="342"/>
      <c r="R210" s="342"/>
      <c r="S210" s="342"/>
      <c r="T210" s="342"/>
      <c r="U210" s="342"/>
      <c r="V210" s="342"/>
      <c r="W210" s="342"/>
      <c r="X210" s="342"/>
      <c r="Y210" s="342"/>
      <c r="Z210" s="342"/>
      <c r="AA210" s="342"/>
      <c r="AB210" s="342"/>
      <c r="AC210" s="342"/>
      <c r="AD210" s="342"/>
      <c r="AE210" s="342"/>
      <c r="AF210" s="342"/>
      <c r="AG210" s="342"/>
      <c r="AH210" s="342"/>
      <c r="AI210" s="342"/>
      <c r="AJ210" s="342"/>
      <c r="AK210" s="342"/>
      <c r="AL210" s="342"/>
      <c r="AM210" s="342"/>
      <c r="AN210" s="342"/>
      <c r="AO210" s="342"/>
      <c r="AP210" s="342"/>
      <c r="AQ210" s="342"/>
      <c r="AR210" s="342"/>
      <c r="AS210" s="342"/>
      <c r="AT210" s="342"/>
      <c r="AU210" s="342"/>
      <c r="AV210" s="342"/>
      <c r="AW210" s="342"/>
      <c r="AX210" s="342"/>
      <c r="AY210" s="342"/>
      <c r="AZ210" s="342"/>
      <c r="BA210" s="342"/>
      <c r="BB210" s="342"/>
      <c r="BC210" s="342"/>
      <c r="BD210" s="342"/>
      <c r="BE210" s="342"/>
      <c r="BF210" s="342"/>
      <c r="BG210" s="342"/>
      <c r="BH210" s="342"/>
      <c r="BI210" s="342"/>
      <c r="BJ210" s="342"/>
      <c r="BK210" s="342"/>
      <c r="BL210" s="342"/>
      <c r="BM210" s="344"/>
      <c r="BN210" s="344"/>
      <c r="BO210" s="342"/>
      <c r="BP210" s="345"/>
      <c r="BQ210" s="345"/>
      <c r="BR210" s="345"/>
      <c r="BS210" s="346"/>
      <c r="BT210" s="345"/>
      <c r="BU210" s="346"/>
      <c r="BV210" s="346"/>
      <c r="BW210" s="346"/>
      <c r="BX210" s="346"/>
      <c r="BY210" s="346"/>
      <c r="BZ210" s="346"/>
      <c r="CA210" s="346"/>
      <c r="CB210" s="346"/>
      <c r="CC210" s="346"/>
      <c r="CD210" s="346"/>
      <c r="CE210" s="347"/>
      <c r="CF210" s="346"/>
      <c r="CG210" s="346"/>
      <c r="CH210" s="346"/>
      <c r="CI210" s="346"/>
      <c r="CJ210" s="346"/>
      <c r="CK210" s="346"/>
      <c r="CL210" s="346"/>
      <c r="CM210" s="346"/>
      <c r="CN210" s="364"/>
      <c r="CO210" s="364"/>
      <c r="CP210" s="364"/>
      <c r="CQ210" s="365"/>
      <c r="CR210" s="365"/>
      <c r="CS210" s="366"/>
      <c r="CT210" s="365"/>
      <c r="CU210" s="365"/>
      <c r="CV210" s="366"/>
      <c r="CW210" s="365"/>
      <c r="CX210" s="365"/>
      <c r="CY210" s="566"/>
      <c r="CZ210" s="582"/>
      <c r="DA210" s="583"/>
      <c r="DB210" s="552"/>
      <c r="DC210" s="302"/>
      <c r="DD210" s="302"/>
      <c r="DE210" s="788"/>
      <c r="DF210" s="305"/>
      <c r="DG210" s="305"/>
      <c r="DH210" s="786"/>
      <c r="DI210" s="305"/>
      <c r="DJ210" s="305"/>
      <c r="DK210" s="699"/>
      <c r="DL210" s="302"/>
      <c r="DM210" s="302"/>
      <c r="DN210" s="700"/>
      <c r="DO210" s="302"/>
      <c r="DP210" s="302"/>
      <c r="DQ210" s="699"/>
      <c r="DR210" s="305"/>
      <c r="DS210" s="305"/>
      <c r="DT210" s="699"/>
      <c r="DU210" s="305"/>
      <c r="DV210" s="305"/>
      <c r="DW210" s="699"/>
      <c r="DX210" s="305"/>
      <c r="DY210" s="305"/>
      <c r="DZ210" s="699"/>
      <c r="EA210" s="305"/>
      <c r="EB210" s="305"/>
      <c r="EC210" s="699"/>
      <c r="ED210" s="305"/>
      <c r="EE210" s="305"/>
      <c r="EF210" s="699"/>
      <c r="EG210" s="305"/>
      <c r="EH210" s="305"/>
      <c r="EI210" s="699"/>
      <c r="EJ210" s="305"/>
      <c r="EK210" s="305"/>
      <c r="EL210" s="699"/>
      <c r="EM210" s="305"/>
      <c r="EN210" s="305"/>
      <c r="EO210" s="699"/>
      <c r="EP210" s="305"/>
      <c r="EQ210" s="305"/>
      <c r="ER210" s="699"/>
      <c r="ES210" s="305"/>
      <c r="ET210" s="305"/>
      <c r="EU210" s="699"/>
      <c r="EV210" s="305"/>
      <c r="EW210" s="305"/>
      <c r="EX210" s="699"/>
      <c r="EY210" s="305"/>
      <c r="EZ210" s="305"/>
      <c r="FA210" s="545"/>
      <c r="FB210" s="349"/>
      <c r="FC210" s="349"/>
      <c r="FD210" s="360"/>
      <c r="FE210" s="382"/>
      <c r="FF210" s="382"/>
      <c r="FG210" s="360"/>
      <c r="FH210" s="360"/>
      <c r="FI210" s="360"/>
      <c r="FJ210" s="360"/>
      <c r="FK210" s="360"/>
      <c r="FL210" s="360"/>
      <c r="FM210" s="360"/>
      <c r="FN210" s="360"/>
      <c r="FO210" s="360"/>
      <c r="FP210" s="349"/>
      <c r="FQ210" s="349"/>
      <c r="FR210" s="349"/>
      <c r="FS210" s="349"/>
      <c r="FT210" s="349"/>
      <c r="FU210" s="349"/>
      <c r="FV210" s="349"/>
      <c r="FW210" s="349"/>
      <c r="FX210" s="349"/>
      <c r="FY210" s="349"/>
      <c r="FZ210" s="349"/>
      <c r="GA210" s="349"/>
      <c r="GB210" s="349"/>
    </row>
    <row r="211" spans="1:184" s="350" customFormat="1" ht="13.35" hidden="1" customHeight="1" outlineLevel="1">
      <c r="A211" s="760"/>
      <c r="B211" s="342"/>
      <c r="C211" s="342" t="s">
        <v>811</v>
      </c>
      <c r="D211" s="363" t="s">
        <v>578</v>
      </c>
      <c r="E211" s="177"/>
      <c r="F211" s="177"/>
      <c r="G211" s="177"/>
      <c r="H211" s="177"/>
      <c r="I211" s="177"/>
      <c r="J211" s="177"/>
      <c r="K211" s="177"/>
      <c r="L211" s="177"/>
      <c r="M211" s="177"/>
      <c r="N211" s="177"/>
      <c r="O211" s="177"/>
      <c r="P211" s="177"/>
      <c r="Q211" s="177"/>
      <c r="R211" s="177"/>
      <c r="S211" s="177"/>
      <c r="T211" s="177"/>
      <c r="U211" s="177"/>
      <c r="V211" s="177"/>
      <c r="W211" s="177"/>
      <c r="X211" s="177"/>
      <c r="Y211" s="177"/>
      <c r="Z211" s="177"/>
      <c r="AA211" s="177"/>
      <c r="AB211" s="177"/>
      <c r="AC211" s="177"/>
      <c r="AD211" s="177"/>
      <c r="AE211" s="177"/>
      <c r="AF211" s="177"/>
      <c r="AG211" s="177"/>
      <c r="AH211" s="177"/>
      <c r="AI211" s="177"/>
      <c r="AJ211" s="177"/>
      <c r="AK211" s="177"/>
      <c r="AL211" s="177"/>
      <c r="AM211" s="177"/>
      <c r="AN211" s="177"/>
      <c r="AO211" s="177"/>
      <c r="AP211" s="177"/>
      <c r="AQ211" s="177"/>
      <c r="AR211" s="177"/>
      <c r="AS211" s="177"/>
      <c r="AT211" s="177"/>
      <c r="AU211" s="177"/>
      <c r="AV211" s="177"/>
      <c r="AW211" s="177"/>
      <c r="AX211" s="177"/>
      <c r="AY211" s="177"/>
      <c r="AZ211" s="177"/>
      <c r="BA211" s="177"/>
      <c r="BB211" s="177"/>
      <c r="BC211" s="177"/>
      <c r="BD211" s="177"/>
      <c r="BE211" s="177"/>
      <c r="BF211" s="177"/>
      <c r="BG211" s="177"/>
      <c r="BH211" s="177"/>
      <c r="BI211" s="177"/>
      <c r="BJ211" s="177"/>
      <c r="BK211" s="177"/>
      <c r="BL211" s="177"/>
      <c r="BM211" s="177"/>
      <c r="BN211" s="177"/>
      <c r="BO211" s="177"/>
      <c r="BP211" s="177"/>
      <c r="BQ211" s="177"/>
      <c r="BR211" s="177"/>
      <c r="BS211" s="177"/>
      <c r="BT211" s="177"/>
      <c r="BU211" s="352"/>
      <c r="BV211" s="177"/>
      <c r="BW211" s="177"/>
      <c r="BX211" s="177"/>
      <c r="BY211" s="177"/>
      <c r="BZ211" s="177"/>
      <c r="CA211" s="177"/>
      <c r="CB211" s="177"/>
      <c r="CC211" s="177"/>
      <c r="CD211" s="177"/>
      <c r="CE211" s="177"/>
      <c r="CF211" s="177"/>
      <c r="CG211" s="177"/>
      <c r="CH211" s="177"/>
      <c r="CI211" s="177"/>
      <c r="CJ211" s="177"/>
      <c r="CK211" s="177"/>
      <c r="CL211" s="177"/>
      <c r="CM211" s="177"/>
      <c r="CN211" s="177"/>
      <c r="CO211" s="177"/>
      <c r="CP211" s="177"/>
      <c r="CQ211" s="383"/>
      <c r="CR211" s="383"/>
      <c r="CS211" s="384"/>
      <c r="CV211" s="384"/>
      <c r="CY211" s="584"/>
      <c r="CZ211" s="564"/>
      <c r="DA211" s="564"/>
      <c r="DB211" s="584"/>
      <c r="DC211" s="572"/>
      <c r="DD211" s="572"/>
      <c r="DE211" s="709"/>
      <c r="DF211" s="572"/>
      <c r="DG211" s="572"/>
      <c r="DH211" s="709"/>
      <c r="DI211" s="572">
        <v>6</v>
      </c>
      <c r="DJ211" s="572">
        <v>6</v>
      </c>
      <c r="DK211" s="709">
        <v>12</v>
      </c>
      <c r="DL211" s="572">
        <f>DI211*(1+DL212)</f>
        <v>6</v>
      </c>
      <c r="DM211" s="572">
        <f>DJ211*(1+DM212)</f>
        <v>6</v>
      </c>
      <c r="DN211" s="709">
        <f>SUM(DL211:DM211)</f>
        <v>12</v>
      </c>
      <c r="DO211" s="572">
        <f>DL211*(1+DO212)</f>
        <v>6</v>
      </c>
      <c r="DP211" s="572">
        <f>DM211*(1+DP212)</f>
        <v>6</v>
      </c>
      <c r="DQ211" s="709">
        <f>SUM(DO211:DP211)</f>
        <v>12</v>
      </c>
      <c r="DR211" s="572">
        <f>DO211*(1+DR212)</f>
        <v>6</v>
      </c>
      <c r="DS211" s="572">
        <f>DP211*(1+DS212)</f>
        <v>6</v>
      </c>
      <c r="DT211" s="709">
        <f>SUM(DR211:DS211)</f>
        <v>12</v>
      </c>
      <c r="DU211" s="572">
        <f>DR211*(1+DU212)</f>
        <v>6</v>
      </c>
      <c r="DV211" s="572">
        <f>DS211*(1+DV212)</f>
        <v>6</v>
      </c>
      <c r="DW211" s="709">
        <f>SUM(DU211:DV211)</f>
        <v>12</v>
      </c>
      <c r="DX211" s="572">
        <f>DU211*(1+DX212)</f>
        <v>6</v>
      </c>
      <c r="DY211" s="572">
        <f>DV211*(1+DY212)</f>
        <v>6</v>
      </c>
      <c r="DZ211" s="709">
        <f>SUM(DX211:DY211)</f>
        <v>12</v>
      </c>
      <c r="EA211" s="572">
        <f>DX211*(1+EA212)</f>
        <v>6</v>
      </c>
      <c r="EB211" s="572">
        <f>DY211*(1+EB212)</f>
        <v>6</v>
      </c>
      <c r="EC211" s="709">
        <f>SUM(EA211:EB211)</f>
        <v>12</v>
      </c>
      <c r="ED211" s="572">
        <f>EA211*(1+ED212)</f>
        <v>6</v>
      </c>
      <c r="EE211" s="572">
        <f>EB211*(1+EE212)</f>
        <v>6</v>
      </c>
      <c r="EF211" s="709">
        <f>SUM(ED211:EE211)</f>
        <v>12</v>
      </c>
      <c r="EG211" s="572">
        <f>ED211*(1+EG212)</f>
        <v>6</v>
      </c>
      <c r="EH211" s="572">
        <f>EE211*(1+EH212)</f>
        <v>6</v>
      </c>
      <c r="EI211" s="709">
        <f>SUM(EG211:EH211)</f>
        <v>12</v>
      </c>
      <c r="EJ211" s="572">
        <f>EG211*(1+EJ212)</f>
        <v>6</v>
      </c>
      <c r="EK211" s="572">
        <f>EH211*(1+EK212)</f>
        <v>6</v>
      </c>
      <c r="EL211" s="709">
        <f>SUM(EJ211:EK211)</f>
        <v>12</v>
      </c>
      <c r="EM211" s="572">
        <f>EJ211*(1+EM212)</f>
        <v>6</v>
      </c>
      <c r="EN211" s="572">
        <f>EK211*(1+EN212)</f>
        <v>6</v>
      </c>
      <c r="EO211" s="709">
        <f>SUM(EM211:EN211)</f>
        <v>12</v>
      </c>
      <c r="EP211" s="572">
        <f>EM211*(1+EP212)</f>
        <v>6</v>
      </c>
      <c r="EQ211" s="572">
        <f>EN211*(1+EQ212)</f>
        <v>6</v>
      </c>
      <c r="ER211" s="709">
        <f>SUM(EP211:EQ211)</f>
        <v>12</v>
      </c>
      <c r="ES211" s="572">
        <f>EP211*(1+ES212)</f>
        <v>6</v>
      </c>
      <c r="ET211" s="572">
        <f>EQ211*(1+ET212)</f>
        <v>6</v>
      </c>
      <c r="EU211" s="709">
        <f>SUM(ES211:ET211)</f>
        <v>12</v>
      </c>
      <c r="EV211" s="572">
        <f>ES211*(1+EV212)</f>
        <v>6</v>
      </c>
      <c r="EW211" s="572">
        <f>ET211*(1+EW212)</f>
        <v>6</v>
      </c>
      <c r="EX211" s="709">
        <f>SUM(EV211:EW211)</f>
        <v>12</v>
      </c>
      <c r="EY211" s="572">
        <f>EV211*(1+EY212)</f>
        <v>6</v>
      </c>
      <c r="EZ211" s="572">
        <f>EW211*(1+EZ212)</f>
        <v>6</v>
      </c>
      <c r="FA211" s="581">
        <f>SUM(EY211:EZ211)</f>
        <v>12</v>
      </c>
      <c r="FB211" s="349"/>
      <c r="FC211" s="349"/>
      <c r="FD211" s="360"/>
      <c r="FE211" s="360"/>
      <c r="FF211" s="360"/>
      <c r="FG211" s="360"/>
      <c r="FH211" s="360"/>
      <c r="FI211" s="360"/>
      <c r="FJ211" s="360"/>
      <c r="FK211" s="360"/>
      <c r="FL211" s="360"/>
      <c r="FM211" s="360"/>
      <c r="FN211" s="360"/>
      <c r="FO211" s="360"/>
      <c r="FP211" s="349"/>
      <c r="FQ211" s="349"/>
      <c r="FR211" s="349"/>
      <c r="FS211" s="349"/>
      <c r="FT211" s="349"/>
      <c r="FU211" s="349"/>
      <c r="FV211" s="349"/>
      <c r="FW211" s="349"/>
      <c r="FX211" s="349"/>
      <c r="FY211" s="349"/>
      <c r="FZ211" s="349"/>
      <c r="GA211" s="349"/>
      <c r="GB211" s="349"/>
    </row>
    <row r="212" spans="1:184" s="350" customFormat="1" ht="13.35" hidden="1" customHeight="1" outlineLevel="1">
      <c r="A212" s="760"/>
      <c r="B212" s="342"/>
      <c r="C212" s="342" t="s">
        <v>690</v>
      </c>
      <c r="D212" s="363" t="s">
        <v>507</v>
      </c>
      <c r="E212" s="177"/>
      <c r="F212" s="177"/>
      <c r="G212" s="177"/>
      <c r="H212" s="177"/>
      <c r="I212" s="177"/>
      <c r="J212" s="177"/>
      <c r="K212" s="177"/>
      <c r="L212" s="177"/>
      <c r="M212" s="177"/>
      <c r="N212" s="177"/>
      <c r="O212" s="177"/>
      <c r="P212" s="177"/>
      <c r="Q212" s="177"/>
      <c r="R212" s="177"/>
      <c r="S212" s="177"/>
      <c r="T212" s="177"/>
      <c r="U212" s="177"/>
      <c r="V212" s="177"/>
      <c r="W212" s="177"/>
      <c r="X212" s="177"/>
      <c r="Y212" s="177"/>
      <c r="Z212" s="177"/>
      <c r="AA212" s="177"/>
      <c r="AB212" s="177"/>
      <c r="AC212" s="177"/>
      <c r="AD212" s="177"/>
      <c r="AE212" s="177"/>
      <c r="AF212" s="177"/>
      <c r="AG212" s="177"/>
      <c r="AH212" s="177"/>
      <c r="AI212" s="177"/>
      <c r="AJ212" s="177"/>
      <c r="AK212" s="177"/>
      <c r="AL212" s="177"/>
      <c r="AM212" s="177"/>
      <c r="AN212" s="177"/>
      <c r="AO212" s="177"/>
      <c r="AP212" s="177"/>
      <c r="AQ212" s="177"/>
      <c r="AR212" s="177"/>
      <c r="AS212" s="177"/>
      <c r="AT212" s="177"/>
      <c r="AU212" s="177"/>
      <c r="AV212" s="177"/>
      <c r="AW212" s="177"/>
      <c r="AX212" s="177"/>
      <c r="AY212" s="177"/>
      <c r="AZ212" s="177"/>
      <c r="BA212" s="177"/>
      <c r="BB212" s="177"/>
      <c r="BC212" s="177"/>
      <c r="BD212" s="177"/>
      <c r="BE212" s="177"/>
      <c r="BF212" s="177"/>
      <c r="BG212" s="177"/>
      <c r="BH212" s="177"/>
      <c r="BI212" s="177"/>
      <c r="BJ212" s="177"/>
      <c r="BK212" s="177"/>
      <c r="BL212" s="177"/>
      <c r="BM212" s="177"/>
      <c r="BN212" s="177"/>
      <c r="BO212" s="177"/>
      <c r="BP212" s="177"/>
      <c r="BQ212" s="177"/>
      <c r="BR212" s="177"/>
      <c r="BS212" s="177"/>
      <c r="BT212" s="177"/>
      <c r="BU212" s="352"/>
      <c r="BV212" s="177"/>
      <c r="BW212" s="177"/>
      <c r="BX212" s="177"/>
      <c r="BY212" s="177"/>
      <c r="BZ212" s="177"/>
      <c r="CA212" s="177"/>
      <c r="CB212" s="177"/>
      <c r="CC212" s="177"/>
      <c r="CD212" s="177"/>
      <c r="CE212" s="177"/>
      <c r="CF212" s="177"/>
      <c r="CG212" s="177"/>
      <c r="CH212" s="177"/>
      <c r="CI212" s="177"/>
      <c r="CJ212" s="177"/>
      <c r="CK212" s="177"/>
      <c r="CL212" s="177"/>
      <c r="CM212" s="177"/>
      <c r="CN212" s="177"/>
      <c r="CO212" s="177"/>
      <c r="CP212" s="177"/>
      <c r="CQ212" s="385"/>
      <c r="CR212" s="385"/>
      <c r="CS212" s="370"/>
      <c r="CT212" s="369"/>
      <c r="CU212" s="369"/>
      <c r="CV212" s="370"/>
      <c r="CW212" s="369"/>
      <c r="CX212" s="369"/>
      <c r="CY212" s="568"/>
      <c r="CZ212" s="389"/>
      <c r="DA212" s="391"/>
      <c r="DB212" s="569"/>
      <c r="DC212" s="391"/>
      <c r="DD212" s="391"/>
      <c r="DE212" s="733"/>
      <c r="DF212" s="389"/>
      <c r="DG212" s="389"/>
      <c r="DH212" s="706"/>
      <c r="DI212" s="389">
        <v>0</v>
      </c>
      <c r="DJ212" s="389">
        <v>0</v>
      </c>
      <c r="DK212" s="706">
        <v>0</v>
      </c>
      <c r="DL212" s="391">
        <f>DI212</f>
        <v>0</v>
      </c>
      <c r="DM212" s="391">
        <f>DJ212</f>
        <v>0</v>
      </c>
      <c r="DN212" s="733">
        <f>DN211/DK211-1</f>
        <v>0</v>
      </c>
      <c r="DO212" s="391">
        <f>DL212</f>
        <v>0</v>
      </c>
      <c r="DP212" s="391">
        <f>DM212</f>
        <v>0</v>
      </c>
      <c r="DQ212" s="706">
        <f>DQ211/DN211-1</f>
        <v>0</v>
      </c>
      <c r="DR212" s="389">
        <f>DO212</f>
        <v>0</v>
      </c>
      <c r="DS212" s="389">
        <f>DP212</f>
        <v>0</v>
      </c>
      <c r="DT212" s="706">
        <f>DT211/DQ211-1</f>
        <v>0</v>
      </c>
      <c r="DU212" s="389">
        <f>DR212</f>
        <v>0</v>
      </c>
      <c r="DV212" s="389">
        <f>DS212</f>
        <v>0</v>
      </c>
      <c r="DW212" s="706">
        <f>DW211/DT211-1</f>
        <v>0</v>
      </c>
      <c r="DX212" s="389">
        <f>DU212</f>
        <v>0</v>
      </c>
      <c r="DY212" s="389">
        <f>DV212</f>
        <v>0</v>
      </c>
      <c r="DZ212" s="706">
        <f>DZ211/DW211-1</f>
        <v>0</v>
      </c>
      <c r="EA212" s="389">
        <f>DX212</f>
        <v>0</v>
      </c>
      <c r="EB212" s="389">
        <f>DY212</f>
        <v>0</v>
      </c>
      <c r="EC212" s="706">
        <f>EC211/DZ211-1</f>
        <v>0</v>
      </c>
      <c r="ED212" s="389">
        <f>EA212</f>
        <v>0</v>
      </c>
      <c r="EE212" s="389">
        <f>EB212</f>
        <v>0</v>
      </c>
      <c r="EF212" s="706">
        <f>EF211/EC211-1</f>
        <v>0</v>
      </c>
      <c r="EG212" s="389">
        <f>ED212</f>
        <v>0</v>
      </c>
      <c r="EH212" s="389">
        <f>EE212</f>
        <v>0</v>
      </c>
      <c r="EI212" s="706">
        <f>EI211/EF211-1</f>
        <v>0</v>
      </c>
      <c r="EJ212" s="389">
        <f>EG212</f>
        <v>0</v>
      </c>
      <c r="EK212" s="389">
        <f>EH212</f>
        <v>0</v>
      </c>
      <c r="EL212" s="706">
        <f>EL211/EI211-1</f>
        <v>0</v>
      </c>
      <c r="EM212" s="389">
        <f>EJ212</f>
        <v>0</v>
      </c>
      <c r="EN212" s="389">
        <f>EK212</f>
        <v>0</v>
      </c>
      <c r="EO212" s="706">
        <f>EO211/EL211-1</f>
        <v>0</v>
      </c>
      <c r="EP212" s="389">
        <f>EM212</f>
        <v>0</v>
      </c>
      <c r="EQ212" s="389">
        <f>EN212</f>
        <v>0</v>
      </c>
      <c r="ER212" s="706">
        <f>ER211/EO211-1</f>
        <v>0</v>
      </c>
      <c r="ES212" s="389">
        <f>EP212</f>
        <v>0</v>
      </c>
      <c r="ET212" s="389">
        <f>EQ212</f>
        <v>0</v>
      </c>
      <c r="EU212" s="706">
        <f>EU211/ER211-1</f>
        <v>0</v>
      </c>
      <c r="EV212" s="389">
        <f>ES212</f>
        <v>0</v>
      </c>
      <c r="EW212" s="389">
        <f>ET212</f>
        <v>0</v>
      </c>
      <c r="EX212" s="706">
        <f>EX211/EU211-1</f>
        <v>0</v>
      </c>
      <c r="EY212" s="389">
        <f>EV212</f>
        <v>0</v>
      </c>
      <c r="EZ212" s="389">
        <f>EW212</f>
        <v>0</v>
      </c>
      <c r="FA212" s="568">
        <f>FA211/EX211-1</f>
        <v>0</v>
      </c>
      <c r="FB212" s="349"/>
      <c r="FC212" s="349"/>
      <c r="FD212" s="360"/>
      <c r="FE212" s="360"/>
      <c r="FF212" s="360"/>
      <c r="FG212" s="360"/>
      <c r="FH212" s="360"/>
      <c r="FI212" s="360"/>
      <c r="FJ212" s="360"/>
      <c r="FK212" s="360"/>
      <c r="FL212" s="360"/>
      <c r="FM212" s="360"/>
      <c r="FN212" s="360"/>
      <c r="FO212" s="360"/>
      <c r="FP212" s="349"/>
      <c r="FQ212" s="349"/>
      <c r="FR212" s="349"/>
      <c r="FS212" s="349"/>
      <c r="FT212" s="349"/>
      <c r="FU212" s="349"/>
      <c r="FV212" s="349"/>
      <c r="FW212" s="349"/>
      <c r="FX212" s="349"/>
      <c r="FY212" s="349"/>
      <c r="FZ212" s="349"/>
      <c r="GA212" s="349"/>
      <c r="GB212" s="349"/>
    </row>
    <row r="213" spans="1:184" s="350" customFormat="1" ht="13.35" hidden="1" customHeight="1" outlineLevel="1">
      <c r="A213" s="760"/>
      <c r="B213" s="342"/>
      <c r="D213" s="363"/>
      <c r="E213" s="342"/>
      <c r="F213" s="342"/>
      <c r="G213" s="342"/>
      <c r="H213" s="342"/>
      <c r="I213" s="342"/>
      <c r="J213" s="342"/>
      <c r="K213" s="342"/>
      <c r="L213" s="342"/>
      <c r="M213" s="342"/>
      <c r="N213" s="342"/>
      <c r="O213" s="342"/>
      <c r="P213" s="342"/>
      <c r="Q213" s="342"/>
      <c r="R213" s="342"/>
      <c r="S213" s="342"/>
      <c r="T213" s="342"/>
      <c r="U213" s="342"/>
      <c r="V213" s="342"/>
      <c r="W213" s="342"/>
      <c r="X213" s="342"/>
      <c r="Y213" s="342"/>
      <c r="Z213" s="342"/>
      <c r="AA213" s="342"/>
      <c r="AB213" s="342"/>
      <c r="AC213" s="342"/>
      <c r="AD213" s="342"/>
      <c r="AE213" s="342"/>
      <c r="AF213" s="342"/>
      <c r="AG213" s="342"/>
      <c r="AH213" s="342"/>
      <c r="AI213" s="342"/>
      <c r="AJ213" s="342"/>
      <c r="AK213" s="342"/>
      <c r="AL213" s="342"/>
      <c r="AM213" s="342"/>
      <c r="AN213" s="342"/>
      <c r="AO213" s="342"/>
      <c r="AP213" s="342"/>
      <c r="AQ213" s="342"/>
      <c r="AR213" s="342"/>
      <c r="AS213" s="342"/>
      <c r="AT213" s="342"/>
      <c r="AU213" s="342"/>
      <c r="AV213" s="342"/>
      <c r="AW213" s="342"/>
      <c r="AX213" s="342"/>
      <c r="AY213" s="342"/>
      <c r="AZ213" s="342"/>
      <c r="BA213" s="342"/>
      <c r="BB213" s="342"/>
      <c r="BC213" s="342"/>
      <c r="BD213" s="342"/>
      <c r="BE213" s="342"/>
      <c r="BF213" s="342"/>
      <c r="BG213" s="342"/>
      <c r="BH213" s="342"/>
      <c r="BI213" s="342"/>
      <c r="BJ213" s="342"/>
      <c r="BK213" s="342"/>
      <c r="BL213" s="342"/>
      <c r="BM213" s="344"/>
      <c r="BN213" s="344"/>
      <c r="BO213" s="342"/>
      <c r="BP213" s="345"/>
      <c r="BQ213" s="345"/>
      <c r="BR213" s="345"/>
      <c r="BS213" s="346"/>
      <c r="BT213" s="345"/>
      <c r="BU213" s="346"/>
      <c r="BV213" s="346"/>
      <c r="BW213" s="346"/>
      <c r="BX213" s="346"/>
      <c r="BY213" s="346"/>
      <c r="BZ213" s="346"/>
      <c r="CA213" s="346"/>
      <c r="CB213" s="346"/>
      <c r="CC213" s="346"/>
      <c r="CD213" s="346"/>
      <c r="CE213" s="347"/>
      <c r="CF213" s="346"/>
      <c r="CG213" s="346"/>
      <c r="CH213" s="346"/>
      <c r="CI213" s="346"/>
      <c r="CJ213" s="346"/>
      <c r="CK213" s="346"/>
      <c r="CL213" s="346"/>
      <c r="CM213" s="346"/>
      <c r="CN213" s="364"/>
      <c r="CO213" s="364"/>
      <c r="CP213" s="364"/>
      <c r="CQ213" s="284"/>
      <c r="CR213" s="284"/>
      <c r="CS213" s="368"/>
      <c r="CT213" s="284"/>
      <c r="CU213" s="284"/>
      <c r="CV213" s="368"/>
      <c r="CW213" s="284"/>
      <c r="CX213" s="284"/>
      <c r="CY213" s="545"/>
      <c r="CZ213" s="305"/>
      <c r="DA213" s="302"/>
      <c r="DB213" s="552"/>
      <c r="DC213" s="302"/>
      <c r="DD213" s="302"/>
      <c r="DE213" s="788"/>
      <c r="DF213" s="305"/>
      <c r="DG213" s="305"/>
      <c r="DH213" s="786"/>
      <c r="DI213" s="305"/>
      <c r="DJ213" s="305"/>
      <c r="DK213" s="699"/>
      <c r="DL213" s="302"/>
      <c r="DM213" s="302"/>
      <c r="DN213" s="700"/>
      <c r="DO213" s="302"/>
      <c r="DP213" s="302"/>
      <c r="DQ213" s="699"/>
      <c r="DR213" s="305"/>
      <c r="DS213" s="305"/>
      <c r="DT213" s="699"/>
      <c r="DU213" s="305"/>
      <c r="DV213" s="305"/>
      <c r="DW213" s="699"/>
      <c r="DX213" s="305"/>
      <c r="DY213" s="305"/>
      <c r="DZ213" s="699"/>
      <c r="EA213" s="305"/>
      <c r="EB213" s="305"/>
      <c r="EC213" s="699"/>
      <c r="ED213" s="305"/>
      <c r="EE213" s="305"/>
      <c r="EF213" s="699"/>
      <c r="EG213" s="305"/>
      <c r="EH213" s="305"/>
      <c r="EI213" s="699"/>
      <c r="EJ213" s="305"/>
      <c r="EK213" s="305"/>
      <c r="EL213" s="699"/>
      <c r="EM213" s="305"/>
      <c r="EN213" s="305"/>
      <c r="EO213" s="699"/>
      <c r="EP213" s="305"/>
      <c r="EQ213" s="305"/>
      <c r="ER213" s="699"/>
      <c r="ES213" s="305"/>
      <c r="ET213" s="305"/>
      <c r="EU213" s="699"/>
      <c r="EV213" s="305"/>
      <c r="EW213" s="305"/>
      <c r="EX213" s="699"/>
      <c r="EY213" s="305"/>
      <c r="EZ213" s="305"/>
      <c r="FA213" s="545"/>
      <c r="FB213" s="349"/>
      <c r="FC213" s="349"/>
      <c r="FD213" s="360"/>
      <c r="FE213" s="360"/>
      <c r="FF213" s="360"/>
      <c r="FG213" s="360"/>
      <c r="FH213" s="360"/>
      <c r="FI213" s="360"/>
      <c r="FJ213" s="360"/>
      <c r="FK213" s="360"/>
      <c r="FL213" s="360"/>
      <c r="FM213" s="360"/>
      <c r="FN213" s="360"/>
      <c r="FO213" s="360"/>
      <c r="FP213" s="349"/>
      <c r="FQ213" s="349"/>
      <c r="FR213" s="349"/>
      <c r="FS213" s="349"/>
      <c r="FT213" s="349"/>
      <c r="FU213" s="349"/>
      <c r="FV213" s="349"/>
      <c r="FW213" s="349"/>
      <c r="FX213" s="349"/>
      <c r="FY213" s="349"/>
      <c r="FZ213" s="349"/>
      <c r="GA213" s="349"/>
      <c r="GB213" s="349"/>
    </row>
    <row r="214" spans="1:184" s="350" customFormat="1" ht="13.35" hidden="1" customHeight="1" outlineLevel="1">
      <c r="A214" s="760"/>
      <c r="B214" s="342"/>
      <c r="C214" s="350" t="s">
        <v>812</v>
      </c>
      <c r="D214" s="363" t="s">
        <v>813</v>
      </c>
      <c r="E214" s="342"/>
      <c r="F214" s="342"/>
      <c r="G214" s="342"/>
      <c r="H214" s="342"/>
      <c r="I214" s="342"/>
      <c r="J214" s="342"/>
      <c r="K214" s="342"/>
      <c r="L214" s="342"/>
      <c r="M214" s="342"/>
      <c r="N214" s="342"/>
      <c r="O214" s="342"/>
      <c r="P214" s="342"/>
      <c r="Q214" s="342"/>
      <c r="R214" s="342"/>
      <c r="S214" s="342"/>
      <c r="T214" s="342"/>
      <c r="U214" s="342"/>
      <c r="V214" s="342"/>
      <c r="W214" s="342"/>
      <c r="X214" s="342"/>
      <c r="Y214" s="342"/>
      <c r="Z214" s="342"/>
      <c r="AA214" s="342"/>
      <c r="AB214" s="342"/>
      <c r="AC214" s="342"/>
      <c r="AD214" s="342"/>
      <c r="AE214" s="342"/>
      <c r="AF214" s="342"/>
      <c r="AG214" s="342"/>
      <c r="AH214" s="342"/>
      <c r="AI214" s="342"/>
      <c r="AJ214" s="342"/>
      <c r="AK214" s="342"/>
      <c r="AL214" s="342"/>
      <c r="AM214" s="342"/>
      <c r="AN214" s="342"/>
      <c r="AO214" s="342"/>
      <c r="AP214" s="342"/>
      <c r="AQ214" s="342"/>
      <c r="AR214" s="342"/>
      <c r="AS214" s="342"/>
      <c r="AT214" s="342"/>
      <c r="AU214" s="342"/>
      <c r="AV214" s="342"/>
      <c r="AW214" s="342"/>
      <c r="AX214" s="342"/>
      <c r="AY214" s="342"/>
      <c r="AZ214" s="342"/>
      <c r="BA214" s="342"/>
      <c r="BB214" s="342"/>
      <c r="BC214" s="342"/>
      <c r="BD214" s="342"/>
      <c r="BE214" s="342"/>
      <c r="BF214" s="342"/>
      <c r="BG214" s="342"/>
      <c r="BH214" s="342"/>
      <c r="BI214" s="342"/>
      <c r="BJ214" s="342"/>
      <c r="BK214" s="342"/>
      <c r="BL214" s="342"/>
      <c r="BM214" s="344"/>
      <c r="BN214" s="344"/>
      <c r="BO214" s="342"/>
      <c r="BP214" s="345"/>
      <c r="BQ214" s="345"/>
      <c r="BR214" s="345"/>
      <c r="BS214" s="346"/>
      <c r="BT214" s="345"/>
      <c r="BU214" s="346"/>
      <c r="BV214" s="346"/>
      <c r="BW214" s="346"/>
      <c r="BX214" s="346"/>
      <c r="BY214" s="346"/>
      <c r="BZ214" s="346"/>
      <c r="CA214" s="346"/>
      <c r="CB214" s="346"/>
      <c r="CC214" s="346"/>
      <c r="CD214" s="346"/>
      <c r="CE214" s="347"/>
      <c r="CF214" s="346"/>
      <c r="CG214" s="346"/>
      <c r="CH214" s="346"/>
      <c r="CI214" s="346"/>
      <c r="CJ214" s="346"/>
      <c r="CK214" s="346"/>
      <c r="CL214" s="346"/>
      <c r="CM214" s="346"/>
      <c r="CN214" s="364"/>
      <c r="CO214" s="364"/>
      <c r="CP214" s="364"/>
      <c r="CQ214" s="374"/>
      <c r="CR214" s="374"/>
      <c r="CS214" s="381"/>
      <c r="CT214" s="374"/>
      <c r="CU214" s="374"/>
      <c r="CV214" s="381"/>
      <c r="CW214" s="374"/>
      <c r="CX214" s="374"/>
      <c r="CY214" s="581"/>
      <c r="CZ214" s="572"/>
      <c r="DA214" s="572"/>
      <c r="DB214" s="581"/>
      <c r="DC214" s="572"/>
      <c r="DD214" s="572"/>
      <c r="DE214" s="709"/>
      <c r="DF214" s="572"/>
      <c r="DG214" s="572"/>
      <c r="DH214" s="709"/>
      <c r="DI214" s="572">
        <v>8400</v>
      </c>
      <c r="DJ214" s="572">
        <v>8400</v>
      </c>
      <c r="DK214" s="709">
        <v>16800</v>
      </c>
      <c r="DL214" s="572">
        <f>DI214*(1+DL215)</f>
        <v>7980</v>
      </c>
      <c r="DM214" s="572">
        <f>DJ214*(1+DM215)</f>
        <v>8400</v>
      </c>
      <c r="DN214" s="709">
        <f>SUM(DL214:DM214)</f>
        <v>16380</v>
      </c>
      <c r="DO214" s="572">
        <f>DL214*(1+DO215)</f>
        <v>7126.8436739902845</v>
      </c>
      <c r="DP214" s="572">
        <f>DM214*(1+DP215)</f>
        <v>8316</v>
      </c>
      <c r="DQ214" s="709">
        <f>SUM(DO214:DP214)</f>
        <v>15442.843673990285</v>
      </c>
      <c r="DR214" s="572">
        <f>DO214*(1+DR215)</f>
        <v>6364.8998437964083</v>
      </c>
      <c r="DS214" s="572">
        <f>DP214*(1+DS215)</f>
        <v>8232.84</v>
      </c>
      <c r="DT214" s="709">
        <f>SUM(DR214:DS214)</f>
        <v>14597.739843796408</v>
      </c>
      <c r="DU214" s="572">
        <f>DR214*(1+DU215)</f>
        <v>5684.416815456414</v>
      </c>
      <c r="DV214" s="572">
        <f>DS214*(1+DV215)</f>
        <v>8150.5115999999998</v>
      </c>
      <c r="DW214" s="709">
        <f>SUM(DU214:DV214)</f>
        <v>13834.928415456414</v>
      </c>
      <c r="DX214" s="572">
        <f>DU214*(1+DX215)</f>
        <v>5076.6854663608456</v>
      </c>
      <c r="DY214" s="572">
        <f>DV214*(1+DY215)</f>
        <v>8069.0064839999995</v>
      </c>
      <c r="DZ214" s="709">
        <f>SUM(DX214:DY214)</f>
        <v>13145.691950360844</v>
      </c>
      <c r="EA214" s="572">
        <f>DX214*(1+EA215)</f>
        <v>4533.9277820516554</v>
      </c>
      <c r="EB214" s="572">
        <f>DY214*(1+EB215)</f>
        <v>7988.3164191599999</v>
      </c>
      <c r="EC214" s="709">
        <f>SUM(EA214:EB214)</f>
        <v>12522.244201211655</v>
      </c>
      <c r="ED214" s="572">
        <f>EA214*(1+ED215)</f>
        <v>4049.1973097548425</v>
      </c>
      <c r="EE214" s="572">
        <f>EB214*(1+EE215)</f>
        <v>7908.4332549683995</v>
      </c>
      <c r="EF214" s="709">
        <f>SUM(ED214:EE214)</f>
        <v>11957.630564723242</v>
      </c>
      <c r="EG214" s="572">
        <f>ED214*(1+EG215)</f>
        <v>3616.290254607115</v>
      </c>
      <c r="EH214" s="572">
        <f>EE214*(1+EH215)</f>
        <v>7829.3489224187151</v>
      </c>
      <c r="EI214" s="709">
        <f>SUM(EG214:EH214)</f>
        <v>11445.639177025831</v>
      </c>
      <c r="EJ214" s="572">
        <f>EG214*(1+EJ215)</f>
        <v>3229.6660807467961</v>
      </c>
      <c r="EK214" s="572">
        <f>EH214*(1+EK215)</f>
        <v>7751.0554331945277</v>
      </c>
      <c r="EL214" s="709">
        <f>SUM(EJ214:EK214)</f>
        <v>10980.721513941324</v>
      </c>
      <c r="EM214" s="572">
        <f>EJ214*(1+EM215)</f>
        <v>2884.3766010866289</v>
      </c>
      <c r="EN214" s="572">
        <f>EK214*(1+EN215)</f>
        <v>7673.5448788625827</v>
      </c>
      <c r="EO214" s="709">
        <f>SUM(EM214:EN214)</f>
        <v>10557.921479949211</v>
      </c>
      <c r="EP214" s="572">
        <f>EM214*(1+EP215)</f>
        <v>2576.00264822805</v>
      </c>
      <c r="EQ214" s="572">
        <f>EN214*(1+EQ215)</f>
        <v>7596.8094300739567</v>
      </c>
      <c r="ER214" s="709">
        <f>SUM(EP214:EQ214)</f>
        <v>10172.812078302006</v>
      </c>
      <c r="ES214" s="572">
        <f>EP214*(1+ES215)</f>
        <v>2300.5975160032958</v>
      </c>
      <c r="ET214" s="572">
        <f>EQ214*(1+ET215)</f>
        <v>7520.841335773217</v>
      </c>
      <c r="EU214" s="709">
        <f>SUM(ES214:ET214)</f>
        <v>9821.4388517765128</v>
      </c>
      <c r="EV214" s="572">
        <f>ES214*(1+EV215)</f>
        <v>2054.6364477851944</v>
      </c>
      <c r="EW214" s="572">
        <f>ET214*(1+EW215)</f>
        <v>7445.6329224154852</v>
      </c>
      <c r="EX214" s="709">
        <f>SUM(EV214:EW214)</f>
        <v>9500.26937020068</v>
      </c>
      <c r="EY214" s="572">
        <f>EV214*(1+EY215)</f>
        <v>1834.971525093707</v>
      </c>
      <c r="EZ214" s="572">
        <f>EW214*(1+EZ215)</f>
        <v>7371.1765931913305</v>
      </c>
      <c r="FA214" s="581">
        <f>SUM(EY214:EZ214)</f>
        <v>9206.1481182850366</v>
      </c>
      <c r="FB214" s="349"/>
      <c r="FC214" s="349"/>
      <c r="FD214" s="360"/>
      <c r="FE214" s="360"/>
      <c r="FF214" s="360"/>
      <c r="FG214" s="360"/>
      <c r="FH214" s="360"/>
      <c r="FI214" s="360"/>
      <c r="FJ214" s="360"/>
      <c r="FK214" s="360"/>
      <c r="FL214" s="360"/>
      <c r="FM214" s="360"/>
      <c r="FN214" s="360"/>
      <c r="FO214" s="360"/>
      <c r="FP214" s="349"/>
      <c r="FQ214" s="349"/>
      <c r="FR214" s="349"/>
      <c r="FS214" s="349"/>
      <c r="FT214" s="349"/>
      <c r="FU214" s="349"/>
      <c r="FV214" s="349"/>
      <c r="FW214" s="349"/>
      <c r="FX214" s="349"/>
      <c r="FY214" s="349"/>
      <c r="FZ214" s="349"/>
      <c r="GA214" s="349"/>
      <c r="GB214" s="349"/>
    </row>
    <row r="215" spans="1:184" s="350" customFormat="1" ht="13.35" hidden="1" customHeight="1" outlineLevel="1">
      <c r="A215" s="760"/>
      <c r="B215" s="342"/>
      <c r="C215" s="350" t="s">
        <v>690</v>
      </c>
      <c r="D215" s="363" t="s">
        <v>507</v>
      </c>
      <c r="E215" s="342"/>
      <c r="F215" s="342"/>
      <c r="G215" s="342"/>
      <c r="H215" s="342"/>
      <c r="I215" s="342"/>
      <c r="J215" s="342"/>
      <c r="K215" s="342"/>
      <c r="L215" s="342"/>
      <c r="M215" s="342"/>
      <c r="N215" s="342"/>
      <c r="O215" s="342"/>
      <c r="P215" s="342"/>
      <c r="Q215" s="342"/>
      <c r="R215" s="342"/>
      <c r="S215" s="342"/>
      <c r="T215" s="342"/>
      <c r="U215" s="342"/>
      <c r="V215" s="342"/>
      <c r="W215" s="342"/>
      <c r="X215" s="342"/>
      <c r="Y215" s="342"/>
      <c r="Z215" s="342"/>
      <c r="AA215" s="342"/>
      <c r="AB215" s="342"/>
      <c r="AC215" s="342"/>
      <c r="AD215" s="342"/>
      <c r="AE215" s="342"/>
      <c r="AF215" s="342"/>
      <c r="AG215" s="342"/>
      <c r="AH215" s="342"/>
      <c r="AI215" s="342"/>
      <c r="AJ215" s="342"/>
      <c r="AK215" s="342"/>
      <c r="AL215" s="342"/>
      <c r="AM215" s="342"/>
      <c r="AN215" s="342"/>
      <c r="AO215" s="342"/>
      <c r="AP215" s="342"/>
      <c r="AQ215" s="342"/>
      <c r="AR215" s="342"/>
      <c r="AS215" s="342"/>
      <c r="AT215" s="342"/>
      <c r="AU215" s="342"/>
      <c r="AV215" s="342"/>
      <c r="AW215" s="342"/>
      <c r="AX215" s="342"/>
      <c r="AY215" s="342"/>
      <c r="AZ215" s="342"/>
      <c r="BA215" s="342"/>
      <c r="BB215" s="342"/>
      <c r="BC215" s="342"/>
      <c r="BD215" s="342"/>
      <c r="BE215" s="342"/>
      <c r="BF215" s="342"/>
      <c r="BG215" s="342"/>
      <c r="BH215" s="342"/>
      <c r="BI215" s="342"/>
      <c r="BJ215" s="342"/>
      <c r="BK215" s="342"/>
      <c r="BL215" s="342"/>
      <c r="BM215" s="344"/>
      <c r="BN215" s="344"/>
      <c r="BO215" s="342"/>
      <c r="BP215" s="345"/>
      <c r="BQ215" s="345"/>
      <c r="BR215" s="345"/>
      <c r="BS215" s="346"/>
      <c r="BT215" s="345"/>
      <c r="BU215" s="346"/>
      <c r="BV215" s="346"/>
      <c r="BW215" s="346"/>
      <c r="BX215" s="346"/>
      <c r="BY215" s="346"/>
      <c r="BZ215" s="346"/>
      <c r="CA215" s="346"/>
      <c r="CB215" s="346"/>
      <c r="CC215" s="346"/>
      <c r="CD215" s="346"/>
      <c r="CE215" s="347"/>
      <c r="CF215" s="346"/>
      <c r="CG215" s="346"/>
      <c r="CH215" s="346"/>
      <c r="CI215" s="346"/>
      <c r="CJ215" s="346"/>
      <c r="CK215" s="346"/>
      <c r="CL215" s="346"/>
      <c r="CM215" s="346"/>
      <c r="CN215" s="364"/>
      <c r="CO215" s="364"/>
      <c r="CP215" s="364"/>
      <c r="CQ215" s="284"/>
      <c r="CR215" s="284"/>
      <c r="CS215" s="368"/>
      <c r="CT215" s="369"/>
      <c r="CU215" s="369"/>
      <c r="CV215" s="370"/>
      <c r="CW215" s="369"/>
      <c r="CX215" s="369"/>
      <c r="CY215" s="568"/>
      <c r="CZ215" s="389"/>
      <c r="DA215" s="391"/>
      <c r="DB215" s="569"/>
      <c r="DC215" s="391"/>
      <c r="DD215" s="391"/>
      <c r="DE215" s="733"/>
      <c r="DF215" s="389"/>
      <c r="DG215" s="389"/>
      <c r="DH215" s="706"/>
      <c r="DI215" s="389">
        <v>0</v>
      </c>
      <c r="DJ215" s="389">
        <v>0</v>
      </c>
      <c r="DK215" s="706">
        <v>0</v>
      </c>
      <c r="DL215" s="391">
        <v>-0.05</v>
      </c>
      <c r="DM215" s="391">
        <f>DJ215</f>
        <v>0</v>
      </c>
      <c r="DN215" s="733">
        <f>DN214/DK214-1</f>
        <v>-2.5000000000000022E-2</v>
      </c>
      <c r="DO215" s="391">
        <v>-0.10691182030196929</v>
      </c>
      <c r="DP215" s="391">
        <v>-0.01</v>
      </c>
      <c r="DQ215" s="706">
        <f>DQ214/DN214-1</f>
        <v>-5.7213450916344E-2</v>
      </c>
      <c r="DR215" s="389">
        <f>DO215</f>
        <v>-0.10691182030196929</v>
      </c>
      <c r="DS215" s="389">
        <f>DP215</f>
        <v>-0.01</v>
      </c>
      <c r="DT215" s="706">
        <f>DT214/DQ214-1</f>
        <v>-5.4724625077779532E-2</v>
      </c>
      <c r="DU215" s="389">
        <f>DR215</f>
        <v>-0.10691182030196929</v>
      </c>
      <c r="DV215" s="389">
        <f>DS215</f>
        <v>-0.01</v>
      </c>
      <c r="DW215" s="706">
        <f>DW214/DT214-1</f>
        <v>-5.2255447521498688E-2</v>
      </c>
      <c r="DX215" s="389">
        <f>DU215</f>
        <v>-0.10691182030196929</v>
      </c>
      <c r="DY215" s="389">
        <f>DV215</f>
        <v>-0.01</v>
      </c>
      <c r="DZ215" s="706">
        <f>DZ214/DW214-1</f>
        <v>-4.9818578340134589E-2</v>
      </c>
      <c r="EA215" s="389">
        <f>DX215</f>
        <v>-0.10691182030196929</v>
      </c>
      <c r="EB215" s="389">
        <f>DY215</f>
        <v>-0.01</v>
      </c>
      <c r="EC215" s="706">
        <f>EC214/DZ214-1</f>
        <v>-4.7426012377543625E-2</v>
      </c>
      <c r="ED215" s="389">
        <f>EA215</f>
        <v>-0.10691182030196929</v>
      </c>
      <c r="EE215" s="389">
        <f>EB215</f>
        <v>-0.01</v>
      </c>
      <c r="EF215" s="706">
        <f>EF214/EC214-1</f>
        <v>-4.5088853676386598E-2</v>
      </c>
      <c r="EG215" s="389">
        <f>ED215</f>
        <v>-0.10691182030196929</v>
      </c>
      <c r="EH215" s="389">
        <f>EE215</f>
        <v>-0.01</v>
      </c>
      <c r="EI215" s="706">
        <f>EI214/EF214-1</f>
        <v>-4.2817127099398888E-2</v>
      </c>
      <c r="EJ215" s="389">
        <f>EG215</f>
        <v>-0.10691182030196929</v>
      </c>
      <c r="EK215" s="389">
        <f>EH215</f>
        <v>-0.01</v>
      </c>
      <c r="EL215" s="706">
        <f>EL214/EI214-1</f>
        <v>-4.0619633023003976E-2</v>
      </c>
      <c r="EM215" s="389">
        <f>EJ215</f>
        <v>-0.10691182030196929</v>
      </c>
      <c r="EN215" s="389">
        <f>EK215</f>
        <v>-0.01</v>
      </c>
      <c r="EO215" s="706">
        <f>EO214/EL214-1</f>
        <v>-3.8503848172027455E-2</v>
      </c>
      <c r="EP215" s="389">
        <f>EM215</f>
        <v>-0.10691182030196929</v>
      </c>
      <c r="EQ215" s="389">
        <f>EN215</f>
        <v>-0.01</v>
      </c>
      <c r="ER215" s="706">
        <f>ER214/EO214-1</f>
        <v>-3.6475872867455572E-2</v>
      </c>
      <c r="ES215" s="389">
        <f>EP215</f>
        <v>-0.10691182030196929</v>
      </c>
      <c r="ET215" s="389">
        <f>EQ215</f>
        <v>-0.01</v>
      </c>
      <c r="EU215" s="706">
        <f>EU214/ER214-1</f>
        <v>-3.4540422433925744E-2</v>
      </c>
      <c r="EV215" s="389">
        <f>ES215</f>
        <v>-0.10691182030196929</v>
      </c>
      <c r="EW215" s="389">
        <f>ET215</f>
        <v>-0.01</v>
      </c>
      <c r="EX215" s="706">
        <f>EX214/EU214-1</f>
        <v>-3.2700858440689595E-2</v>
      </c>
      <c r="EY215" s="389">
        <f>EV215</f>
        <v>-0.10691182030196929</v>
      </c>
      <c r="EZ215" s="389">
        <f>EW215</f>
        <v>-0.01</v>
      </c>
      <c r="FA215" s="568">
        <f>FA214/EX214-1</f>
        <v>-3.0959253938441789E-2</v>
      </c>
      <c r="FB215" s="349"/>
      <c r="FC215" s="349"/>
      <c r="FD215" s="360"/>
      <c r="FE215" s="360"/>
      <c r="FF215" s="360"/>
      <c r="FG215" s="360"/>
      <c r="FH215" s="360"/>
      <c r="FI215" s="360"/>
      <c r="FJ215" s="360"/>
      <c r="FK215" s="360"/>
      <c r="FL215" s="360"/>
      <c r="FM215" s="360"/>
      <c r="FN215" s="360"/>
      <c r="FO215" s="360"/>
      <c r="FP215" s="349"/>
      <c r="FQ215" s="349"/>
      <c r="FR215" s="349"/>
      <c r="FS215" s="349"/>
      <c r="FT215" s="349"/>
      <c r="FU215" s="349"/>
      <c r="FV215" s="349"/>
      <c r="FW215" s="349"/>
      <c r="FX215" s="349"/>
      <c r="FY215" s="349"/>
      <c r="FZ215" s="349"/>
      <c r="GA215" s="349"/>
      <c r="GB215" s="349"/>
    </row>
    <row r="216" spans="1:184" s="350" customFormat="1" ht="13.35" hidden="1" customHeight="1" outlineLevel="1">
      <c r="A216" s="760"/>
      <c r="B216" s="342"/>
      <c r="D216" s="363"/>
      <c r="E216" s="342"/>
      <c r="F216" s="342"/>
      <c r="G216" s="342"/>
      <c r="H216" s="342"/>
      <c r="I216" s="342"/>
      <c r="J216" s="342"/>
      <c r="K216" s="342"/>
      <c r="L216" s="342"/>
      <c r="M216" s="342"/>
      <c r="N216" s="342"/>
      <c r="O216" s="342"/>
      <c r="P216" s="342"/>
      <c r="Q216" s="342"/>
      <c r="R216" s="342"/>
      <c r="S216" s="342"/>
      <c r="T216" s="342"/>
      <c r="U216" s="342"/>
      <c r="V216" s="342"/>
      <c r="W216" s="342"/>
      <c r="X216" s="342"/>
      <c r="Y216" s="342"/>
      <c r="Z216" s="342"/>
      <c r="AA216" s="342"/>
      <c r="AB216" s="342"/>
      <c r="AC216" s="342"/>
      <c r="AD216" s="342"/>
      <c r="AE216" s="342"/>
      <c r="AF216" s="342"/>
      <c r="AG216" s="342"/>
      <c r="AH216" s="342"/>
      <c r="AI216" s="342"/>
      <c r="AJ216" s="342"/>
      <c r="AK216" s="342"/>
      <c r="AL216" s="342"/>
      <c r="AM216" s="342"/>
      <c r="AN216" s="342"/>
      <c r="AO216" s="342"/>
      <c r="AP216" s="342"/>
      <c r="AQ216" s="342"/>
      <c r="AR216" s="342"/>
      <c r="AS216" s="342"/>
      <c r="AT216" s="342"/>
      <c r="AU216" s="342"/>
      <c r="AV216" s="342"/>
      <c r="AW216" s="342"/>
      <c r="AX216" s="342"/>
      <c r="AY216" s="342"/>
      <c r="AZ216" s="342"/>
      <c r="BA216" s="342"/>
      <c r="BB216" s="342"/>
      <c r="BC216" s="342"/>
      <c r="BD216" s="342"/>
      <c r="BE216" s="342"/>
      <c r="BF216" s="342"/>
      <c r="BG216" s="342"/>
      <c r="BH216" s="342"/>
      <c r="BI216" s="342"/>
      <c r="BJ216" s="342"/>
      <c r="BK216" s="342"/>
      <c r="BL216" s="342"/>
      <c r="BM216" s="344"/>
      <c r="BN216" s="344"/>
      <c r="BO216" s="342"/>
      <c r="BP216" s="345"/>
      <c r="BQ216" s="345"/>
      <c r="BR216" s="345"/>
      <c r="BS216" s="346"/>
      <c r="BT216" s="345"/>
      <c r="BU216" s="346"/>
      <c r="BV216" s="346"/>
      <c r="BW216" s="346"/>
      <c r="BX216" s="346"/>
      <c r="BY216" s="346"/>
      <c r="BZ216" s="346"/>
      <c r="CA216" s="346"/>
      <c r="CB216" s="346"/>
      <c r="CC216" s="346"/>
      <c r="CD216" s="346"/>
      <c r="CE216" s="347"/>
      <c r="CF216" s="346"/>
      <c r="CG216" s="346"/>
      <c r="CH216" s="346"/>
      <c r="CI216" s="346"/>
      <c r="CJ216" s="346"/>
      <c r="CK216" s="346"/>
      <c r="CL216" s="346"/>
      <c r="CM216" s="346"/>
      <c r="CN216" s="364"/>
      <c r="CO216" s="364"/>
      <c r="CP216" s="364"/>
      <c r="CQ216" s="284"/>
      <c r="CR216" s="284"/>
      <c r="CS216" s="368"/>
      <c r="CT216" s="284"/>
      <c r="CU216" s="284"/>
      <c r="CV216" s="368"/>
      <c r="CW216" s="284"/>
      <c r="CX216" s="284"/>
      <c r="CY216" s="545"/>
      <c r="CZ216" s="305"/>
      <c r="DA216" s="302"/>
      <c r="DB216" s="552"/>
      <c r="DC216" s="302"/>
      <c r="DD216" s="302"/>
      <c r="DE216" s="788"/>
      <c r="DF216" s="305"/>
      <c r="DG216" s="305"/>
      <c r="DH216" s="786"/>
      <c r="DI216" s="305"/>
      <c r="DJ216" s="305"/>
      <c r="DK216" s="699"/>
      <c r="DL216" s="302"/>
      <c r="DM216" s="302"/>
      <c r="DN216" s="700"/>
      <c r="DO216" s="302"/>
      <c r="DP216" s="302"/>
      <c r="DQ216" s="699"/>
      <c r="DR216" s="305"/>
      <c r="DS216" s="305"/>
      <c r="DT216" s="699"/>
      <c r="DU216" s="305"/>
      <c r="DV216" s="305"/>
      <c r="DW216" s="699"/>
      <c r="DX216" s="305"/>
      <c r="DY216" s="305"/>
      <c r="DZ216" s="699"/>
      <c r="EA216" s="305"/>
      <c r="EB216" s="305"/>
      <c r="EC216" s="699"/>
      <c r="ED216" s="305"/>
      <c r="EE216" s="305"/>
      <c r="EF216" s="699"/>
      <c r="EG216" s="305"/>
      <c r="EH216" s="305"/>
      <c r="EI216" s="699"/>
      <c r="EJ216" s="305"/>
      <c r="EK216" s="305"/>
      <c r="EL216" s="699"/>
      <c r="EM216" s="305"/>
      <c r="EN216" s="305"/>
      <c r="EO216" s="699"/>
      <c r="EP216" s="305"/>
      <c r="EQ216" s="305"/>
      <c r="ER216" s="699"/>
      <c r="ES216" s="305"/>
      <c r="ET216" s="305"/>
      <c r="EU216" s="699"/>
      <c r="EV216" s="305"/>
      <c r="EW216" s="305"/>
      <c r="EX216" s="699"/>
      <c r="EY216" s="305"/>
      <c r="EZ216" s="305"/>
      <c r="FA216" s="545"/>
      <c r="FB216" s="349"/>
      <c r="FC216" s="349"/>
      <c r="FD216" s="360"/>
      <c r="FE216" s="360"/>
      <c r="FF216" s="360"/>
      <c r="FG216" s="360"/>
      <c r="FH216" s="360"/>
      <c r="FI216" s="360"/>
      <c r="FJ216" s="360"/>
      <c r="FK216" s="360"/>
      <c r="FL216" s="360"/>
      <c r="FM216" s="360"/>
      <c r="FN216" s="360"/>
      <c r="FO216" s="360"/>
      <c r="FP216" s="349"/>
      <c r="FQ216" s="349"/>
      <c r="FR216" s="349"/>
      <c r="FS216" s="349"/>
      <c r="FT216" s="349"/>
      <c r="FU216" s="349"/>
      <c r="FV216" s="349"/>
      <c r="FW216" s="349"/>
      <c r="FX216" s="349"/>
      <c r="FY216" s="349"/>
      <c r="FZ216" s="349"/>
      <c r="GA216" s="349"/>
      <c r="GB216" s="349"/>
    </row>
    <row r="217" spans="1:184" s="350" customFormat="1" ht="13.35" hidden="1" customHeight="1" outlineLevel="1">
      <c r="A217" s="760"/>
      <c r="B217" s="342"/>
      <c r="C217" s="350" t="s">
        <v>814</v>
      </c>
      <c r="D217" s="363" t="s">
        <v>815</v>
      </c>
      <c r="E217" s="342"/>
      <c r="F217" s="342"/>
      <c r="G217" s="342"/>
      <c r="H217" s="342"/>
      <c r="I217" s="342"/>
      <c r="J217" s="342"/>
      <c r="K217" s="342"/>
      <c r="L217" s="342"/>
      <c r="M217" s="342"/>
      <c r="N217" s="342"/>
      <c r="O217" s="342"/>
      <c r="P217" s="342"/>
      <c r="Q217" s="342"/>
      <c r="R217" s="342"/>
      <c r="S217" s="342"/>
      <c r="T217" s="342"/>
      <c r="U217" s="342"/>
      <c r="V217" s="342"/>
      <c r="W217" s="342"/>
      <c r="X217" s="342"/>
      <c r="Y217" s="342"/>
      <c r="Z217" s="342"/>
      <c r="AA217" s="342"/>
      <c r="AB217" s="342"/>
      <c r="AC217" s="342"/>
      <c r="AD217" s="342"/>
      <c r="AE217" s="342"/>
      <c r="AF217" s="342"/>
      <c r="AG217" s="342"/>
      <c r="AH217" s="342"/>
      <c r="AI217" s="342"/>
      <c r="AJ217" s="342"/>
      <c r="AK217" s="342"/>
      <c r="AL217" s="342"/>
      <c r="AM217" s="342"/>
      <c r="AN217" s="342"/>
      <c r="AO217" s="342"/>
      <c r="AP217" s="342"/>
      <c r="AQ217" s="342"/>
      <c r="AR217" s="342"/>
      <c r="AS217" s="342"/>
      <c r="AT217" s="342"/>
      <c r="AU217" s="342"/>
      <c r="AV217" s="342"/>
      <c r="AW217" s="342"/>
      <c r="AX217" s="342"/>
      <c r="AY217" s="342"/>
      <c r="AZ217" s="342"/>
      <c r="BA217" s="342"/>
      <c r="BB217" s="342"/>
      <c r="BC217" s="342"/>
      <c r="BD217" s="342"/>
      <c r="BE217" s="342"/>
      <c r="BF217" s="342"/>
      <c r="BG217" s="342"/>
      <c r="BH217" s="342"/>
      <c r="BI217" s="342"/>
      <c r="BJ217" s="342"/>
      <c r="BK217" s="342"/>
      <c r="BL217" s="342"/>
      <c r="BM217" s="344"/>
      <c r="BN217" s="344"/>
      <c r="BO217" s="342"/>
      <c r="BP217" s="345"/>
      <c r="BQ217" s="345"/>
      <c r="BR217" s="345"/>
      <c r="BS217" s="346"/>
      <c r="BT217" s="345"/>
      <c r="BU217" s="346"/>
      <c r="BV217" s="346"/>
      <c r="BW217" s="346"/>
      <c r="BX217" s="346"/>
      <c r="BY217" s="346"/>
      <c r="BZ217" s="346"/>
      <c r="CA217" s="346"/>
      <c r="CB217" s="346"/>
      <c r="CC217" s="346"/>
      <c r="CD217" s="346"/>
      <c r="CE217" s="347"/>
      <c r="CF217" s="346"/>
      <c r="CG217" s="346"/>
      <c r="CH217" s="346"/>
      <c r="CI217" s="346"/>
      <c r="CJ217" s="346"/>
      <c r="CK217" s="346"/>
      <c r="CL217" s="346"/>
      <c r="CM217" s="346"/>
      <c r="CN217" s="364"/>
      <c r="CO217" s="364"/>
      <c r="CP217" s="364"/>
      <c r="CQ217" s="374"/>
      <c r="CR217" s="374"/>
      <c r="CS217" s="381"/>
      <c r="CT217" s="374"/>
      <c r="CU217" s="374"/>
      <c r="CV217" s="381"/>
      <c r="CW217" s="374"/>
      <c r="CX217" s="374"/>
      <c r="CY217" s="581"/>
      <c r="CZ217" s="572"/>
      <c r="DA217" s="572"/>
      <c r="DB217" s="581"/>
      <c r="DC217" s="572"/>
      <c r="DD217" s="572"/>
      <c r="DE217" s="709"/>
      <c r="DF217" s="572"/>
      <c r="DG217" s="572"/>
      <c r="DH217" s="709"/>
      <c r="DI217" s="572">
        <v>41137.32</v>
      </c>
      <c r="DJ217" s="572">
        <v>41090.28</v>
      </c>
      <c r="DK217" s="709">
        <v>90019.469328043328</v>
      </c>
      <c r="DL217" s="572">
        <f>DL214*DL203/10</f>
        <v>39080.453999999998</v>
      </c>
      <c r="DM217" s="572">
        <f>DM214*DM203/10</f>
        <v>41090.28</v>
      </c>
      <c r="DN217" s="709">
        <f>DN203*DN214/10</f>
        <v>92139.465071106009</v>
      </c>
      <c r="DO217" s="572">
        <f>DO214*DO203/10</f>
        <v>34902.291524632616</v>
      </c>
      <c r="DP217" s="572">
        <f>DP214*DP203/10</f>
        <v>40679.377200000003</v>
      </c>
      <c r="DQ217" s="709">
        <f>DQ203*DQ214/10</f>
        <v>86627.803506694181</v>
      </c>
      <c r="DR217" s="572">
        <f>DR214*DR203/10</f>
        <v>31170.824005024147</v>
      </c>
      <c r="DS217" s="572">
        <f>DS214*DS203/10</f>
        <v>40272.583427999998</v>
      </c>
      <c r="DT217" s="709">
        <f>DT203*DT214/10</f>
        <v>82362.744930315297</v>
      </c>
      <c r="DU217" s="572">
        <f>DU214*DU203/10</f>
        <v>27838.294470334695</v>
      </c>
      <c r="DV217" s="572">
        <f>DV214*DV203/10</f>
        <v>39869.85759372</v>
      </c>
      <c r="DW217" s="709">
        <f>DW203*DW214/10</f>
        <v>78425.73072561188</v>
      </c>
      <c r="DX217" s="572">
        <f>DX214*DX203/10</f>
        <v>24862.051734408968</v>
      </c>
      <c r="DY217" s="572">
        <f>DY214*DY203/10</f>
        <v>39471.159017782797</v>
      </c>
      <c r="DZ217" s="709">
        <f>DZ203*DZ214/10</f>
        <v>74789.516085164694</v>
      </c>
      <c r="EA217" s="572">
        <f>EA214*EA203/10</f>
        <v>22204.004527041572</v>
      </c>
      <c r="EB217" s="572">
        <f>EB214*EB203/10</f>
        <v>39076.447427604973</v>
      </c>
      <c r="EC217" s="709">
        <f>EC203*EC214/10</f>
        <v>71429.140924443345</v>
      </c>
      <c r="ED217" s="572">
        <f>ED214*ED203/10</f>
        <v>19830.133985062388</v>
      </c>
      <c r="EE217" s="572">
        <f>EE214*EE203/10</f>
        <v>38685.68295332892</v>
      </c>
      <c r="EF217" s="709">
        <f>EF203*EF214/10</f>
        <v>68321.73806493658</v>
      </c>
      <c r="EG217" s="572">
        <f>EG214*EG203/10</f>
        <v>17710.058263887426</v>
      </c>
      <c r="EH217" s="572">
        <f>EH214*EH203/10</f>
        <v>38298.826123795632</v>
      </c>
      <c r="EI217" s="709">
        <f>EI203*EI214/10</f>
        <v>65446.357523741593</v>
      </c>
      <c r="EJ217" s="572">
        <f>EJ214*EJ203/10</f>
        <v>15816.643697241283</v>
      </c>
      <c r="EK217" s="572">
        <f>EK214*EK203/10</f>
        <v>37915.837862557673</v>
      </c>
      <c r="EL217" s="709">
        <f>EL203*EL214/10</f>
        <v>62783.805557164655</v>
      </c>
      <c r="EM217" s="572">
        <f>EM214*EM203/10</f>
        <v>14125.657528501548</v>
      </c>
      <c r="EN217" s="572">
        <f>EN214*EN203/10</f>
        <v>37536.679483932101</v>
      </c>
      <c r="EO217" s="709">
        <f>EO203*EO214/10</f>
        <v>60316.497219449942</v>
      </c>
      <c r="EP217" s="572">
        <f>EP214*EP203/10</f>
        <v>12615.457769167229</v>
      </c>
      <c r="EQ217" s="572">
        <f>EQ214*EQ203/10</f>
        <v>37161.312689092774</v>
      </c>
      <c r="ER217" s="709">
        <f>ER203*ER214/10</f>
        <v>58028.321301780888</v>
      </c>
      <c r="ES217" s="572">
        <f>ES214*ES203/10</f>
        <v>11266.71621512294</v>
      </c>
      <c r="ET217" s="572">
        <f>ET214*ET203/10</f>
        <v>36789.699562201844</v>
      </c>
      <c r="EU217" s="709">
        <f>EU203*EU214/10</f>
        <v>55904.516611992483</v>
      </c>
      <c r="EV217" s="572">
        <f>EV214*EV203/10</f>
        <v>10062.171075738432</v>
      </c>
      <c r="EW217" s="572">
        <f>EW214*EW203/10</f>
        <v>36421.802566579827</v>
      </c>
      <c r="EX217" s="709">
        <f>EX203*EX214/10</f>
        <v>53931.55864272391</v>
      </c>
      <c r="EY217" s="572">
        <f>EY214*EY203/10</f>
        <v>8986.406049841411</v>
      </c>
      <c r="EZ217" s="572">
        <f>EZ214*EZ203/10</f>
        <v>36057.584540914031</v>
      </c>
      <c r="FA217" s="581">
        <f>FA203*FA214/10</f>
        <v>52097.055755702509</v>
      </c>
      <c r="FB217" s="349"/>
      <c r="FC217" s="349"/>
      <c r="FD217" s="360"/>
      <c r="FE217" s="360"/>
      <c r="FF217" s="360"/>
      <c r="FG217" s="360"/>
      <c r="FH217" s="360"/>
      <c r="FI217" s="360"/>
      <c r="FJ217" s="360"/>
      <c r="FK217" s="360"/>
      <c r="FL217" s="360"/>
      <c r="FM217" s="360"/>
      <c r="FN217" s="360"/>
      <c r="FO217" s="360"/>
      <c r="FP217" s="349"/>
      <c r="FQ217" s="349"/>
      <c r="FR217" s="349"/>
      <c r="FS217" s="349"/>
      <c r="FT217" s="349"/>
      <c r="FU217" s="349"/>
      <c r="FV217" s="349"/>
      <c r="FW217" s="349"/>
      <c r="FX217" s="349"/>
      <c r="FY217" s="349"/>
      <c r="FZ217" s="349"/>
      <c r="GA217" s="349"/>
      <c r="GB217" s="349"/>
    </row>
    <row r="218" spans="1:184" s="350" customFormat="1" ht="13.35" hidden="1" customHeight="1" outlineLevel="1">
      <c r="A218" s="760"/>
      <c r="B218" s="342"/>
      <c r="C218" s="350" t="s">
        <v>690</v>
      </c>
      <c r="D218" s="363" t="s">
        <v>507</v>
      </c>
      <c r="E218" s="342"/>
      <c r="F218" s="342"/>
      <c r="G218" s="342"/>
      <c r="H218" s="342"/>
      <c r="I218" s="342"/>
      <c r="J218" s="342"/>
      <c r="K218" s="342"/>
      <c r="L218" s="342"/>
      <c r="M218" s="342"/>
      <c r="N218" s="342"/>
      <c r="O218" s="342"/>
      <c r="P218" s="342"/>
      <c r="Q218" s="342"/>
      <c r="R218" s="342"/>
      <c r="S218" s="342"/>
      <c r="T218" s="342"/>
      <c r="U218" s="342"/>
      <c r="V218" s="342"/>
      <c r="W218" s="342"/>
      <c r="X218" s="342"/>
      <c r="Y218" s="342"/>
      <c r="Z218" s="342"/>
      <c r="AA218" s="342"/>
      <c r="AB218" s="342"/>
      <c r="AC218" s="342"/>
      <c r="AD218" s="342"/>
      <c r="AE218" s="342"/>
      <c r="AF218" s="342"/>
      <c r="AG218" s="342"/>
      <c r="AH218" s="342"/>
      <c r="AI218" s="342"/>
      <c r="AJ218" s="342"/>
      <c r="AK218" s="342"/>
      <c r="AL218" s="342"/>
      <c r="AM218" s="342"/>
      <c r="AN218" s="342"/>
      <c r="AO218" s="342"/>
      <c r="AP218" s="342"/>
      <c r="AQ218" s="342"/>
      <c r="AR218" s="342"/>
      <c r="AS218" s="342"/>
      <c r="AT218" s="342"/>
      <c r="AU218" s="342"/>
      <c r="AV218" s="342"/>
      <c r="AW218" s="342"/>
      <c r="AX218" s="342"/>
      <c r="AY218" s="342"/>
      <c r="AZ218" s="342"/>
      <c r="BA218" s="342"/>
      <c r="BB218" s="342"/>
      <c r="BC218" s="342"/>
      <c r="BD218" s="342"/>
      <c r="BE218" s="342"/>
      <c r="BF218" s="342"/>
      <c r="BG218" s="342"/>
      <c r="BH218" s="342"/>
      <c r="BI218" s="342"/>
      <c r="BJ218" s="342"/>
      <c r="BK218" s="342"/>
      <c r="BL218" s="342"/>
      <c r="BM218" s="344"/>
      <c r="BN218" s="344"/>
      <c r="BO218" s="342"/>
      <c r="BP218" s="345"/>
      <c r="BQ218" s="345"/>
      <c r="BR218" s="345"/>
      <c r="BS218" s="346"/>
      <c r="BT218" s="345"/>
      <c r="BU218" s="346"/>
      <c r="BV218" s="346"/>
      <c r="BW218" s="346"/>
      <c r="BX218" s="346"/>
      <c r="BY218" s="346"/>
      <c r="BZ218" s="346"/>
      <c r="CA218" s="346"/>
      <c r="CB218" s="346"/>
      <c r="CC218" s="346"/>
      <c r="CD218" s="346"/>
      <c r="CE218" s="347"/>
      <c r="CF218" s="346"/>
      <c r="CG218" s="346"/>
      <c r="CH218" s="346"/>
      <c r="CI218" s="346"/>
      <c r="CJ218" s="346"/>
      <c r="CK218" s="346"/>
      <c r="CL218" s="346"/>
      <c r="CM218" s="346"/>
      <c r="CN218" s="364"/>
      <c r="CO218" s="364"/>
      <c r="CP218" s="364"/>
      <c r="CQ218" s="284"/>
      <c r="CR218" s="284"/>
      <c r="CS218" s="368"/>
      <c r="CT218" s="369"/>
      <c r="CU218" s="369"/>
      <c r="CV218" s="370"/>
      <c r="CW218" s="369"/>
      <c r="CX218" s="369"/>
      <c r="CY218" s="568"/>
      <c r="CZ218" s="389"/>
      <c r="DA218" s="391"/>
      <c r="DB218" s="569"/>
      <c r="DC218" s="391"/>
      <c r="DD218" s="391"/>
      <c r="DE218" s="733"/>
      <c r="DF218" s="389"/>
      <c r="DG218" s="389"/>
      <c r="DH218" s="706"/>
      <c r="DI218" s="389">
        <v>0</v>
      </c>
      <c r="DJ218" s="389">
        <v>0</v>
      </c>
      <c r="DK218" s="706">
        <v>4.6606766419476031E-2</v>
      </c>
      <c r="DL218" s="391">
        <f t="shared" ref="DL218:EC218" si="273">DL217/DI217-1</f>
        <v>-5.0000000000000044E-2</v>
      </c>
      <c r="DM218" s="391">
        <f t="shared" si="273"/>
        <v>0</v>
      </c>
      <c r="DN218" s="733">
        <f t="shared" si="273"/>
        <v>2.3550413692588368E-2</v>
      </c>
      <c r="DO218" s="391">
        <f t="shared" si="273"/>
        <v>-0.10691182030196944</v>
      </c>
      <c r="DP218" s="391">
        <f t="shared" si="273"/>
        <v>-9.9999999999998979E-3</v>
      </c>
      <c r="DQ218" s="706">
        <f t="shared" si="273"/>
        <v>-5.9818684210488526E-2</v>
      </c>
      <c r="DR218" s="389">
        <f t="shared" si="273"/>
        <v>-0.10691182030196933</v>
      </c>
      <c r="DS218" s="389">
        <f t="shared" si="273"/>
        <v>-1.000000000000012E-2</v>
      </c>
      <c r="DT218" s="706">
        <f t="shared" si="273"/>
        <v>-4.9234292037074412E-2</v>
      </c>
      <c r="DU218" s="389">
        <f t="shared" si="273"/>
        <v>-0.10691182030196933</v>
      </c>
      <c r="DV218" s="389">
        <f>DV217/DS217-1</f>
        <v>-9.9999999999998979E-3</v>
      </c>
      <c r="DW218" s="706">
        <f>DW217/DT217-1</f>
        <v>-4.7800910569874899E-2</v>
      </c>
      <c r="DX218" s="389">
        <f t="shared" si="273"/>
        <v>-0.10691182030196922</v>
      </c>
      <c r="DY218" s="389">
        <f t="shared" si="273"/>
        <v>-1.000000000000012E-2</v>
      </c>
      <c r="DZ218" s="706">
        <f t="shared" si="273"/>
        <v>-4.6365071855934747E-2</v>
      </c>
      <c r="EA218" s="389">
        <f t="shared" si="273"/>
        <v>-0.10691182030196933</v>
      </c>
      <c r="EB218" s="389">
        <f t="shared" si="273"/>
        <v>-9.9999999999998979E-3</v>
      </c>
      <c r="EC218" s="706">
        <f t="shared" si="273"/>
        <v>-4.4931099124839946E-2</v>
      </c>
      <c r="ED218" s="389">
        <f t="shared" ref="ED218:EL218" si="274">ED217/EA217-1</f>
        <v>-0.10691182030196944</v>
      </c>
      <c r="EE218" s="389">
        <f t="shared" si="274"/>
        <v>-1.000000000000012E-2</v>
      </c>
      <c r="EF218" s="706">
        <f t="shared" si="274"/>
        <v>-4.3503293183852376E-2</v>
      </c>
      <c r="EG218" s="389">
        <f t="shared" si="274"/>
        <v>-0.10691182030196922</v>
      </c>
      <c r="EH218" s="389">
        <f t="shared" si="274"/>
        <v>-1.0000000000000009E-2</v>
      </c>
      <c r="EI218" s="706">
        <f t="shared" si="274"/>
        <v>-4.2085881048021245E-2</v>
      </c>
      <c r="EJ218" s="389">
        <f t="shared" si="274"/>
        <v>-0.10691182030196955</v>
      </c>
      <c r="EK218" s="389">
        <f t="shared" si="274"/>
        <v>-1.000000000000012E-2</v>
      </c>
      <c r="EL218" s="706">
        <f t="shared" si="274"/>
        <v>-4.0682966437223911E-2</v>
      </c>
      <c r="EM218" s="389">
        <f t="shared" ref="EM218:FA218" si="275">EM217/EJ217-1</f>
        <v>-0.10691182030196933</v>
      </c>
      <c r="EN218" s="389">
        <f t="shared" si="275"/>
        <v>-9.9999999999998979E-3</v>
      </c>
      <c r="EO218" s="706">
        <f t="shared" si="275"/>
        <v>-3.9298483356002167E-2</v>
      </c>
      <c r="EP218" s="389">
        <f t="shared" si="275"/>
        <v>-0.10691182030196944</v>
      </c>
      <c r="EQ218" s="389">
        <f t="shared" si="275"/>
        <v>-1.000000000000012E-2</v>
      </c>
      <c r="ER218" s="706">
        <f t="shared" si="275"/>
        <v>-3.7936153841028997E-2</v>
      </c>
      <c r="ES218" s="389">
        <f t="shared" si="275"/>
        <v>-0.10691182030196922</v>
      </c>
      <c r="ET218" s="389">
        <f t="shared" si="275"/>
        <v>-1.000000000000012E-2</v>
      </c>
      <c r="EU218" s="706">
        <f t="shared" si="275"/>
        <v>-3.6599450787890064E-2</v>
      </c>
      <c r="EV218" s="389">
        <f t="shared" si="275"/>
        <v>-0.10691182030196944</v>
      </c>
      <c r="EW218" s="389">
        <f t="shared" si="275"/>
        <v>-1.0000000000000009E-2</v>
      </c>
      <c r="EX218" s="706">
        <f t="shared" si="275"/>
        <v>-3.5291566564504384E-2</v>
      </c>
      <c r="EY218" s="389">
        <f t="shared" si="275"/>
        <v>-0.10691182030196933</v>
      </c>
      <c r="EZ218" s="389">
        <f t="shared" si="275"/>
        <v>-9.9999999999998979E-3</v>
      </c>
      <c r="FA218" s="568">
        <f t="shared" si="275"/>
        <v>-3.4015387895133586E-2</v>
      </c>
      <c r="FB218" s="349"/>
      <c r="FC218" s="349"/>
      <c r="FD218" s="360"/>
      <c r="FE218" s="360"/>
      <c r="FF218" s="360"/>
      <c r="FG218" s="360"/>
      <c r="FH218" s="360"/>
      <c r="FI218" s="360"/>
      <c r="FJ218" s="360"/>
      <c r="FK218" s="360"/>
      <c r="FL218" s="360"/>
      <c r="FM218" s="360"/>
      <c r="FN218" s="360"/>
      <c r="FO218" s="360"/>
      <c r="FP218" s="349"/>
      <c r="FQ218" s="349"/>
      <c r="FR218" s="349"/>
      <c r="FS218" s="349"/>
      <c r="FT218" s="349"/>
      <c r="FU218" s="349"/>
      <c r="FV218" s="349"/>
      <c r="FW218" s="349"/>
      <c r="FX218" s="349"/>
      <c r="FY218" s="349"/>
      <c r="FZ218" s="349"/>
      <c r="GA218" s="349"/>
      <c r="GB218" s="349"/>
    </row>
    <row r="219" spans="1:184" s="350" customFormat="1" ht="13.35" hidden="1" customHeight="1" outlineLevel="1">
      <c r="A219" s="760"/>
      <c r="B219" s="342"/>
      <c r="D219" s="363"/>
      <c r="E219" s="342"/>
      <c r="F219" s="342"/>
      <c r="G219" s="342"/>
      <c r="H219" s="342"/>
      <c r="I219" s="342"/>
      <c r="J219" s="342"/>
      <c r="K219" s="342"/>
      <c r="L219" s="342"/>
      <c r="M219" s="342"/>
      <c r="N219" s="342"/>
      <c r="O219" s="342"/>
      <c r="P219" s="342"/>
      <c r="Q219" s="342"/>
      <c r="R219" s="342"/>
      <c r="S219" s="342"/>
      <c r="T219" s="342"/>
      <c r="U219" s="342"/>
      <c r="V219" s="342"/>
      <c r="W219" s="342"/>
      <c r="X219" s="342"/>
      <c r="Y219" s="342"/>
      <c r="Z219" s="342"/>
      <c r="AA219" s="342"/>
      <c r="AB219" s="342"/>
      <c r="AC219" s="342"/>
      <c r="AD219" s="342"/>
      <c r="AE219" s="342"/>
      <c r="AF219" s="342"/>
      <c r="AG219" s="342"/>
      <c r="AH219" s="342"/>
      <c r="AI219" s="342"/>
      <c r="AJ219" s="342"/>
      <c r="AK219" s="342"/>
      <c r="AL219" s="342"/>
      <c r="AM219" s="342"/>
      <c r="AN219" s="342"/>
      <c r="AO219" s="342"/>
      <c r="AP219" s="342"/>
      <c r="AQ219" s="342"/>
      <c r="AR219" s="342"/>
      <c r="AS219" s="342"/>
      <c r="AT219" s="342"/>
      <c r="AU219" s="342"/>
      <c r="AV219" s="342"/>
      <c r="AW219" s="342"/>
      <c r="AX219" s="342"/>
      <c r="AY219" s="342"/>
      <c r="AZ219" s="342"/>
      <c r="BA219" s="342"/>
      <c r="BB219" s="342"/>
      <c r="BC219" s="342"/>
      <c r="BD219" s="342"/>
      <c r="BE219" s="342"/>
      <c r="BF219" s="342"/>
      <c r="BG219" s="342"/>
      <c r="BH219" s="342"/>
      <c r="BI219" s="342"/>
      <c r="BJ219" s="342"/>
      <c r="BK219" s="342"/>
      <c r="BL219" s="342"/>
      <c r="BM219" s="344"/>
      <c r="BN219" s="344"/>
      <c r="BO219" s="342"/>
      <c r="BP219" s="345"/>
      <c r="BQ219" s="345"/>
      <c r="BR219" s="345"/>
      <c r="BS219" s="346"/>
      <c r="BT219" s="345"/>
      <c r="BU219" s="346"/>
      <c r="BV219" s="346"/>
      <c r="BW219" s="346"/>
      <c r="BX219" s="346"/>
      <c r="BY219" s="346"/>
      <c r="BZ219" s="346"/>
      <c r="CA219" s="346"/>
      <c r="CB219" s="346"/>
      <c r="CC219" s="346"/>
      <c r="CD219" s="346"/>
      <c r="CE219" s="347"/>
      <c r="CF219" s="346"/>
      <c r="CG219" s="346"/>
      <c r="CH219" s="346"/>
      <c r="CI219" s="346"/>
      <c r="CJ219" s="346"/>
      <c r="CK219" s="346"/>
      <c r="CL219" s="346"/>
      <c r="CM219" s="346"/>
      <c r="CN219" s="364"/>
      <c r="CO219" s="364"/>
      <c r="CP219" s="364"/>
      <c r="CQ219" s="284"/>
      <c r="CR219" s="284"/>
      <c r="CS219" s="368"/>
      <c r="CT219" s="284"/>
      <c r="CU219" s="284"/>
      <c r="CV219" s="368"/>
      <c r="CW219" s="284"/>
      <c r="CX219" s="284"/>
      <c r="CY219" s="545"/>
      <c r="CZ219" s="305"/>
      <c r="DA219" s="302"/>
      <c r="DB219" s="552"/>
      <c r="DC219" s="302"/>
      <c r="DD219" s="302"/>
      <c r="DE219" s="788"/>
      <c r="DF219" s="305"/>
      <c r="DG219" s="305"/>
      <c r="DH219" s="786"/>
      <c r="DI219" s="305"/>
      <c r="DJ219" s="305"/>
      <c r="DK219" s="699"/>
      <c r="DL219" s="302"/>
      <c r="DM219" s="302"/>
      <c r="DN219" s="700"/>
      <c r="DO219" s="302"/>
      <c r="DP219" s="302"/>
      <c r="DQ219" s="699"/>
      <c r="DR219" s="305"/>
      <c r="DS219" s="305"/>
      <c r="DT219" s="699"/>
      <c r="DU219" s="305"/>
      <c r="DV219" s="305"/>
      <c r="DW219" s="699"/>
      <c r="DX219" s="305"/>
      <c r="DY219" s="305"/>
      <c r="DZ219" s="699"/>
      <c r="EA219" s="305"/>
      <c r="EB219" s="305"/>
      <c r="EC219" s="699"/>
      <c r="ED219" s="305"/>
      <c r="EE219" s="305"/>
      <c r="EF219" s="699"/>
      <c r="EG219" s="305"/>
      <c r="EH219" s="305"/>
      <c r="EI219" s="699"/>
      <c r="EJ219" s="305"/>
      <c r="EK219" s="305"/>
      <c r="EL219" s="699"/>
      <c r="EM219" s="305"/>
      <c r="EN219" s="305"/>
      <c r="EO219" s="699"/>
      <c r="EP219" s="305"/>
      <c r="EQ219" s="305"/>
      <c r="ER219" s="699"/>
      <c r="ES219" s="305"/>
      <c r="ET219" s="305"/>
      <c r="EU219" s="699"/>
      <c r="EV219" s="305"/>
      <c r="EW219" s="305"/>
      <c r="EX219" s="699"/>
      <c r="EY219" s="305"/>
      <c r="EZ219" s="305"/>
      <c r="FA219" s="545"/>
      <c r="FB219" s="349"/>
      <c r="FC219" s="349"/>
      <c r="FD219" s="360"/>
      <c r="FE219" s="360"/>
      <c r="FF219" s="360"/>
      <c r="FG219" s="360"/>
      <c r="FH219" s="360"/>
      <c r="FI219" s="360"/>
      <c r="FJ219" s="360"/>
      <c r="FK219" s="360"/>
      <c r="FL219" s="360"/>
      <c r="FM219" s="360"/>
      <c r="FN219" s="360"/>
      <c r="FO219" s="360"/>
      <c r="FP219" s="349"/>
      <c r="FQ219" s="349"/>
      <c r="FR219" s="349"/>
      <c r="FS219" s="349"/>
      <c r="FT219" s="349"/>
      <c r="FU219" s="349"/>
      <c r="FV219" s="349"/>
      <c r="FW219" s="349"/>
      <c r="FX219" s="349"/>
      <c r="FY219" s="349"/>
      <c r="FZ219" s="349"/>
      <c r="GA219" s="349"/>
      <c r="GB219" s="349"/>
    </row>
    <row r="220" spans="1:184" s="350" customFormat="1" ht="13.35" hidden="1" customHeight="1" outlineLevel="1">
      <c r="A220" s="760"/>
      <c r="B220" s="342"/>
      <c r="C220" s="350" t="s">
        <v>816</v>
      </c>
      <c r="D220" s="363" t="s">
        <v>578</v>
      </c>
      <c r="E220" s="342"/>
      <c r="F220" s="342"/>
      <c r="G220" s="342"/>
      <c r="H220" s="342"/>
      <c r="I220" s="342"/>
      <c r="J220" s="342"/>
      <c r="K220" s="342"/>
      <c r="L220" s="342"/>
      <c r="M220" s="342"/>
      <c r="N220" s="342"/>
      <c r="O220" s="342"/>
      <c r="P220" s="342"/>
      <c r="Q220" s="342"/>
      <c r="R220" s="342"/>
      <c r="S220" s="342"/>
      <c r="T220" s="342"/>
      <c r="U220" s="342"/>
      <c r="V220" s="342"/>
      <c r="W220" s="342"/>
      <c r="X220" s="342"/>
      <c r="Y220" s="342"/>
      <c r="Z220" s="342"/>
      <c r="AA220" s="342"/>
      <c r="AB220" s="342"/>
      <c r="AC220" s="342"/>
      <c r="AD220" s="342"/>
      <c r="AE220" s="342"/>
      <c r="AF220" s="342"/>
      <c r="AG220" s="342"/>
      <c r="AH220" s="342"/>
      <c r="AI220" s="342"/>
      <c r="AJ220" s="342"/>
      <c r="AK220" s="342"/>
      <c r="AL220" s="342"/>
      <c r="AM220" s="342"/>
      <c r="AN220" s="342"/>
      <c r="AO220" s="342"/>
      <c r="AP220" s="342"/>
      <c r="AQ220" s="342"/>
      <c r="AR220" s="342"/>
      <c r="AS220" s="342"/>
      <c r="AT220" s="342"/>
      <c r="AU220" s="342"/>
      <c r="AV220" s="342"/>
      <c r="AW220" s="342"/>
      <c r="AX220" s="342"/>
      <c r="AY220" s="342"/>
      <c r="AZ220" s="342"/>
      <c r="BA220" s="342"/>
      <c r="BB220" s="342"/>
      <c r="BC220" s="342"/>
      <c r="BD220" s="342"/>
      <c r="BE220" s="342"/>
      <c r="BF220" s="342"/>
      <c r="BG220" s="342"/>
      <c r="BH220" s="342"/>
      <c r="BI220" s="342"/>
      <c r="BJ220" s="342"/>
      <c r="BK220" s="342"/>
      <c r="BL220" s="342"/>
      <c r="BM220" s="344"/>
      <c r="BN220" s="344"/>
      <c r="BO220" s="342"/>
      <c r="BP220" s="345"/>
      <c r="BQ220" s="345"/>
      <c r="BR220" s="345"/>
      <c r="BS220" s="346"/>
      <c r="BT220" s="345"/>
      <c r="BU220" s="346"/>
      <c r="BV220" s="346"/>
      <c r="BW220" s="346"/>
      <c r="BX220" s="346"/>
      <c r="BY220" s="346"/>
      <c r="BZ220" s="346"/>
      <c r="CA220" s="346"/>
      <c r="CB220" s="346"/>
      <c r="CC220" s="346"/>
      <c r="CD220" s="346"/>
      <c r="CE220" s="347"/>
      <c r="CF220" s="346"/>
      <c r="CG220" s="346"/>
      <c r="CH220" s="346"/>
      <c r="CI220" s="346"/>
      <c r="CJ220" s="346"/>
      <c r="CK220" s="346"/>
      <c r="CL220" s="346"/>
      <c r="CM220" s="346"/>
      <c r="CN220" s="364"/>
      <c r="CO220" s="364"/>
      <c r="CP220" s="364"/>
      <c r="CQ220" s="374"/>
      <c r="CR220" s="374"/>
      <c r="CS220" s="381"/>
      <c r="CT220" s="374"/>
      <c r="CU220" s="374"/>
      <c r="CV220" s="381"/>
      <c r="CW220" s="374"/>
      <c r="CX220" s="374"/>
      <c r="CY220" s="581"/>
      <c r="CZ220" s="572"/>
      <c r="DA220" s="572"/>
      <c r="DB220" s="581"/>
      <c r="DC220" s="572"/>
      <c r="DD220" s="572"/>
      <c r="DE220" s="709"/>
      <c r="DF220" s="572"/>
      <c r="DG220" s="572"/>
      <c r="DH220" s="709"/>
      <c r="DI220" s="572">
        <v>3695.2377022707224</v>
      </c>
      <c r="DJ220" s="572">
        <v>3106.778957959375</v>
      </c>
      <c r="DK220" s="709">
        <v>3106.778957959375</v>
      </c>
      <c r="DL220" s="572">
        <f>DI220*(1+DL221)</f>
        <v>3724.1731713455015</v>
      </c>
      <c r="DM220" s="572">
        <f>DJ220*(1+DM221)</f>
        <v>2851.0225600678459</v>
      </c>
      <c r="DN220" s="709">
        <f>DM220</f>
        <v>2851.0225600678459</v>
      </c>
      <c r="DO220" s="572">
        <f>DL220*(1+DO221)</f>
        <v>3753.3352189080633</v>
      </c>
      <c r="DP220" s="572">
        <f>DM220*(1+DP221)</f>
        <v>2851.0225600678459</v>
      </c>
      <c r="DQ220" s="709">
        <f>DP220</f>
        <v>2851.0225600678459</v>
      </c>
      <c r="DR220" s="572">
        <f>DO220*(1+DR221)</f>
        <v>3849.7538589502251</v>
      </c>
      <c r="DS220" s="572">
        <f>DP220*(1+DS221)</f>
        <v>2851.0225600678459</v>
      </c>
      <c r="DT220" s="709">
        <f>DS220</f>
        <v>2851.0225600678459</v>
      </c>
      <c r="DU220" s="572">
        <f>DR220*(1+DU221)</f>
        <v>3948.6493771834812</v>
      </c>
      <c r="DV220" s="572">
        <f>DS220*(1+DV221)</f>
        <v>2851.0225600678459</v>
      </c>
      <c r="DW220" s="709">
        <f>DV220</f>
        <v>2851.0225600678459</v>
      </c>
      <c r="DX220" s="572">
        <f>DU220*(1+DX221)</f>
        <v>4050.085401611409</v>
      </c>
      <c r="DY220" s="572">
        <f>DV220*(1+DY221)</f>
        <v>2851.0225600678459</v>
      </c>
      <c r="DZ220" s="709">
        <f>DY220</f>
        <v>2851.0225600678459</v>
      </c>
      <c r="EA220" s="572">
        <f>DX220*(1+EA221)</f>
        <v>4154.1271947640043</v>
      </c>
      <c r="EB220" s="572">
        <f>DY220*(1+EB221)</f>
        <v>2851.0225600678459</v>
      </c>
      <c r="EC220" s="709">
        <f>EB220</f>
        <v>2851.0225600678459</v>
      </c>
      <c r="ED220" s="572">
        <f>EA220*(1+ED221)</f>
        <v>4260.8416956866877</v>
      </c>
      <c r="EE220" s="572">
        <f>EB220*(1+EE221)</f>
        <v>2851.0225600678459</v>
      </c>
      <c r="EF220" s="709">
        <f>EE220</f>
        <v>2851.0225600678459</v>
      </c>
      <c r="EG220" s="572">
        <f>ED220*(1+EG221)</f>
        <v>4370.2975630079573</v>
      </c>
      <c r="EH220" s="572">
        <f>EE220*(1+EH221)</f>
        <v>2851.0225600678459</v>
      </c>
      <c r="EI220" s="709">
        <f>EH220</f>
        <v>2851.0225600678459</v>
      </c>
      <c r="EJ220" s="572">
        <f>EG220*(1+EJ221)</f>
        <v>4482.5652191133959</v>
      </c>
      <c r="EK220" s="572">
        <f>EH220*(1+EK221)</f>
        <v>2851.0225600678459</v>
      </c>
      <c r="EL220" s="709">
        <f>EK220</f>
        <v>2851.0225600678459</v>
      </c>
      <c r="EM220" s="572">
        <f>EJ220*(1+EM221)</f>
        <v>4597.7168954544568</v>
      </c>
      <c r="EN220" s="572">
        <f>EK220*(1+EN221)</f>
        <v>2851.0225600678459</v>
      </c>
      <c r="EO220" s="709">
        <f>EN220</f>
        <v>2851.0225600678459</v>
      </c>
      <c r="EP220" s="572">
        <f>EM220*(1+EP221)</f>
        <v>4715.8266790211792</v>
      </c>
      <c r="EQ220" s="572">
        <f>EN220*(1+EQ221)</f>
        <v>2851.0225600678459</v>
      </c>
      <c r="ER220" s="709">
        <f>EQ220</f>
        <v>2851.0225600678459</v>
      </c>
      <c r="ES220" s="572">
        <f>EP220*(1+ES221)</f>
        <v>4836.9705600087254</v>
      </c>
      <c r="ET220" s="572">
        <f>EQ220*(1+ET221)</f>
        <v>2851.0225600678459</v>
      </c>
      <c r="EU220" s="709">
        <f>ET220</f>
        <v>2851.0225600678459</v>
      </c>
      <c r="EV220" s="572">
        <f>ES220*(1+EV221)</f>
        <v>4961.2264807084211</v>
      </c>
      <c r="EW220" s="572">
        <f>ET220*(1+EW221)</f>
        <v>2851.0225600678459</v>
      </c>
      <c r="EX220" s="709">
        <f>EW220</f>
        <v>2851.0225600678459</v>
      </c>
      <c r="EY220" s="572">
        <f>EV220*(1+EY221)</f>
        <v>5088.67438565474</v>
      </c>
      <c r="EZ220" s="572">
        <f>EW220*(1+EZ221)</f>
        <v>2851.0225600678459</v>
      </c>
      <c r="FA220" s="581">
        <f>EZ220</f>
        <v>2851.0225600678459</v>
      </c>
      <c r="FB220" s="349"/>
      <c r="FC220" s="349"/>
      <c r="FD220" s="360"/>
      <c r="FE220" s="360"/>
      <c r="FF220" s="360"/>
      <c r="FG220" s="360"/>
      <c r="FH220" s="360"/>
      <c r="FI220" s="360"/>
      <c r="FJ220" s="360"/>
      <c r="FK220" s="360"/>
      <c r="FL220" s="360"/>
      <c r="FM220" s="360"/>
      <c r="FN220" s="360"/>
      <c r="FO220" s="360"/>
      <c r="FP220" s="349"/>
      <c r="FQ220" s="349"/>
      <c r="FR220" s="349"/>
      <c r="FS220" s="349"/>
      <c r="FT220" s="349"/>
      <c r="FU220" s="349"/>
      <c r="FV220" s="349"/>
      <c r="FW220" s="349"/>
      <c r="FX220" s="349"/>
      <c r="FY220" s="349"/>
      <c r="FZ220" s="349"/>
      <c r="GA220" s="349"/>
      <c r="GB220" s="349"/>
    </row>
    <row r="221" spans="1:184" s="350" customFormat="1" ht="13.35" hidden="1" customHeight="1" outlineLevel="1">
      <c r="A221" s="760"/>
      <c r="B221" s="342"/>
      <c r="C221" s="350" t="s">
        <v>690</v>
      </c>
      <c r="D221" s="363" t="s">
        <v>507</v>
      </c>
      <c r="E221" s="342"/>
      <c r="F221" s="342"/>
      <c r="G221" s="342"/>
      <c r="H221" s="342"/>
      <c r="I221" s="342"/>
      <c r="J221" s="342"/>
      <c r="K221" s="342"/>
      <c r="L221" s="342"/>
      <c r="M221" s="342"/>
      <c r="N221" s="342"/>
      <c r="O221" s="342"/>
      <c r="P221" s="342"/>
      <c r="Q221" s="342"/>
      <c r="R221" s="342"/>
      <c r="S221" s="342"/>
      <c r="T221" s="342"/>
      <c r="U221" s="342"/>
      <c r="V221" s="342"/>
      <c r="W221" s="342"/>
      <c r="X221" s="342"/>
      <c r="Y221" s="342"/>
      <c r="Z221" s="342"/>
      <c r="AA221" s="342"/>
      <c r="AB221" s="342"/>
      <c r="AC221" s="342"/>
      <c r="AD221" s="342"/>
      <c r="AE221" s="342"/>
      <c r="AF221" s="342"/>
      <c r="AG221" s="342"/>
      <c r="AH221" s="342"/>
      <c r="AI221" s="342"/>
      <c r="AJ221" s="342"/>
      <c r="AK221" s="342"/>
      <c r="AL221" s="342"/>
      <c r="AM221" s="342"/>
      <c r="AN221" s="342"/>
      <c r="AO221" s="342"/>
      <c r="AP221" s="342"/>
      <c r="AQ221" s="342"/>
      <c r="AR221" s="342"/>
      <c r="AS221" s="342"/>
      <c r="AT221" s="342"/>
      <c r="AU221" s="342"/>
      <c r="AV221" s="342"/>
      <c r="AW221" s="342"/>
      <c r="AX221" s="342"/>
      <c r="AY221" s="342"/>
      <c r="AZ221" s="342"/>
      <c r="BA221" s="342"/>
      <c r="BB221" s="342"/>
      <c r="BC221" s="342"/>
      <c r="BD221" s="342"/>
      <c r="BE221" s="342"/>
      <c r="BF221" s="342"/>
      <c r="BG221" s="342"/>
      <c r="BH221" s="342"/>
      <c r="BI221" s="342"/>
      <c r="BJ221" s="342"/>
      <c r="BK221" s="342"/>
      <c r="BL221" s="342"/>
      <c r="BM221" s="344"/>
      <c r="BN221" s="344"/>
      <c r="BO221" s="342"/>
      <c r="BP221" s="345"/>
      <c r="BQ221" s="345"/>
      <c r="BR221" s="345"/>
      <c r="BS221" s="346"/>
      <c r="BT221" s="345"/>
      <c r="BU221" s="346"/>
      <c r="BV221" s="346"/>
      <c r="BW221" s="346"/>
      <c r="BX221" s="346"/>
      <c r="BY221" s="346"/>
      <c r="BZ221" s="346"/>
      <c r="CA221" s="346"/>
      <c r="CB221" s="346"/>
      <c r="CC221" s="346"/>
      <c r="CD221" s="346"/>
      <c r="CE221" s="347"/>
      <c r="CF221" s="346"/>
      <c r="CG221" s="346"/>
      <c r="CH221" s="346"/>
      <c r="CI221" s="346"/>
      <c r="CJ221" s="346"/>
      <c r="CK221" s="346"/>
      <c r="CL221" s="346"/>
      <c r="CM221" s="346"/>
      <c r="CN221" s="364"/>
      <c r="CO221" s="364"/>
      <c r="CP221" s="364"/>
      <c r="CQ221" s="284"/>
      <c r="CR221" s="284"/>
      <c r="CS221" s="368"/>
      <c r="CT221" s="369"/>
      <c r="CU221" s="369"/>
      <c r="CV221" s="370"/>
      <c r="CW221" s="369"/>
      <c r="CX221" s="369"/>
      <c r="CY221" s="568"/>
      <c r="CZ221" s="389"/>
      <c r="DA221" s="391"/>
      <c r="DB221" s="569"/>
      <c r="DC221" s="391"/>
      <c r="DD221" s="391"/>
      <c r="DE221" s="733"/>
      <c r="DF221" s="568"/>
      <c r="DG221" s="389"/>
      <c r="DH221" s="706"/>
      <c r="DI221" s="568">
        <v>0.02</v>
      </c>
      <c r="DJ221" s="389">
        <v>-0.06</v>
      </c>
      <c r="DK221" s="706">
        <v>-7.0894529550244112E-2</v>
      </c>
      <c r="DL221" s="391">
        <v>7.8304757112101948E-3</v>
      </c>
      <c r="DM221" s="391">
        <v>-8.2322045228321539E-2</v>
      </c>
      <c r="DN221" s="733">
        <f>DN220/DK220-1</f>
        <v>-8.2322045228321428E-2</v>
      </c>
      <c r="DO221" s="391">
        <f>DL221</f>
        <v>7.8304757112101948E-3</v>
      </c>
      <c r="DP221" s="391">
        <v>0</v>
      </c>
      <c r="DQ221" s="706">
        <f>DQ220/DN220-1</f>
        <v>0</v>
      </c>
      <c r="DR221" s="389">
        <v>2.5688789947787262E-2</v>
      </c>
      <c r="DS221" s="389">
        <f>DP221</f>
        <v>0</v>
      </c>
      <c r="DT221" s="706">
        <f>DT220/DQ220-1</f>
        <v>0</v>
      </c>
      <c r="DU221" s="389">
        <f>DR221</f>
        <v>2.5688789947787262E-2</v>
      </c>
      <c r="DV221" s="389">
        <f>DS221</f>
        <v>0</v>
      </c>
      <c r="DW221" s="706">
        <f>DW220/DT220-1</f>
        <v>0</v>
      </c>
      <c r="DX221" s="389">
        <f>DU221</f>
        <v>2.5688789947787262E-2</v>
      </c>
      <c r="DY221" s="389">
        <f>DV221</f>
        <v>0</v>
      </c>
      <c r="DZ221" s="706">
        <f>DZ220/DW220-1</f>
        <v>0</v>
      </c>
      <c r="EA221" s="389">
        <f>DX221</f>
        <v>2.5688789947787262E-2</v>
      </c>
      <c r="EB221" s="389">
        <f>DY221</f>
        <v>0</v>
      </c>
      <c r="EC221" s="706">
        <f>EC220/DZ220-1</f>
        <v>0</v>
      </c>
      <c r="ED221" s="389">
        <f>EA221</f>
        <v>2.5688789947787262E-2</v>
      </c>
      <c r="EE221" s="389">
        <f>EB221</f>
        <v>0</v>
      </c>
      <c r="EF221" s="706">
        <f>EF220/EC220-1</f>
        <v>0</v>
      </c>
      <c r="EG221" s="389">
        <f>ED221</f>
        <v>2.5688789947787262E-2</v>
      </c>
      <c r="EH221" s="389">
        <f>EE221</f>
        <v>0</v>
      </c>
      <c r="EI221" s="706">
        <f>EI220/EF220-1</f>
        <v>0</v>
      </c>
      <c r="EJ221" s="389">
        <f>EG221</f>
        <v>2.5688789947787262E-2</v>
      </c>
      <c r="EK221" s="389">
        <f>EH221</f>
        <v>0</v>
      </c>
      <c r="EL221" s="706">
        <f>EL220/EI220-1</f>
        <v>0</v>
      </c>
      <c r="EM221" s="389">
        <f>EJ221</f>
        <v>2.5688789947787262E-2</v>
      </c>
      <c r="EN221" s="389">
        <f>EK221</f>
        <v>0</v>
      </c>
      <c r="EO221" s="706">
        <f>EO220/EL220-1</f>
        <v>0</v>
      </c>
      <c r="EP221" s="389">
        <f>EM221</f>
        <v>2.5688789947787262E-2</v>
      </c>
      <c r="EQ221" s="389">
        <f>EN221</f>
        <v>0</v>
      </c>
      <c r="ER221" s="706">
        <f>ER220/EO220-1</f>
        <v>0</v>
      </c>
      <c r="ES221" s="389">
        <f>EP221</f>
        <v>2.5688789947787262E-2</v>
      </c>
      <c r="ET221" s="389">
        <f>EQ221</f>
        <v>0</v>
      </c>
      <c r="EU221" s="706">
        <f>EU220/ER220-1</f>
        <v>0</v>
      </c>
      <c r="EV221" s="389">
        <f>ES221</f>
        <v>2.5688789947787262E-2</v>
      </c>
      <c r="EW221" s="389">
        <f>ET221</f>
        <v>0</v>
      </c>
      <c r="EX221" s="706">
        <f>EX220/EU220-1</f>
        <v>0</v>
      </c>
      <c r="EY221" s="389">
        <f>EV221</f>
        <v>2.5688789947787262E-2</v>
      </c>
      <c r="EZ221" s="389">
        <f>EW221</f>
        <v>0</v>
      </c>
      <c r="FA221" s="568">
        <f>FA220/EX220-1</f>
        <v>0</v>
      </c>
      <c r="FB221" s="349"/>
      <c r="FC221" s="349"/>
      <c r="FD221" s="360"/>
      <c r="FE221" s="360"/>
      <c r="FF221" s="360"/>
      <c r="FG221" s="360"/>
      <c r="FH221" s="360"/>
      <c r="FI221" s="360"/>
      <c r="FJ221" s="360"/>
      <c r="FK221" s="360"/>
      <c r="FL221" s="360"/>
      <c r="FM221" s="360"/>
      <c r="FN221" s="360"/>
      <c r="FO221" s="360"/>
      <c r="FP221" s="349"/>
      <c r="FQ221" s="349"/>
      <c r="FR221" s="349"/>
      <c r="FS221" s="349"/>
      <c r="FT221" s="349"/>
      <c r="FU221" s="349"/>
      <c r="FV221" s="349"/>
      <c r="FW221" s="349"/>
      <c r="FX221" s="349"/>
      <c r="FY221" s="349"/>
      <c r="FZ221" s="349"/>
      <c r="GA221" s="349"/>
      <c r="GB221" s="349"/>
    </row>
    <row r="222" spans="1:184" s="350" customFormat="1" ht="13.35" hidden="1" customHeight="1" outlineLevel="1">
      <c r="A222" s="760"/>
      <c r="B222" s="342"/>
      <c r="D222" s="363"/>
      <c r="E222" s="342"/>
      <c r="F222" s="342"/>
      <c r="G222" s="342"/>
      <c r="H222" s="342"/>
      <c r="I222" s="342"/>
      <c r="J222" s="342"/>
      <c r="K222" s="342"/>
      <c r="L222" s="342"/>
      <c r="M222" s="342"/>
      <c r="N222" s="342"/>
      <c r="O222" s="342"/>
      <c r="P222" s="342"/>
      <c r="Q222" s="342"/>
      <c r="R222" s="342"/>
      <c r="S222" s="342"/>
      <c r="T222" s="342"/>
      <c r="U222" s="342"/>
      <c r="V222" s="342"/>
      <c r="W222" s="342"/>
      <c r="X222" s="342"/>
      <c r="Y222" s="342"/>
      <c r="Z222" s="342"/>
      <c r="AA222" s="342"/>
      <c r="AB222" s="342"/>
      <c r="AC222" s="342"/>
      <c r="AD222" s="342"/>
      <c r="AE222" s="342"/>
      <c r="AF222" s="342"/>
      <c r="AG222" s="342"/>
      <c r="AH222" s="342"/>
      <c r="AI222" s="342"/>
      <c r="AJ222" s="342"/>
      <c r="AK222" s="342"/>
      <c r="AL222" s="342"/>
      <c r="AM222" s="342"/>
      <c r="AN222" s="342"/>
      <c r="AO222" s="342"/>
      <c r="AP222" s="342"/>
      <c r="AQ222" s="342"/>
      <c r="AR222" s="342"/>
      <c r="AS222" s="342"/>
      <c r="AT222" s="342"/>
      <c r="AU222" s="342"/>
      <c r="AV222" s="342"/>
      <c r="AW222" s="342"/>
      <c r="AX222" s="342"/>
      <c r="AY222" s="342"/>
      <c r="AZ222" s="342"/>
      <c r="BA222" s="342"/>
      <c r="BB222" s="342"/>
      <c r="BC222" s="342"/>
      <c r="BD222" s="342"/>
      <c r="BE222" s="342"/>
      <c r="BF222" s="342"/>
      <c r="BG222" s="342"/>
      <c r="BH222" s="342"/>
      <c r="BI222" s="342"/>
      <c r="BJ222" s="342"/>
      <c r="BK222" s="342"/>
      <c r="BL222" s="342"/>
      <c r="BM222" s="344"/>
      <c r="BN222" s="344"/>
      <c r="BO222" s="342"/>
      <c r="BP222" s="345"/>
      <c r="BQ222" s="345"/>
      <c r="BR222" s="345"/>
      <c r="BS222" s="346"/>
      <c r="BT222" s="345"/>
      <c r="BU222" s="346"/>
      <c r="BV222" s="346"/>
      <c r="BW222" s="346"/>
      <c r="BX222" s="346"/>
      <c r="BY222" s="346"/>
      <c r="BZ222" s="346"/>
      <c r="CA222" s="346"/>
      <c r="CB222" s="346"/>
      <c r="CC222" s="346"/>
      <c r="CD222" s="346"/>
      <c r="CE222" s="347"/>
      <c r="CF222" s="346"/>
      <c r="CG222" s="346"/>
      <c r="CH222" s="346"/>
      <c r="CI222" s="346"/>
      <c r="CJ222" s="346"/>
      <c r="CK222" s="346"/>
      <c r="CL222" s="346"/>
      <c r="CM222" s="346"/>
      <c r="CN222" s="364"/>
      <c r="CO222" s="364"/>
      <c r="CP222" s="364"/>
      <c r="CQ222" s="284"/>
      <c r="CR222" s="284"/>
      <c r="CS222" s="368"/>
      <c r="CT222" s="284"/>
      <c r="CU222" s="284"/>
      <c r="CV222" s="368"/>
      <c r="CW222" s="284"/>
      <c r="CX222" s="284"/>
      <c r="CY222" s="545"/>
      <c r="CZ222" s="305"/>
      <c r="DA222" s="302"/>
      <c r="DB222" s="552"/>
      <c r="DC222" s="302"/>
      <c r="DD222" s="302"/>
      <c r="DE222" s="788"/>
      <c r="DF222" s="305"/>
      <c r="DG222" s="305"/>
      <c r="DH222" s="786"/>
      <c r="DI222" s="305"/>
      <c r="DJ222" s="305"/>
      <c r="DK222" s="699"/>
      <c r="DL222" s="302"/>
      <c r="DM222" s="302"/>
      <c r="DN222" s="700"/>
      <c r="DO222" s="302"/>
      <c r="DP222" s="302"/>
      <c r="DQ222" s="699"/>
      <c r="DR222" s="305"/>
      <c r="DS222" s="305"/>
      <c r="DT222" s="699"/>
      <c r="DU222" s="305"/>
      <c r="DV222" s="305"/>
      <c r="DW222" s="699"/>
      <c r="DX222" s="305"/>
      <c r="DY222" s="305"/>
      <c r="DZ222" s="699"/>
      <c r="EA222" s="305"/>
      <c r="EB222" s="305"/>
      <c r="EC222" s="699"/>
      <c r="ED222" s="305"/>
      <c r="EE222" s="305"/>
      <c r="EF222" s="699"/>
      <c r="EG222" s="305"/>
      <c r="EH222" s="305"/>
      <c r="EI222" s="699"/>
      <c r="EJ222" s="305"/>
      <c r="EK222" s="305"/>
      <c r="EL222" s="699"/>
      <c r="EM222" s="305"/>
      <c r="EN222" s="305"/>
      <c r="EO222" s="699"/>
      <c r="EP222" s="305"/>
      <c r="EQ222" s="305"/>
      <c r="ER222" s="699"/>
      <c r="ES222" s="305"/>
      <c r="ET222" s="305"/>
      <c r="EU222" s="699"/>
      <c r="EV222" s="305"/>
      <c r="EW222" s="305"/>
      <c r="EX222" s="699"/>
      <c r="EY222" s="305"/>
      <c r="EZ222" s="305"/>
      <c r="FA222" s="545"/>
      <c r="FB222" s="349"/>
      <c r="FC222" s="349"/>
      <c r="FD222" s="360"/>
      <c r="FE222" s="360"/>
      <c r="FF222" s="360"/>
      <c r="FG222" s="360"/>
      <c r="FH222" s="360"/>
      <c r="FI222" s="360"/>
      <c r="FJ222" s="360"/>
      <c r="FK222" s="360"/>
      <c r="FL222" s="360"/>
      <c r="FM222" s="360"/>
      <c r="FN222" s="360"/>
      <c r="FO222" s="360"/>
      <c r="FP222" s="349"/>
      <c r="FQ222" s="349"/>
      <c r="FR222" s="349"/>
      <c r="FS222" s="349"/>
      <c r="FT222" s="349"/>
      <c r="FU222" s="349"/>
      <c r="FV222" s="349"/>
      <c r="FW222" s="349"/>
      <c r="FX222" s="349"/>
      <c r="FY222" s="349"/>
      <c r="FZ222" s="349"/>
      <c r="GA222" s="349"/>
      <c r="GB222" s="349"/>
    </row>
    <row r="223" spans="1:184" s="350" customFormat="1" ht="13.35" hidden="1" customHeight="1" outlineLevel="1">
      <c r="A223" s="760"/>
      <c r="B223" s="342"/>
      <c r="C223" s="350" t="s">
        <v>817</v>
      </c>
      <c r="D223" s="363" t="s">
        <v>8</v>
      </c>
      <c r="E223" s="342"/>
      <c r="F223" s="342"/>
      <c r="G223" s="342"/>
      <c r="H223" s="342"/>
      <c r="I223" s="342"/>
      <c r="J223" s="342"/>
      <c r="K223" s="342"/>
      <c r="L223" s="342"/>
      <c r="M223" s="342"/>
      <c r="N223" s="342"/>
      <c r="O223" s="342"/>
      <c r="P223" s="342"/>
      <c r="Q223" s="342"/>
      <c r="R223" s="342"/>
      <c r="S223" s="342"/>
      <c r="T223" s="342"/>
      <c r="U223" s="342"/>
      <c r="V223" s="342"/>
      <c r="W223" s="342"/>
      <c r="X223" s="342"/>
      <c r="Y223" s="342"/>
      <c r="Z223" s="342"/>
      <c r="AA223" s="342"/>
      <c r="AB223" s="342"/>
      <c r="AC223" s="342"/>
      <c r="AD223" s="342"/>
      <c r="AE223" s="342"/>
      <c r="AF223" s="342"/>
      <c r="AG223" s="342"/>
      <c r="AH223" s="342"/>
      <c r="AI223" s="342"/>
      <c r="AJ223" s="342"/>
      <c r="AK223" s="342"/>
      <c r="AL223" s="342"/>
      <c r="AM223" s="342"/>
      <c r="AN223" s="342"/>
      <c r="AO223" s="342"/>
      <c r="AP223" s="342"/>
      <c r="AQ223" s="342"/>
      <c r="AR223" s="342"/>
      <c r="AS223" s="342"/>
      <c r="AT223" s="342"/>
      <c r="AU223" s="342"/>
      <c r="AV223" s="342"/>
      <c r="AW223" s="342"/>
      <c r="AX223" s="342"/>
      <c r="AY223" s="342"/>
      <c r="AZ223" s="342"/>
      <c r="BA223" s="342"/>
      <c r="BB223" s="342"/>
      <c r="BC223" s="342"/>
      <c r="BD223" s="342"/>
      <c r="BE223" s="342"/>
      <c r="BF223" s="342"/>
      <c r="BG223" s="342"/>
      <c r="BH223" s="342"/>
      <c r="BI223" s="342"/>
      <c r="BJ223" s="342"/>
      <c r="BK223" s="342"/>
      <c r="BL223" s="342"/>
      <c r="BM223" s="344"/>
      <c r="BN223" s="344"/>
      <c r="BO223" s="342"/>
      <c r="BP223" s="345"/>
      <c r="BQ223" s="345"/>
      <c r="BR223" s="345"/>
      <c r="BS223" s="346"/>
      <c r="BT223" s="345"/>
      <c r="BU223" s="346"/>
      <c r="BV223" s="346"/>
      <c r="BW223" s="346"/>
      <c r="BX223" s="346"/>
      <c r="BY223" s="346"/>
      <c r="BZ223" s="346"/>
      <c r="CA223" s="346"/>
      <c r="CB223" s="346"/>
      <c r="CC223" s="346"/>
      <c r="CD223" s="346"/>
      <c r="CE223" s="347"/>
      <c r="CF223" s="346"/>
      <c r="CG223" s="346"/>
      <c r="CH223" s="346"/>
      <c r="CI223" s="346"/>
      <c r="CJ223" s="346"/>
      <c r="CK223" s="346"/>
      <c r="CL223" s="346"/>
      <c r="CM223" s="346"/>
      <c r="CN223" s="364"/>
      <c r="CO223" s="364"/>
      <c r="CP223" s="364"/>
      <c r="CQ223" s="365"/>
      <c r="CR223" s="365"/>
      <c r="CS223" s="381"/>
      <c r="CT223" s="365"/>
      <c r="CU223" s="365"/>
      <c r="CV223" s="381"/>
      <c r="CW223" s="365"/>
      <c r="CX223" s="365"/>
      <c r="CY223" s="581"/>
      <c r="CZ223" s="567"/>
      <c r="DA223" s="567"/>
      <c r="DB223" s="581"/>
      <c r="DC223" s="567"/>
      <c r="DD223" s="567"/>
      <c r="DE223" s="709"/>
      <c r="DF223" s="567"/>
      <c r="DG223" s="567"/>
      <c r="DH223" s="709"/>
      <c r="DI223" s="567">
        <v>31.039996699074067</v>
      </c>
      <c r="DJ223" s="567">
        <v>26.09694324685875</v>
      </c>
      <c r="DK223" s="709">
        <v>57.136939945932816</v>
      </c>
      <c r="DL223" s="567">
        <f>DL220*DL214/1000000</f>
        <v>29.718901907337102</v>
      </c>
      <c r="DM223" s="567">
        <f>DM220*DM214/1000000</f>
        <v>23.948589504569906</v>
      </c>
      <c r="DN223" s="709">
        <f>SUM(DL223:DM223)</f>
        <v>53.667491411907008</v>
      </c>
      <c r="DO223" s="567">
        <f>DO220*DO214/1000000</f>
        <v>26.74943336123987</v>
      </c>
      <c r="DP223" s="567">
        <f>DP220*DP214/1000000</f>
        <v>23.709103609524206</v>
      </c>
      <c r="DQ223" s="709">
        <f>SUM(DO223:DP223)</f>
        <v>50.458536970764072</v>
      </c>
      <c r="DR223" s="567">
        <f>DR220*DR214/1000000</f>
        <v>24.503297735486907</v>
      </c>
      <c r="DS223" s="567">
        <f>DS220*DS214/1000000</f>
        <v>23.472012573428966</v>
      </c>
      <c r="DT223" s="709">
        <f>SUM(DR223:DS223)</f>
        <v>47.975310308915873</v>
      </c>
      <c r="DU223" s="567">
        <f>DU220*DU214/1000000</f>
        <v>22.445768918003274</v>
      </c>
      <c r="DV223" s="567">
        <f>DV220*DV214/1000000</f>
        <v>23.237292447694674</v>
      </c>
      <c r="DW223" s="709">
        <f>SUM(DU223:DV223)</f>
        <v>45.683061365697952</v>
      </c>
      <c r="DX223" s="567">
        <f>DX220*DX214/1000000</f>
        <v>20.561009695880866</v>
      </c>
      <c r="DY223" s="567">
        <f>DY220*DY214/1000000</f>
        <v>23.004919523217726</v>
      </c>
      <c r="DZ223" s="709">
        <f>SUM(DX223:DY223)</f>
        <v>43.565929219098592</v>
      </c>
      <c r="EA223" s="567">
        <f>EA220*EA214/1000000</f>
        <v>18.834512698516829</v>
      </c>
      <c r="EB223" s="567">
        <f>EB220*EB214/1000000</f>
        <v>22.77487032798555</v>
      </c>
      <c r="EC223" s="709">
        <f>SUM(EA223:EB223)</f>
        <v>41.609383026502378</v>
      </c>
      <c r="ED223" s="567">
        <f>ED220*ED214/1000000</f>
        <v>17.252988731465798</v>
      </c>
      <c r="EE223" s="567">
        <f>EE220*EE214/1000000</f>
        <v>22.547121624705696</v>
      </c>
      <c r="EF223" s="709">
        <f>SUM(ED223:EE223)</f>
        <v>39.800110356171494</v>
      </c>
      <c r="EG223" s="567">
        <f>EG220*EG214/1000000</f>
        <v>15.8042644868389</v>
      </c>
      <c r="EH223" s="567">
        <f>EH220*EH214/1000000</f>
        <v>22.321650408458634</v>
      </c>
      <c r="EI223" s="709">
        <f>SUM(EG223:EH223)</f>
        <v>38.125914895297534</v>
      </c>
      <c r="EJ223" s="567">
        <f>EJ220*EJ214/1000000</f>
        <v>14.477188842905864</v>
      </c>
      <c r="EK223" s="567">
        <f>EK220*EK214/1000000</f>
        <v>22.098433904374048</v>
      </c>
      <c r="EL223" s="709">
        <f>SUM(EJ223:EK223)</f>
        <v>36.575622747279908</v>
      </c>
      <c r="EM223" s="567">
        <f>EM220*EM214/1000000</f>
        <v>13.261547031669494</v>
      </c>
      <c r="EN223" s="567">
        <f>EN220*EN214/1000000</f>
        <v>21.877449565330309</v>
      </c>
      <c r="EO223" s="709">
        <f>SUM(EM223:EN223)</f>
        <v>35.138996596999803</v>
      </c>
      <c r="EP223" s="567">
        <f>EP220*EP214/1000000</f>
        <v>12.147982013743048</v>
      </c>
      <c r="EQ223" s="567">
        <f>EQ220*EQ214/1000000</f>
        <v>21.658675069677006</v>
      </c>
      <c r="ER223" s="709">
        <f>SUM(EP223:EQ223)</f>
        <v>33.806657083420056</v>
      </c>
      <c r="ES223" s="567">
        <f>ES220*ES214/1000000</f>
        <v>11.127922455337144</v>
      </c>
      <c r="ET223" s="567">
        <f>ET220*ET214/1000000</f>
        <v>21.442088318980236</v>
      </c>
      <c r="EU223" s="709">
        <f>SUM(ES223:ET223)</f>
        <v>32.570010774317382</v>
      </c>
      <c r="EV223" s="567">
        <f>EV220*EV214/1000000</f>
        <v>10.193516752980592</v>
      </c>
      <c r="EW223" s="567">
        <f>EW220*EW214/1000000</f>
        <v>21.227667435790433</v>
      </c>
      <c r="EX223" s="709">
        <f>SUM(EV223:EW223)</f>
        <v>31.421184188771026</v>
      </c>
      <c r="EY223" s="567">
        <f>EY220*EY214/1000000</f>
        <v>9.3375725981501603</v>
      </c>
      <c r="EZ223" s="567">
        <f>EZ220*EZ214/1000000</f>
        <v>21.015390761432528</v>
      </c>
      <c r="FA223" s="581">
        <f>SUM(EY223:EZ223)</f>
        <v>30.352963359582688</v>
      </c>
      <c r="FB223" s="349"/>
      <c r="FC223" s="349"/>
      <c r="FD223" s="360"/>
      <c r="FE223" s="360"/>
      <c r="FF223" s="360"/>
      <c r="FG223" s="360"/>
      <c r="FH223" s="360"/>
      <c r="FI223" s="360"/>
      <c r="FJ223" s="360"/>
      <c r="FK223" s="360"/>
      <c r="FL223" s="360"/>
      <c r="FM223" s="360"/>
      <c r="FN223" s="360"/>
      <c r="FO223" s="360"/>
      <c r="FP223" s="349"/>
      <c r="FQ223" s="349"/>
      <c r="FR223" s="349"/>
      <c r="FS223" s="349"/>
      <c r="FT223" s="349"/>
      <c r="FU223" s="349"/>
      <c r="FV223" s="349"/>
      <c r="FW223" s="349"/>
      <c r="FX223" s="349"/>
      <c r="FY223" s="349"/>
      <c r="FZ223" s="349"/>
      <c r="GA223" s="349"/>
      <c r="GB223" s="349"/>
    </row>
    <row r="224" spans="1:184" s="350" customFormat="1" ht="13.35" hidden="1" customHeight="1" outlineLevel="1">
      <c r="A224" s="760"/>
      <c r="B224" s="342"/>
      <c r="C224" s="350" t="s">
        <v>690</v>
      </c>
      <c r="D224" s="363" t="s">
        <v>507</v>
      </c>
      <c r="E224" s="342"/>
      <c r="F224" s="342"/>
      <c r="G224" s="342"/>
      <c r="H224" s="342"/>
      <c r="I224" s="342"/>
      <c r="J224" s="342"/>
      <c r="K224" s="342"/>
      <c r="L224" s="342"/>
      <c r="M224" s="342"/>
      <c r="N224" s="342"/>
      <c r="O224" s="342"/>
      <c r="P224" s="342"/>
      <c r="Q224" s="342"/>
      <c r="R224" s="342"/>
      <c r="S224" s="342"/>
      <c r="T224" s="342"/>
      <c r="U224" s="342"/>
      <c r="V224" s="342"/>
      <c r="W224" s="342"/>
      <c r="X224" s="342"/>
      <c r="Y224" s="342"/>
      <c r="Z224" s="342"/>
      <c r="AA224" s="342"/>
      <c r="AB224" s="342"/>
      <c r="AC224" s="342"/>
      <c r="AD224" s="342"/>
      <c r="AE224" s="342"/>
      <c r="AF224" s="342"/>
      <c r="AG224" s="342"/>
      <c r="AH224" s="342"/>
      <c r="AI224" s="342"/>
      <c r="AJ224" s="342"/>
      <c r="AK224" s="342"/>
      <c r="AL224" s="342"/>
      <c r="AM224" s="342"/>
      <c r="AN224" s="342"/>
      <c r="AO224" s="342"/>
      <c r="AP224" s="342"/>
      <c r="AQ224" s="342"/>
      <c r="AR224" s="342"/>
      <c r="AS224" s="342"/>
      <c r="AT224" s="342"/>
      <c r="AU224" s="342"/>
      <c r="AV224" s="342"/>
      <c r="AW224" s="342"/>
      <c r="AX224" s="342"/>
      <c r="AY224" s="342"/>
      <c r="AZ224" s="342"/>
      <c r="BA224" s="342"/>
      <c r="BB224" s="342"/>
      <c r="BC224" s="342"/>
      <c r="BD224" s="342"/>
      <c r="BE224" s="342"/>
      <c r="BF224" s="342"/>
      <c r="BG224" s="342"/>
      <c r="BH224" s="342"/>
      <c r="BI224" s="342"/>
      <c r="BJ224" s="342"/>
      <c r="BK224" s="342"/>
      <c r="BL224" s="342"/>
      <c r="BM224" s="344"/>
      <c r="BN224" s="344"/>
      <c r="BO224" s="342"/>
      <c r="BP224" s="345"/>
      <c r="BQ224" s="345"/>
      <c r="BR224" s="345"/>
      <c r="BS224" s="346"/>
      <c r="BT224" s="345"/>
      <c r="BU224" s="346"/>
      <c r="BV224" s="346"/>
      <c r="BW224" s="346"/>
      <c r="BX224" s="346"/>
      <c r="BY224" s="346"/>
      <c r="BZ224" s="346"/>
      <c r="CA224" s="346"/>
      <c r="CB224" s="346"/>
      <c r="CC224" s="346"/>
      <c r="CD224" s="346"/>
      <c r="CE224" s="347"/>
      <c r="CF224" s="346"/>
      <c r="CG224" s="346"/>
      <c r="CH224" s="346"/>
      <c r="CI224" s="346"/>
      <c r="CJ224" s="346"/>
      <c r="CK224" s="346"/>
      <c r="CL224" s="346"/>
      <c r="CM224" s="346"/>
      <c r="CN224" s="364"/>
      <c r="CO224" s="364"/>
      <c r="CP224" s="364"/>
      <c r="CQ224" s="284"/>
      <c r="CR224" s="284"/>
      <c r="CS224" s="368"/>
      <c r="CT224" s="369"/>
      <c r="CU224" s="369"/>
      <c r="CV224" s="370"/>
      <c r="CW224" s="369"/>
      <c r="CX224" s="369"/>
      <c r="CY224" s="568"/>
      <c r="CZ224" s="389"/>
      <c r="DA224" s="389"/>
      <c r="DB224" s="568"/>
      <c r="DC224" s="389"/>
      <c r="DD224" s="389"/>
      <c r="DE224" s="706"/>
      <c r="DF224" s="389"/>
      <c r="DG224" s="389"/>
      <c r="DH224" s="706"/>
      <c r="DI224" s="389">
        <v>1.2018402275278062E-2</v>
      </c>
      <c r="DJ224" s="389">
        <v>-7.0894529550244223E-2</v>
      </c>
      <c r="DK224" s="706">
        <v>-2.7615597511002843E-2</v>
      </c>
      <c r="DL224" s="391">
        <f t="shared" ref="DL224:EC224" si="276">DL223/DI223-1</f>
        <v>-4.2561048074350238E-2</v>
      </c>
      <c r="DM224" s="391">
        <f t="shared" si="276"/>
        <v>-8.2322045228321428E-2</v>
      </c>
      <c r="DN224" s="733">
        <f t="shared" si="276"/>
        <v>-6.0721637128429595E-2</v>
      </c>
      <c r="DO224" s="391">
        <f t="shared" si="276"/>
        <v>-9.9918515002874964E-2</v>
      </c>
      <c r="DP224" s="391">
        <f t="shared" si="276"/>
        <v>-1.0000000000000009E-2</v>
      </c>
      <c r="DQ224" s="706">
        <f t="shared" si="276"/>
        <v>-5.9793263234789062E-2</v>
      </c>
      <c r="DR224" s="389">
        <f t="shared" si="276"/>
        <v>-8.396946564885488E-2</v>
      </c>
      <c r="DS224" s="389">
        <f t="shared" si="276"/>
        <v>-9.9999999999998979E-3</v>
      </c>
      <c r="DT224" s="706">
        <f t="shared" si="276"/>
        <v>-4.9213211696704451E-2</v>
      </c>
      <c r="DU224" s="389">
        <f t="shared" si="276"/>
        <v>-8.396946564885488E-2</v>
      </c>
      <c r="DV224" s="389">
        <f>DV223/DS223-1</f>
        <v>-1.000000000000012E-2</v>
      </c>
      <c r="DW224" s="706">
        <f>DW223/DT223-1</f>
        <v>-4.777976272499318E-2</v>
      </c>
      <c r="DX224" s="389">
        <f t="shared" si="276"/>
        <v>-8.3969465648854769E-2</v>
      </c>
      <c r="DY224" s="389">
        <f t="shared" si="276"/>
        <v>-1.0000000000000009E-2</v>
      </c>
      <c r="DZ224" s="706">
        <f t="shared" si="276"/>
        <v>-4.6343920116287407E-2</v>
      </c>
      <c r="EA224" s="389">
        <f t="shared" si="276"/>
        <v>-8.3969465648854769E-2</v>
      </c>
      <c r="EB224" s="389">
        <f t="shared" si="276"/>
        <v>-1.0000000000000009E-2</v>
      </c>
      <c r="EC224" s="706">
        <f t="shared" si="276"/>
        <v>-4.4910007147018316E-2</v>
      </c>
      <c r="ED224" s="389">
        <f t="shared" ref="ED224:EL224" si="277">ED223/EA223-1</f>
        <v>-8.396946564885488E-2</v>
      </c>
      <c r="EE224" s="389">
        <f t="shared" si="277"/>
        <v>-9.9999999999998979E-3</v>
      </c>
      <c r="EF224" s="706">
        <f t="shared" si="277"/>
        <v>-4.348232390704998E-2</v>
      </c>
      <c r="EG224" s="389">
        <f t="shared" si="277"/>
        <v>-8.3969465648854991E-2</v>
      </c>
      <c r="EH224" s="389">
        <f t="shared" si="277"/>
        <v>-1.0000000000000231E-2</v>
      </c>
      <c r="EI224" s="706">
        <f t="shared" si="277"/>
        <v>-4.2065095948015552E-2</v>
      </c>
      <c r="EJ224" s="389">
        <f t="shared" si="277"/>
        <v>-8.396946564885488E-2</v>
      </c>
      <c r="EK224" s="389">
        <f t="shared" si="277"/>
        <v>-1.0000000000000009E-2</v>
      </c>
      <c r="EL224" s="706">
        <f t="shared" si="277"/>
        <v>-4.066242481721638E-2</v>
      </c>
      <c r="EM224" s="389">
        <f t="shared" ref="EM224:FA224" si="278">EM223/EJ223-1</f>
        <v>-8.3969465648854991E-2</v>
      </c>
      <c r="EN224" s="389">
        <f t="shared" si="278"/>
        <v>-9.9999999999998979E-3</v>
      </c>
      <c r="EO224" s="706">
        <f t="shared" si="278"/>
        <v>-3.9278241691372062E-2</v>
      </c>
      <c r="EP224" s="389">
        <f t="shared" si="278"/>
        <v>-8.396946564885488E-2</v>
      </c>
      <c r="EQ224" s="389">
        <f t="shared" si="278"/>
        <v>-1.0000000000000009E-2</v>
      </c>
      <c r="ER224" s="706">
        <f t="shared" si="278"/>
        <v>-3.7916265192771692E-2</v>
      </c>
      <c r="ES224" s="389">
        <f t="shared" si="278"/>
        <v>-8.396946564885488E-2</v>
      </c>
      <c r="ET224" s="389">
        <f t="shared" si="278"/>
        <v>-1.0000000000000009E-2</v>
      </c>
      <c r="EU224" s="706">
        <f t="shared" si="278"/>
        <v>-3.6579964296711509E-2</v>
      </c>
      <c r="EV224" s="389">
        <f t="shared" si="278"/>
        <v>-8.3969465648854769E-2</v>
      </c>
      <c r="EW224" s="389">
        <f t="shared" si="278"/>
        <v>-1.0000000000000009E-2</v>
      </c>
      <c r="EX224" s="706">
        <f t="shared" si="278"/>
        <v>-3.527252703435535E-2</v>
      </c>
      <c r="EY224" s="389">
        <f t="shared" si="278"/>
        <v>-8.3969465648854991E-2</v>
      </c>
      <c r="EZ224" s="389">
        <f t="shared" si="278"/>
        <v>-1.0000000000000009E-2</v>
      </c>
      <c r="FA224" s="568">
        <f t="shared" si="278"/>
        <v>-3.3996835471595266E-2</v>
      </c>
      <c r="FB224" s="349"/>
      <c r="FC224" s="349"/>
      <c r="FD224" s="360"/>
      <c r="FE224" s="360"/>
      <c r="FF224" s="360"/>
      <c r="FG224" s="360"/>
      <c r="FH224" s="360"/>
      <c r="FI224" s="360"/>
      <c r="FJ224" s="360"/>
      <c r="FK224" s="360"/>
      <c r="FL224" s="360"/>
      <c r="FM224" s="360"/>
      <c r="FN224" s="360"/>
      <c r="FO224" s="360"/>
      <c r="FP224" s="349"/>
      <c r="FQ224" s="349"/>
      <c r="FR224" s="349"/>
      <c r="FS224" s="349"/>
      <c r="FT224" s="349"/>
      <c r="FU224" s="349"/>
      <c r="FV224" s="349"/>
      <c r="FW224" s="349"/>
      <c r="FX224" s="349"/>
      <c r="FY224" s="349"/>
      <c r="FZ224" s="349"/>
      <c r="GA224" s="349"/>
      <c r="GB224" s="349"/>
    </row>
    <row r="225" spans="1:184" ht="13.35" hidden="1" customHeight="1" outlineLevel="1">
      <c r="A225" s="760"/>
      <c r="B225" s="351" t="s">
        <v>818</v>
      </c>
      <c r="C225" s="289"/>
      <c r="D225" s="290"/>
      <c r="E225" s="251"/>
      <c r="F225" s="251"/>
      <c r="G225" s="252"/>
      <c r="H225" s="251"/>
      <c r="I225" s="251"/>
      <c r="J225" s="252"/>
      <c r="K225" s="251"/>
      <c r="L225" s="251"/>
      <c r="M225" s="252"/>
      <c r="N225" s="251"/>
      <c r="O225" s="251"/>
      <c r="P225" s="252"/>
      <c r="Q225" s="251"/>
      <c r="R225" s="251"/>
      <c r="S225" s="252"/>
      <c r="T225" s="251"/>
      <c r="U225" s="251"/>
      <c r="V225" s="252"/>
      <c r="W225" s="251"/>
      <c r="X225" s="251"/>
      <c r="Y225" s="252"/>
      <c r="Z225" s="251"/>
      <c r="AA225" s="251"/>
      <c r="AB225" s="252"/>
      <c r="AC225" s="251"/>
      <c r="AD225" s="251"/>
      <c r="AE225" s="252"/>
      <c r="AF225" s="251"/>
      <c r="AG225" s="251"/>
      <c r="AH225" s="252"/>
      <c r="AI225" s="251"/>
      <c r="AJ225" s="251"/>
      <c r="AK225" s="252"/>
      <c r="AL225" s="251"/>
      <c r="AM225" s="251"/>
      <c r="AN225" s="252"/>
      <c r="AO225" s="291"/>
      <c r="AP225" s="291"/>
      <c r="AQ225" s="252"/>
      <c r="AR225" s="251"/>
      <c r="AS225" s="251"/>
      <c r="AT225" s="252"/>
      <c r="AU225" s="251"/>
      <c r="AV225" s="251"/>
      <c r="AW225" s="252"/>
      <c r="AX225" s="251"/>
      <c r="AY225" s="251"/>
      <c r="AZ225" s="252"/>
      <c r="BA225" s="251"/>
      <c r="BB225" s="251"/>
      <c r="BC225" s="252"/>
      <c r="BD225" s="251"/>
      <c r="BE225" s="251"/>
      <c r="BF225" s="252"/>
      <c r="BG225" s="251"/>
      <c r="BH225" s="251"/>
      <c r="BI225" s="252"/>
      <c r="BJ225" s="251"/>
      <c r="BK225" s="251"/>
      <c r="BL225" s="252"/>
      <c r="BM225" s="280"/>
      <c r="BN225" s="280"/>
      <c r="BO225" s="280"/>
      <c r="BP225" s="280"/>
      <c r="BQ225" s="280"/>
      <c r="BR225" s="280"/>
      <c r="BS225" s="280"/>
      <c r="BT225" s="280"/>
      <c r="BU225" s="281"/>
      <c r="BV225" s="280"/>
      <c r="BW225" s="280"/>
      <c r="BX225" s="280"/>
      <c r="BY225" s="280"/>
      <c r="BZ225" s="280"/>
      <c r="CA225" s="280"/>
      <c r="CB225" s="280"/>
      <c r="CC225" s="280"/>
      <c r="CD225" s="280"/>
      <c r="CE225" s="280"/>
      <c r="CF225" s="280"/>
      <c r="CG225" s="280"/>
      <c r="CH225" s="280"/>
      <c r="CI225" s="280"/>
      <c r="CJ225" s="280"/>
      <c r="CK225" s="280"/>
      <c r="CL225" s="280"/>
      <c r="CM225" s="280"/>
      <c r="CN225" s="280"/>
      <c r="CO225" s="280"/>
      <c r="CP225" s="280"/>
      <c r="CQ225" s="280"/>
      <c r="CR225" s="280"/>
      <c r="CS225" s="280"/>
      <c r="CT225" s="280"/>
      <c r="CU225" s="280"/>
      <c r="CV225" s="280"/>
      <c r="CW225" s="280"/>
      <c r="CX225" s="280"/>
      <c r="CY225" s="280"/>
      <c r="CZ225" s="280"/>
      <c r="DA225" s="280"/>
      <c r="DB225" s="280"/>
      <c r="DC225" s="280"/>
      <c r="DD225" s="280"/>
      <c r="DE225" s="785"/>
      <c r="DF225" s="280"/>
      <c r="DG225" s="280"/>
      <c r="DH225" s="785"/>
      <c r="DI225" s="280" t="s">
        <v>930</v>
      </c>
      <c r="DJ225" s="280" t="s">
        <v>931</v>
      </c>
      <c r="DK225" s="695" t="s">
        <v>932</v>
      </c>
      <c r="DL225" s="280" t="str">
        <f t="shared" ref="DL225:EC225" si="279">DL199</f>
        <v>1h22</v>
      </c>
      <c r="DM225" s="280" t="str">
        <f t="shared" si="279"/>
        <v>2h22</v>
      </c>
      <c r="DN225" s="695" t="str">
        <f t="shared" si="279"/>
        <v>2022</v>
      </c>
      <c r="DO225" s="280" t="str">
        <f t="shared" si="279"/>
        <v>1h23</v>
      </c>
      <c r="DP225" s="280" t="str">
        <f t="shared" si="279"/>
        <v>2h23</v>
      </c>
      <c r="DQ225" s="695" t="str">
        <f t="shared" si="279"/>
        <v>2023</v>
      </c>
      <c r="DR225" s="280" t="str">
        <f t="shared" si="279"/>
        <v>1h24</v>
      </c>
      <c r="DS225" s="280" t="str">
        <f t="shared" si="279"/>
        <v>2h24</v>
      </c>
      <c r="DT225" s="695" t="str">
        <f t="shared" si="279"/>
        <v>2024</v>
      </c>
      <c r="DU225" s="280" t="str">
        <f t="shared" si="279"/>
        <v>1h25</v>
      </c>
      <c r="DV225" s="280" t="str">
        <f>DV199</f>
        <v>2h25</v>
      </c>
      <c r="DW225" s="695" t="str">
        <f>DW199</f>
        <v>2025</v>
      </c>
      <c r="DX225" s="280" t="str">
        <f t="shared" si="279"/>
        <v>1h26</v>
      </c>
      <c r="DY225" s="280" t="str">
        <f t="shared" si="279"/>
        <v>2h26E</v>
      </c>
      <c r="DZ225" s="695" t="str">
        <f t="shared" si="279"/>
        <v>2026E</v>
      </c>
      <c r="EA225" s="280" t="str">
        <f t="shared" si="279"/>
        <v>1h27E</v>
      </c>
      <c r="EB225" s="280" t="str">
        <f t="shared" si="279"/>
        <v>2h27E</v>
      </c>
      <c r="EC225" s="695" t="str">
        <f t="shared" si="279"/>
        <v>2027E</v>
      </c>
      <c r="ED225" s="280" t="str">
        <f t="shared" ref="ED225:EL225" si="280">ED199</f>
        <v>1h28E</v>
      </c>
      <c r="EE225" s="280" t="str">
        <f t="shared" si="280"/>
        <v>2h28E</v>
      </c>
      <c r="EF225" s="695" t="str">
        <f t="shared" si="280"/>
        <v>2028E</v>
      </c>
      <c r="EG225" s="280" t="str">
        <f t="shared" si="280"/>
        <v>1h29E</v>
      </c>
      <c r="EH225" s="280" t="str">
        <f t="shared" si="280"/>
        <v>2h29E</v>
      </c>
      <c r="EI225" s="695" t="str">
        <f t="shared" si="280"/>
        <v>2029E</v>
      </c>
      <c r="EJ225" s="280" t="str">
        <f t="shared" si="280"/>
        <v>1h30E</v>
      </c>
      <c r="EK225" s="280" t="str">
        <f t="shared" si="280"/>
        <v>2h30E</v>
      </c>
      <c r="EL225" s="695" t="str">
        <f t="shared" si="280"/>
        <v>2030E</v>
      </c>
      <c r="EM225" s="280" t="str">
        <f t="shared" ref="EM225:ER225" si="281">EM199</f>
        <v>1h31E</v>
      </c>
      <c r="EN225" s="280" t="str">
        <f t="shared" si="281"/>
        <v>2h31E</v>
      </c>
      <c r="EO225" s="695" t="str">
        <f t="shared" si="281"/>
        <v>2031E</v>
      </c>
      <c r="EP225" s="280" t="str">
        <f t="shared" si="281"/>
        <v>1h32E</v>
      </c>
      <c r="EQ225" s="280" t="str">
        <f t="shared" si="281"/>
        <v>2h32E</v>
      </c>
      <c r="ER225" s="695" t="str">
        <f t="shared" si="281"/>
        <v>2032E</v>
      </c>
      <c r="ES225" s="280" t="str">
        <f t="shared" ref="ES225:FA225" si="282">ES199</f>
        <v>1h33E</v>
      </c>
      <c r="ET225" s="280" t="str">
        <f t="shared" si="282"/>
        <v>2h33E</v>
      </c>
      <c r="EU225" s="695" t="str">
        <f t="shared" si="282"/>
        <v>2033E</v>
      </c>
      <c r="EV225" s="280" t="str">
        <f t="shared" si="282"/>
        <v>1h34E</v>
      </c>
      <c r="EW225" s="280" t="str">
        <f t="shared" si="282"/>
        <v>2h34E</v>
      </c>
      <c r="EX225" s="695" t="str">
        <f t="shared" si="282"/>
        <v>2034E</v>
      </c>
      <c r="EY225" s="280" t="str">
        <f t="shared" si="282"/>
        <v>1h35E</v>
      </c>
      <c r="EZ225" s="280" t="str">
        <f t="shared" si="282"/>
        <v>2h35E</v>
      </c>
      <c r="FA225" s="540" t="str">
        <f t="shared" si="282"/>
        <v>2035E</v>
      </c>
    </row>
    <row r="226" spans="1:184" s="350" customFormat="1" ht="13.35" hidden="1" customHeight="1" outlineLevel="1">
      <c r="A226" s="760"/>
      <c r="B226" s="342"/>
      <c r="C226" s="350" t="s">
        <v>796</v>
      </c>
      <c r="D226" s="363" t="s">
        <v>357</v>
      </c>
      <c r="E226" s="342"/>
      <c r="F226" s="342"/>
      <c r="G226" s="342"/>
      <c r="H226" s="342"/>
      <c r="I226" s="342"/>
      <c r="J226" s="342"/>
      <c r="K226" s="342"/>
      <c r="L226" s="342"/>
      <c r="M226" s="342"/>
      <c r="N226" s="342"/>
      <c r="O226" s="342"/>
      <c r="P226" s="342"/>
      <c r="Q226" s="342"/>
      <c r="R226" s="342"/>
      <c r="S226" s="342"/>
      <c r="T226" s="342"/>
      <c r="U226" s="342"/>
      <c r="V226" s="342"/>
      <c r="W226" s="342"/>
      <c r="X226" s="342"/>
      <c r="Y226" s="342"/>
      <c r="Z226" s="342"/>
      <c r="AA226" s="342"/>
      <c r="AB226" s="342"/>
      <c r="AC226" s="342"/>
      <c r="AD226" s="342"/>
      <c r="AE226" s="342"/>
      <c r="AF226" s="342"/>
      <c r="AG226" s="342"/>
      <c r="AH226" s="342"/>
      <c r="AI226" s="342"/>
      <c r="AJ226" s="342"/>
      <c r="AK226" s="342"/>
      <c r="AL226" s="342"/>
      <c r="AM226" s="342"/>
      <c r="AN226" s="342"/>
      <c r="AO226" s="342"/>
      <c r="AP226" s="342"/>
      <c r="AQ226" s="342"/>
      <c r="AR226" s="342"/>
      <c r="AS226" s="342"/>
      <c r="AT226" s="342"/>
      <c r="AU226" s="342"/>
      <c r="AV226" s="342"/>
      <c r="AW226" s="342"/>
      <c r="AX226" s="342"/>
      <c r="AY226" s="342"/>
      <c r="AZ226" s="342"/>
      <c r="BA226" s="342"/>
      <c r="BB226" s="342"/>
      <c r="BC226" s="342"/>
      <c r="BD226" s="342"/>
      <c r="BE226" s="342"/>
      <c r="BF226" s="342"/>
      <c r="BG226" s="342"/>
      <c r="BH226" s="342"/>
      <c r="BI226" s="342"/>
      <c r="BJ226" s="342"/>
      <c r="BK226" s="342"/>
      <c r="BL226" s="342"/>
      <c r="BM226" s="344"/>
      <c r="BN226" s="344"/>
      <c r="BO226" s="342"/>
      <c r="BP226" s="345"/>
      <c r="BQ226" s="345"/>
      <c r="BR226" s="345"/>
      <c r="BS226" s="346"/>
      <c r="BT226" s="345"/>
      <c r="BU226" s="346"/>
      <c r="BV226" s="346"/>
      <c r="BW226" s="346"/>
      <c r="BX226" s="346"/>
      <c r="BY226" s="346"/>
      <c r="BZ226" s="346"/>
      <c r="CA226" s="346"/>
      <c r="CB226" s="346"/>
      <c r="CC226" s="346"/>
      <c r="CD226" s="346"/>
      <c r="CE226" s="347"/>
      <c r="CF226" s="346"/>
      <c r="CG226" s="346"/>
      <c r="CH226" s="346"/>
      <c r="CI226" s="346"/>
      <c r="CJ226" s="346"/>
      <c r="CK226" s="346"/>
      <c r="CL226" s="346"/>
      <c r="CM226" s="346"/>
      <c r="CN226" s="364"/>
      <c r="CO226" s="364"/>
      <c r="CP226" s="364"/>
      <c r="CQ226" s="284"/>
      <c r="CR226" s="284"/>
      <c r="CS226" s="368"/>
      <c r="CT226" s="369"/>
      <c r="CU226" s="369"/>
      <c r="CV226" s="370"/>
      <c r="CW226" s="386"/>
      <c r="CX226" s="387"/>
      <c r="CY226" s="568"/>
      <c r="CZ226" s="585"/>
      <c r="DA226" s="585"/>
      <c r="DB226" s="581"/>
      <c r="DC226" s="585"/>
      <c r="DD226" s="585"/>
      <c r="DE226" s="709"/>
      <c r="DF226" s="585"/>
      <c r="DG226" s="585"/>
      <c r="DH226" s="709"/>
      <c r="DI226" s="585">
        <v>108.6324519518943</v>
      </c>
      <c r="DJ226" s="585">
        <v>102.08904368386592</v>
      </c>
      <c r="DK226" s="709">
        <v>210.72149563576022</v>
      </c>
      <c r="DL226" s="585">
        <f>DL238*DL241/1000000</f>
        <v>120.256124310747</v>
      </c>
      <c r="DM226" s="585">
        <f>DM238*DM241/1000000</f>
        <v>101.00144610680121</v>
      </c>
      <c r="DN226" s="709">
        <f>SUM(DL226:DM226)</f>
        <v>221.25757041754821</v>
      </c>
      <c r="DO226" s="585">
        <f>DO238*DO241/1000000</f>
        <v>223.99999999999997</v>
      </c>
      <c r="DP226" s="585">
        <f>DP238*DP241/1000000</f>
        <v>223.99999999999997</v>
      </c>
      <c r="DQ226" s="709">
        <f>SUM(DO226:DP226)</f>
        <v>447.99999999999994</v>
      </c>
      <c r="DR226" s="585">
        <f>DR238*DR241/1000000</f>
        <v>245.00000000000006</v>
      </c>
      <c r="DS226" s="585">
        <f>DS238*DS241/1000000</f>
        <v>245.00000000000006</v>
      </c>
      <c r="DT226" s="709">
        <f>SUM(DR226:DS226)</f>
        <v>490.00000000000011</v>
      </c>
      <c r="DU226" s="585">
        <f>DU238*DU241/1000000</f>
        <v>267.96875000000017</v>
      </c>
      <c r="DV226" s="585">
        <f>DV238*DV241/1000000</f>
        <v>267.96875000000017</v>
      </c>
      <c r="DW226" s="709">
        <f>SUM(DU226:DV226)</f>
        <v>535.93750000000034</v>
      </c>
      <c r="DX226" s="585">
        <f>DX238*DX241/1000000</f>
        <v>293.09082031250028</v>
      </c>
      <c r="DY226" s="585">
        <f>DY238*DY241/1000000</f>
        <v>293.09082031250028</v>
      </c>
      <c r="DZ226" s="709">
        <f>SUM(DX226:DY226)</f>
        <v>586.18164062500057</v>
      </c>
      <c r="EA226" s="585">
        <f>EA238*EA241/1000000</f>
        <v>320.56808471679727</v>
      </c>
      <c r="EB226" s="585">
        <f>EB238*EB241/1000000</f>
        <v>320.56808471679727</v>
      </c>
      <c r="EC226" s="709">
        <f>SUM(EA226:EB226)</f>
        <v>641.13616943359455</v>
      </c>
      <c r="ED226" s="585">
        <f>ED238*ED241/1000000</f>
        <v>350.62134265899704</v>
      </c>
      <c r="EE226" s="585">
        <f>EE238*EE241/1000000</f>
        <v>350.62134265899704</v>
      </c>
      <c r="EF226" s="709">
        <f>SUM(ED226:EE226)</f>
        <v>701.24268531799407</v>
      </c>
      <c r="EG226" s="585">
        <f>EG238*EG241/1000000</f>
        <v>383.49209353327831</v>
      </c>
      <c r="EH226" s="585">
        <f>EH238*EH241/1000000</f>
        <v>383.49209353327831</v>
      </c>
      <c r="EI226" s="709">
        <f>SUM(EG226:EH226)</f>
        <v>766.98418706655661</v>
      </c>
      <c r="EJ226" s="585">
        <f>EJ238*EJ241/1000000</f>
        <v>419.44447730202324</v>
      </c>
      <c r="EK226" s="585">
        <f>EK238*EK241/1000000</f>
        <v>419.44447730202324</v>
      </c>
      <c r="EL226" s="709">
        <f>SUM(EJ226:EK226)</f>
        <v>838.88895460404649</v>
      </c>
      <c r="EM226" s="585">
        <f>EM238*EM241/1000000</f>
        <v>458.767397049088</v>
      </c>
      <c r="EN226" s="585">
        <f>EN238*EN241/1000000</f>
        <v>458.767397049088</v>
      </c>
      <c r="EO226" s="709">
        <f>SUM(EM226:EN226)</f>
        <v>917.53479409817601</v>
      </c>
      <c r="EP226" s="585">
        <f>EP238*EP241/1000000</f>
        <v>501.77684052244018</v>
      </c>
      <c r="EQ226" s="585">
        <f>EQ238*EQ241/1000000</f>
        <v>501.77684052244018</v>
      </c>
      <c r="ER226" s="709">
        <f>SUM(EP226:EQ226)</f>
        <v>1003.5536810448804</v>
      </c>
      <c r="ES226" s="585">
        <f>ES238*ES241/1000000</f>
        <v>551.49558234249935</v>
      </c>
      <c r="ET226" s="585">
        <f>ET238*ET241/1000000</f>
        <v>551.49558234249935</v>
      </c>
      <c r="EU226" s="709">
        <f>SUM(ES226:ET226)</f>
        <v>1102.9911646849987</v>
      </c>
      <c r="EV226" s="585">
        <f>EV238*EV241/1000000</f>
        <v>606.14072388558282</v>
      </c>
      <c r="EW226" s="585">
        <f>EW238*EW241/1000000</f>
        <v>606.14072388558282</v>
      </c>
      <c r="EX226" s="709">
        <f>SUM(EV226:EW226)</f>
        <v>1212.2814477711656</v>
      </c>
      <c r="EY226" s="585">
        <f>EY238*EY241/1000000</f>
        <v>666.20039927058758</v>
      </c>
      <c r="EZ226" s="585">
        <f>EZ238*EZ241/1000000</f>
        <v>666.20039927058758</v>
      </c>
      <c r="FA226" s="581">
        <f>SUM(EY226:EZ226)</f>
        <v>1332.4007985411752</v>
      </c>
      <c r="FB226" s="349"/>
      <c r="FC226" s="349"/>
      <c r="FD226" s="360"/>
      <c r="FE226" s="360"/>
      <c r="FF226" s="360"/>
      <c r="FG226" s="360"/>
      <c r="FH226" s="360"/>
      <c r="FI226" s="360"/>
      <c r="FJ226" s="360"/>
      <c r="FK226" s="360"/>
      <c r="FL226" s="360"/>
      <c r="FM226" s="360"/>
      <c r="FN226" s="360"/>
      <c r="FO226" s="360"/>
      <c r="FP226" s="349"/>
      <c r="FQ226" s="349"/>
      <c r="FR226" s="349"/>
      <c r="FS226" s="349"/>
      <c r="FT226" s="349"/>
      <c r="FU226" s="349"/>
      <c r="FV226" s="349"/>
      <c r="FW226" s="349"/>
      <c r="FX226" s="349"/>
      <c r="FY226" s="349"/>
      <c r="FZ226" s="349"/>
      <c r="GA226" s="349"/>
      <c r="GB226" s="349"/>
    </row>
    <row r="227" spans="1:184" s="350" customFormat="1" ht="13.35" hidden="1" customHeight="1" outlineLevel="1">
      <c r="A227" s="760"/>
      <c r="B227" s="342"/>
      <c r="C227" s="350" t="s">
        <v>690</v>
      </c>
      <c r="D227" s="363" t="s">
        <v>507</v>
      </c>
      <c r="E227" s="342"/>
      <c r="F227" s="342"/>
      <c r="G227" s="342"/>
      <c r="H227" s="342"/>
      <c r="I227" s="342"/>
      <c r="J227" s="342"/>
      <c r="K227" s="342"/>
      <c r="L227" s="342"/>
      <c r="M227" s="342"/>
      <c r="N227" s="342"/>
      <c r="O227" s="342"/>
      <c r="P227" s="342"/>
      <c r="Q227" s="342"/>
      <c r="R227" s="342"/>
      <c r="S227" s="342"/>
      <c r="T227" s="342"/>
      <c r="U227" s="342"/>
      <c r="V227" s="342"/>
      <c r="W227" s="342"/>
      <c r="X227" s="342"/>
      <c r="Y227" s="342"/>
      <c r="Z227" s="342"/>
      <c r="AA227" s="342"/>
      <c r="AB227" s="342"/>
      <c r="AC227" s="342"/>
      <c r="AD227" s="342"/>
      <c r="AE227" s="342"/>
      <c r="AF227" s="342"/>
      <c r="AG227" s="342"/>
      <c r="AH227" s="342"/>
      <c r="AI227" s="342"/>
      <c r="AJ227" s="342"/>
      <c r="AK227" s="342"/>
      <c r="AL227" s="342"/>
      <c r="AM227" s="342"/>
      <c r="AN227" s="342"/>
      <c r="AO227" s="342"/>
      <c r="AP227" s="342"/>
      <c r="AQ227" s="342"/>
      <c r="AR227" s="342"/>
      <c r="AS227" s="342"/>
      <c r="AT227" s="342"/>
      <c r="AU227" s="342"/>
      <c r="AV227" s="342"/>
      <c r="AW227" s="342"/>
      <c r="AX227" s="342"/>
      <c r="AY227" s="342"/>
      <c r="AZ227" s="342"/>
      <c r="BA227" s="342"/>
      <c r="BB227" s="342"/>
      <c r="BC227" s="342"/>
      <c r="BD227" s="342"/>
      <c r="BE227" s="342"/>
      <c r="BF227" s="342"/>
      <c r="BG227" s="342"/>
      <c r="BH227" s="342"/>
      <c r="BI227" s="342"/>
      <c r="BJ227" s="342"/>
      <c r="BK227" s="342"/>
      <c r="BL227" s="342"/>
      <c r="BM227" s="344"/>
      <c r="BN227" s="344"/>
      <c r="BO227" s="342"/>
      <c r="BP227" s="345"/>
      <c r="BQ227" s="345"/>
      <c r="BR227" s="345"/>
      <c r="BS227" s="346"/>
      <c r="BT227" s="345"/>
      <c r="BU227" s="346"/>
      <c r="BV227" s="346"/>
      <c r="BW227" s="346"/>
      <c r="BX227" s="346"/>
      <c r="BY227" s="346"/>
      <c r="BZ227" s="346"/>
      <c r="CA227" s="346"/>
      <c r="CB227" s="346"/>
      <c r="CC227" s="346"/>
      <c r="CD227" s="346"/>
      <c r="CE227" s="347"/>
      <c r="CF227" s="346"/>
      <c r="CG227" s="346"/>
      <c r="CH227" s="346"/>
      <c r="CI227" s="346"/>
      <c r="CJ227" s="346"/>
      <c r="CK227" s="346"/>
      <c r="CL227" s="346"/>
      <c r="CM227" s="346"/>
      <c r="CN227" s="364"/>
      <c r="CO227" s="364"/>
      <c r="CP227" s="364"/>
      <c r="CQ227" s="284"/>
      <c r="CR227" s="284"/>
      <c r="CS227" s="368"/>
      <c r="CT227" s="369"/>
      <c r="CU227" s="369"/>
      <c r="CV227" s="370"/>
      <c r="CW227" s="369"/>
      <c r="CX227" s="369"/>
      <c r="CY227" s="568"/>
      <c r="CZ227" s="389"/>
      <c r="DA227" s="389"/>
      <c r="DB227" s="568"/>
      <c r="DC227" s="389"/>
      <c r="DD227" s="389"/>
      <c r="DE227" s="706"/>
      <c r="DF227" s="389"/>
      <c r="DG227" s="389"/>
      <c r="DH227" s="706"/>
      <c r="DI227" s="389">
        <v>0.17874999999999974</v>
      </c>
      <c r="DJ227" s="389">
        <v>0.12749999999999995</v>
      </c>
      <c r="DK227" s="706">
        <v>0.15335142956582382</v>
      </c>
      <c r="DL227" s="391">
        <f t="shared" ref="DL227:EC227" si="283">DL226/DI226-1</f>
        <v>0.10700000000000021</v>
      </c>
      <c r="DM227" s="391">
        <f t="shared" si="283"/>
        <v>-1.0653421149017905E-2</v>
      </c>
      <c r="DN227" s="733">
        <f t="shared" si="283"/>
        <v>4.9999999999999822E-2</v>
      </c>
      <c r="DO227" s="391">
        <f t="shared" si="283"/>
        <v>0.86269099627037993</v>
      </c>
      <c r="DP227" s="391">
        <f t="shared" si="283"/>
        <v>1.2177900281065015</v>
      </c>
      <c r="DQ227" s="706">
        <f t="shared" si="283"/>
        <v>1.024789475698177</v>
      </c>
      <c r="DR227" s="389">
        <f t="shared" si="283"/>
        <v>9.3750000000000444E-2</v>
      </c>
      <c r="DS227" s="389">
        <f t="shared" si="283"/>
        <v>9.3750000000000444E-2</v>
      </c>
      <c r="DT227" s="706">
        <f t="shared" si="283"/>
        <v>9.3750000000000444E-2</v>
      </c>
      <c r="DU227" s="389">
        <f t="shared" si="283"/>
        <v>9.3750000000000444E-2</v>
      </c>
      <c r="DV227" s="389">
        <f>DV226/DS226-1</f>
        <v>9.3750000000000444E-2</v>
      </c>
      <c r="DW227" s="706">
        <f>DW226/DT226-1</f>
        <v>9.3750000000000444E-2</v>
      </c>
      <c r="DX227" s="389">
        <f t="shared" si="283"/>
        <v>9.3750000000000444E-2</v>
      </c>
      <c r="DY227" s="389">
        <f t="shared" si="283"/>
        <v>9.3750000000000444E-2</v>
      </c>
      <c r="DZ227" s="706">
        <f t="shared" si="283"/>
        <v>9.3750000000000444E-2</v>
      </c>
      <c r="EA227" s="389">
        <f t="shared" si="283"/>
        <v>9.3750000000000222E-2</v>
      </c>
      <c r="EB227" s="389">
        <f t="shared" si="283"/>
        <v>9.3750000000000222E-2</v>
      </c>
      <c r="EC227" s="706">
        <f t="shared" si="283"/>
        <v>9.3750000000000222E-2</v>
      </c>
      <c r="ED227" s="389">
        <f t="shared" ref="ED227:EL227" si="284">ED226/EA226-1</f>
        <v>9.375E-2</v>
      </c>
      <c r="EE227" s="389">
        <f t="shared" si="284"/>
        <v>9.375E-2</v>
      </c>
      <c r="EF227" s="706">
        <f t="shared" si="284"/>
        <v>9.375E-2</v>
      </c>
      <c r="EG227" s="389">
        <f t="shared" si="284"/>
        <v>9.3750000000000888E-2</v>
      </c>
      <c r="EH227" s="389">
        <f t="shared" si="284"/>
        <v>9.3750000000000888E-2</v>
      </c>
      <c r="EI227" s="706">
        <f t="shared" si="284"/>
        <v>9.3750000000000888E-2</v>
      </c>
      <c r="EJ227" s="389">
        <f t="shared" si="284"/>
        <v>9.3750000000000222E-2</v>
      </c>
      <c r="EK227" s="389">
        <f t="shared" si="284"/>
        <v>9.3750000000000222E-2</v>
      </c>
      <c r="EL227" s="706">
        <f t="shared" si="284"/>
        <v>9.3750000000000222E-2</v>
      </c>
      <c r="EM227" s="389">
        <f t="shared" ref="EM227:FA227" si="285">EM226/EJ226-1</f>
        <v>9.3750000000000222E-2</v>
      </c>
      <c r="EN227" s="389">
        <f t="shared" si="285"/>
        <v>9.3750000000000222E-2</v>
      </c>
      <c r="EO227" s="706">
        <f t="shared" si="285"/>
        <v>9.3750000000000222E-2</v>
      </c>
      <c r="EP227" s="389">
        <f t="shared" si="285"/>
        <v>9.3750000000000444E-2</v>
      </c>
      <c r="EQ227" s="389">
        <f t="shared" si="285"/>
        <v>9.3750000000000444E-2</v>
      </c>
      <c r="ER227" s="706">
        <f t="shared" si="285"/>
        <v>9.3750000000000444E-2</v>
      </c>
      <c r="ES227" s="389">
        <f t="shared" si="285"/>
        <v>9.9085365853659235E-2</v>
      </c>
      <c r="ET227" s="389">
        <f t="shared" si="285"/>
        <v>9.9085365853659235E-2</v>
      </c>
      <c r="EU227" s="706">
        <f t="shared" si="285"/>
        <v>9.9085365853659235E-2</v>
      </c>
      <c r="EV227" s="389">
        <f t="shared" si="285"/>
        <v>9.9085365853659457E-2</v>
      </c>
      <c r="EW227" s="389">
        <f t="shared" si="285"/>
        <v>9.9085365853659457E-2</v>
      </c>
      <c r="EX227" s="706">
        <f t="shared" si="285"/>
        <v>9.9085365853659457E-2</v>
      </c>
      <c r="EY227" s="389">
        <f t="shared" si="285"/>
        <v>9.9085365853659235E-2</v>
      </c>
      <c r="EZ227" s="389">
        <f t="shared" si="285"/>
        <v>9.9085365853659235E-2</v>
      </c>
      <c r="FA227" s="568">
        <f t="shared" si="285"/>
        <v>9.9085365853659235E-2</v>
      </c>
      <c r="FB227" s="349"/>
      <c r="FC227" s="349"/>
      <c r="FD227" s="360"/>
      <c r="FE227" s="360"/>
      <c r="FF227" s="360"/>
      <c r="FG227" s="360"/>
      <c r="FH227" s="360"/>
      <c r="FI227" s="360"/>
      <c r="FJ227" s="360"/>
      <c r="FK227" s="360"/>
      <c r="FL227" s="360"/>
      <c r="FM227" s="360"/>
      <c r="FN227" s="360"/>
      <c r="FO227" s="360"/>
      <c r="FP227" s="349"/>
      <c r="FQ227" s="349"/>
      <c r="FR227" s="349"/>
      <c r="FS227" s="349"/>
      <c r="FT227" s="349"/>
      <c r="FU227" s="349"/>
      <c r="FV227" s="349"/>
      <c r="FW227" s="349"/>
      <c r="FX227" s="349"/>
      <c r="FY227" s="349"/>
      <c r="FZ227" s="349"/>
      <c r="GA227" s="349"/>
      <c r="GB227" s="349"/>
    </row>
    <row r="228" spans="1:184" s="350" customFormat="1" ht="13.35" hidden="1" customHeight="1" outlineLevel="1">
      <c r="A228" s="760"/>
      <c r="B228" s="342"/>
      <c r="D228" s="363"/>
      <c r="E228" s="342"/>
      <c r="F228" s="342"/>
      <c r="G228" s="342"/>
      <c r="H228" s="342"/>
      <c r="I228" s="342"/>
      <c r="J228" s="342"/>
      <c r="K228" s="342"/>
      <c r="L228" s="342"/>
      <c r="M228" s="342"/>
      <c r="N228" s="342"/>
      <c r="O228" s="342"/>
      <c r="P228" s="342"/>
      <c r="Q228" s="342"/>
      <c r="R228" s="342"/>
      <c r="S228" s="342"/>
      <c r="T228" s="342"/>
      <c r="U228" s="342"/>
      <c r="V228" s="342"/>
      <c r="W228" s="342"/>
      <c r="X228" s="342"/>
      <c r="Y228" s="342"/>
      <c r="Z228" s="342"/>
      <c r="AA228" s="342"/>
      <c r="AB228" s="342"/>
      <c r="AC228" s="342"/>
      <c r="AD228" s="342"/>
      <c r="AE228" s="342"/>
      <c r="AF228" s="342"/>
      <c r="AG228" s="342"/>
      <c r="AH228" s="342"/>
      <c r="AI228" s="342"/>
      <c r="AJ228" s="342"/>
      <c r="AK228" s="342"/>
      <c r="AL228" s="342"/>
      <c r="AM228" s="342"/>
      <c r="AN228" s="342"/>
      <c r="AO228" s="342"/>
      <c r="AP228" s="342"/>
      <c r="AQ228" s="342"/>
      <c r="AR228" s="342"/>
      <c r="AS228" s="342"/>
      <c r="AT228" s="342"/>
      <c r="AU228" s="342"/>
      <c r="AV228" s="342"/>
      <c r="AW228" s="342"/>
      <c r="AX228" s="342"/>
      <c r="AY228" s="342"/>
      <c r="AZ228" s="342"/>
      <c r="BA228" s="342"/>
      <c r="BB228" s="342"/>
      <c r="BC228" s="342"/>
      <c r="BD228" s="342"/>
      <c r="BE228" s="342"/>
      <c r="BF228" s="342"/>
      <c r="BG228" s="342"/>
      <c r="BH228" s="342"/>
      <c r="BI228" s="342"/>
      <c r="BJ228" s="342"/>
      <c r="BK228" s="342"/>
      <c r="BL228" s="342"/>
      <c r="BM228" s="344"/>
      <c r="BN228" s="344"/>
      <c r="BO228" s="342"/>
      <c r="BP228" s="345"/>
      <c r="BQ228" s="345"/>
      <c r="BR228" s="345"/>
      <c r="BS228" s="346"/>
      <c r="BT228" s="345"/>
      <c r="BU228" s="346"/>
      <c r="BV228" s="346"/>
      <c r="BW228" s="346"/>
      <c r="BX228" s="346"/>
      <c r="BY228" s="346"/>
      <c r="BZ228" s="346"/>
      <c r="CA228" s="346"/>
      <c r="CB228" s="346"/>
      <c r="CC228" s="346"/>
      <c r="CD228" s="346"/>
      <c r="CE228" s="347"/>
      <c r="CF228" s="346"/>
      <c r="CG228" s="346"/>
      <c r="CH228" s="346"/>
      <c r="CI228" s="346"/>
      <c r="CJ228" s="346"/>
      <c r="CK228" s="346"/>
      <c r="CL228" s="346"/>
      <c r="CM228" s="346"/>
      <c r="CN228" s="364"/>
      <c r="CO228" s="364"/>
      <c r="CP228" s="364"/>
      <c r="CQ228" s="284"/>
      <c r="CR228" s="284"/>
      <c r="CS228" s="368"/>
      <c r="CT228" s="369"/>
      <c r="CU228" s="369"/>
      <c r="CV228" s="370"/>
      <c r="CW228" s="369"/>
      <c r="CX228" s="369"/>
      <c r="CY228" s="568"/>
      <c r="CZ228" s="389"/>
      <c r="DA228" s="389"/>
      <c r="DB228" s="568"/>
      <c r="DC228" s="586"/>
      <c r="DD228" s="389"/>
      <c r="DE228" s="800"/>
      <c r="DF228" s="389"/>
      <c r="DG228" s="389"/>
      <c r="DH228" s="706"/>
      <c r="DI228" s="389"/>
      <c r="DJ228" s="389"/>
      <c r="DK228" s="706"/>
      <c r="DL228" s="391"/>
      <c r="DM228" s="391"/>
      <c r="DN228" s="733"/>
      <c r="DO228" s="391"/>
      <c r="DP228" s="391"/>
      <c r="DQ228" s="706"/>
      <c r="DR228" s="389"/>
      <c r="DS228" s="389"/>
      <c r="DT228" s="706"/>
      <c r="DU228" s="389"/>
      <c r="DV228" s="389"/>
      <c r="DW228" s="706"/>
      <c r="DX228" s="389"/>
      <c r="DY228" s="389"/>
      <c r="DZ228" s="706"/>
      <c r="EA228" s="389"/>
      <c r="EB228" s="389"/>
      <c r="EC228" s="706"/>
      <c r="ED228" s="389"/>
      <c r="EE228" s="389"/>
      <c r="EF228" s="706"/>
      <c r="EG228" s="389"/>
      <c r="EH228" s="389"/>
      <c r="EI228" s="706"/>
      <c r="EJ228" s="389"/>
      <c r="EK228" s="389"/>
      <c r="EL228" s="706"/>
      <c r="EM228" s="389"/>
      <c r="EN228" s="389"/>
      <c r="EO228" s="706"/>
      <c r="EP228" s="389"/>
      <c r="EQ228" s="389"/>
      <c r="ER228" s="706"/>
      <c r="ES228" s="389"/>
      <c r="ET228" s="389"/>
      <c r="EU228" s="706"/>
      <c r="EV228" s="389"/>
      <c r="EW228" s="389"/>
      <c r="EX228" s="706"/>
      <c r="EY228" s="389"/>
      <c r="EZ228" s="389"/>
      <c r="FA228" s="568"/>
      <c r="FB228" s="349"/>
      <c r="FC228" s="349"/>
      <c r="FD228" s="360"/>
      <c r="FE228" s="360"/>
      <c r="FF228" s="360"/>
      <c r="FG228" s="360"/>
      <c r="FH228" s="360"/>
      <c r="FI228" s="360"/>
      <c r="FJ228" s="360"/>
      <c r="FK228" s="360"/>
      <c r="FL228" s="360"/>
      <c r="FM228" s="360"/>
      <c r="FN228" s="360"/>
      <c r="FO228" s="360"/>
      <c r="FP228" s="349"/>
      <c r="FQ228" s="349"/>
      <c r="FR228" s="349"/>
      <c r="FS228" s="349"/>
      <c r="FT228" s="349"/>
      <c r="FU228" s="349"/>
      <c r="FV228" s="349"/>
      <c r="FW228" s="349"/>
      <c r="FX228" s="349"/>
      <c r="FY228" s="349"/>
      <c r="FZ228" s="349"/>
      <c r="GA228" s="349"/>
      <c r="GB228" s="349"/>
    </row>
    <row r="229" spans="1:184" s="350" customFormat="1" ht="13.35" hidden="1" customHeight="1" outlineLevel="1">
      <c r="A229" s="760"/>
      <c r="B229" s="342"/>
      <c r="C229" s="350" t="s">
        <v>819</v>
      </c>
      <c r="D229" s="363" t="s">
        <v>820</v>
      </c>
      <c r="E229" s="342"/>
      <c r="F229" s="342"/>
      <c r="G229" s="342"/>
      <c r="H229" s="342"/>
      <c r="I229" s="342"/>
      <c r="J229" s="342"/>
      <c r="K229" s="342"/>
      <c r="L229" s="342"/>
      <c r="M229" s="342"/>
      <c r="N229" s="342"/>
      <c r="O229" s="342"/>
      <c r="P229" s="342"/>
      <c r="Q229" s="342"/>
      <c r="R229" s="342"/>
      <c r="S229" s="342"/>
      <c r="T229" s="342"/>
      <c r="U229" s="342"/>
      <c r="V229" s="342"/>
      <c r="W229" s="342"/>
      <c r="X229" s="342"/>
      <c r="Y229" s="342"/>
      <c r="Z229" s="342"/>
      <c r="AA229" s="342"/>
      <c r="AB229" s="342"/>
      <c r="AC229" s="342"/>
      <c r="AD229" s="342"/>
      <c r="AE229" s="342"/>
      <c r="AF229" s="342"/>
      <c r="AG229" s="342"/>
      <c r="AH229" s="342"/>
      <c r="AI229" s="342"/>
      <c r="AJ229" s="342"/>
      <c r="AK229" s="342"/>
      <c r="AL229" s="342"/>
      <c r="AM229" s="342"/>
      <c r="AN229" s="342"/>
      <c r="AO229" s="342"/>
      <c r="AP229" s="342"/>
      <c r="AQ229" s="342"/>
      <c r="AR229" s="342"/>
      <c r="AS229" s="342"/>
      <c r="AT229" s="342"/>
      <c r="AU229" s="342"/>
      <c r="AV229" s="342"/>
      <c r="AW229" s="342"/>
      <c r="AX229" s="342"/>
      <c r="AY229" s="342"/>
      <c r="AZ229" s="342"/>
      <c r="BA229" s="342"/>
      <c r="BB229" s="342"/>
      <c r="BC229" s="342"/>
      <c r="BD229" s="342"/>
      <c r="BE229" s="342"/>
      <c r="BF229" s="342"/>
      <c r="BG229" s="342"/>
      <c r="BH229" s="342"/>
      <c r="BI229" s="342"/>
      <c r="BJ229" s="342"/>
      <c r="BK229" s="342"/>
      <c r="BL229" s="342"/>
      <c r="BM229" s="344"/>
      <c r="BN229" s="344"/>
      <c r="BO229" s="342"/>
      <c r="BP229" s="345"/>
      <c r="BQ229" s="345"/>
      <c r="BR229" s="345"/>
      <c r="BS229" s="346"/>
      <c r="BT229" s="345"/>
      <c r="BU229" s="346"/>
      <c r="BV229" s="346"/>
      <c r="BW229" s="346"/>
      <c r="BX229" s="346"/>
      <c r="BY229" s="346"/>
      <c r="BZ229" s="346"/>
      <c r="CA229" s="346"/>
      <c r="CB229" s="346"/>
      <c r="CC229" s="346"/>
      <c r="CD229" s="346"/>
      <c r="CE229" s="347"/>
      <c r="CF229" s="346"/>
      <c r="CG229" s="346"/>
      <c r="CH229" s="346"/>
      <c r="CI229" s="346"/>
      <c r="CJ229" s="346"/>
      <c r="CK229" s="346"/>
      <c r="CL229" s="346"/>
      <c r="CM229" s="346"/>
      <c r="CN229" s="364"/>
      <c r="CO229" s="364"/>
      <c r="CP229" s="364"/>
      <c r="CQ229" s="284"/>
      <c r="CR229" s="284"/>
      <c r="CS229" s="368"/>
      <c r="CT229" s="369"/>
      <c r="CU229" s="369"/>
      <c r="CV229" s="370"/>
      <c r="CW229" s="369"/>
      <c r="CX229" s="388"/>
      <c r="CY229" s="568"/>
      <c r="CZ229" s="571"/>
      <c r="DA229" s="572"/>
      <c r="DB229" s="581"/>
      <c r="DC229" s="571"/>
      <c r="DD229" s="572"/>
      <c r="DE229" s="709"/>
      <c r="DF229" s="571"/>
      <c r="DG229" s="572"/>
      <c r="DH229" s="709"/>
      <c r="DI229" s="571">
        <v>10.100247499999998</v>
      </c>
      <c r="DJ229" s="571">
        <v>10.100247499999998</v>
      </c>
      <c r="DK229" s="709">
        <v>10.100247499999998</v>
      </c>
      <c r="DL229" s="571">
        <f>(1+DL230)*DI229</f>
        <v>10.352753687499998</v>
      </c>
      <c r="DM229" s="571">
        <f>(1+DM230)*DJ229</f>
        <v>10.352753687499998</v>
      </c>
      <c r="DN229" s="709">
        <f>DM229</f>
        <v>10.352753687499998</v>
      </c>
      <c r="DO229" s="571">
        <f>(1+DO230)*DL229</f>
        <v>10.611572529687496</v>
      </c>
      <c r="DP229" s="571">
        <f>(1+DP230)*DM229</f>
        <v>10.611572529687496</v>
      </c>
      <c r="DQ229" s="709">
        <f>DP229</f>
        <v>10.611572529687496</v>
      </c>
      <c r="DR229" s="571">
        <f>(1+DR230)*DO229</f>
        <v>10.876861842929683</v>
      </c>
      <c r="DS229" s="571">
        <f>(1+DS230)*DP229</f>
        <v>10.876861842929683</v>
      </c>
      <c r="DT229" s="709">
        <f>DS229</f>
        <v>10.876861842929683</v>
      </c>
      <c r="DU229" s="571">
        <f>(1+DU230)*DR229</f>
        <v>11.148783389002924</v>
      </c>
      <c r="DV229" s="571">
        <f>(1+DV230)*DS229</f>
        <v>11.148783389002924</v>
      </c>
      <c r="DW229" s="709">
        <f>DV229</f>
        <v>11.148783389002924</v>
      </c>
      <c r="DX229" s="571">
        <f>(1+DX230)*DU229</f>
        <v>11.427502973727997</v>
      </c>
      <c r="DY229" s="571">
        <f>(1+DY230)*DV229</f>
        <v>11.427502973727997</v>
      </c>
      <c r="DZ229" s="709">
        <f>DY229</f>
        <v>11.427502973727997</v>
      </c>
      <c r="EA229" s="571">
        <f>(1+EA230)*DX229</f>
        <v>11.713190548071195</v>
      </c>
      <c r="EB229" s="571">
        <f>(1+EB230)*DY229</f>
        <v>11.713190548071195</v>
      </c>
      <c r="EC229" s="709">
        <f>EB229</f>
        <v>11.713190548071195</v>
      </c>
      <c r="ED229" s="571">
        <f>(1+ED230)*EA229</f>
        <v>12.006020311772973</v>
      </c>
      <c r="EE229" s="571">
        <f>(1+EE230)*EB229</f>
        <v>12.006020311772973</v>
      </c>
      <c r="EF229" s="709">
        <f>EE229</f>
        <v>12.006020311772973</v>
      </c>
      <c r="EG229" s="571">
        <f>(1+EG230)*ED229</f>
        <v>12.306170819567296</v>
      </c>
      <c r="EH229" s="571">
        <f>(1+EH230)*EE229</f>
        <v>12.306170819567296</v>
      </c>
      <c r="EI229" s="709">
        <f>EH229</f>
        <v>12.306170819567296</v>
      </c>
      <c r="EJ229" s="571">
        <f>(1+EJ230)*EG229</f>
        <v>12.613825090056476</v>
      </c>
      <c r="EK229" s="571">
        <f>(1+EK230)*EH229</f>
        <v>12.613825090056476</v>
      </c>
      <c r="EL229" s="709">
        <f>EK229</f>
        <v>12.613825090056476</v>
      </c>
      <c r="EM229" s="571">
        <f>(1+EM230)*EJ229</f>
        <v>12.929170717307887</v>
      </c>
      <c r="EN229" s="571">
        <f>(1+EN230)*EK229</f>
        <v>12.929170717307887</v>
      </c>
      <c r="EO229" s="709">
        <f>EN229</f>
        <v>12.929170717307887</v>
      </c>
      <c r="EP229" s="571">
        <f>(1+EP230)*EM229</f>
        <v>13.252399985240583</v>
      </c>
      <c r="EQ229" s="571">
        <f>(1+EQ230)*EN229</f>
        <v>13.252399985240583</v>
      </c>
      <c r="ER229" s="709">
        <f>EQ229</f>
        <v>13.252399985240583</v>
      </c>
      <c r="ES229" s="571">
        <f>(1+ES230)*EP229</f>
        <v>13.649971984797801</v>
      </c>
      <c r="ET229" s="571">
        <f>(1+ET230)*EQ229</f>
        <v>13.649971984797801</v>
      </c>
      <c r="EU229" s="709">
        <f>ET229</f>
        <v>13.649971984797801</v>
      </c>
      <c r="EV229" s="571">
        <f>(1+EV230)*ES229</f>
        <v>14.059471144341735</v>
      </c>
      <c r="EW229" s="571">
        <f>(1+EW230)*ET229</f>
        <v>14.059471144341735</v>
      </c>
      <c r="EX229" s="709">
        <f>EW229</f>
        <v>14.059471144341735</v>
      </c>
      <c r="EY229" s="571">
        <f>(1+EY230)*EV229</f>
        <v>14.481255278671988</v>
      </c>
      <c r="EZ229" s="571">
        <f>(1+EZ230)*EW229</f>
        <v>14.481255278671988</v>
      </c>
      <c r="FA229" s="581">
        <f>EZ229</f>
        <v>14.481255278671988</v>
      </c>
      <c r="FB229" s="349"/>
      <c r="FC229" s="349"/>
      <c r="FD229" s="360"/>
      <c r="FE229" s="360"/>
      <c r="FF229" s="360"/>
      <c r="FG229" s="360"/>
      <c r="FH229" s="360"/>
      <c r="FI229" s="360"/>
      <c r="FJ229" s="360"/>
      <c r="FK229" s="360"/>
      <c r="FL229" s="360"/>
      <c r="FM229" s="360"/>
      <c r="FN229" s="360"/>
      <c r="FO229" s="360"/>
      <c r="FP229" s="349"/>
      <c r="FQ229" s="349"/>
      <c r="FR229" s="349"/>
      <c r="FS229" s="349"/>
      <c r="FT229" s="349"/>
      <c r="FU229" s="349"/>
      <c r="FV229" s="349"/>
      <c r="FW229" s="349"/>
      <c r="FX229" s="349"/>
      <c r="FY229" s="349"/>
      <c r="FZ229" s="349"/>
      <c r="GA229" s="349"/>
      <c r="GB229" s="349"/>
    </row>
    <row r="230" spans="1:184" s="350" customFormat="1" ht="13.35" hidden="1" customHeight="1" outlineLevel="1">
      <c r="A230" s="760"/>
      <c r="B230" s="342"/>
      <c r="C230" s="350" t="s">
        <v>690</v>
      </c>
      <c r="D230" s="363" t="s">
        <v>507</v>
      </c>
      <c r="E230" s="342"/>
      <c r="F230" s="342"/>
      <c r="G230" s="342"/>
      <c r="H230" s="342"/>
      <c r="I230" s="342"/>
      <c r="J230" s="342"/>
      <c r="K230" s="342"/>
      <c r="L230" s="342"/>
      <c r="M230" s="342"/>
      <c r="N230" s="342"/>
      <c r="O230" s="342"/>
      <c r="P230" s="342"/>
      <c r="Q230" s="342"/>
      <c r="R230" s="342"/>
      <c r="S230" s="342"/>
      <c r="T230" s="342"/>
      <c r="U230" s="342"/>
      <c r="V230" s="342"/>
      <c r="W230" s="342"/>
      <c r="X230" s="342"/>
      <c r="Y230" s="342"/>
      <c r="Z230" s="342"/>
      <c r="AA230" s="342"/>
      <c r="AB230" s="342"/>
      <c r="AC230" s="342"/>
      <c r="AD230" s="342"/>
      <c r="AE230" s="342"/>
      <c r="AF230" s="342"/>
      <c r="AG230" s="342"/>
      <c r="AH230" s="342"/>
      <c r="AI230" s="342"/>
      <c r="AJ230" s="342"/>
      <c r="AK230" s="342"/>
      <c r="AL230" s="342"/>
      <c r="AM230" s="342"/>
      <c r="AN230" s="342"/>
      <c r="AO230" s="342"/>
      <c r="AP230" s="342"/>
      <c r="AQ230" s="342"/>
      <c r="AR230" s="342"/>
      <c r="AS230" s="342"/>
      <c r="AT230" s="342"/>
      <c r="AU230" s="342"/>
      <c r="AV230" s="342"/>
      <c r="AW230" s="342"/>
      <c r="AX230" s="342"/>
      <c r="AY230" s="342"/>
      <c r="AZ230" s="342"/>
      <c r="BA230" s="342"/>
      <c r="BB230" s="342"/>
      <c r="BC230" s="342"/>
      <c r="BD230" s="342"/>
      <c r="BE230" s="342"/>
      <c r="BF230" s="342"/>
      <c r="BG230" s="342"/>
      <c r="BH230" s="342"/>
      <c r="BI230" s="342"/>
      <c r="BJ230" s="342"/>
      <c r="BK230" s="342"/>
      <c r="BL230" s="342"/>
      <c r="BM230" s="344"/>
      <c r="BN230" s="344"/>
      <c r="BO230" s="342"/>
      <c r="BP230" s="345"/>
      <c r="BQ230" s="345"/>
      <c r="BR230" s="345"/>
      <c r="BS230" s="346"/>
      <c r="BT230" s="345"/>
      <c r="BU230" s="346"/>
      <c r="BV230" s="346"/>
      <c r="BW230" s="346"/>
      <c r="BX230" s="346"/>
      <c r="BY230" s="346"/>
      <c r="BZ230" s="346"/>
      <c r="CA230" s="346"/>
      <c r="CB230" s="346"/>
      <c r="CC230" s="346"/>
      <c r="CD230" s="346"/>
      <c r="CE230" s="347"/>
      <c r="CF230" s="346"/>
      <c r="CG230" s="346"/>
      <c r="CH230" s="346"/>
      <c r="CI230" s="346"/>
      <c r="CJ230" s="346"/>
      <c r="CK230" s="346"/>
      <c r="CL230" s="346"/>
      <c r="CM230" s="346"/>
      <c r="CN230" s="364"/>
      <c r="CO230" s="364"/>
      <c r="CP230" s="364"/>
      <c r="CQ230" s="284"/>
      <c r="CR230" s="284"/>
      <c r="CS230" s="368"/>
      <c r="CT230" s="369"/>
      <c r="CU230" s="369"/>
      <c r="CV230" s="370"/>
      <c r="CW230" s="369"/>
      <c r="CX230" s="388"/>
      <c r="CY230" s="568"/>
      <c r="CZ230" s="389"/>
      <c r="DA230" s="389"/>
      <c r="DB230" s="568"/>
      <c r="DC230" s="389"/>
      <c r="DD230" s="389"/>
      <c r="DE230" s="706"/>
      <c r="DF230" s="389"/>
      <c r="DG230" s="389"/>
      <c r="DH230" s="706"/>
      <c r="DI230" s="587">
        <v>2.5000000000000001E-2</v>
      </c>
      <c r="DJ230" s="588">
        <v>2.5000000000000001E-2</v>
      </c>
      <c r="DK230" s="710"/>
      <c r="DL230" s="589">
        <f>DJ230</f>
        <v>2.5000000000000001E-2</v>
      </c>
      <c r="DM230" s="589">
        <f>DL230</f>
        <v>2.5000000000000001E-2</v>
      </c>
      <c r="DN230" s="735"/>
      <c r="DO230" s="589">
        <f>DM230</f>
        <v>2.5000000000000001E-2</v>
      </c>
      <c r="DP230" s="589">
        <f>DO230</f>
        <v>2.5000000000000001E-2</v>
      </c>
      <c r="DQ230" s="710"/>
      <c r="DR230" s="588">
        <v>2.5000000000000001E-2</v>
      </c>
      <c r="DS230" s="588">
        <f>DR230</f>
        <v>2.5000000000000001E-2</v>
      </c>
      <c r="DT230" s="710"/>
      <c r="DU230" s="588">
        <v>2.5000000000000001E-2</v>
      </c>
      <c r="DV230" s="588">
        <f>DU230</f>
        <v>2.5000000000000001E-2</v>
      </c>
      <c r="DW230" s="710"/>
      <c r="DX230" s="588">
        <v>2.5000000000000001E-2</v>
      </c>
      <c r="DY230" s="588">
        <f>DX230</f>
        <v>2.5000000000000001E-2</v>
      </c>
      <c r="DZ230" s="710"/>
      <c r="EA230" s="588">
        <v>2.5000000000000001E-2</v>
      </c>
      <c r="EB230" s="588">
        <f>EA230</f>
        <v>2.5000000000000001E-2</v>
      </c>
      <c r="EC230" s="710"/>
      <c r="ED230" s="588">
        <v>2.5000000000000001E-2</v>
      </c>
      <c r="EE230" s="588">
        <f>ED230</f>
        <v>2.5000000000000001E-2</v>
      </c>
      <c r="EF230" s="710"/>
      <c r="EG230" s="588">
        <v>2.5000000000000001E-2</v>
      </c>
      <c r="EH230" s="588">
        <f>EG230</f>
        <v>2.5000000000000001E-2</v>
      </c>
      <c r="EI230" s="710"/>
      <c r="EJ230" s="588">
        <v>2.5000000000000001E-2</v>
      </c>
      <c r="EK230" s="588">
        <f>EJ230</f>
        <v>2.5000000000000001E-2</v>
      </c>
      <c r="EL230" s="710"/>
      <c r="EM230" s="588">
        <v>2.5000000000000001E-2</v>
      </c>
      <c r="EN230" s="588">
        <f>EM230</f>
        <v>2.5000000000000001E-2</v>
      </c>
      <c r="EO230" s="710"/>
      <c r="EP230" s="588">
        <v>2.5000000000000001E-2</v>
      </c>
      <c r="EQ230" s="588">
        <f>EP230</f>
        <v>2.5000000000000001E-2</v>
      </c>
      <c r="ER230" s="710"/>
      <c r="ES230" s="588">
        <v>0.03</v>
      </c>
      <c r="ET230" s="588">
        <f>ES230</f>
        <v>0.03</v>
      </c>
      <c r="EU230" s="710"/>
      <c r="EV230" s="588">
        <v>0.03</v>
      </c>
      <c r="EW230" s="588">
        <f>EV230</f>
        <v>0.03</v>
      </c>
      <c r="EX230" s="710"/>
      <c r="EY230" s="588">
        <v>0.03</v>
      </c>
      <c r="EZ230" s="588">
        <f>EY230</f>
        <v>0.03</v>
      </c>
      <c r="FA230" s="587"/>
      <c r="FB230" s="349"/>
      <c r="FC230" s="349"/>
      <c r="FD230" s="360"/>
      <c r="FE230" s="360"/>
      <c r="FF230" s="360"/>
      <c r="FG230" s="360"/>
      <c r="FH230" s="360"/>
      <c r="FI230" s="360"/>
      <c r="FJ230" s="360"/>
      <c r="FK230" s="360"/>
      <c r="FL230" s="360"/>
      <c r="FM230" s="360"/>
      <c r="FN230" s="360"/>
      <c r="FO230" s="360"/>
      <c r="FP230" s="349"/>
      <c r="FQ230" s="349"/>
      <c r="FR230" s="349"/>
      <c r="FS230" s="349"/>
      <c r="FT230" s="349"/>
      <c r="FU230" s="349"/>
      <c r="FV230" s="349"/>
      <c r="FW230" s="349"/>
      <c r="FX230" s="349"/>
      <c r="FY230" s="349"/>
      <c r="FZ230" s="349"/>
      <c r="GA230" s="349"/>
      <c r="GB230" s="349"/>
    </row>
    <row r="231" spans="1:184" s="350" customFormat="1" ht="13.35" hidden="1" customHeight="1" outlineLevel="1">
      <c r="A231" s="760"/>
      <c r="B231" s="342"/>
      <c r="D231" s="363"/>
      <c r="E231" s="342"/>
      <c r="F231" s="342"/>
      <c r="G231" s="342"/>
      <c r="H231" s="342"/>
      <c r="I231" s="342"/>
      <c r="J231" s="342"/>
      <c r="K231" s="342"/>
      <c r="L231" s="342"/>
      <c r="M231" s="342"/>
      <c r="N231" s="342"/>
      <c r="O231" s="342"/>
      <c r="P231" s="342"/>
      <c r="Q231" s="342"/>
      <c r="R231" s="342"/>
      <c r="S231" s="342"/>
      <c r="T231" s="342"/>
      <c r="U231" s="342"/>
      <c r="V231" s="342"/>
      <c r="W231" s="342"/>
      <c r="X231" s="342"/>
      <c r="Y231" s="342"/>
      <c r="Z231" s="342"/>
      <c r="AA231" s="342"/>
      <c r="AB231" s="342"/>
      <c r="AC231" s="342"/>
      <c r="AD231" s="342"/>
      <c r="AE231" s="342"/>
      <c r="AF231" s="342"/>
      <c r="AG231" s="342"/>
      <c r="AH231" s="342"/>
      <c r="AI231" s="342"/>
      <c r="AJ231" s="342"/>
      <c r="AK231" s="342"/>
      <c r="AL231" s="342"/>
      <c r="AM231" s="342"/>
      <c r="AN231" s="342"/>
      <c r="AO231" s="342"/>
      <c r="AP231" s="342"/>
      <c r="AQ231" s="342"/>
      <c r="AR231" s="342"/>
      <c r="AS231" s="342"/>
      <c r="AT231" s="342"/>
      <c r="AU231" s="342"/>
      <c r="AV231" s="342"/>
      <c r="AW231" s="342"/>
      <c r="AX231" s="342"/>
      <c r="AY231" s="342"/>
      <c r="AZ231" s="342"/>
      <c r="BA231" s="342"/>
      <c r="BB231" s="342"/>
      <c r="BC231" s="342"/>
      <c r="BD231" s="342"/>
      <c r="BE231" s="342"/>
      <c r="BF231" s="342"/>
      <c r="BG231" s="342"/>
      <c r="BH231" s="342"/>
      <c r="BI231" s="342"/>
      <c r="BJ231" s="342"/>
      <c r="BK231" s="342"/>
      <c r="BL231" s="342"/>
      <c r="BM231" s="344"/>
      <c r="BN231" s="344"/>
      <c r="BO231" s="342"/>
      <c r="BP231" s="345"/>
      <c r="BQ231" s="345"/>
      <c r="BR231" s="345"/>
      <c r="BS231" s="346"/>
      <c r="BT231" s="345"/>
      <c r="BU231" s="346"/>
      <c r="BV231" s="346"/>
      <c r="BW231" s="346"/>
      <c r="BX231" s="346"/>
      <c r="BY231" s="346"/>
      <c r="BZ231" s="346"/>
      <c r="CA231" s="346"/>
      <c r="CB231" s="346"/>
      <c r="CC231" s="346"/>
      <c r="CD231" s="346"/>
      <c r="CE231" s="347"/>
      <c r="CF231" s="346"/>
      <c r="CG231" s="346"/>
      <c r="CH231" s="346"/>
      <c r="CI231" s="346"/>
      <c r="CJ231" s="346"/>
      <c r="CK231" s="346"/>
      <c r="CL231" s="346"/>
      <c r="CM231" s="346"/>
      <c r="CN231" s="364"/>
      <c r="CO231" s="364"/>
      <c r="CP231" s="364"/>
      <c r="CQ231" s="284"/>
      <c r="CR231" s="284"/>
      <c r="CS231" s="368"/>
      <c r="CT231" s="369"/>
      <c r="CU231" s="369"/>
      <c r="CV231" s="370"/>
      <c r="CW231" s="369"/>
      <c r="CX231" s="388"/>
      <c r="CY231" s="568"/>
      <c r="CZ231" s="389"/>
      <c r="DA231" s="389"/>
      <c r="DB231" s="568"/>
      <c r="DC231" s="389"/>
      <c r="DD231" s="389"/>
      <c r="DE231" s="706"/>
      <c r="DF231" s="389"/>
      <c r="DG231" s="389"/>
      <c r="DH231" s="706"/>
      <c r="DI231" s="389"/>
      <c r="DJ231" s="389"/>
      <c r="DK231" s="706"/>
      <c r="DL231" s="391"/>
      <c r="DM231" s="391"/>
      <c r="DN231" s="733"/>
      <c r="DO231" s="391"/>
      <c r="DP231" s="391"/>
      <c r="DQ231" s="706"/>
      <c r="DR231" s="389"/>
      <c r="DS231" s="389"/>
      <c r="DT231" s="706"/>
      <c r="DU231" s="389"/>
      <c r="DV231" s="389"/>
      <c r="DW231" s="706"/>
      <c r="DX231" s="389"/>
      <c r="DY231" s="389"/>
      <c r="DZ231" s="706"/>
      <c r="EA231" s="389"/>
      <c r="EB231" s="389"/>
      <c r="EC231" s="706"/>
      <c r="ED231" s="389"/>
      <c r="EE231" s="389"/>
      <c r="EF231" s="706"/>
      <c r="EG231" s="389"/>
      <c r="EH231" s="389"/>
      <c r="EI231" s="706"/>
      <c r="EJ231" s="389"/>
      <c r="EK231" s="389"/>
      <c r="EL231" s="706"/>
      <c r="EM231" s="389"/>
      <c r="EN231" s="389"/>
      <c r="EO231" s="706"/>
      <c r="EP231" s="389"/>
      <c r="EQ231" s="389"/>
      <c r="ER231" s="706"/>
      <c r="ES231" s="389"/>
      <c r="ET231" s="389"/>
      <c r="EU231" s="706"/>
      <c r="EV231" s="389"/>
      <c r="EW231" s="389"/>
      <c r="EX231" s="706"/>
      <c r="EY231" s="389"/>
      <c r="EZ231" s="389"/>
      <c r="FA231" s="568"/>
      <c r="FB231" s="349"/>
      <c r="FC231" s="349"/>
      <c r="FD231" s="360"/>
      <c r="FE231" s="360"/>
      <c r="FF231" s="360"/>
      <c r="FG231" s="360"/>
      <c r="FH231" s="360"/>
      <c r="FI231" s="360"/>
      <c r="FJ231" s="360"/>
      <c r="FK231" s="360"/>
      <c r="FL231" s="360"/>
      <c r="FM231" s="360"/>
      <c r="FN231" s="360"/>
      <c r="FO231" s="360"/>
      <c r="FP231" s="349"/>
      <c r="FQ231" s="349"/>
      <c r="FR231" s="349"/>
      <c r="FS231" s="349"/>
      <c r="FT231" s="349"/>
      <c r="FU231" s="349"/>
      <c r="FV231" s="349"/>
      <c r="FW231" s="349"/>
      <c r="FX231" s="349"/>
      <c r="FY231" s="349"/>
      <c r="FZ231" s="349"/>
      <c r="GA231" s="349"/>
      <c r="GB231" s="349"/>
    </row>
    <row r="232" spans="1:184" s="350" customFormat="1" ht="13.35" hidden="1" customHeight="1" outlineLevel="1">
      <c r="A232" s="760"/>
      <c r="B232" s="342"/>
      <c r="C232" s="350" t="s">
        <v>821</v>
      </c>
      <c r="D232" s="363" t="s">
        <v>822</v>
      </c>
      <c r="E232" s="342"/>
      <c r="F232" s="342"/>
      <c r="G232" s="342"/>
      <c r="H232" s="342"/>
      <c r="I232" s="342"/>
      <c r="J232" s="342"/>
      <c r="K232" s="342"/>
      <c r="L232" s="342"/>
      <c r="M232" s="342"/>
      <c r="N232" s="342"/>
      <c r="O232" s="342"/>
      <c r="P232" s="342"/>
      <c r="Q232" s="342"/>
      <c r="R232" s="342"/>
      <c r="S232" s="342"/>
      <c r="T232" s="342"/>
      <c r="U232" s="342"/>
      <c r="V232" s="342"/>
      <c r="W232" s="342"/>
      <c r="X232" s="342"/>
      <c r="Y232" s="342"/>
      <c r="Z232" s="342"/>
      <c r="AA232" s="342"/>
      <c r="AB232" s="342"/>
      <c r="AC232" s="342"/>
      <c r="AD232" s="342"/>
      <c r="AE232" s="342"/>
      <c r="AF232" s="342"/>
      <c r="AG232" s="342"/>
      <c r="AH232" s="342"/>
      <c r="AI232" s="342"/>
      <c r="AJ232" s="342"/>
      <c r="AK232" s="342"/>
      <c r="AL232" s="342"/>
      <c r="AM232" s="342"/>
      <c r="AN232" s="342"/>
      <c r="AO232" s="342"/>
      <c r="AP232" s="342"/>
      <c r="AQ232" s="342"/>
      <c r="AR232" s="342"/>
      <c r="AS232" s="342"/>
      <c r="AT232" s="342"/>
      <c r="AU232" s="342"/>
      <c r="AV232" s="342"/>
      <c r="AW232" s="342"/>
      <c r="AX232" s="342"/>
      <c r="AY232" s="342"/>
      <c r="AZ232" s="342"/>
      <c r="BA232" s="342"/>
      <c r="BB232" s="342"/>
      <c r="BC232" s="342"/>
      <c r="BD232" s="342"/>
      <c r="BE232" s="342"/>
      <c r="BF232" s="342"/>
      <c r="BG232" s="342"/>
      <c r="BH232" s="342"/>
      <c r="BI232" s="342"/>
      <c r="BJ232" s="342"/>
      <c r="BK232" s="342"/>
      <c r="BL232" s="342"/>
      <c r="BM232" s="344"/>
      <c r="BN232" s="344"/>
      <c r="BO232" s="342"/>
      <c r="BP232" s="345"/>
      <c r="BQ232" s="345"/>
      <c r="BR232" s="345"/>
      <c r="BS232" s="346"/>
      <c r="BT232" s="345"/>
      <c r="BU232" s="346"/>
      <c r="BV232" s="346"/>
      <c r="BW232" s="346"/>
      <c r="BX232" s="346"/>
      <c r="BY232" s="346"/>
      <c r="BZ232" s="346"/>
      <c r="CA232" s="346"/>
      <c r="CB232" s="346"/>
      <c r="CC232" s="346"/>
      <c r="CD232" s="346"/>
      <c r="CE232" s="347"/>
      <c r="CF232" s="346"/>
      <c r="CG232" s="346"/>
      <c r="CH232" s="346"/>
      <c r="CI232" s="346"/>
      <c r="CJ232" s="346"/>
      <c r="CK232" s="346"/>
      <c r="CL232" s="346"/>
      <c r="CM232" s="346"/>
      <c r="CN232" s="364"/>
      <c r="CO232" s="364"/>
      <c r="CP232" s="364"/>
      <c r="CQ232" s="284"/>
      <c r="CR232" s="284"/>
      <c r="CS232" s="368"/>
      <c r="CT232" s="369"/>
      <c r="CU232" s="369"/>
      <c r="CV232" s="370"/>
      <c r="CW232" s="369"/>
      <c r="CX232" s="369"/>
      <c r="CY232" s="568"/>
      <c r="CZ232" s="572"/>
      <c r="DA232" s="572"/>
      <c r="DB232" s="581"/>
      <c r="DC232" s="572"/>
      <c r="DD232" s="572"/>
      <c r="DE232" s="709"/>
      <c r="DF232" s="572"/>
      <c r="DG232" s="572"/>
      <c r="DH232" s="709"/>
      <c r="DI232" s="572">
        <v>4200</v>
      </c>
      <c r="DJ232" s="572">
        <v>4200</v>
      </c>
      <c r="DK232" s="709">
        <v>4200</v>
      </c>
      <c r="DL232" s="572">
        <f>60*70</f>
        <v>4200</v>
      </c>
      <c r="DM232" s="572">
        <f>60*70</f>
        <v>4200</v>
      </c>
      <c r="DN232" s="709">
        <f>DM232</f>
        <v>4200</v>
      </c>
      <c r="DO232" s="572">
        <f>60*70</f>
        <v>4200</v>
      </c>
      <c r="DP232" s="572">
        <f>60*70</f>
        <v>4200</v>
      </c>
      <c r="DQ232" s="709">
        <f>DP232</f>
        <v>4200</v>
      </c>
      <c r="DR232" s="572">
        <f>60*70</f>
        <v>4200</v>
      </c>
      <c r="DS232" s="572">
        <f>60*70</f>
        <v>4200</v>
      </c>
      <c r="DT232" s="709">
        <f>DS232</f>
        <v>4200</v>
      </c>
      <c r="DU232" s="572">
        <f>60*70</f>
        <v>4200</v>
      </c>
      <c r="DV232" s="572">
        <f>60*70</f>
        <v>4200</v>
      </c>
      <c r="DW232" s="709">
        <f>DV232</f>
        <v>4200</v>
      </c>
      <c r="DX232" s="572">
        <f>60*70</f>
        <v>4200</v>
      </c>
      <c r="DY232" s="572">
        <f>60*70</f>
        <v>4200</v>
      </c>
      <c r="DZ232" s="709">
        <f>DY232</f>
        <v>4200</v>
      </c>
      <c r="EA232" s="572">
        <f>60*70</f>
        <v>4200</v>
      </c>
      <c r="EB232" s="572">
        <f>60*70</f>
        <v>4200</v>
      </c>
      <c r="EC232" s="709">
        <f>EB232</f>
        <v>4200</v>
      </c>
      <c r="ED232" s="572">
        <f>60*70</f>
        <v>4200</v>
      </c>
      <c r="EE232" s="572">
        <f>60*70</f>
        <v>4200</v>
      </c>
      <c r="EF232" s="709">
        <f>EE232</f>
        <v>4200</v>
      </c>
      <c r="EG232" s="572">
        <f>60*70</f>
        <v>4200</v>
      </c>
      <c r="EH232" s="572">
        <f>60*70</f>
        <v>4200</v>
      </c>
      <c r="EI232" s="709">
        <f>EH232</f>
        <v>4200</v>
      </c>
      <c r="EJ232" s="572">
        <f>60*70</f>
        <v>4200</v>
      </c>
      <c r="EK232" s="572">
        <f>60*70</f>
        <v>4200</v>
      </c>
      <c r="EL232" s="709">
        <f>EK232</f>
        <v>4200</v>
      </c>
      <c r="EM232" s="572">
        <f>60*70</f>
        <v>4200</v>
      </c>
      <c r="EN232" s="572">
        <f>60*70</f>
        <v>4200</v>
      </c>
      <c r="EO232" s="709">
        <f>EN232</f>
        <v>4200</v>
      </c>
      <c r="EP232" s="572">
        <f>60*70</f>
        <v>4200</v>
      </c>
      <c r="EQ232" s="572">
        <f>60*70</f>
        <v>4200</v>
      </c>
      <c r="ER232" s="709">
        <f>EQ232</f>
        <v>4200</v>
      </c>
      <c r="ES232" s="572">
        <f>60*70</f>
        <v>4200</v>
      </c>
      <c r="ET232" s="572">
        <f>60*70</f>
        <v>4200</v>
      </c>
      <c r="EU232" s="709">
        <f>ET232</f>
        <v>4200</v>
      </c>
      <c r="EV232" s="572">
        <f>60*70</f>
        <v>4200</v>
      </c>
      <c r="EW232" s="572">
        <f>60*70</f>
        <v>4200</v>
      </c>
      <c r="EX232" s="709">
        <f>EW232</f>
        <v>4200</v>
      </c>
      <c r="EY232" s="572">
        <f>60*70</f>
        <v>4200</v>
      </c>
      <c r="EZ232" s="572">
        <f>60*70</f>
        <v>4200</v>
      </c>
      <c r="FA232" s="581">
        <f>EZ232</f>
        <v>4200</v>
      </c>
      <c r="FB232" s="349"/>
      <c r="FC232" s="349"/>
      <c r="FD232" s="360"/>
      <c r="FE232" s="360"/>
      <c r="FF232" s="360"/>
      <c r="FG232" s="360"/>
      <c r="FH232" s="360"/>
      <c r="FI232" s="360"/>
      <c r="FJ232" s="360"/>
      <c r="FK232" s="360"/>
      <c r="FL232" s="360"/>
      <c r="FM232" s="360"/>
      <c r="FN232" s="360"/>
      <c r="FO232" s="360"/>
      <c r="FP232" s="349"/>
      <c r="FQ232" s="349"/>
      <c r="FR232" s="349"/>
      <c r="FS232" s="349"/>
      <c r="FT232" s="349"/>
      <c r="FU232" s="349"/>
      <c r="FV232" s="349"/>
      <c r="FW232" s="349"/>
      <c r="FX232" s="349"/>
      <c r="FY232" s="349"/>
      <c r="FZ232" s="349"/>
      <c r="GA232" s="349"/>
      <c r="GB232" s="349"/>
    </row>
    <row r="233" spans="1:184" s="350" customFormat="1" ht="13.35" hidden="1" customHeight="1" outlineLevel="1">
      <c r="A233" s="760"/>
      <c r="B233" s="342"/>
      <c r="C233" s="350" t="s">
        <v>690</v>
      </c>
      <c r="D233" s="363" t="s">
        <v>507</v>
      </c>
      <c r="E233" s="342"/>
      <c r="F233" s="342"/>
      <c r="G233" s="342"/>
      <c r="H233" s="342"/>
      <c r="I233" s="342"/>
      <c r="J233" s="342"/>
      <c r="K233" s="342"/>
      <c r="L233" s="342"/>
      <c r="M233" s="342"/>
      <c r="N233" s="342"/>
      <c r="O233" s="342"/>
      <c r="P233" s="342"/>
      <c r="Q233" s="342"/>
      <c r="R233" s="342"/>
      <c r="S233" s="342"/>
      <c r="T233" s="342"/>
      <c r="U233" s="342"/>
      <c r="V233" s="342"/>
      <c r="W233" s="342"/>
      <c r="X233" s="342"/>
      <c r="Y233" s="342"/>
      <c r="Z233" s="342"/>
      <c r="AA233" s="342"/>
      <c r="AB233" s="342"/>
      <c r="AC233" s="342"/>
      <c r="AD233" s="342"/>
      <c r="AE233" s="342"/>
      <c r="AF233" s="342"/>
      <c r="AG233" s="342"/>
      <c r="AH233" s="342"/>
      <c r="AI233" s="342"/>
      <c r="AJ233" s="342"/>
      <c r="AK233" s="342"/>
      <c r="AL233" s="342"/>
      <c r="AM233" s="342"/>
      <c r="AN233" s="342"/>
      <c r="AO233" s="342"/>
      <c r="AP233" s="342"/>
      <c r="AQ233" s="342"/>
      <c r="AR233" s="342"/>
      <c r="AS233" s="342"/>
      <c r="AT233" s="342"/>
      <c r="AU233" s="342"/>
      <c r="AV233" s="342"/>
      <c r="AW233" s="342"/>
      <c r="AX233" s="342"/>
      <c r="AY233" s="342"/>
      <c r="AZ233" s="342"/>
      <c r="BA233" s="342"/>
      <c r="BB233" s="342"/>
      <c r="BC233" s="342"/>
      <c r="BD233" s="342"/>
      <c r="BE233" s="342"/>
      <c r="BF233" s="342"/>
      <c r="BG233" s="342"/>
      <c r="BH233" s="342"/>
      <c r="BI233" s="342"/>
      <c r="BJ233" s="342"/>
      <c r="BK233" s="342"/>
      <c r="BL233" s="342"/>
      <c r="BM233" s="344"/>
      <c r="BN233" s="344"/>
      <c r="BO233" s="342"/>
      <c r="BP233" s="345"/>
      <c r="BQ233" s="345"/>
      <c r="BR233" s="345"/>
      <c r="BS233" s="346"/>
      <c r="BT233" s="345"/>
      <c r="BU233" s="346"/>
      <c r="BV233" s="346"/>
      <c r="BW233" s="346"/>
      <c r="BX233" s="346"/>
      <c r="BY233" s="346"/>
      <c r="BZ233" s="346"/>
      <c r="CA233" s="346"/>
      <c r="CB233" s="346"/>
      <c r="CC233" s="346"/>
      <c r="CD233" s="346"/>
      <c r="CE233" s="347"/>
      <c r="CF233" s="346"/>
      <c r="CG233" s="346"/>
      <c r="CH233" s="346"/>
      <c r="CI233" s="346"/>
      <c r="CJ233" s="346"/>
      <c r="CK233" s="346"/>
      <c r="CL233" s="346"/>
      <c r="CM233" s="346"/>
      <c r="CN233" s="364"/>
      <c r="CO233" s="364"/>
      <c r="CP233" s="364"/>
      <c r="CQ233" s="284"/>
      <c r="CR233" s="284"/>
      <c r="CS233" s="368"/>
      <c r="CT233" s="369"/>
      <c r="CU233" s="369"/>
      <c r="CV233" s="370"/>
      <c r="CW233" s="369"/>
      <c r="CX233" s="369"/>
      <c r="CY233" s="568"/>
      <c r="CZ233" s="389"/>
      <c r="DA233" s="389"/>
      <c r="DB233" s="568"/>
      <c r="DC233" s="389"/>
      <c r="DD233" s="389"/>
      <c r="DE233" s="706"/>
      <c r="DF233" s="389"/>
      <c r="DG233" s="389"/>
      <c r="DH233" s="706"/>
      <c r="DI233" s="389"/>
      <c r="DJ233" s="389"/>
      <c r="DK233" s="706"/>
      <c r="DL233" s="391"/>
      <c r="DM233" s="391"/>
      <c r="DN233" s="733"/>
      <c r="DO233" s="391"/>
      <c r="DP233" s="391"/>
      <c r="DQ233" s="706"/>
      <c r="DR233" s="389"/>
      <c r="DS233" s="389"/>
      <c r="DT233" s="706"/>
      <c r="DU233" s="389"/>
      <c r="DV233" s="389"/>
      <c r="DW233" s="706"/>
      <c r="DX233" s="389"/>
      <c r="DY233" s="389"/>
      <c r="DZ233" s="706"/>
      <c r="EA233" s="389"/>
      <c r="EB233" s="389"/>
      <c r="EC233" s="706"/>
      <c r="ED233" s="389"/>
      <c r="EE233" s="389"/>
      <c r="EF233" s="706"/>
      <c r="EG233" s="389"/>
      <c r="EH233" s="389"/>
      <c r="EI233" s="706"/>
      <c r="EJ233" s="389"/>
      <c r="EK233" s="389"/>
      <c r="EL233" s="706"/>
      <c r="EM233" s="389"/>
      <c r="EN233" s="389"/>
      <c r="EO233" s="706"/>
      <c r="EP233" s="389"/>
      <c r="EQ233" s="389"/>
      <c r="ER233" s="706"/>
      <c r="ES233" s="389"/>
      <c r="ET233" s="389"/>
      <c r="EU233" s="706"/>
      <c r="EV233" s="389"/>
      <c r="EW233" s="389"/>
      <c r="EX233" s="706"/>
      <c r="EY233" s="389"/>
      <c r="EZ233" s="389"/>
      <c r="FA233" s="568"/>
      <c r="FB233" s="349"/>
      <c r="FC233" s="349"/>
      <c r="FD233" s="360"/>
      <c r="FE233" s="360"/>
      <c r="FF233" s="360"/>
      <c r="FG233" s="360"/>
      <c r="FH233" s="360"/>
      <c r="FI233" s="360"/>
      <c r="FJ233" s="360"/>
      <c r="FK233" s="360"/>
      <c r="FL233" s="360"/>
      <c r="FM233" s="360"/>
      <c r="FN233" s="360"/>
      <c r="FO233" s="360"/>
      <c r="FP233" s="349"/>
      <c r="FQ233" s="349"/>
      <c r="FR233" s="349"/>
      <c r="FS233" s="349"/>
      <c r="FT233" s="349"/>
      <c r="FU233" s="349"/>
      <c r="FV233" s="349"/>
      <c r="FW233" s="349"/>
      <c r="FX233" s="349"/>
      <c r="FY233" s="349"/>
      <c r="FZ233" s="349"/>
      <c r="GA233" s="349"/>
      <c r="GB233" s="349"/>
    </row>
    <row r="234" spans="1:184" s="350" customFormat="1" ht="13.35" hidden="1" customHeight="1" outlineLevel="1">
      <c r="A234" s="760"/>
      <c r="B234" s="342"/>
      <c r="D234" s="363"/>
      <c r="E234" s="342"/>
      <c r="F234" s="342"/>
      <c r="G234" s="342"/>
      <c r="H234" s="342"/>
      <c r="I234" s="342"/>
      <c r="J234" s="342"/>
      <c r="K234" s="342"/>
      <c r="L234" s="342"/>
      <c r="M234" s="342"/>
      <c r="N234" s="342"/>
      <c r="O234" s="342"/>
      <c r="P234" s="342"/>
      <c r="Q234" s="342"/>
      <c r="R234" s="342"/>
      <c r="S234" s="342"/>
      <c r="T234" s="342"/>
      <c r="U234" s="342"/>
      <c r="V234" s="342"/>
      <c r="W234" s="342"/>
      <c r="X234" s="342"/>
      <c r="Y234" s="342"/>
      <c r="Z234" s="342"/>
      <c r="AA234" s="342"/>
      <c r="AB234" s="342"/>
      <c r="AC234" s="342"/>
      <c r="AD234" s="342"/>
      <c r="AE234" s="342"/>
      <c r="AF234" s="342"/>
      <c r="AG234" s="342"/>
      <c r="AH234" s="342"/>
      <c r="AI234" s="342"/>
      <c r="AJ234" s="342"/>
      <c r="AK234" s="342"/>
      <c r="AL234" s="342"/>
      <c r="AM234" s="342"/>
      <c r="AN234" s="342"/>
      <c r="AO234" s="342"/>
      <c r="AP234" s="342"/>
      <c r="AQ234" s="342"/>
      <c r="AR234" s="342"/>
      <c r="AS234" s="342"/>
      <c r="AT234" s="342"/>
      <c r="AU234" s="342"/>
      <c r="AV234" s="342"/>
      <c r="AW234" s="342"/>
      <c r="AX234" s="342"/>
      <c r="AY234" s="342"/>
      <c r="AZ234" s="342"/>
      <c r="BA234" s="342"/>
      <c r="BB234" s="342"/>
      <c r="BC234" s="342"/>
      <c r="BD234" s="342"/>
      <c r="BE234" s="342"/>
      <c r="BF234" s="342"/>
      <c r="BG234" s="342"/>
      <c r="BH234" s="342"/>
      <c r="BI234" s="342"/>
      <c r="BJ234" s="342"/>
      <c r="BK234" s="342"/>
      <c r="BL234" s="342"/>
      <c r="BM234" s="344"/>
      <c r="BN234" s="344"/>
      <c r="BO234" s="342"/>
      <c r="BP234" s="345"/>
      <c r="BQ234" s="345"/>
      <c r="BR234" s="345"/>
      <c r="BS234" s="346"/>
      <c r="BT234" s="345"/>
      <c r="BU234" s="346"/>
      <c r="BV234" s="346"/>
      <c r="BW234" s="346"/>
      <c r="BX234" s="346"/>
      <c r="BY234" s="346"/>
      <c r="BZ234" s="346"/>
      <c r="CA234" s="346"/>
      <c r="CB234" s="346"/>
      <c r="CC234" s="346"/>
      <c r="CD234" s="346"/>
      <c r="CE234" s="347"/>
      <c r="CF234" s="346"/>
      <c r="CG234" s="346"/>
      <c r="CH234" s="346"/>
      <c r="CI234" s="346"/>
      <c r="CJ234" s="346"/>
      <c r="CK234" s="346"/>
      <c r="CL234" s="346"/>
      <c r="CM234" s="346"/>
      <c r="CN234" s="364"/>
      <c r="CO234" s="364"/>
      <c r="CP234" s="364"/>
      <c r="CQ234" s="284"/>
      <c r="CR234" s="284"/>
      <c r="CS234" s="368"/>
      <c r="CT234" s="369"/>
      <c r="CU234" s="369"/>
      <c r="CV234" s="370"/>
      <c r="CW234" s="369"/>
      <c r="CX234" s="369"/>
      <c r="CY234" s="568"/>
      <c r="CZ234" s="389"/>
      <c r="DA234" s="389"/>
      <c r="DB234" s="568"/>
      <c r="DC234" s="389"/>
      <c r="DD234" s="389"/>
      <c r="DE234" s="706"/>
      <c r="DF234" s="389"/>
      <c r="DG234" s="389"/>
      <c r="DH234" s="706"/>
      <c r="DI234" s="389"/>
      <c r="DJ234" s="389"/>
      <c r="DK234" s="706"/>
      <c r="DL234" s="391"/>
      <c r="DM234" s="391"/>
      <c r="DN234" s="733"/>
      <c r="DO234" s="391"/>
      <c r="DP234" s="391"/>
      <c r="DQ234" s="706"/>
      <c r="DR234" s="389"/>
      <c r="DS234" s="389"/>
      <c r="DT234" s="706"/>
      <c r="DU234" s="389"/>
      <c r="DV234" s="389"/>
      <c r="DW234" s="706"/>
      <c r="DX234" s="389"/>
      <c r="DY234" s="389"/>
      <c r="DZ234" s="706"/>
      <c r="EA234" s="389"/>
      <c r="EB234" s="389"/>
      <c r="EC234" s="706"/>
      <c r="ED234" s="389"/>
      <c r="EE234" s="389"/>
      <c r="EF234" s="706"/>
      <c r="EG234" s="389"/>
      <c r="EH234" s="389"/>
      <c r="EI234" s="706"/>
      <c r="EJ234" s="389"/>
      <c r="EK234" s="389"/>
      <c r="EL234" s="706"/>
      <c r="EM234" s="389"/>
      <c r="EN234" s="389"/>
      <c r="EO234" s="706"/>
      <c r="EP234" s="389"/>
      <c r="EQ234" s="389"/>
      <c r="ER234" s="706"/>
      <c r="ES234" s="389"/>
      <c r="ET234" s="389"/>
      <c r="EU234" s="706"/>
      <c r="EV234" s="389"/>
      <c r="EW234" s="389"/>
      <c r="EX234" s="706"/>
      <c r="EY234" s="389"/>
      <c r="EZ234" s="389"/>
      <c r="FA234" s="568"/>
      <c r="FB234" s="349"/>
      <c r="FC234" s="349"/>
      <c r="FD234" s="360"/>
      <c r="FE234" s="360"/>
      <c r="FF234" s="360"/>
      <c r="FG234" s="360"/>
      <c r="FH234" s="360"/>
      <c r="FI234" s="360"/>
      <c r="FJ234" s="360"/>
      <c r="FK234" s="360"/>
      <c r="FL234" s="360"/>
      <c r="FM234" s="360"/>
      <c r="FN234" s="360"/>
      <c r="FO234" s="360"/>
      <c r="FP234" s="349"/>
      <c r="FQ234" s="349"/>
      <c r="FR234" s="349"/>
      <c r="FS234" s="349"/>
      <c r="FT234" s="349"/>
      <c r="FU234" s="349"/>
      <c r="FV234" s="349"/>
      <c r="FW234" s="349"/>
      <c r="FX234" s="349"/>
      <c r="FY234" s="349"/>
      <c r="FZ234" s="349"/>
      <c r="GA234" s="349"/>
      <c r="GB234" s="349"/>
    </row>
    <row r="235" spans="1:184" s="350" customFormat="1" ht="13.35" hidden="1" customHeight="1" outlineLevel="1">
      <c r="A235" s="760"/>
      <c r="B235" s="342"/>
      <c r="C235" s="350" t="s">
        <v>823</v>
      </c>
      <c r="D235" s="363" t="s">
        <v>813</v>
      </c>
      <c r="E235" s="342"/>
      <c r="F235" s="342"/>
      <c r="G235" s="342"/>
      <c r="H235" s="342"/>
      <c r="I235" s="342"/>
      <c r="J235" s="342"/>
      <c r="K235" s="342"/>
      <c r="L235" s="342"/>
      <c r="M235" s="342"/>
      <c r="N235" s="342"/>
      <c r="O235" s="342"/>
      <c r="P235" s="342"/>
      <c r="Q235" s="342"/>
      <c r="R235" s="342"/>
      <c r="S235" s="342"/>
      <c r="T235" s="342"/>
      <c r="U235" s="342"/>
      <c r="V235" s="342"/>
      <c r="W235" s="342"/>
      <c r="X235" s="342"/>
      <c r="Y235" s="342"/>
      <c r="Z235" s="342"/>
      <c r="AA235" s="342"/>
      <c r="AB235" s="342"/>
      <c r="AC235" s="342"/>
      <c r="AD235" s="342"/>
      <c r="AE235" s="342"/>
      <c r="AF235" s="342"/>
      <c r="AG235" s="342"/>
      <c r="AH235" s="342"/>
      <c r="AI235" s="342"/>
      <c r="AJ235" s="342"/>
      <c r="AK235" s="342"/>
      <c r="AL235" s="342"/>
      <c r="AM235" s="342"/>
      <c r="AN235" s="342"/>
      <c r="AO235" s="342"/>
      <c r="AP235" s="342"/>
      <c r="AQ235" s="342"/>
      <c r="AR235" s="342"/>
      <c r="AS235" s="342"/>
      <c r="AT235" s="342"/>
      <c r="AU235" s="342"/>
      <c r="AV235" s="342"/>
      <c r="AW235" s="342"/>
      <c r="AX235" s="342"/>
      <c r="AY235" s="342"/>
      <c r="AZ235" s="342"/>
      <c r="BA235" s="342"/>
      <c r="BB235" s="342"/>
      <c r="BC235" s="342"/>
      <c r="BD235" s="342"/>
      <c r="BE235" s="342"/>
      <c r="BF235" s="342"/>
      <c r="BG235" s="342"/>
      <c r="BH235" s="342"/>
      <c r="BI235" s="342"/>
      <c r="BJ235" s="342"/>
      <c r="BK235" s="342"/>
      <c r="BL235" s="342"/>
      <c r="BM235" s="344"/>
      <c r="BN235" s="344"/>
      <c r="BO235" s="342"/>
      <c r="BP235" s="345"/>
      <c r="BQ235" s="345"/>
      <c r="BR235" s="345"/>
      <c r="BS235" s="346"/>
      <c r="BT235" s="345"/>
      <c r="BU235" s="346"/>
      <c r="BV235" s="346"/>
      <c r="BW235" s="346"/>
      <c r="BX235" s="346"/>
      <c r="BY235" s="346"/>
      <c r="BZ235" s="346"/>
      <c r="CA235" s="346"/>
      <c r="CB235" s="346"/>
      <c r="CC235" s="346"/>
      <c r="CD235" s="346"/>
      <c r="CE235" s="347"/>
      <c r="CF235" s="346"/>
      <c r="CG235" s="346"/>
      <c r="CH235" s="346"/>
      <c r="CI235" s="346"/>
      <c r="CJ235" s="346"/>
      <c r="CK235" s="346"/>
      <c r="CL235" s="346"/>
      <c r="CM235" s="346"/>
      <c r="CN235" s="364"/>
      <c r="CO235" s="364"/>
      <c r="CP235" s="364"/>
      <c r="CQ235" s="284"/>
      <c r="CR235" s="284"/>
      <c r="CS235" s="368"/>
      <c r="CT235" s="369"/>
      <c r="CU235" s="369"/>
      <c r="CV235" s="370"/>
      <c r="CW235" s="369"/>
      <c r="CX235" s="369"/>
      <c r="CY235" s="568"/>
      <c r="CZ235" s="572"/>
      <c r="DA235" s="572"/>
      <c r="DB235" s="581"/>
      <c r="DC235" s="572"/>
      <c r="DD235" s="572"/>
      <c r="DE235" s="709"/>
      <c r="DF235" s="572"/>
      <c r="DG235" s="572"/>
      <c r="DH235" s="709"/>
      <c r="DI235" s="572">
        <v>218400</v>
      </c>
      <c r="DJ235" s="572">
        <v>218400</v>
      </c>
      <c r="DK235" s="709">
        <v>436800</v>
      </c>
      <c r="DL235" s="572">
        <f>DL232*52</f>
        <v>218400</v>
      </c>
      <c r="DM235" s="572">
        <f>DM232*52</f>
        <v>218400</v>
      </c>
      <c r="DN235" s="709">
        <f>SUM(DL235:DM235)</f>
        <v>436800</v>
      </c>
      <c r="DO235" s="572">
        <f>DO232*52</f>
        <v>218400</v>
      </c>
      <c r="DP235" s="572">
        <f>DP232*52</f>
        <v>218400</v>
      </c>
      <c r="DQ235" s="709">
        <f>SUM(DO235:DP235)</f>
        <v>436800</v>
      </c>
      <c r="DR235" s="572">
        <f>DR232*52</f>
        <v>218400</v>
      </c>
      <c r="DS235" s="572">
        <f>DS232*52</f>
        <v>218400</v>
      </c>
      <c r="DT235" s="709">
        <f>SUM(DR235:DS235)</f>
        <v>436800</v>
      </c>
      <c r="DU235" s="572">
        <f>DU232*52</f>
        <v>218400</v>
      </c>
      <c r="DV235" s="572">
        <f>DV232*52</f>
        <v>218400</v>
      </c>
      <c r="DW235" s="709">
        <f>SUM(DU235:DV235)</f>
        <v>436800</v>
      </c>
      <c r="DX235" s="572">
        <f>DX232*52</f>
        <v>218400</v>
      </c>
      <c r="DY235" s="572">
        <f>DY232*52</f>
        <v>218400</v>
      </c>
      <c r="DZ235" s="709">
        <f>SUM(DX235:DY235)</f>
        <v>436800</v>
      </c>
      <c r="EA235" s="572">
        <f>EA232*52</f>
        <v>218400</v>
      </c>
      <c r="EB235" s="572">
        <f>EB232*52</f>
        <v>218400</v>
      </c>
      <c r="EC235" s="709">
        <f>SUM(EA235:EB235)</f>
        <v>436800</v>
      </c>
      <c r="ED235" s="572">
        <f>ED232*52</f>
        <v>218400</v>
      </c>
      <c r="EE235" s="572">
        <f>EE232*52</f>
        <v>218400</v>
      </c>
      <c r="EF235" s="709">
        <f>SUM(ED235:EE235)</f>
        <v>436800</v>
      </c>
      <c r="EG235" s="572">
        <f>EG232*52</f>
        <v>218400</v>
      </c>
      <c r="EH235" s="572">
        <f>EH232*52</f>
        <v>218400</v>
      </c>
      <c r="EI235" s="709">
        <f>SUM(EG235:EH235)</f>
        <v>436800</v>
      </c>
      <c r="EJ235" s="572">
        <f>EJ232*52</f>
        <v>218400</v>
      </c>
      <c r="EK235" s="572">
        <f>EK232*52</f>
        <v>218400</v>
      </c>
      <c r="EL235" s="709">
        <f>SUM(EJ235:EK235)</f>
        <v>436800</v>
      </c>
      <c r="EM235" s="572">
        <f>EM232*52</f>
        <v>218400</v>
      </c>
      <c r="EN235" s="572">
        <f>EN232*52</f>
        <v>218400</v>
      </c>
      <c r="EO235" s="709">
        <f>SUM(EM235:EN235)</f>
        <v>436800</v>
      </c>
      <c r="EP235" s="572">
        <f>EP232*52</f>
        <v>218400</v>
      </c>
      <c r="EQ235" s="572">
        <f>EQ232*52</f>
        <v>218400</v>
      </c>
      <c r="ER235" s="709">
        <f>SUM(EP235:EQ235)</f>
        <v>436800</v>
      </c>
      <c r="ES235" s="572">
        <f>ES232*52</f>
        <v>218400</v>
      </c>
      <c r="ET235" s="572">
        <f>ET232*52</f>
        <v>218400</v>
      </c>
      <c r="EU235" s="709">
        <f>SUM(ES235:ET235)</f>
        <v>436800</v>
      </c>
      <c r="EV235" s="572">
        <f>EV232*52</f>
        <v>218400</v>
      </c>
      <c r="EW235" s="572">
        <f>EW232*52</f>
        <v>218400</v>
      </c>
      <c r="EX235" s="709">
        <f>SUM(EV235:EW235)</f>
        <v>436800</v>
      </c>
      <c r="EY235" s="572">
        <f>EY232*52</f>
        <v>218400</v>
      </c>
      <c r="EZ235" s="572">
        <f>EZ232*52</f>
        <v>218400</v>
      </c>
      <c r="FA235" s="581">
        <f>SUM(EY235:EZ235)</f>
        <v>436800</v>
      </c>
      <c r="FB235" s="349"/>
      <c r="FC235" s="349"/>
      <c r="FD235" s="360"/>
      <c r="FE235" s="360"/>
      <c r="FF235" s="360"/>
      <c r="FG235" s="360"/>
      <c r="FH235" s="360"/>
      <c r="FI235" s="360"/>
      <c r="FJ235" s="360"/>
      <c r="FK235" s="360"/>
      <c r="FL235" s="360"/>
      <c r="FM235" s="360"/>
      <c r="FN235" s="360"/>
      <c r="FO235" s="360"/>
      <c r="FP235" s="349"/>
      <c r="FQ235" s="349"/>
      <c r="FR235" s="349"/>
      <c r="FS235" s="349"/>
      <c r="FT235" s="349"/>
      <c r="FU235" s="349"/>
      <c r="FV235" s="349"/>
      <c r="FW235" s="349"/>
      <c r="FX235" s="349"/>
      <c r="FY235" s="349"/>
      <c r="FZ235" s="349"/>
      <c r="GA235" s="349"/>
      <c r="GB235" s="349"/>
    </row>
    <row r="236" spans="1:184" s="350" customFormat="1" ht="13.35" hidden="1" customHeight="1" outlineLevel="1">
      <c r="A236" s="760"/>
      <c r="B236" s="342"/>
      <c r="C236" s="350" t="s">
        <v>690</v>
      </c>
      <c r="D236" s="363" t="s">
        <v>507</v>
      </c>
      <c r="E236" s="342"/>
      <c r="F236" s="342"/>
      <c r="G236" s="342"/>
      <c r="H236" s="342"/>
      <c r="I236" s="342"/>
      <c r="J236" s="342"/>
      <c r="K236" s="342"/>
      <c r="L236" s="342"/>
      <c r="M236" s="342"/>
      <c r="N236" s="342"/>
      <c r="O236" s="342"/>
      <c r="P236" s="342"/>
      <c r="Q236" s="342"/>
      <c r="R236" s="342"/>
      <c r="S236" s="342"/>
      <c r="T236" s="342"/>
      <c r="U236" s="342"/>
      <c r="V236" s="342"/>
      <c r="W236" s="342"/>
      <c r="X236" s="342"/>
      <c r="Y236" s="342"/>
      <c r="Z236" s="342"/>
      <c r="AA236" s="342"/>
      <c r="AB236" s="342"/>
      <c r="AC236" s="342"/>
      <c r="AD236" s="342"/>
      <c r="AE236" s="342"/>
      <c r="AF236" s="342"/>
      <c r="AG236" s="342"/>
      <c r="AH236" s="342"/>
      <c r="AI236" s="342"/>
      <c r="AJ236" s="342"/>
      <c r="AK236" s="342"/>
      <c r="AL236" s="342"/>
      <c r="AM236" s="342"/>
      <c r="AN236" s="342"/>
      <c r="AO236" s="342"/>
      <c r="AP236" s="342"/>
      <c r="AQ236" s="342"/>
      <c r="AR236" s="342"/>
      <c r="AS236" s="342"/>
      <c r="AT236" s="342"/>
      <c r="AU236" s="342"/>
      <c r="AV236" s="342"/>
      <c r="AW236" s="342"/>
      <c r="AX236" s="342"/>
      <c r="AY236" s="342"/>
      <c r="AZ236" s="342"/>
      <c r="BA236" s="342"/>
      <c r="BB236" s="342"/>
      <c r="BC236" s="342"/>
      <c r="BD236" s="342"/>
      <c r="BE236" s="342"/>
      <c r="BF236" s="342"/>
      <c r="BG236" s="342"/>
      <c r="BH236" s="342"/>
      <c r="BI236" s="342"/>
      <c r="BJ236" s="342"/>
      <c r="BK236" s="342"/>
      <c r="BL236" s="342"/>
      <c r="BM236" s="344"/>
      <c r="BN236" s="344"/>
      <c r="BO236" s="342"/>
      <c r="BP236" s="345"/>
      <c r="BQ236" s="345"/>
      <c r="BR236" s="345"/>
      <c r="BS236" s="346"/>
      <c r="BT236" s="345"/>
      <c r="BU236" s="346"/>
      <c r="BV236" s="346"/>
      <c r="BW236" s="346"/>
      <c r="BX236" s="346"/>
      <c r="BY236" s="346"/>
      <c r="BZ236" s="346"/>
      <c r="CA236" s="346"/>
      <c r="CB236" s="346"/>
      <c r="CC236" s="346"/>
      <c r="CD236" s="346"/>
      <c r="CE236" s="347"/>
      <c r="CF236" s="346"/>
      <c r="CG236" s="346"/>
      <c r="CH236" s="346"/>
      <c r="CI236" s="346"/>
      <c r="CJ236" s="346"/>
      <c r="CK236" s="346"/>
      <c r="CL236" s="346"/>
      <c r="CM236" s="346"/>
      <c r="CN236" s="364"/>
      <c r="CO236" s="364"/>
      <c r="CP236" s="364"/>
      <c r="CQ236" s="284"/>
      <c r="CR236" s="284"/>
      <c r="CS236" s="368"/>
      <c r="CT236" s="369"/>
      <c r="CU236" s="369"/>
      <c r="CV236" s="370"/>
      <c r="CW236" s="369"/>
      <c r="CX236" s="369"/>
      <c r="CY236" s="568"/>
      <c r="CZ236" s="389"/>
      <c r="DA236" s="389"/>
      <c r="DB236" s="568"/>
      <c r="DC236" s="389"/>
      <c r="DD236" s="389"/>
      <c r="DE236" s="706"/>
      <c r="DF236" s="389"/>
      <c r="DG236" s="389"/>
      <c r="DH236" s="706"/>
      <c r="DI236" s="389"/>
      <c r="DJ236" s="389"/>
      <c r="DK236" s="706"/>
      <c r="DL236" s="391"/>
      <c r="DM236" s="391"/>
      <c r="DN236" s="733"/>
      <c r="DO236" s="391"/>
      <c r="DP236" s="391"/>
      <c r="DQ236" s="706"/>
      <c r="DR236" s="389"/>
      <c r="DS236" s="389"/>
      <c r="DT236" s="706"/>
      <c r="DU236" s="389"/>
      <c r="DV236" s="389"/>
      <c r="DW236" s="706"/>
      <c r="DX236" s="389"/>
      <c r="DY236" s="389"/>
      <c r="DZ236" s="706"/>
      <c r="EA236" s="389"/>
      <c r="EB236" s="389"/>
      <c r="EC236" s="706"/>
      <c r="ED236" s="389"/>
      <c r="EE236" s="389"/>
      <c r="EF236" s="706"/>
      <c r="EG236" s="389"/>
      <c r="EH236" s="389"/>
      <c r="EI236" s="706"/>
      <c r="EJ236" s="389"/>
      <c r="EK236" s="389"/>
      <c r="EL236" s="706"/>
      <c r="EM236" s="389"/>
      <c r="EN236" s="389"/>
      <c r="EO236" s="706"/>
      <c r="EP236" s="389"/>
      <c r="EQ236" s="389"/>
      <c r="ER236" s="706"/>
      <c r="ES236" s="389"/>
      <c r="ET236" s="389"/>
      <c r="EU236" s="706"/>
      <c r="EV236" s="389"/>
      <c r="EW236" s="389"/>
      <c r="EX236" s="706"/>
      <c r="EY236" s="389"/>
      <c r="EZ236" s="389"/>
      <c r="FA236" s="568"/>
      <c r="FB236" s="349"/>
      <c r="FC236" s="349"/>
      <c r="FD236" s="360"/>
      <c r="FE236" s="360"/>
      <c r="FF236" s="360"/>
      <c r="FG236" s="360"/>
      <c r="FH236" s="360"/>
      <c r="FI236" s="360"/>
      <c r="FJ236" s="360"/>
      <c r="FK236" s="360"/>
      <c r="FL236" s="360"/>
      <c r="FM236" s="360"/>
      <c r="FN236" s="360"/>
      <c r="FO236" s="360"/>
      <c r="FP236" s="349"/>
      <c r="FQ236" s="349"/>
      <c r="FR236" s="349"/>
      <c r="FS236" s="349"/>
      <c r="FT236" s="349"/>
      <c r="FU236" s="349"/>
      <c r="FV236" s="349"/>
      <c r="FW236" s="349"/>
      <c r="FX236" s="349"/>
      <c r="FY236" s="349"/>
      <c r="FZ236" s="349"/>
      <c r="GA236" s="349"/>
      <c r="GB236" s="349"/>
    </row>
    <row r="237" spans="1:184" s="350" customFormat="1" ht="13.35" hidden="1" customHeight="1" outlineLevel="1">
      <c r="A237" s="760"/>
      <c r="B237" s="342"/>
      <c r="D237" s="363"/>
      <c r="E237" s="342"/>
      <c r="F237" s="342"/>
      <c r="G237" s="342"/>
      <c r="H237" s="342"/>
      <c r="I237" s="342"/>
      <c r="J237" s="342"/>
      <c r="K237" s="342"/>
      <c r="L237" s="342"/>
      <c r="M237" s="342"/>
      <c r="N237" s="342"/>
      <c r="O237" s="342"/>
      <c r="P237" s="342"/>
      <c r="Q237" s="342"/>
      <c r="R237" s="342"/>
      <c r="S237" s="342"/>
      <c r="T237" s="342"/>
      <c r="U237" s="342"/>
      <c r="V237" s="342"/>
      <c r="W237" s="342"/>
      <c r="X237" s="342"/>
      <c r="Y237" s="342"/>
      <c r="Z237" s="342"/>
      <c r="AA237" s="342"/>
      <c r="AB237" s="342"/>
      <c r="AC237" s="342"/>
      <c r="AD237" s="342"/>
      <c r="AE237" s="342"/>
      <c r="AF237" s="342"/>
      <c r="AG237" s="342"/>
      <c r="AH237" s="342"/>
      <c r="AI237" s="342"/>
      <c r="AJ237" s="342"/>
      <c r="AK237" s="342"/>
      <c r="AL237" s="342"/>
      <c r="AM237" s="342"/>
      <c r="AN237" s="342"/>
      <c r="AO237" s="342"/>
      <c r="AP237" s="342"/>
      <c r="AQ237" s="342"/>
      <c r="AR237" s="342"/>
      <c r="AS237" s="342"/>
      <c r="AT237" s="342"/>
      <c r="AU237" s="342"/>
      <c r="AV237" s="342"/>
      <c r="AW237" s="342"/>
      <c r="AX237" s="342"/>
      <c r="AY237" s="342"/>
      <c r="AZ237" s="342"/>
      <c r="BA237" s="342"/>
      <c r="BB237" s="342"/>
      <c r="BC237" s="342"/>
      <c r="BD237" s="342"/>
      <c r="BE237" s="342"/>
      <c r="BF237" s="342"/>
      <c r="BG237" s="342"/>
      <c r="BH237" s="342"/>
      <c r="BI237" s="342"/>
      <c r="BJ237" s="342"/>
      <c r="BK237" s="342"/>
      <c r="BL237" s="342"/>
      <c r="BM237" s="344"/>
      <c r="BN237" s="344"/>
      <c r="BO237" s="342"/>
      <c r="BP237" s="345"/>
      <c r="BQ237" s="345"/>
      <c r="BR237" s="345"/>
      <c r="BS237" s="346"/>
      <c r="BT237" s="345"/>
      <c r="BU237" s="346"/>
      <c r="BV237" s="346"/>
      <c r="BW237" s="346"/>
      <c r="BX237" s="346"/>
      <c r="BY237" s="346"/>
      <c r="BZ237" s="346"/>
      <c r="CA237" s="346"/>
      <c r="CB237" s="346"/>
      <c r="CC237" s="346"/>
      <c r="CD237" s="346"/>
      <c r="CE237" s="347"/>
      <c r="CF237" s="346"/>
      <c r="CG237" s="346"/>
      <c r="CH237" s="346"/>
      <c r="CI237" s="346"/>
      <c r="CJ237" s="346"/>
      <c r="CK237" s="346"/>
      <c r="CL237" s="346"/>
      <c r="CM237" s="346"/>
      <c r="CN237" s="364"/>
      <c r="CO237" s="364"/>
      <c r="CP237" s="364"/>
      <c r="CQ237" s="284"/>
      <c r="CR237" s="284"/>
      <c r="CS237" s="368"/>
      <c r="CT237" s="369"/>
      <c r="CU237" s="369"/>
      <c r="CV237" s="370"/>
      <c r="CW237" s="369"/>
      <c r="CX237" s="369"/>
      <c r="CY237" s="568"/>
      <c r="CZ237" s="389"/>
      <c r="DA237" s="389"/>
      <c r="DB237" s="568"/>
      <c r="DC237" s="389"/>
      <c r="DD237" s="389"/>
      <c r="DE237" s="706"/>
      <c r="DF237" s="389"/>
      <c r="DG237" s="389"/>
      <c r="DH237" s="706"/>
      <c r="DI237" s="389"/>
      <c r="DJ237" s="389"/>
      <c r="DK237" s="706"/>
      <c r="DL237" s="391"/>
      <c r="DM237" s="391"/>
      <c r="DN237" s="733"/>
      <c r="DO237" s="391"/>
      <c r="DP237" s="391"/>
      <c r="DQ237" s="706"/>
      <c r="DR237" s="389"/>
      <c r="DS237" s="389"/>
      <c r="DT237" s="706"/>
      <c r="DU237" s="389"/>
      <c r="DV237" s="389"/>
      <c r="DW237" s="706"/>
      <c r="DX237" s="389"/>
      <c r="DY237" s="389"/>
      <c r="DZ237" s="706"/>
      <c r="EA237" s="389"/>
      <c r="EB237" s="389"/>
      <c r="EC237" s="706"/>
      <c r="ED237" s="389"/>
      <c r="EE237" s="389"/>
      <c r="EF237" s="706"/>
      <c r="EG237" s="389"/>
      <c r="EH237" s="389"/>
      <c r="EI237" s="706"/>
      <c r="EJ237" s="389"/>
      <c r="EK237" s="389"/>
      <c r="EL237" s="706"/>
      <c r="EM237" s="389"/>
      <c r="EN237" s="389"/>
      <c r="EO237" s="706"/>
      <c r="EP237" s="389"/>
      <c r="EQ237" s="389"/>
      <c r="ER237" s="706"/>
      <c r="ES237" s="389"/>
      <c r="ET237" s="389"/>
      <c r="EU237" s="706"/>
      <c r="EV237" s="389"/>
      <c r="EW237" s="389"/>
      <c r="EX237" s="706"/>
      <c r="EY237" s="389"/>
      <c r="EZ237" s="389"/>
      <c r="FA237" s="568"/>
      <c r="FB237" s="349"/>
      <c r="FC237" s="349"/>
      <c r="FD237" s="360"/>
      <c r="FE237" s="360"/>
      <c r="FF237" s="360"/>
      <c r="FG237" s="360"/>
      <c r="FH237" s="360"/>
      <c r="FI237" s="360"/>
      <c r="FJ237" s="360"/>
      <c r="FK237" s="360"/>
      <c r="FL237" s="360"/>
      <c r="FM237" s="360"/>
      <c r="FN237" s="360"/>
      <c r="FO237" s="360"/>
      <c r="FP237" s="349"/>
      <c r="FQ237" s="349"/>
      <c r="FR237" s="349"/>
      <c r="FS237" s="349"/>
      <c r="FT237" s="349"/>
      <c r="FU237" s="349"/>
      <c r="FV237" s="349"/>
      <c r="FW237" s="349"/>
      <c r="FX237" s="349"/>
      <c r="FY237" s="349"/>
      <c r="FZ237" s="349"/>
      <c r="GA237" s="349"/>
      <c r="GB237" s="349"/>
    </row>
    <row r="238" spans="1:184" s="350" customFormat="1" ht="13.35" hidden="1" customHeight="1" outlineLevel="1">
      <c r="A238" s="760"/>
      <c r="B238" s="342"/>
      <c r="C238" s="350" t="s">
        <v>824</v>
      </c>
      <c r="D238" s="363" t="s">
        <v>357</v>
      </c>
      <c r="E238" s="342"/>
      <c r="F238" s="342"/>
      <c r="G238" s="342"/>
      <c r="H238" s="342"/>
      <c r="I238" s="342"/>
      <c r="J238" s="342"/>
      <c r="K238" s="342"/>
      <c r="L238" s="342"/>
      <c r="M238" s="342"/>
      <c r="N238" s="342"/>
      <c r="O238" s="342"/>
      <c r="P238" s="342"/>
      <c r="Q238" s="342"/>
      <c r="R238" s="342"/>
      <c r="S238" s="342"/>
      <c r="T238" s="342"/>
      <c r="U238" s="342"/>
      <c r="V238" s="342"/>
      <c r="W238" s="342"/>
      <c r="X238" s="342"/>
      <c r="Y238" s="342"/>
      <c r="Z238" s="342"/>
      <c r="AA238" s="342"/>
      <c r="AB238" s="342"/>
      <c r="AC238" s="342"/>
      <c r="AD238" s="342"/>
      <c r="AE238" s="342"/>
      <c r="AF238" s="342"/>
      <c r="AG238" s="342"/>
      <c r="AH238" s="342"/>
      <c r="AI238" s="342"/>
      <c r="AJ238" s="342"/>
      <c r="AK238" s="342"/>
      <c r="AL238" s="342"/>
      <c r="AM238" s="342"/>
      <c r="AN238" s="342"/>
      <c r="AO238" s="342"/>
      <c r="AP238" s="342"/>
      <c r="AQ238" s="342"/>
      <c r="AR238" s="342"/>
      <c r="AS238" s="342"/>
      <c r="AT238" s="342"/>
      <c r="AU238" s="342"/>
      <c r="AV238" s="342"/>
      <c r="AW238" s="342"/>
      <c r="AX238" s="342"/>
      <c r="AY238" s="342"/>
      <c r="AZ238" s="342"/>
      <c r="BA238" s="342"/>
      <c r="BB238" s="342"/>
      <c r="BC238" s="342"/>
      <c r="BD238" s="342"/>
      <c r="BE238" s="342"/>
      <c r="BF238" s="342"/>
      <c r="BG238" s="342"/>
      <c r="BH238" s="342"/>
      <c r="BI238" s="342"/>
      <c r="BJ238" s="342"/>
      <c r="BK238" s="342"/>
      <c r="BL238" s="342"/>
      <c r="BM238" s="344"/>
      <c r="BN238" s="344"/>
      <c r="BO238" s="342"/>
      <c r="BP238" s="345"/>
      <c r="BQ238" s="345"/>
      <c r="BR238" s="345"/>
      <c r="BS238" s="346"/>
      <c r="BT238" s="345"/>
      <c r="BU238" s="346"/>
      <c r="BV238" s="346"/>
      <c r="BW238" s="346"/>
      <c r="BX238" s="346"/>
      <c r="BY238" s="346"/>
      <c r="BZ238" s="346"/>
      <c r="CA238" s="346"/>
      <c r="CB238" s="346"/>
      <c r="CC238" s="346"/>
      <c r="CD238" s="346"/>
      <c r="CE238" s="347"/>
      <c r="CF238" s="346"/>
      <c r="CG238" s="346"/>
      <c r="CH238" s="346"/>
      <c r="CI238" s="346"/>
      <c r="CJ238" s="346"/>
      <c r="CK238" s="346"/>
      <c r="CL238" s="346"/>
      <c r="CM238" s="346"/>
      <c r="CN238" s="364"/>
      <c r="CO238" s="364"/>
      <c r="CP238" s="364"/>
      <c r="CQ238" s="284"/>
      <c r="CR238" s="284"/>
      <c r="CS238" s="368"/>
      <c r="CT238" s="369"/>
      <c r="CU238" s="369"/>
      <c r="CV238" s="370"/>
      <c r="CW238" s="369"/>
      <c r="CX238" s="369"/>
      <c r="CY238" s="568"/>
      <c r="CZ238" s="572"/>
      <c r="DA238" s="572"/>
      <c r="DB238" s="581"/>
      <c r="DC238" s="590"/>
      <c r="DD238" s="590"/>
      <c r="DE238" s="711"/>
      <c r="DF238" s="590"/>
      <c r="DG238" s="590"/>
      <c r="DH238" s="711"/>
      <c r="DI238" s="590">
        <v>220589.40539999996</v>
      </c>
      <c r="DJ238" s="590">
        <v>220589.40539999996</v>
      </c>
      <c r="DK238" s="711">
        <v>441178.81079999992</v>
      </c>
      <c r="DL238" s="590">
        <f>DL235*DL229/10</f>
        <v>226104.14053499995</v>
      </c>
      <c r="DM238" s="590">
        <f>DM235*DM229/10</f>
        <v>226104.14053499995</v>
      </c>
      <c r="DN238" s="711">
        <f>DN226/DN241*1000000</f>
        <v>452208.28106999997</v>
      </c>
      <c r="DO238" s="590">
        <f>DO235*DO229/10</f>
        <v>231756.74404837494</v>
      </c>
      <c r="DP238" s="590">
        <f>DP235*DP229/10</f>
        <v>231756.74404837494</v>
      </c>
      <c r="DQ238" s="711">
        <f>DQ226/DQ241*1000000</f>
        <v>463513.48809674988</v>
      </c>
      <c r="DR238" s="590">
        <f>DR235*DR229/10</f>
        <v>237550.66264958429</v>
      </c>
      <c r="DS238" s="590">
        <f>DS235*DS229/10</f>
        <v>237550.66264958429</v>
      </c>
      <c r="DT238" s="711">
        <f>DT226/DT241*1000000</f>
        <v>475101.32529916853</v>
      </c>
      <c r="DU238" s="590">
        <f>DU235*DU229/10</f>
        <v>243489.42921582385</v>
      </c>
      <c r="DV238" s="590">
        <f>DV235*DV229/10</f>
        <v>243489.42921582385</v>
      </c>
      <c r="DW238" s="711">
        <f>DW226/DW241*1000000</f>
        <v>486978.85843164771</v>
      </c>
      <c r="DX238" s="590">
        <f>DX235*DX229/10</f>
        <v>249576.66494621948</v>
      </c>
      <c r="DY238" s="590">
        <f>DY235*DY229/10</f>
        <v>249576.66494621948</v>
      </c>
      <c r="DZ238" s="711">
        <f>DZ226/DZ241*1000000</f>
        <v>499153.32989243889</v>
      </c>
      <c r="EA238" s="590">
        <f>EA235*EA229/10</f>
        <v>255816.08156987489</v>
      </c>
      <c r="EB238" s="590">
        <f>EB235*EB229/10</f>
        <v>255816.08156987489</v>
      </c>
      <c r="EC238" s="711">
        <f>EC226/EC241*1000000</f>
        <v>511632.16313974978</v>
      </c>
      <c r="ED238" s="590">
        <f>ED235*ED229/10</f>
        <v>262211.4836091217</v>
      </c>
      <c r="EE238" s="590">
        <f>EE235*EE229/10</f>
        <v>262211.4836091217</v>
      </c>
      <c r="EF238" s="711">
        <f>EF226/EF241*1000000</f>
        <v>524422.96721824328</v>
      </c>
      <c r="EG238" s="590">
        <f>EG235*EG229/10</f>
        <v>268766.77069934976</v>
      </c>
      <c r="EH238" s="590">
        <f>EH235*EH229/10</f>
        <v>268766.77069934976</v>
      </c>
      <c r="EI238" s="711">
        <f>EI226/EI241*1000000</f>
        <v>537533.54139869963</v>
      </c>
      <c r="EJ238" s="590">
        <f>EJ235*EJ229/10</f>
        <v>275485.93996683345</v>
      </c>
      <c r="EK238" s="590">
        <f>EK235*EK229/10</f>
        <v>275485.93996683345</v>
      </c>
      <c r="EL238" s="711">
        <f>EL226/EL241*1000000</f>
        <v>550971.8799336669</v>
      </c>
      <c r="EM238" s="590">
        <f>EM235*EM229/10</f>
        <v>282373.08846600424</v>
      </c>
      <c r="EN238" s="590">
        <f>EN235*EN229/10</f>
        <v>282373.08846600424</v>
      </c>
      <c r="EO238" s="711">
        <f>EO226/EO241*1000000</f>
        <v>564746.17693200847</v>
      </c>
      <c r="EP238" s="590">
        <f>EP235*EP229/10</f>
        <v>289432.41567765432</v>
      </c>
      <c r="EQ238" s="590">
        <f>EQ235*EQ229/10</f>
        <v>289432.41567765432</v>
      </c>
      <c r="ER238" s="711">
        <f>ER226/ER241*1000000</f>
        <v>578864.83135530865</v>
      </c>
      <c r="ES238" s="590">
        <f>ES235*ES229/10</f>
        <v>298115.38814798399</v>
      </c>
      <c r="ET238" s="590">
        <f>ET235*ET229/10</f>
        <v>298115.38814798399</v>
      </c>
      <c r="EU238" s="711">
        <f>EU226/EU241*1000000</f>
        <v>596230.77629596798</v>
      </c>
      <c r="EV238" s="590">
        <f>EV235*EV229/10</f>
        <v>307058.84979242354</v>
      </c>
      <c r="EW238" s="590">
        <f>EW235*EW229/10</f>
        <v>307058.84979242354</v>
      </c>
      <c r="EX238" s="711">
        <f>EX226/EX241*1000000</f>
        <v>614117.69958484708</v>
      </c>
      <c r="EY238" s="590">
        <f>EY235*EY229/10</f>
        <v>316270.61528619623</v>
      </c>
      <c r="EZ238" s="590">
        <f>EZ235*EZ229/10</f>
        <v>316270.61528619623</v>
      </c>
      <c r="FA238" s="591">
        <f>FA226/FA241*1000000</f>
        <v>632541.23057239258</v>
      </c>
      <c r="FB238" s="349"/>
      <c r="FC238" s="349"/>
      <c r="FD238" s="360"/>
      <c r="FE238" s="360"/>
      <c r="FF238" s="360"/>
      <c r="FG238" s="360"/>
      <c r="FH238" s="360"/>
      <c r="FI238" s="360"/>
      <c r="FJ238" s="360"/>
      <c r="FK238" s="360"/>
      <c r="FL238" s="360"/>
      <c r="FM238" s="360"/>
      <c r="FN238" s="360"/>
      <c r="FO238" s="360"/>
      <c r="FP238" s="349"/>
      <c r="FQ238" s="349"/>
      <c r="FR238" s="349"/>
      <c r="FS238" s="349"/>
      <c r="FT238" s="349"/>
      <c r="FU238" s="349"/>
      <c r="FV238" s="349"/>
      <c r="FW238" s="349"/>
      <c r="FX238" s="349"/>
      <c r="FY238" s="349"/>
      <c r="FZ238" s="349"/>
      <c r="GA238" s="349"/>
      <c r="GB238" s="349"/>
    </row>
    <row r="239" spans="1:184" s="350" customFormat="1" ht="13.35" hidden="1" customHeight="1" outlineLevel="1">
      <c r="A239" s="760"/>
      <c r="B239" s="342"/>
      <c r="C239" s="350" t="s">
        <v>690</v>
      </c>
      <c r="D239" s="363" t="s">
        <v>507</v>
      </c>
      <c r="E239" s="342"/>
      <c r="F239" s="342"/>
      <c r="G239" s="342"/>
      <c r="H239" s="342"/>
      <c r="I239" s="342"/>
      <c r="J239" s="342"/>
      <c r="K239" s="342"/>
      <c r="L239" s="342"/>
      <c r="M239" s="342"/>
      <c r="N239" s="342"/>
      <c r="O239" s="342"/>
      <c r="P239" s="342"/>
      <c r="Q239" s="342"/>
      <c r="R239" s="342"/>
      <c r="S239" s="342"/>
      <c r="T239" s="342"/>
      <c r="U239" s="342"/>
      <c r="V239" s="342"/>
      <c r="W239" s="342"/>
      <c r="X239" s="342"/>
      <c r="Y239" s="342"/>
      <c r="Z239" s="342"/>
      <c r="AA239" s="342"/>
      <c r="AB239" s="342"/>
      <c r="AC239" s="342"/>
      <c r="AD239" s="342"/>
      <c r="AE239" s="342"/>
      <c r="AF239" s="342"/>
      <c r="AG239" s="342"/>
      <c r="AH239" s="342"/>
      <c r="AI239" s="342"/>
      <c r="AJ239" s="342"/>
      <c r="AK239" s="342"/>
      <c r="AL239" s="342"/>
      <c r="AM239" s="342"/>
      <c r="AN239" s="342"/>
      <c r="AO239" s="342"/>
      <c r="AP239" s="342"/>
      <c r="AQ239" s="342"/>
      <c r="AR239" s="342"/>
      <c r="AS239" s="342"/>
      <c r="AT239" s="342"/>
      <c r="AU239" s="342"/>
      <c r="AV239" s="342"/>
      <c r="AW239" s="342"/>
      <c r="AX239" s="342"/>
      <c r="AY239" s="342"/>
      <c r="AZ239" s="342"/>
      <c r="BA239" s="342"/>
      <c r="BB239" s="342"/>
      <c r="BC239" s="342"/>
      <c r="BD239" s="342"/>
      <c r="BE239" s="342"/>
      <c r="BF239" s="342"/>
      <c r="BG239" s="342"/>
      <c r="BH239" s="342"/>
      <c r="BI239" s="342"/>
      <c r="BJ239" s="342"/>
      <c r="BK239" s="342"/>
      <c r="BL239" s="342"/>
      <c r="BM239" s="344"/>
      <c r="BN239" s="344"/>
      <c r="BO239" s="342"/>
      <c r="BP239" s="345"/>
      <c r="BQ239" s="345"/>
      <c r="BR239" s="345"/>
      <c r="BS239" s="346"/>
      <c r="BT239" s="345"/>
      <c r="BU239" s="346"/>
      <c r="BV239" s="346"/>
      <c r="BW239" s="346"/>
      <c r="BX239" s="346"/>
      <c r="BY239" s="346"/>
      <c r="BZ239" s="346"/>
      <c r="CA239" s="346"/>
      <c r="CB239" s="346"/>
      <c r="CC239" s="346"/>
      <c r="CD239" s="346"/>
      <c r="CE239" s="347"/>
      <c r="CF239" s="346"/>
      <c r="CG239" s="346"/>
      <c r="CH239" s="346"/>
      <c r="CI239" s="346"/>
      <c r="CJ239" s="346"/>
      <c r="CK239" s="346"/>
      <c r="CL239" s="346"/>
      <c r="CM239" s="346"/>
      <c r="CN239" s="364"/>
      <c r="CO239" s="364"/>
      <c r="CP239" s="364"/>
      <c r="CQ239" s="284"/>
      <c r="CR239" s="284"/>
      <c r="CS239" s="368"/>
      <c r="CT239" s="369"/>
      <c r="CU239" s="369"/>
      <c r="CV239" s="370"/>
      <c r="CW239" s="369"/>
      <c r="CX239" s="369"/>
      <c r="CY239" s="568"/>
      <c r="CZ239" s="389"/>
      <c r="DA239" s="389"/>
      <c r="DB239" s="568"/>
      <c r="DC239" s="389"/>
      <c r="DD239" s="389"/>
      <c r="DE239" s="706"/>
      <c r="DF239" s="389"/>
      <c r="DG239" s="389"/>
      <c r="DH239" s="706"/>
      <c r="DI239" s="389"/>
      <c r="DJ239" s="389"/>
      <c r="DK239" s="706"/>
      <c r="DL239" s="391"/>
      <c r="DM239" s="391"/>
      <c r="DN239" s="733"/>
      <c r="DO239" s="391"/>
      <c r="DP239" s="391"/>
      <c r="DQ239" s="706"/>
      <c r="DR239" s="389"/>
      <c r="DS239" s="389"/>
      <c r="DT239" s="706"/>
      <c r="DU239" s="389"/>
      <c r="DV239" s="389"/>
      <c r="DW239" s="706"/>
      <c r="DX239" s="389"/>
      <c r="DY239" s="389"/>
      <c r="DZ239" s="706"/>
      <c r="EA239" s="389"/>
      <c r="EB239" s="389"/>
      <c r="EC239" s="706"/>
      <c r="ED239" s="389"/>
      <c r="EE239" s="389"/>
      <c r="EF239" s="706"/>
      <c r="EG239" s="389"/>
      <c r="EH239" s="389"/>
      <c r="EI239" s="706"/>
      <c r="EJ239" s="389"/>
      <c r="EK239" s="389"/>
      <c r="EL239" s="706"/>
      <c r="EM239" s="389"/>
      <c r="EN239" s="389"/>
      <c r="EO239" s="706"/>
      <c r="EP239" s="389"/>
      <c r="EQ239" s="389"/>
      <c r="ER239" s="706"/>
      <c r="ES239" s="389"/>
      <c r="ET239" s="389"/>
      <c r="EU239" s="706"/>
      <c r="EV239" s="389"/>
      <c r="EW239" s="389"/>
      <c r="EX239" s="706"/>
      <c r="EY239" s="389"/>
      <c r="EZ239" s="389"/>
      <c r="FA239" s="568"/>
      <c r="FB239" s="349"/>
      <c r="FC239" s="349"/>
      <c r="FD239" s="360"/>
      <c r="FE239" s="360"/>
      <c r="FF239" s="360"/>
      <c r="FG239" s="360"/>
      <c r="FH239" s="360"/>
      <c r="FI239" s="360"/>
      <c r="FJ239" s="360"/>
      <c r="FK239" s="360"/>
      <c r="FL239" s="360"/>
      <c r="FM239" s="360"/>
      <c r="FN239" s="360"/>
      <c r="FO239" s="360"/>
      <c r="FP239" s="349"/>
      <c r="FQ239" s="349"/>
      <c r="FR239" s="349"/>
      <c r="FS239" s="349"/>
      <c r="FT239" s="349"/>
      <c r="FU239" s="349"/>
      <c r="FV239" s="349"/>
      <c r="FW239" s="349"/>
      <c r="FX239" s="349"/>
      <c r="FY239" s="349"/>
      <c r="FZ239" s="349"/>
      <c r="GA239" s="349"/>
      <c r="GB239" s="349"/>
    </row>
    <row r="240" spans="1:184" s="350" customFormat="1" ht="13.35" hidden="1" customHeight="1" outlineLevel="1">
      <c r="A240" s="760"/>
      <c r="B240" s="342"/>
      <c r="D240" s="363"/>
      <c r="E240" s="342"/>
      <c r="F240" s="342"/>
      <c r="G240" s="342"/>
      <c r="H240" s="342"/>
      <c r="I240" s="342"/>
      <c r="J240" s="342"/>
      <c r="K240" s="342"/>
      <c r="L240" s="342"/>
      <c r="M240" s="342"/>
      <c r="N240" s="342"/>
      <c r="O240" s="342"/>
      <c r="P240" s="342"/>
      <c r="Q240" s="342"/>
      <c r="R240" s="342"/>
      <c r="S240" s="342"/>
      <c r="T240" s="342"/>
      <c r="U240" s="342"/>
      <c r="V240" s="342"/>
      <c r="W240" s="342"/>
      <c r="X240" s="342"/>
      <c r="Y240" s="342"/>
      <c r="Z240" s="342"/>
      <c r="AA240" s="342"/>
      <c r="AB240" s="342"/>
      <c r="AC240" s="342"/>
      <c r="AD240" s="342"/>
      <c r="AE240" s="342"/>
      <c r="AF240" s="342"/>
      <c r="AG240" s="342"/>
      <c r="AH240" s="342"/>
      <c r="AI240" s="342"/>
      <c r="AJ240" s="342"/>
      <c r="AK240" s="342"/>
      <c r="AL240" s="342"/>
      <c r="AM240" s="342"/>
      <c r="AN240" s="342"/>
      <c r="AO240" s="342"/>
      <c r="AP240" s="342"/>
      <c r="AQ240" s="342"/>
      <c r="AR240" s="342"/>
      <c r="AS240" s="342"/>
      <c r="AT240" s="342"/>
      <c r="AU240" s="342"/>
      <c r="AV240" s="342"/>
      <c r="AW240" s="342"/>
      <c r="AX240" s="342"/>
      <c r="AY240" s="342"/>
      <c r="AZ240" s="342"/>
      <c r="BA240" s="342"/>
      <c r="BB240" s="342"/>
      <c r="BC240" s="342"/>
      <c r="BD240" s="342"/>
      <c r="BE240" s="342"/>
      <c r="BF240" s="342"/>
      <c r="BG240" s="342"/>
      <c r="BH240" s="342"/>
      <c r="BI240" s="342"/>
      <c r="BJ240" s="342"/>
      <c r="BK240" s="342"/>
      <c r="BL240" s="342"/>
      <c r="BM240" s="344"/>
      <c r="BN240" s="344"/>
      <c r="BO240" s="342"/>
      <c r="BP240" s="345"/>
      <c r="BQ240" s="345"/>
      <c r="BR240" s="345"/>
      <c r="BS240" s="346"/>
      <c r="BT240" s="345"/>
      <c r="BU240" s="346"/>
      <c r="BV240" s="346"/>
      <c r="BW240" s="346"/>
      <c r="BX240" s="346"/>
      <c r="BY240" s="346"/>
      <c r="BZ240" s="346"/>
      <c r="CA240" s="346"/>
      <c r="CB240" s="346"/>
      <c r="CC240" s="346"/>
      <c r="CD240" s="346"/>
      <c r="CE240" s="347"/>
      <c r="CF240" s="346"/>
      <c r="CG240" s="346"/>
      <c r="CH240" s="346"/>
      <c r="CI240" s="346"/>
      <c r="CJ240" s="346"/>
      <c r="CK240" s="346"/>
      <c r="CL240" s="346"/>
      <c r="CM240" s="346"/>
      <c r="CN240" s="364"/>
      <c r="CO240" s="364"/>
      <c r="CP240" s="364"/>
      <c r="CQ240" s="284"/>
      <c r="CR240" s="284"/>
      <c r="CS240" s="368"/>
      <c r="CT240" s="369"/>
      <c r="CU240" s="369"/>
      <c r="CV240" s="370"/>
      <c r="CW240" s="369"/>
      <c r="CX240" s="369"/>
      <c r="CY240" s="568"/>
      <c r="CZ240" s="389"/>
      <c r="DA240" s="389"/>
      <c r="DB240" s="568"/>
      <c r="DC240" s="389"/>
      <c r="DD240" s="389"/>
      <c r="DE240" s="706"/>
      <c r="DF240" s="389"/>
      <c r="DG240" s="389"/>
      <c r="DH240" s="706"/>
      <c r="DI240" s="389"/>
      <c r="DJ240" s="389"/>
      <c r="DK240" s="706"/>
      <c r="DL240" s="391"/>
      <c r="DM240" s="391"/>
      <c r="DN240" s="733"/>
      <c r="DO240" s="391"/>
      <c r="DP240" s="391"/>
      <c r="DQ240" s="706"/>
      <c r="DR240" s="389"/>
      <c r="DS240" s="389"/>
      <c r="DT240" s="706"/>
      <c r="DU240" s="389"/>
      <c r="DV240" s="389"/>
      <c r="DW240" s="706"/>
      <c r="DX240" s="389"/>
      <c r="DY240" s="389"/>
      <c r="DZ240" s="706"/>
      <c r="EA240" s="389"/>
      <c r="EB240" s="389"/>
      <c r="EC240" s="706"/>
      <c r="ED240" s="389"/>
      <c r="EE240" s="389"/>
      <c r="EF240" s="706"/>
      <c r="EG240" s="389"/>
      <c r="EH240" s="389"/>
      <c r="EI240" s="706"/>
      <c r="EJ240" s="389"/>
      <c r="EK240" s="389"/>
      <c r="EL240" s="706"/>
      <c r="EM240" s="389"/>
      <c r="EN240" s="389"/>
      <c r="EO240" s="706"/>
      <c r="EP240" s="389"/>
      <c r="EQ240" s="389"/>
      <c r="ER240" s="706"/>
      <c r="ES240" s="389"/>
      <c r="ET240" s="389"/>
      <c r="EU240" s="706"/>
      <c r="EV240" s="389"/>
      <c r="EW240" s="389"/>
      <c r="EX240" s="706"/>
      <c r="EY240" s="389"/>
      <c r="EZ240" s="389"/>
      <c r="FA240" s="568"/>
      <c r="FB240" s="349"/>
      <c r="FC240" s="349"/>
      <c r="FD240" s="360"/>
      <c r="FE240" s="360"/>
      <c r="FF240" s="360"/>
      <c r="FG240" s="360"/>
      <c r="FH240" s="360"/>
      <c r="FI240" s="360"/>
      <c r="FJ240" s="360"/>
      <c r="FK240" s="360"/>
      <c r="FL240" s="360"/>
      <c r="FM240" s="360"/>
      <c r="FN240" s="360"/>
      <c r="FO240" s="360"/>
      <c r="FP240" s="349"/>
      <c r="FQ240" s="349"/>
      <c r="FR240" s="349"/>
      <c r="FS240" s="349"/>
      <c r="FT240" s="349"/>
      <c r="FU240" s="349"/>
      <c r="FV240" s="349"/>
      <c r="FW240" s="349"/>
      <c r="FX240" s="349"/>
      <c r="FY240" s="349"/>
      <c r="FZ240" s="349"/>
      <c r="GA240" s="349"/>
      <c r="GB240" s="349"/>
    </row>
    <row r="241" spans="1:184" s="350" customFormat="1" ht="13.35" hidden="1" customHeight="1" outlineLevel="1">
      <c r="A241" s="760"/>
      <c r="B241" s="342"/>
      <c r="C241" s="350" t="s">
        <v>825</v>
      </c>
      <c r="D241" s="363" t="s">
        <v>578</v>
      </c>
      <c r="E241" s="342"/>
      <c r="F241" s="342"/>
      <c r="G241" s="342"/>
      <c r="H241" s="342"/>
      <c r="I241" s="342"/>
      <c r="J241" s="342"/>
      <c r="K241" s="342"/>
      <c r="L241" s="342"/>
      <c r="M241" s="342"/>
      <c r="N241" s="342"/>
      <c r="O241" s="342"/>
      <c r="P241" s="342"/>
      <c r="Q241" s="342"/>
      <c r="R241" s="342"/>
      <c r="S241" s="342"/>
      <c r="T241" s="342"/>
      <c r="U241" s="342"/>
      <c r="V241" s="342"/>
      <c r="W241" s="342"/>
      <c r="X241" s="342"/>
      <c r="Y241" s="342"/>
      <c r="Z241" s="342"/>
      <c r="AA241" s="342"/>
      <c r="AB241" s="342"/>
      <c r="AC241" s="342"/>
      <c r="AD241" s="342"/>
      <c r="AE241" s="342"/>
      <c r="AF241" s="342"/>
      <c r="AG241" s="342"/>
      <c r="AH241" s="342"/>
      <c r="AI241" s="342"/>
      <c r="AJ241" s="342"/>
      <c r="AK241" s="342"/>
      <c r="AL241" s="342"/>
      <c r="AM241" s="342"/>
      <c r="AN241" s="342"/>
      <c r="AO241" s="342"/>
      <c r="AP241" s="342"/>
      <c r="AQ241" s="342"/>
      <c r="AR241" s="342"/>
      <c r="AS241" s="342"/>
      <c r="AT241" s="342"/>
      <c r="AU241" s="342"/>
      <c r="AV241" s="342"/>
      <c r="AW241" s="342"/>
      <c r="AX241" s="342"/>
      <c r="AY241" s="342"/>
      <c r="AZ241" s="342"/>
      <c r="BA241" s="342"/>
      <c r="BB241" s="342"/>
      <c r="BC241" s="342"/>
      <c r="BD241" s="342"/>
      <c r="BE241" s="342"/>
      <c r="BF241" s="342"/>
      <c r="BG241" s="342"/>
      <c r="BH241" s="342"/>
      <c r="BI241" s="342"/>
      <c r="BJ241" s="342"/>
      <c r="BK241" s="342"/>
      <c r="BL241" s="342"/>
      <c r="BM241" s="344"/>
      <c r="BN241" s="344"/>
      <c r="BO241" s="342"/>
      <c r="BP241" s="345"/>
      <c r="BQ241" s="345"/>
      <c r="BR241" s="345"/>
      <c r="BS241" s="346"/>
      <c r="BT241" s="345"/>
      <c r="BU241" s="346"/>
      <c r="BV241" s="346"/>
      <c r="BW241" s="346"/>
      <c r="BX241" s="346"/>
      <c r="BY241" s="346"/>
      <c r="BZ241" s="346"/>
      <c r="CA241" s="346"/>
      <c r="CB241" s="346"/>
      <c r="CC241" s="346"/>
      <c r="CD241" s="346"/>
      <c r="CE241" s="347"/>
      <c r="CF241" s="346"/>
      <c r="CG241" s="346"/>
      <c r="CH241" s="346"/>
      <c r="CI241" s="346"/>
      <c r="CJ241" s="346"/>
      <c r="CK241" s="346"/>
      <c r="CL241" s="346"/>
      <c r="CM241" s="346"/>
      <c r="CN241" s="364"/>
      <c r="CO241" s="364"/>
      <c r="CP241" s="364"/>
      <c r="CQ241" s="284"/>
      <c r="CR241" s="284"/>
      <c r="CS241" s="368"/>
      <c r="CT241" s="369"/>
      <c r="CU241" s="369"/>
      <c r="CV241" s="370"/>
      <c r="CW241" s="369"/>
      <c r="CX241" s="369"/>
      <c r="CY241" s="568"/>
      <c r="CZ241" s="572"/>
      <c r="DA241" s="572"/>
      <c r="DB241" s="581"/>
      <c r="DC241" s="572"/>
      <c r="DD241" s="572"/>
      <c r="DE241" s="709"/>
      <c r="DF241" s="572"/>
      <c r="DG241" s="572"/>
      <c r="DH241" s="709"/>
      <c r="DI241" s="572">
        <v>492.46450324714607</v>
      </c>
      <c r="DJ241" s="572">
        <v>462.80120978043101</v>
      </c>
      <c r="DK241" s="709">
        <v>477.63285651378851</v>
      </c>
      <c r="DL241" s="572">
        <f>DI241*(1+DL242)</f>
        <v>531.86166350691781</v>
      </c>
      <c r="DM241" s="572">
        <f>DJ241*(1+DM242)</f>
        <v>446.70321325303911</v>
      </c>
      <c r="DN241" s="709">
        <f>(DN226*1000000)/((DN235*DN229)/10)</f>
        <v>489.28243837997843</v>
      </c>
      <c r="DO241" s="572">
        <f>DL241*(1+DO242)</f>
        <v>966.53066524460712</v>
      </c>
      <c r="DP241" s="572">
        <f>DO241</f>
        <v>966.53066524460712</v>
      </c>
      <c r="DQ241" s="709">
        <f>(DQ226*1000000)/((DQ235*DQ229)/10)</f>
        <v>966.53066524460712</v>
      </c>
      <c r="DR241" s="572">
        <f>DO241*(1+DR242)</f>
        <v>1031.3589415719898</v>
      </c>
      <c r="DS241" s="572">
        <f>DP241*(1+DS242)</f>
        <v>1031.3589415719898</v>
      </c>
      <c r="DT241" s="709">
        <f>(DT226*1000000)/((DT235*DT229)/10)</f>
        <v>1031.3589415719898</v>
      </c>
      <c r="DU241" s="572">
        <f>DR241*(1+DU242)</f>
        <v>1100.5354559457214</v>
      </c>
      <c r="DV241" s="572">
        <f>DS241*(1+DV242)</f>
        <v>1100.5354559457214</v>
      </c>
      <c r="DW241" s="709">
        <f>(DW226*1000000)/((DW235*DW229)/10)</f>
        <v>1100.5354559457214</v>
      </c>
      <c r="DX241" s="572">
        <f>DU241*(1+DX242)</f>
        <v>1174.3518584786666</v>
      </c>
      <c r="DY241" s="572">
        <f>DV241*(1+DY242)</f>
        <v>1174.3518584786666</v>
      </c>
      <c r="DZ241" s="709">
        <f>(DZ226*1000000)/((DZ235*DZ229)/10)</f>
        <v>1174.3518584786666</v>
      </c>
      <c r="EA241" s="572">
        <f>DX241*(1+EA242)</f>
        <v>1253.1193611815045</v>
      </c>
      <c r="EB241" s="572">
        <f>DY241*(1+EB242)</f>
        <v>1253.1193611815045</v>
      </c>
      <c r="EC241" s="709">
        <f>(EC226*1000000)/((EC235*EC229)/10)</f>
        <v>1253.1193611815045</v>
      </c>
      <c r="ED241" s="572">
        <f>EA241*(1+ED242)</f>
        <v>1337.1700500412401</v>
      </c>
      <c r="EE241" s="572">
        <f>EB241*(1+EE242)</f>
        <v>1337.1700500412401</v>
      </c>
      <c r="EF241" s="709">
        <f>(EF226*1000000)/((EF235*EF229)/10)</f>
        <v>1337.1700500412401</v>
      </c>
      <c r="EG241" s="572">
        <f>ED241*(1+EG242)</f>
        <v>1426.8582851049825</v>
      </c>
      <c r="EH241" s="572">
        <f>EE241*(1+EH242)</f>
        <v>1426.8582851049825</v>
      </c>
      <c r="EI241" s="709">
        <f>(EI226*1000000)/((EI235*EI229)/10)</f>
        <v>1426.8582851049825</v>
      </c>
      <c r="EJ241" s="572">
        <f>EG241*(1+EJ242)</f>
        <v>1522.5621944717809</v>
      </c>
      <c r="EK241" s="572">
        <f>EH241*(1+EK242)</f>
        <v>1522.5621944717809</v>
      </c>
      <c r="EL241" s="709">
        <f>(EL226*1000000)/((EL235*EL229)/10)</f>
        <v>1522.5621944717809</v>
      </c>
      <c r="EM241" s="572">
        <f>EJ241*(1+EM242)</f>
        <v>1624.6852684912303</v>
      </c>
      <c r="EN241" s="572">
        <f>EK241*(1+EN242)</f>
        <v>1624.6852684912303</v>
      </c>
      <c r="EO241" s="709">
        <f>(EO226*1000000)/((EO235*EO229)/10)</f>
        <v>1624.6852684912303</v>
      </c>
      <c r="EP241" s="572">
        <f>EM241*(1+EP242)</f>
        <v>1733.6580608900331</v>
      </c>
      <c r="EQ241" s="572">
        <f>EN241*(1+EQ242)</f>
        <v>1733.6580608900331</v>
      </c>
      <c r="ER241" s="709">
        <f>(ER226*1000000)/((ER235*ER229)/10)</f>
        <v>1733.6580608900331</v>
      </c>
      <c r="ES241" s="572">
        <f>EP241*(1+ES242)</f>
        <v>1849.9400039985119</v>
      </c>
      <c r="ET241" s="572">
        <f>EQ241*(1+ET242)</f>
        <v>1849.9400039985119</v>
      </c>
      <c r="EU241" s="709">
        <f>(EU226*1000000)/((EU235*EU229)/10)</f>
        <v>1849.9400039985117</v>
      </c>
      <c r="EV241" s="572">
        <f>ES241*(1+EV242)</f>
        <v>1974.0213457301204</v>
      </c>
      <c r="EW241" s="572">
        <f>ET241*(1+EW242)</f>
        <v>1974.0213457301204</v>
      </c>
      <c r="EX241" s="709">
        <f>(EX226*1000000)/((EX235*EX229)/10)</f>
        <v>1974.0213457301204</v>
      </c>
      <c r="EY241" s="572">
        <f>EV241*(1+EY242)</f>
        <v>2106.4252164803124</v>
      </c>
      <c r="EZ241" s="572">
        <f>EW241*(1+EZ242)</f>
        <v>2106.4252164803124</v>
      </c>
      <c r="FA241" s="581">
        <f>(FA226*1000000)/((FA235*FA229)/10)</f>
        <v>2106.4252164803124</v>
      </c>
      <c r="FB241" s="349"/>
      <c r="FC241" s="349"/>
      <c r="FD241" s="360"/>
      <c r="FE241" s="360"/>
      <c r="FF241" s="360"/>
      <c r="FG241" s="360"/>
      <c r="FH241" s="360"/>
      <c r="FI241" s="360"/>
      <c r="FJ241" s="360"/>
      <c r="FK241" s="360"/>
      <c r="FL241" s="360"/>
      <c r="FM241" s="360"/>
      <c r="FN241" s="360"/>
      <c r="FO241" s="360"/>
      <c r="FP241" s="349"/>
      <c r="FQ241" s="349"/>
      <c r="FR241" s="349"/>
      <c r="FS241" s="349"/>
      <c r="FT241" s="349"/>
      <c r="FU241" s="349"/>
      <c r="FV241" s="349"/>
      <c r="FW241" s="349"/>
      <c r="FX241" s="349"/>
      <c r="FY241" s="349"/>
      <c r="FZ241" s="349"/>
      <c r="GA241" s="349"/>
      <c r="GB241" s="349"/>
    </row>
    <row r="242" spans="1:184" s="350" customFormat="1" ht="13.35" hidden="1" customHeight="1" outlineLevel="1">
      <c r="A242" s="760"/>
      <c r="B242" s="342"/>
      <c r="C242" s="350" t="s">
        <v>690</v>
      </c>
      <c r="D242" s="363" t="s">
        <v>507</v>
      </c>
      <c r="E242" s="342"/>
      <c r="F242" s="342"/>
      <c r="G242" s="342"/>
      <c r="H242" s="342"/>
      <c r="I242" s="342"/>
      <c r="J242" s="342"/>
      <c r="K242" s="342"/>
      <c r="L242" s="342"/>
      <c r="M242" s="342"/>
      <c r="N242" s="342"/>
      <c r="O242" s="342"/>
      <c r="P242" s="342"/>
      <c r="Q242" s="342"/>
      <c r="R242" s="342"/>
      <c r="S242" s="342"/>
      <c r="T242" s="342"/>
      <c r="U242" s="342"/>
      <c r="V242" s="342"/>
      <c r="W242" s="342"/>
      <c r="X242" s="342"/>
      <c r="Y242" s="342"/>
      <c r="Z242" s="342"/>
      <c r="AA242" s="342"/>
      <c r="AB242" s="342"/>
      <c r="AC242" s="342"/>
      <c r="AD242" s="342"/>
      <c r="AE242" s="342"/>
      <c r="AF242" s="342"/>
      <c r="AG242" s="342"/>
      <c r="AH242" s="342"/>
      <c r="AI242" s="342"/>
      <c r="AJ242" s="342"/>
      <c r="AK242" s="342"/>
      <c r="AL242" s="342"/>
      <c r="AM242" s="342"/>
      <c r="AN242" s="342"/>
      <c r="AO242" s="342"/>
      <c r="AP242" s="342"/>
      <c r="AQ242" s="342"/>
      <c r="AR242" s="342"/>
      <c r="AS242" s="342"/>
      <c r="AT242" s="342"/>
      <c r="AU242" s="342"/>
      <c r="AV242" s="342"/>
      <c r="AW242" s="342"/>
      <c r="AX242" s="342"/>
      <c r="AY242" s="342"/>
      <c r="AZ242" s="342"/>
      <c r="BA242" s="342"/>
      <c r="BB242" s="342"/>
      <c r="BC242" s="342"/>
      <c r="BD242" s="342"/>
      <c r="BE242" s="342"/>
      <c r="BF242" s="342"/>
      <c r="BG242" s="342"/>
      <c r="BH242" s="342"/>
      <c r="BI242" s="342"/>
      <c r="BJ242" s="342"/>
      <c r="BK242" s="342"/>
      <c r="BL242" s="342"/>
      <c r="BM242" s="344"/>
      <c r="BN242" s="344"/>
      <c r="BO242" s="342"/>
      <c r="BP242" s="345"/>
      <c r="BQ242" s="345"/>
      <c r="BR242" s="345"/>
      <c r="BS242" s="346"/>
      <c r="BT242" s="345"/>
      <c r="BU242" s="346"/>
      <c r="BV242" s="346"/>
      <c r="BW242" s="346"/>
      <c r="BX242" s="346"/>
      <c r="BY242" s="346"/>
      <c r="BZ242" s="346"/>
      <c r="CA242" s="346"/>
      <c r="CB242" s="346"/>
      <c r="CC242" s="346"/>
      <c r="CD242" s="346"/>
      <c r="CE242" s="347"/>
      <c r="CF242" s="346"/>
      <c r="CG242" s="346"/>
      <c r="CH242" s="346"/>
      <c r="CI242" s="346"/>
      <c r="CJ242" s="346"/>
      <c r="CK242" s="346"/>
      <c r="CL242" s="346"/>
      <c r="CM242" s="346"/>
      <c r="CN242" s="364"/>
      <c r="CO242" s="364"/>
      <c r="CP242" s="364"/>
      <c r="CQ242" s="284"/>
      <c r="CR242" s="284"/>
      <c r="CS242" s="368"/>
      <c r="CT242" s="369"/>
      <c r="CU242" s="369"/>
      <c r="CV242" s="370"/>
      <c r="CW242" s="369"/>
      <c r="CX242" s="369"/>
      <c r="CY242" s="568"/>
      <c r="CZ242" s="389"/>
      <c r="DA242" s="389"/>
      <c r="DB242" s="568"/>
      <c r="DC242" s="391"/>
      <c r="DD242" s="389"/>
      <c r="DE242" s="706"/>
      <c r="DF242" s="392"/>
      <c r="DG242" s="389"/>
      <c r="DH242" s="706"/>
      <c r="DI242" s="592">
        <v>0.15</v>
      </c>
      <c r="DJ242" s="389">
        <v>0.1</v>
      </c>
      <c r="DK242" s="706">
        <v>1.1252209068934869</v>
      </c>
      <c r="DL242" s="391">
        <v>0.08</v>
      </c>
      <c r="DM242" s="391">
        <v>-3.4783825511237064E-2</v>
      </c>
      <c r="DN242" s="733">
        <f>DN241/DK241</f>
        <v>1.0243902439024388</v>
      </c>
      <c r="DO242" s="391">
        <v>0.81725950855646823</v>
      </c>
      <c r="DP242" s="391">
        <f>DP241/DM241-1</f>
        <v>1.163697588396587</v>
      </c>
      <c r="DQ242" s="706">
        <f>DQ241/DN241</f>
        <v>1.9754043665348071</v>
      </c>
      <c r="DR242" s="392">
        <v>6.7073170731707751E-2</v>
      </c>
      <c r="DS242" s="389">
        <f>DR242</f>
        <v>6.7073170731707751E-2</v>
      </c>
      <c r="DT242" s="706">
        <f>DT241/DQ241</f>
        <v>1.0670731707317078</v>
      </c>
      <c r="DU242" s="392">
        <f>DR242</f>
        <v>6.7073170731707751E-2</v>
      </c>
      <c r="DV242" s="389">
        <f>DU242</f>
        <v>6.7073170731707751E-2</v>
      </c>
      <c r="DW242" s="706">
        <f>DW241/DT241</f>
        <v>1.0670731707317078</v>
      </c>
      <c r="DX242" s="392">
        <f>DU242</f>
        <v>6.7073170731707751E-2</v>
      </c>
      <c r="DY242" s="389">
        <f>DX242</f>
        <v>6.7073170731707751E-2</v>
      </c>
      <c r="DZ242" s="706">
        <f>DZ241/DW241</f>
        <v>1.0670731707317078</v>
      </c>
      <c r="EA242" s="392">
        <f>DX242</f>
        <v>6.7073170731707751E-2</v>
      </c>
      <c r="EB242" s="389">
        <f>EA242</f>
        <v>6.7073170731707751E-2</v>
      </c>
      <c r="EC242" s="706">
        <f>EC241/DZ241</f>
        <v>1.0670731707317078</v>
      </c>
      <c r="ED242" s="392">
        <f>EA242</f>
        <v>6.7073170731707751E-2</v>
      </c>
      <c r="EE242" s="389">
        <f>ED242</f>
        <v>6.7073170731707751E-2</v>
      </c>
      <c r="EF242" s="706">
        <f>EF241/EC241</f>
        <v>1.0670731707317078</v>
      </c>
      <c r="EG242" s="392">
        <f>ED242</f>
        <v>6.7073170731707751E-2</v>
      </c>
      <c r="EH242" s="389">
        <f>EG242</f>
        <v>6.7073170731707751E-2</v>
      </c>
      <c r="EI242" s="706">
        <f>EI241/EF241</f>
        <v>1.0670731707317078</v>
      </c>
      <c r="EJ242" s="392">
        <f>EG242</f>
        <v>6.7073170731707751E-2</v>
      </c>
      <c r="EK242" s="389">
        <f>EJ242</f>
        <v>6.7073170731707751E-2</v>
      </c>
      <c r="EL242" s="706">
        <f>EL241/EI241</f>
        <v>1.0670731707317078</v>
      </c>
      <c r="EM242" s="392">
        <f>EJ242</f>
        <v>6.7073170731707751E-2</v>
      </c>
      <c r="EN242" s="389">
        <f>EM242</f>
        <v>6.7073170731707751E-2</v>
      </c>
      <c r="EO242" s="706">
        <f>EO241/EL241</f>
        <v>1.0670731707317078</v>
      </c>
      <c r="EP242" s="392">
        <f>EM242</f>
        <v>6.7073170731707751E-2</v>
      </c>
      <c r="EQ242" s="389">
        <f>EP242</f>
        <v>6.7073170731707751E-2</v>
      </c>
      <c r="ER242" s="706">
        <f>ER241/EO241</f>
        <v>1.0670731707317078</v>
      </c>
      <c r="ES242" s="392">
        <f>EP242</f>
        <v>6.7073170731707751E-2</v>
      </c>
      <c r="ET242" s="389">
        <f>ES242</f>
        <v>6.7073170731707751E-2</v>
      </c>
      <c r="EU242" s="706">
        <f>EU241/ER241</f>
        <v>1.0670731707317078</v>
      </c>
      <c r="EV242" s="392">
        <f>ES242</f>
        <v>6.7073170731707751E-2</v>
      </c>
      <c r="EW242" s="389">
        <f>EV242</f>
        <v>6.7073170731707751E-2</v>
      </c>
      <c r="EX242" s="706">
        <f>EX241/EU241</f>
        <v>1.067073170731708</v>
      </c>
      <c r="EY242" s="392">
        <f>EV242</f>
        <v>6.7073170731707751E-2</v>
      </c>
      <c r="EZ242" s="389">
        <f>EY242</f>
        <v>6.7073170731707751E-2</v>
      </c>
      <c r="FA242" s="568">
        <f>FA241/EX241</f>
        <v>1.0670731707317078</v>
      </c>
      <c r="FB242" s="349"/>
      <c r="FC242" s="349"/>
      <c r="FD242" s="360"/>
      <c r="FE242" s="360"/>
      <c r="FF242" s="360"/>
      <c r="FG242" s="360"/>
      <c r="FH242" s="360"/>
      <c r="FI242" s="360"/>
      <c r="FJ242" s="360"/>
      <c r="FK242" s="360"/>
      <c r="FL242" s="360"/>
      <c r="FM242" s="360"/>
      <c r="FN242" s="360"/>
      <c r="FO242" s="360"/>
      <c r="FP242" s="349"/>
      <c r="FQ242" s="349"/>
      <c r="FR242" s="349"/>
      <c r="FS242" s="349"/>
      <c r="FT242" s="349"/>
      <c r="FU242" s="349"/>
      <c r="FV242" s="349"/>
      <c r="FW242" s="349"/>
      <c r="FX242" s="349"/>
      <c r="FY242" s="349"/>
      <c r="FZ242" s="349"/>
      <c r="GA242" s="349"/>
      <c r="GB242" s="349"/>
    </row>
    <row r="243" spans="1:184" s="350" customFormat="1" ht="13.35" hidden="1" customHeight="1" outlineLevel="1">
      <c r="A243" s="760"/>
      <c r="B243" s="342"/>
      <c r="D243" s="363"/>
      <c r="E243" s="342"/>
      <c r="F243" s="342"/>
      <c r="G243" s="342"/>
      <c r="H243" s="342"/>
      <c r="I243" s="342"/>
      <c r="J243" s="342"/>
      <c r="K243" s="342"/>
      <c r="L243" s="342"/>
      <c r="M243" s="342"/>
      <c r="N243" s="342"/>
      <c r="O243" s="342"/>
      <c r="P243" s="342"/>
      <c r="Q243" s="342"/>
      <c r="R243" s="342"/>
      <c r="S243" s="342"/>
      <c r="T243" s="342"/>
      <c r="U243" s="342"/>
      <c r="V243" s="342"/>
      <c r="W243" s="342"/>
      <c r="X243" s="342"/>
      <c r="Y243" s="342"/>
      <c r="Z243" s="342"/>
      <c r="AA243" s="342"/>
      <c r="AB243" s="342"/>
      <c r="AC243" s="342"/>
      <c r="AD243" s="342"/>
      <c r="AE243" s="342"/>
      <c r="AF243" s="342"/>
      <c r="AG243" s="342"/>
      <c r="AH243" s="342"/>
      <c r="AI243" s="342"/>
      <c r="AJ243" s="342"/>
      <c r="AK243" s="342"/>
      <c r="AL243" s="342"/>
      <c r="AM243" s="342"/>
      <c r="AN243" s="342"/>
      <c r="AO243" s="342"/>
      <c r="AP243" s="342"/>
      <c r="AQ243" s="342"/>
      <c r="AR243" s="342"/>
      <c r="AS243" s="342"/>
      <c r="AT243" s="342"/>
      <c r="AU243" s="342"/>
      <c r="AV243" s="342"/>
      <c r="AW243" s="342"/>
      <c r="AX243" s="342"/>
      <c r="AY243" s="342"/>
      <c r="AZ243" s="342"/>
      <c r="BA243" s="342"/>
      <c r="BB243" s="342"/>
      <c r="BC243" s="342"/>
      <c r="BD243" s="342"/>
      <c r="BE243" s="342"/>
      <c r="BF243" s="342"/>
      <c r="BG243" s="342"/>
      <c r="BH243" s="342"/>
      <c r="BI243" s="342"/>
      <c r="BJ243" s="342"/>
      <c r="BK243" s="342"/>
      <c r="BL243" s="342"/>
      <c r="BM243" s="344"/>
      <c r="BN243" s="344"/>
      <c r="BO243" s="342"/>
      <c r="BP243" s="345"/>
      <c r="BQ243" s="345"/>
      <c r="BR243" s="345"/>
      <c r="BS243" s="346"/>
      <c r="BT243" s="345"/>
      <c r="BU243" s="346"/>
      <c r="BV243" s="346"/>
      <c r="BW243" s="346"/>
      <c r="BX243" s="346"/>
      <c r="BY243" s="346"/>
      <c r="BZ243" s="346"/>
      <c r="CA243" s="346"/>
      <c r="CB243" s="346"/>
      <c r="CC243" s="346"/>
      <c r="CD243" s="346"/>
      <c r="CE243" s="347"/>
      <c r="CF243" s="346"/>
      <c r="CG243" s="346"/>
      <c r="CH243" s="346"/>
      <c r="CI243" s="346"/>
      <c r="CJ243" s="346"/>
      <c r="CK243" s="346"/>
      <c r="CL243" s="346"/>
      <c r="CM243" s="346"/>
      <c r="CN243" s="364"/>
      <c r="CO243" s="364"/>
      <c r="CP243" s="364"/>
      <c r="CQ243" s="284"/>
      <c r="CR243" s="284"/>
      <c r="CS243" s="368"/>
      <c r="CT243" s="369"/>
      <c r="CU243" s="369"/>
      <c r="CV243" s="370"/>
      <c r="CW243" s="369"/>
      <c r="CX243" s="369"/>
      <c r="CY243" s="568"/>
      <c r="CZ243" s="389"/>
      <c r="DA243" s="389"/>
      <c r="DB243" s="568"/>
      <c r="DC243" s="389"/>
      <c r="DD243" s="389"/>
      <c r="DE243" s="706"/>
      <c r="DF243" s="389"/>
      <c r="DG243" s="389"/>
      <c r="DH243" s="706"/>
      <c r="DI243" s="389"/>
      <c r="DJ243" s="389"/>
      <c r="DK243" s="706"/>
      <c r="DL243" s="391"/>
      <c r="DM243" s="391"/>
      <c r="DN243" s="733"/>
      <c r="DO243" s="391"/>
      <c r="DP243" s="391"/>
      <c r="DQ243" s="706"/>
      <c r="DR243" s="389"/>
      <c r="DS243" s="389"/>
      <c r="DT243" s="706"/>
      <c r="DU243" s="389"/>
      <c r="DV243" s="389"/>
      <c r="DW243" s="706"/>
      <c r="DX243" s="389"/>
      <c r="DY243" s="389"/>
      <c r="DZ243" s="706"/>
      <c r="EA243" s="389"/>
      <c r="EB243" s="389"/>
      <c r="EC243" s="706"/>
      <c r="ED243" s="389"/>
      <c r="EE243" s="389"/>
      <c r="EF243" s="706"/>
      <c r="EG243" s="389"/>
      <c r="EH243" s="389"/>
      <c r="EI243" s="706"/>
      <c r="EJ243" s="389"/>
      <c r="EK243" s="389"/>
      <c r="EL243" s="706"/>
      <c r="EM243" s="389"/>
      <c r="EN243" s="389"/>
      <c r="EO243" s="706"/>
      <c r="EP243" s="389"/>
      <c r="EQ243" s="389"/>
      <c r="ER243" s="706"/>
      <c r="ES243" s="389"/>
      <c r="ET243" s="389"/>
      <c r="EU243" s="706"/>
      <c r="EV243" s="389"/>
      <c r="EW243" s="389"/>
      <c r="EX243" s="706"/>
      <c r="EY243" s="389"/>
      <c r="EZ243" s="389"/>
      <c r="FA243" s="568"/>
      <c r="FB243" s="349"/>
      <c r="FC243" s="349"/>
      <c r="FD243" s="360"/>
      <c r="FE243" s="360"/>
      <c r="FF243" s="360"/>
      <c r="FG243" s="360"/>
      <c r="FH243" s="360"/>
      <c r="FI243" s="360"/>
      <c r="FJ243" s="360"/>
      <c r="FK243" s="360"/>
      <c r="FL243" s="360"/>
      <c r="FM243" s="360"/>
      <c r="FN243" s="360"/>
      <c r="FO243" s="360"/>
      <c r="FP243" s="349"/>
      <c r="FQ243" s="349"/>
      <c r="FR243" s="349"/>
      <c r="FS243" s="349"/>
      <c r="FT243" s="349"/>
      <c r="FU243" s="349"/>
      <c r="FV243" s="349"/>
      <c r="FW243" s="349"/>
      <c r="FX243" s="349"/>
      <c r="FY243" s="349"/>
      <c r="FZ243" s="349"/>
      <c r="GA243" s="349"/>
      <c r="GB243" s="349"/>
    </row>
    <row r="244" spans="1:184" s="350" customFormat="1" ht="13.35" hidden="1" customHeight="1" outlineLevel="1">
      <c r="A244" s="760"/>
      <c r="B244" s="342"/>
      <c r="D244" s="363"/>
      <c r="E244" s="342"/>
      <c r="F244" s="342"/>
      <c r="G244" s="342"/>
      <c r="H244" s="342"/>
      <c r="I244" s="342"/>
      <c r="J244" s="342"/>
      <c r="K244" s="342"/>
      <c r="L244" s="342"/>
      <c r="M244" s="342"/>
      <c r="N244" s="342"/>
      <c r="O244" s="342"/>
      <c r="P244" s="342"/>
      <c r="Q244" s="342"/>
      <c r="R244" s="342"/>
      <c r="S244" s="342"/>
      <c r="T244" s="342"/>
      <c r="U244" s="342"/>
      <c r="V244" s="342"/>
      <c r="W244" s="342"/>
      <c r="X244" s="342"/>
      <c r="Y244" s="342"/>
      <c r="Z244" s="342"/>
      <c r="AA244" s="342"/>
      <c r="AB244" s="342"/>
      <c r="AC244" s="342"/>
      <c r="AD244" s="342"/>
      <c r="AE244" s="342"/>
      <c r="AF244" s="342"/>
      <c r="AG244" s="342"/>
      <c r="AH244" s="342"/>
      <c r="AI244" s="342"/>
      <c r="AJ244" s="342"/>
      <c r="AK244" s="342"/>
      <c r="AL244" s="342"/>
      <c r="AM244" s="342"/>
      <c r="AN244" s="342"/>
      <c r="AO244" s="342"/>
      <c r="AP244" s="342"/>
      <c r="AQ244" s="342"/>
      <c r="AR244" s="342"/>
      <c r="AS244" s="342"/>
      <c r="AT244" s="342"/>
      <c r="AU244" s="342"/>
      <c r="AV244" s="342"/>
      <c r="AW244" s="342"/>
      <c r="AX244" s="342"/>
      <c r="AY244" s="342"/>
      <c r="AZ244" s="342"/>
      <c r="BA244" s="342"/>
      <c r="BB244" s="342"/>
      <c r="BC244" s="342"/>
      <c r="BD244" s="342"/>
      <c r="BE244" s="342"/>
      <c r="BF244" s="342"/>
      <c r="BG244" s="342"/>
      <c r="BH244" s="342"/>
      <c r="BI244" s="342"/>
      <c r="BJ244" s="342"/>
      <c r="BK244" s="342"/>
      <c r="BL244" s="342"/>
      <c r="BM244" s="344"/>
      <c r="BN244" s="344"/>
      <c r="BO244" s="342"/>
      <c r="BP244" s="345"/>
      <c r="BQ244" s="345"/>
      <c r="BR244" s="345"/>
      <c r="BS244" s="346"/>
      <c r="BT244" s="345"/>
      <c r="BU244" s="346"/>
      <c r="BV244" s="346"/>
      <c r="BW244" s="346"/>
      <c r="BX244" s="346"/>
      <c r="BY244" s="346"/>
      <c r="BZ244" s="346"/>
      <c r="CA244" s="346"/>
      <c r="CB244" s="346"/>
      <c r="CC244" s="346"/>
      <c r="CD244" s="346"/>
      <c r="CE244" s="347"/>
      <c r="CF244" s="346"/>
      <c r="CG244" s="346"/>
      <c r="CH244" s="346"/>
      <c r="CI244" s="346"/>
      <c r="CJ244" s="346"/>
      <c r="CK244" s="346"/>
      <c r="CL244" s="346"/>
      <c r="CM244" s="346"/>
      <c r="CN244" s="364"/>
      <c r="CO244" s="364"/>
      <c r="CP244" s="364"/>
      <c r="CQ244" s="284"/>
      <c r="CR244" s="284"/>
      <c r="CS244" s="368"/>
      <c r="CT244" s="369"/>
      <c r="CU244" s="369"/>
      <c r="CV244" s="370"/>
      <c r="CW244" s="369"/>
      <c r="CX244" s="369"/>
      <c r="CY244" s="568"/>
      <c r="CZ244" s="389"/>
      <c r="DA244" s="389"/>
      <c r="DB244" s="568"/>
      <c r="DC244" s="389"/>
      <c r="DD244" s="389"/>
      <c r="DE244" s="706"/>
      <c r="DF244" s="389"/>
      <c r="DG244" s="389"/>
      <c r="DH244" s="706"/>
      <c r="DI244" s="389"/>
      <c r="DJ244" s="389"/>
      <c r="DK244" s="706"/>
      <c r="DL244" s="391"/>
      <c r="DM244" s="391"/>
      <c r="DN244" s="733"/>
      <c r="DO244" s="391"/>
      <c r="DP244" s="391"/>
      <c r="DQ244" s="706"/>
      <c r="DR244" s="389"/>
      <c r="DS244" s="389"/>
      <c r="DT244" s="706"/>
      <c r="DU244" s="389"/>
      <c r="DV244" s="389"/>
      <c r="DW244" s="706"/>
      <c r="DX244" s="389"/>
      <c r="DY244" s="389"/>
      <c r="DZ244" s="706"/>
      <c r="EA244" s="389"/>
      <c r="EB244" s="389"/>
      <c r="EC244" s="706"/>
      <c r="ED244" s="389"/>
      <c r="EE244" s="389"/>
      <c r="EF244" s="706"/>
      <c r="EG244" s="389"/>
      <c r="EH244" s="389"/>
      <c r="EI244" s="706"/>
      <c r="EJ244" s="389"/>
      <c r="EK244" s="389"/>
      <c r="EL244" s="706"/>
      <c r="EM244" s="389"/>
      <c r="EN244" s="389"/>
      <c r="EO244" s="706"/>
      <c r="EP244" s="389"/>
      <c r="EQ244" s="389"/>
      <c r="ER244" s="706"/>
      <c r="ES244" s="389"/>
      <c r="ET244" s="389"/>
      <c r="EU244" s="706"/>
      <c r="EV244" s="389"/>
      <c r="EW244" s="389"/>
      <c r="EX244" s="706"/>
      <c r="EY244" s="389"/>
      <c r="EZ244" s="389"/>
      <c r="FA244" s="568"/>
      <c r="FB244" s="349"/>
      <c r="FC244" s="349"/>
      <c r="FD244" s="360"/>
      <c r="FE244" s="360"/>
      <c r="FF244" s="360"/>
      <c r="FG244" s="360"/>
      <c r="FH244" s="360"/>
      <c r="FI244" s="360"/>
      <c r="FJ244" s="360"/>
      <c r="FK244" s="360"/>
      <c r="FL244" s="360"/>
      <c r="FM244" s="360"/>
      <c r="FN244" s="360"/>
      <c r="FO244" s="360"/>
      <c r="FP244" s="349"/>
      <c r="FQ244" s="349"/>
      <c r="FR244" s="349"/>
      <c r="FS244" s="349"/>
      <c r="FT244" s="349"/>
      <c r="FU244" s="349"/>
      <c r="FV244" s="349"/>
      <c r="FW244" s="349"/>
      <c r="FX244" s="349"/>
      <c r="FY244" s="349"/>
      <c r="FZ244" s="349"/>
      <c r="GA244" s="349"/>
      <c r="GB244" s="349"/>
    </row>
    <row r="245" spans="1:184" s="350" customFormat="1" ht="12.75" hidden="1" customHeight="1" outlineLevel="1">
      <c r="A245" s="760"/>
      <c r="B245" s="342"/>
      <c r="C245" s="350" t="s">
        <v>826</v>
      </c>
      <c r="D245" s="363"/>
      <c r="E245" s="342"/>
      <c r="F245" s="342"/>
      <c r="G245" s="342"/>
      <c r="H245" s="342"/>
      <c r="I245" s="342"/>
      <c r="J245" s="342"/>
      <c r="K245" s="342"/>
      <c r="L245" s="342"/>
      <c r="M245" s="342"/>
      <c r="N245" s="342"/>
      <c r="O245" s="342"/>
      <c r="P245" s="342"/>
      <c r="Q245" s="342"/>
      <c r="R245" s="342"/>
      <c r="S245" s="342"/>
      <c r="T245" s="342"/>
      <c r="U245" s="342"/>
      <c r="V245" s="342"/>
      <c r="W245" s="342"/>
      <c r="X245" s="342"/>
      <c r="Y245" s="342"/>
      <c r="Z245" s="342"/>
      <c r="AA245" s="342"/>
      <c r="AB245" s="342"/>
      <c r="AC245" s="342"/>
      <c r="AD245" s="342"/>
      <c r="AE245" s="342"/>
      <c r="AF245" s="342"/>
      <c r="AG245" s="342"/>
      <c r="AH245" s="342"/>
      <c r="AI245" s="342"/>
      <c r="AJ245" s="342"/>
      <c r="AK245" s="342"/>
      <c r="AL245" s="342"/>
      <c r="AM245" s="342"/>
      <c r="AN245" s="342"/>
      <c r="AO245" s="342"/>
      <c r="AP245" s="342"/>
      <c r="AQ245" s="342"/>
      <c r="AR245" s="342"/>
      <c r="AS245" s="342"/>
      <c r="AT245" s="342"/>
      <c r="AU245" s="342"/>
      <c r="AV245" s="342"/>
      <c r="AW245" s="342"/>
      <c r="AX245" s="342"/>
      <c r="AY245" s="342"/>
      <c r="AZ245" s="342"/>
      <c r="BA245" s="342"/>
      <c r="BB245" s="342"/>
      <c r="BC245" s="342"/>
      <c r="BD245" s="342"/>
      <c r="BE245" s="342"/>
      <c r="BF245" s="342"/>
      <c r="BG245" s="342"/>
      <c r="BH245" s="342"/>
      <c r="BI245" s="342"/>
      <c r="BJ245" s="342"/>
      <c r="BK245" s="342"/>
      <c r="BL245" s="342"/>
      <c r="BM245" s="344"/>
      <c r="BN245" s="344"/>
      <c r="BO245" s="342"/>
      <c r="BP245" s="345"/>
      <c r="BQ245" s="345"/>
      <c r="BR245" s="345"/>
      <c r="BS245" s="346"/>
      <c r="BT245" s="345"/>
      <c r="BU245" s="346"/>
      <c r="BV245" s="346"/>
      <c r="BW245" s="346"/>
      <c r="BX245" s="346"/>
      <c r="BY245" s="346"/>
      <c r="BZ245" s="346"/>
      <c r="CA245" s="346"/>
      <c r="CB245" s="346"/>
      <c r="CC245" s="346"/>
      <c r="CD245" s="346"/>
      <c r="CE245" s="347"/>
      <c r="CF245" s="346"/>
      <c r="CG245" s="346"/>
      <c r="CH245" s="346"/>
      <c r="CI245" s="346"/>
      <c r="CJ245" s="346"/>
      <c r="CK245" s="346"/>
      <c r="CL245" s="346"/>
      <c r="CM245" s="346"/>
      <c r="CN245" s="364"/>
      <c r="CO245" s="364"/>
      <c r="CP245" s="364"/>
      <c r="CQ245" s="284"/>
      <c r="CR245" s="284"/>
      <c r="CS245" s="368"/>
      <c r="CT245" s="369"/>
      <c r="CU245" s="369"/>
      <c r="CV245" s="370"/>
      <c r="CW245" s="369"/>
      <c r="CX245" s="369"/>
      <c r="CY245" s="568"/>
      <c r="CZ245" s="389"/>
      <c r="DA245" s="389"/>
      <c r="DB245" s="568"/>
      <c r="DC245" s="389"/>
      <c r="DD245" s="389"/>
      <c r="DE245" s="706"/>
      <c r="DF245" s="389"/>
      <c r="DG245" s="389"/>
      <c r="DH245" s="706"/>
      <c r="DI245" s="389">
        <v>0.5</v>
      </c>
      <c r="DJ245" s="389">
        <v>0.5</v>
      </c>
      <c r="DK245" s="706">
        <v>0.5</v>
      </c>
      <c r="DL245" s="391">
        <v>0.5</v>
      </c>
      <c r="DM245" s="391">
        <f>DL245</f>
        <v>0.5</v>
      </c>
      <c r="DN245" s="733">
        <f>DM245</f>
        <v>0.5</v>
      </c>
      <c r="DO245" s="391">
        <v>0.5</v>
      </c>
      <c r="DP245" s="391">
        <f>DO245</f>
        <v>0.5</v>
      </c>
      <c r="DQ245" s="706">
        <f>DP245</f>
        <v>0.5</v>
      </c>
      <c r="DR245" s="389">
        <v>0.5</v>
      </c>
      <c r="DS245" s="389">
        <f>DR245</f>
        <v>0.5</v>
      </c>
      <c r="DT245" s="706">
        <f>DS245</f>
        <v>0.5</v>
      </c>
      <c r="DU245" s="389">
        <v>0.5</v>
      </c>
      <c r="DV245" s="389">
        <f>DU245</f>
        <v>0.5</v>
      </c>
      <c r="DW245" s="706">
        <f>DV245</f>
        <v>0.5</v>
      </c>
      <c r="DX245" s="389">
        <v>0.5</v>
      </c>
      <c r="DY245" s="389">
        <f>DX245</f>
        <v>0.5</v>
      </c>
      <c r="DZ245" s="706">
        <f>DY245</f>
        <v>0.5</v>
      </c>
      <c r="EA245" s="389">
        <v>0.5</v>
      </c>
      <c r="EB245" s="389">
        <f>EA245</f>
        <v>0.5</v>
      </c>
      <c r="EC245" s="706">
        <f>EB245</f>
        <v>0.5</v>
      </c>
      <c r="ED245" s="389">
        <v>0.5</v>
      </c>
      <c r="EE245" s="389">
        <f>ED245</f>
        <v>0.5</v>
      </c>
      <c r="EF245" s="706">
        <f>EE245</f>
        <v>0.5</v>
      </c>
      <c r="EG245" s="389">
        <v>0.5</v>
      </c>
      <c r="EH245" s="389">
        <f>EG245</f>
        <v>0.5</v>
      </c>
      <c r="EI245" s="706">
        <f>EH245</f>
        <v>0.5</v>
      </c>
      <c r="EJ245" s="389">
        <v>0.5</v>
      </c>
      <c r="EK245" s="389">
        <f>EJ245</f>
        <v>0.5</v>
      </c>
      <c r="EL245" s="706">
        <f>EK245</f>
        <v>0.5</v>
      </c>
      <c r="EM245" s="389">
        <v>0.5</v>
      </c>
      <c r="EN245" s="389">
        <f>EM245</f>
        <v>0.5</v>
      </c>
      <c r="EO245" s="706">
        <f>EN245</f>
        <v>0.5</v>
      </c>
      <c r="EP245" s="389">
        <v>0.5</v>
      </c>
      <c r="EQ245" s="389">
        <f>EP245</f>
        <v>0.5</v>
      </c>
      <c r="ER245" s="706">
        <f>EQ245</f>
        <v>0.5</v>
      </c>
      <c r="ES245" s="389">
        <v>1.5</v>
      </c>
      <c r="ET245" s="389">
        <f>ES245</f>
        <v>1.5</v>
      </c>
      <c r="EU245" s="706">
        <f>ET245</f>
        <v>1.5</v>
      </c>
      <c r="EV245" s="389">
        <v>1.5</v>
      </c>
      <c r="EW245" s="389">
        <f>EV245</f>
        <v>1.5</v>
      </c>
      <c r="EX245" s="706">
        <f>EW245</f>
        <v>1.5</v>
      </c>
      <c r="EY245" s="389">
        <v>1.5</v>
      </c>
      <c r="EZ245" s="389">
        <f>EY245</f>
        <v>1.5</v>
      </c>
      <c r="FA245" s="568">
        <f>EZ245</f>
        <v>1.5</v>
      </c>
      <c r="FB245" s="349"/>
      <c r="FC245" s="349"/>
      <c r="FD245" s="360"/>
      <c r="FE245" s="360"/>
      <c r="FF245" s="360"/>
      <c r="FG245" s="360"/>
      <c r="FH245" s="360"/>
      <c r="FI245" s="360"/>
      <c r="FJ245" s="360"/>
      <c r="FK245" s="360"/>
      <c r="FL245" s="360"/>
      <c r="FM245" s="360"/>
      <c r="FN245" s="360"/>
      <c r="FO245" s="360"/>
      <c r="FP245" s="349"/>
      <c r="FQ245" s="349"/>
      <c r="FR245" s="349"/>
      <c r="FS245" s="349"/>
      <c r="FT245" s="349"/>
      <c r="FU245" s="349"/>
      <c r="FV245" s="349"/>
      <c r="FW245" s="349"/>
      <c r="FX245" s="349"/>
      <c r="FY245" s="349"/>
      <c r="FZ245" s="349"/>
      <c r="GA245" s="349"/>
      <c r="GB245" s="349"/>
    </row>
    <row r="246" spans="1:184" s="350" customFormat="1" ht="12.75" hidden="1" customHeight="1" outlineLevel="1">
      <c r="A246" s="760"/>
      <c r="B246" s="342"/>
      <c r="D246" s="363"/>
      <c r="E246" s="342"/>
      <c r="F246" s="342"/>
      <c r="G246" s="342"/>
      <c r="H246" s="342"/>
      <c r="I246" s="342"/>
      <c r="J246" s="342"/>
      <c r="K246" s="342"/>
      <c r="L246" s="342"/>
      <c r="M246" s="342"/>
      <c r="N246" s="342"/>
      <c r="O246" s="342"/>
      <c r="P246" s="342"/>
      <c r="Q246" s="342"/>
      <c r="R246" s="342"/>
      <c r="S246" s="342"/>
      <c r="T246" s="342"/>
      <c r="U246" s="342"/>
      <c r="V246" s="342"/>
      <c r="W246" s="342"/>
      <c r="X246" s="342"/>
      <c r="Y246" s="342"/>
      <c r="Z246" s="342"/>
      <c r="AA246" s="342"/>
      <c r="AB246" s="342"/>
      <c r="AC246" s="342"/>
      <c r="AD246" s="342"/>
      <c r="AE246" s="342"/>
      <c r="AF246" s="342"/>
      <c r="AG246" s="342"/>
      <c r="AH246" s="342"/>
      <c r="AI246" s="342"/>
      <c r="AJ246" s="342"/>
      <c r="AK246" s="342"/>
      <c r="AL246" s="342"/>
      <c r="AM246" s="342"/>
      <c r="AN246" s="342"/>
      <c r="AO246" s="342"/>
      <c r="AP246" s="342"/>
      <c r="AQ246" s="342"/>
      <c r="AR246" s="342"/>
      <c r="AS246" s="342"/>
      <c r="AT246" s="342"/>
      <c r="AU246" s="342"/>
      <c r="AV246" s="342"/>
      <c r="AW246" s="342"/>
      <c r="AX246" s="342"/>
      <c r="AY246" s="342"/>
      <c r="AZ246" s="342"/>
      <c r="BA246" s="342"/>
      <c r="BB246" s="342"/>
      <c r="BC246" s="342"/>
      <c r="BD246" s="342"/>
      <c r="BE246" s="342"/>
      <c r="BF246" s="342"/>
      <c r="BG246" s="342"/>
      <c r="BH246" s="342"/>
      <c r="BI246" s="342"/>
      <c r="BJ246" s="342"/>
      <c r="BK246" s="342"/>
      <c r="BL246" s="342"/>
      <c r="BM246" s="344"/>
      <c r="BN246" s="344"/>
      <c r="BO246" s="342"/>
      <c r="BP246" s="345"/>
      <c r="BQ246" s="345"/>
      <c r="BR246" s="345"/>
      <c r="BS246" s="346"/>
      <c r="BT246" s="345"/>
      <c r="BU246" s="346"/>
      <c r="BV246" s="346"/>
      <c r="BW246" s="346"/>
      <c r="BX246" s="346"/>
      <c r="BY246" s="346"/>
      <c r="BZ246" s="346"/>
      <c r="CA246" s="346"/>
      <c r="CB246" s="346"/>
      <c r="CC246" s="346"/>
      <c r="CD246" s="346"/>
      <c r="CE246" s="347"/>
      <c r="CF246" s="346"/>
      <c r="CG246" s="346"/>
      <c r="CH246" s="346"/>
      <c r="CI246" s="346"/>
      <c r="CJ246" s="346"/>
      <c r="CK246" s="346"/>
      <c r="CL246" s="346"/>
      <c r="CM246" s="346"/>
      <c r="CN246" s="364"/>
      <c r="CO246" s="364"/>
      <c r="CP246" s="364"/>
      <c r="CQ246" s="284"/>
      <c r="CR246" s="284"/>
      <c r="CS246" s="368"/>
      <c r="CT246" s="369"/>
      <c r="CU246" s="369"/>
      <c r="CV246" s="370"/>
      <c r="CW246" s="369"/>
      <c r="CX246" s="369"/>
      <c r="CY246" s="568"/>
      <c r="CZ246" s="389"/>
      <c r="DA246" s="389"/>
      <c r="DB246" s="568"/>
      <c r="DC246" s="389"/>
      <c r="DD246" s="389"/>
      <c r="DE246" s="706"/>
      <c r="DF246" s="389"/>
      <c r="DG246" s="389"/>
      <c r="DH246" s="706"/>
      <c r="DI246" s="389"/>
      <c r="DJ246" s="389"/>
      <c r="DK246" s="706"/>
      <c r="DL246" s="391"/>
      <c r="DM246" s="391"/>
      <c r="DN246" s="733"/>
      <c r="DO246" s="391"/>
      <c r="DP246" s="391"/>
      <c r="DQ246" s="706"/>
      <c r="DR246" s="389"/>
      <c r="DS246" s="389"/>
      <c r="DT246" s="706"/>
      <c r="DU246" s="389"/>
      <c r="DV246" s="389"/>
      <c r="DW246" s="706"/>
      <c r="DX246" s="389"/>
      <c r="DY246" s="389"/>
      <c r="DZ246" s="706"/>
      <c r="EA246" s="389"/>
      <c r="EB246" s="389"/>
      <c r="EC246" s="706"/>
      <c r="ED246" s="389"/>
      <c r="EE246" s="389"/>
      <c r="EF246" s="706"/>
      <c r="EG246" s="389"/>
      <c r="EH246" s="389"/>
      <c r="EI246" s="706"/>
      <c r="EJ246" s="389"/>
      <c r="EK246" s="389"/>
      <c r="EL246" s="706"/>
      <c r="EM246" s="389"/>
      <c r="EN246" s="389"/>
      <c r="EO246" s="706"/>
      <c r="EP246" s="389"/>
      <c r="EQ246" s="389"/>
      <c r="ER246" s="706"/>
      <c r="ES246" s="389"/>
      <c r="ET246" s="389"/>
      <c r="EU246" s="706"/>
      <c r="EV246" s="389"/>
      <c r="EW246" s="389"/>
      <c r="EX246" s="706"/>
      <c r="EY246" s="389"/>
      <c r="EZ246" s="389"/>
      <c r="FA246" s="568"/>
      <c r="FB246" s="349"/>
      <c r="FC246" s="349"/>
      <c r="FD246" s="360"/>
      <c r="FE246" s="360"/>
      <c r="FF246" s="360"/>
      <c r="FG246" s="360"/>
      <c r="FH246" s="360"/>
      <c r="FI246" s="360"/>
      <c r="FJ246" s="360"/>
      <c r="FK246" s="360"/>
      <c r="FL246" s="360"/>
      <c r="FM246" s="360"/>
      <c r="FN246" s="360"/>
      <c r="FO246" s="360"/>
      <c r="FP246" s="349"/>
      <c r="FQ246" s="349"/>
      <c r="FR246" s="349"/>
      <c r="FS246" s="349"/>
      <c r="FT246" s="349"/>
      <c r="FU246" s="349"/>
      <c r="FV246" s="349"/>
      <c r="FW246" s="349"/>
      <c r="FX246" s="349"/>
      <c r="FY246" s="349"/>
      <c r="FZ246" s="349"/>
      <c r="GA246" s="349"/>
      <c r="GB246" s="349"/>
    </row>
    <row r="247" spans="1:184" ht="13.35" hidden="1" customHeight="1" outlineLevel="1">
      <c r="C247" s="177" t="s">
        <v>769</v>
      </c>
      <c r="D247" s="294" t="s">
        <v>357</v>
      </c>
      <c r="BS247" s="198"/>
      <c r="BU247" s="254"/>
      <c r="BV247" s="198"/>
      <c r="BW247" s="198"/>
      <c r="BX247" s="79"/>
      <c r="BY247" s="198"/>
      <c r="BZ247" s="198"/>
      <c r="CA247" s="79"/>
      <c r="CB247" s="198"/>
      <c r="CC247" s="198"/>
      <c r="CD247" s="79"/>
      <c r="CE247" s="198"/>
      <c r="CF247" s="198"/>
      <c r="CG247" s="79"/>
      <c r="CH247" s="198"/>
      <c r="CI247" s="198"/>
      <c r="CJ247" s="79"/>
      <c r="CK247" s="198"/>
      <c r="CL247" s="198"/>
      <c r="CM247" s="79"/>
      <c r="CN247" s="198"/>
      <c r="CO247" s="198"/>
      <c r="CP247" s="79"/>
      <c r="CQ247" s="198"/>
      <c r="CR247" s="198"/>
      <c r="CS247" s="79"/>
      <c r="CT247" s="198"/>
      <c r="CU247" s="198"/>
      <c r="CV247" s="79"/>
      <c r="CW247" s="198"/>
      <c r="CX247" s="198"/>
      <c r="CY247" s="488"/>
      <c r="CZ247" s="489"/>
      <c r="DA247" s="489"/>
      <c r="DB247" s="488"/>
      <c r="DC247" s="489"/>
      <c r="DD247" s="489"/>
      <c r="DE247" s="783"/>
      <c r="DF247" s="489"/>
      <c r="DG247" s="489"/>
      <c r="DH247" s="783"/>
      <c r="DI247" s="605">
        <v>90.169829400288194</v>
      </c>
      <c r="DJ247" s="605">
        <v>43.570350489802017</v>
      </c>
      <c r="DK247" s="828">
        <v>133.74017989009022</v>
      </c>
      <c r="DL247" s="605">
        <f>(1+DL248)*DI247</f>
        <v>62.217182286198849</v>
      </c>
      <c r="DM247" s="605">
        <f>(1+DM248)*DJ247</f>
        <v>48.672438532157834</v>
      </c>
      <c r="DN247" s="828">
        <f>SUM(DL247:DM247)</f>
        <v>110.88962081835669</v>
      </c>
      <c r="DO247" s="839">
        <f>(1+DO248)*DL247</f>
        <v>63.461525931922829</v>
      </c>
      <c r="DP247" s="839">
        <f>(1+DP248)*DM247</f>
        <v>52.566233614730464</v>
      </c>
      <c r="DQ247" s="828">
        <f>SUM(DO247:DP247)</f>
        <v>116.0277595466533</v>
      </c>
      <c r="DR247" s="839">
        <f>(1+DR248)*DO247</f>
        <v>66.634602228518972</v>
      </c>
      <c r="DS247" s="839">
        <f>(1+DS248)*DP247</f>
        <v>68.336103699149604</v>
      </c>
      <c r="DT247" s="828">
        <f>SUM(DR247:DS247)</f>
        <v>134.97070592766858</v>
      </c>
      <c r="DU247" s="646">
        <f>+DR247*(1+DU248)</f>
        <v>69.966332339944927</v>
      </c>
      <c r="DV247" s="839">
        <f>(1+DV248)*DS247</f>
        <v>88.836934808894483</v>
      </c>
      <c r="DW247" s="828">
        <f>SUM(DU247:DV247)</f>
        <v>158.80326714883941</v>
      </c>
      <c r="DX247" s="646">
        <f>+DU247*(1+DX248)</f>
        <v>90.956232041928402</v>
      </c>
      <c r="DY247" s="646">
        <f>+DV247*(1+DY248)</f>
        <v>115.48801525156283</v>
      </c>
      <c r="DZ247" s="674">
        <f>+SUM(DX247:DY247)</f>
        <v>206.44424729349123</v>
      </c>
      <c r="EA247" s="646">
        <f>+DX247*(1+EA248)</f>
        <v>118.24310165450693</v>
      </c>
      <c r="EB247" s="646">
        <f>+DY247*(1+EB248)</f>
        <v>150.13441982703168</v>
      </c>
      <c r="EC247" s="674">
        <f>+SUM(EA247:EB247)</f>
        <v>268.37752148153862</v>
      </c>
      <c r="ED247" s="646">
        <f>+EA247*(1+ED248)</f>
        <v>153.71603215085901</v>
      </c>
      <c r="EE247" s="646">
        <f>+EB247*(1+EE248)</f>
        <v>195.17474577514119</v>
      </c>
      <c r="EF247" s="674">
        <f>+SUM(ED247:EE247)</f>
        <v>348.89077792600017</v>
      </c>
      <c r="EG247" s="646">
        <f>+ED247*(1+EG248)</f>
        <v>199.83084179611672</v>
      </c>
      <c r="EH247" s="646">
        <f>+EE247*(1+EH248)</f>
        <v>253.72716950768356</v>
      </c>
      <c r="EI247" s="674">
        <f>+SUM(EG247:EH247)</f>
        <v>453.5580113038003</v>
      </c>
      <c r="EJ247" s="646">
        <f>+EG247*(1+EJ248)</f>
        <v>259.78009433495174</v>
      </c>
      <c r="EK247" s="646">
        <f>+EH247*(1+EK248)</f>
        <v>329.84532035998865</v>
      </c>
      <c r="EL247" s="674">
        <f>+SUM(EJ247:EK247)</f>
        <v>589.62541469494045</v>
      </c>
      <c r="EM247" s="646">
        <f>+EJ247*(1+EM248)</f>
        <v>337.71412263543726</v>
      </c>
      <c r="EN247" s="646">
        <f>+EK247*(1+EN248)</f>
        <v>428.79891646798524</v>
      </c>
      <c r="EO247" s="674">
        <f>+SUM(EM247:EN247)</f>
        <v>766.51303910342244</v>
      </c>
      <c r="EP247" s="646">
        <f>+EM247*(1+EP248)</f>
        <v>439.02835942606845</v>
      </c>
      <c r="EQ247" s="646">
        <f>+EN247*(1+EQ248)</f>
        <v>557.43859140838083</v>
      </c>
      <c r="ER247" s="674">
        <f>+SUM(EP247:EQ247)</f>
        <v>996.46695083444934</v>
      </c>
      <c r="ES247" s="646">
        <f>+EP247*(1+ES248)</f>
        <v>570.73686725388905</v>
      </c>
      <c r="ET247" s="646">
        <f>+EQ247*(1+ET248)</f>
        <v>724.67016883089514</v>
      </c>
      <c r="EU247" s="674">
        <f>+SUM(ES247:ET247)</f>
        <v>1295.4070360847841</v>
      </c>
      <c r="EV247" s="646">
        <f>+ES247*(1+EV248)</f>
        <v>741.95792743005575</v>
      </c>
      <c r="EW247" s="646">
        <f>+ET247*(1+EW248)</f>
        <v>942.07121948016368</v>
      </c>
      <c r="EX247" s="674">
        <f>+SUM(EV247:EW247)</f>
        <v>1684.0291469102194</v>
      </c>
      <c r="EY247" s="646">
        <f>+EV247*(1+EY248)</f>
        <v>964.54530565907248</v>
      </c>
      <c r="EZ247" s="646">
        <f>+EW247*(1+EZ248)</f>
        <v>1224.6925853242128</v>
      </c>
      <c r="FA247" s="776">
        <f>+SUM(EY247:EZ247)</f>
        <v>2189.2378909832851</v>
      </c>
    </row>
    <row r="248" spans="1:184" ht="13.35" hidden="1" customHeight="1" outlineLevel="1">
      <c r="B248" s="296"/>
      <c r="C248" s="177" t="s">
        <v>178</v>
      </c>
      <c r="D248" s="294" t="s">
        <v>507</v>
      </c>
      <c r="BS248" s="284"/>
      <c r="BU248" s="285"/>
      <c r="BV248" s="284"/>
      <c r="BW248" s="284"/>
      <c r="BX248" s="66"/>
      <c r="BY248" s="284"/>
      <c r="BZ248" s="284"/>
      <c r="CA248" s="66"/>
      <c r="CB248" s="284"/>
      <c r="CC248" s="284"/>
      <c r="CD248" s="66"/>
      <c r="CE248" s="284"/>
      <c r="CF248" s="284"/>
      <c r="CG248" s="66"/>
      <c r="CH248" s="284"/>
      <c r="CI248" s="284"/>
      <c r="CJ248" s="66"/>
      <c r="CK248" s="284"/>
      <c r="CL248" s="284"/>
      <c r="CM248" s="66"/>
      <c r="CN248" s="284"/>
      <c r="CO248" s="284"/>
      <c r="CP248" s="66"/>
      <c r="CQ248" s="284"/>
      <c r="CR248" s="284"/>
      <c r="CS248" s="66"/>
      <c r="CT248" s="284"/>
      <c r="CU248" s="284"/>
      <c r="CV248" s="66"/>
      <c r="CW248" s="284"/>
      <c r="CX248" s="284"/>
      <c r="CY248" s="306"/>
      <c r="CZ248" s="305"/>
      <c r="DA248" s="305"/>
      <c r="DB248" s="306"/>
      <c r="DC248" s="305"/>
      <c r="DD248" s="305"/>
      <c r="DE248" s="786"/>
      <c r="DF248" s="305"/>
      <c r="DG248" s="305"/>
      <c r="DH248" s="786"/>
      <c r="DI248" s="305"/>
      <c r="DJ248" s="305"/>
      <c r="DK248" s="699"/>
      <c r="DL248" s="495">
        <v>-0.31</v>
      </c>
      <c r="DM248" s="302">
        <v>0.11710000000000001</v>
      </c>
      <c r="DN248" s="700">
        <f>DN247/DK247-1</f>
        <v>-0.17085784609017629</v>
      </c>
      <c r="DO248" s="302">
        <v>0.02</v>
      </c>
      <c r="DP248" s="302">
        <v>0.08</v>
      </c>
      <c r="DQ248" s="699">
        <f>DQ247/DN247-1</f>
        <v>4.6335614554162463E-2</v>
      </c>
      <c r="DR248" s="305">
        <v>0.05</v>
      </c>
      <c r="DS248" s="305">
        <v>0.3</v>
      </c>
      <c r="DT248" s="699">
        <f>DT247/DQ247-1</f>
        <v>0.16326219221184357</v>
      </c>
      <c r="DU248" s="595">
        <v>0.05</v>
      </c>
      <c r="DV248" s="305">
        <v>0.3</v>
      </c>
      <c r="DW248" s="699">
        <f>DW247/DT247-1</f>
        <v>0.17657580626378899</v>
      </c>
      <c r="DX248" s="480">
        <f>+DV248</f>
        <v>0.3</v>
      </c>
      <c r="DY248" s="480">
        <f>+DX248</f>
        <v>0.3</v>
      </c>
      <c r="DZ248" s="712">
        <f>+DZ247/DW247-1</f>
        <v>0.30000000000000004</v>
      </c>
      <c r="EA248" s="480">
        <f>+DY248</f>
        <v>0.3</v>
      </c>
      <c r="EB248" s="480">
        <f>+EA248</f>
        <v>0.3</v>
      </c>
      <c r="EC248" s="712">
        <f>+EC247/DZ247-1</f>
        <v>0.30000000000000004</v>
      </c>
      <c r="ED248" s="480">
        <f>+EB248</f>
        <v>0.3</v>
      </c>
      <c r="EE248" s="480">
        <f>+ED248</f>
        <v>0.3</v>
      </c>
      <c r="EF248" s="712">
        <f>+EF247/EC247-1</f>
        <v>0.29999999999999982</v>
      </c>
      <c r="EG248" s="480">
        <f>+EE248</f>
        <v>0.3</v>
      </c>
      <c r="EH248" s="480">
        <f>+EG248</f>
        <v>0.3</v>
      </c>
      <c r="EI248" s="712">
        <f>+EI247/EF247-1</f>
        <v>0.30000000000000027</v>
      </c>
      <c r="EJ248" s="480">
        <f>+EH248</f>
        <v>0.3</v>
      </c>
      <c r="EK248" s="480">
        <f>+EJ248</f>
        <v>0.3</v>
      </c>
      <c r="EL248" s="712">
        <f>+EL247/EI247-1</f>
        <v>0.30000000000000004</v>
      </c>
      <c r="EM248" s="480">
        <f>+EK248</f>
        <v>0.3</v>
      </c>
      <c r="EN248" s="480">
        <f>+EM248</f>
        <v>0.3</v>
      </c>
      <c r="EO248" s="712">
        <f>+EO247/EL247-1</f>
        <v>0.29999999999999982</v>
      </c>
      <c r="EP248" s="480">
        <f>+EN248</f>
        <v>0.3</v>
      </c>
      <c r="EQ248" s="480">
        <f>+EP248</f>
        <v>0.3</v>
      </c>
      <c r="ER248" s="712">
        <f>+ER247/EO247-1</f>
        <v>0.30000000000000027</v>
      </c>
      <c r="ES248" s="480">
        <f>+EQ248</f>
        <v>0.3</v>
      </c>
      <c r="ET248" s="480">
        <f>+ES248</f>
        <v>0.3</v>
      </c>
      <c r="EU248" s="712">
        <f>+EU247/ER247-1</f>
        <v>0.29999999999999982</v>
      </c>
      <c r="EV248" s="480">
        <f>+ET248</f>
        <v>0.3</v>
      </c>
      <c r="EW248" s="480">
        <f>+EV248</f>
        <v>0.3</v>
      </c>
      <c r="EX248" s="712">
        <f>+EX247/EU247-1</f>
        <v>0.30000000000000004</v>
      </c>
      <c r="EY248" s="480">
        <f>+EW248</f>
        <v>0.3</v>
      </c>
      <c r="EZ248" s="480">
        <f>+EY248</f>
        <v>0.3</v>
      </c>
      <c r="FA248" s="597">
        <f>+FA247/EX247-1</f>
        <v>0.29999999999999982</v>
      </c>
    </row>
    <row r="249" spans="1:184" s="350" customFormat="1" ht="13.35" hidden="1" customHeight="1" outlineLevel="1">
      <c r="A249" s="760"/>
      <c r="B249" s="342"/>
      <c r="C249" s="342"/>
      <c r="D249" s="343"/>
      <c r="E249" s="342"/>
      <c r="F249" s="342"/>
      <c r="G249" s="342"/>
      <c r="H249" s="342"/>
      <c r="I249" s="342"/>
      <c r="J249" s="342"/>
      <c r="K249" s="342"/>
      <c r="L249" s="342"/>
      <c r="M249" s="342"/>
      <c r="N249" s="342"/>
      <c r="O249" s="342"/>
      <c r="P249" s="342"/>
      <c r="Q249" s="342"/>
      <c r="R249" s="342"/>
      <c r="S249" s="342"/>
      <c r="T249" s="342"/>
      <c r="U249" s="342"/>
      <c r="V249" s="342"/>
      <c r="W249" s="342"/>
      <c r="X249" s="342"/>
      <c r="Y249" s="342"/>
      <c r="Z249" s="342"/>
      <c r="AA249" s="342"/>
      <c r="AB249" s="342"/>
      <c r="AC249" s="342"/>
      <c r="AD249" s="342"/>
      <c r="AE249" s="342"/>
      <c r="AF249" s="342"/>
      <c r="AG249" s="342"/>
      <c r="AH249" s="342"/>
      <c r="AI249" s="342"/>
      <c r="AJ249" s="342"/>
      <c r="AK249" s="342"/>
      <c r="AL249" s="342"/>
      <c r="AM249" s="342"/>
      <c r="AN249" s="342"/>
      <c r="AO249" s="342"/>
      <c r="AP249" s="342"/>
      <c r="AQ249" s="342"/>
      <c r="AR249" s="342"/>
      <c r="AS249" s="342"/>
      <c r="AT249" s="342"/>
      <c r="AU249" s="342"/>
      <c r="AV249" s="342"/>
      <c r="AW249" s="342"/>
      <c r="AX249" s="342"/>
      <c r="AY249" s="342"/>
      <c r="AZ249" s="342"/>
      <c r="BA249" s="342"/>
      <c r="BB249" s="342"/>
      <c r="BC249" s="342"/>
      <c r="BD249" s="342"/>
      <c r="BE249" s="342"/>
      <c r="BF249" s="342"/>
      <c r="BG249" s="342"/>
      <c r="BH249" s="342"/>
      <c r="BI249" s="342"/>
      <c r="BJ249" s="342"/>
      <c r="BK249" s="342"/>
      <c r="BL249" s="342"/>
      <c r="BM249" s="344"/>
      <c r="BN249" s="344"/>
      <c r="BO249" s="342"/>
      <c r="BP249" s="345"/>
      <c r="BQ249" s="345"/>
      <c r="BR249" s="345"/>
      <c r="BS249" s="346"/>
      <c r="BT249" s="345"/>
      <c r="BU249" s="346"/>
      <c r="BV249" s="346"/>
      <c r="BW249" s="346"/>
      <c r="BX249" s="346"/>
      <c r="BY249" s="346"/>
      <c r="BZ249" s="346"/>
      <c r="CA249" s="346"/>
      <c r="CB249" s="346"/>
      <c r="CC249" s="346"/>
      <c r="CD249" s="346"/>
      <c r="CE249" s="347"/>
      <c r="CF249" s="346"/>
      <c r="CG249" s="346"/>
      <c r="CH249" s="346"/>
      <c r="CI249" s="346"/>
      <c r="CJ249" s="346"/>
      <c r="CK249" s="346"/>
      <c r="CL249" s="346"/>
      <c r="CM249" s="346"/>
      <c r="CN249" s="346"/>
      <c r="CO249" s="346"/>
      <c r="CP249" s="346"/>
      <c r="CQ249" s="346"/>
      <c r="CR249" s="346"/>
      <c r="CS249" s="346"/>
      <c r="CT249" s="346"/>
      <c r="CU249" s="346"/>
      <c r="CV249" s="346"/>
      <c r="CW249" s="346"/>
      <c r="CX249" s="346"/>
      <c r="CY249" s="556"/>
      <c r="CZ249" s="564"/>
      <c r="DA249" s="564"/>
      <c r="DB249" s="565"/>
      <c r="DC249" s="556"/>
      <c r="DD249" s="556"/>
      <c r="DE249" s="797"/>
      <c r="DF249" s="556"/>
      <c r="DG249" s="556"/>
      <c r="DH249" s="793"/>
      <c r="DI249" s="556"/>
      <c r="DJ249" s="556"/>
      <c r="DK249" s="704"/>
      <c r="DL249" s="556"/>
      <c r="DM249" s="556"/>
      <c r="DN249" s="704"/>
      <c r="DO249" s="556"/>
      <c r="DP249" s="556"/>
      <c r="DQ249" s="704"/>
      <c r="DR249" s="556"/>
      <c r="DS249" s="556"/>
      <c r="DT249" s="704"/>
      <c r="DU249" s="556"/>
      <c r="DV249" s="556"/>
      <c r="DW249" s="704"/>
      <c r="DX249" s="556"/>
      <c r="DY249" s="556"/>
      <c r="DZ249" s="704"/>
      <c r="EA249" s="556"/>
      <c r="EB249" s="556"/>
      <c r="EC249" s="704"/>
      <c r="ED249" s="556"/>
      <c r="EE249" s="556"/>
      <c r="EF249" s="704"/>
      <c r="EG249" s="556"/>
      <c r="EH249" s="556"/>
      <c r="EI249" s="704"/>
      <c r="EJ249" s="556"/>
      <c r="EK249" s="556"/>
      <c r="EL249" s="704"/>
      <c r="EM249" s="556"/>
      <c r="EN249" s="556"/>
      <c r="EO249" s="704"/>
      <c r="EP249" s="556"/>
      <c r="EQ249" s="556"/>
      <c r="ER249" s="704"/>
      <c r="ES249" s="556"/>
      <c r="ET249" s="556"/>
      <c r="EU249" s="704"/>
      <c r="EV249" s="556"/>
      <c r="EW249" s="556"/>
      <c r="EX249" s="704"/>
      <c r="EY249" s="556"/>
      <c r="EZ249" s="556"/>
      <c r="FA249" s="557"/>
      <c r="FB249" s="349"/>
      <c r="FC249" s="349"/>
      <c r="FD249" s="349"/>
      <c r="FE249" s="349"/>
      <c r="FF249" s="349"/>
      <c r="FG249" s="349"/>
      <c r="FH249" s="349"/>
      <c r="FI249" s="349"/>
      <c r="FJ249" s="349"/>
      <c r="FK249" s="349"/>
      <c r="FL249" s="349"/>
      <c r="FM249" s="349"/>
      <c r="FN249" s="349"/>
      <c r="FO249" s="349"/>
      <c r="FP249" s="349"/>
      <c r="FQ249" s="349"/>
      <c r="FR249" s="349"/>
      <c r="FS249" s="349"/>
      <c r="FT249" s="349"/>
      <c r="FU249" s="349"/>
      <c r="FV249" s="349"/>
      <c r="FW249" s="349"/>
      <c r="FX249" s="349"/>
      <c r="FY249" s="349"/>
      <c r="FZ249" s="349"/>
      <c r="GA249" s="349"/>
      <c r="GB249" s="349"/>
    </row>
    <row r="250" spans="1:184" s="350" customFormat="1" ht="13.35" customHeight="1" collapsed="1">
      <c r="A250" s="760"/>
      <c r="B250" s="342"/>
      <c r="C250" s="4" t="s">
        <v>796</v>
      </c>
      <c r="D250" s="294" t="s">
        <v>357</v>
      </c>
      <c r="E250" s="342"/>
      <c r="F250" s="342"/>
      <c r="G250" s="342"/>
      <c r="H250" s="342"/>
      <c r="I250" s="342"/>
      <c r="J250" s="342"/>
      <c r="K250" s="342"/>
      <c r="L250" s="342"/>
      <c r="M250" s="342"/>
      <c r="N250" s="342"/>
      <c r="O250" s="342"/>
      <c r="P250" s="342"/>
      <c r="Q250" s="342"/>
      <c r="R250" s="342"/>
      <c r="S250" s="342"/>
      <c r="T250" s="342"/>
      <c r="U250" s="342"/>
      <c r="V250" s="342"/>
      <c r="W250" s="342"/>
      <c r="X250" s="342"/>
      <c r="Y250" s="342"/>
      <c r="Z250" s="342"/>
      <c r="AA250" s="342"/>
      <c r="AB250" s="342"/>
      <c r="AC250" s="342"/>
      <c r="AD250" s="342"/>
      <c r="AE250" s="342"/>
      <c r="AF250" s="342"/>
      <c r="AG250" s="342"/>
      <c r="AH250" s="342"/>
      <c r="AI250" s="342"/>
      <c r="AJ250" s="342"/>
      <c r="AK250" s="342"/>
      <c r="AL250" s="342"/>
      <c r="AM250" s="342"/>
      <c r="AN250" s="342"/>
      <c r="AO250" s="342"/>
      <c r="AP250" s="342"/>
      <c r="AQ250" s="342"/>
      <c r="AR250" s="342"/>
      <c r="AS250" s="342"/>
      <c r="AT250" s="342"/>
      <c r="AU250" s="342"/>
      <c r="AV250" s="342"/>
      <c r="AW250" s="342"/>
      <c r="AX250" s="342"/>
      <c r="AY250" s="342"/>
      <c r="AZ250" s="342"/>
      <c r="BA250" s="342"/>
      <c r="BB250" s="342"/>
      <c r="BC250" s="342"/>
      <c r="BD250" s="342"/>
      <c r="BE250" s="342"/>
      <c r="BF250" s="342"/>
      <c r="BG250" s="342"/>
      <c r="BH250" s="342"/>
      <c r="BI250" s="342"/>
      <c r="BJ250" s="342"/>
      <c r="BK250" s="342"/>
      <c r="BL250" s="342"/>
      <c r="BM250" s="344"/>
      <c r="BN250" s="344"/>
      <c r="BO250" s="342"/>
      <c r="BP250" s="345"/>
      <c r="BQ250" s="345"/>
      <c r="BR250" s="345"/>
      <c r="BS250" s="346"/>
      <c r="BT250" s="345"/>
      <c r="BU250" s="346"/>
      <c r="BV250" s="346"/>
      <c r="BW250" s="346"/>
      <c r="BX250" s="346"/>
      <c r="BY250" s="346"/>
      <c r="BZ250" s="346"/>
      <c r="CA250" s="346"/>
      <c r="CB250" s="346"/>
      <c r="CC250" s="346"/>
      <c r="CD250" s="346"/>
      <c r="CE250" s="347"/>
      <c r="CF250" s="346"/>
      <c r="CG250" s="346"/>
      <c r="CH250" s="346"/>
      <c r="CI250" s="346"/>
      <c r="CJ250" s="346"/>
      <c r="CK250" s="346"/>
      <c r="CL250" s="346"/>
      <c r="CM250" s="346"/>
      <c r="CN250" s="346"/>
      <c r="CO250" s="346"/>
      <c r="CP250" s="346"/>
      <c r="CQ250" s="346"/>
      <c r="CR250" s="346"/>
      <c r="CS250" s="346"/>
      <c r="CT250" s="346"/>
      <c r="CU250" s="346"/>
      <c r="CV250" s="346"/>
      <c r="CW250" s="346"/>
      <c r="CX250" s="346"/>
      <c r="CY250" s="556"/>
      <c r="CZ250" s="564"/>
      <c r="DA250" s="564"/>
      <c r="DB250" s="565"/>
      <c r="DC250" s="556"/>
      <c r="DD250" s="556"/>
      <c r="DE250" s="797"/>
      <c r="DF250" s="556"/>
      <c r="DG250" s="556"/>
      <c r="DH250" s="793"/>
      <c r="DI250" s="836">
        <v>217.90285992405822</v>
      </c>
      <c r="DJ250" s="837">
        <f>+DK250-DI250</f>
        <v>215.5698651396215</v>
      </c>
      <c r="DK250" s="838">
        <v>433.47272506367972</v>
      </c>
      <c r="DL250" s="836">
        <v>235.3714479437408</v>
      </c>
      <c r="DM250" s="837">
        <f>+DN250-DL250</f>
        <v>212.09952158593558</v>
      </c>
      <c r="DN250" s="838">
        <v>447.47096952967638</v>
      </c>
      <c r="DO250" s="836">
        <v>224</v>
      </c>
      <c r="DP250" s="837">
        <f>+DQ250-DO250</f>
        <v>212</v>
      </c>
      <c r="DQ250" s="838">
        <v>436</v>
      </c>
      <c r="DR250" s="836">
        <v>245</v>
      </c>
      <c r="DS250" s="837">
        <f>+DT250-DR250</f>
        <v>246</v>
      </c>
      <c r="DT250" s="838">
        <v>491</v>
      </c>
      <c r="DU250" s="831">
        <v>247</v>
      </c>
      <c r="DV250" s="837">
        <f>+DW250-DU250</f>
        <v>243</v>
      </c>
      <c r="DW250" s="838">
        <v>490</v>
      </c>
      <c r="DX250" s="831">
        <v>239</v>
      </c>
      <c r="DY250" s="646">
        <f>+DV250*(1+DY251)</f>
        <v>255.15</v>
      </c>
      <c r="DZ250" s="674">
        <f>+SUM(DX250:DY250)</f>
        <v>494.15</v>
      </c>
      <c r="EA250" s="646">
        <f>+DX250*(1+EA251)</f>
        <v>236.60999999999999</v>
      </c>
      <c r="EB250" s="646">
        <f>+DY250*(1+EB251)</f>
        <v>252.5985</v>
      </c>
      <c r="EC250" s="674">
        <f>+SUM(EA250:EB250)</f>
        <v>489.20849999999996</v>
      </c>
      <c r="ED250" s="646">
        <f>+EA250*(1+ED251)</f>
        <v>231.87779999999998</v>
      </c>
      <c r="EE250" s="646">
        <f>+EB250*(1+EE251)</f>
        <v>247.54652999999999</v>
      </c>
      <c r="EF250" s="674">
        <f>+SUM(ED250:EE250)</f>
        <v>479.42432999999994</v>
      </c>
      <c r="EG250" s="646">
        <f>+ED250*(1+EG251)</f>
        <v>227.24024399999996</v>
      </c>
      <c r="EH250" s="646">
        <f>+EE250*(1+EH251)</f>
        <v>242.5955994</v>
      </c>
      <c r="EI250" s="674">
        <f>+SUM(EG250:EH250)</f>
        <v>469.83584339999993</v>
      </c>
      <c r="EJ250" s="646">
        <f>+EG250*(1+EJ251)</f>
        <v>222.69543911999995</v>
      </c>
      <c r="EK250" s="646">
        <f>+EH250*(1+EK251)</f>
        <v>237.74368741199999</v>
      </c>
      <c r="EL250" s="674">
        <f>+SUM(EJ250:EK250)</f>
        <v>460.43912653199993</v>
      </c>
      <c r="EM250" s="646">
        <f>+EJ250*(1+EM251)</f>
        <v>233.83021107599996</v>
      </c>
      <c r="EN250" s="646">
        <f>+EK250*(1+EN251)</f>
        <v>249.6308717826</v>
      </c>
      <c r="EO250" s="674">
        <f>+SUM(EM250:EN250)</f>
        <v>483.46108285859998</v>
      </c>
      <c r="EP250" s="646">
        <f>+EM250*(1+EP251)</f>
        <v>245.52172162979997</v>
      </c>
      <c r="EQ250" s="646">
        <f>+EN250*(1+EQ251)</f>
        <v>262.11241537172998</v>
      </c>
      <c r="ER250" s="674">
        <f>+SUM(EP250:EQ250)</f>
        <v>507.63413700152995</v>
      </c>
      <c r="ES250" s="646">
        <f>+EP250*(1+ES251)</f>
        <v>257.79780771128998</v>
      </c>
      <c r="ET250" s="646">
        <f>+EQ250*(1+ET251)</f>
        <v>275.21803614031649</v>
      </c>
      <c r="EU250" s="674">
        <f>+SUM(ES250:ET250)</f>
        <v>533.01584385160641</v>
      </c>
      <c r="EV250" s="646">
        <f>+ES250*(1+EV251)</f>
        <v>270.68769809685449</v>
      </c>
      <c r="EW250" s="646">
        <f>+ET250*(1+EW251)</f>
        <v>288.97893794733233</v>
      </c>
      <c r="EX250" s="674">
        <f>+SUM(EV250:EW250)</f>
        <v>559.66663604418682</v>
      </c>
      <c r="EY250" s="646">
        <f>+EV250*(1+EY251)</f>
        <v>284.22208300169723</v>
      </c>
      <c r="EZ250" s="646">
        <f>+EW250*(1+EZ251)</f>
        <v>303.42788484469895</v>
      </c>
      <c r="FA250" s="776">
        <f>+SUM(EY250:EZ250)</f>
        <v>587.64996784639618</v>
      </c>
      <c r="FB250" s="349"/>
      <c r="FC250" s="349"/>
      <c r="FD250" s="349"/>
      <c r="FE250" s="349"/>
      <c r="FF250" s="349"/>
      <c r="FG250" s="349"/>
      <c r="FH250" s="349"/>
      <c r="FI250" s="349"/>
      <c r="FJ250" s="349"/>
      <c r="FK250" s="349"/>
      <c r="FL250" s="349"/>
      <c r="FM250" s="349"/>
      <c r="FN250" s="349"/>
      <c r="FO250" s="349"/>
      <c r="FP250" s="349"/>
      <c r="FQ250" s="349"/>
      <c r="FR250" s="349"/>
      <c r="FS250" s="349"/>
      <c r="FT250" s="349"/>
      <c r="FU250" s="349"/>
      <c r="FV250" s="349"/>
      <c r="FW250" s="349"/>
      <c r="FX250" s="349"/>
      <c r="FY250" s="349"/>
      <c r="FZ250" s="349"/>
      <c r="GA250" s="349"/>
      <c r="GB250" s="349"/>
    </row>
    <row r="251" spans="1:184" s="350" customFormat="1" ht="13.35" customHeight="1">
      <c r="A251" s="760"/>
      <c r="B251" s="342"/>
      <c r="C251" s="177" t="s">
        <v>178</v>
      </c>
      <c r="D251" s="294" t="s">
        <v>507</v>
      </c>
      <c r="E251" s="342"/>
      <c r="F251" s="342"/>
      <c r="G251" s="342"/>
      <c r="H251" s="342"/>
      <c r="I251" s="342"/>
      <c r="J251" s="342"/>
      <c r="K251" s="342"/>
      <c r="L251" s="342"/>
      <c r="M251" s="342"/>
      <c r="N251" s="342"/>
      <c r="O251" s="342"/>
      <c r="P251" s="342"/>
      <c r="Q251" s="342"/>
      <c r="R251" s="342"/>
      <c r="S251" s="342"/>
      <c r="T251" s="342"/>
      <c r="U251" s="342"/>
      <c r="V251" s="342"/>
      <c r="W251" s="342"/>
      <c r="X251" s="342"/>
      <c r="Y251" s="342"/>
      <c r="Z251" s="342"/>
      <c r="AA251" s="342"/>
      <c r="AB251" s="342"/>
      <c r="AC251" s="342"/>
      <c r="AD251" s="342"/>
      <c r="AE251" s="342"/>
      <c r="AF251" s="342"/>
      <c r="AG251" s="342"/>
      <c r="AH251" s="342"/>
      <c r="AI251" s="342"/>
      <c r="AJ251" s="342"/>
      <c r="AK251" s="342"/>
      <c r="AL251" s="342"/>
      <c r="AM251" s="342"/>
      <c r="AN251" s="342"/>
      <c r="AO251" s="342"/>
      <c r="AP251" s="342"/>
      <c r="AQ251" s="342"/>
      <c r="AR251" s="342"/>
      <c r="AS251" s="342"/>
      <c r="AT251" s="342"/>
      <c r="AU251" s="342"/>
      <c r="AV251" s="342"/>
      <c r="AW251" s="342"/>
      <c r="AX251" s="342"/>
      <c r="AY251" s="342"/>
      <c r="AZ251" s="342"/>
      <c r="BA251" s="342"/>
      <c r="BB251" s="342"/>
      <c r="BC251" s="342"/>
      <c r="BD251" s="342"/>
      <c r="BE251" s="342"/>
      <c r="BF251" s="342"/>
      <c r="BG251" s="342"/>
      <c r="BH251" s="342"/>
      <c r="BI251" s="342"/>
      <c r="BJ251" s="342"/>
      <c r="BK251" s="342"/>
      <c r="BL251" s="342"/>
      <c r="BM251" s="344"/>
      <c r="BN251" s="344"/>
      <c r="BO251" s="342"/>
      <c r="BP251" s="345"/>
      <c r="BQ251" s="345"/>
      <c r="BR251" s="345"/>
      <c r="BS251" s="346"/>
      <c r="BT251" s="345"/>
      <c r="BU251" s="346"/>
      <c r="BV251" s="346"/>
      <c r="BW251" s="346"/>
      <c r="BX251" s="346"/>
      <c r="BY251" s="346"/>
      <c r="BZ251" s="346"/>
      <c r="CA251" s="346"/>
      <c r="CB251" s="346"/>
      <c r="CC251" s="346"/>
      <c r="CD251" s="346"/>
      <c r="CE251" s="347"/>
      <c r="CF251" s="346"/>
      <c r="CG251" s="346"/>
      <c r="CH251" s="346"/>
      <c r="CI251" s="346"/>
      <c r="CJ251" s="346"/>
      <c r="CK251" s="346"/>
      <c r="CL251" s="346"/>
      <c r="CM251" s="346"/>
      <c r="CN251" s="346"/>
      <c r="CO251" s="346"/>
      <c r="CP251" s="346"/>
      <c r="CQ251" s="346"/>
      <c r="CR251" s="346"/>
      <c r="CS251" s="346"/>
      <c r="CT251" s="346"/>
      <c r="CU251" s="346"/>
      <c r="CV251" s="346"/>
      <c r="CW251" s="346"/>
      <c r="CX251" s="346"/>
      <c r="CY251" s="556"/>
      <c r="CZ251" s="564"/>
      <c r="DA251" s="564"/>
      <c r="DB251" s="565"/>
      <c r="DC251" s="556"/>
      <c r="DD251" s="556"/>
      <c r="DE251" s="797"/>
      <c r="DF251" s="556"/>
      <c r="DG251" s="556"/>
      <c r="DH251" s="793"/>
      <c r="DI251" s="480"/>
      <c r="DJ251" s="480"/>
      <c r="DK251" s="712"/>
      <c r="DL251" s="480">
        <f t="shared" ref="DL251:DX251" si="286">+DL250/DI250-1</f>
        <v>8.0166859791425349E-2</v>
      </c>
      <c r="DM251" s="480">
        <f t="shared" si="286"/>
        <v>-1.6098463258944928E-2</v>
      </c>
      <c r="DN251" s="712">
        <f t="shared" si="286"/>
        <v>3.2293253200510463E-2</v>
      </c>
      <c r="DO251" s="480">
        <f t="shared" si="286"/>
        <v>-4.8312775585502843E-2</v>
      </c>
      <c r="DP251" s="480">
        <f t="shared" si="286"/>
        <v>-4.6922117122860652E-4</v>
      </c>
      <c r="DQ251" s="712">
        <f t="shared" si="286"/>
        <v>-2.5635114478450238E-2</v>
      </c>
      <c r="DR251" s="480">
        <f t="shared" si="286"/>
        <v>9.375E-2</v>
      </c>
      <c r="DS251" s="480">
        <f t="shared" si="286"/>
        <v>0.16037735849056611</v>
      </c>
      <c r="DT251" s="712">
        <f t="shared" si="286"/>
        <v>0.12614678899082565</v>
      </c>
      <c r="DU251" s="480">
        <f t="shared" si="286"/>
        <v>8.1632653061225469E-3</v>
      </c>
      <c r="DV251" s="480">
        <f t="shared" si="286"/>
        <v>-1.2195121951219523E-2</v>
      </c>
      <c r="DW251" s="712">
        <f t="shared" si="286"/>
        <v>-2.0366598778004397E-3</v>
      </c>
      <c r="DX251" s="480">
        <f t="shared" si="286"/>
        <v>-3.2388663967611309E-2</v>
      </c>
      <c r="DY251" s="1908">
        <f>2%+DY3</f>
        <v>0.05</v>
      </c>
      <c r="DZ251" s="712">
        <f>+DZ250/DW250-1</f>
        <v>8.4693877551020869E-3</v>
      </c>
      <c r="EA251" s="1853">
        <v>-0.01</v>
      </c>
      <c r="EB251" s="480">
        <f>+EA251</f>
        <v>-0.01</v>
      </c>
      <c r="EC251" s="712">
        <f>+EC250/DZ250-1</f>
        <v>-1.0000000000000009E-2</v>
      </c>
      <c r="ED251" s="480">
        <v>-0.02</v>
      </c>
      <c r="EE251" s="480">
        <f>+ED251</f>
        <v>-0.02</v>
      </c>
      <c r="EF251" s="712">
        <f>+EF250/EC250-1</f>
        <v>-2.0000000000000018E-2</v>
      </c>
      <c r="EG251" s="480">
        <f>+EE251</f>
        <v>-0.02</v>
      </c>
      <c r="EH251" s="480">
        <f>+EG251</f>
        <v>-0.02</v>
      </c>
      <c r="EI251" s="712">
        <f>+EI250/EF250-1</f>
        <v>-2.0000000000000018E-2</v>
      </c>
      <c r="EJ251" s="480">
        <f>+EH251</f>
        <v>-0.02</v>
      </c>
      <c r="EK251" s="480">
        <f>+EJ251</f>
        <v>-0.02</v>
      </c>
      <c r="EL251" s="712">
        <f>+EL250/EI250-1</f>
        <v>-2.0000000000000018E-2</v>
      </c>
      <c r="EM251" s="480">
        <v>0.05</v>
      </c>
      <c r="EN251" s="480">
        <f>+EM251</f>
        <v>0.05</v>
      </c>
      <c r="EO251" s="712">
        <f>+EO250/EL250-1</f>
        <v>5.0000000000000044E-2</v>
      </c>
      <c r="EP251" s="480">
        <f>+EN251</f>
        <v>0.05</v>
      </c>
      <c r="EQ251" s="480">
        <f>+EP251</f>
        <v>0.05</v>
      </c>
      <c r="ER251" s="712">
        <f>+ER250/EO250-1</f>
        <v>5.0000000000000044E-2</v>
      </c>
      <c r="ES251" s="480">
        <f>+EQ251</f>
        <v>0.05</v>
      </c>
      <c r="ET251" s="480">
        <f>+ES251</f>
        <v>0.05</v>
      </c>
      <c r="EU251" s="712">
        <f>+EU250/ER250-1</f>
        <v>4.9999999999999822E-2</v>
      </c>
      <c r="EV251" s="480">
        <f>+ET251</f>
        <v>0.05</v>
      </c>
      <c r="EW251" s="480">
        <f>+EV251</f>
        <v>0.05</v>
      </c>
      <c r="EX251" s="712">
        <f>+EX250/EU250-1</f>
        <v>5.0000000000000266E-2</v>
      </c>
      <c r="EY251" s="480">
        <f>+EW251</f>
        <v>0.05</v>
      </c>
      <c r="EZ251" s="480">
        <f>+EY251</f>
        <v>0.05</v>
      </c>
      <c r="FA251" s="597">
        <f>+FA250/EX250-1</f>
        <v>5.0000000000000044E-2</v>
      </c>
      <c r="FB251" s="349"/>
      <c r="FC251" s="349"/>
      <c r="FD251" s="349"/>
      <c r="FE251" s="349"/>
      <c r="FF251" s="349"/>
      <c r="FG251" s="349"/>
      <c r="FH251" s="349"/>
      <c r="FI251" s="349"/>
      <c r="FJ251" s="349"/>
      <c r="FK251" s="349"/>
      <c r="FL251" s="349"/>
      <c r="FM251" s="349"/>
      <c r="FN251" s="349"/>
      <c r="FO251" s="349"/>
      <c r="FP251" s="349"/>
      <c r="FQ251" s="349"/>
      <c r="FR251" s="349"/>
      <c r="FS251" s="349"/>
      <c r="FT251" s="349"/>
      <c r="FU251" s="349"/>
      <c r="FV251" s="349"/>
      <c r="FW251" s="349"/>
      <c r="FX251" s="349"/>
      <c r="FY251" s="349"/>
      <c r="FZ251" s="349"/>
      <c r="GA251" s="349"/>
      <c r="GB251" s="349"/>
    </row>
    <row r="252" spans="1:184" s="350" customFormat="1" ht="13.35" customHeight="1">
      <c r="A252" s="760"/>
      <c r="B252" s="342"/>
      <c r="C252" s="177"/>
      <c r="D252" s="343"/>
      <c r="E252" s="342"/>
      <c r="F252" s="342"/>
      <c r="G252" s="342"/>
      <c r="H252" s="342"/>
      <c r="I252" s="342"/>
      <c r="J252" s="342"/>
      <c r="K252" s="342"/>
      <c r="L252" s="342"/>
      <c r="M252" s="342"/>
      <c r="N252" s="342"/>
      <c r="O252" s="342"/>
      <c r="P252" s="342"/>
      <c r="Q252" s="342"/>
      <c r="R252" s="342"/>
      <c r="S252" s="342"/>
      <c r="T252" s="342"/>
      <c r="U252" s="342"/>
      <c r="V252" s="342"/>
      <c r="W252" s="342"/>
      <c r="X252" s="342"/>
      <c r="Y252" s="342"/>
      <c r="Z252" s="342"/>
      <c r="AA252" s="342"/>
      <c r="AB252" s="342"/>
      <c r="AC252" s="342"/>
      <c r="AD252" s="342"/>
      <c r="AE252" s="342"/>
      <c r="AF252" s="342"/>
      <c r="AG252" s="342"/>
      <c r="AH252" s="342"/>
      <c r="AI252" s="342"/>
      <c r="AJ252" s="342"/>
      <c r="AK252" s="342"/>
      <c r="AL252" s="342"/>
      <c r="AM252" s="342"/>
      <c r="AN252" s="342"/>
      <c r="AO252" s="342"/>
      <c r="AP252" s="342"/>
      <c r="AQ252" s="342"/>
      <c r="AR252" s="342"/>
      <c r="AS252" s="342"/>
      <c r="AT252" s="342"/>
      <c r="AU252" s="342"/>
      <c r="AV252" s="342"/>
      <c r="AW252" s="342"/>
      <c r="AX252" s="342"/>
      <c r="AY252" s="342"/>
      <c r="AZ252" s="342"/>
      <c r="BA252" s="342"/>
      <c r="BB252" s="342"/>
      <c r="BC252" s="342"/>
      <c r="BD252" s="342"/>
      <c r="BE252" s="342"/>
      <c r="BF252" s="342"/>
      <c r="BG252" s="342"/>
      <c r="BH252" s="342"/>
      <c r="BI252" s="342"/>
      <c r="BJ252" s="342"/>
      <c r="BK252" s="342"/>
      <c r="BL252" s="342"/>
      <c r="BM252" s="344"/>
      <c r="BN252" s="344"/>
      <c r="BO252" s="342"/>
      <c r="BP252" s="345"/>
      <c r="BQ252" s="345"/>
      <c r="BR252" s="345"/>
      <c r="BS252" s="346"/>
      <c r="BT252" s="345"/>
      <c r="BU252" s="346"/>
      <c r="BV252" s="346"/>
      <c r="BW252" s="346"/>
      <c r="BX252" s="346"/>
      <c r="BY252" s="346"/>
      <c r="BZ252" s="346"/>
      <c r="CA252" s="346"/>
      <c r="CB252" s="346"/>
      <c r="CC252" s="346"/>
      <c r="CD252" s="346"/>
      <c r="CE252" s="347"/>
      <c r="CF252" s="346"/>
      <c r="CG252" s="346"/>
      <c r="CH252" s="346"/>
      <c r="CI252" s="346"/>
      <c r="CJ252" s="346"/>
      <c r="CK252" s="346"/>
      <c r="CL252" s="346"/>
      <c r="CM252" s="346"/>
      <c r="CN252" s="346"/>
      <c r="CO252" s="346"/>
      <c r="CP252" s="346"/>
      <c r="CQ252" s="346"/>
      <c r="CR252" s="346"/>
      <c r="CS252" s="346"/>
      <c r="CT252" s="346"/>
      <c r="CU252" s="346"/>
      <c r="CV252" s="346"/>
      <c r="CW252" s="346"/>
      <c r="CX252" s="346"/>
      <c r="CY252" s="556"/>
      <c r="CZ252" s="564"/>
      <c r="DA252" s="564"/>
      <c r="DB252" s="565"/>
      <c r="DC252" s="556"/>
      <c r="DD252" s="556"/>
      <c r="DE252" s="797"/>
      <c r="DF252" s="556"/>
      <c r="DG252" s="556"/>
      <c r="DH252" s="793"/>
      <c r="DI252" s="572"/>
      <c r="DJ252" s="572"/>
      <c r="DK252" s="709"/>
      <c r="DL252" s="572"/>
      <c r="DM252" s="572"/>
      <c r="DN252" s="709"/>
      <c r="DO252" s="572"/>
      <c r="DP252" s="572"/>
      <c r="DQ252" s="709"/>
      <c r="DR252" s="572"/>
      <c r="DS252" s="572"/>
      <c r="DT252" s="709"/>
      <c r="DU252" s="556"/>
      <c r="DV252" s="572"/>
      <c r="DW252" s="709"/>
      <c r="DX252" s="556"/>
      <c r="DY252" s="556"/>
      <c r="DZ252" s="704"/>
      <c r="EA252" s="556"/>
      <c r="EB252" s="556"/>
      <c r="EC252" s="704"/>
      <c r="ED252" s="556"/>
      <c r="EE252" s="556"/>
      <c r="EF252" s="704"/>
      <c r="EG252" s="556"/>
      <c r="EH252" s="556"/>
      <c r="EI252" s="704"/>
      <c r="EJ252" s="556"/>
      <c r="EK252" s="556"/>
      <c r="EL252" s="704"/>
      <c r="EM252" s="556"/>
      <c r="EN252" s="556"/>
      <c r="EO252" s="704"/>
      <c r="EP252" s="556"/>
      <c r="EQ252" s="556"/>
      <c r="ER252" s="704"/>
      <c r="ES252" s="556"/>
      <c r="ET252" s="556"/>
      <c r="EU252" s="704"/>
      <c r="EV252" s="556"/>
      <c r="EW252" s="556"/>
      <c r="EX252" s="704"/>
      <c r="EY252" s="556"/>
      <c r="EZ252" s="556"/>
      <c r="FA252" s="557"/>
      <c r="FB252" s="349"/>
      <c r="FC252" s="349"/>
      <c r="FD252" s="349"/>
      <c r="FE252" s="349"/>
      <c r="FF252" s="349"/>
      <c r="FG252" s="349"/>
      <c r="FH252" s="349"/>
      <c r="FI252" s="349"/>
      <c r="FJ252" s="349"/>
      <c r="FK252" s="349"/>
      <c r="FL252" s="349"/>
      <c r="FM252" s="349"/>
      <c r="FN252" s="349"/>
      <c r="FO252" s="349"/>
      <c r="FP252" s="349"/>
      <c r="FQ252" s="349"/>
      <c r="FR252" s="349"/>
      <c r="FS252" s="349"/>
      <c r="FT252" s="349"/>
      <c r="FU252" s="349"/>
      <c r="FV252" s="349"/>
      <c r="FW252" s="349"/>
      <c r="FX252" s="349"/>
      <c r="FY252" s="349"/>
      <c r="FZ252" s="349"/>
      <c r="GA252" s="349"/>
      <c r="GB252" s="349"/>
    </row>
    <row r="253" spans="1:184" s="350" customFormat="1" ht="13.35" customHeight="1">
      <c r="A253" s="760"/>
      <c r="B253" s="342"/>
      <c r="C253" s="4" t="s">
        <v>798</v>
      </c>
      <c r="D253" s="294" t="s">
        <v>357</v>
      </c>
      <c r="E253" s="342"/>
      <c r="F253" s="342"/>
      <c r="G253" s="342"/>
      <c r="H253" s="342"/>
      <c r="I253" s="342"/>
      <c r="J253" s="342"/>
      <c r="K253" s="342"/>
      <c r="L253" s="342"/>
      <c r="M253" s="342"/>
      <c r="N253" s="342"/>
      <c r="O253" s="342"/>
      <c r="P253" s="342"/>
      <c r="Q253" s="342"/>
      <c r="R253" s="342"/>
      <c r="S253" s="342"/>
      <c r="T253" s="342"/>
      <c r="U253" s="342"/>
      <c r="V253" s="342"/>
      <c r="W253" s="342"/>
      <c r="X253" s="342"/>
      <c r="Y253" s="342"/>
      <c r="Z253" s="342"/>
      <c r="AA253" s="342"/>
      <c r="AB253" s="342"/>
      <c r="AC253" s="342"/>
      <c r="AD253" s="342"/>
      <c r="AE253" s="342"/>
      <c r="AF253" s="342"/>
      <c r="AG253" s="342"/>
      <c r="AH253" s="342"/>
      <c r="AI253" s="342"/>
      <c r="AJ253" s="342"/>
      <c r="AK253" s="342"/>
      <c r="AL253" s="342"/>
      <c r="AM253" s="342"/>
      <c r="AN253" s="342"/>
      <c r="AO253" s="342"/>
      <c r="AP253" s="342"/>
      <c r="AQ253" s="342"/>
      <c r="AR253" s="342"/>
      <c r="AS253" s="342"/>
      <c r="AT253" s="342"/>
      <c r="AU253" s="342"/>
      <c r="AV253" s="342"/>
      <c r="AW253" s="342"/>
      <c r="AX253" s="342"/>
      <c r="AY253" s="342"/>
      <c r="AZ253" s="342"/>
      <c r="BA253" s="342"/>
      <c r="BB253" s="342"/>
      <c r="BC253" s="342"/>
      <c r="BD253" s="342"/>
      <c r="BE253" s="342"/>
      <c r="BF253" s="342"/>
      <c r="BG253" s="342"/>
      <c r="BH253" s="342"/>
      <c r="BI253" s="342"/>
      <c r="BJ253" s="342"/>
      <c r="BK253" s="342"/>
      <c r="BL253" s="342"/>
      <c r="BM253" s="344"/>
      <c r="BN253" s="344"/>
      <c r="BO253" s="342"/>
      <c r="BP253" s="345"/>
      <c r="BQ253" s="345"/>
      <c r="BR253" s="345"/>
      <c r="BS253" s="346"/>
      <c r="BT253" s="345"/>
      <c r="BU253" s="346"/>
      <c r="BV253" s="346"/>
      <c r="BW253" s="346"/>
      <c r="BX253" s="346"/>
      <c r="BY253" s="346"/>
      <c r="BZ253" s="346"/>
      <c r="CA253" s="346"/>
      <c r="CB253" s="346"/>
      <c r="CC253" s="346"/>
      <c r="CD253" s="346"/>
      <c r="CE253" s="347"/>
      <c r="CF253" s="346"/>
      <c r="CG253" s="346"/>
      <c r="CH253" s="346"/>
      <c r="CI253" s="346"/>
      <c r="CJ253" s="346"/>
      <c r="CK253" s="346"/>
      <c r="CL253" s="346"/>
      <c r="CM253" s="346"/>
      <c r="CN253" s="346"/>
      <c r="CO253" s="346"/>
      <c r="CP253" s="346"/>
      <c r="CQ253" s="346"/>
      <c r="CR253" s="346"/>
      <c r="CS253" s="346"/>
      <c r="CT253" s="346"/>
      <c r="CU253" s="346"/>
      <c r="CV253" s="346"/>
      <c r="CW253" s="346"/>
      <c r="CX253" s="346"/>
      <c r="CY253" s="556"/>
      <c r="CZ253" s="564"/>
      <c r="DA253" s="564"/>
      <c r="DB253" s="565"/>
      <c r="DC253" s="556"/>
      <c r="DD253" s="556"/>
      <c r="DE253" s="797"/>
      <c r="DF253" s="556"/>
      <c r="DG253" s="556"/>
      <c r="DH253" s="793"/>
      <c r="DI253" s="836">
        <v>143.9362528849457</v>
      </c>
      <c r="DJ253" s="837">
        <f>+DK253-DI253</f>
        <v>143.69528035014042</v>
      </c>
      <c r="DK253" s="838">
        <v>287.63153323508612</v>
      </c>
      <c r="DL253" s="836">
        <v>133.67958566894035</v>
      </c>
      <c r="DM253" s="837">
        <f>+DN253-DL253</f>
        <v>132.13459118469765</v>
      </c>
      <c r="DN253" s="838">
        <v>265.814176853638</v>
      </c>
      <c r="DO253" s="836">
        <v>131</v>
      </c>
      <c r="DP253" s="837">
        <f>+DQ253-DO253</f>
        <v>128</v>
      </c>
      <c r="DQ253" s="838">
        <v>259</v>
      </c>
      <c r="DR253" s="836">
        <v>120</v>
      </c>
      <c r="DS253" s="837">
        <f>+DT253-DR253</f>
        <v>122</v>
      </c>
      <c r="DT253" s="838">
        <v>242</v>
      </c>
      <c r="DU253" s="831">
        <v>127</v>
      </c>
      <c r="DV253" s="837">
        <f>+DW253-DU253</f>
        <v>121</v>
      </c>
      <c r="DW253" s="838">
        <v>248</v>
      </c>
      <c r="DX253" s="831">
        <v>109</v>
      </c>
      <c r="DY253" s="646">
        <f>+DV253*(1+DY254)</f>
        <v>118.58</v>
      </c>
      <c r="DZ253" s="674">
        <f>+SUM(DX253:DY253)</f>
        <v>227.57999999999998</v>
      </c>
      <c r="EA253" s="646">
        <f>+DX253*(1+EA254)</f>
        <v>109</v>
      </c>
      <c r="EB253" s="646">
        <f>+DY253*(1+EB254)</f>
        <v>118.58</v>
      </c>
      <c r="EC253" s="674">
        <f>+SUM(EA253:EB253)</f>
        <v>227.57999999999998</v>
      </c>
      <c r="ED253" s="646">
        <f>+EA253*(1+ED254)</f>
        <v>109</v>
      </c>
      <c r="EE253" s="646">
        <f>+EB253*(1+EE254)</f>
        <v>118.58</v>
      </c>
      <c r="EF253" s="674">
        <f>+SUM(ED253:EE253)</f>
        <v>227.57999999999998</v>
      </c>
      <c r="EG253" s="646">
        <f>+ED253*(1+EG254)</f>
        <v>109</v>
      </c>
      <c r="EH253" s="646">
        <f>+EE253*(1+EH254)</f>
        <v>118.58</v>
      </c>
      <c r="EI253" s="674">
        <f>+SUM(EG253:EH253)</f>
        <v>227.57999999999998</v>
      </c>
      <c r="EJ253" s="646">
        <f>+EG253*(1+EJ254)</f>
        <v>109</v>
      </c>
      <c r="EK253" s="646">
        <f>+EH253*(1+EK254)</f>
        <v>118.58</v>
      </c>
      <c r="EL253" s="674">
        <f>+SUM(EJ253:EK253)</f>
        <v>227.57999999999998</v>
      </c>
      <c r="EM253" s="646">
        <f>+EJ253*(1+EM254)</f>
        <v>109</v>
      </c>
      <c r="EN253" s="646">
        <f>+EK253*(1+EN254)</f>
        <v>118.58</v>
      </c>
      <c r="EO253" s="674">
        <f>+SUM(EM253:EN253)</f>
        <v>227.57999999999998</v>
      </c>
      <c r="EP253" s="646">
        <f>+EM253*(1+EP254)</f>
        <v>109</v>
      </c>
      <c r="EQ253" s="646">
        <f>+EN253*(1+EQ254)</f>
        <v>118.58</v>
      </c>
      <c r="ER253" s="674">
        <f>+SUM(EP253:EQ253)</f>
        <v>227.57999999999998</v>
      </c>
      <c r="ES253" s="646">
        <f>+EP253*(1+ES254)</f>
        <v>109</v>
      </c>
      <c r="ET253" s="646">
        <f>+EQ253*(1+ET254)</f>
        <v>118.58</v>
      </c>
      <c r="EU253" s="674">
        <f>+SUM(ES253:ET253)</f>
        <v>227.57999999999998</v>
      </c>
      <c r="EV253" s="646">
        <f>+ES253*(1+EV254)</f>
        <v>109</v>
      </c>
      <c r="EW253" s="646">
        <f>+ET253*(1+EW254)</f>
        <v>118.58</v>
      </c>
      <c r="EX253" s="674">
        <f>+SUM(EV253:EW253)</f>
        <v>227.57999999999998</v>
      </c>
      <c r="EY253" s="646">
        <f>+EV253*(1+EY254)</f>
        <v>109</v>
      </c>
      <c r="EZ253" s="646">
        <f>+EW253*(1+EZ254)</f>
        <v>118.58</v>
      </c>
      <c r="FA253" s="776">
        <f>+SUM(EY253:EZ253)</f>
        <v>227.57999999999998</v>
      </c>
      <c r="FB253" s="349"/>
      <c r="FC253" s="349"/>
      <c r="FD253" s="349"/>
      <c r="FE253" s="349"/>
      <c r="FF253" s="349"/>
      <c r="FG253" s="349"/>
      <c r="FH253" s="349"/>
      <c r="FI253" s="349"/>
      <c r="FJ253" s="349"/>
      <c r="FK253" s="349"/>
      <c r="FL253" s="349"/>
      <c r="FM253" s="349"/>
      <c r="FN253" s="349"/>
      <c r="FO253" s="349"/>
      <c r="FP253" s="349"/>
      <c r="FQ253" s="349"/>
      <c r="FR253" s="349"/>
      <c r="FS253" s="349"/>
      <c r="FT253" s="349"/>
      <c r="FU253" s="349"/>
      <c r="FV253" s="349"/>
      <c r="FW253" s="349"/>
      <c r="FX253" s="349"/>
      <c r="FY253" s="349"/>
      <c r="FZ253" s="349"/>
      <c r="GA253" s="349"/>
      <c r="GB253" s="349"/>
    </row>
    <row r="254" spans="1:184" s="350" customFormat="1" ht="13.35" customHeight="1">
      <c r="A254" s="760"/>
      <c r="B254" s="342"/>
      <c r="C254" s="177" t="s">
        <v>178</v>
      </c>
      <c r="D254" s="294" t="s">
        <v>507</v>
      </c>
      <c r="E254" s="342"/>
      <c r="F254" s="342"/>
      <c r="G254" s="342"/>
      <c r="H254" s="342"/>
      <c r="I254" s="342"/>
      <c r="J254" s="342"/>
      <c r="K254" s="342"/>
      <c r="L254" s="342"/>
      <c r="M254" s="342"/>
      <c r="N254" s="342"/>
      <c r="O254" s="342"/>
      <c r="P254" s="342"/>
      <c r="Q254" s="342"/>
      <c r="R254" s="342"/>
      <c r="S254" s="342"/>
      <c r="T254" s="342"/>
      <c r="U254" s="342"/>
      <c r="V254" s="342"/>
      <c r="W254" s="342"/>
      <c r="X254" s="342"/>
      <c r="Y254" s="342"/>
      <c r="Z254" s="342"/>
      <c r="AA254" s="342"/>
      <c r="AB254" s="342"/>
      <c r="AC254" s="342"/>
      <c r="AD254" s="342"/>
      <c r="AE254" s="342"/>
      <c r="AF254" s="342"/>
      <c r="AG254" s="342"/>
      <c r="AH254" s="342"/>
      <c r="AI254" s="342"/>
      <c r="AJ254" s="342"/>
      <c r="AK254" s="342"/>
      <c r="AL254" s="342"/>
      <c r="AM254" s="342"/>
      <c r="AN254" s="342"/>
      <c r="AO254" s="342"/>
      <c r="AP254" s="342"/>
      <c r="AQ254" s="342"/>
      <c r="AR254" s="342"/>
      <c r="AS254" s="342"/>
      <c r="AT254" s="342"/>
      <c r="AU254" s="342"/>
      <c r="AV254" s="342"/>
      <c r="AW254" s="342"/>
      <c r="AX254" s="342"/>
      <c r="AY254" s="342"/>
      <c r="AZ254" s="342"/>
      <c r="BA254" s="342"/>
      <c r="BB254" s="342"/>
      <c r="BC254" s="342"/>
      <c r="BD254" s="342"/>
      <c r="BE254" s="342"/>
      <c r="BF254" s="342"/>
      <c r="BG254" s="342"/>
      <c r="BH254" s="342"/>
      <c r="BI254" s="342"/>
      <c r="BJ254" s="342"/>
      <c r="BK254" s="342"/>
      <c r="BL254" s="342"/>
      <c r="BM254" s="344"/>
      <c r="BN254" s="344"/>
      <c r="BO254" s="342"/>
      <c r="BP254" s="345"/>
      <c r="BQ254" s="345"/>
      <c r="BR254" s="345"/>
      <c r="BS254" s="346"/>
      <c r="BT254" s="345"/>
      <c r="BU254" s="346"/>
      <c r="BV254" s="346"/>
      <c r="BW254" s="346"/>
      <c r="BX254" s="346"/>
      <c r="BY254" s="346"/>
      <c r="BZ254" s="346"/>
      <c r="CA254" s="346"/>
      <c r="CB254" s="346"/>
      <c r="CC254" s="346"/>
      <c r="CD254" s="346"/>
      <c r="CE254" s="347"/>
      <c r="CF254" s="346"/>
      <c r="CG254" s="346"/>
      <c r="CH254" s="346"/>
      <c r="CI254" s="346"/>
      <c r="CJ254" s="346"/>
      <c r="CK254" s="346"/>
      <c r="CL254" s="346"/>
      <c r="CM254" s="346"/>
      <c r="CN254" s="346"/>
      <c r="CO254" s="346"/>
      <c r="CP254" s="346"/>
      <c r="CQ254" s="346"/>
      <c r="CR254" s="346"/>
      <c r="CS254" s="346"/>
      <c r="CT254" s="346"/>
      <c r="CU254" s="346"/>
      <c r="CV254" s="346"/>
      <c r="CW254" s="346"/>
      <c r="CX254" s="346"/>
      <c r="CY254" s="556"/>
      <c r="CZ254" s="564"/>
      <c r="DA254" s="564"/>
      <c r="DB254" s="565"/>
      <c r="DC254" s="556"/>
      <c r="DD254" s="556"/>
      <c r="DE254" s="797"/>
      <c r="DF254" s="556"/>
      <c r="DG254" s="556"/>
      <c r="DH254" s="793"/>
      <c r="DI254" s="480"/>
      <c r="DJ254" s="480"/>
      <c r="DK254" s="712"/>
      <c r="DL254" s="480">
        <f t="shared" ref="DL254:DX254" si="287">+DL253/DI253-1</f>
        <v>-7.1258400926998866E-2</v>
      </c>
      <c r="DM254" s="480">
        <f t="shared" si="287"/>
        <v>-8.0452810539587527E-2</v>
      </c>
      <c r="DN254" s="712">
        <f t="shared" si="287"/>
        <v>-7.585175427763835E-2</v>
      </c>
      <c r="DO254" s="480">
        <f t="shared" si="287"/>
        <v>-2.0044838226656259E-2</v>
      </c>
      <c r="DP254" s="480">
        <f t="shared" si="287"/>
        <v>-3.1290755491257594E-2</v>
      </c>
      <c r="DQ254" s="712">
        <f t="shared" si="287"/>
        <v>-2.5635114478450127E-2</v>
      </c>
      <c r="DR254" s="480">
        <f t="shared" si="287"/>
        <v>-8.3969465648854991E-2</v>
      </c>
      <c r="DS254" s="480">
        <f t="shared" si="287"/>
        <v>-4.6875E-2</v>
      </c>
      <c r="DT254" s="712">
        <f t="shared" si="287"/>
        <v>-6.5637065637065617E-2</v>
      </c>
      <c r="DU254" s="480">
        <f t="shared" si="287"/>
        <v>5.8333333333333348E-2</v>
      </c>
      <c r="DV254" s="480">
        <f t="shared" si="287"/>
        <v>-8.1967213114754189E-3</v>
      </c>
      <c r="DW254" s="712">
        <f t="shared" si="287"/>
        <v>2.4793388429751984E-2</v>
      </c>
      <c r="DX254" s="480">
        <f t="shared" si="287"/>
        <v>-0.1417322834645669</v>
      </c>
      <c r="DY254" s="1908">
        <f>-5%+DY3</f>
        <v>-2.0000000000000004E-2</v>
      </c>
      <c r="DZ254" s="712">
        <f>+DZ253/DW253-1</f>
        <v>-8.2338709677419408E-2</v>
      </c>
      <c r="EA254" s="480">
        <v>0</v>
      </c>
      <c r="EB254" s="480">
        <f>+EA254</f>
        <v>0</v>
      </c>
      <c r="EC254" s="712">
        <f>+EC253/DZ253-1</f>
        <v>0</v>
      </c>
      <c r="ED254" s="480">
        <f>+EB254</f>
        <v>0</v>
      </c>
      <c r="EE254" s="480">
        <f>+ED254</f>
        <v>0</v>
      </c>
      <c r="EF254" s="712">
        <f>+EF253/EC253-1</f>
        <v>0</v>
      </c>
      <c r="EG254" s="480">
        <f>+EE254</f>
        <v>0</v>
      </c>
      <c r="EH254" s="480">
        <f>+EG254</f>
        <v>0</v>
      </c>
      <c r="EI254" s="712">
        <f>+EI253/EF253-1</f>
        <v>0</v>
      </c>
      <c r="EJ254" s="480">
        <f>+EH254</f>
        <v>0</v>
      </c>
      <c r="EK254" s="480">
        <f>+EJ254</f>
        <v>0</v>
      </c>
      <c r="EL254" s="712">
        <f>+EL253/EI253-1</f>
        <v>0</v>
      </c>
      <c r="EM254" s="480">
        <f>+EK254</f>
        <v>0</v>
      </c>
      <c r="EN254" s="480">
        <f>+EM254</f>
        <v>0</v>
      </c>
      <c r="EO254" s="712">
        <f>+EO253/EL253-1</f>
        <v>0</v>
      </c>
      <c r="EP254" s="480">
        <f>+EN254</f>
        <v>0</v>
      </c>
      <c r="EQ254" s="480">
        <f>+EP254</f>
        <v>0</v>
      </c>
      <c r="ER254" s="712">
        <f>+ER253/EO253-1</f>
        <v>0</v>
      </c>
      <c r="ES254" s="480">
        <f>+EQ254</f>
        <v>0</v>
      </c>
      <c r="ET254" s="480">
        <f>+ES254</f>
        <v>0</v>
      </c>
      <c r="EU254" s="712">
        <f>+EU253/ER253-1</f>
        <v>0</v>
      </c>
      <c r="EV254" s="480">
        <f>+ET254</f>
        <v>0</v>
      </c>
      <c r="EW254" s="480">
        <f>+EV254</f>
        <v>0</v>
      </c>
      <c r="EX254" s="712">
        <f>+EX253/EU253-1</f>
        <v>0</v>
      </c>
      <c r="EY254" s="480">
        <f>+EW254</f>
        <v>0</v>
      </c>
      <c r="EZ254" s="480">
        <f>+EY254</f>
        <v>0</v>
      </c>
      <c r="FA254" s="597">
        <f>+FA253/EX253-1</f>
        <v>0</v>
      </c>
      <c r="FB254" s="349"/>
      <c r="FC254" s="349"/>
      <c r="FD254" s="349"/>
      <c r="FE254" s="349"/>
      <c r="FF254" s="349"/>
      <c r="FG254" s="349"/>
      <c r="FH254" s="349"/>
      <c r="FI254" s="349"/>
      <c r="FJ254" s="349"/>
      <c r="FK254" s="349"/>
      <c r="FL254" s="349"/>
      <c r="FM254" s="349"/>
      <c r="FN254" s="349"/>
      <c r="FO254" s="349"/>
      <c r="FP254" s="349"/>
      <c r="FQ254" s="349"/>
      <c r="FR254" s="349"/>
      <c r="FS254" s="349"/>
      <c r="FT254" s="349"/>
      <c r="FU254" s="349"/>
      <c r="FV254" s="349"/>
      <c r="FW254" s="349"/>
      <c r="FX254" s="349"/>
      <c r="FY254" s="349"/>
      <c r="FZ254" s="349"/>
      <c r="GA254" s="349"/>
      <c r="GB254" s="349"/>
    </row>
    <row r="255" spans="1:184" s="350" customFormat="1" ht="13.35" customHeight="1">
      <c r="A255" s="760"/>
      <c r="B255" s="342"/>
      <c r="C255" s="342"/>
      <c r="D255" s="343"/>
      <c r="E255" s="342"/>
      <c r="F255" s="342"/>
      <c r="G255" s="342"/>
      <c r="H255" s="342"/>
      <c r="I255" s="342"/>
      <c r="J255" s="342"/>
      <c r="K255" s="342"/>
      <c r="L255" s="342"/>
      <c r="M255" s="342"/>
      <c r="N255" s="342"/>
      <c r="O255" s="342"/>
      <c r="P255" s="342"/>
      <c r="Q255" s="342"/>
      <c r="R255" s="342"/>
      <c r="S255" s="342"/>
      <c r="T255" s="342"/>
      <c r="U255" s="342"/>
      <c r="V255" s="342"/>
      <c r="W255" s="342"/>
      <c r="X255" s="342"/>
      <c r="Y255" s="342"/>
      <c r="Z255" s="342"/>
      <c r="AA255" s="342"/>
      <c r="AB255" s="342"/>
      <c r="AC255" s="342"/>
      <c r="AD255" s="342"/>
      <c r="AE255" s="342"/>
      <c r="AF255" s="342"/>
      <c r="AG255" s="342"/>
      <c r="AH255" s="342"/>
      <c r="AI255" s="342"/>
      <c r="AJ255" s="342"/>
      <c r="AK255" s="342"/>
      <c r="AL255" s="342"/>
      <c r="AM255" s="342"/>
      <c r="AN255" s="342"/>
      <c r="AO255" s="342"/>
      <c r="AP255" s="342"/>
      <c r="AQ255" s="342"/>
      <c r="AR255" s="342"/>
      <c r="AS255" s="342"/>
      <c r="AT255" s="342"/>
      <c r="AU255" s="342"/>
      <c r="AV255" s="342"/>
      <c r="AW255" s="342"/>
      <c r="AX255" s="342"/>
      <c r="AY255" s="342"/>
      <c r="AZ255" s="342"/>
      <c r="BA255" s="342"/>
      <c r="BB255" s="342"/>
      <c r="BC255" s="342"/>
      <c r="BD255" s="342"/>
      <c r="BE255" s="342"/>
      <c r="BF255" s="342"/>
      <c r="BG255" s="342"/>
      <c r="BH255" s="342"/>
      <c r="BI255" s="342"/>
      <c r="BJ255" s="342"/>
      <c r="BK255" s="342"/>
      <c r="BL255" s="342"/>
      <c r="BM255" s="344"/>
      <c r="BN255" s="344"/>
      <c r="BO255" s="342"/>
      <c r="BP255" s="345"/>
      <c r="BQ255" s="345"/>
      <c r="BR255" s="345"/>
      <c r="BS255" s="346"/>
      <c r="BT255" s="345"/>
      <c r="BU255" s="346"/>
      <c r="BV255" s="346"/>
      <c r="BW255" s="346"/>
      <c r="BX255" s="346"/>
      <c r="BY255" s="346"/>
      <c r="BZ255" s="346"/>
      <c r="CA255" s="346"/>
      <c r="CB255" s="346"/>
      <c r="CC255" s="346"/>
      <c r="CD255" s="346"/>
      <c r="CE255" s="347"/>
      <c r="CF255" s="346"/>
      <c r="CG255" s="346"/>
      <c r="CH255" s="346"/>
      <c r="CI255" s="346"/>
      <c r="CJ255" s="346"/>
      <c r="CK255" s="346"/>
      <c r="CL255" s="346"/>
      <c r="CM255" s="346"/>
      <c r="CN255" s="346"/>
      <c r="CO255" s="346"/>
      <c r="CP255" s="346"/>
      <c r="CQ255" s="346"/>
      <c r="CR255" s="346"/>
      <c r="CS255" s="346"/>
      <c r="CT255" s="346"/>
      <c r="CU255" s="346"/>
      <c r="CV255" s="346"/>
      <c r="CW255" s="346"/>
      <c r="CX255" s="346"/>
      <c r="CY255" s="556"/>
      <c r="CZ255" s="564"/>
      <c r="DA255" s="564"/>
      <c r="DB255" s="565"/>
      <c r="DC255" s="556"/>
      <c r="DD255" s="556"/>
      <c r="DE255" s="797"/>
      <c r="DF255" s="556"/>
      <c r="DG255" s="556"/>
      <c r="DH255" s="793"/>
      <c r="DI255" s="556"/>
      <c r="DJ255" s="556"/>
      <c r="DK255" s="704"/>
      <c r="DL255" s="556"/>
      <c r="DM255" s="556"/>
      <c r="DN255" s="704"/>
      <c r="DO255" s="556"/>
      <c r="DP255" s="556"/>
      <c r="DQ255" s="704"/>
      <c r="DR255" s="556"/>
      <c r="DS255" s="556"/>
      <c r="DT255" s="704"/>
      <c r="DU255" s="556"/>
      <c r="DV255" s="556"/>
      <c r="DW255" s="704"/>
      <c r="DX255" s="556"/>
      <c r="DY255" s="556"/>
      <c r="DZ255" s="704"/>
      <c r="EA255" s="556"/>
      <c r="EB255" s="556"/>
      <c r="EC255" s="704"/>
      <c r="ED255" s="556"/>
      <c r="EE255" s="556"/>
      <c r="EF255" s="704"/>
      <c r="EG255" s="556"/>
      <c r="EH255" s="556"/>
      <c r="EI255" s="704"/>
      <c r="EJ255" s="556"/>
      <c r="EK255" s="556"/>
      <c r="EL255" s="704"/>
      <c r="EM255" s="556"/>
      <c r="EN255" s="556"/>
      <c r="EO255" s="704"/>
      <c r="EP255" s="556"/>
      <c r="EQ255" s="556"/>
      <c r="ER255" s="704"/>
      <c r="ES255" s="556"/>
      <c r="ET255" s="556"/>
      <c r="EU255" s="704"/>
      <c r="EV255" s="556"/>
      <c r="EW255" s="556"/>
      <c r="EX255" s="704"/>
      <c r="EY255" s="556"/>
      <c r="EZ255" s="556"/>
      <c r="FA255" s="557"/>
      <c r="FB255" s="349"/>
      <c r="FC255" s="349"/>
      <c r="FD255" s="349"/>
      <c r="FE255" s="349"/>
      <c r="FF255" s="349"/>
      <c r="FG255" s="349"/>
      <c r="FH255" s="349"/>
      <c r="FI255" s="349"/>
      <c r="FJ255" s="349"/>
      <c r="FK255" s="349"/>
      <c r="FL255" s="349"/>
      <c r="FM255" s="349"/>
      <c r="FN255" s="349"/>
      <c r="FO255" s="349"/>
      <c r="FP255" s="349"/>
      <c r="FQ255" s="349"/>
      <c r="FR255" s="349"/>
      <c r="FS255" s="349"/>
      <c r="FT255" s="349"/>
      <c r="FU255" s="349"/>
      <c r="FV255" s="349"/>
      <c r="FW255" s="349"/>
      <c r="FX255" s="349"/>
      <c r="FY255" s="349"/>
      <c r="FZ255" s="349"/>
      <c r="GA255" s="349"/>
      <c r="GB255" s="349"/>
    </row>
    <row r="256" spans="1:184" s="350" customFormat="1" ht="13.35" customHeight="1">
      <c r="A256" s="760"/>
      <c r="B256" s="342"/>
      <c r="C256" s="4" t="s">
        <v>987</v>
      </c>
      <c r="D256" s="294" t="s">
        <v>357</v>
      </c>
      <c r="E256" s="342"/>
      <c r="F256" s="342"/>
      <c r="G256" s="342"/>
      <c r="H256" s="342"/>
      <c r="I256" s="342"/>
      <c r="J256" s="342"/>
      <c r="K256" s="342"/>
      <c r="L256" s="342"/>
      <c r="M256" s="342"/>
      <c r="N256" s="342"/>
      <c r="O256" s="342"/>
      <c r="P256" s="342"/>
      <c r="Q256" s="342"/>
      <c r="R256" s="342"/>
      <c r="S256" s="342"/>
      <c r="T256" s="342"/>
      <c r="U256" s="342"/>
      <c r="V256" s="342"/>
      <c r="W256" s="342"/>
      <c r="X256" s="342"/>
      <c r="Y256" s="342"/>
      <c r="Z256" s="342"/>
      <c r="AA256" s="342"/>
      <c r="AB256" s="342"/>
      <c r="AC256" s="342"/>
      <c r="AD256" s="342"/>
      <c r="AE256" s="342"/>
      <c r="AF256" s="342"/>
      <c r="AG256" s="342"/>
      <c r="AH256" s="342"/>
      <c r="AI256" s="342"/>
      <c r="AJ256" s="342"/>
      <c r="AK256" s="342"/>
      <c r="AL256" s="342"/>
      <c r="AM256" s="342"/>
      <c r="AN256" s="342"/>
      <c r="AO256" s="342"/>
      <c r="AP256" s="342"/>
      <c r="AQ256" s="342"/>
      <c r="AR256" s="342"/>
      <c r="AS256" s="342"/>
      <c r="AT256" s="342"/>
      <c r="AU256" s="342"/>
      <c r="AV256" s="342"/>
      <c r="AW256" s="342"/>
      <c r="AX256" s="342"/>
      <c r="AY256" s="342"/>
      <c r="AZ256" s="342"/>
      <c r="BA256" s="342"/>
      <c r="BB256" s="342"/>
      <c r="BC256" s="342"/>
      <c r="BD256" s="342"/>
      <c r="BE256" s="342"/>
      <c r="BF256" s="342"/>
      <c r="BG256" s="342"/>
      <c r="BH256" s="342"/>
      <c r="BI256" s="342"/>
      <c r="BJ256" s="342"/>
      <c r="BK256" s="342"/>
      <c r="BL256" s="342"/>
      <c r="BM256" s="344"/>
      <c r="BN256" s="344"/>
      <c r="BO256" s="342"/>
      <c r="BP256" s="345"/>
      <c r="BQ256" s="345"/>
      <c r="BR256" s="345"/>
      <c r="BS256" s="346"/>
      <c r="BT256" s="345"/>
      <c r="BU256" s="346"/>
      <c r="BV256" s="346"/>
      <c r="BW256" s="346"/>
      <c r="BX256" s="346"/>
      <c r="BY256" s="346"/>
      <c r="BZ256" s="346"/>
      <c r="CA256" s="346"/>
      <c r="CB256" s="346"/>
      <c r="CC256" s="346"/>
      <c r="CD256" s="346"/>
      <c r="CE256" s="347"/>
      <c r="CF256" s="346"/>
      <c r="CG256" s="346"/>
      <c r="CH256" s="346"/>
      <c r="CI256" s="346"/>
      <c r="CJ256" s="346"/>
      <c r="CK256" s="346"/>
      <c r="CL256" s="346"/>
      <c r="CM256" s="346"/>
      <c r="CN256" s="346"/>
      <c r="CO256" s="346"/>
      <c r="CP256" s="346"/>
      <c r="CQ256" s="346"/>
      <c r="CR256" s="346"/>
      <c r="CS256" s="346"/>
      <c r="CT256" s="346"/>
      <c r="CU256" s="346"/>
      <c r="CV256" s="346"/>
      <c r="CW256" s="346"/>
      <c r="CX256" s="346"/>
      <c r="CY256" s="556"/>
      <c r="CZ256" s="564"/>
      <c r="DA256" s="564"/>
      <c r="DB256" s="565"/>
      <c r="DC256" s="556"/>
      <c r="DD256" s="556"/>
      <c r="DE256" s="797"/>
      <c r="DF256" s="556"/>
      <c r="DG256" s="556"/>
      <c r="DH256" s="793"/>
      <c r="DI256" s="556"/>
      <c r="DJ256" s="556"/>
      <c r="DK256" s="704"/>
      <c r="DL256" s="556"/>
      <c r="DM256" s="556"/>
      <c r="DN256" s="704"/>
      <c r="DO256" s="556"/>
      <c r="DP256" s="556"/>
      <c r="DQ256" s="704"/>
      <c r="DR256" s="556"/>
      <c r="DS256" s="556"/>
      <c r="DT256" s="704"/>
      <c r="DU256" s="556"/>
      <c r="DV256" s="1861">
        <f>+DW256</f>
        <v>22</v>
      </c>
      <c r="DW256" s="1862">
        <v>22</v>
      </c>
      <c r="DX256" s="1887">
        <v>76</v>
      </c>
      <c r="DY256" s="646">
        <f>+DZ256-DX256</f>
        <v>94</v>
      </c>
      <c r="DZ256" s="711">
        <v>170</v>
      </c>
      <c r="EA256" s="646">
        <f>+EC256*0.48</f>
        <v>115.19999999999999</v>
      </c>
      <c r="EB256" s="646">
        <f>+EC256-EA256</f>
        <v>124.80000000000001</v>
      </c>
      <c r="EC256" s="711">
        <v>240</v>
      </c>
      <c r="ED256" s="646">
        <f>+EF256*0.48</f>
        <v>148.79999999999998</v>
      </c>
      <c r="EE256" s="646">
        <f>+EF256-ED256</f>
        <v>161.20000000000002</v>
      </c>
      <c r="EF256" s="711">
        <v>310</v>
      </c>
      <c r="EG256" s="646">
        <f>+EI256*0.48</f>
        <v>192</v>
      </c>
      <c r="EH256" s="646">
        <f>+EI256-EG256</f>
        <v>208</v>
      </c>
      <c r="EI256" s="711">
        <v>400</v>
      </c>
      <c r="EJ256" s="646">
        <f>+EL256*0.48</f>
        <v>276</v>
      </c>
      <c r="EK256" s="646">
        <f>+EL256-EJ256</f>
        <v>299</v>
      </c>
      <c r="EL256" s="711">
        <v>575</v>
      </c>
      <c r="EM256" s="590">
        <f>+EJ256*(1+EM257)</f>
        <v>289.8</v>
      </c>
      <c r="EN256" s="590">
        <f>+EK256*(1+EN257)</f>
        <v>313.95</v>
      </c>
      <c r="EO256" s="674">
        <f>+SUM(EM256:EN256)</f>
        <v>603.75</v>
      </c>
      <c r="EP256" s="590">
        <f>+EM256*(1+EP257)</f>
        <v>304.29000000000002</v>
      </c>
      <c r="EQ256" s="590">
        <f>+EN256*(1+EQ257)</f>
        <v>329.64749999999998</v>
      </c>
      <c r="ER256" s="674">
        <f>+SUM(EP256:EQ256)</f>
        <v>633.9375</v>
      </c>
      <c r="ES256" s="590">
        <f>+EP256*(1+ES257)</f>
        <v>319.50450000000001</v>
      </c>
      <c r="ET256" s="590">
        <f>+EQ256*(1+ET257)</f>
        <v>346.12987499999997</v>
      </c>
      <c r="EU256" s="674">
        <f>+SUM(ES256:ET256)</f>
        <v>665.63437499999998</v>
      </c>
      <c r="EV256" s="590">
        <f>+ES256*(1+EV257)</f>
        <v>335.47972500000003</v>
      </c>
      <c r="EW256" s="590">
        <f>+ET256*(1+EW257)</f>
        <v>363.43636874999999</v>
      </c>
      <c r="EX256" s="674">
        <f>+SUM(EV256:EW256)</f>
        <v>698.91609375000007</v>
      </c>
      <c r="EY256" s="590">
        <f>+EV256*(1+EY257)</f>
        <v>352.25371125000004</v>
      </c>
      <c r="EZ256" s="590">
        <f>+EW256*(1+EZ257)</f>
        <v>381.60818718749999</v>
      </c>
      <c r="FA256" s="776">
        <f>+SUM(EY256:EZ256)</f>
        <v>733.86189843750003</v>
      </c>
    </row>
    <row r="257" spans="1:184" s="350" customFormat="1" ht="13.35" customHeight="1">
      <c r="A257" s="760"/>
      <c r="B257" s="342"/>
      <c r="C257" s="177" t="s">
        <v>178</v>
      </c>
      <c r="D257" s="294" t="s">
        <v>507</v>
      </c>
      <c r="E257" s="342"/>
      <c r="F257" s="342"/>
      <c r="G257" s="342"/>
      <c r="H257" s="342"/>
      <c r="I257" s="342"/>
      <c r="J257" s="342"/>
      <c r="K257" s="342"/>
      <c r="L257" s="342"/>
      <c r="M257" s="342"/>
      <c r="N257" s="342"/>
      <c r="O257" s="342"/>
      <c r="P257" s="342"/>
      <c r="Q257" s="342"/>
      <c r="R257" s="342"/>
      <c r="S257" s="342"/>
      <c r="T257" s="342"/>
      <c r="U257" s="342"/>
      <c r="V257" s="342"/>
      <c r="W257" s="342"/>
      <c r="X257" s="342"/>
      <c r="Y257" s="342"/>
      <c r="Z257" s="342"/>
      <c r="AA257" s="342"/>
      <c r="AB257" s="342"/>
      <c r="AC257" s="342"/>
      <c r="AD257" s="342"/>
      <c r="AE257" s="342"/>
      <c r="AF257" s="342"/>
      <c r="AG257" s="342"/>
      <c r="AH257" s="342"/>
      <c r="AI257" s="342"/>
      <c r="AJ257" s="342"/>
      <c r="AK257" s="342"/>
      <c r="AL257" s="342"/>
      <c r="AM257" s="342"/>
      <c r="AN257" s="342"/>
      <c r="AO257" s="342"/>
      <c r="AP257" s="342"/>
      <c r="AQ257" s="342"/>
      <c r="AR257" s="342"/>
      <c r="AS257" s="342"/>
      <c r="AT257" s="342"/>
      <c r="AU257" s="342"/>
      <c r="AV257" s="342"/>
      <c r="AW257" s="342"/>
      <c r="AX257" s="342"/>
      <c r="AY257" s="342"/>
      <c r="AZ257" s="342"/>
      <c r="BA257" s="342"/>
      <c r="BB257" s="342"/>
      <c r="BC257" s="342"/>
      <c r="BD257" s="342"/>
      <c r="BE257" s="342"/>
      <c r="BF257" s="342"/>
      <c r="BG257" s="342"/>
      <c r="BH257" s="342"/>
      <c r="BI257" s="342"/>
      <c r="BJ257" s="342"/>
      <c r="BK257" s="342"/>
      <c r="BL257" s="342"/>
      <c r="BM257" s="344"/>
      <c r="BN257" s="344"/>
      <c r="BO257" s="342"/>
      <c r="BP257" s="345"/>
      <c r="BQ257" s="345"/>
      <c r="BR257" s="345"/>
      <c r="BS257" s="346"/>
      <c r="BT257" s="345"/>
      <c r="BU257" s="346"/>
      <c r="BV257" s="346"/>
      <c r="BW257" s="346"/>
      <c r="BX257" s="346"/>
      <c r="BY257" s="346"/>
      <c r="BZ257" s="346"/>
      <c r="CA257" s="346"/>
      <c r="CB257" s="346"/>
      <c r="CC257" s="346"/>
      <c r="CD257" s="346"/>
      <c r="CE257" s="347"/>
      <c r="CF257" s="346"/>
      <c r="CG257" s="346"/>
      <c r="CH257" s="346"/>
      <c r="CI257" s="346"/>
      <c r="CJ257" s="346"/>
      <c r="CK257" s="346"/>
      <c r="CL257" s="346"/>
      <c r="CM257" s="346"/>
      <c r="CN257" s="346"/>
      <c r="CO257" s="346"/>
      <c r="CP257" s="346"/>
      <c r="CQ257" s="346"/>
      <c r="CR257" s="346"/>
      <c r="CS257" s="346"/>
      <c r="CT257" s="346"/>
      <c r="CU257" s="346"/>
      <c r="CV257" s="346"/>
      <c r="CW257" s="346"/>
      <c r="CX257" s="346"/>
      <c r="CY257" s="556"/>
      <c r="CZ257" s="564"/>
      <c r="DA257" s="564"/>
      <c r="DB257" s="565"/>
      <c r="DC257" s="556"/>
      <c r="DD257" s="556"/>
      <c r="DE257" s="797"/>
      <c r="DF257" s="556"/>
      <c r="DG257" s="556"/>
      <c r="DH257" s="793"/>
      <c r="DI257" s="556"/>
      <c r="DJ257" s="556"/>
      <c r="DK257" s="704"/>
      <c r="DL257" s="556"/>
      <c r="DM257" s="556"/>
      <c r="DN257" s="704"/>
      <c r="DO257" s="556"/>
      <c r="DP257" s="556"/>
      <c r="DQ257" s="704"/>
      <c r="DR257" s="556"/>
      <c r="DS257" s="556"/>
      <c r="DT257" s="704"/>
      <c r="DU257" s="556"/>
      <c r="DV257" s="556"/>
      <c r="DW257" s="704"/>
      <c r="DX257" s="556"/>
      <c r="DY257" s="556"/>
      <c r="DZ257" s="704"/>
      <c r="EA257" s="556"/>
      <c r="EB257" s="556"/>
      <c r="EC257" s="704"/>
      <c r="ED257" s="556"/>
      <c r="EE257" s="556"/>
      <c r="EF257" s="704"/>
      <c r="EG257" s="556"/>
      <c r="EH257" s="556"/>
      <c r="EI257" s="704"/>
      <c r="EJ257" s="556"/>
      <c r="EK257" s="556"/>
      <c r="EL257" s="704"/>
      <c r="EM257" s="480">
        <f>+EM251</f>
        <v>0.05</v>
      </c>
      <c r="EN257" s="480">
        <f>+EN251</f>
        <v>0.05</v>
      </c>
      <c r="EO257" s="712">
        <f>+EO256/EL256-1</f>
        <v>5.0000000000000044E-2</v>
      </c>
      <c r="EP257" s="480">
        <f>+EP251</f>
        <v>0.05</v>
      </c>
      <c r="EQ257" s="480">
        <f>+EQ251</f>
        <v>0.05</v>
      </c>
      <c r="ER257" s="712">
        <f>+ER256/EO256-1</f>
        <v>5.0000000000000044E-2</v>
      </c>
      <c r="ES257" s="480">
        <f>+ES251</f>
        <v>0.05</v>
      </c>
      <c r="ET257" s="480">
        <f>+ET251</f>
        <v>0.05</v>
      </c>
      <c r="EU257" s="712">
        <f>+EU256/ER256-1</f>
        <v>5.0000000000000044E-2</v>
      </c>
      <c r="EV257" s="480">
        <f>+EV251</f>
        <v>0.05</v>
      </c>
      <c r="EW257" s="480">
        <f>+EW251</f>
        <v>0.05</v>
      </c>
      <c r="EX257" s="712">
        <f>+EX256/EU256-1</f>
        <v>5.0000000000000044E-2</v>
      </c>
      <c r="EY257" s="480">
        <f>+EY251</f>
        <v>0.05</v>
      </c>
      <c r="EZ257" s="480">
        <f>+EZ251</f>
        <v>0.05</v>
      </c>
      <c r="FA257" s="597">
        <f>+FA256/EX256-1</f>
        <v>5.0000000000000044E-2</v>
      </c>
    </row>
    <row r="258" spans="1:184" s="350" customFormat="1" ht="13.35" customHeight="1">
      <c r="A258" s="760"/>
      <c r="B258" s="342"/>
      <c r="C258" s="342"/>
      <c r="D258" s="343"/>
      <c r="E258" s="342"/>
      <c r="F258" s="342"/>
      <c r="G258" s="342"/>
      <c r="H258" s="342"/>
      <c r="I258" s="342"/>
      <c r="J258" s="342"/>
      <c r="K258" s="342"/>
      <c r="L258" s="342"/>
      <c r="M258" s="342"/>
      <c r="N258" s="342"/>
      <c r="O258" s="342"/>
      <c r="P258" s="342"/>
      <c r="Q258" s="342"/>
      <c r="R258" s="342"/>
      <c r="S258" s="342"/>
      <c r="T258" s="342"/>
      <c r="U258" s="342"/>
      <c r="V258" s="342"/>
      <c r="W258" s="342"/>
      <c r="X258" s="342"/>
      <c r="Y258" s="342"/>
      <c r="Z258" s="342"/>
      <c r="AA258" s="342"/>
      <c r="AB258" s="342"/>
      <c r="AC258" s="342"/>
      <c r="AD258" s="342"/>
      <c r="AE258" s="342"/>
      <c r="AF258" s="342"/>
      <c r="AG258" s="342"/>
      <c r="AH258" s="342"/>
      <c r="AI258" s="342"/>
      <c r="AJ258" s="342"/>
      <c r="AK258" s="342"/>
      <c r="AL258" s="342"/>
      <c r="AM258" s="342"/>
      <c r="AN258" s="342"/>
      <c r="AO258" s="342"/>
      <c r="AP258" s="342"/>
      <c r="AQ258" s="342"/>
      <c r="AR258" s="342"/>
      <c r="AS258" s="342"/>
      <c r="AT258" s="342"/>
      <c r="AU258" s="342"/>
      <c r="AV258" s="342"/>
      <c r="AW258" s="342"/>
      <c r="AX258" s="342"/>
      <c r="AY258" s="342"/>
      <c r="AZ258" s="342"/>
      <c r="BA258" s="342"/>
      <c r="BB258" s="342"/>
      <c r="BC258" s="342"/>
      <c r="BD258" s="342"/>
      <c r="BE258" s="342"/>
      <c r="BF258" s="342"/>
      <c r="BG258" s="342"/>
      <c r="BH258" s="342"/>
      <c r="BI258" s="342"/>
      <c r="BJ258" s="342"/>
      <c r="BK258" s="342"/>
      <c r="BL258" s="342"/>
      <c r="BM258" s="344"/>
      <c r="BN258" s="344"/>
      <c r="BO258" s="342"/>
      <c r="BP258" s="345"/>
      <c r="BQ258" s="345"/>
      <c r="BR258" s="345"/>
      <c r="BS258" s="346"/>
      <c r="BT258" s="345"/>
      <c r="BU258" s="346"/>
      <c r="BV258" s="346"/>
      <c r="BW258" s="346"/>
      <c r="BX258" s="346"/>
      <c r="BY258" s="346"/>
      <c r="BZ258" s="346"/>
      <c r="CA258" s="346"/>
      <c r="CB258" s="346"/>
      <c r="CC258" s="346"/>
      <c r="CD258" s="346"/>
      <c r="CE258" s="347"/>
      <c r="CF258" s="346"/>
      <c r="CG258" s="346"/>
      <c r="CH258" s="346"/>
      <c r="CI258" s="346"/>
      <c r="CJ258" s="346"/>
      <c r="CK258" s="346"/>
      <c r="CL258" s="346"/>
      <c r="CM258" s="346"/>
      <c r="CN258" s="346"/>
      <c r="CO258" s="346"/>
      <c r="CP258" s="346"/>
      <c r="CQ258" s="346"/>
      <c r="CR258" s="346"/>
      <c r="CS258" s="346"/>
      <c r="CT258" s="346"/>
      <c r="CU258" s="346"/>
      <c r="CV258" s="346"/>
      <c r="CW258" s="346"/>
      <c r="CX258" s="346"/>
      <c r="CY258" s="556"/>
      <c r="CZ258" s="564"/>
      <c r="DA258" s="564"/>
      <c r="DB258" s="565"/>
      <c r="DC258" s="556"/>
      <c r="DD258" s="556"/>
      <c r="DE258" s="797"/>
      <c r="DF258" s="556"/>
      <c r="DG258" s="556"/>
      <c r="DH258" s="793"/>
      <c r="DI258" s="556"/>
      <c r="DJ258" s="556"/>
      <c r="DK258" s="704"/>
      <c r="DL258" s="556"/>
      <c r="DM258" s="556"/>
      <c r="DN258" s="704"/>
      <c r="DO258" s="556"/>
      <c r="DP258" s="556"/>
      <c r="DQ258" s="704"/>
      <c r="DR258" s="556"/>
      <c r="DS258" s="556"/>
      <c r="DT258" s="704"/>
      <c r="DU258" s="556"/>
      <c r="DV258" s="556"/>
      <c r="DW258" s="704"/>
      <c r="DX258" s="556"/>
      <c r="DY258" s="556"/>
      <c r="DZ258" s="704"/>
      <c r="EA258" s="556"/>
      <c r="EB258" s="556"/>
      <c r="EC258" s="704"/>
      <c r="ED258" s="556"/>
      <c r="EE258" s="556"/>
      <c r="EF258" s="704"/>
      <c r="EG258" s="556"/>
      <c r="EH258" s="556"/>
      <c r="EI258" s="704"/>
      <c r="EJ258" s="556"/>
      <c r="EK258" s="556"/>
      <c r="EL258" s="704"/>
      <c r="EM258" s="556"/>
      <c r="EN258" s="556"/>
      <c r="EO258" s="704"/>
      <c r="EP258" s="556"/>
      <c r="EQ258" s="556"/>
      <c r="ER258" s="704"/>
      <c r="ES258" s="556"/>
      <c r="ET258" s="556"/>
      <c r="EU258" s="704"/>
      <c r="EV258" s="556"/>
      <c r="EW258" s="556"/>
      <c r="EX258" s="704"/>
      <c r="EY258" s="556"/>
      <c r="EZ258" s="556"/>
      <c r="FA258" s="557"/>
      <c r="FB258" s="349"/>
      <c r="FC258" s="349"/>
      <c r="FD258" s="349"/>
      <c r="FE258" s="349"/>
      <c r="FF258" s="349"/>
      <c r="FG258" s="349"/>
      <c r="FH258" s="349"/>
      <c r="FI258" s="349"/>
      <c r="FJ258" s="349"/>
      <c r="FK258" s="349"/>
      <c r="FL258" s="349"/>
      <c r="FM258" s="349"/>
      <c r="FN258" s="349"/>
      <c r="FO258" s="349"/>
      <c r="FP258" s="349"/>
      <c r="FQ258" s="349"/>
      <c r="FR258" s="349"/>
      <c r="FS258" s="349"/>
      <c r="FT258" s="349"/>
      <c r="FU258" s="349"/>
      <c r="FV258" s="349"/>
      <c r="FW258" s="349"/>
      <c r="FX258" s="349"/>
      <c r="FY258" s="349"/>
      <c r="FZ258" s="349"/>
      <c r="GA258" s="349"/>
      <c r="GB258" s="349"/>
    </row>
    <row r="259" spans="1:184" s="350" customFormat="1" ht="13.35" customHeight="1">
      <c r="A259" s="760"/>
      <c r="B259" s="342"/>
      <c r="C259" s="177" t="s">
        <v>770</v>
      </c>
      <c r="D259" s="294" t="s">
        <v>357</v>
      </c>
      <c r="E259" s="342"/>
      <c r="F259" s="342"/>
      <c r="G259" s="342"/>
      <c r="H259" s="342"/>
      <c r="I259" s="342"/>
      <c r="J259" s="342"/>
      <c r="K259" s="342"/>
      <c r="L259" s="342"/>
      <c r="M259" s="342"/>
      <c r="N259" s="342"/>
      <c r="O259" s="342"/>
      <c r="P259" s="342"/>
      <c r="Q259" s="342"/>
      <c r="R259" s="342"/>
      <c r="S259" s="342"/>
      <c r="T259" s="342"/>
      <c r="U259" s="342"/>
      <c r="V259" s="342"/>
      <c r="W259" s="342"/>
      <c r="X259" s="342"/>
      <c r="Y259" s="342"/>
      <c r="Z259" s="342"/>
      <c r="AA259" s="342"/>
      <c r="AB259" s="342"/>
      <c r="AC259" s="342"/>
      <c r="AD259" s="342"/>
      <c r="AE259" s="342"/>
      <c r="AF259" s="342"/>
      <c r="AG259" s="342"/>
      <c r="AH259" s="342"/>
      <c r="AI259" s="342"/>
      <c r="AJ259" s="342"/>
      <c r="AK259" s="342"/>
      <c r="AL259" s="342"/>
      <c r="AM259" s="342"/>
      <c r="AN259" s="342"/>
      <c r="AO259" s="342"/>
      <c r="AP259" s="342"/>
      <c r="AQ259" s="342"/>
      <c r="AR259" s="342"/>
      <c r="AS259" s="342"/>
      <c r="AT259" s="342"/>
      <c r="AU259" s="342"/>
      <c r="AV259" s="342"/>
      <c r="AW259" s="342"/>
      <c r="AX259" s="342"/>
      <c r="AY259" s="342"/>
      <c r="AZ259" s="342"/>
      <c r="BA259" s="342"/>
      <c r="BB259" s="342"/>
      <c r="BC259" s="342"/>
      <c r="BD259" s="342"/>
      <c r="BE259" s="342"/>
      <c r="BF259" s="342"/>
      <c r="BG259" s="342"/>
      <c r="BH259" s="342"/>
      <c r="BI259" s="342"/>
      <c r="BJ259" s="342"/>
      <c r="BK259" s="342"/>
      <c r="BL259" s="342"/>
      <c r="BM259" s="344"/>
      <c r="BN259" s="344"/>
      <c r="BO259" s="342"/>
      <c r="BP259" s="345"/>
      <c r="BQ259" s="345"/>
      <c r="BR259" s="345"/>
      <c r="BS259" s="346"/>
      <c r="BT259" s="345"/>
      <c r="BU259" s="346"/>
      <c r="BV259" s="346"/>
      <c r="BW259" s="346"/>
      <c r="BX259" s="346"/>
      <c r="BY259" s="346"/>
      <c r="BZ259" s="346"/>
      <c r="CA259" s="346"/>
      <c r="CB259" s="346"/>
      <c r="CC259" s="346"/>
      <c r="CD259" s="346"/>
      <c r="CE259" s="347"/>
      <c r="CF259" s="346"/>
      <c r="CG259" s="346"/>
      <c r="CH259" s="346"/>
      <c r="CI259" s="346"/>
      <c r="CJ259" s="346"/>
      <c r="CK259" s="346"/>
      <c r="CL259" s="346"/>
      <c r="CM259" s="346"/>
      <c r="CN259" s="198"/>
      <c r="CO259" s="198"/>
      <c r="CP259" s="79"/>
      <c r="CQ259" s="198"/>
      <c r="CR259" s="198"/>
      <c r="CS259" s="79"/>
      <c r="CT259" s="198"/>
      <c r="CU259" s="198"/>
      <c r="CV259" s="79"/>
      <c r="CW259" s="198"/>
      <c r="CX259" s="198"/>
      <c r="CY259" s="488"/>
      <c r="CZ259" s="489"/>
      <c r="DA259" s="489"/>
      <c r="DB259" s="488"/>
      <c r="DC259" s="489"/>
      <c r="DD259" s="489"/>
      <c r="DE259" s="783"/>
      <c r="DF259" s="489"/>
      <c r="DG259" s="489"/>
      <c r="DH259" s="783"/>
      <c r="DI259" s="837">
        <f>+DI250+DI253</f>
        <v>361.83911280900395</v>
      </c>
      <c r="DJ259" s="837">
        <f>+DJ250+DJ253</f>
        <v>359.26514548976195</v>
      </c>
      <c r="DK259" s="828">
        <v>490.39208875079464</v>
      </c>
      <c r="DL259" s="837">
        <f>+DL250+DL253</f>
        <v>369.05103361268118</v>
      </c>
      <c r="DM259" s="837">
        <f>+DM250+DM253</f>
        <v>344.23411277063326</v>
      </c>
      <c r="DN259" s="828">
        <f>SUM(DL259:DM259)</f>
        <v>713.28514638331444</v>
      </c>
      <c r="DO259" s="646">
        <f>+DO250+DO253</f>
        <v>355</v>
      </c>
      <c r="DP259" s="646">
        <f>+DP250+DP253</f>
        <v>340</v>
      </c>
      <c r="DQ259" s="674">
        <f>SUM(DO259:DP259)</f>
        <v>695</v>
      </c>
      <c r="DR259" s="646">
        <f>+DR250+DR253</f>
        <v>365</v>
      </c>
      <c r="DS259" s="646">
        <f>+DS250+DS253</f>
        <v>368</v>
      </c>
      <c r="DT259" s="674">
        <f>SUM(DR259:DS259)</f>
        <v>733</v>
      </c>
      <c r="DU259" s="646">
        <f>+DU250+DU253+DU256</f>
        <v>374</v>
      </c>
      <c r="DV259" s="646">
        <f>+DV250+DV253+DV256</f>
        <v>386</v>
      </c>
      <c r="DW259" s="674">
        <f>SUM(DU259:DV259)</f>
        <v>760</v>
      </c>
      <c r="DX259" s="646">
        <f>+DX250+DX253+DX256</f>
        <v>424</v>
      </c>
      <c r="DY259" s="646">
        <f>+DY250+DY253+DY256</f>
        <v>467.73</v>
      </c>
      <c r="DZ259" s="674">
        <f>SUM(DX259:DY259)</f>
        <v>891.73</v>
      </c>
      <c r="EA259" s="646">
        <f>+EA250+EA253+EA256</f>
        <v>460.81</v>
      </c>
      <c r="EB259" s="646">
        <f>+EB250+EB253+EB256</f>
        <v>495.9785</v>
      </c>
      <c r="EC259" s="674">
        <f>SUM(EA259:EB259)</f>
        <v>956.7885</v>
      </c>
      <c r="ED259" s="646">
        <f>+ED250+ED253+ED256</f>
        <v>489.67779999999993</v>
      </c>
      <c r="EE259" s="646">
        <f>+EE250+EE253+EE256</f>
        <v>527.32653000000005</v>
      </c>
      <c r="EF259" s="674">
        <f>SUM(ED259:EE259)</f>
        <v>1017.00433</v>
      </c>
      <c r="EG259" s="646">
        <f>+EG250+EG253+EG256</f>
        <v>528.24024399999996</v>
      </c>
      <c r="EH259" s="646">
        <f>+EH250+EH253+EH256</f>
        <v>569.17559940000001</v>
      </c>
      <c r="EI259" s="674">
        <f>SUM(EG259:EH259)</f>
        <v>1097.4158434000001</v>
      </c>
      <c r="EJ259" s="646">
        <f>+EJ250+EJ253+EJ256</f>
        <v>607.69543911999995</v>
      </c>
      <c r="EK259" s="646">
        <f>+EK250+EK253+EK256</f>
        <v>655.32368741200003</v>
      </c>
      <c r="EL259" s="674">
        <f>SUM(EJ259:EK259)</f>
        <v>1263.019126532</v>
      </c>
      <c r="EM259" s="646">
        <f>+EM250+EM253+EM256</f>
        <v>632.63021107600002</v>
      </c>
      <c r="EN259" s="646">
        <f>+EN250+EN253+EN256</f>
        <v>682.1608717826</v>
      </c>
      <c r="EO259" s="674">
        <f>SUM(EM259:EN259)</f>
        <v>1314.7910828586</v>
      </c>
      <c r="EP259" s="646">
        <f>+EP250+EP253+EP256</f>
        <v>658.81172162979999</v>
      </c>
      <c r="EQ259" s="646">
        <f>+EQ250+EQ253+EQ256</f>
        <v>710.33991537172994</v>
      </c>
      <c r="ER259" s="674">
        <f>SUM(EP259:EQ259)</f>
        <v>1369.1516370015299</v>
      </c>
      <c r="ES259" s="646">
        <f>+ES250+ES253+ES256</f>
        <v>686.30230771129004</v>
      </c>
      <c r="ET259" s="646">
        <f>+ET250+ET253+ET256</f>
        <v>739.92791114031638</v>
      </c>
      <c r="EU259" s="674">
        <f>SUM(ES259:ET259)</f>
        <v>1426.2302188516064</v>
      </c>
      <c r="EV259" s="646">
        <f>+EV250+EV253+EV256</f>
        <v>715.16742309685446</v>
      </c>
      <c r="EW259" s="646">
        <f>+EW250+EW253+EW256</f>
        <v>770.99530669733235</v>
      </c>
      <c r="EX259" s="674">
        <f>SUM(EV259:EW259)</f>
        <v>1486.1627297941868</v>
      </c>
      <c r="EY259" s="646">
        <f>+EY250+EY253+EY256</f>
        <v>745.47579425169727</v>
      </c>
      <c r="EZ259" s="646">
        <f>+EZ250+EZ253+EZ256</f>
        <v>803.61607203219887</v>
      </c>
      <c r="FA259" s="776">
        <f>SUM(EY259:EZ259)</f>
        <v>1549.0918662838963</v>
      </c>
      <c r="FB259" s="349"/>
      <c r="FC259" s="349"/>
      <c r="FD259" s="359"/>
      <c r="FE259" s="359"/>
      <c r="FF259" s="359"/>
      <c r="FG259" s="359"/>
      <c r="FH259" s="359"/>
      <c r="FI259" s="359"/>
      <c r="FJ259" s="359"/>
      <c r="FK259" s="359"/>
      <c r="FL259" s="359"/>
      <c r="FM259" s="359"/>
      <c r="FN259" s="359"/>
      <c r="FO259" s="359"/>
      <c r="FP259" s="359"/>
      <c r="FQ259" s="359"/>
      <c r="FR259" s="359"/>
      <c r="FS259" s="359"/>
      <c r="FT259" s="359"/>
      <c r="FU259" s="359"/>
      <c r="FV259" s="359"/>
      <c r="FW259" s="349"/>
      <c r="FX259" s="349"/>
      <c r="FY259" s="349"/>
      <c r="FZ259" s="349"/>
      <c r="GA259" s="349"/>
      <c r="GB259" s="349"/>
    </row>
    <row r="260" spans="1:184" s="350" customFormat="1" ht="13.35" customHeight="1">
      <c r="A260" s="760"/>
      <c r="B260" s="342"/>
      <c r="C260" s="177" t="s">
        <v>178</v>
      </c>
      <c r="D260" s="294" t="s">
        <v>507</v>
      </c>
      <c r="E260" s="342"/>
      <c r="F260" s="342"/>
      <c r="G260" s="342"/>
      <c r="H260" s="342"/>
      <c r="I260" s="342"/>
      <c r="J260" s="342"/>
      <c r="K260" s="342"/>
      <c r="L260" s="342"/>
      <c r="M260" s="342"/>
      <c r="N260" s="342"/>
      <c r="O260" s="342"/>
      <c r="P260" s="342"/>
      <c r="Q260" s="342"/>
      <c r="R260" s="342"/>
      <c r="S260" s="342"/>
      <c r="T260" s="342"/>
      <c r="U260" s="342"/>
      <c r="V260" s="342"/>
      <c r="W260" s="342"/>
      <c r="X260" s="342"/>
      <c r="Y260" s="342"/>
      <c r="Z260" s="342"/>
      <c r="AA260" s="342"/>
      <c r="AB260" s="342"/>
      <c r="AC260" s="342"/>
      <c r="AD260" s="342"/>
      <c r="AE260" s="342"/>
      <c r="AF260" s="342"/>
      <c r="AG260" s="342"/>
      <c r="AH260" s="342"/>
      <c r="AI260" s="342"/>
      <c r="AJ260" s="342"/>
      <c r="AK260" s="342"/>
      <c r="AL260" s="342"/>
      <c r="AM260" s="342"/>
      <c r="AN260" s="342"/>
      <c r="AO260" s="342"/>
      <c r="AP260" s="342"/>
      <c r="AQ260" s="342"/>
      <c r="AR260" s="342"/>
      <c r="AS260" s="342"/>
      <c r="AT260" s="342"/>
      <c r="AU260" s="342"/>
      <c r="AV260" s="342"/>
      <c r="AW260" s="342"/>
      <c r="AX260" s="342"/>
      <c r="AY260" s="342"/>
      <c r="AZ260" s="342"/>
      <c r="BA260" s="342"/>
      <c r="BB260" s="342"/>
      <c r="BC260" s="342"/>
      <c r="BD260" s="342"/>
      <c r="BE260" s="342"/>
      <c r="BF260" s="342"/>
      <c r="BG260" s="342"/>
      <c r="BH260" s="342"/>
      <c r="BI260" s="342"/>
      <c r="BJ260" s="342"/>
      <c r="BK260" s="342"/>
      <c r="BL260" s="342"/>
      <c r="BM260" s="344"/>
      <c r="BN260" s="344"/>
      <c r="BO260" s="342"/>
      <c r="BP260" s="345"/>
      <c r="BQ260" s="345"/>
      <c r="BR260" s="345"/>
      <c r="BS260" s="346"/>
      <c r="BT260" s="345"/>
      <c r="BU260" s="346"/>
      <c r="BV260" s="346"/>
      <c r="BW260" s="346"/>
      <c r="BX260" s="346"/>
      <c r="BY260" s="346"/>
      <c r="BZ260" s="346"/>
      <c r="CA260" s="346"/>
      <c r="CB260" s="346"/>
      <c r="CC260" s="346"/>
      <c r="CD260" s="346"/>
      <c r="CE260" s="347"/>
      <c r="CF260" s="346"/>
      <c r="CG260" s="346"/>
      <c r="CH260" s="346"/>
      <c r="CI260" s="346"/>
      <c r="CJ260" s="346"/>
      <c r="CK260" s="346"/>
      <c r="CL260" s="346"/>
      <c r="CM260" s="346"/>
      <c r="CN260" s="284"/>
      <c r="CO260" s="284"/>
      <c r="CP260" s="66"/>
      <c r="CQ260" s="284"/>
      <c r="CR260" s="284"/>
      <c r="CS260" s="66"/>
      <c r="CT260" s="284"/>
      <c r="CU260" s="284"/>
      <c r="CV260" s="66"/>
      <c r="CW260" s="284"/>
      <c r="CX260" s="284"/>
      <c r="CY260" s="306"/>
      <c r="CZ260" s="305"/>
      <c r="DA260" s="305"/>
      <c r="DB260" s="306"/>
      <c r="DC260" s="305"/>
      <c r="DD260" s="305"/>
      <c r="DE260" s="786"/>
      <c r="DF260" s="305"/>
      <c r="DG260" s="305"/>
      <c r="DH260" s="786"/>
      <c r="DI260" s="546"/>
      <c r="DJ260" s="546"/>
      <c r="DK260" s="841"/>
      <c r="DL260" s="845">
        <f t="shared" ref="DL260:DT260" si="288">DL259/DI259-1</f>
        <v>1.993129141758665E-2</v>
      </c>
      <c r="DM260" s="845">
        <f t="shared" si="288"/>
        <v>-4.1838271560236895E-2</v>
      </c>
      <c r="DN260" s="842">
        <f t="shared" si="288"/>
        <v>0.45452009268809523</v>
      </c>
      <c r="DO260" s="845">
        <f t="shared" si="288"/>
        <v>-3.8073416229549739E-2</v>
      </c>
      <c r="DP260" s="845">
        <f t="shared" si="288"/>
        <v>-1.2300096398216276E-2</v>
      </c>
      <c r="DQ260" s="841">
        <f t="shared" si="288"/>
        <v>-2.5635114478450238E-2</v>
      </c>
      <c r="DR260" s="549">
        <f t="shared" si="288"/>
        <v>2.8169014084507005E-2</v>
      </c>
      <c r="DS260" s="549">
        <f t="shared" si="288"/>
        <v>8.2352941176470518E-2</v>
      </c>
      <c r="DT260" s="841">
        <f t="shared" si="288"/>
        <v>5.4676258992805815E-2</v>
      </c>
      <c r="DU260" s="549">
        <f t="shared" ref="DU260:FA260" si="289">DU259/DR259-1</f>
        <v>2.4657534246575352E-2</v>
      </c>
      <c r="DV260" s="549">
        <f t="shared" si="289"/>
        <v>4.8913043478260976E-2</v>
      </c>
      <c r="DW260" s="841">
        <f t="shared" si="289"/>
        <v>3.6834924965893689E-2</v>
      </c>
      <c r="DX260" s="549">
        <f t="shared" si="289"/>
        <v>0.1336898395721926</v>
      </c>
      <c r="DY260" s="549">
        <f t="shared" si="289"/>
        <v>0.21173575129533684</v>
      </c>
      <c r="DZ260" s="841">
        <f t="shared" si="289"/>
        <v>0.17332894736842097</v>
      </c>
      <c r="EA260" s="549">
        <f t="shared" si="289"/>
        <v>8.6816037735849116E-2</v>
      </c>
      <c r="EB260" s="549">
        <f t="shared" si="289"/>
        <v>6.0394885938468645E-2</v>
      </c>
      <c r="EC260" s="841">
        <f t="shared" si="289"/>
        <v>7.2957621701636111E-2</v>
      </c>
      <c r="ED260" s="549">
        <f t="shared" si="289"/>
        <v>6.2645775916321034E-2</v>
      </c>
      <c r="EE260" s="549">
        <f t="shared" si="289"/>
        <v>6.3204413094519296E-2</v>
      </c>
      <c r="EF260" s="841">
        <f t="shared" si="289"/>
        <v>6.2935361367742138E-2</v>
      </c>
      <c r="EG260" s="549">
        <f t="shared" si="289"/>
        <v>7.875064787499042E-2</v>
      </c>
      <c r="EH260" s="549">
        <f t="shared" si="289"/>
        <v>7.9360826772739701E-2</v>
      </c>
      <c r="EI260" s="841">
        <f t="shared" si="289"/>
        <v>7.9067031504182594E-2</v>
      </c>
      <c r="EJ260" s="549">
        <f t="shared" si="289"/>
        <v>0.15041488417910087</v>
      </c>
      <c r="EK260" s="549">
        <f t="shared" si="289"/>
        <v>0.15135590510698904</v>
      </c>
      <c r="EL260" s="841">
        <f t="shared" si="289"/>
        <v>0.1509029454312687</v>
      </c>
      <c r="EM260" s="549">
        <f t="shared" si="289"/>
        <v>4.103169178315369E-2</v>
      </c>
      <c r="EN260" s="549">
        <f t="shared" si="289"/>
        <v>4.0952562658898017E-2</v>
      </c>
      <c r="EO260" s="841">
        <f t="shared" si="289"/>
        <v>4.0990635247746043E-2</v>
      </c>
      <c r="EP260" s="549">
        <f t="shared" si="289"/>
        <v>4.1385172720837193E-2</v>
      </c>
      <c r="EQ260" s="549">
        <f t="shared" si="289"/>
        <v>4.1308501784180995E-2</v>
      </c>
      <c r="ER260" s="841">
        <f t="shared" si="289"/>
        <v>4.1345393083089599E-2</v>
      </c>
      <c r="ES260" s="549">
        <f t="shared" si="289"/>
        <v>4.1727530307873906E-2</v>
      </c>
      <c r="ET260" s="549">
        <f t="shared" si="289"/>
        <v>4.1653291794960801E-2</v>
      </c>
      <c r="EU260" s="841">
        <f t="shared" si="289"/>
        <v>4.1689014063540641E-2</v>
      </c>
      <c r="EV260" s="549">
        <f t="shared" si="289"/>
        <v>4.2058893087253413E-2</v>
      </c>
      <c r="EW260" s="549">
        <f t="shared" si="289"/>
        <v>4.1987057237964587E-2</v>
      </c>
      <c r="EX260" s="841">
        <f t="shared" si="289"/>
        <v>4.2021624665082191E-2</v>
      </c>
      <c r="EY260" s="549">
        <f t="shared" si="289"/>
        <v>4.2379406801836605E-2</v>
      </c>
      <c r="EZ260" s="549">
        <f t="shared" si="289"/>
        <v>4.230994021818657E-2</v>
      </c>
      <c r="FA260" s="843">
        <f t="shared" si="289"/>
        <v>4.2343368749682142E-2</v>
      </c>
      <c r="FB260" s="349"/>
      <c r="FC260" s="349"/>
      <c r="FD260" s="360"/>
      <c r="FE260" s="360"/>
      <c r="FF260" s="360"/>
      <c r="FG260" s="360"/>
      <c r="FH260" s="360"/>
      <c r="FI260" s="360"/>
      <c r="FJ260" s="360"/>
      <c r="FK260" s="360"/>
      <c r="FL260" s="360"/>
      <c r="FM260" s="360"/>
      <c r="FN260" s="360"/>
      <c r="FO260" s="360"/>
      <c r="FP260" s="349"/>
      <c r="FQ260" s="349"/>
      <c r="FR260" s="349"/>
      <c r="FS260" s="349"/>
      <c r="FT260" s="349"/>
      <c r="FU260" s="349"/>
      <c r="FV260" s="349"/>
      <c r="FW260" s="349"/>
      <c r="FX260" s="349"/>
      <c r="FY260" s="349"/>
      <c r="FZ260" s="349"/>
      <c r="GA260" s="349"/>
      <c r="GB260" s="349"/>
    </row>
    <row r="261" spans="1:184" s="350" customFormat="1" ht="12.75" customHeight="1">
      <c r="A261" s="760"/>
      <c r="B261" s="342"/>
      <c r="D261" s="363"/>
      <c r="E261" s="342"/>
      <c r="F261" s="342"/>
      <c r="G261" s="342"/>
      <c r="H261" s="342"/>
      <c r="I261" s="342"/>
      <c r="J261" s="342"/>
      <c r="K261" s="342"/>
      <c r="L261" s="342"/>
      <c r="M261" s="342"/>
      <c r="N261" s="342"/>
      <c r="O261" s="342"/>
      <c r="P261" s="342"/>
      <c r="Q261" s="342"/>
      <c r="R261" s="342"/>
      <c r="S261" s="342"/>
      <c r="T261" s="342"/>
      <c r="U261" s="342"/>
      <c r="V261" s="342"/>
      <c r="W261" s="342"/>
      <c r="X261" s="342"/>
      <c r="Y261" s="342"/>
      <c r="Z261" s="342"/>
      <c r="AA261" s="342"/>
      <c r="AB261" s="342"/>
      <c r="AC261" s="342"/>
      <c r="AD261" s="342"/>
      <c r="AE261" s="342"/>
      <c r="AF261" s="342"/>
      <c r="AG261" s="342"/>
      <c r="AH261" s="342"/>
      <c r="AI261" s="342"/>
      <c r="AJ261" s="342"/>
      <c r="AK261" s="342"/>
      <c r="AL261" s="342"/>
      <c r="AM261" s="342"/>
      <c r="AN261" s="342"/>
      <c r="AO261" s="342"/>
      <c r="AP261" s="342"/>
      <c r="AQ261" s="342"/>
      <c r="AR261" s="342"/>
      <c r="AS261" s="342"/>
      <c r="AT261" s="342"/>
      <c r="AU261" s="342"/>
      <c r="AV261" s="342"/>
      <c r="AW261" s="342"/>
      <c r="AX261" s="342"/>
      <c r="AY261" s="342"/>
      <c r="AZ261" s="342"/>
      <c r="BA261" s="342"/>
      <c r="BB261" s="342"/>
      <c r="BC261" s="342"/>
      <c r="BD261" s="342"/>
      <c r="BE261" s="342"/>
      <c r="BF261" s="342"/>
      <c r="BG261" s="342"/>
      <c r="BH261" s="342"/>
      <c r="BI261" s="342"/>
      <c r="BJ261" s="342"/>
      <c r="BK261" s="342"/>
      <c r="BL261" s="342"/>
      <c r="BM261" s="344"/>
      <c r="BN261" s="344"/>
      <c r="BO261" s="342"/>
      <c r="BP261" s="345"/>
      <c r="BQ261" s="345"/>
      <c r="BR261" s="345"/>
      <c r="BS261" s="346"/>
      <c r="BT261" s="345"/>
      <c r="BU261" s="346"/>
      <c r="BV261" s="346"/>
      <c r="BW261" s="346"/>
      <c r="BX261" s="346"/>
      <c r="BY261" s="346"/>
      <c r="BZ261" s="346"/>
      <c r="CA261" s="346"/>
      <c r="CB261" s="346"/>
      <c r="CC261" s="346"/>
      <c r="CD261" s="346"/>
      <c r="CE261" s="347"/>
      <c r="CF261" s="346"/>
      <c r="CG261" s="346"/>
      <c r="CH261" s="346"/>
      <c r="CI261" s="346"/>
      <c r="CJ261" s="346"/>
      <c r="CK261" s="346"/>
      <c r="CL261" s="346"/>
      <c r="CM261" s="346"/>
      <c r="CN261" s="364"/>
      <c r="CO261" s="364"/>
      <c r="CP261" s="364"/>
      <c r="CQ261" s="284"/>
      <c r="CR261" s="284"/>
      <c r="CS261" s="368"/>
      <c r="CT261" s="369"/>
      <c r="CU261" s="369"/>
      <c r="CV261" s="370"/>
      <c r="CW261" s="369"/>
      <c r="CX261" s="369"/>
      <c r="CY261" s="568"/>
      <c r="CZ261" s="389"/>
      <c r="DA261" s="389"/>
      <c r="DB261" s="568"/>
      <c r="DC261" s="389"/>
      <c r="DD261" s="389"/>
      <c r="DE261" s="706"/>
      <c r="DF261" s="389"/>
      <c r="DG261" s="389"/>
      <c r="DH261" s="706"/>
      <c r="DI261" s="389"/>
      <c r="DJ261" s="389"/>
      <c r="DK261" s="706"/>
      <c r="DL261" s="391"/>
      <c r="DM261" s="391"/>
      <c r="DN261" s="733"/>
      <c r="DO261" s="391"/>
      <c r="DP261" s="391"/>
      <c r="DQ261" s="706"/>
      <c r="DR261" s="389"/>
      <c r="DS261" s="389"/>
      <c r="DT261" s="706"/>
      <c r="DU261" s="389"/>
      <c r="DV261" s="389"/>
      <c r="DW261" s="706"/>
      <c r="DX261" s="389"/>
      <c r="DY261" s="389"/>
      <c r="DZ261" s="706"/>
      <c r="EA261" s="389"/>
      <c r="EB261" s="389"/>
      <c r="EC261" s="706"/>
      <c r="ED261" s="389"/>
      <c r="EE261" s="389"/>
      <c r="EF261" s="706"/>
      <c r="EG261" s="389"/>
      <c r="EH261" s="389"/>
      <c r="EI261" s="706"/>
      <c r="EJ261" s="389"/>
      <c r="EK261" s="389"/>
      <c r="EL261" s="706"/>
      <c r="EM261" s="389"/>
      <c r="EN261" s="389"/>
      <c r="EO261" s="706"/>
      <c r="EP261" s="389"/>
      <c r="EQ261" s="389"/>
      <c r="ER261" s="706"/>
      <c r="ES261" s="389"/>
      <c r="ET261" s="389"/>
      <c r="EU261" s="706"/>
      <c r="EV261" s="389"/>
      <c r="EW261" s="389"/>
      <c r="EX261" s="706"/>
      <c r="EY261" s="389"/>
      <c r="EZ261" s="389"/>
      <c r="FA261" s="568"/>
      <c r="FB261" s="349"/>
      <c r="FC261" s="349"/>
      <c r="FD261" s="360"/>
      <c r="FE261" s="360"/>
      <c r="FF261" s="360"/>
      <c r="FG261" s="360"/>
      <c r="FH261" s="360"/>
      <c r="FI261" s="360"/>
      <c r="FJ261" s="360"/>
      <c r="FK261" s="360"/>
      <c r="FL261" s="360"/>
      <c r="FM261" s="360"/>
      <c r="FN261" s="360"/>
      <c r="FO261" s="360"/>
      <c r="FP261" s="349"/>
      <c r="FQ261" s="349"/>
      <c r="FR261" s="349"/>
      <c r="FS261" s="349"/>
      <c r="FT261" s="349"/>
      <c r="FU261" s="349"/>
      <c r="FV261" s="349"/>
      <c r="FW261" s="349"/>
      <c r="FX261" s="349"/>
      <c r="FY261" s="349"/>
      <c r="FZ261" s="349"/>
      <c r="GA261" s="349"/>
      <c r="GB261" s="349"/>
    </row>
    <row r="262" spans="1:184" ht="13.35" customHeight="1">
      <c r="A262" s="988" t="s">
        <v>1064</v>
      </c>
      <c r="C262" s="177" t="s">
        <v>795</v>
      </c>
      <c r="D262" s="294" t="s">
        <v>357</v>
      </c>
      <c r="BV262" s="184"/>
      <c r="BW262" s="184"/>
      <c r="BY262" s="198"/>
      <c r="BZ262" s="198"/>
      <c r="CA262" s="79"/>
      <c r="CB262" s="198"/>
      <c r="CC262" s="198"/>
      <c r="CD262" s="79"/>
      <c r="CE262" s="198"/>
      <c r="CF262" s="198"/>
      <c r="CG262" s="79"/>
      <c r="CH262" s="198"/>
      <c r="CI262" s="198"/>
      <c r="CJ262" s="79"/>
      <c r="CK262" s="198"/>
      <c r="CL262" s="198"/>
      <c r="CM262" s="79"/>
      <c r="CN262" s="198"/>
      <c r="CO262" s="198"/>
      <c r="CP262" s="79"/>
      <c r="CQ262" s="198"/>
      <c r="CR262" s="198"/>
      <c r="CS262" s="79"/>
      <c r="CT262" s="198"/>
      <c r="CU262" s="198"/>
      <c r="CV262" s="79"/>
      <c r="CW262" s="198"/>
      <c r="CX262" s="198"/>
      <c r="CY262" s="488"/>
      <c r="CZ262" s="489"/>
      <c r="DA262" s="489"/>
      <c r="DB262" s="488"/>
      <c r="DC262" s="489"/>
      <c r="DD262" s="489"/>
      <c r="DE262" s="783"/>
      <c r="DF262" s="489"/>
      <c r="DG262" s="489"/>
      <c r="DH262" s="783"/>
      <c r="DI262" s="836">
        <v>275.09444995822247</v>
      </c>
      <c r="DJ262" s="837">
        <f>+DK262-DI262</f>
        <v>265.8908898790034</v>
      </c>
      <c r="DK262" s="838">
        <v>540.98533983722587</v>
      </c>
      <c r="DL262" s="836">
        <v>319.36457418788405</v>
      </c>
      <c r="DM262" s="837">
        <f>+DN262-DL262</f>
        <v>308.23305376005612</v>
      </c>
      <c r="DN262" s="838">
        <v>627.59762794794017</v>
      </c>
      <c r="DO262" s="836">
        <v>325</v>
      </c>
      <c r="DP262" s="837">
        <f>+DQ262-DO262</f>
        <v>341</v>
      </c>
      <c r="DQ262" s="838">
        <v>666</v>
      </c>
      <c r="DR262" s="836">
        <v>366</v>
      </c>
      <c r="DS262" s="837">
        <f>+DT262-DR262</f>
        <v>336</v>
      </c>
      <c r="DT262" s="838">
        <v>702</v>
      </c>
      <c r="DU262" s="831">
        <v>293</v>
      </c>
      <c r="DV262" s="837">
        <f>+DW262-DU262</f>
        <v>299</v>
      </c>
      <c r="DW262" s="838">
        <v>592</v>
      </c>
      <c r="DX262" s="831">
        <v>241</v>
      </c>
      <c r="DY262" s="646">
        <f>+DV262*(1+DY263)</f>
        <v>307.97000000000003</v>
      </c>
      <c r="DZ262" s="674">
        <f>+SUM(DX262:DY262)</f>
        <v>548.97</v>
      </c>
      <c r="EA262" s="646">
        <f>+DX262*(1+EA263)</f>
        <v>253.05</v>
      </c>
      <c r="EB262" s="646">
        <f>+DY262*(1+EB263)</f>
        <v>323.36850000000004</v>
      </c>
      <c r="EC262" s="674">
        <f>+SUM(EA262:EB262)</f>
        <v>576.41849999999999</v>
      </c>
      <c r="ED262" s="646">
        <f>+EA262*(1+ED263)</f>
        <v>265.70250000000004</v>
      </c>
      <c r="EE262" s="646">
        <f>+EB262*(1+EE263)</f>
        <v>339.53692500000005</v>
      </c>
      <c r="EF262" s="674">
        <f>+SUM(ED262:EE262)</f>
        <v>605.2394250000001</v>
      </c>
      <c r="EG262" s="646">
        <f>+ED262*(1+EG263)</f>
        <v>278.98762500000004</v>
      </c>
      <c r="EH262" s="646">
        <f>+EE262*(1+EH263)</f>
        <v>356.51377125000005</v>
      </c>
      <c r="EI262" s="674">
        <f>+SUM(EG262:EH262)</f>
        <v>635.50139625000008</v>
      </c>
      <c r="EJ262" s="646">
        <f>+EG262*(1+EJ263)</f>
        <v>292.93700625000002</v>
      </c>
      <c r="EK262" s="646">
        <f>+EH262*(1+EK263)</f>
        <v>374.33945981250008</v>
      </c>
      <c r="EL262" s="674">
        <f>+SUM(EJ262:EK262)</f>
        <v>667.27646606250005</v>
      </c>
      <c r="EM262" s="646">
        <f>+EJ262*(1+EM263)</f>
        <v>307.58385656250005</v>
      </c>
      <c r="EN262" s="646">
        <f>+EK262*(1+EN263)</f>
        <v>393.05643280312512</v>
      </c>
      <c r="EO262" s="674">
        <f>+SUM(EM262:EN262)</f>
        <v>700.64028936562522</v>
      </c>
      <c r="EP262" s="646">
        <f>+EM262*(1+EP263)</f>
        <v>322.96304939062509</v>
      </c>
      <c r="EQ262" s="646">
        <f>+EN262*(1+EQ263)</f>
        <v>412.7092544432814</v>
      </c>
      <c r="ER262" s="674">
        <f>+SUM(EP262:EQ262)</f>
        <v>735.67230383390643</v>
      </c>
      <c r="ES262" s="646">
        <f>+EP262*(1+ES263)</f>
        <v>339.11120186015637</v>
      </c>
      <c r="ET262" s="646">
        <f>+EQ262*(1+ET263)</f>
        <v>433.3447171654455</v>
      </c>
      <c r="EU262" s="674">
        <f>+SUM(ES262:ET262)</f>
        <v>772.45591902560182</v>
      </c>
      <c r="EV262" s="646">
        <f>+ES262*(1+EV263)</f>
        <v>356.06676195316419</v>
      </c>
      <c r="EW262" s="646">
        <f>+ET262*(1+EW263)</f>
        <v>455.01195302371781</v>
      </c>
      <c r="EX262" s="674">
        <f>+SUM(EV262:EW262)</f>
        <v>811.078714976882</v>
      </c>
      <c r="EY262" s="646">
        <f>+EV262*(1+EY263)</f>
        <v>373.87010005082243</v>
      </c>
      <c r="EZ262" s="646">
        <f>+EW262*(1+EZ263)</f>
        <v>477.76255067490371</v>
      </c>
      <c r="FA262" s="776">
        <f>+SUM(EY262:EZ262)</f>
        <v>851.63265072572608</v>
      </c>
      <c r="FC262" s="349"/>
      <c r="FD262" s="219"/>
      <c r="FE262" s="219"/>
      <c r="FF262" s="219"/>
      <c r="FG262" s="219"/>
      <c r="FH262" s="219"/>
      <c r="FI262" s="219"/>
      <c r="FJ262" s="219"/>
      <c r="FK262" s="219"/>
      <c r="FL262" s="219"/>
      <c r="FM262" s="219"/>
      <c r="FN262" s="219"/>
      <c r="FO262" s="219"/>
    </row>
    <row r="263" spans="1:184" ht="13.35" customHeight="1">
      <c r="B263" s="296"/>
      <c r="C263" s="177" t="s">
        <v>178</v>
      </c>
      <c r="D263" s="294" t="s">
        <v>507</v>
      </c>
      <c r="BY263" s="284"/>
      <c r="BZ263" s="284"/>
      <c r="CA263" s="66"/>
      <c r="CB263" s="284"/>
      <c r="CC263" s="284"/>
      <c r="CD263" s="66"/>
      <c r="CE263" s="284"/>
      <c r="CF263" s="284"/>
      <c r="CG263" s="66"/>
      <c r="CH263" s="284"/>
      <c r="CI263" s="284"/>
      <c r="CJ263" s="66"/>
      <c r="CK263" s="284"/>
      <c r="CL263" s="284"/>
      <c r="CM263" s="66"/>
      <c r="CN263" s="284"/>
      <c r="CO263" s="284"/>
      <c r="CP263" s="66"/>
      <c r="CQ263" s="286"/>
      <c r="CR263" s="286"/>
      <c r="CS263" s="287"/>
      <c r="CT263" s="286"/>
      <c r="CU263" s="286"/>
      <c r="CV263" s="287"/>
      <c r="CW263" s="286"/>
      <c r="CX263" s="286"/>
      <c r="CY263" s="303"/>
      <c r="CZ263" s="302"/>
      <c r="DA263" s="302"/>
      <c r="DB263" s="303"/>
      <c r="DC263" s="302"/>
      <c r="DD263" s="302"/>
      <c r="DE263" s="786"/>
      <c r="DF263" s="305"/>
      <c r="DG263" s="305"/>
      <c r="DH263" s="786"/>
      <c r="DI263" s="546"/>
      <c r="DJ263" s="546"/>
      <c r="DK263" s="841"/>
      <c r="DL263" s="480">
        <f t="shared" ref="DL263:DQ263" si="290">+DL262/DI262-1</f>
        <v>0.16092699884125139</v>
      </c>
      <c r="DM263" s="480">
        <f t="shared" si="290"/>
        <v>0.15924638824715287</v>
      </c>
      <c r="DN263" s="712">
        <f t="shared" si="290"/>
        <v>0.16010098931104966</v>
      </c>
      <c r="DO263" s="480">
        <f t="shared" si="290"/>
        <v>1.7645744918472372E-2</v>
      </c>
      <c r="DP263" s="480">
        <f t="shared" si="290"/>
        <v>0.10630575092524408</v>
      </c>
      <c r="DQ263" s="712">
        <f t="shared" si="290"/>
        <v>6.1189479280895798E-2</v>
      </c>
      <c r="DR263" s="549">
        <f t="shared" ref="DR263:DX263" si="291">DR262/DO262-1</f>
        <v>0.12615384615384606</v>
      </c>
      <c r="DS263" s="549">
        <f t="shared" si="291"/>
        <v>-1.4662756598240456E-2</v>
      </c>
      <c r="DT263" s="841">
        <f t="shared" si="291"/>
        <v>5.4054054054053946E-2</v>
      </c>
      <c r="DU263" s="549">
        <f t="shared" si="291"/>
        <v>-0.19945355191256831</v>
      </c>
      <c r="DV263" s="549">
        <f t="shared" si="291"/>
        <v>-0.11011904761904767</v>
      </c>
      <c r="DW263" s="841">
        <f t="shared" si="291"/>
        <v>-0.15669515669515666</v>
      </c>
      <c r="DX263" s="549">
        <f t="shared" si="291"/>
        <v>-0.1774744027303754</v>
      </c>
      <c r="DY263" s="1908">
        <f>0%+DY3</f>
        <v>0.03</v>
      </c>
      <c r="DZ263" s="712">
        <f>+DZ262/DW262-1</f>
        <v>-7.2685810810810714E-2</v>
      </c>
      <c r="EA263" s="1864">
        <v>0.05</v>
      </c>
      <c r="EB263" s="480">
        <f>+EA263</f>
        <v>0.05</v>
      </c>
      <c r="EC263" s="712">
        <f>+EC262/DZ262-1</f>
        <v>5.0000000000000044E-2</v>
      </c>
      <c r="ED263" s="480">
        <f>+EB263</f>
        <v>0.05</v>
      </c>
      <c r="EE263" s="480">
        <f>+ED263</f>
        <v>0.05</v>
      </c>
      <c r="EF263" s="712">
        <f>+EF262/EC262-1</f>
        <v>5.0000000000000266E-2</v>
      </c>
      <c r="EG263" s="480">
        <f>+EE263</f>
        <v>0.05</v>
      </c>
      <c r="EH263" s="480">
        <f>+EG263</f>
        <v>0.05</v>
      </c>
      <c r="EI263" s="712">
        <f>+EI262/EF262-1</f>
        <v>5.0000000000000044E-2</v>
      </c>
      <c r="EJ263" s="480">
        <f>+EH263</f>
        <v>0.05</v>
      </c>
      <c r="EK263" s="480">
        <f>+EJ263</f>
        <v>0.05</v>
      </c>
      <c r="EL263" s="712">
        <f>+EL262/EI262-1</f>
        <v>5.0000000000000044E-2</v>
      </c>
      <c r="EM263" s="480">
        <f>+EK263</f>
        <v>0.05</v>
      </c>
      <c r="EN263" s="480">
        <f>+EM263</f>
        <v>0.05</v>
      </c>
      <c r="EO263" s="712">
        <f>+EO262/EL262-1</f>
        <v>5.0000000000000266E-2</v>
      </c>
      <c r="EP263" s="480">
        <f>+EN263</f>
        <v>0.05</v>
      </c>
      <c r="EQ263" s="480">
        <f>+EP263</f>
        <v>0.05</v>
      </c>
      <c r="ER263" s="712">
        <f>+ER262/EO262-1</f>
        <v>4.9999999999999822E-2</v>
      </c>
      <c r="ES263" s="480">
        <f>+EQ263</f>
        <v>0.05</v>
      </c>
      <c r="ET263" s="480">
        <f>+ES263</f>
        <v>0.05</v>
      </c>
      <c r="EU263" s="712">
        <f>+EU262/ER262-1</f>
        <v>5.0000000000000044E-2</v>
      </c>
      <c r="EV263" s="480">
        <f>+ET263</f>
        <v>0.05</v>
      </c>
      <c r="EW263" s="480">
        <f>+EV263</f>
        <v>0.05</v>
      </c>
      <c r="EX263" s="712">
        <f>+EX262/EU262-1</f>
        <v>5.0000000000000044E-2</v>
      </c>
      <c r="EY263" s="480">
        <f>+EW263</f>
        <v>0.05</v>
      </c>
      <c r="EZ263" s="480">
        <f>+EY263</f>
        <v>0.05</v>
      </c>
      <c r="FA263" s="597">
        <f>+FA262/EX262-1</f>
        <v>5.0000000000000044E-2</v>
      </c>
      <c r="FC263" s="349"/>
      <c r="FD263" s="244"/>
      <c r="FE263" s="244"/>
      <c r="FF263" s="244"/>
      <c r="FG263" s="244"/>
      <c r="FH263" s="244"/>
      <c r="FI263" s="244"/>
      <c r="FJ263" s="244"/>
      <c r="FK263" s="244"/>
      <c r="FL263" s="244"/>
      <c r="FM263" s="244"/>
      <c r="FN263" s="244"/>
      <c r="FO263" s="244"/>
    </row>
    <row r="264" spans="1:184" s="350" customFormat="1" ht="13.35" customHeight="1">
      <c r="A264" s="760"/>
      <c r="B264" s="342"/>
      <c r="C264" s="342"/>
      <c r="D264" s="343"/>
      <c r="E264" s="342"/>
      <c r="F264" s="342"/>
      <c r="G264" s="342"/>
      <c r="H264" s="342"/>
      <c r="I264" s="342"/>
      <c r="J264" s="342"/>
      <c r="K264" s="342"/>
      <c r="L264" s="342"/>
      <c r="M264" s="342"/>
      <c r="N264" s="342"/>
      <c r="O264" s="342"/>
      <c r="P264" s="342"/>
      <c r="Q264" s="342"/>
      <c r="R264" s="342"/>
      <c r="S264" s="342"/>
      <c r="T264" s="342"/>
      <c r="U264" s="342"/>
      <c r="V264" s="342"/>
      <c r="W264" s="342"/>
      <c r="X264" s="342"/>
      <c r="Y264" s="342"/>
      <c r="Z264" s="342"/>
      <c r="AA264" s="342"/>
      <c r="AB264" s="342"/>
      <c r="AC264" s="342"/>
      <c r="AD264" s="342"/>
      <c r="AE264" s="342"/>
      <c r="AF264" s="342"/>
      <c r="AG264" s="342"/>
      <c r="AH264" s="342"/>
      <c r="AI264" s="342"/>
      <c r="AJ264" s="342"/>
      <c r="AK264" s="342"/>
      <c r="AL264" s="342"/>
      <c r="AM264" s="342"/>
      <c r="AN264" s="342"/>
      <c r="AO264" s="342"/>
      <c r="AP264" s="342"/>
      <c r="AQ264" s="342"/>
      <c r="AR264" s="342"/>
      <c r="AS264" s="342"/>
      <c r="AT264" s="342"/>
      <c r="AU264" s="342"/>
      <c r="AV264" s="342"/>
      <c r="AW264" s="342"/>
      <c r="AX264" s="342"/>
      <c r="AY264" s="342"/>
      <c r="AZ264" s="342"/>
      <c r="BA264" s="342"/>
      <c r="BB264" s="342"/>
      <c r="BC264" s="342"/>
      <c r="BD264" s="342"/>
      <c r="BE264" s="342"/>
      <c r="BF264" s="342"/>
      <c r="BG264" s="342"/>
      <c r="BH264" s="342"/>
      <c r="BI264" s="342"/>
      <c r="BJ264" s="342"/>
      <c r="BK264" s="342"/>
      <c r="BL264" s="342"/>
      <c r="BM264" s="344"/>
      <c r="BN264" s="344"/>
      <c r="BO264" s="342"/>
      <c r="BP264" s="345"/>
      <c r="BQ264" s="345"/>
      <c r="BR264" s="345"/>
      <c r="BS264" s="346"/>
      <c r="BT264" s="345"/>
      <c r="BU264" s="346"/>
      <c r="BV264" s="346"/>
      <c r="BW264" s="346"/>
      <c r="BX264" s="346"/>
      <c r="BY264" s="346"/>
      <c r="BZ264" s="346"/>
      <c r="CA264" s="346"/>
      <c r="CB264" s="346"/>
      <c r="CC264" s="346"/>
      <c r="CD264" s="346"/>
      <c r="CE264" s="347"/>
      <c r="CF264" s="346"/>
      <c r="CG264" s="346"/>
      <c r="CH264" s="346"/>
      <c r="CI264" s="346"/>
      <c r="CJ264" s="346"/>
      <c r="CK264" s="346"/>
      <c r="CL264" s="346"/>
      <c r="CM264" s="346"/>
      <c r="CN264" s="346"/>
      <c r="CO264" s="346"/>
      <c r="CP264" s="346"/>
      <c r="CQ264" s="346"/>
      <c r="CR264" s="393"/>
      <c r="CS264" s="346"/>
      <c r="CT264" s="346"/>
      <c r="CU264" s="346"/>
      <c r="CV264" s="346"/>
      <c r="CW264" s="346"/>
      <c r="CX264" s="346"/>
      <c r="CY264" s="556"/>
      <c r="CZ264" s="556"/>
      <c r="DA264" s="556"/>
      <c r="DB264" s="556"/>
      <c r="DC264" s="556"/>
      <c r="DD264" s="556"/>
      <c r="DE264" s="793"/>
      <c r="DF264" s="556"/>
      <c r="DG264" s="556"/>
      <c r="DH264" s="793"/>
      <c r="DI264" s="556"/>
      <c r="DJ264" s="556"/>
      <c r="DK264" s="704"/>
      <c r="DL264" s="556"/>
      <c r="DM264" s="556"/>
      <c r="DN264" s="704"/>
      <c r="DO264" s="556"/>
      <c r="DP264" s="556"/>
      <c r="DQ264" s="704"/>
      <c r="DR264" s="556"/>
      <c r="DS264" s="556"/>
      <c r="DT264" s="704"/>
      <c r="DU264" s="556"/>
      <c r="DV264" s="556"/>
      <c r="DW264" s="704"/>
      <c r="DX264" s="556"/>
      <c r="DY264" s="556"/>
      <c r="DZ264" s="704"/>
      <c r="EA264" s="556"/>
      <c r="EB264" s="556"/>
      <c r="EC264" s="704"/>
      <c r="ED264" s="556"/>
      <c r="EE264" s="556"/>
      <c r="EF264" s="704"/>
      <c r="EG264" s="556"/>
      <c r="EH264" s="556"/>
      <c r="EI264" s="704"/>
      <c r="EJ264" s="556"/>
      <c r="EK264" s="556"/>
      <c r="EL264" s="704"/>
      <c r="EM264" s="556"/>
      <c r="EN264" s="556"/>
      <c r="EO264" s="704"/>
      <c r="EP264" s="556"/>
      <c r="EQ264" s="556"/>
      <c r="ER264" s="704"/>
      <c r="ES264" s="556"/>
      <c r="ET264" s="556"/>
      <c r="EU264" s="704"/>
      <c r="EV264" s="556"/>
      <c r="EW264" s="556"/>
      <c r="EX264" s="704"/>
      <c r="EY264" s="556"/>
      <c r="EZ264" s="556"/>
      <c r="FA264" s="557"/>
      <c r="FB264" s="349"/>
      <c r="FC264" s="349"/>
      <c r="FD264" s="349"/>
      <c r="FE264" s="394"/>
      <c r="FF264" s="394"/>
      <c r="FG264" s="394"/>
      <c r="FH264" s="394"/>
      <c r="FI264" s="394"/>
      <c r="FJ264" s="394"/>
      <c r="FK264" s="394"/>
      <c r="FL264" s="394"/>
      <c r="FM264" s="394"/>
      <c r="FN264" s="394"/>
      <c r="FO264" s="394"/>
      <c r="FP264" s="349"/>
      <c r="FQ264" s="349"/>
      <c r="FR264" s="349"/>
      <c r="FS264" s="349"/>
      <c r="FT264" s="349"/>
      <c r="FU264" s="349"/>
      <c r="FV264" s="349"/>
      <c r="FW264" s="349"/>
      <c r="FX264" s="349"/>
      <c r="FY264" s="349"/>
      <c r="FZ264" s="349"/>
      <c r="GA264" s="349"/>
      <c r="GB264" s="349"/>
    </row>
    <row r="265" spans="1:184" s="256" customFormat="1" ht="13.35" customHeight="1">
      <c r="A265" s="990"/>
      <c r="B265" s="255"/>
      <c r="C265" s="177" t="s">
        <v>657</v>
      </c>
      <c r="D265" s="294" t="s">
        <v>357</v>
      </c>
      <c r="E265" s="257"/>
      <c r="F265" s="257"/>
      <c r="G265" s="258"/>
      <c r="H265" s="257"/>
      <c r="I265" s="257"/>
      <c r="J265" s="258"/>
      <c r="K265" s="257"/>
      <c r="L265" s="257"/>
      <c r="M265" s="258"/>
      <c r="N265" s="257"/>
      <c r="O265" s="257"/>
      <c r="P265" s="258"/>
      <c r="Q265" s="257"/>
      <c r="R265" s="257"/>
      <c r="S265" s="258"/>
      <c r="T265" s="257"/>
      <c r="U265" s="257"/>
      <c r="V265" s="258"/>
      <c r="W265" s="257"/>
      <c r="X265" s="257"/>
      <c r="Y265" s="258"/>
      <c r="Z265" s="257"/>
      <c r="AA265" s="257"/>
      <c r="AB265" s="258"/>
      <c r="AC265" s="257"/>
      <c r="AD265" s="257"/>
      <c r="AE265" s="258"/>
      <c r="AF265" s="257"/>
      <c r="AG265" s="257"/>
      <c r="AH265" s="258"/>
      <c r="AI265" s="257"/>
      <c r="AJ265" s="257"/>
      <c r="AK265" s="258"/>
      <c r="AL265" s="257"/>
      <c r="AM265" s="257"/>
      <c r="AN265" s="258"/>
      <c r="AO265" s="257"/>
      <c r="AP265" s="257"/>
      <c r="AQ265" s="258"/>
      <c r="AR265" s="257"/>
      <c r="AS265" s="257"/>
      <c r="AT265" s="258"/>
      <c r="AU265" s="257"/>
      <c r="AV265" s="257"/>
      <c r="AW265" s="258"/>
      <c r="AX265" s="257"/>
      <c r="AY265" s="257"/>
      <c r="AZ265" s="255"/>
      <c r="BA265" s="257"/>
      <c r="BB265" s="257"/>
      <c r="BC265" s="255"/>
      <c r="BD265" s="275"/>
      <c r="BE265" s="275"/>
      <c r="BF265" s="276"/>
      <c r="BG265" s="275"/>
      <c r="BH265" s="275"/>
      <c r="BI265" s="276"/>
      <c r="BJ265" s="275"/>
      <c r="BK265" s="275"/>
      <c r="BL265" s="276"/>
      <c r="BM265" s="275"/>
      <c r="BN265" s="275"/>
      <c r="BO265" s="276"/>
      <c r="BP265" s="271"/>
      <c r="BQ265" s="271"/>
      <c r="BR265" s="272"/>
      <c r="BS265" s="198"/>
      <c r="BT265" s="271"/>
      <c r="BU265" s="254"/>
      <c r="BV265" s="198"/>
      <c r="BW265" s="198"/>
      <c r="BX265" s="79"/>
      <c r="BY265" s="198"/>
      <c r="BZ265" s="198"/>
      <c r="CA265" s="79"/>
      <c r="CB265" s="198"/>
      <c r="CC265" s="198"/>
      <c r="CD265" s="79"/>
      <c r="CE265" s="198"/>
      <c r="CF265" s="198"/>
      <c r="CG265" s="79"/>
      <c r="CH265" s="198"/>
      <c r="CI265" s="198"/>
      <c r="CJ265" s="79"/>
      <c r="CK265" s="198"/>
      <c r="CL265" s="198"/>
      <c r="CM265" s="79"/>
      <c r="CN265" s="198"/>
      <c r="CO265" s="198"/>
      <c r="CP265" s="79"/>
      <c r="CQ265" s="198"/>
      <c r="CR265" s="198"/>
      <c r="CS265" s="79"/>
      <c r="CT265" s="198"/>
      <c r="CU265" s="198"/>
      <c r="CV265" s="79"/>
      <c r="CW265" s="198"/>
      <c r="CX265" s="198"/>
      <c r="CY265" s="488"/>
      <c r="CZ265" s="489"/>
      <c r="DA265" s="489"/>
      <c r="DB265" s="488"/>
      <c r="DC265" s="489"/>
      <c r="DD265" s="489"/>
      <c r="DE265" s="783"/>
      <c r="DF265" s="489"/>
      <c r="DG265" s="489"/>
      <c r="DH265" s="783"/>
      <c r="DI265" s="646">
        <f>+DI268-DI259-DI262</f>
        <v>262.06643723277358</v>
      </c>
      <c r="DJ265" s="646">
        <f>+DJ268-DJ259-DJ262</f>
        <v>245.84396463123466</v>
      </c>
      <c r="DK265" s="674">
        <f>SUM(DI265:DJ265)</f>
        <v>507.91040186400824</v>
      </c>
      <c r="DL265" s="646">
        <f>+DL268-DL259-DL262</f>
        <v>225.58439219943477</v>
      </c>
      <c r="DM265" s="646">
        <f>+DM268-DM259-DM262</f>
        <v>225.53283346931062</v>
      </c>
      <c r="DN265" s="674">
        <f>SUM(DL265:DM265)</f>
        <v>451.11722566874539</v>
      </c>
      <c r="DO265" s="646">
        <f>+DO268-DO259-DO262</f>
        <v>235</v>
      </c>
      <c r="DP265" s="646">
        <f>+DP268-DP259-DP262</f>
        <v>235</v>
      </c>
      <c r="DQ265" s="674">
        <f>SUM(DO265:DP265)</f>
        <v>470</v>
      </c>
      <c r="DR265" s="646">
        <f>+DR268-DR259-DR262</f>
        <v>245</v>
      </c>
      <c r="DS265" s="646">
        <f>+DS268-DS259-DS262</f>
        <v>260</v>
      </c>
      <c r="DT265" s="674">
        <f>SUM(DR265:DS265)</f>
        <v>505</v>
      </c>
      <c r="DU265" s="646">
        <f>+DU268-DU259-DU262</f>
        <v>254</v>
      </c>
      <c r="DV265" s="837">
        <f>+DS265*(1+DV266)</f>
        <v>267.8</v>
      </c>
      <c r="DW265" s="674">
        <f>SUM(DU265:DV265)</f>
        <v>521.79999999999995</v>
      </c>
      <c r="DX265" s="646">
        <f>+DX268-DX259-DX262</f>
        <v>263</v>
      </c>
      <c r="DY265" s="837">
        <f>+DV265*(1+DY266)</f>
        <v>281.19</v>
      </c>
      <c r="DZ265" s="828">
        <f>SUM(DX265:DY265)</f>
        <v>544.19000000000005</v>
      </c>
      <c r="EA265" s="837">
        <f>+DX265*(1+EA266)</f>
        <v>276.15000000000003</v>
      </c>
      <c r="EB265" s="837">
        <f>+DY265*(1+EB266)</f>
        <v>295.24950000000001</v>
      </c>
      <c r="EC265" s="828">
        <f>SUM(EA265:EB265)</f>
        <v>571.39949999999999</v>
      </c>
      <c r="ED265" s="837">
        <f>+EA265*(1+ED266)</f>
        <v>289.95750000000004</v>
      </c>
      <c r="EE265" s="837">
        <f>+EB265*(1+EE266)</f>
        <v>310.01197500000001</v>
      </c>
      <c r="EF265" s="828">
        <f>SUM(ED265:EE265)</f>
        <v>599.9694750000001</v>
      </c>
      <c r="EG265" s="837">
        <f>+ED265*(1+EG266)</f>
        <v>310.25452500000006</v>
      </c>
      <c r="EH265" s="837">
        <f>+EE265*(1+EH266)</f>
        <v>331.71281325000001</v>
      </c>
      <c r="EI265" s="828">
        <f>SUM(EG265:EH265)</f>
        <v>641.96733825000001</v>
      </c>
      <c r="EJ265" s="837">
        <f>+EG265*(1+EJ266)</f>
        <v>328.86979650000006</v>
      </c>
      <c r="EK265" s="837">
        <f>+EH265*(1+EK266)</f>
        <v>351.61558204500005</v>
      </c>
      <c r="EL265" s="828">
        <f>SUM(EJ265:EK265)</f>
        <v>680.48537854500012</v>
      </c>
      <c r="EM265" s="837">
        <f>+EJ265*(1+EM266)</f>
        <v>345.31328632500009</v>
      </c>
      <c r="EN265" s="837">
        <f>+EK265*(1+EN266)</f>
        <v>369.19636114725006</v>
      </c>
      <c r="EO265" s="828">
        <f>SUM(EM265:EN265)</f>
        <v>714.50964747225021</v>
      </c>
      <c r="EP265" s="837">
        <f>+EM265*(1+EP266)</f>
        <v>362.57895064125012</v>
      </c>
      <c r="EQ265" s="837">
        <f>+EN265*(1+EQ266)</f>
        <v>387.65617920461256</v>
      </c>
      <c r="ER265" s="828">
        <f>SUM(EP265:EQ265)</f>
        <v>750.23512984586273</v>
      </c>
      <c r="ES265" s="837">
        <f>+EP265*(1+ES266)</f>
        <v>380.70789817331263</v>
      </c>
      <c r="ET265" s="837">
        <f>+EQ265*(1+ET266)</f>
        <v>407.0389881648432</v>
      </c>
      <c r="EU265" s="828">
        <f>SUM(ES265:ET265)</f>
        <v>787.74688633815583</v>
      </c>
      <c r="EV265" s="837">
        <f>+ES265*(1+EV266)</f>
        <v>399.74329308197827</v>
      </c>
      <c r="EW265" s="837">
        <f>+ET265*(1+EW266)</f>
        <v>427.39093757308541</v>
      </c>
      <c r="EX265" s="828">
        <f>SUM(EV265:EW265)</f>
        <v>827.13423065506367</v>
      </c>
      <c r="EY265" s="837">
        <f>+EV265*(1+EY266)</f>
        <v>419.7304577360772</v>
      </c>
      <c r="EZ265" s="837">
        <f>+EW265*(1+EZ266)</f>
        <v>448.76048445173967</v>
      </c>
      <c r="FA265" s="840">
        <f>SUM(EY265:EZ265)</f>
        <v>868.49094218781693</v>
      </c>
      <c r="FB265" s="176"/>
      <c r="FC265" s="176"/>
      <c r="FD265" s="176"/>
      <c r="FE265" s="395"/>
      <c r="FF265" s="395"/>
      <c r="FG265" s="395"/>
      <c r="FH265" s="395"/>
      <c r="FI265" s="395"/>
      <c r="FJ265" s="395"/>
      <c r="FK265" s="395"/>
      <c r="FL265" s="395"/>
      <c r="FM265" s="395"/>
      <c r="FN265" s="395"/>
      <c r="FO265" s="395"/>
      <c r="FP265" s="263"/>
      <c r="FQ265" s="263"/>
      <c r="FR265" s="263"/>
      <c r="FS265" s="263"/>
      <c r="FT265" s="263"/>
      <c r="FU265" s="263"/>
      <c r="FV265" s="263"/>
      <c r="FW265" s="263"/>
      <c r="FX265" s="263"/>
      <c r="FY265" s="263"/>
      <c r="FZ265" s="263"/>
      <c r="GA265" s="263"/>
      <c r="GB265" s="263"/>
    </row>
    <row r="266" spans="1:184" s="256" customFormat="1" ht="13.35" customHeight="1">
      <c r="A266" s="990"/>
      <c r="B266" s="296"/>
      <c r="C266" s="177" t="s">
        <v>178</v>
      </c>
      <c r="D266" s="294" t="s">
        <v>507</v>
      </c>
      <c r="E266" s="257"/>
      <c r="F266" s="257"/>
      <c r="G266" s="258"/>
      <c r="H266" s="257"/>
      <c r="I266" s="257"/>
      <c r="J266" s="258"/>
      <c r="K266" s="257"/>
      <c r="L266" s="257"/>
      <c r="M266" s="258"/>
      <c r="N266" s="257"/>
      <c r="O266" s="257"/>
      <c r="P266" s="258"/>
      <c r="Q266" s="257"/>
      <c r="R266" s="257"/>
      <c r="S266" s="258"/>
      <c r="T266" s="257"/>
      <c r="U266" s="257"/>
      <c r="V266" s="258"/>
      <c r="W266" s="257"/>
      <c r="X266" s="257"/>
      <c r="Y266" s="258"/>
      <c r="Z266" s="257"/>
      <c r="AA266" s="257"/>
      <c r="AB266" s="258"/>
      <c r="AC266" s="257"/>
      <c r="AD266" s="257"/>
      <c r="AE266" s="258"/>
      <c r="AF266" s="257"/>
      <c r="AG266" s="257"/>
      <c r="AH266" s="258"/>
      <c r="AI266" s="257"/>
      <c r="AJ266" s="257"/>
      <c r="AK266" s="258"/>
      <c r="AL266" s="257"/>
      <c r="AM266" s="257"/>
      <c r="AN266" s="258"/>
      <c r="AO266" s="257"/>
      <c r="AP266" s="257"/>
      <c r="AQ266" s="258"/>
      <c r="AR266" s="257"/>
      <c r="AS266" s="257"/>
      <c r="AT266" s="258"/>
      <c r="AU266" s="257"/>
      <c r="AV266" s="257"/>
      <c r="AW266" s="258"/>
      <c r="AX266" s="257"/>
      <c r="AY266" s="257"/>
      <c r="AZ266" s="255"/>
      <c r="BA266" s="257"/>
      <c r="BB266" s="257"/>
      <c r="BC266" s="255"/>
      <c r="BD266" s="275"/>
      <c r="BE266" s="275"/>
      <c r="BF266" s="276"/>
      <c r="BG266" s="275"/>
      <c r="BH266" s="275"/>
      <c r="BI266" s="276"/>
      <c r="BJ266" s="275"/>
      <c r="BK266" s="275"/>
      <c r="BL266" s="276"/>
      <c r="BM266" s="275"/>
      <c r="BN266" s="275"/>
      <c r="BO266" s="276"/>
      <c r="BP266" s="271"/>
      <c r="BQ266" s="271"/>
      <c r="BR266" s="272"/>
      <c r="BS266" s="284"/>
      <c r="BT266" s="271"/>
      <c r="BU266" s="285"/>
      <c r="BV266" s="284"/>
      <c r="BW266" s="284"/>
      <c r="BX266" s="66"/>
      <c r="BY266" s="284"/>
      <c r="BZ266" s="284"/>
      <c r="CA266" s="66"/>
      <c r="CB266" s="284"/>
      <c r="CC266" s="284"/>
      <c r="CD266" s="66"/>
      <c r="CE266" s="284"/>
      <c r="CF266" s="284"/>
      <c r="CG266" s="66"/>
      <c r="CH266" s="284"/>
      <c r="CI266" s="284"/>
      <c r="CJ266" s="66"/>
      <c r="CK266" s="284"/>
      <c r="CL266" s="284"/>
      <c r="CM266" s="66"/>
      <c r="CN266" s="284"/>
      <c r="CO266" s="284"/>
      <c r="CP266" s="66"/>
      <c r="CQ266" s="286"/>
      <c r="CR266" s="286"/>
      <c r="CS266" s="287"/>
      <c r="CT266" s="286"/>
      <c r="CU266" s="286"/>
      <c r="CV266" s="287"/>
      <c r="CW266" s="286"/>
      <c r="CX266" s="286"/>
      <c r="CY266" s="303"/>
      <c r="CZ266" s="302"/>
      <c r="DA266" s="302"/>
      <c r="DB266" s="303"/>
      <c r="DC266" s="302"/>
      <c r="DD266" s="302"/>
      <c r="DE266" s="786"/>
      <c r="DF266" s="305"/>
      <c r="DG266" s="305"/>
      <c r="DH266" s="786"/>
      <c r="DI266" s="546"/>
      <c r="DJ266" s="546"/>
      <c r="DK266" s="841"/>
      <c r="DL266" s="549">
        <f t="shared" ref="DL266:DU266" si="292">DL265/DI265-1</f>
        <v>-0.13920914642318194</v>
      </c>
      <c r="DM266" s="549">
        <f t="shared" si="292"/>
        <v>-8.2617977595629388E-2</v>
      </c>
      <c r="DN266" s="841">
        <f t="shared" si="292"/>
        <v>-0.11181731263394967</v>
      </c>
      <c r="DO266" s="549">
        <f t="shared" si="292"/>
        <v>4.1738737812326399E-2</v>
      </c>
      <c r="DP266" s="549">
        <f t="shared" si="292"/>
        <v>4.1976888176583849E-2</v>
      </c>
      <c r="DQ266" s="841">
        <f t="shared" si="292"/>
        <v>4.1857799385209393E-2</v>
      </c>
      <c r="DR266" s="549">
        <f t="shared" si="292"/>
        <v>4.2553191489361764E-2</v>
      </c>
      <c r="DS266" s="549">
        <f t="shared" si="292"/>
        <v>0.1063829787234043</v>
      </c>
      <c r="DT266" s="841">
        <f t="shared" si="292"/>
        <v>7.4468085106383031E-2</v>
      </c>
      <c r="DU266" s="549">
        <f t="shared" si="292"/>
        <v>3.6734693877551017E-2</v>
      </c>
      <c r="DV266" s="1854">
        <v>0.03</v>
      </c>
      <c r="DW266" s="841">
        <f>DW265/DT265-1</f>
        <v>3.3267326732673075E-2</v>
      </c>
      <c r="DX266" s="549">
        <f t="shared" ref="DX266" si="293">DX265/DU265-1</f>
        <v>3.5433070866141669E-2</v>
      </c>
      <c r="DY266" s="1908">
        <f>2%+DY3</f>
        <v>0.05</v>
      </c>
      <c r="DZ266" s="841">
        <f>DZ265/DW265-1</f>
        <v>4.2909160597930374E-2</v>
      </c>
      <c r="EA266" s="1865">
        <v>0.05</v>
      </c>
      <c r="EB266" s="549">
        <f>+EA266</f>
        <v>0.05</v>
      </c>
      <c r="EC266" s="841">
        <f>EC265/DZ265-1</f>
        <v>4.9999999999999822E-2</v>
      </c>
      <c r="ED266" s="549">
        <f>+EB266</f>
        <v>0.05</v>
      </c>
      <c r="EE266" s="549">
        <f>+ED266</f>
        <v>0.05</v>
      </c>
      <c r="EF266" s="841">
        <f>EF265/EC265-1</f>
        <v>5.0000000000000266E-2</v>
      </c>
      <c r="EG266" s="1865">
        <v>7.0000000000000007E-2</v>
      </c>
      <c r="EH266" s="549">
        <f>+EG266</f>
        <v>7.0000000000000007E-2</v>
      </c>
      <c r="EI266" s="841">
        <f>EI265/EF265-1</f>
        <v>6.999999999999984E-2</v>
      </c>
      <c r="EJ266" s="1865">
        <v>0.06</v>
      </c>
      <c r="EK266" s="549">
        <f>+EJ266</f>
        <v>0.06</v>
      </c>
      <c r="EL266" s="841">
        <f>EL265/EI265-1</f>
        <v>6.0000000000000053E-2</v>
      </c>
      <c r="EM266" s="549">
        <v>0.05</v>
      </c>
      <c r="EN266" s="549">
        <f>+EM266</f>
        <v>0.05</v>
      </c>
      <c r="EO266" s="841">
        <f>EO265/EL265-1</f>
        <v>5.0000000000000044E-2</v>
      </c>
      <c r="EP266" s="549">
        <f>+EN266</f>
        <v>0.05</v>
      </c>
      <c r="EQ266" s="549">
        <f>+EP266</f>
        <v>0.05</v>
      </c>
      <c r="ER266" s="841">
        <f>ER265/EO265-1</f>
        <v>5.0000000000000044E-2</v>
      </c>
      <c r="ES266" s="549">
        <f>+EQ266</f>
        <v>0.05</v>
      </c>
      <c r="ET266" s="549">
        <f>+ES266</f>
        <v>0.05</v>
      </c>
      <c r="EU266" s="841">
        <f>EU265/ER265-1</f>
        <v>5.0000000000000044E-2</v>
      </c>
      <c r="EV266" s="549">
        <f>+ET266</f>
        <v>0.05</v>
      </c>
      <c r="EW266" s="549">
        <f>+EV266</f>
        <v>0.05</v>
      </c>
      <c r="EX266" s="841">
        <f>EX265/EU265-1</f>
        <v>5.0000000000000044E-2</v>
      </c>
      <c r="EY266" s="549">
        <f>+EW266</f>
        <v>0.05</v>
      </c>
      <c r="EZ266" s="549">
        <f>+EY266</f>
        <v>0.05</v>
      </c>
      <c r="FA266" s="843">
        <f>FA265/EX265-1</f>
        <v>5.0000000000000044E-2</v>
      </c>
      <c r="FB266" s="263"/>
      <c r="FC266" s="263"/>
      <c r="FD266" s="263"/>
      <c r="FE266" s="263"/>
      <c r="FF266" s="263"/>
      <c r="FG266" s="263"/>
      <c r="FH266" s="263"/>
      <c r="FI266" s="263"/>
      <c r="FJ266" s="263"/>
      <c r="FK266" s="263"/>
      <c r="FL266" s="263"/>
      <c r="FM266" s="263"/>
      <c r="FN266" s="263"/>
      <c r="FO266" s="263"/>
      <c r="FP266" s="263"/>
      <c r="FQ266" s="263"/>
      <c r="FR266" s="263"/>
      <c r="FS266" s="263"/>
      <c r="FT266" s="263"/>
      <c r="FU266" s="263"/>
      <c r="FV266" s="263"/>
      <c r="FW266" s="263"/>
      <c r="FX266" s="263"/>
      <c r="FY266" s="263"/>
      <c r="FZ266" s="263"/>
      <c r="GA266" s="263"/>
      <c r="GB266" s="263"/>
    </row>
    <row r="267" spans="1:184" s="350" customFormat="1" ht="13.35" customHeight="1">
      <c r="A267" s="760"/>
      <c r="B267" s="342"/>
      <c r="C267" s="342"/>
      <c r="D267" s="343"/>
      <c r="E267" s="342"/>
      <c r="F267" s="342"/>
      <c r="G267" s="342"/>
      <c r="H267" s="342"/>
      <c r="I267" s="342"/>
      <c r="J267" s="342"/>
      <c r="K267" s="342"/>
      <c r="L267" s="342"/>
      <c r="M267" s="342"/>
      <c r="N267" s="342"/>
      <c r="O267" s="342"/>
      <c r="P267" s="342"/>
      <c r="Q267" s="342"/>
      <c r="R267" s="342"/>
      <c r="S267" s="342"/>
      <c r="T267" s="342"/>
      <c r="U267" s="342"/>
      <c r="V267" s="342"/>
      <c r="W267" s="342"/>
      <c r="X267" s="342"/>
      <c r="Y267" s="342"/>
      <c r="Z267" s="342"/>
      <c r="AA267" s="342"/>
      <c r="AB267" s="342"/>
      <c r="AC267" s="342"/>
      <c r="AD267" s="342"/>
      <c r="AE267" s="342"/>
      <c r="AF267" s="342"/>
      <c r="AG267" s="342"/>
      <c r="AH267" s="342"/>
      <c r="AI267" s="342"/>
      <c r="AJ267" s="342"/>
      <c r="AK267" s="342"/>
      <c r="AL267" s="342"/>
      <c r="AM267" s="342"/>
      <c r="AN267" s="342"/>
      <c r="AO267" s="342"/>
      <c r="AP267" s="342"/>
      <c r="AQ267" s="342"/>
      <c r="AR267" s="342"/>
      <c r="AS267" s="342"/>
      <c r="AT267" s="342"/>
      <c r="AU267" s="342"/>
      <c r="AV267" s="342"/>
      <c r="AW267" s="342"/>
      <c r="AX267" s="342"/>
      <c r="AY267" s="342"/>
      <c r="AZ267" s="342"/>
      <c r="BA267" s="342"/>
      <c r="BB267" s="342"/>
      <c r="BC267" s="342"/>
      <c r="BD267" s="342"/>
      <c r="BE267" s="342"/>
      <c r="BF267" s="342"/>
      <c r="BG267" s="342"/>
      <c r="BH267" s="342"/>
      <c r="BI267" s="342"/>
      <c r="BJ267" s="342"/>
      <c r="BK267" s="342"/>
      <c r="BL267" s="342"/>
      <c r="BM267" s="344"/>
      <c r="BN267" s="344"/>
      <c r="BO267" s="342"/>
      <c r="BP267" s="345"/>
      <c r="BQ267" s="345"/>
      <c r="BR267" s="345"/>
      <c r="BS267" s="346"/>
      <c r="BT267" s="345"/>
      <c r="BU267" s="346"/>
      <c r="BV267" s="346"/>
      <c r="BW267" s="346"/>
      <c r="BX267" s="346"/>
      <c r="BY267" s="346"/>
      <c r="BZ267" s="346"/>
      <c r="CA267" s="346"/>
      <c r="CB267" s="346"/>
      <c r="CC267" s="346"/>
      <c r="CD267" s="346"/>
      <c r="CE267" s="347"/>
      <c r="CF267" s="346"/>
      <c r="CG267" s="346"/>
      <c r="CH267" s="346"/>
      <c r="CI267" s="346"/>
      <c r="CJ267" s="346"/>
      <c r="CK267" s="346"/>
      <c r="CL267" s="346"/>
      <c r="CM267" s="346"/>
      <c r="CN267" s="346"/>
      <c r="CO267" s="346"/>
      <c r="CP267" s="346"/>
      <c r="CQ267" s="346"/>
      <c r="CR267" s="393"/>
      <c r="CS267" s="396"/>
      <c r="CT267" s="346"/>
      <c r="CU267" s="346"/>
      <c r="CV267" s="396"/>
      <c r="CW267" s="346"/>
      <c r="CX267" s="346"/>
      <c r="CY267" s="556"/>
      <c r="CZ267" s="556"/>
      <c r="DA267" s="556"/>
      <c r="DB267" s="556"/>
      <c r="DC267" s="556"/>
      <c r="DD267" s="556"/>
      <c r="DE267" s="793"/>
      <c r="DF267" s="556"/>
      <c r="DG267" s="556"/>
      <c r="DH267" s="793"/>
      <c r="DI267" s="593"/>
      <c r="DJ267" s="556"/>
      <c r="DK267" s="704"/>
      <c r="DL267" s="556"/>
      <c r="DM267" s="556"/>
      <c r="DN267" s="704"/>
      <c r="DO267" s="556"/>
      <c r="DP267" s="556"/>
      <c r="DQ267" s="704"/>
      <c r="DR267" s="556"/>
      <c r="DS267" s="556"/>
      <c r="DT267" s="704"/>
      <c r="DU267" s="556"/>
      <c r="DV267" s="556"/>
      <c r="DW267" s="704"/>
      <c r="DX267" s="556"/>
      <c r="DY267" s="1864"/>
      <c r="DZ267" s="704"/>
      <c r="EA267" s="556"/>
      <c r="EB267" s="556"/>
      <c r="EC267" s="704"/>
      <c r="ED267" s="556"/>
      <c r="EE267" s="556"/>
      <c r="EF267" s="704"/>
      <c r="EG267" s="556"/>
      <c r="EH267" s="556"/>
      <c r="EI267" s="704"/>
      <c r="EJ267" s="556"/>
      <c r="EK267" s="556"/>
      <c r="EL267" s="704"/>
      <c r="EM267" s="556"/>
      <c r="EN267" s="556"/>
      <c r="EO267" s="704"/>
      <c r="EP267" s="556"/>
      <c r="EQ267" s="556"/>
      <c r="ER267" s="704"/>
      <c r="ES267" s="556"/>
      <c r="ET267" s="556"/>
      <c r="EU267" s="704"/>
      <c r="EV267" s="556"/>
      <c r="EW267" s="556"/>
      <c r="EX267" s="704"/>
      <c r="EY267" s="556"/>
      <c r="EZ267" s="556"/>
      <c r="FA267" s="557"/>
      <c r="FB267" s="349"/>
      <c r="FC267" s="349"/>
      <c r="FD267" s="349"/>
      <c r="FE267" s="349"/>
      <c r="FF267" s="349"/>
      <c r="FG267" s="349"/>
      <c r="FH267" s="349"/>
      <c r="FI267" s="349"/>
      <c r="FJ267" s="349"/>
      <c r="FK267" s="349"/>
      <c r="FL267" s="349"/>
      <c r="FM267" s="349"/>
      <c r="FN267" s="349"/>
      <c r="FO267" s="349"/>
      <c r="FP267" s="349"/>
      <c r="FQ267" s="349"/>
      <c r="FR267" s="349"/>
      <c r="FS267" s="349"/>
      <c r="FT267" s="349"/>
      <c r="FU267" s="349"/>
      <c r="FV267" s="349"/>
      <c r="FW267" s="349"/>
      <c r="FX267" s="349"/>
      <c r="FY267" s="349"/>
      <c r="FZ267" s="349"/>
      <c r="GA267" s="349"/>
      <c r="GB267" s="349"/>
    </row>
    <row r="268" spans="1:184" s="256" customFormat="1" ht="13.35" customHeight="1">
      <c r="A268" s="760" t="s">
        <v>289</v>
      </c>
      <c r="B268" s="4"/>
      <c r="C268" s="218" t="s">
        <v>742</v>
      </c>
      <c r="D268" s="294" t="s">
        <v>357</v>
      </c>
      <c r="E268" s="251"/>
      <c r="F268" s="251"/>
      <c r="G268" s="252"/>
      <c r="H268" s="251"/>
      <c r="I268" s="251"/>
      <c r="J268" s="252"/>
      <c r="K268" s="251"/>
      <c r="L268" s="251"/>
      <c r="M268" s="252"/>
      <c r="N268" s="251"/>
      <c r="O268" s="251"/>
      <c r="P268" s="252"/>
      <c r="Q268" s="251"/>
      <c r="R268" s="251"/>
      <c r="S268" s="252"/>
      <c r="T268" s="251"/>
      <c r="U268" s="251"/>
      <c r="V268" s="252"/>
      <c r="W268" s="251"/>
      <c r="X268" s="251"/>
      <c r="Y268" s="252"/>
      <c r="Z268" s="251"/>
      <c r="AA268" s="251"/>
      <c r="AB268" s="252"/>
      <c r="AC268" s="251"/>
      <c r="AD268" s="251"/>
      <c r="AE268" s="252"/>
      <c r="AF268" s="251"/>
      <c r="AG268" s="251"/>
      <c r="AH268" s="252"/>
      <c r="AI268" s="251"/>
      <c r="AJ268" s="251"/>
      <c r="AK268" s="252"/>
      <c r="AL268" s="251"/>
      <c r="AM268" s="251"/>
      <c r="AN268" s="252"/>
      <c r="AO268" s="251"/>
      <c r="AP268" s="251"/>
      <c r="AQ268" s="252"/>
      <c r="AR268" s="251"/>
      <c r="AS268" s="251"/>
      <c r="AT268" s="252"/>
      <c r="AU268" s="251"/>
      <c r="AV268" s="251"/>
      <c r="AW268" s="252"/>
      <c r="AX268" s="251"/>
      <c r="AY268" s="251"/>
      <c r="AZ268" s="252"/>
      <c r="BA268" s="251"/>
      <c r="BB268" s="251"/>
      <c r="BC268" s="252"/>
      <c r="BD268" s="251"/>
      <c r="BE268" s="251"/>
      <c r="BF268" s="252"/>
      <c r="BG268" s="251"/>
      <c r="BH268" s="251"/>
      <c r="BI268" s="252"/>
      <c r="BJ268" s="251"/>
      <c r="BK268" s="251"/>
      <c r="BL268" s="252"/>
      <c r="BM268" s="282"/>
      <c r="BN268" s="282"/>
      <c r="BO268" s="79"/>
      <c r="BP268" s="198"/>
      <c r="BQ268" s="198"/>
      <c r="BR268" s="79"/>
      <c r="BS268" s="184"/>
      <c r="BT268" s="198"/>
      <c r="BU268" s="186"/>
      <c r="BV268" s="184"/>
      <c r="BW268" s="184"/>
      <c r="BX268" s="185"/>
      <c r="BY268" s="184"/>
      <c r="BZ268" s="184"/>
      <c r="CA268" s="185"/>
      <c r="CB268" s="184"/>
      <c r="CC268" s="184"/>
      <c r="CD268" s="185"/>
      <c r="CE268" s="184"/>
      <c r="CF268" s="184"/>
      <c r="CG268" s="185"/>
      <c r="CH268" s="184"/>
      <c r="CI268" s="184"/>
      <c r="CJ268" s="185"/>
      <c r="CK268" s="184"/>
      <c r="CL268" s="184"/>
      <c r="CM268" s="185"/>
      <c r="CN268" s="184"/>
      <c r="CO268" s="184"/>
      <c r="CP268" s="185"/>
      <c r="CQ268" s="184"/>
      <c r="CR268" s="184"/>
      <c r="CS268" s="185"/>
      <c r="CT268" s="184"/>
      <c r="CU268" s="184"/>
      <c r="CV268" s="185"/>
      <c r="CW268" s="184"/>
      <c r="CX268" s="184"/>
      <c r="CY268" s="594"/>
      <c r="CZ268" s="300"/>
      <c r="DA268" s="300"/>
      <c r="DB268" s="301"/>
      <c r="DC268" s="300"/>
      <c r="DD268" s="300"/>
      <c r="DE268" s="787"/>
      <c r="DF268" s="300"/>
      <c r="DG268" s="300"/>
      <c r="DH268" s="787"/>
      <c r="DI268" s="666">
        <v>899</v>
      </c>
      <c r="DJ268" s="631">
        <f>+DK268-DI268</f>
        <v>871</v>
      </c>
      <c r="DK268" s="834">
        <v>1770</v>
      </c>
      <c r="DL268" s="666">
        <v>914</v>
      </c>
      <c r="DM268" s="631">
        <f>+DN268-DL268</f>
        <v>878</v>
      </c>
      <c r="DN268" s="834">
        <v>1792</v>
      </c>
      <c r="DO268" s="666">
        <v>915</v>
      </c>
      <c r="DP268" s="631">
        <f>+DQ268-DO268</f>
        <v>916</v>
      </c>
      <c r="DQ268" s="834">
        <v>1831</v>
      </c>
      <c r="DR268" s="666">
        <v>976</v>
      </c>
      <c r="DS268" s="631">
        <f>+DT268-DR268</f>
        <v>964</v>
      </c>
      <c r="DT268" s="834">
        <v>1940</v>
      </c>
      <c r="DU268" s="666">
        <v>921</v>
      </c>
      <c r="DV268" s="631">
        <f>+DV259+DV262+DV265</f>
        <v>952.8</v>
      </c>
      <c r="DW268" s="1845">
        <f>SUM(DU268:DV268)</f>
        <v>1873.8</v>
      </c>
      <c r="DX268" s="1886">
        <v>928</v>
      </c>
      <c r="DY268" s="631">
        <f>+DY259+DY262+DY265</f>
        <v>1056.8900000000001</v>
      </c>
      <c r="DZ268" s="675">
        <f>SUM(DX268:DY268)</f>
        <v>1984.89</v>
      </c>
      <c r="EA268" s="631">
        <f>+EA259+EA262+EA265</f>
        <v>990.01</v>
      </c>
      <c r="EB268" s="631">
        <f>+EB259+EB262+EB265</f>
        <v>1114.5965000000001</v>
      </c>
      <c r="EC268" s="675">
        <f>SUM(EA268:EB268)</f>
        <v>2104.6064999999999</v>
      </c>
      <c r="ED268" s="631">
        <f>+ED259+ED262+ED265</f>
        <v>1045.3378</v>
      </c>
      <c r="EE268" s="631">
        <f>+EE259+EE262+EE265</f>
        <v>1176.8754300000001</v>
      </c>
      <c r="EF268" s="675">
        <f>SUM(ED268:EE268)</f>
        <v>2222.2132300000003</v>
      </c>
      <c r="EG268" s="631">
        <f>+EG259+EG262+EG265</f>
        <v>1117.4823940000001</v>
      </c>
      <c r="EH268" s="631">
        <f>+EH259+EH262+EH265</f>
        <v>1257.4021839</v>
      </c>
      <c r="EI268" s="675">
        <f>SUM(EG268:EH268)</f>
        <v>2374.8845779000003</v>
      </c>
      <c r="EJ268" s="631">
        <f>+EJ259+EJ262+EJ265</f>
        <v>1229.50224187</v>
      </c>
      <c r="EK268" s="631">
        <f>+EK259+EK262+EK265</f>
        <v>1381.2787292695002</v>
      </c>
      <c r="EL268" s="675">
        <f>SUM(EJ268:EK268)</f>
        <v>2610.7809711395003</v>
      </c>
      <c r="EM268" s="631">
        <f>+EM259+EM262+EM265</f>
        <v>1285.5273539635002</v>
      </c>
      <c r="EN268" s="631">
        <f>+EN259+EN262+EN265</f>
        <v>1444.413665732975</v>
      </c>
      <c r="EO268" s="675">
        <f>SUM(EM268:EN268)</f>
        <v>2729.9410196964755</v>
      </c>
      <c r="EP268" s="631">
        <f>+EP259+EP262+EP265</f>
        <v>1344.3537216616751</v>
      </c>
      <c r="EQ268" s="631">
        <f>+EQ259+EQ262+EQ265</f>
        <v>1510.7053490196238</v>
      </c>
      <c r="ER268" s="675">
        <f>SUM(EP268:EQ268)</f>
        <v>2855.0590706812991</v>
      </c>
      <c r="ES268" s="631">
        <f>+ES259+ES262+ES265</f>
        <v>1406.1214077447589</v>
      </c>
      <c r="ET268" s="631">
        <f>+ET259+ET262+ET265</f>
        <v>1580.311616470605</v>
      </c>
      <c r="EU268" s="675">
        <f>SUM(ES268:ET268)</f>
        <v>2986.4330242153637</v>
      </c>
      <c r="EV268" s="631">
        <f>+EV259+EV262+EV265</f>
        <v>1470.9774781319968</v>
      </c>
      <c r="EW268" s="631">
        <f>+EW259+EW262+EW265</f>
        <v>1653.3981972941356</v>
      </c>
      <c r="EX268" s="675">
        <f>SUM(EV268:EW268)</f>
        <v>3124.3756754261321</v>
      </c>
      <c r="EY268" s="631">
        <f>+EY259+EY262+EY265</f>
        <v>1539.076352038597</v>
      </c>
      <c r="EZ268" s="631">
        <f>+EZ259+EZ262+EZ265</f>
        <v>1730.1391071588423</v>
      </c>
      <c r="FA268" s="632">
        <f>SUM(EY268:EZ268)</f>
        <v>3269.2154591974395</v>
      </c>
      <c r="FB268" s="176"/>
      <c r="FC268" s="263"/>
      <c r="FD268" s="263"/>
      <c r="FE268" s="263"/>
      <c r="FF268" s="263"/>
      <c r="FG268" s="263"/>
      <c r="FH268" s="263"/>
      <c r="FI268" s="263"/>
      <c r="FJ268" s="263"/>
      <c r="FK268" s="263"/>
      <c r="FL268" s="263"/>
      <c r="FM268" s="263"/>
      <c r="FN268" s="263"/>
      <c r="FO268" s="263"/>
      <c r="FP268" s="263"/>
      <c r="FQ268" s="263"/>
      <c r="FR268" s="263"/>
      <c r="FS268" s="263"/>
      <c r="FT268" s="263"/>
      <c r="FU268" s="263"/>
      <c r="FV268" s="263"/>
      <c r="FW268" s="263"/>
      <c r="FX268" s="263"/>
      <c r="FY268" s="263"/>
      <c r="FZ268" s="263"/>
      <c r="GA268" s="263"/>
      <c r="GB268" s="263"/>
    </row>
    <row r="269" spans="1:184" s="256" customFormat="1" ht="13.35" customHeight="1">
      <c r="A269" s="760"/>
      <c r="B269" s="177"/>
      <c r="C269" s="255" t="s">
        <v>178</v>
      </c>
      <c r="D269" s="250" t="s">
        <v>507</v>
      </c>
      <c r="E269" s="251"/>
      <c r="F269" s="251"/>
      <c r="G269" s="252"/>
      <c r="H269" s="251"/>
      <c r="I269" s="251"/>
      <c r="J269" s="252"/>
      <c r="K269" s="251"/>
      <c r="L269" s="251"/>
      <c r="M269" s="252"/>
      <c r="N269" s="251"/>
      <c r="O269" s="251"/>
      <c r="P269" s="252"/>
      <c r="Q269" s="251"/>
      <c r="R269" s="251"/>
      <c r="S269" s="252"/>
      <c r="T269" s="251"/>
      <c r="U269" s="251"/>
      <c r="V269" s="252"/>
      <c r="W269" s="251"/>
      <c r="X269" s="251"/>
      <c r="Y269" s="252"/>
      <c r="Z269" s="251"/>
      <c r="AA269" s="251"/>
      <c r="AB269" s="252"/>
      <c r="AC269" s="251"/>
      <c r="AD269" s="251"/>
      <c r="AE269" s="252"/>
      <c r="AF269" s="251"/>
      <c r="AG269" s="251"/>
      <c r="AH269" s="252"/>
      <c r="AI269" s="251"/>
      <c r="AJ269" s="251"/>
      <c r="AK269" s="252"/>
      <c r="AL269" s="251"/>
      <c r="AM269" s="251"/>
      <c r="AN269" s="252"/>
      <c r="AO269" s="251"/>
      <c r="AP269" s="251"/>
      <c r="AQ269" s="252"/>
      <c r="AR269" s="251"/>
      <c r="AS269" s="251"/>
      <c r="AT269" s="252"/>
      <c r="AU269" s="251"/>
      <c r="AV269" s="251"/>
      <c r="AW269" s="252"/>
      <c r="AX269" s="251"/>
      <c r="AY269" s="251"/>
      <c r="AZ269" s="252"/>
      <c r="BA269" s="251"/>
      <c r="BB269" s="251"/>
      <c r="BC269" s="252"/>
      <c r="BD269" s="251"/>
      <c r="BE269" s="251"/>
      <c r="BF269" s="252"/>
      <c r="BG269" s="251"/>
      <c r="BH269" s="251"/>
      <c r="BI269" s="252"/>
      <c r="BJ269" s="251"/>
      <c r="BK269" s="251"/>
      <c r="BL269" s="252"/>
      <c r="BM269" s="282"/>
      <c r="BN269" s="282"/>
      <c r="BO269" s="252"/>
      <c r="BP269" s="284"/>
      <c r="BQ269" s="284"/>
      <c r="BR269" s="66"/>
      <c r="BT269" s="284"/>
      <c r="BU269" s="356"/>
      <c r="BV269" s="259"/>
      <c r="BW269" s="259"/>
      <c r="BX269" s="260"/>
      <c r="BY269" s="259"/>
      <c r="BZ269" s="259"/>
      <c r="CA269" s="260"/>
      <c r="CB269" s="259"/>
      <c r="CC269" s="259"/>
      <c r="CD269" s="260"/>
      <c r="CE269" s="259"/>
      <c r="CF269" s="259"/>
      <c r="CG269" s="260"/>
      <c r="CH269" s="259"/>
      <c r="CI269" s="259"/>
      <c r="CJ269" s="260"/>
      <c r="CK269" s="259"/>
      <c r="CL269" s="259"/>
      <c r="CM269" s="260"/>
      <c r="CN269" s="259"/>
      <c r="CO269" s="259"/>
      <c r="CP269" s="260"/>
      <c r="CQ269" s="259"/>
      <c r="CR269" s="259"/>
      <c r="CS269" s="260"/>
      <c r="CT269" s="259"/>
      <c r="CU269" s="259"/>
      <c r="CV269" s="260"/>
      <c r="CW269" s="259"/>
      <c r="CX269" s="259"/>
      <c r="CY269" s="334"/>
      <c r="CZ269" s="302"/>
      <c r="DA269" s="302"/>
      <c r="DB269" s="303"/>
      <c r="DC269" s="302"/>
      <c r="DD269" s="302"/>
      <c r="DE269" s="786"/>
      <c r="DF269" s="305"/>
      <c r="DG269" s="305"/>
      <c r="DH269" s="786"/>
      <c r="DI269" s="546"/>
      <c r="DJ269" s="546"/>
      <c r="DK269" s="841"/>
      <c r="DL269" s="549">
        <f t="shared" ref="DL269:EL269" si="294">DL268/DI268-1</f>
        <v>1.6685205784204626E-2</v>
      </c>
      <c r="DM269" s="549">
        <f t="shared" si="294"/>
        <v>8.036739380022917E-3</v>
      </c>
      <c r="DN269" s="841">
        <f t="shared" si="294"/>
        <v>1.2429378531073398E-2</v>
      </c>
      <c r="DO269" s="549">
        <f t="shared" si="294"/>
        <v>1.094091903719896E-3</v>
      </c>
      <c r="DP269" s="549">
        <f t="shared" si="294"/>
        <v>4.3280182232346309E-2</v>
      </c>
      <c r="DQ269" s="841">
        <f t="shared" si="294"/>
        <v>2.1763392857142794E-2</v>
      </c>
      <c r="DR269" s="549">
        <f t="shared" si="294"/>
        <v>6.6666666666666652E-2</v>
      </c>
      <c r="DS269" s="549">
        <f t="shared" si="294"/>
        <v>5.240174672489073E-2</v>
      </c>
      <c r="DT269" s="841">
        <f t="shared" si="294"/>
        <v>5.9530311305297623E-2</v>
      </c>
      <c r="DU269" s="549">
        <f t="shared" si="294"/>
        <v>-5.6352459016393408E-2</v>
      </c>
      <c r="DV269" s="549">
        <f>DV268/DS268-1</f>
        <v>-1.1618257261410858E-2</v>
      </c>
      <c r="DW269" s="841">
        <f>DW268/DT268-1</f>
        <v>-3.4123711340206198E-2</v>
      </c>
      <c r="DX269" s="549">
        <f t="shared" si="294"/>
        <v>7.6004343105320338E-3</v>
      </c>
      <c r="DY269" s="549">
        <f t="shared" si="294"/>
        <v>0.10924643157010938</v>
      </c>
      <c r="DZ269" s="841">
        <f t="shared" si="294"/>
        <v>5.9285943003522412E-2</v>
      </c>
      <c r="EA269" s="549">
        <f t="shared" si="294"/>
        <v>6.6821120689655178E-2</v>
      </c>
      <c r="EB269" s="549">
        <f t="shared" si="294"/>
        <v>5.4600289528711654E-2</v>
      </c>
      <c r="EC269" s="841">
        <f t="shared" si="294"/>
        <v>6.0313921678279314E-2</v>
      </c>
      <c r="ED269" s="549">
        <f t="shared" si="294"/>
        <v>5.5886102160584317E-2</v>
      </c>
      <c r="EE269" s="549">
        <f t="shared" si="294"/>
        <v>5.5875763112480659E-2</v>
      </c>
      <c r="EF269" s="841">
        <f t="shared" si="294"/>
        <v>5.5880626615949502E-2</v>
      </c>
      <c r="EG269" s="549">
        <f t="shared" si="294"/>
        <v>6.9015579461490839E-2</v>
      </c>
      <c r="EH269" s="549">
        <f t="shared" si="294"/>
        <v>6.8424194988929266E-2</v>
      </c>
      <c r="EI269" s="841">
        <f t="shared" si="294"/>
        <v>6.8702384559199192E-2</v>
      </c>
      <c r="EJ269" s="549">
        <f t="shared" si="294"/>
        <v>0.10024305391427935</v>
      </c>
      <c r="EK269" s="549">
        <f t="shared" si="294"/>
        <v>9.851783856878682E-2</v>
      </c>
      <c r="EL269" s="841">
        <f t="shared" si="294"/>
        <v>9.9329624451935272E-2</v>
      </c>
      <c r="EM269" s="549">
        <f t="shared" ref="EM269:FA269" si="295">EM268/EJ268-1</f>
        <v>4.5567311864587845E-2</v>
      </c>
      <c r="EN269" s="549">
        <f t="shared" si="295"/>
        <v>4.5707600591854636E-2</v>
      </c>
      <c r="EO269" s="841">
        <f t="shared" si="295"/>
        <v>4.5641534036831466E-2</v>
      </c>
      <c r="EP269" s="549">
        <f t="shared" si="295"/>
        <v>4.5760494723665834E-2</v>
      </c>
      <c r="EQ269" s="549">
        <f t="shared" si="295"/>
        <v>4.5895220226269906E-2</v>
      </c>
      <c r="ER269" s="841">
        <f t="shared" si="295"/>
        <v>4.5831778079489238E-2</v>
      </c>
      <c r="ES269" s="549">
        <f t="shared" si="295"/>
        <v>4.594600742930699E-2</v>
      </c>
      <c r="ET269" s="549">
        <f t="shared" si="295"/>
        <v>4.6075343213785702E-2</v>
      </c>
      <c r="EU269" s="841">
        <f t="shared" si="295"/>
        <v>4.6014443232768265E-2</v>
      </c>
      <c r="EV269" s="549">
        <f t="shared" si="295"/>
        <v>4.6124090018129227E-2</v>
      </c>
      <c r="EW269" s="549">
        <f t="shared" si="295"/>
        <v>4.6248208303852678E-2</v>
      </c>
      <c r="EX269" s="841">
        <f t="shared" si="295"/>
        <v>4.6189768895624539E-2</v>
      </c>
      <c r="EY269" s="549">
        <f t="shared" si="295"/>
        <v>4.6294980663523999E-2</v>
      </c>
      <c r="EZ269" s="549">
        <f t="shared" si="295"/>
        <v>4.6414051975075754E-2</v>
      </c>
      <c r="FA269" s="846">
        <f t="shared" si="295"/>
        <v>4.6357992385647639E-2</v>
      </c>
      <c r="FB269" s="1870"/>
      <c r="FC269" s="397"/>
      <c r="FD269" s="398"/>
      <c r="FE269" s="263"/>
      <c r="FF269" s="263"/>
      <c r="FG269" s="263"/>
      <c r="FH269" s="263"/>
      <c r="FI269" s="263"/>
      <c r="FJ269" s="399"/>
      <c r="FK269" s="263"/>
      <c r="FL269" s="263"/>
      <c r="FM269" s="263"/>
      <c r="FN269" s="263"/>
      <c r="FO269" s="263"/>
      <c r="FP269" s="263"/>
      <c r="FQ269" s="263"/>
      <c r="FR269" s="263"/>
      <c r="FS269" s="263"/>
      <c r="FT269" s="263"/>
      <c r="FU269" s="263"/>
      <c r="FV269" s="263"/>
      <c r="FW269" s="263"/>
      <c r="FX269" s="263"/>
      <c r="FY269" s="263"/>
      <c r="FZ269" s="263"/>
      <c r="GA269" s="263"/>
      <c r="GB269" s="263"/>
    </row>
    <row r="270" spans="1:184" s="350" customFormat="1" ht="13.35" customHeight="1">
      <c r="A270" s="760"/>
      <c r="B270" s="342"/>
      <c r="C270" s="342" t="s">
        <v>28</v>
      </c>
      <c r="D270" s="343"/>
      <c r="E270" s="342"/>
      <c r="F270" s="342"/>
      <c r="G270" s="342"/>
      <c r="H270" s="342"/>
      <c r="I270" s="342"/>
      <c r="J270" s="342"/>
      <c r="K270" s="342"/>
      <c r="L270" s="342"/>
      <c r="M270" s="342"/>
      <c r="N270" s="342"/>
      <c r="O270" s="342"/>
      <c r="P270" s="342"/>
      <c r="Q270" s="342"/>
      <c r="R270" s="342"/>
      <c r="S270" s="342"/>
      <c r="T270" s="342"/>
      <c r="U270" s="342"/>
      <c r="V270" s="342"/>
      <c r="W270" s="342"/>
      <c r="X270" s="342"/>
      <c r="Y270" s="342"/>
      <c r="Z270" s="342"/>
      <c r="AA270" s="342"/>
      <c r="AB270" s="342"/>
      <c r="AC270" s="342"/>
      <c r="AD270" s="342"/>
      <c r="AE270" s="342"/>
      <c r="AF270" s="342"/>
      <c r="AG270" s="342"/>
      <c r="AH270" s="342"/>
      <c r="AI270" s="342"/>
      <c r="AJ270" s="342"/>
      <c r="AK270" s="342"/>
      <c r="AL270" s="342"/>
      <c r="AM270" s="342"/>
      <c r="AN270" s="342"/>
      <c r="AO270" s="342"/>
      <c r="AP270" s="342"/>
      <c r="AQ270" s="342"/>
      <c r="AR270" s="342"/>
      <c r="AS270" s="342"/>
      <c r="AT270" s="342"/>
      <c r="AU270" s="342"/>
      <c r="AV270" s="342"/>
      <c r="AW270" s="342"/>
      <c r="AX270" s="342"/>
      <c r="AY270" s="342"/>
      <c r="AZ270" s="342"/>
      <c r="BA270" s="342"/>
      <c r="BB270" s="342"/>
      <c r="BC270" s="342"/>
      <c r="BD270" s="342"/>
      <c r="BE270" s="342"/>
      <c r="BF270" s="342"/>
      <c r="BG270" s="342"/>
      <c r="BH270" s="342"/>
      <c r="BI270" s="342"/>
      <c r="BJ270" s="342"/>
      <c r="BK270" s="342"/>
      <c r="BL270" s="342"/>
      <c r="BM270" s="344"/>
      <c r="BN270" s="344"/>
      <c r="BO270" s="342"/>
      <c r="BP270" s="345"/>
      <c r="BQ270" s="345"/>
      <c r="BR270" s="345"/>
      <c r="BS270" s="346"/>
      <c r="BT270" s="345"/>
      <c r="BU270" s="346"/>
      <c r="BV270" s="346"/>
      <c r="BW270" s="346"/>
      <c r="BX270" s="346"/>
      <c r="BY270" s="346"/>
      <c r="BZ270" s="346"/>
      <c r="CA270" s="346"/>
      <c r="CB270" s="346"/>
      <c r="CC270" s="346"/>
      <c r="CD270" s="346"/>
      <c r="CE270" s="347"/>
      <c r="CF270" s="346"/>
      <c r="CG270" s="346"/>
      <c r="CH270" s="346"/>
      <c r="CI270" s="346"/>
      <c r="CJ270" s="346"/>
      <c r="CK270" s="346"/>
      <c r="CL270" s="346"/>
      <c r="CM270" s="346"/>
      <c r="CN270" s="346"/>
      <c r="CO270" s="346"/>
      <c r="CP270" s="346"/>
      <c r="CQ270" s="346"/>
      <c r="CR270" s="346"/>
      <c r="CS270" s="346"/>
      <c r="CT270" s="346"/>
      <c r="CU270" s="346"/>
      <c r="CV270" s="346"/>
      <c r="CW270" s="346"/>
      <c r="CX270" s="346"/>
      <c r="CY270" s="556"/>
      <c r="CZ270" s="556"/>
      <c r="DA270" s="556"/>
      <c r="DB270" s="556"/>
      <c r="DC270" s="556"/>
      <c r="DD270" s="556"/>
      <c r="DE270" s="793"/>
      <c r="DF270" s="556"/>
      <c r="DG270" s="556"/>
      <c r="DH270" s="793"/>
      <c r="DI270" s="556"/>
      <c r="DJ270" s="556"/>
      <c r="DK270" s="704"/>
      <c r="DL270" s="593"/>
      <c r="DM270" s="595"/>
      <c r="DN270" s="721"/>
      <c r="DO270" s="556"/>
      <c r="DP270" s="556"/>
      <c r="DQ270" s="704"/>
      <c r="DS270" s="556"/>
      <c r="DT270" s="704"/>
      <c r="DU270" s="556"/>
      <c r="DV270" s="556"/>
      <c r="DW270" s="704"/>
      <c r="DX270" s="556"/>
      <c r="DY270" s="556"/>
      <c r="DZ270" s="704"/>
      <c r="EA270" s="556"/>
      <c r="EB270" s="556"/>
      <c r="EC270" s="704"/>
      <c r="ED270" s="556"/>
      <c r="EE270" s="556"/>
      <c r="EF270" s="1866">
        <f>(EF262/DW262)^(1/3)-1</f>
        <v>7.399739981471809E-3</v>
      </c>
      <c r="EG270" s="556"/>
      <c r="EH270" s="556"/>
      <c r="EI270" s="704"/>
      <c r="EJ270" s="556"/>
      <c r="EK270" s="556"/>
      <c r="EL270" s="704"/>
      <c r="EM270" s="556"/>
      <c r="EN270" s="556"/>
      <c r="EO270" s="704"/>
      <c r="EP270" s="556"/>
      <c r="EQ270" s="556"/>
      <c r="ER270" s="704"/>
      <c r="ES270" s="556"/>
      <c r="ET270" s="556"/>
      <c r="EU270" s="704"/>
      <c r="EV270" s="556"/>
      <c r="EW270" s="556"/>
      <c r="EX270" s="704"/>
      <c r="EY270" s="556"/>
      <c r="EZ270" s="556"/>
      <c r="FA270" s="557"/>
      <c r="FB270" s="176"/>
      <c r="FC270" s="349"/>
      <c r="FD270" s="349"/>
      <c r="FE270" s="349"/>
      <c r="FF270" s="349"/>
      <c r="FG270" s="400"/>
      <c r="FH270" s="401"/>
      <c r="FI270" s="400"/>
      <c r="FJ270" s="400"/>
      <c r="FK270" s="400"/>
      <c r="FL270" s="400"/>
      <c r="FM270" s="402"/>
      <c r="FN270" s="402"/>
      <c r="FO270" s="402"/>
      <c r="FP270" s="349"/>
      <c r="FQ270" s="349"/>
      <c r="FR270" s="349"/>
      <c r="FS270" s="349"/>
      <c r="FT270" s="349"/>
      <c r="FU270" s="349"/>
      <c r="FV270" s="349"/>
      <c r="FW270" s="349"/>
      <c r="FX270" s="349"/>
      <c r="FY270" s="349"/>
      <c r="FZ270" s="349"/>
      <c r="GA270" s="349"/>
      <c r="GB270" s="349"/>
    </row>
    <row r="271" spans="1:184" s="350" customFormat="1" ht="13.35" customHeight="1">
      <c r="A271" s="760"/>
      <c r="B271" s="342"/>
      <c r="C271" s="342"/>
      <c r="D271" s="343"/>
      <c r="E271" s="342"/>
      <c r="F271" s="342"/>
      <c r="G271" s="342"/>
      <c r="H271" s="342"/>
      <c r="I271" s="342"/>
      <c r="J271" s="342"/>
      <c r="K271" s="342"/>
      <c r="L271" s="342"/>
      <c r="M271" s="342"/>
      <c r="N271" s="342"/>
      <c r="O271" s="342"/>
      <c r="P271" s="342"/>
      <c r="Q271" s="342"/>
      <c r="R271" s="342"/>
      <c r="S271" s="342"/>
      <c r="T271" s="342"/>
      <c r="U271" s="342"/>
      <c r="V271" s="342"/>
      <c r="W271" s="342"/>
      <c r="X271" s="342"/>
      <c r="Y271" s="342"/>
      <c r="Z271" s="342"/>
      <c r="AA271" s="342"/>
      <c r="AB271" s="342"/>
      <c r="AC271" s="342"/>
      <c r="AD271" s="342"/>
      <c r="AE271" s="342"/>
      <c r="AF271" s="342"/>
      <c r="AG271" s="342"/>
      <c r="AH271" s="342"/>
      <c r="AI271" s="342"/>
      <c r="AJ271" s="342"/>
      <c r="AK271" s="342"/>
      <c r="AL271" s="342"/>
      <c r="AM271" s="342"/>
      <c r="AN271" s="342"/>
      <c r="AO271" s="342"/>
      <c r="AP271" s="342"/>
      <c r="AQ271" s="342"/>
      <c r="AR271" s="342"/>
      <c r="AS271" s="342"/>
      <c r="AT271" s="342"/>
      <c r="AU271" s="342"/>
      <c r="AV271" s="342"/>
      <c r="AW271" s="342"/>
      <c r="AX271" s="342"/>
      <c r="AY271" s="342"/>
      <c r="AZ271" s="342"/>
      <c r="BA271" s="342"/>
      <c r="BB271" s="342"/>
      <c r="BC271" s="342"/>
      <c r="BD271" s="342"/>
      <c r="BE271" s="342"/>
      <c r="BF271" s="342"/>
      <c r="BG271" s="342"/>
      <c r="BH271" s="342"/>
      <c r="BI271" s="342"/>
      <c r="BJ271" s="342"/>
      <c r="BK271" s="342"/>
      <c r="BL271" s="342"/>
      <c r="BM271" s="344"/>
      <c r="BN271" s="344"/>
      <c r="BO271" s="342"/>
      <c r="BP271" s="345"/>
      <c r="BQ271" s="345"/>
      <c r="BR271" s="345"/>
      <c r="BS271" s="346"/>
      <c r="BT271" s="345"/>
      <c r="BU271" s="346"/>
      <c r="BV271" s="346"/>
      <c r="BW271" s="346"/>
      <c r="BX271" s="346"/>
      <c r="BY271" s="346"/>
      <c r="BZ271" s="346"/>
      <c r="CA271" s="346"/>
      <c r="CB271" s="346"/>
      <c r="CC271" s="346"/>
      <c r="CD271" s="346"/>
      <c r="CE271" s="347"/>
      <c r="CF271" s="346"/>
      <c r="CG271" s="346"/>
      <c r="CH271" s="346"/>
      <c r="CI271" s="346"/>
      <c r="CJ271" s="346"/>
      <c r="CK271" s="346"/>
      <c r="CL271" s="346"/>
      <c r="CM271" s="346"/>
      <c r="CN271" s="346"/>
      <c r="CO271" s="346"/>
      <c r="CP271" s="346"/>
      <c r="CQ271" s="346"/>
      <c r="CR271" s="346"/>
      <c r="CS271" s="346"/>
      <c r="CT271" s="346"/>
      <c r="CU271" s="346"/>
      <c r="CV271" s="346"/>
      <c r="CW271" s="346"/>
      <c r="CX271" s="346"/>
      <c r="CY271" s="556"/>
      <c r="CZ271" s="556"/>
      <c r="DA271" s="556"/>
      <c r="DB271" s="556"/>
      <c r="DC271" s="556"/>
      <c r="DD271" s="556"/>
      <c r="DE271" s="793"/>
      <c r="DF271" s="556"/>
      <c r="DG271" s="556"/>
      <c r="DH271" s="793"/>
      <c r="DI271" s="556"/>
      <c r="DJ271" s="556"/>
      <c r="DK271" s="704"/>
      <c r="DL271" s="593"/>
      <c r="DM271" s="595"/>
      <c r="DN271" s="704"/>
      <c r="DO271" s="556"/>
      <c r="DP271" s="556"/>
      <c r="DQ271" s="704"/>
      <c r="DR271" s="556"/>
      <c r="DS271" s="556"/>
      <c r="DT271" s="704"/>
      <c r="DU271" s="556"/>
      <c r="DV271" s="556"/>
      <c r="DW271" s="704"/>
      <c r="DX271" s="556"/>
      <c r="DY271" s="556"/>
      <c r="DZ271" s="704"/>
      <c r="EA271" s="556"/>
      <c r="EB271" s="556"/>
      <c r="EC271" s="704"/>
      <c r="ED271" s="556"/>
      <c r="EE271" s="556"/>
      <c r="EF271" s="704"/>
      <c r="EG271" s="556"/>
      <c r="EH271" s="556"/>
      <c r="EI271" s="704"/>
      <c r="EJ271" s="556"/>
      <c r="EK271" s="556"/>
      <c r="EL271" s="704"/>
      <c r="EM271" s="556"/>
      <c r="EN271" s="556"/>
      <c r="EO271" s="704"/>
      <c r="EP271" s="556"/>
      <c r="EQ271" s="556"/>
      <c r="ER271" s="704"/>
      <c r="ES271" s="556"/>
      <c r="ET271" s="556"/>
      <c r="EU271" s="704"/>
      <c r="EV271" s="556"/>
      <c r="EW271" s="556"/>
      <c r="EX271" s="704"/>
      <c r="EY271" s="556"/>
      <c r="EZ271" s="556"/>
      <c r="FA271" s="557"/>
      <c r="FB271" s="176"/>
      <c r="FC271" s="349"/>
      <c r="FD271" s="349"/>
      <c r="FE271" s="349"/>
      <c r="FF271" s="349"/>
      <c r="FG271" s="400"/>
      <c r="FH271" s="401"/>
      <c r="FI271" s="400"/>
      <c r="FJ271" s="400"/>
      <c r="FK271" s="400"/>
      <c r="FL271" s="400"/>
      <c r="FM271" s="402"/>
      <c r="FN271" s="402"/>
      <c r="FO271" s="402"/>
      <c r="FP271" s="349"/>
      <c r="FQ271" s="349"/>
      <c r="FR271" s="349"/>
      <c r="FS271" s="349"/>
      <c r="FT271" s="349"/>
      <c r="FU271" s="349"/>
      <c r="FV271" s="349"/>
      <c r="FW271" s="349"/>
      <c r="FX271" s="349"/>
      <c r="FY271" s="349"/>
      <c r="FZ271" s="349"/>
      <c r="GA271" s="349"/>
      <c r="GB271" s="349"/>
    </row>
    <row r="272" spans="1:184" ht="13.35" customHeight="1">
      <c r="A272" s="760"/>
      <c r="B272" s="351" t="s">
        <v>308</v>
      </c>
      <c r="C272" s="289"/>
      <c r="D272" s="290"/>
      <c r="E272" s="251"/>
      <c r="F272" s="251"/>
      <c r="G272" s="252"/>
      <c r="H272" s="251"/>
      <c r="I272" s="251"/>
      <c r="J272" s="252"/>
      <c r="K272" s="251"/>
      <c r="L272" s="251"/>
      <c r="M272" s="252"/>
      <c r="N272" s="251"/>
      <c r="O272" s="251"/>
      <c r="P272" s="252"/>
      <c r="Q272" s="251"/>
      <c r="R272" s="251"/>
      <c r="S272" s="252"/>
      <c r="T272" s="251"/>
      <c r="U272" s="251"/>
      <c r="V272" s="252"/>
      <c r="W272" s="251"/>
      <c r="X272" s="251"/>
      <c r="Y272" s="252"/>
      <c r="Z272" s="251"/>
      <c r="AA272" s="251"/>
      <c r="AB272" s="252"/>
      <c r="AC272" s="251"/>
      <c r="AD272" s="251"/>
      <c r="AE272" s="252"/>
      <c r="AF272" s="251"/>
      <c r="AG272" s="251"/>
      <c r="AH272" s="252"/>
      <c r="AI272" s="251"/>
      <c r="AJ272" s="251"/>
      <c r="AK272" s="252"/>
      <c r="AL272" s="251"/>
      <c r="AM272" s="251"/>
      <c r="AN272" s="252"/>
      <c r="AO272" s="291"/>
      <c r="AP272" s="291"/>
      <c r="AQ272" s="252"/>
      <c r="AR272" s="251"/>
      <c r="AS272" s="251"/>
      <c r="AT272" s="252"/>
      <c r="AU272" s="251"/>
      <c r="AV272" s="251"/>
      <c r="AW272" s="252"/>
      <c r="AX272" s="251"/>
      <c r="AY272" s="251"/>
      <c r="AZ272" s="252"/>
      <c r="BA272" s="251"/>
      <c r="BB272" s="251"/>
      <c r="BC272" s="252"/>
      <c r="BD272" s="251"/>
      <c r="BE272" s="251"/>
      <c r="BF272" s="252"/>
      <c r="BG272" s="251"/>
      <c r="BH272" s="251"/>
      <c r="BI272" s="252"/>
      <c r="BJ272" s="251"/>
      <c r="BK272" s="251"/>
      <c r="BL272" s="252"/>
      <c r="BM272" s="280"/>
      <c r="BN272" s="280"/>
      <c r="BO272" s="280"/>
      <c r="BP272" s="280"/>
      <c r="BQ272" s="280"/>
      <c r="BR272" s="280"/>
      <c r="BS272" s="280"/>
      <c r="BT272" s="280"/>
      <c r="BU272" s="281"/>
      <c r="BV272" s="280"/>
      <c r="BW272" s="280"/>
      <c r="BX272" s="280"/>
      <c r="BY272" s="280"/>
      <c r="BZ272" s="280"/>
      <c r="CA272" s="280"/>
      <c r="CB272" s="280"/>
      <c r="CC272" s="280"/>
      <c r="CD272" s="280"/>
      <c r="CE272" s="280"/>
      <c r="CF272" s="280"/>
      <c r="CG272" s="280"/>
      <c r="CH272" s="280"/>
      <c r="CI272" s="280"/>
      <c r="CJ272" s="280"/>
      <c r="CK272" s="280"/>
      <c r="CL272" s="280"/>
      <c r="CM272" s="280"/>
      <c r="CN272" s="280"/>
      <c r="CO272" s="280"/>
      <c r="CP272" s="280"/>
      <c r="CQ272" s="280"/>
      <c r="CR272" s="280"/>
      <c r="CS272" s="280"/>
      <c r="CT272" s="280"/>
      <c r="CU272" s="280"/>
      <c r="CV272" s="280"/>
      <c r="CW272" s="280"/>
      <c r="CX272" s="280"/>
      <c r="CY272" s="280"/>
      <c r="CZ272" s="280"/>
      <c r="DA272" s="280"/>
      <c r="DB272" s="280"/>
      <c r="DC272" s="280"/>
      <c r="DD272" s="280"/>
      <c r="DE272" s="785"/>
      <c r="DF272" s="280"/>
      <c r="DG272" s="280"/>
      <c r="DH272" s="785"/>
      <c r="DI272" s="280" t="str">
        <f t="shared" ref="DI272:EU272" si="296">DI102</f>
        <v>1h21</v>
      </c>
      <c r="DJ272" s="280" t="str">
        <f t="shared" si="296"/>
        <v>2h21</v>
      </c>
      <c r="DK272" s="695" t="str">
        <f t="shared" si="296"/>
        <v>2021</v>
      </c>
      <c r="DL272" s="280" t="str">
        <f t="shared" si="296"/>
        <v>1h22</v>
      </c>
      <c r="DM272" s="280" t="str">
        <f t="shared" si="296"/>
        <v>2h22</v>
      </c>
      <c r="DN272" s="695" t="str">
        <f t="shared" si="296"/>
        <v>2022</v>
      </c>
      <c r="DO272" s="280" t="str">
        <f t="shared" si="296"/>
        <v>1h23</v>
      </c>
      <c r="DP272" s="280" t="str">
        <f t="shared" si="296"/>
        <v>2h23</v>
      </c>
      <c r="DQ272" s="695" t="str">
        <f t="shared" si="296"/>
        <v>2023</v>
      </c>
      <c r="DR272" s="280" t="str">
        <f t="shared" si="296"/>
        <v>1h24</v>
      </c>
      <c r="DS272" s="280" t="str">
        <f t="shared" si="296"/>
        <v>2h24</v>
      </c>
      <c r="DT272" s="695" t="str">
        <f t="shared" si="296"/>
        <v>2024</v>
      </c>
      <c r="DU272" s="280" t="str">
        <f t="shared" si="296"/>
        <v>1h25</v>
      </c>
      <c r="DV272" s="280" t="str">
        <f>DV102</f>
        <v>2h25</v>
      </c>
      <c r="DW272" s="695" t="str">
        <f>DW102</f>
        <v>2025</v>
      </c>
      <c r="DX272" s="280" t="str">
        <f t="shared" si="296"/>
        <v>1h26</v>
      </c>
      <c r="DY272" s="280" t="str">
        <f t="shared" si="296"/>
        <v>2h26E</v>
      </c>
      <c r="DZ272" s="695" t="str">
        <f t="shared" si="296"/>
        <v>2026E</v>
      </c>
      <c r="EA272" s="280" t="str">
        <f t="shared" si="296"/>
        <v>1h27E</v>
      </c>
      <c r="EB272" s="280" t="str">
        <f t="shared" si="296"/>
        <v>2h27E</v>
      </c>
      <c r="EC272" s="695" t="str">
        <f t="shared" si="296"/>
        <v>2027E</v>
      </c>
      <c r="ED272" s="280" t="str">
        <f t="shared" si="296"/>
        <v>1h28E</v>
      </c>
      <c r="EE272" s="280" t="str">
        <f t="shared" si="296"/>
        <v>2h28E</v>
      </c>
      <c r="EF272" s="695" t="str">
        <f t="shared" si="296"/>
        <v>2028E</v>
      </c>
      <c r="EG272" s="280" t="str">
        <f t="shared" si="296"/>
        <v>1h29E</v>
      </c>
      <c r="EH272" s="280" t="str">
        <f t="shared" si="296"/>
        <v>2h29E</v>
      </c>
      <c r="EI272" s="695" t="str">
        <f t="shared" si="296"/>
        <v>2029E</v>
      </c>
      <c r="EJ272" s="280" t="str">
        <f t="shared" si="296"/>
        <v>1h30E</v>
      </c>
      <c r="EK272" s="280" t="str">
        <f t="shared" si="296"/>
        <v>2h30E</v>
      </c>
      <c r="EL272" s="695" t="str">
        <f t="shared" si="296"/>
        <v>2030E</v>
      </c>
      <c r="EM272" s="280" t="str">
        <f t="shared" si="296"/>
        <v>1h31E</v>
      </c>
      <c r="EN272" s="280" t="str">
        <f t="shared" si="296"/>
        <v>2h31E</v>
      </c>
      <c r="EO272" s="695" t="str">
        <f t="shared" si="296"/>
        <v>2031E</v>
      </c>
      <c r="EP272" s="280" t="str">
        <f t="shared" si="296"/>
        <v>1h32E</v>
      </c>
      <c r="EQ272" s="280" t="str">
        <f t="shared" si="296"/>
        <v>2h32E</v>
      </c>
      <c r="ER272" s="695" t="str">
        <f t="shared" si="296"/>
        <v>2032E</v>
      </c>
      <c r="ES272" s="280" t="str">
        <f t="shared" si="296"/>
        <v>1h33E</v>
      </c>
      <c r="ET272" s="280" t="str">
        <f t="shared" si="296"/>
        <v>2h33E</v>
      </c>
      <c r="EU272" s="695" t="str">
        <f t="shared" si="296"/>
        <v>2033E</v>
      </c>
      <c r="EV272" s="280" t="str">
        <f t="shared" ref="EV272:FA272" si="297">EV102</f>
        <v>1h34E</v>
      </c>
      <c r="EW272" s="280" t="str">
        <f t="shared" si="297"/>
        <v>2h34E</v>
      </c>
      <c r="EX272" s="695" t="str">
        <f t="shared" si="297"/>
        <v>2034E</v>
      </c>
      <c r="EY272" s="280" t="str">
        <f t="shared" si="297"/>
        <v>1h35E</v>
      </c>
      <c r="EZ272" s="280" t="str">
        <f t="shared" si="297"/>
        <v>2h35E</v>
      </c>
      <c r="FA272" s="540" t="str">
        <f t="shared" si="297"/>
        <v>2035E</v>
      </c>
      <c r="FB272" s="217"/>
      <c r="FD272" s="403"/>
      <c r="FE272" s="403"/>
      <c r="FF272" s="403"/>
      <c r="FG272" s="403"/>
      <c r="FH272" s="397"/>
      <c r="FI272" s="404"/>
    </row>
    <row r="273" spans="1:184" s="71" customFormat="1" ht="13.35" customHeight="1">
      <c r="A273" s="991"/>
      <c r="B273" s="405"/>
      <c r="C273" s="406" t="s">
        <v>863</v>
      </c>
      <c r="D273" s="407" t="s">
        <v>507</v>
      </c>
      <c r="E273" s="268"/>
      <c r="F273" s="268"/>
      <c r="G273" s="408"/>
      <c r="H273" s="268"/>
      <c r="I273" s="268"/>
      <c r="J273" s="408"/>
      <c r="K273" s="268"/>
      <c r="L273" s="268"/>
      <c r="M273" s="408"/>
      <c r="N273" s="268"/>
      <c r="O273" s="268"/>
      <c r="P273" s="408"/>
      <c r="Q273" s="268"/>
      <c r="R273" s="268"/>
      <c r="S273" s="408"/>
      <c r="T273" s="268"/>
      <c r="U273" s="268"/>
      <c r="V273" s="408"/>
      <c r="W273" s="268"/>
      <c r="X273" s="268"/>
      <c r="Y273" s="408"/>
      <c r="Z273" s="268"/>
      <c r="AA273" s="268"/>
      <c r="AB273" s="408"/>
      <c r="AC273" s="268"/>
      <c r="AD273" s="268"/>
      <c r="AE273" s="408"/>
      <c r="AF273" s="268"/>
      <c r="AG273" s="268"/>
      <c r="AH273" s="408"/>
      <c r="AI273" s="268"/>
      <c r="AJ273" s="268"/>
      <c r="AK273" s="408"/>
      <c r="AL273" s="268"/>
      <c r="AM273" s="268"/>
      <c r="AN273" s="408"/>
      <c r="AO273" s="268"/>
      <c r="AP273" s="268"/>
      <c r="AQ273" s="408"/>
      <c r="AR273" s="268"/>
      <c r="AS273" s="268"/>
      <c r="AT273" s="408"/>
      <c r="AU273" s="268"/>
      <c r="AV273" s="268"/>
      <c r="AW273" s="408"/>
      <c r="AX273" s="268"/>
      <c r="AY273" s="268"/>
      <c r="AZ273" s="408"/>
      <c r="BA273" s="268"/>
      <c r="BB273" s="268"/>
      <c r="BC273" s="408"/>
      <c r="BD273" s="268"/>
      <c r="BE273" s="268"/>
      <c r="BF273" s="408"/>
      <c r="BG273" s="268"/>
      <c r="BH273" s="268"/>
      <c r="BI273" s="408"/>
      <c r="BJ273" s="268"/>
      <c r="BK273" s="268"/>
      <c r="BL273" s="408"/>
      <c r="BM273" s="268"/>
      <c r="BN273" s="268"/>
      <c r="BO273" s="408"/>
      <c r="BP273" s="268"/>
      <c r="BQ273" s="268"/>
      <c r="BR273" s="408"/>
      <c r="BS273" s="268"/>
      <c r="BT273" s="268"/>
      <c r="BU273" s="409"/>
      <c r="BV273" s="268"/>
      <c r="BW273" s="268"/>
      <c r="BX273" s="408"/>
      <c r="BY273" s="268"/>
      <c r="BZ273" s="268"/>
      <c r="CA273" s="408"/>
      <c r="CB273" s="268"/>
      <c r="CC273" s="268"/>
      <c r="CD273" s="408"/>
      <c r="CE273" s="268"/>
      <c r="CF273" s="268"/>
      <c r="CG273" s="408"/>
      <c r="CH273" s="268"/>
      <c r="CI273" s="268"/>
      <c r="CJ273" s="408"/>
      <c r="CK273" s="268"/>
      <c r="CL273" s="268"/>
      <c r="CM273" s="408"/>
      <c r="CN273" s="268"/>
      <c r="CO273" s="268"/>
      <c r="CP273" s="408"/>
      <c r="CQ273" s="268"/>
      <c r="CR273" s="268"/>
      <c r="CS273" s="408"/>
      <c r="CT273" s="268"/>
      <c r="CU273" s="268"/>
      <c r="CV273" s="408"/>
      <c r="CW273" s="268"/>
      <c r="CX273" s="268"/>
      <c r="CY273" s="596"/>
      <c r="CZ273" s="525"/>
      <c r="DA273" s="525"/>
      <c r="DB273" s="480"/>
      <c r="DC273" s="525"/>
      <c r="DD273" s="525"/>
      <c r="DE273" s="801"/>
      <c r="DF273" s="525"/>
      <c r="DG273" s="525"/>
      <c r="DH273" s="801"/>
      <c r="DI273" s="480">
        <f t="shared" ref="DI273:DT273" si="298">+DI275/DI274/DI133</f>
        <v>0.88544046859418546</v>
      </c>
      <c r="DJ273" s="480">
        <f t="shared" si="298"/>
        <v>0.92136722455372899</v>
      </c>
      <c r="DK273" s="712">
        <f t="shared" si="298"/>
        <v>0.90269471424144676</v>
      </c>
      <c r="DL273" s="480">
        <f t="shared" si="298"/>
        <v>1.132158407214428</v>
      </c>
      <c r="DM273" s="480">
        <f t="shared" si="298"/>
        <v>1.0348694225636119</v>
      </c>
      <c r="DN273" s="712">
        <f t="shared" si="298"/>
        <v>1.0845093452735504</v>
      </c>
      <c r="DO273" s="480">
        <f t="shared" si="298"/>
        <v>1.028332802747884</v>
      </c>
      <c r="DP273" s="480">
        <f t="shared" si="298"/>
        <v>0.83867046953933</v>
      </c>
      <c r="DQ273" s="712">
        <f t="shared" si="298"/>
        <v>0.92905938927215137</v>
      </c>
      <c r="DR273" s="480">
        <f t="shared" si="298"/>
        <v>0.92786523830698842</v>
      </c>
      <c r="DS273" s="480">
        <f t="shared" si="298"/>
        <v>0.80547611575239597</v>
      </c>
      <c r="DT273" s="712">
        <f t="shared" si="298"/>
        <v>0.86320683393852449</v>
      </c>
      <c r="DU273" s="480">
        <f>+DU275/DU274/DU133</f>
        <v>0.8419306342514441</v>
      </c>
      <c r="DV273" s="480">
        <f>+DV275/DV274/DV133</f>
        <v>0.69914786140406104</v>
      </c>
      <c r="DW273" s="712">
        <f>+DW275/DW274/DW133</f>
        <v>0.76649822595471351</v>
      </c>
      <c r="DX273" s="480">
        <f>+DX275/DX274/DX133</f>
        <v>0.61891924601222215</v>
      </c>
      <c r="DY273" s="1864">
        <v>0.8</v>
      </c>
      <c r="DZ273" s="712">
        <f>DZ275/DZ274/DZ133</f>
        <v>0.71763066139566156</v>
      </c>
      <c r="EA273" s="480">
        <v>0.75</v>
      </c>
      <c r="EB273" s="480">
        <v>0.7</v>
      </c>
      <c r="EC273" s="712">
        <f>EC275/EC274/EC133</f>
        <v>0.72274381368267826</v>
      </c>
      <c r="ED273" s="480">
        <f>+EA273</f>
        <v>0.75</v>
      </c>
      <c r="EE273" s="480">
        <f>+EB273</f>
        <v>0.7</v>
      </c>
      <c r="EF273" s="712">
        <f>EF275/EF274/EF133</f>
        <v>0.72274381368267815</v>
      </c>
      <c r="EG273" s="480">
        <v>0.74</v>
      </c>
      <c r="EH273" s="480">
        <f>+EE273</f>
        <v>0.7</v>
      </c>
      <c r="EI273" s="712">
        <f>EI275/EI274/EI133</f>
        <v>0.71819505094614267</v>
      </c>
      <c r="EJ273" s="480">
        <v>0.71</v>
      </c>
      <c r="EK273" s="480">
        <v>0.7</v>
      </c>
      <c r="EL273" s="712">
        <f>EL275/EL274/EL133</f>
        <v>0.70454876273653555</v>
      </c>
      <c r="EM273" s="480">
        <f>+EJ273</f>
        <v>0.71</v>
      </c>
      <c r="EN273" s="480">
        <v>0.68</v>
      </c>
      <c r="EO273" s="712">
        <f>EO275/EO274/EO133</f>
        <v>0.69364628820960705</v>
      </c>
      <c r="EP273" s="480">
        <v>0.7</v>
      </c>
      <c r="EQ273" s="480">
        <f>+EN273</f>
        <v>0.68</v>
      </c>
      <c r="ER273" s="712">
        <f>ER275/ER274/ER133</f>
        <v>0.68909752547307124</v>
      </c>
      <c r="ES273" s="480">
        <f>+EP273</f>
        <v>0.7</v>
      </c>
      <c r="ET273" s="480">
        <f>+EQ273</f>
        <v>0.68</v>
      </c>
      <c r="EU273" s="712">
        <f>EU275/EU274/EU133</f>
        <v>0.68909752547307124</v>
      </c>
      <c r="EV273" s="480">
        <f>+ES273</f>
        <v>0.7</v>
      </c>
      <c r="EW273" s="480">
        <f>+ET273</f>
        <v>0.68</v>
      </c>
      <c r="EX273" s="712">
        <f>EX275/EX274/EX133</f>
        <v>0.68909752547307146</v>
      </c>
      <c r="EY273" s="480">
        <f>+EV273</f>
        <v>0.7</v>
      </c>
      <c r="EZ273" s="480">
        <f>+EW273</f>
        <v>0.68</v>
      </c>
      <c r="FA273" s="597">
        <f>FA275/FA274/FA133</f>
        <v>0.68909752547307146</v>
      </c>
      <c r="FB273" s="68"/>
      <c r="FC273" s="68"/>
      <c r="FD273" s="410"/>
      <c r="FE273" s="410"/>
      <c r="FF273" s="410"/>
      <c r="FG273" s="410"/>
      <c r="FH273" s="410"/>
      <c r="FI273" s="410"/>
      <c r="FJ273" s="410"/>
      <c r="FK273" s="410"/>
      <c r="FL273" s="410"/>
      <c r="FM273" s="410"/>
      <c r="FN273" s="410"/>
      <c r="FO273" s="411"/>
      <c r="FP273" s="68"/>
      <c r="FQ273" s="68"/>
      <c r="FR273" s="68"/>
      <c r="FS273" s="68"/>
      <c r="FT273" s="68"/>
      <c r="FU273" s="68"/>
      <c r="FV273" s="68"/>
      <c r="FW273" s="68"/>
      <c r="FX273" s="68"/>
      <c r="FY273" s="68"/>
      <c r="FZ273" s="68"/>
      <c r="GA273" s="68"/>
      <c r="GB273" s="68"/>
    </row>
    <row r="274" spans="1:184" ht="13.35" customHeight="1">
      <c r="A274" s="760"/>
      <c r="B274" s="218"/>
      <c r="C274" s="177" t="s">
        <v>575</v>
      </c>
      <c r="D274" s="250" t="s">
        <v>382</v>
      </c>
      <c r="E274" s="251"/>
      <c r="F274" s="251"/>
      <c r="G274" s="252"/>
      <c r="H274" s="251"/>
      <c r="I274" s="251"/>
      <c r="J274" s="252"/>
      <c r="K274" s="251"/>
      <c r="L274" s="251"/>
      <c r="M274" s="252"/>
      <c r="N274" s="251"/>
      <c r="O274" s="251"/>
      <c r="P274" s="252"/>
      <c r="Q274" s="251"/>
      <c r="R274" s="251"/>
      <c r="S274" s="252"/>
      <c r="T274" s="251"/>
      <c r="U274" s="251"/>
      <c r="V274" s="252"/>
      <c r="W274" s="251"/>
      <c r="X274" s="251"/>
      <c r="Y274" s="252"/>
      <c r="Z274" s="251"/>
      <c r="AA274" s="251"/>
      <c r="AB274" s="252"/>
      <c r="AC274" s="251"/>
      <c r="AD274" s="251"/>
      <c r="AE274" s="252"/>
      <c r="AF274" s="251"/>
      <c r="AG274" s="251"/>
      <c r="AH274" s="252"/>
      <c r="AI274" s="251"/>
      <c r="AJ274" s="251"/>
      <c r="AK274" s="252"/>
      <c r="AL274" s="251"/>
      <c r="AM274" s="251"/>
      <c r="AN274" s="252"/>
      <c r="AO274" s="251"/>
      <c r="AP274" s="251"/>
      <c r="AQ274" s="252"/>
      <c r="AR274" s="251"/>
      <c r="AS274" s="251"/>
      <c r="AT274" s="252"/>
      <c r="AU274" s="251"/>
      <c r="AV274" s="251"/>
      <c r="AW274" s="252"/>
      <c r="AX274" s="251"/>
      <c r="AY274" s="251"/>
      <c r="AZ274" s="252"/>
      <c r="BA274" s="251"/>
      <c r="BB274" s="251"/>
      <c r="BC274" s="252"/>
      <c r="BD274" s="251"/>
      <c r="BE274" s="251"/>
      <c r="BF274" s="252"/>
      <c r="BG274" s="251"/>
      <c r="BH274" s="251"/>
      <c r="BI274" s="252"/>
      <c r="BJ274" s="251"/>
      <c r="BK274" s="251"/>
      <c r="BL274" s="252"/>
      <c r="BM274" s="198"/>
      <c r="BN274" s="198"/>
      <c r="BO274" s="253"/>
      <c r="BP274" s="198"/>
      <c r="BQ274" s="198"/>
      <c r="BR274" s="253"/>
      <c r="BS274" s="198"/>
      <c r="BT274" s="198"/>
      <c r="BU274" s="254"/>
      <c r="BV274" s="198"/>
      <c r="BW274" s="198"/>
      <c r="BX274" s="253"/>
      <c r="BY274" s="198"/>
      <c r="BZ274" s="198"/>
      <c r="CA274" s="253"/>
      <c r="CB274" s="198"/>
      <c r="CC274" s="198"/>
      <c r="CD274" s="253"/>
      <c r="CE274" s="198"/>
      <c r="CF274" s="198"/>
      <c r="CG274" s="253"/>
      <c r="CH274" s="198"/>
      <c r="CI274" s="198"/>
      <c r="CJ274" s="253"/>
      <c r="CK274" s="198"/>
      <c r="CL274" s="198"/>
      <c r="CM274" s="253"/>
      <c r="CN274" s="198"/>
      <c r="CO274" s="198"/>
      <c r="CP274" s="253"/>
      <c r="CQ274" s="198"/>
      <c r="CR274" s="198"/>
      <c r="CS274" s="253"/>
      <c r="CT274" s="198"/>
      <c r="CU274" s="198"/>
      <c r="CV274" s="253"/>
      <c r="CW274" s="198"/>
      <c r="CX274" s="198"/>
      <c r="CY274" s="521"/>
      <c r="CZ274" s="489"/>
      <c r="DA274" s="489"/>
      <c r="DB274" s="521"/>
      <c r="DC274" s="489"/>
      <c r="DD274" s="489"/>
      <c r="DE274" s="779"/>
      <c r="DF274" s="489"/>
      <c r="DG274" s="489"/>
      <c r="DH274" s="779"/>
      <c r="DI274" s="851">
        <v>25</v>
      </c>
      <c r="DJ274" s="837">
        <f>+DI274</f>
        <v>25</v>
      </c>
      <c r="DK274" s="828">
        <v>25</v>
      </c>
      <c r="DL274" s="837">
        <f>+DJ274</f>
        <v>25</v>
      </c>
      <c r="DM274" s="837">
        <f>+DL274</f>
        <v>25</v>
      </c>
      <c r="DN274" s="847">
        <f>AVERAGE(DL274:DM274)</f>
        <v>25</v>
      </c>
      <c r="DO274" s="837">
        <f>+DM274</f>
        <v>25</v>
      </c>
      <c r="DP274" s="837">
        <f>+DO274</f>
        <v>25</v>
      </c>
      <c r="DQ274" s="847">
        <f>AVERAGE(DO274:DP274)</f>
        <v>25</v>
      </c>
      <c r="DR274" s="837">
        <f>+DP274</f>
        <v>25</v>
      </c>
      <c r="DS274" s="837">
        <f>+DR274</f>
        <v>25</v>
      </c>
      <c r="DT274" s="847">
        <f>AVERAGE(DR274:DS274)</f>
        <v>25</v>
      </c>
      <c r="DU274" s="837">
        <f>+DS274</f>
        <v>25</v>
      </c>
      <c r="DV274" s="837">
        <f>+DU274</f>
        <v>25</v>
      </c>
      <c r="DW274" s="847">
        <f>AVERAGE(DU274:DV274)</f>
        <v>25</v>
      </c>
      <c r="DX274" s="837">
        <f>+DV274</f>
        <v>25</v>
      </c>
      <c r="DY274" s="837">
        <f>+DX274</f>
        <v>25</v>
      </c>
      <c r="DZ274" s="847">
        <f>AVERAGE(DX274:DY274)</f>
        <v>25</v>
      </c>
      <c r="EA274" s="837">
        <f>+DY274</f>
        <v>25</v>
      </c>
      <c r="EB274" s="837">
        <f>+EA274</f>
        <v>25</v>
      </c>
      <c r="EC274" s="847">
        <f>AVERAGE(EA274:EB274)</f>
        <v>25</v>
      </c>
      <c r="ED274" s="837">
        <f>+EB274</f>
        <v>25</v>
      </c>
      <c r="EE274" s="837">
        <f>+ED274</f>
        <v>25</v>
      </c>
      <c r="EF274" s="847">
        <f>AVERAGE(ED274:EE274)</f>
        <v>25</v>
      </c>
      <c r="EG274" s="837">
        <f>+EE274</f>
        <v>25</v>
      </c>
      <c r="EH274" s="837">
        <f>+EG274</f>
        <v>25</v>
      </c>
      <c r="EI274" s="847">
        <f>AVERAGE(EG274:EH274)</f>
        <v>25</v>
      </c>
      <c r="EJ274" s="837">
        <f>+EH274</f>
        <v>25</v>
      </c>
      <c r="EK274" s="837">
        <f>+EJ274</f>
        <v>25</v>
      </c>
      <c r="EL274" s="847">
        <f>AVERAGE(EJ274:EK274)</f>
        <v>25</v>
      </c>
      <c r="EM274" s="837">
        <f>+EK274</f>
        <v>25</v>
      </c>
      <c r="EN274" s="837">
        <f>+EM274</f>
        <v>25</v>
      </c>
      <c r="EO274" s="847">
        <f>AVERAGE(EM274:EN274)</f>
        <v>25</v>
      </c>
      <c r="EP274" s="837">
        <f>+EN274</f>
        <v>25</v>
      </c>
      <c r="EQ274" s="837">
        <f>+EP274</f>
        <v>25</v>
      </c>
      <c r="ER274" s="847">
        <f>AVERAGE(EP274:EQ274)</f>
        <v>25</v>
      </c>
      <c r="ES274" s="837">
        <f>+EQ274</f>
        <v>25</v>
      </c>
      <c r="ET274" s="837">
        <f>+ES274</f>
        <v>25</v>
      </c>
      <c r="EU274" s="847">
        <f>AVERAGE(ES274:ET274)</f>
        <v>25</v>
      </c>
      <c r="EV274" s="837">
        <f>+ET274</f>
        <v>25</v>
      </c>
      <c r="EW274" s="837">
        <f>+EV274</f>
        <v>25</v>
      </c>
      <c r="EX274" s="847">
        <f>AVERAGE(EV274:EW274)</f>
        <v>25</v>
      </c>
      <c r="EY274" s="837">
        <f>+EW274</f>
        <v>25</v>
      </c>
      <c r="EZ274" s="837">
        <f>+EY274</f>
        <v>25</v>
      </c>
      <c r="FA274" s="852">
        <f>AVERAGE(EY274:EZ274)</f>
        <v>25</v>
      </c>
      <c r="FD274" s="412"/>
      <c r="FE274" s="412"/>
      <c r="FF274" s="412"/>
      <c r="FG274" s="412"/>
      <c r="FH274" s="412"/>
      <c r="FI274" s="412"/>
      <c r="FJ274" s="413"/>
      <c r="FK274" s="410"/>
      <c r="FL274" s="410"/>
      <c r="FM274" s="404"/>
      <c r="FN274" s="404"/>
      <c r="FO274" s="397"/>
    </row>
    <row r="275" spans="1:184" ht="13.35" customHeight="1">
      <c r="A275" s="760"/>
      <c r="B275" s="218"/>
      <c r="C275" s="177" t="s">
        <v>680</v>
      </c>
      <c r="D275" s="250" t="s">
        <v>360</v>
      </c>
      <c r="E275" s="251"/>
      <c r="F275" s="251"/>
      <c r="G275" s="252"/>
      <c r="H275" s="251"/>
      <c r="I275" s="251"/>
      <c r="J275" s="252"/>
      <c r="K275" s="251"/>
      <c r="L275" s="251"/>
      <c r="M275" s="252"/>
      <c r="N275" s="251"/>
      <c r="O275" s="251"/>
      <c r="P275" s="252"/>
      <c r="Q275" s="251"/>
      <c r="R275" s="251"/>
      <c r="S275" s="252"/>
      <c r="T275" s="251"/>
      <c r="U275" s="251"/>
      <c r="V275" s="252"/>
      <c r="W275" s="251"/>
      <c r="X275" s="251"/>
      <c r="Y275" s="252"/>
      <c r="Z275" s="251"/>
      <c r="AA275" s="251"/>
      <c r="AB275" s="252"/>
      <c r="AC275" s="251"/>
      <c r="AD275" s="251"/>
      <c r="AE275" s="252"/>
      <c r="AF275" s="251"/>
      <c r="AG275" s="251"/>
      <c r="AH275" s="252"/>
      <c r="AI275" s="251"/>
      <c r="AJ275" s="251"/>
      <c r="AK275" s="252"/>
      <c r="AL275" s="251"/>
      <c r="AM275" s="251"/>
      <c r="AN275" s="252"/>
      <c r="AO275" s="251"/>
      <c r="AP275" s="251"/>
      <c r="AQ275" s="252"/>
      <c r="AR275" s="251"/>
      <c r="AS275" s="251"/>
      <c r="AT275" s="252"/>
      <c r="AU275" s="251"/>
      <c r="AV275" s="251"/>
      <c r="AW275" s="252"/>
      <c r="AX275" s="251"/>
      <c r="AY275" s="251"/>
      <c r="AZ275" s="252"/>
      <c r="BA275" s="251"/>
      <c r="BB275" s="251"/>
      <c r="BC275" s="252"/>
      <c r="BD275" s="251"/>
      <c r="BE275" s="251"/>
      <c r="BF275" s="252"/>
      <c r="BG275" s="251"/>
      <c r="BH275" s="251"/>
      <c r="BI275" s="252"/>
      <c r="BJ275" s="251"/>
      <c r="BK275" s="251"/>
      <c r="BL275" s="252"/>
      <c r="BM275" s="198"/>
      <c r="BN275" s="198"/>
      <c r="BO275" s="253"/>
      <c r="BP275" s="198"/>
      <c r="BQ275" s="198"/>
      <c r="BR275" s="253"/>
      <c r="BS275" s="198"/>
      <c r="BT275" s="198"/>
      <c r="BU275" s="254"/>
      <c r="BV275" s="198"/>
      <c r="BW275" s="198"/>
      <c r="BX275" s="253"/>
      <c r="BY275" s="198"/>
      <c r="BZ275" s="198"/>
      <c r="CA275" s="253"/>
      <c r="CB275" s="198"/>
      <c r="CC275" s="198"/>
      <c r="CD275" s="253"/>
      <c r="CE275" s="198"/>
      <c r="CF275" s="198"/>
      <c r="CG275" s="253"/>
      <c r="CH275" s="198"/>
      <c r="CI275" s="198"/>
      <c r="CJ275" s="253"/>
      <c r="CK275" s="198"/>
      <c r="CL275" s="198"/>
      <c r="CM275" s="253"/>
      <c r="CN275" s="198"/>
      <c r="CO275" s="198"/>
      <c r="CP275" s="253"/>
      <c r="CQ275" s="198"/>
      <c r="CR275" s="198"/>
      <c r="CS275" s="253"/>
      <c r="CT275" s="198"/>
      <c r="CU275" s="198"/>
      <c r="CV275" s="253"/>
      <c r="CW275" s="198"/>
      <c r="CX275" s="198"/>
      <c r="CY275" s="521"/>
      <c r="CZ275" s="489"/>
      <c r="DA275" s="489"/>
      <c r="DB275" s="521"/>
      <c r="DC275" s="489"/>
      <c r="DD275" s="489"/>
      <c r="DE275" s="779"/>
      <c r="DF275" s="489"/>
      <c r="DG275" s="489"/>
      <c r="DH275" s="779"/>
      <c r="DI275" s="837">
        <f>+DI281/DI278</f>
        <v>182</v>
      </c>
      <c r="DJ275" s="837">
        <f>+DJ281/DJ278</f>
        <v>175</v>
      </c>
      <c r="DK275" s="828">
        <f>SUM(DI275:DJ275)</f>
        <v>357</v>
      </c>
      <c r="DL275" s="837">
        <f>+DL281/DL278</f>
        <v>190.33333333333334</v>
      </c>
      <c r="DM275" s="837">
        <f>+DM281/DM278</f>
        <v>167</v>
      </c>
      <c r="DN275" s="828">
        <f>SUM(DL275:DM275)</f>
        <v>357.33333333333337</v>
      </c>
      <c r="DO275" s="837">
        <f>+DO281/DO278</f>
        <v>195</v>
      </c>
      <c r="DP275" s="837">
        <f>+DP281/DP278</f>
        <v>174.66666666666666</v>
      </c>
      <c r="DQ275" s="828">
        <f>SUM(DO275:DP275)</f>
        <v>369.66666666666663</v>
      </c>
      <c r="DR275" s="837">
        <f>+DR281/DR278</f>
        <v>204.33333333333334</v>
      </c>
      <c r="DS275" s="837">
        <f>+DS281/DS278</f>
        <v>198.66666666666666</v>
      </c>
      <c r="DT275" s="828">
        <f>SUM(DR275:DS275)</f>
        <v>403</v>
      </c>
      <c r="DU275" s="837">
        <f>+DU281/DU278</f>
        <v>224</v>
      </c>
      <c r="DV275" s="837">
        <f>+DV281/DV278</f>
        <v>208.33333333333334</v>
      </c>
      <c r="DW275" s="828">
        <f>SUM(DU275:DV275)</f>
        <v>432.33333333333337</v>
      </c>
      <c r="DX275" s="837">
        <f>+DX281/DX278</f>
        <v>164.66666666666666</v>
      </c>
      <c r="DY275" s="837">
        <f>DY133*DY273*DY274</f>
        <v>255.07241483253074</v>
      </c>
      <c r="DZ275" s="828">
        <f>SUM(DX275:DY275)</f>
        <v>419.73908149919737</v>
      </c>
      <c r="EA275" s="837">
        <f>EA133*EA273*EA274</f>
        <v>213.50927580847997</v>
      </c>
      <c r="EB275" s="837">
        <f>EB133*EB273*EB274</f>
        <v>238.81154838695687</v>
      </c>
      <c r="EC275" s="828">
        <f>SUM(EA275:EB275)</f>
        <v>452.32082419543684</v>
      </c>
      <c r="ED275" s="837">
        <f>ED133*ED273*ED274</f>
        <v>228.45492511507354</v>
      </c>
      <c r="EE275" s="837">
        <f>EE133*EE273*EE274</f>
        <v>255.52835677404389</v>
      </c>
      <c r="EF275" s="828">
        <f>SUM(ED275:EE275)</f>
        <v>483.98328188911739</v>
      </c>
      <c r="EG275" s="837">
        <f>EG133*EG273*EG274</f>
        <v>241.18747960815367</v>
      </c>
      <c r="EH275" s="837">
        <f>EH133*EH273*EH274</f>
        <v>273.41534174822698</v>
      </c>
      <c r="EI275" s="828">
        <f>SUM(EG275:EH275)</f>
        <v>514.60282135638067</v>
      </c>
      <c r="EJ275" s="837">
        <f>EJ133*EJ273*EJ274</f>
        <v>247.60828143015453</v>
      </c>
      <c r="EK275" s="837">
        <f>EK133*EK273*EK274</f>
        <v>292.55441567060291</v>
      </c>
      <c r="EL275" s="828">
        <f>SUM(EJ275:EK275)</f>
        <v>540.16269710075744</v>
      </c>
      <c r="EM275" s="837">
        <f>EM133*EM273*EM274</f>
        <v>264.94086113026538</v>
      </c>
      <c r="EN275" s="837">
        <f>EN133*EN273*EN274</f>
        <v>304.08941834561529</v>
      </c>
      <c r="EO275" s="828">
        <f>SUM(EM275:EN275)</f>
        <v>569.03027947588066</v>
      </c>
      <c r="EP275" s="837">
        <f>EP133*EP273*EP274</f>
        <v>279.49395068530811</v>
      </c>
      <c r="EQ275" s="837">
        <f>EQ133*EQ273*EQ274</f>
        <v>325.37567762980837</v>
      </c>
      <c r="ER275" s="828">
        <f>SUM(EP275:EQ275)</f>
        <v>604.86962831511642</v>
      </c>
      <c r="ES275" s="837">
        <f>ES133*ES273*ES274</f>
        <v>299.05852723327973</v>
      </c>
      <c r="ET275" s="837">
        <f>ET133*ET273*ET274</f>
        <v>348.15197506389495</v>
      </c>
      <c r="EU275" s="828">
        <f>SUM(ES275:ET275)</f>
        <v>647.21050229717468</v>
      </c>
      <c r="EV275" s="837">
        <f>EV133*EV273*EV274</f>
        <v>319.99262413960929</v>
      </c>
      <c r="EW275" s="837">
        <f>EW133*EW273*EW274</f>
        <v>372.52261331836769</v>
      </c>
      <c r="EX275" s="828">
        <f>SUM(EV275:EW275)</f>
        <v>692.51523745797704</v>
      </c>
      <c r="EY275" s="837">
        <f>EY133*EY273*EY274</f>
        <v>342.39210782938198</v>
      </c>
      <c r="EZ275" s="837">
        <f>EZ133*EZ273*EZ274</f>
        <v>398.59919625065339</v>
      </c>
      <c r="FA275" s="840">
        <f>SUM(EY275:EZ275)</f>
        <v>740.99130408003543</v>
      </c>
      <c r="FC275" s="236"/>
      <c r="FD275" s="412"/>
      <c r="FE275" s="412"/>
      <c r="FF275" s="412"/>
      <c r="FG275" s="412"/>
      <c r="FH275" s="412"/>
      <c r="FI275" s="414"/>
      <c r="FJ275" s="410"/>
      <c r="FK275" s="410"/>
      <c r="FL275" s="397"/>
      <c r="FM275" s="404"/>
      <c r="FN275" s="404"/>
      <c r="FO275" s="397"/>
    </row>
    <row r="276" spans="1:184" ht="13.35" customHeight="1">
      <c r="A276" s="760"/>
      <c r="C276" s="218" t="s">
        <v>178</v>
      </c>
      <c r="D276" s="250" t="s">
        <v>507</v>
      </c>
      <c r="E276" s="251"/>
      <c r="F276" s="251"/>
      <c r="G276" s="252"/>
      <c r="H276" s="251"/>
      <c r="I276" s="251"/>
      <c r="J276" s="252"/>
      <c r="K276" s="251"/>
      <c r="L276" s="251"/>
      <c r="M276" s="252"/>
      <c r="N276" s="251"/>
      <c r="O276" s="251"/>
      <c r="P276" s="252"/>
      <c r="Q276" s="251"/>
      <c r="R276" s="251"/>
      <c r="S276" s="252"/>
      <c r="T276" s="251"/>
      <c r="U276" s="251"/>
      <c r="V276" s="252"/>
      <c r="W276" s="251"/>
      <c r="X276" s="251"/>
      <c r="Y276" s="252"/>
      <c r="Z276" s="251"/>
      <c r="AA276" s="251"/>
      <c r="AB276" s="252"/>
      <c r="AC276" s="251"/>
      <c r="AD276" s="251"/>
      <c r="AE276" s="252"/>
      <c r="AF276" s="251"/>
      <c r="AG276" s="251"/>
      <c r="AH276" s="252"/>
      <c r="AI276" s="251"/>
      <c r="AJ276" s="251"/>
      <c r="AK276" s="252"/>
      <c r="AL276" s="251"/>
      <c r="AM276" s="251"/>
      <c r="AN276" s="252"/>
      <c r="AO276" s="251"/>
      <c r="AP276" s="251"/>
      <c r="AQ276" s="252"/>
      <c r="AR276" s="251"/>
      <c r="AS276" s="251"/>
      <c r="AT276" s="252"/>
      <c r="AU276" s="251"/>
      <c r="AV276" s="251"/>
      <c r="AW276" s="252"/>
      <c r="AX276" s="251"/>
      <c r="AY276" s="251"/>
      <c r="AZ276" s="252"/>
      <c r="BA276" s="251"/>
      <c r="BB276" s="251"/>
      <c r="BC276" s="252"/>
      <c r="BD276" s="251"/>
      <c r="BE276" s="251"/>
      <c r="BF276" s="252"/>
      <c r="BG276" s="251"/>
      <c r="BH276" s="251"/>
      <c r="BI276" s="252"/>
      <c r="BJ276" s="251"/>
      <c r="BK276" s="251"/>
      <c r="BL276" s="252"/>
      <c r="BM276" s="282"/>
      <c r="BN276" s="282"/>
      <c r="BO276" s="415"/>
      <c r="BP276" s="259"/>
      <c r="BQ276" s="259"/>
      <c r="BR276" s="260"/>
      <c r="BS276" s="259"/>
      <c r="BT276" s="259"/>
      <c r="BU276" s="261"/>
      <c r="BV276" s="259"/>
      <c r="BW276" s="259"/>
      <c r="BX276" s="260"/>
      <c r="BY276" s="259"/>
      <c r="BZ276" s="259"/>
      <c r="CA276" s="260"/>
      <c r="CB276" s="259"/>
      <c r="CC276" s="259"/>
      <c r="CD276" s="260"/>
      <c r="CE276" s="259"/>
      <c r="CF276" s="259"/>
      <c r="CG276" s="260"/>
      <c r="CH276" s="259"/>
      <c r="CI276" s="259"/>
      <c r="CJ276" s="260"/>
      <c r="CK276" s="259"/>
      <c r="CL276" s="259"/>
      <c r="CM276" s="260"/>
      <c r="CN276" s="259"/>
      <c r="CO276" s="259"/>
      <c r="CP276" s="260"/>
      <c r="CQ276" s="259"/>
      <c r="CR276" s="259"/>
      <c r="CS276" s="260"/>
      <c r="CT276" s="259"/>
      <c r="CU276" s="259"/>
      <c r="CV276" s="260"/>
      <c r="CW276" s="259"/>
      <c r="CX276" s="259"/>
      <c r="CY276" s="334"/>
      <c r="CZ276" s="333"/>
      <c r="DA276" s="333"/>
      <c r="DB276" s="334"/>
      <c r="DC276" s="333"/>
      <c r="DD276" s="333"/>
      <c r="DE276" s="788"/>
      <c r="DF276" s="333"/>
      <c r="DG276" s="333"/>
      <c r="DH276" s="788"/>
      <c r="DI276" s="334"/>
      <c r="DJ276" s="334"/>
      <c r="DK276" s="700"/>
      <c r="DL276" s="848">
        <f t="shared" ref="DL276:EL276" si="299">DL275/DI275-1</f>
        <v>4.5787545787545847E-2</v>
      </c>
      <c r="DM276" s="848">
        <f t="shared" si="299"/>
        <v>-4.5714285714285707E-2</v>
      </c>
      <c r="DN276" s="842">
        <f t="shared" si="299"/>
        <v>9.3370681605975392E-4</v>
      </c>
      <c r="DO276" s="848">
        <f t="shared" si="299"/>
        <v>2.4518388791593626E-2</v>
      </c>
      <c r="DP276" s="848">
        <f t="shared" si="299"/>
        <v>4.5908183632734412E-2</v>
      </c>
      <c r="DQ276" s="842">
        <f t="shared" si="299"/>
        <v>3.4514925373134053E-2</v>
      </c>
      <c r="DR276" s="848">
        <f t="shared" si="299"/>
        <v>4.7863247863247915E-2</v>
      </c>
      <c r="DS276" s="848">
        <f t="shared" si="299"/>
        <v>0.13740458015267176</v>
      </c>
      <c r="DT276" s="842">
        <f t="shared" si="299"/>
        <v>9.0171325518485279E-2</v>
      </c>
      <c r="DU276" s="848">
        <f t="shared" si="299"/>
        <v>9.6247960848287128E-2</v>
      </c>
      <c r="DV276" s="848">
        <f>DV275/DS275-1</f>
        <v>4.8657718120805438E-2</v>
      </c>
      <c r="DW276" s="842">
        <f>DW275/DT275-1</f>
        <v>7.2787427626137324E-2</v>
      </c>
      <c r="DX276" s="848">
        <f t="shared" si="299"/>
        <v>-0.26488095238095244</v>
      </c>
      <c r="DY276" s="848">
        <f t="shared" si="299"/>
        <v>0.22434759119614744</v>
      </c>
      <c r="DZ276" s="842">
        <f t="shared" si="299"/>
        <v>-2.9130883193838053E-2</v>
      </c>
      <c r="EA276" s="848">
        <f t="shared" si="299"/>
        <v>0.29661503527416988</v>
      </c>
      <c r="EB276" s="848">
        <f t="shared" si="299"/>
        <v>-6.3750000000000084E-2</v>
      </c>
      <c r="EC276" s="842">
        <f t="shared" si="299"/>
        <v>7.762380043303585E-2</v>
      </c>
      <c r="ED276" s="848">
        <f t="shared" si="299"/>
        <v>6.999999999999984E-2</v>
      </c>
      <c r="EE276" s="848">
        <f t="shared" si="299"/>
        <v>7.0000000000000062E-2</v>
      </c>
      <c r="EF276" s="842">
        <f t="shared" si="299"/>
        <v>6.999999999999984E-2</v>
      </c>
      <c r="EG276" s="848">
        <f t="shared" si="299"/>
        <v>5.5733333333333412E-2</v>
      </c>
      <c r="EH276" s="848">
        <f t="shared" si="299"/>
        <v>7.0000000000000062E-2</v>
      </c>
      <c r="EI276" s="842">
        <f t="shared" si="299"/>
        <v>6.3265696591309872E-2</v>
      </c>
      <c r="EJ276" s="848">
        <f t="shared" si="299"/>
        <v>2.6621621621621738E-2</v>
      </c>
      <c r="EK276" s="848">
        <f t="shared" si="299"/>
        <v>7.0000000000000062E-2</v>
      </c>
      <c r="EL276" s="842">
        <f t="shared" si="299"/>
        <v>4.9669132549655437E-2</v>
      </c>
      <c r="EM276" s="848">
        <f t="shared" ref="EM276:FA276" si="300">EM275/EJ275-1</f>
        <v>7.0000000000000062E-2</v>
      </c>
      <c r="EN276" s="848">
        <f t="shared" si="300"/>
        <v>3.942857142857159E-2</v>
      </c>
      <c r="EO276" s="842">
        <f t="shared" si="300"/>
        <v>5.3442384174371194E-2</v>
      </c>
      <c r="EP276" s="848">
        <f t="shared" si="300"/>
        <v>5.4929577464788659E-2</v>
      </c>
      <c r="EQ276" s="848">
        <f t="shared" si="300"/>
        <v>7.0000000000000062E-2</v>
      </c>
      <c r="ER276" s="842">
        <f t="shared" si="300"/>
        <v>6.2983201653603604E-2</v>
      </c>
      <c r="ES276" s="848">
        <f t="shared" si="300"/>
        <v>7.0000000000000284E-2</v>
      </c>
      <c r="ET276" s="848">
        <f t="shared" si="300"/>
        <v>7.0000000000000062E-2</v>
      </c>
      <c r="EU276" s="842">
        <f t="shared" si="300"/>
        <v>7.0000000000000284E-2</v>
      </c>
      <c r="EV276" s="848">
        <f t="shared" si="300"/>
        <v>6.999999999999984E-2</v>
      </c>
      <c r="EW276" s="848">
        <f t="shared" si="300"/>
        <v>7.0000000000000284E-2</v>
      </c>
      <c r="EX276" s="842">
        <f t="shared" si="300"/>
        <v>7.0000000000000284E-2</v>
      </c>
      <c r="EY276" s="848">
        <f t="shared" si="300"/>
        <v>7.0000000000000062E-2</v>
      </c>
      <c r="EZ276" s="848">
        <f t="shared" si="300"/>
        <v>6.999999999999984E-2</v>
      </c>
      <c r="FA276" s="849">
        <f t="shared" si="300"/>
        <v>7.0000000000000062E-2</v>
      </c>
      <c r="FD276" s="416"/>
      <c r="FE276" s="416"/>
      <c r="FF276" s="416"/>
      <c r="FG276" s="416"/>
      <c r="FH276" s="416"/>
      <c r="FI276" s="416"/>
      <c r="FJ276" s="404"/>
      <c r="FK276" s="410"/>
      <c r="FL276" s="397"/>
      <c r="FM276" s="404"/>
      <c r="FN276" s="404"/>
      <c r="FO276" s="397"/>
    </row>
    <row r="277" spans="1:184" ht="13.35" customHeight="1">
      <c r="A277" s="760"/>
      <c r="B277" s="218"/>
      <c r="C277" s="218"/>
      <c r="D277" s="250"/>
      <c r="E277" s="251"/>
      <c r="F277" s="251"/>
      <c r="G277" s="252"/>
      <c r="H277" s="251"/>
      <c r="I277" s="251"/>
      <c r="J277" s="252"/>
      <c r="K277" s="251"/>
      <c r="L277" s="251"/>
      <c r="M277" s="252"/>
      <c r="N277" s="251"/>
      <c r="O277" s="251"/>
      <c r="P277" s="252"/>
      <c r="Q277" s="251"/>
      <c r="R277" s="251"/>
      <c r="S277" s="252"/>
      <c r="T277" s="251"/>
      <c r="U277" s="251"/>
      <c r="V277" s="252"/>
      <c r="W277" s="251"/>
      <c r="X277" s="251"/>
      <c r="Y277" s="252"/>
      <c r="Z277" s="251"/>
      <c r="AA277" s="251"/>
      <c r="AB277" s="252"/>
      <c r="AC277" s="251"/>
      <c r="AD277" s="251"/>
      <c r="AE277" s="252"/>
      <c r="AF277" s="251"/>
      <c r="AG277" s="251"/>
      <c r="AH277" s="252"/>
      <c r="AI277" s="251"/>
      <c r="AJ277" s="251"/>
      <c r="AK277" s="252"/>
      <c r="AL277" s="251"/>
      <c r="AM277" s="251"/>
      <c r="AN277" s="252"/>
      <c r="AO277" s="251"/>
      <c r="AP277" s="251"/>
      <c r="AQ277" s="252"/>
      <c r="AR277" s="251"/>
      <c r="AS277" s="251"/>
      <c r="AT277" s="252"/>
      <c r="AU277" s="251"/>
      <c r="AV277" s="251"/>
      <c r="AW277" s="252"/>
      <c r="AX277" s="251"/>
      <c r="AY277" s="251"/>
      <c r="AZ277" s="252"/>
      <c r="BA277" s="251"/>
      <c r="BB277" s="251"/>
      <c r="BC277" s="252"/>
      <c r="BD277" s="251"/>
      <c r="BE277" s="251"/>
      <c r="BF277" s="252"/>
      <c r="BG277" s="251"/>
      <c r="BH277" s="251"/>
      <c r="BI277" s="252"/>
      <c r="BJ277" s="251"/>
      <c r="BK277" s="251"/>
      <c r="BL277" s="252"/>
      <c r="BM277" s="282"/>
      <c r="BN277" s="282"/>
      <c r="BO277" s="415"/>
      <c r="BP277" s="282"/>
      <c r="BQ277" s="282"/>
      <c r="BR277" s="253"/>
      <c r="BS277" s="282"/>
      <c r="BT277" s="282"/>
      <c r="BU277" s="254"/>
      <c r="BV277" s="264"/>
      <c r="BW277" s="282"/>
      <c r="BX277" s="415"/>
      <c r="BY277" s="282"/>
      <c r="BZ277" s="282"/>
      <c r="CA277" s="415"/>
      <c r="CB277" s="282"/>
      <c r="CC277" s="282"/>
      <c r="CD277" s="415"/>
      <c r="CE277" s="282"/>
      <c r="CF277" s="282"/>
      <c r="CG277" s="415"/>
      <c r="CH277" s="282"/>
      <c r="CI277" s="282"/>
      <c r="CJ277" s="415"/>
      <c r="CK277" s="282"/>
      <c r="CL277" s="282"/>
      <c r="CM277" s="415"/>
      <c r="CN277" s="282"/>
      <c r="CO277" s="282"/>
      <c r="CP277" s="415"/>
      <c r="CQ277" s="282"/>
      <c r="CR277" s="282"/>
      <c r="CS277" s="415"/>
      <c r="CT277" s="282"/>
      <c r="CU277" s="282"/>
      <c r="CV277" s="415"/>
      <c r="CW277" s="282"/>
      <c r="CX277" s="282"/>
      <c r="CY277" s="598"/>
      <c r="CZ277" s="599"/>
      <c r="DA277" s="599"/>
      <c r="DB277" s="598"/>
      <c r="DC277" s="599"/>
      <c r="DD277" s="599"/>
      <c r="DE277" s="802"/>
      <c r="DF277" s="599"/>
      <c r="DG277" s="599"/>
      <c r="DH277" s="802"/>
      <c r="DI277" s="177"/>
      <c r="DJ277" s="603"/>
      <c r="DK277" s="715"/>
      <c r="DL277" s="603"/>
      <c r="DM277" s="603"/>
      <c r="DN277" s="715"/>
      <c r="DO277" s="603"/>
      <c r="DP277" s="603"/>
      <c r="DQ277" s="715"/>
      <c r="DR277" s="603"/>
      <c r="DS277" s="603"/>
      <c r="DT277" s="715"/>
      <c r="DU277" s="603"/>
      <c r="DV277" s="603"/>
      <c r="DW277" s="715"/>
      <c r="DX277" s="603"/>
      <c r="DY277" s="599"/>
      <c r="DZ277" s="713"/>
      <c r="EA277" s="599"/>
      <c r="EB277" s="599"/>
      <c r="EC277" s="713"/>
      <c r="ED277" s="599"/>
      <c r="EE277" s="599"/>
      <c r="EF277" s="713"/>
      <c r="EG277" s="599"/>
      <c r="EH277" s="599"/>
      <c r="EI277" s="713"/>
      <c r="EJ277" s="599"/>
      <c r="EK277" s="599"/>
      <c r="EL277" s="713"/>
      <c r="EM277" s="599"/>
      <c r="EN277" s="599"/>
      <c r="EO277" s="713"/>
      <c r="EP277" s="599"/>
      <c r="EQ277" s="599"/>
      <c r="ER277" s="713"/>
      <c r="ES277" s="599"/>
      <c r="ET277" s="599"/>
      <c r="EU277" s="713"/>
      <c r="EV277" s="599"/>
      <c r="EW277" s="599"/>
      <c r="EX277" s="713"/>
      <c r="EY277" s="599"/>
      <c r="EZ277" s="599"/>
      <c r="FA277" s="600"/>
      <c r="FC277" s="403"/>
      <c r="FD277" s="403"/>
      <c r="FE277" s="403"/>
      <c r="FF277" s="403"/>
      <c r="FG277" s="68"/>
      <c r="FH277" s="68"/>
      <c r="FI277" s="68"/>
    </row>
    <row r="278" spans="1:184" ht="13.35" customHeight="1">
      <c r="A278" s="760"/>
      <c r="C278" s="177" t="s">
        <v>522</v>
      </c>
      <c r="D278" s="250" t="s">
        <v>339</v>
      </c>
      <c r="E278" s="251"/>
      <c r="F278" s="251"/>
      <c r="G278" s="252"/>
      <c r="H278" s="251"/>
      <c r="I278" s="251"/>
      <c r="J278" s="252"/>
      <c r="K278" s="251"/>
      <c r="L278" s="251"/>
      <c r="M278" s="252"/>
      <c r="N278" s="251"/>
      <c r="O278" s="251"/>
      <c r="P278" s="252"/>
      <c r="Q278" s="251"/>
      <c r="R278" s="251"/>
      <c r="S278" s="252"/>
      <c r="T278" s="251"/>
      <c r="U278" s="251"/>
      <c r="V278" s="252"/>
      <c r="W278" s="251"/>
      <c r="X278" s="251"/>
      <c r="Y278" s="252"/>
      <c r="Z278" s="251"/>
      <c r="AA278" s="251"/>
      <c r="AB278" s="252"/>
      <c r="AC278" s="251"/>
      <c r="AD278" s="251"/>
      <c r="AE278" s="252"/>
      <c r="AF278" s="251"/>
      <c r="AG278" s="251"/>
      <c r="AH278" s="252"/>
      <c r="AI278" s="251"/>
      <c r="AJ278" s="251"/>
      <c r="AK278" s="252"/>
      <c r="AL278" s="251"/>
      <c r="AM278" s="251"/>
      <c r="AN278" s="252"/>
      <c r="AO278" s="251"/>
      <c r="AP278" s="251"/>
      <c r="AQ278" s="252"/>
      <c r="AR278" s="251"/>
      <c r="AS278" s="251"/>
      <c r="AT278" s="252"/>
      <c r="AU278" s="251"/>
      <c r="AV278" s="251"/>
      <c r="AW278" s="252"/>
      <c r="AX278" s="251"/>
      <c r="AY278" s="251"/>
      <c r="AZ278" s="252"/>
      <c r="BA278" s="251"/>
      <c r="BB278" s="251"/>
      <c r="BC278" s="252"/>
      <c r="BD278" s="251"/>
      <c r="BE278" s="251"/>
      <c r="BF278" s="252"/>
      <c r="BG278" s="251"/>
      <c r="BH278" s="251"/>
      <c r="BI278" s="252"/>
      <c r="BJ278" s="251"/>
      <c r="BK278" s="251"/>
      <c r="BL278" s="252"/>
      <c r="BM278" s="198"/>
      <c r="BN278" s="198"/>
      <c r="BO278" s="79"/>
      <c r="BP278" s="198"/>
      <c r="BQ278" s="198"/>
      <c r="BR278" s="79"/>
      <c r="BS278" s="198"/>
      <c r="BT278" s="198"/>
      <c r="BU278" s="254"/>
      <c r="BV278" s="198"/>
      <c r="BW278" s="198"/>
      <c r="BX278" s="79"/>
      <c r="BY278" s="198"/>
      <c r="BZ278" s="198"/>
      <c r="CA278" s="79"/>
      <c r="CB278" s="198"/>
      <c r="CC278" s="198"/>
      <c r="CD278" s="79"/>
      <c r="CE278" s="198"/>
      <c r="CF278" s="198"/>
      <c r="CG278" s="79"/>
      <c r="CH278" s="198"/>
      <c r="CI278" s="198"/>
      <c r="CJ278" s="79"/>
      <c r="CK278" s="198"/>
      <c r="CL278" s="198"/>
      <c r="CM278" s="79"/>
      <c r="CN278" s="198"/>
      <c r="CO278" s="198"/>
      <c r="CP278" s="79"/>
      <c r="CQ278" s="198"/>
      <c r="CR278" s="198"/>
      <c r="CS278" s="79"/>
      <c r="CT278" s="198"/>
      <c r="CU278" s="198"/>
      <c r="CV278" s="79"/>
      <c r="CW278" s="198"/>
      <c r="CX278" s="198"/>
      <c r="CY278" s="488"/>
      <c r="CZ278" s="489"/>
      <c r="DA278" s="489"/>
      <c r="DB278" s="488"/>
      <c r="DC278" s="489"/>
      <c r="DD278" s="489"/>
      <c r="DE278" s="783"/>
      <c r="DF278" s="489"/>
      <c r="DG278" s="489"/>
      <c r="DH278" s="783"/>
      <c r="DI278" s="850">
        <v>3</v>
      </c>
      <c r="DJ278" s="488">
        <f>+DI278</f>
        <v>3</v>
      </c>
      <c r="DK278" s="696">
        <v>2.6743513971066637</v>
      </c>
      <c r="DL278" s="488">
        <f>(1+DL279)*DI278</f>
        <v>3</v>
      </c>
      <c r="DM278" s="488">
        <f>(1+DM279)*DJ278</f>
        <v>3</v>
      </c>
      <c r="DN278" s="696">
        <f>DN281/DN275</f>
        <v>2.9999999999999996</v>
      </c>
      <c r="DO278" s="488">
        <f>(1+DO279)*DL278</f>
        <v>3</v>
      </c>
      <c r="DP278" s="488">
        <f>(1+DP279)*DM278</f>
        <v>3</v>
      </c>
      <c r="DQ278" s="696">
        <f>DQ281/DQ275</f>
        <v>3.0000000000000004</v>
      </c>
      <c r="DR278" s="488">
        <f>(1+DR279)*DO278</f>
        <v>3</v>
      </c>
      <c r="DS278" s="488">
        <f>(1+DS279)*DP278</f>
        <v>3</v>
      </c>
      <c r="DT278" s="696">
        <f>DT281/DT275</f>
        <v>3</v>
      </c>
      <c r="DU278" s="488">
        <f>(1+DU279)*DR278</f>
        <v>3</v>
      </c>
      <c r="DV278" s="488">
        <f>(1+DV279)*DS278</f>
        <v>3</v>
      </c>
      <c r="DW278" s="696">
        <f>DW281/DW275</f>
        <v>2.9999999999999996</v>
      </c>
      <c r="DX278" s="488">
        <f>(1+DX279)*DU278</f>
        <v>3</v>
      </c>
      <c r="DY278" s="488">
        <f>(1+DY279)*DV278</f>
        <v>3.09</v>
      </c>
      <c r="DZ278" s="696">
        <f>DZ281/DZ275</f>
        <v>3.0546923513839439</v>
      </c>
      <c r="EA278" s="488">
        <f>(1+EA279)*DX278</f>
        <v>2.91</v>
      </c>
      <c r="EB278" s="488">
        <f>(1+EB279)*DY278</f>
        <v>2.9972999999999996</v>
      </c>
      <c r="EC278" s="696">
        <f>EC281/EC275</f>
        <v>2.9560917275061676</v>
      </c>
      <c r="ED278" s="488">
        <f>(1+ED279)*EA278</f>
        <v>2.91</v>
      </c>
      <c r="EE278" s="488">
        <f>(1+EE279)*EB278</f>
        <v>2.9972999999999996</v>
      </c>
      <c r="EF278" s="696">
        <f>EF281/EF275</f>
        <v>2.956091727506168</v>
      </c>
      <c r="EG278" s="488">
        <f>(1+EG279)*ED278</f>
        <v>2.91</v>
      </c>
      <c r="EH278" s="488">
        <f>(1+EH279)*EE278</f>
        <v>2.9972999999999996</v>
      </c>
      <c r="EI278" s="696">
        <f>EI281/EI275</f>
        <v>2.9563836542359132</v>
      </c>
      <c r="EJ278" s="488">
        <f>(1+EJ279)*EG278</f>
        <v>2.91</v>
      </c>
      <c r="EK278" s="488">
        <f>(1+EK279)*EH278</f>
        <v>2.9972999999999996</v>
      </c>
      <c r="EL278" s="696">
        <f>EL281/EL275</f>
        <v>2.9572820515469243</v>
      </c>
      <c r="EM278" s="488">
        <f>(1+EM279)*EJ278</f>
        <v>2.91</v>
      </c>
      <c r="EN278" s="488">
        <f>(1+EN279)*EK278</f>
        <v>2.9972999999999996</v>
      </c>
      <c r="EO278" s="696">
        <f>EO281/EO275</f>
        <v>2.9566530643079734</v>
      </c>
      <c r="EP278" s="488">
        <f>(1+EP279)*EM278</f>
        <v>2.91</v>
      </c>
      <c r="EQ278" s="488">
        <f>(1+EQ279)*EN278</f>
        <v>2.9972999999999996</v>
      </c>
      <c r="ER278" s="696">
        <f>ER281/ER275</f>
        <v>2.95696102321455</v>
      </c>
      <c r="ES278" s="488">
        <f>(1+ES279)*EP278</f>
        <v>2.91</v>
      </c>
      <c r="ET278" s="488">
        <f>(1+ET279)*EQ278</f>
        <v>2.9972999999999996</v>
      </c>
      <c r="EU278" s="696">
        <f>EU281/EU275</f>
        <v>2.9569610232145496</v>
      </c>
      <c r="EV278" s="488">
        <f>(1+EV279)*ES278</f>
        <v>2.91</v>
      </c>
      <c r="EW278" s="488">
        <f>(1+EW279)*ET278</f>
        <v>2.9972999999999996</v>
      </c>
      <c r="EX278" s="696">
        <f>EX281/EX275</f>
        <v>2.9569610232145496</v>
      </c>
      <c r="EY278" s="488">
        <f>(1+EY279)*EV278</f>
        <v>2.91</v>
      </c>
      <c r="EZ278" s="488">
        <f>(1+EZ279)*EW278</f>
        <v>2.9972999999999996</v>
      </c>
      <c r="FA278" s="536">
        <f>FA281/FA275</f>
        <v>2.9569610232145496</v>
      </c>
      <c r="FD278" s="404"/>
      <c r="FE278" s="404"/>
      <c r="FF278" s="404"/>
      <c r="FG278" s="398"/>
      <c r="FH278" s="417"/>
      <c r="FI278" s="397"/>
    </row>
    <row r="279" spans="1:184" ht="13.35" customHeight="1">
      <c r="A279" s="760"/>
      <c r="B279" s="296"/>
      <c r="C279" s="177" t="s">
        <v>178</v>
      </c>
      <c r="D279" s="250" t="s">
        <v>507</v>
      </c>
      <c r="E279" s="251"/>
      <c r="F279" s="251"/>
      <c r="G279" s="252"/>
      <c r="H279" s="251"/>
      <c r="I279" s="251"/>
      <c r="J279" s="252"/>
      <c r="K279" s="251"/>
      <c r="L279" s="251"/>
      <c r="M279" s="252"/>
      <c r="N279" s="251"/>
      <c r="O279" s="251"/>
      <c r="P279" s="252"/>
      <c r="Q279" s="251"/>
      <c r="R279" s="251"/>
      <c r="S279" s="252"/>
      <c r="T279" s="251"/>
      <c r="U279" s="251"/>
      <c r="V279" s="252"/>
      <c r="W279" s="251"/>
      <c r="X279" s="251"/>
      <c r="Y279" s="252"/>
      <c r="Z279" s="251"/>
      <c r="AA279" s="251"/>
      <c r="AB279" s="252"/>
      <c r="AC279" s="251"/>
      <c r="AD279" s="251"/>
      <c r="AE279" s="252"/>
      <c r="AF279" s="251"/>
      <c r="AG279" s="251"/>
      <c r="AH279" s="252"/>
      <c r="AI279" s="251"/>
      <c r="AJ279" s="251"/>
      <c r="AK279" s="252"/>
      <c r="AL279" s="251"/>
      <c r="AM279" s="251"/>
      <c r="AN279" s="252"/>
      <c r="AO279" s="251"/>
      <c r="AP279" s="251"/>
      <c r="AQ279" s="252"/>
      <c r="AR279" s="251"/>
      <c r="AS279" s="251"/>
      <c r="AT279" s="252"/>
      <c r="AU279" s="251"/>
      <c r="AV279" s="251"/>
      <c r="AW279" s="252"/>
      <c r="AX279" s="251"/>
      <c r="AY279" s="251"/>
      <c r="AZ279" s="252"/>
      <c r="BA279" s="251"/>
      <c r="BB279" s="251"/>
      <c r="BC279" s="252"/>
      <c r="BD279" s="251"/>
      <c r="BE279" s="251"/>
      <c r="BF279" s="252"/>
      <c r="BG279" s="251"/>
      <c r="BH279" s="251"/>
      <c r="BI279" s="252"/>
      <c r="BJ279" s="251"/>
      <c r="BK279" s="251"/>
      <c r="BL279" s="252"/>
      <c r="BM279" s="198"/>
      <c r="BN279" s="198"/>
      <c r="BO279" s="253"/>
      <c r="BP279" s="259"/>
      <c r="BQ279" s="259"/>
      <c r="BR279" s="260"/>
      <c r="BS279" s="259"/>
      <c r="BT279" s="259"/>
      <c r="BU279" s="261"/>
      <c r="BV279" s="264"/>
      <c r="BW279" s="259"/>
      <c r="BX279" s="418"/>
      <c r="BY279" s="264"/>
      <c r="BZ279" s="259"/>
      <c r="CA279" s="418"/>
      <c r="CB279" s="264"/>
      <c r="CC279" s="259"/>
      <c r="CD279" s="418"/>
      <c r="CE279" s="264"/>
      <c r="CF279" s="259"/>
      <c r="CG279" s="418"/>
      <c r="CH279" s="264"/>
      <c r="CI279" s="264"/>
      <c r="CJ279" s="418"/>
      <c r="CK279" s="264"/>
      <c r="CL279" s="259"/>
      <c r="CM279" s="418"/>
      <c r="CN279" s="264"/>
      <c r="CO279" s="259"/>
      <c r="CP279" s="418"/>
      <c r="CQ279" s="264"/>
      <c r="CR279" s="259"/>
      <c r="CS279" s="418"/>
      <c r="CT279" s="264"/>
      <c r="CU279" s="259"/>
      <c r="CV279" s="418"/>
      <c r="CW279" s="264"/>
      <c r="CX279" s="259"/>
      <c r="CY279" s="601"/>
      <c r="CZ279" s="333"/>
      <c r="DA279" s="333"/>
      <c r="DB279" s="334"/>
      <c r="DC279" s="333"/>
      <c r="DD279" s="333"/>
      <c r="DE279" s="788"/>
      <c r="DF279" s="333"/>
      <c r="DG279" s="333"/>
      <c r="DH279" s="788"/>
      <c r="DI279" s="333"/>
      <c r="DJ279" s="333"/>
      <c r="DK279" s="700"/>
      <c r="DL279" s="749">
        <v>0</v>
      </c>
      <c r="DM279" s="334">
        <f>+DL279</f>
        <v>0</v>
      </c>
      <c r="DN279" s="700">
        <f>DN278/DK278-1</f>
        <v>0.12176732019795522</v>
      </c>
      <c r="DO279" s="334">
        <f>+DM279</f>
        <v>0</v>
      </c>
      <c r="DP279" s="334">
        <f>+DO279</f>
        <v>0</v>
      </c>
      <c r="DQ279" s="700">
        <f>DQ278/DN278-1</f>
        <v>0</v>
      </c>
      <c r="DR279" s="334">
        <f>+DP279</f>
        <v>0</v>
      </c>
      <c r="DS279" s="334">
        <f>+DR279</f>
        <v>0</v>
      </c>
      <c r="DT279" s="700">
        <f>DT278/DQ278-1</f>
        <v>0</v>
      </c>
      <c r="DU279" s="334">
        <f>+DS279</f>
        <v>0</v>
      </c>
      <c r="DV279" s="334">
        <f>+DU279</f>
        <v>0</v>
      </c>
      <c r="DW279" s="700">
        <f>DW278/DT278-1</f>
        <v>0</v>
      </c>
      <c r="DX279" s="334">
        <f>+DV279</f>
        <v>0</v>
      </c>
      <c r="DY279" s="1905">
        <f>0%+DY3</f>
        <v>0.03</v>
      </c>
      <c r="DZ279" s="700">
        <f>DZ278/DW278-1</f>
        <v>1.8230783794648042E-2</v>
      </c>
      <c r="EA279" s="334">
        <v>-0.03</v>
      </c>
      <c r="EB279" s="334">
        <f>+EA279</f>
        <v>-0.03</v>
      </c>
      <c r="EC279" s="700">
        <f>EC278/DZ278-1</f>
        <v>-3.2278413841938858E-2</v>
      </c>
      <c r="ED279" s="334">
        <v>0</v>
      </c>
      <c r="EE279" s="334">
        <f>+ED279</f>
        <v>0</v>
      </c>
      <c r="EF279" s="700">
        <f>EF278/EC278-1</f>
        <v>0</v>
      </c>
      <c r="EG279" s="334">
        <f>+EE279</f>
        <v>0</v>
      </c>
      <c r="EH279" s="334">
        <f>+EG279</f>
        <v>0</v>
      </c>
      <c r="EI279" s="700">
        <f>EI278/EF278-1</f>
        <v>9.8754286623981002E-5</v>
      </c>
      <c r="EJ279" s="334">
        <f>+EH279</f>
        <v>0</v>
      </c>
      <c r="EK279" s="334">
        <f>+EJ279</f>
        <v>0</v>
      </c>
      <c r="EL279" s="700">
        <f>EL278/EI278-1</f>
        <v>3.0388387167668007E-4</v>
      </c>
      <c r="EM279" s="334">
        <f>+EK279</f>
        <v>0</v>
      </c>
      <c r="EN279" s="334">
        <f>+EM279</f>
        <v>0</v>
      </c>
      <c r="EO279" s="700">
        <f>EO278/EL278-1</f>
        <v>-2.1269098719278734E-4</v>
      </c>
      <c r="EP279" s="334">
        <f>+EN279</f>
        <v>0</v>
      </c>
      <c r="EQ279" s="334">
        <f>+EP279</f>
        <v>0</v>
      </c>
      <c r="ER279" s="700">
        <f>ER278/EO278-1</f>
        <v>1.0415794477003359E-4</v>
      </c>
      <c r="ES279" s="334">
        <f>+EQ279</f>
        <v>0</v>
      </c>
      <c r="ET279" s="334">
        <f>+ES279</f>
        <v>0</v>
      </c>
      <c r="EU279" s="700">
        <f>EU278/ER278-1</f>
        <v>0</v>
      </c>
      <c r="EV279" s="334">
        <f>+ET279</f>
        <v>0</v>
      </c>
      <c r="EW279" s="334">
        <f>+EV279</f>
        <v>0</v>
      </c>
      <c r="EX279" s="700">
        <f>EX278/EU278-1</f>
        <v>0</v>
      </c>
      <c r="EY279" s="334">
        <f>+EW279</f>
        <v>0</v>
      </c>
      <c r="EZ279" s="334">
        <f>+EY279</f>
        <v>0</v>
      </c>
      <c r="FA279" s="523">
        <f>FA278/EX278-1</f>
        <v>0</v>
      </c>
      <c r="FB279" s="1871"/>
      <c r="FD279" s="404"/>
      <c r="FE279" s="404"/>
      <c r="FF279" s="404"/>
      <c r="FG279" s="403"/>
      <c r="FH279" s="403"/>
      <c r="FI279" s="403"/>
      <c r="FJ279" s="403"/>
      <c r="FK279" s="403"/>
      <c r="FL279" s="403"/>
      <c r="FM279" s="403"/>
      <c r="FN279" s="403"/>
      <c r="FO279" s="403"/>
    </row>
    <row r="280" spans="1:184" ht="13.35" customHeight="1">
      <c r="A280" s="760"/>
      <c r="D280" s="250"/>
      <c r="E280" s="251"/>
      <c r="F280" s="251"/>
      <c r="G280" s="252"/>
      <c r="H280" s="251"/>
      <c r="I280" s="251"/>
      <c r="J280" s="252"/>
      <c r="K280" s="251"/>
      <c r="L280" s="251"/>
      <c r="M280" s="252"/>
      <c r="N280" s="251"/>
      <c r="O280" s="251"/>
      <c r="P280" s="252"/>
      <c r="Q280" s="251"/>
      <c r="R280" s="251"/>
      <c r="S280" s="252"/>
      <c r="T280" s="251"/>
      <c r="U280" s="251"/>
      <c r="V280" s="252"/>
      <c r="W280" s="251"/>
      <c r="X280" s="251"/>
      <c r="Y280" s="252"/>
      <c r="Z280" s="251"/>
      <c r="AA280" s="251"/>
      <c r="AB280" s="252"/>
      <c r="AC280" s="251"/>
      <c r="AD280" s="251"/>
      <c r="AE280" s="252"/>
      <c r="AF280" s="251"/>
      <c r="AG280" s="251"/>
      <c r="AH280" s="252"/>
      <c r="AI280" s="251"/>
      <c r="AJ280" s="251"/>
      <c r="AK280" s="252"/>
      <c r="AL280" s="251"/>
      <c r="AM280" s="251"/>
      <c r="AN280" s="252"/>
      <c r="AO280" s="251"/>
      <c r="AP280" s="251"/>
      <c r="AQ280" s="252"/>
      <c r="AR280" s="251"/>
      <c r="AS280" s="251"/>
      <c r="AT280" s="252"/>
      <c r="AU280" s="251"/>
      <c r="AV280" s="251"/>
      <c r="AW280" s="252"/>
      <c r="AX280" s="251"/>
      <c r="AY280" s="251"/>
      <c r="AZ280" s="252"/>
      <c r="BA280" s="251"/>
      <c r="BB280" s="251"/>
      <c r="BC280" s="252"/>
      <c r="BD280" s="251"/>
      <c r="BE280" s="251"/>
      <c r="BF280" s="252"/>
      <c r="BG280" s="251"/>
      <c r="BH280" s="251"/>
      <c r="BI280" s="252"/>
      <c r="BJ280" s="251"/>
      <c r="BK280" s="251"/>
      <c r="BL280" s="252"/>
      <c r="BM280" s="282"/>
      <c r="BN280" s="282"/>
      <c r="BO280" s="415"/>
      <c r="BP280" s="282"/>
      <c r="BQ280" s="282"/>
      <c r="BR280" s="415"/>
      <c r="BS280" s="282"/>
      <c r="BT280" s="282"/>
      <c r="BU280" s="283"/>
      <c r="BV280" s="282"/>
      <c r="BW280" s="282"/>
      <c r="BX280" s="415"/>
      <c r="BY280" s="282"/>
      <c r="BZ280" s="282"/>
      <c r="CA280" s="415"/>
      <c r="CB280" s="282"/>
      <c r="CC280" s="282"/>
      <c r="CD280" s="415"/>
      <c r="CE280" s="282"/>
      <c r="CF280" s="282"/>
      <c r="CG280" s="415"/>
      <c r="CH280" s="282"/>
      <c r="CI280" s="282"/>
      <c r="CJ280" s="415"/>
      <c r="CK280" s="282"/>
      <c r="CL280" s="282"/>
      <c r="CM280" s="415"/>
      <c r="CN280" s="282"/>
      <c r="CO280" s="282"/>
      <c r="CP280" s="415"/>
      <c r="CQ280" s="282"/>
      <c r="CR280" s="282"/>
      <c r="CS280" s="415"/>
      <c r="CT280" s="282"/>
      <c r="CU280" s="282"/>
      <c r="CV280" s="415"/>
      <c r="CW280" s="282"/>
      <c r="CX280" s="282"/>
      <c r="CY280" s="598"/>
      <c r="CZ280" s="599"/>
      <c r="DA280" s="599"/>
      <c r="DB280" s="598"/>
      <c r="DC280" s="599"/>
      <c r="DD280" s="599"/>
      <c r="DE280" s="802"/>
      <c r="DF280" s="599"/>
      <c r="DG280" s="599"/>
      <c r="DH280" s="825"/>
      <c r="DI280" s="602"/>
      <c r="DJ280" s="602"/>
      <c r="DK280" s="714"/>
      <c r="DL280" s="602"/>
      <c r="DM280" s="602"/>
      <c r="DN280" s="714"/>
      <c r="DO280" s="599"/>
      <c r="DP280" s="599"/>
      <c r="DQ280" s="713"/>
      <c r="DR280" s="599"/>
      <c r="DS280" s="599"/>
      <c r="DT280" s="713"/>
      <c r="DU280" s="599"/>
      <c r="DV280" s="599"/>
      <c r="DW280" s="713"/>
      <c r="DX280" s="599"/>
      <c r="DY280" s="599"/>
      <c r="DZ280" s="713"/>
      <c r="EA280" s="599"/>
      <c r="EB280" s="599"/>
      <c r="EC280" s="713"/>
      <c r="ED280" s="599"/>
      <c r="EE280" s="599"/>
      <c r="EF280" s="713"/>
      <c r="EG280" s="599"/>
      <c r="EH280" s="599"/>
      <c r="EI280" s="713"/>
      <c r="EJ280" s="599"/>
      <c r="EK280" s="599"/>
      <c r="EL280" s="713"/>
      <c r="EM280" s="599"/>
      <c r="EN280" s="599"/>
      <c r="EO280" s="713"/>
      <c r="EP280" s="599"/>
      <c r="EQ280" s="599"/>
      <c r="ER280" s="713"/>
      <c r="ES280" s="599"/>
      <c r="ET280" s="599"/>
      <c r="EU280" s="713"/>
      <c r="EV280" s="599"/>
      <c r="EW280" s="599"/>
      <c r="EX280" s="713"/>
      <c r="EY280" s="599"/>
      <c r="EZ280" s="599"/>
      <c r="FA280" s="600"/>
      <c r="FD280" s="404"/>
      <c r="FE280" s="404"/>
      <c r="FF280" s="404"/>
      <c r="FG280" s="420"/>
      <c r="FH280" s="420"/>
      <c r="FI280" s="421"/>
      <c r="FJ280" s="422"/>
      <c r="FK280" s="422"/>
      <c r="FL280" s="421"/>
      <c r="FM280" s="422"/>
      <c r="FN280" s="422"/>
      <c r="FO280" s="421"/>
      <c r="FP280" s="422"/>
      <c r="FQ280" s="422"/>
      <c r="FR280" s="421"/>
    </row>
    <row r="281" spans="1:184" ht="13.35" customHeight="1">
      <c r="A281" s="760" t="s">
        <v>291</v>
      </c>
      <c r="C281" s="177" t="s">
        <v>335</v>
      </c>
      <c r="D281" s="294" t="s">
        <v>357</v>
      </c>
      <c r="E281" s="251"/>
      <c r="F281" s="251"/>
      <c r="G281" s="252"/>
      <c r="H281" s="251"/>
      <c r="I281" s="251"/>
      <c r="J281" s="252"/>
      <c r="K281" s="251"/>
      <c r="L281" s="251"/>
      <c r="M281" s="252"/>
      <c r="N281" s="251"/>
      <c r="O281" s="251"/>
      <c r="P281" s="252"/>
      <c r="Q281" s="251"/>
      <c r="R281" s="251"/>
      <c r="S281" s="252"/>
      <c r="T281" s="251"/>
      <c r="U281" s="251"/>
      <c r="V281" s="252"/>
      <c r="W281" s="251"/>
      <c r="X281" s="251"/>
      <c r="Y281" s="252"/>
      <c r="Z281" s="251"/>
      <c r="AA281" s="251"/>
      <c r="AB281" s="252"/>
      <c r="AC281" s="251"/>
      <c r="AD281" s="251"/>
      <c r="AE281" s="252"/>
      <c r="AF281" s="251"/>
      <c r="AG281" s="251"/>
      <c r="AH281" s="252"/>
      <c r="AI281" s="251"/>
      <c r="AJ281" s="251"/>
      <c r="AK281" s="252"/>
      <c r="AL281" s="251"/>
      <c r="AM281" s="251"/>
      <c r="AN281" s="252"/>
      <c r="AO281" s="251"/>
      <c r="AP281" s="251"/>
      <c r="AQ281" s="252"/>
      <c r="AR281" s="251"/>
      <c r="AS281" s="251"/>
      <c r="AT281" s="252"/>
      <c r="AU281" s="251"/>
      <c r="AV281" s="251"/>
      <c r="AW281" s="252"/>
      <c r="AX281" s="251"/>
      <c r="AY281" s="251"/>
      <c r="AZ281" s="252"/>
      <c r="BA281" s="251"/>
      <c r="BB281" s="251"/>
      <c r="BC281" s="252"/>
      <c r="BD281" s="251"/>
      <c r="BE281" s="251"/>
      <c r="BF281" s="252"/>
      <c r="BG281" s="251"/>
      <c r="BH281" s="251"/>
      <c r="BI281" s="252"/>
      <c r="BJ281" s="251"/>
      <c r="BK281" s="251"/>
      <c r="BL281" s="252"/>
      <c r="BM281" s="198"/>
      <c r="BN281" s="198"/>
      <c r="BO281" s="253"/>
      <c r="BP281" s="198"/>
      <c r="BQ281" s="198"/>
      <c r="BR281" s="253"/>
      <c r="BS281" s="198"/>
      <c r="BT281" s="198"/>
      <c r="BU281" s="254"/>
      <c r="BV281" s="198"/>
      <c r="BW281" s="198"/>
      <c r="BX281" s="253"/>
      <c r="BY281" s="198"/>
      <c r="BZ281" s="198"/>
      <c r="CA281" s="253"/>
      <c r="CB281" s="198"/>
      <c r="CC281" s="198"/>
      <c r="CD281" s="253"/>
      <c r="CE281" s="198"/>
      <c r="CF281" s="198"/>
      <c r="CG281" s="253"/>
      <c r="CH281" s="198"/>
      <c r="CI281" s="198"/>
      <c r="CJ281" s="253"/>
      <c r="CK281" s="198"/>
      <c r="CL281" s="198"/>
      <c r="CM281" s="253"/>
      <c r="CN281" s="198"/>
      <c r="CO281" s="198"/>
      <c r="CP281" s="253"/>
      <c r="CQ281" s="198"/>
      <c r="CR281" s="198"/>
      <c r="CS281" s="253"/>
      <c r="CT281" s="198"/>
      <c r="CU281" s="198"/>
      <c r="CV281" s="253"/>
      <c r="CW281" s="198"/>
      <c r="CX281" s="198"/>
      <c r="CY281" s="521"/>
      <c r="CZ281" s="489"/>
      <c r="DA281" s="489"/>
      <c r="DB281" s="521"/>
      <c r="DC281" s="489"/>
      <c r="DD281" s="489"/>
      <c r="DE281" s="779"/>
      <c r="DF281" s="489"/>
      <c r="DG281" s="489"/>
      <c r="DH281" s="779"/>
      <c r="DI281" s="666">
        <v>546</v>
      </c>
      <c r="DJ281" s="837">
        <f>+DK281-DI281</f>
        <v>525</v>
      </c>
      <c r="DK281" s="834">
        <v>1071</v>
      </c>
      <c r="DL281" s="666">
        <v>571</v>
      </c>
      <c r="DM281" s="837">
        <f>+DN281-DL281</f>
        <v>501</v>
      </c>
      <c r="DN281" s="834">
        <v>1072</v>
      </c>
      <c r="DO281" s="666">
        <v>585</v>
      </c>
      <c r="DP281" s="837">
        <f>+DQ281-DO281</f>
        <v>524</v>
      </c>
      <c r="DQ281" s="834">
        <v>1109</v>
      </c>
      <c r="DR281" s="666">
        <v>613</v>
      </c>
      <c r="DS281" s="837">
        <f>+DT281-DR281</f>
        <v>596</v>
      </c>
      <c r="DT281" s="834">
        <v>1209</v>
      </c>
      <c r="DU281" s="831">
        <v>672</v>
      </c>
      <c r="DV281" s="837">
        <f>+DW281-DU281</f>
        <v>625</v>
      </c>
      <c r="DW281" s="834">
        <v>1297</v>
      </c>
      <c r="DX281" s="831">
        <v>494</v>
      </c>
      <c r="DY281" s="646">
        <f>DY278*DY275</f>
        <v>788.17376183251997</v>
      </c>
      <c r="DZ281" s="674">
        <f>SUM(DX281:DY281)</f>
        <v>1282.1737618325201</v>
      </c>
      <c r="EA281" s="646">
        <f>EA278*EA275</f>
        <v>621.3119926026767</v>
      </c>
      <c r="EB281" s="646">
        <f>EB278*EB275</f>
        <v>715.78985398022576</v>
      </c>
      <c r="EC281" s="674">
        <f>SUM(EA281:EB281)</f>
        <v>1337.1018465829025</v>
      </c>
      <c r="ED281" s="646">
        <f>ED278*ED275</f>
        <v>664.80383208486398</v>
      </c>
      <c r="EE281" s="646">
        <f>EE278*EE275</f>
        <v>765.89514375884164</v>
      </c>
      <c r="EF281" s="674">
        <f>SUM(ED281:EE281)</f>
        <v>1430.6989758437057</v>
      </c>
      <c r="EG281" s="646">
        <f>EG278*EG275</f>
        <v>701.85556565972718</v>
      </c>
      <c r="EH281" s="646">
        <f>EH278*EH275</f>
        <v>819.50780382196058</v>
      </c>
      <c r="EI281" s="674">
        <f>SUM(EG281:EH281)</f>
        <v>1521.3633694816876</v>
      </c>
      <c r="EJ281" s="646">
        <f>EJ278*EJ275</f>
        <v>720.54009896174978</v>
      </c>
      <c r="EK281" s="646">
        <f>EK278*EK275</f>
        <v>876.87335008949799</v>
      </c>
      <c r="EL281" s="674">
        <f>SUM(EJ281:EK281)</f>
        <v>1597.4134490512479</v>
      </c>
      <c r="EM281" s="646">
        <f>EM278*EM275</f>
        <v>770.9779058890723</v>
      </c>
      <c r="EN281" s="646">
        <f>EN278*EN275</f>
        <v>911.44721360731262</v>
      </c>
      <c r="EO281" s="674">
        <f>SUM(EM281:EN281)</f>
        <v>1682.4251194963849</v>
      </c>
      <c r="EP281" s="646">
        <f>EP278*EP275</f>
        <v>813.32739649424661</v>
      </c>
      <c r="EQ281" s="646">
        <f>EQ278*EQ275</f>
        <v>975.24851855982445</v>
      </c>
      <c r="ER281" s="674">
        <f>SUM(EP281:EQ281)</f>
        <v>1788.5759150540712</v>
      </c>
      <c r="ES281" s="646">
        <f>ES278*ES275</f>
        <v>870.26031424884411</v>
      </c>
      <c r="ET281" s="646">
        <f>ET278*ET275</f>
        <v>1043.5159148590121</v>
      </c>
      <c r="EU281" s="674">
        <f>SUM(ES281:ET281)</f>
        <v>1913.7762291078561</v>
      </c>
      <c r="EV281" s="646">
        <f>EV278*EV275</f>
        <v>931.17853624626309</v>
      </c>
      <c r="EW281" s="646">
        <f>EW278*EW275</f>
        <v>1116.5620288991433</v>
      </c>
      <c r="EX281" s="674">
        <f>SUM(EV281:EW281)</f>
        <v>2047.7405651454064</v>
      </c>
      <c r="EY281" s="646">
        <f>EY278*EY275</f>
        <v>996.36103378350163</v>
      </c>
      <c r="EZ281" s="646">
        <f>EZ278*EZ275</f>
        <v>1194.7213709220832</v>
      </c>
      <c r="FA281" s="776">
        <f>SUM(EY281:EZ281)</f>
        <v>2191.0824047055848</v>
      </c>
      <c r="FD281" s="404"/>
      <c r="FE281" s="404"/>
      <c r="FF281" s="404"/>
      <c r="FG281" s="420"/>
      <c r="FH281" s="420"/>
      <c r="FI281" s="421"/>
      <c r="FJ281" s="422"/>
      <c r="FK281" s="422"/>
      <c r="FL281" s="421"/>
      <c r="FM281" s="422"/>
      <c r="FN281" s="422"/>
      <c r="FO281" s="421"/>
      <c r="FP281" s="422"/>
      <c r="FQ281" s="422"/>
      <c r="FR281" s="421"/>
    </row>
    <row r="282" spans="1:184" ht="13.35" customHeight="1">
      <c r="A282" s="760"/>
      <c r="C282" s="177" t="s">
        <v>690</v>
      </c>
      <c r="D282" s="294" t="s">
        <v>507</v>
      </c>
      <c r="E282" s="251"/>
      <c r="F282" s="251"/>
      <c r="G282" s="252"/>
      <c r="H282" s="251"/>
      <c r="I282" s="251"/>
      <c r="J282" s="252"/>
      <c r="K282" s="251"/>
      <c r="L282" s="251"/>
      <c r="M282" s="252"/>
      <c r="N282" s="251"/>
      <c r="O282" s="251"/>
      <c r="P282" s="252"/>
      <c r="Q282" s="251"/>
      <c r="R282" s="251"/>
      <c r="S282" s="252"/>
      <c r="T282" s="251"/>
      <c r="U282" s="251"/>
      <c r="V282" s="252"/>
      <c r="W282" s="251"/>
      <c r="X282" s="251"/>
      <c r="Y282" s="252"/>
      <c r="Z282" s="251"/>
      <c r="AA282" s="251"/>
      <c r="AB282" s="252"/>
      <c r="AC282" s="251"/>
      <c r="AD282" s="251"/>
      <c r="AE282" s="252"/>
      <c r="AF282" s="251"/>
      <c r="AG282" s="251"/>
      <c r="AH282" s="252"/>
      <c r="AI282" s="251"/>
      <c r="AJ282" s="251"/>
      <c r="AK282" s="252"/>
      <c r="AL282" s="251"/>
      <c r="AM282" s="251"/>
      <c r="AN282" s="252"/>
      <c r="AO282" s="251"/>
      <c r="AP282" s="251"/>
      <c r="AQ282" s="252"/>
      <c r="AR282" s="251"/>
      <c r="AS282" s="251"/>
      <c r="AT282" s="252"/>
      <c r="AU282" s="251"/>
      <c r="AV282" s="251"/>
      <c r="AW282" s="252"/>
      <c r="AX282" s="251"/>
      <c r="AY282" s="251"/>
      <c r="AZ282" s="252"/>
      <c r="BA282" s="251"/>
      <c r="BB282" s="251"/>
      <c r="BC282" s="252"/>
      <c r="BD282" s="251"/>
      <c r="BE282" s="251"/>
      <c r="BF282" s="252"/>
      <c r="BG282" s="251"/>
      <c r="BH282" s="251"/>
      <c r="BI282" s="252"/>
      <c r="BJ282" s="251"/>
      <c r="BK282" s="251"/>
      <c r="BL282" s="252"/>
      <c r="BM282" s="282"/>
      <c r="BN282" s="282"/>
      <c r="BO282" s="415"/>
      <c r="BP282" s="259"/>
      <c r="BQ282" s="259"/>
      <c r="BR282" s="260"/>
      <c r="BS282" s="259"/>
      <c r="BT282" s="259"/>
      <c r="BU282" s="261"/>
      <c r="BV282" s="259"/>
      <c r="BW282" s="259"/>
      <c r="BX282" s="260"/>
      <c r="BY282" s="259"/>
      <c r="BZ282" s="259"/>
      <c r="CA282" s="260"/>
      <c r="CB282" s="259"/>
      <c r="CC282" s="259"/>
      <c r="CD282" s="260"/>
      <c r="CE282" s="259"/>
      <c r="CF282" s="259"/>
      <c r="CG282" s="260"/>
      <c r="CH282" s="259"/>
      <c r="CI282" s="259"/>
      <c r="CJ282" s="260"/>
      <c r="CK282" s="259"/>
      <c r="CL282" s="259"/>
      <c r="CM282" s="260"/>
      <c r="CN282" s="259"/>
      <c r="CO282" s="259"/>
      <c r="CP282" s="260"/>
      <c r="CQ282" s="259"/>
      <c r="CR282" s="259"/>
      <c r="CS282" s="260"/>
      <c r="CT282" s="259"/>
      <c r="CU282" s="259"/>
      <c r="CV282" s="260"/>
      <c r="CW282" s="259"/>
      <c r="CX282" s="259"/>
      <c r="CY282" s="334"/>
      <c r="CZ282" s="333"/>
      <c r="DA282" s="333"/>
      <c r="DB282" s="334"/>
      <c r="DC282" s="333"/>
      <c r="DD282" s="333"/>
      <c r="DE282" s="788"/>
      <c r="DF282" s="333"/>
      <c r="DG282" s="333"/>
      <c r="DH282" s="788"/>
      <c r="DI282" s="333"/>
      <c r="DJ282" s="333"/>
      <c r="DK282" s="700"/>
      <c r="DL282" s="848">
        <f>DL281/DI281-1</f>
        <v>4.5787545787545847E-2</v>
      </c>
      <c r="DM282" s="848">
        <f>DM281/DJ281-1</f>
        <v>-4.5714285714285707E-2</v>
      </c>
      <c r="DN282" s="842">
        <f>DN281/DK281-1</f>
        <v>9.3370681605975392E-4</v>
      </c>
      <c r="DO282" s="848">
        <f t="shared" ref="DO282:EL282" si="301">DO281/DL281-1</f>
        <v>2.4518388791593626E-2</v>
      </c>
      <c r="DP282" s="848">
        <f t="shared" si="301"/>
        <v>4.5908183632734634E-2</v>
      </c>
      <c r="DQ282" s="842">
        <f t="shared" si="301"/>
        <v>3.4514925373134275E-2</v>
      </c>
      <c r="DR282" s="848">
        <f t="shared" si="301"/>
        <v>4.7863247863247915E-2</v>
      </c>
      <c r="DS282" s="848">
        <f t="shared" si="301"/>
        <v>0.13740458015267176</v>
      </c>
      <c r="DT282" s="712">
        <f t="shared" si="301"/>
        <v>9.0171325518485057E-2</v>
      </c>
      <c r="DU282" s="848">
        <f t="shared" si="301"/>
        <v>9.6247960848287128E-2</v>
      </c>
      <c r="DV282" s="848">
        <f>DV281/DS281-1</f>
        <v>4.8657718120805438E-2</v>
      </c>
      <c r="DW282" s="712">
        <f>DW281/DT281-1</f>
        <v>7.2787427626137324E-2</v>
      </c>
      <c r="DX282" s="848">
        <f t="shared" si="301"/>
        <v>-0.26488095238095233</v>
      </c>
      <c r="DY282" s="848">
        <f t="shared" si="301"/>
        <v>0.26107801893203186</v>
      </c>
      <c r="DZ282" s="1907">
        <f t="shared" si="301"/>
        <v>-1.1431178232443995E-2</v>
      </c>
      <c r="EA282" s="848">
        <f t="shared" si="301"/>
        <v>0.25771658421594479</v>
      </c>
      <c r="EB282" s="848">
        <f t="shared" si="301"/>
        <v>-9.1837500000000238E-2</v>
      </c>
      <c r="EC282" s="842">
        <f t="shared" si="301"/>
        <v>4.2839813436735374E-2</v>
      </c>
      <c r="ED282" s="848">
        <f t="shared" si="301"/>
        <v>6.999999999999984E-2</v>
      </c>
      <c r="EE282" s="848">
        <f t="shared" si="301"/>
        <v>7.0000000000000062E-2</v>
      </c>
      <c r="EF282" s="842">
        <f t="shared" si="301"/>
        <v>7.0000000000000062E-2</v>
      </c>
      <c r="EG282" s="848">
        <f t="shared" si="301"/>
        <v>5.5733333333333412E-2</v>
      </c>
      <c r="EH282" s="848">
        <f t="shared" si="301"/>
        <v>7.0000000000000062E-2</v>
      </c>
      <c r="EI282" s="842">
        <f t="shared" si="301"/>
        <v>6.3370698636668665E-2</v>
      </c>
      <c r="EJ282" s="848">
        <f t="shared" si="301"/>
        <v>2.6621621621621738E-2</v>
      </c>
      <c r="EK282" s="848">
        <f t="shared" si="301"/>
        <v>7.0000000000000284E-2</v>
      </c>
      <c r="EL282" s="842">
        <f t="shared" si="301"/>
        <v>4.9988110069634217E-2</v>
      </c>
      <c r="EM282" s="848">
        <f t="shared" ref="EM282:FA282" si="302">EM281/EJ281-1</f>
        <v>7.0000000000000062E-2</v>
      </c>
      <c r="EN282" s="848">
        <f t="shared" si="302"/>
        <v>3.942857142857159E-2</v>
      </c>
      <c r="EO282" s="842">
        <f t="shared" si="302"/>
        <v>5.3218326473730482E-2</v>
      </c>
      <c r="EP282" s="848">
        <f t="shared" si="302"/>
        <v>5.4929577464788659E-2</v>
      </c>
      <c r="EQ282" s="848">
        <f t="shared" si="302"/>
        <v>6.999999999999984E-2</v>
      </c>
      <c r="ER282" s="842">
        <f t="shared" si="302"/>
        <v>6.3093919799213083E-2</v>
      </c>
      <c r="ES282" s="848">
        <f t="shared" si="302"/>
        <v>7.0000000000000284E-2</v>
      </c>
      <c r="ET282" s="848">
        <f t="shared" si="302"/>
        <v>7.0000000000000062E-2</v>
      </c>
      <c r="EU282" s="842">
        <f t="shared" si="302"/>
        <v>7.0000000000000062E-2</v>
      </c>
      <c r="EV282" s="848">
        <f t="shared" si="302"/>
        <v>6.999999999999984E-2</v>
      </c>
      <c r="EW282" s="848">
        <f t="shared" si="302"/>
        <v>7.0000000000000284E-2</v>
      </c>
      <c r="EX282" s="842">
        <f t="shared" si="302"/>
        <v>7.0000000000000284E-2</v>
      </c>
      <c r="EY282" s="848">
        <f t="shared" si="302"/>
        <v>7.0000000000000062E-2</v>
      </c>
      <c r="EZ282" s="848">
        <f t="shared" si="302"/>
        <v>6.999999999999984E-2</v>
      </c>
      <c r="FA282" s="849">
        <f t="shared" si="302"/>
        <v>7.0000000000000062E-2</v>
      </c>
      <c r="FD282" s="404"/>
      <c r="FE282" s="404"/>
      <c r="FF282" s="404"/>
      <c r="FG282" s="422"/>
      <c r="FH282" s="422"/>
      <c r="FI282" s="421"/>
      <c r="FJ282" s="422"/>
      <c r="FK282" s="422"/>
      <c r="FL282" s="421"/>
      <c r="FM282" s="422"/>
      <c r="FN282" s="422"/>
      <c r="FO282" s="421"/>
      <c r="FP282" s="422"/>
      <c r="FQ282" s="422"/>
      <c r="FR282" s="421"/>
    </row>
    <row r="283" spans="1:184" s="350" customFormat="1" ht="13.35" customHeight="1">
      <c r="A283" s="760"/>
      <c r="B283" s="342"/>
      <c r="C283" s="342"/>
      <c r="D283" s="343"/>
      <c r="E283" s="342"/>
      <c r="F283" s="342"/>
      <c r="G283" s="342"/>
      <c r="H283" s="342"/>
      <c r="I283" s="342"/>
      <c r="J283" s="342"/>
      <c r="K283" s="342"/>
      <c r="L283" s="342"/>
      <c r="M283" s="342"/>
      <c r="N283" s="342"/>
      <c r="O283" s="342"/>
      <c r="P283" s="342"/>
      <c r="Q283" s="342"/>
      <c r="R283" s="342"/>
      <c r="S283" s="342"/>
      <c r="T283" s="342"/>
      <c r="U283" s="342"/>
      <c r="V283" s="342"/>
      <c r="W283" s="342"/>
      <c r="X283" s="342"/>
      <c r="Y283" s="342"/>
      <c r="Z283" s="342"/>
      <c r="AA283" s="342"/>
      <c r="AB283" s="342"/>
      <c r="AC283" s="342"/>
      <c r="AD283" s="342"/>
      <c r="AE283" s="342"/>
      <c r="AF283" s="342"/>
      <c r="AG283" s="342"/>
      <c r="AH283" s="342"/>
      <c r="AI283" s="342"/>
      <c r="AJ283" s="342"/>
      <c r="AK283" s="342"/>
      <c r="AL283" s="342"/>
      <c r="AM283" s="342"/>
      <c r="AN283" s="342"/>
      <c r="AO283" s="342"/>
      <c r="AP283" s="342"/>
      <c r="AQ283" s="342"/>
      <c r="AR283" s="342"/>
      <c r="AS283" s="342"/>
      <c r="AT283" s="342"/>
      <c r="AU283" s="342"/>
      <c r="AV283" s="342"/>
      <c r="AW283" s="342"/>
      <c r="AX283" s="342"/>
      <c r="AY283" s="342"/>
      <c r="AZ283" s="342"/>
      <c r="BA283" s="342"/>
      <c r="BB283" s="342"/>
      <c r="BC283" s="342"/>
      <c r="BD283" s="342"/>
      <c r="BE283" s="342"/>
      <c r="BF283" s="342"/>
      <c r="BG283" s="342"/>
      <c r="BH283" s="342"/>
      <c r="BI283" s="342"/>
      <c r="BJ283" s="342"/>
      <c r="BK283" s="342"/>
      <c r="BL283" s="342"/>
      <c r="BM283" s="344"/>
      <c r="BN283" s="344"/>
      <c r="BO283" s="342"/>
      <c r="BP283" s="345"/>
      <c r="BQ283" s="345"/>
      <c r="BR283" s="345"/>
      <c r="BS283" s="346"/>
      <c r="BT283" s="345"/>
      <c r="BU283" s="346"/>
      <c r="BV283" s="346"/>
      <c r="BW283" s="346"/>
      <c r="BX283" s="346"/>
      <c r="BY283" s="346"/>
      <c r="BZ283" s="346"/>
      <c r="CA283" s="346"/>
      <c r="CB283" s="346"/>
      <c r="CC283" s="346"/>
      <c r="CD283" s="346"/>
      <c r="CE283" s="347"/>
      <c r="CF283" s="346"/>
      <c r="CG283" s="346"/>
      <c r="CH283" s="346"/>
      <c r="CI283" s="346"/>
      <c r="CJ283" s="346"/>
      <c r="CK283" s="346"/>
      <c r="CL283" s="346"/>
      <c r="CM283" s="346"/>
      <c r="CN283" s="346"/>
      <c r="CO283" s="346"/>
      <c r="CP283" s="346"/>
      <c r="CQ283" s="346"/>
      <c r="CR283" s="346"/>
      <c r="CS283" s="346"/>
      <c r="CT283" s="346"/>
      <c r="CU283" s="346"/>
      <c r="CV283" s="346"/>
      <c r="CW283" s="346"/>
      <c r="CX283" s="346"/>
      <c r="CY283" s="556"/>
      <c r="CZ283" s="556"/>
      <c r="DA283" s="556"/>
      <c r="DB283" s="556"/>
      <c r="DC283" s="556"/>
      <c r="DD283" s="556"/>
      <c r="DE283" s="793"/>
      <c r="DF283" s="10"/>
      <c r="DG283" s="10"/>
      <c r="DH283" s="67"/>
      <c r="DI283" s="10"/>
      <c r="DJ283" s="10"/>
      <c r="DK283" s="691"/>
      <c r="DL283" s="10"/>
      <c r="DM283" s="10"/>
      <c r="DN283" s="691"/>
      <c r="DO283" s="10"/>
      <c r="DP283" s="10"/>
      <c r="DQ283" s="691"/>
      <c r="DR283" s="10"/>
      <c r="DS283" s="10"/>
      <c r="DT283" s="691"/>
      <c r="DU283" s="10"/>
      <c r="DV283" s="10"/>
      <c r="DW283" s="691"/>
      <c r="DX283" s="10"/>
      <c r="DY283" s="10"/>
      <c r="DZ283" s="691"/>
      <c r="EA283" s="10"/>
      <c r="EB283" s="10"/>
      <c r="EC283" s="691"/>
      <c r="ED283" s="10"/>
      <c r="EE283" s="10"/>
      <c r="EF283" s="691"/>
      <c r="EG283" s="10"/>
      <c r="EH283" s="10"/>
      <c r="EI283" s="691"/>
      <c r="EJ283" s="10"/>
      <c r="EK283" s="10"/>
      <c r="EL283" s="691"/>
      <c r="EM283" s="10"/>
      <c r="EN283" s="10"/>
      <c r="EO283" s="691"/>
      <c r="EP283" s="10"/>
      <c r="EQ283" s="10"/>
      <c r="ER283" s="691"/>
      <c r="ES283" s="10"/>
      <c r="ET283" s="10"/>
      <c r="EU283" s="691"/>
      <c r="EV283" s="10"/>
      <c r="EW283" s="10"/>
      <c r="EX283" s="691"/>
      <c r="EY283" s="10"/>
      <c r="EZ283" s="10"/>
      <c r="FA283" s="14"/>
      <c r="FB283" s="176"/>
      <c r="FC283" s="349"/>
      <c r="FD283" s="402"/>
      <c r="FE283" s="402"/>
      <c r="FF283" s="402"/>
      <c r="FG283" s="398"/>
      <c r="FH283" s="417"/>
      <c r="FI283" s="425"/>
      <c r="FJ283" s="398"/>
      <c r="FK283" s="417"/>
      <c r="FL283" s="425"/>
      <c r="FM283" s="398"/>
      <c r="FN283" s="417"/>
      <c r="FO283" s="425"/>
      <c r="FP283" s="417"/>
      <c r="FQ283" s="417"/>
      <c r="FR283" s="425"/>
      <c r="FS283" s="349"/>
      <c r="FT283" s="349"/>
      <c r="FU283" s="349"/>
      <c r="FV283" s="349"/>
      <c r="FW283" s="349"/>
      <c r="FX283" s="349"/>
      <c r="FY283" s="349"/>
      <c r="FZ283" s="349"/>
      <c r="GA283" s="349"/>
      <c r="GB283" s="349"/>
    </row>
    <row r="284" spans="1:184" ht="13.35" customHeight="1">
      <c r="A284" s="760"/>
      <c r="C284" s="177" t="s">
        <v>40</v>
      </c>
      <c r="D284" s="294" t="s">
        <v>406</v>
      </c>
      <c r="E284" s="251"/>
      <c r="F284" s="251"/>
      <c r="G284" s="252"/>
      <c r="H284" s="251"/>
      <c r="I284" s="251"/>
      <c r="J284" s="252"/>
      <c r="K284" s="251"/>
      <c r="L284" s="251"/>
      <c r="M284" s="252"/>
      <c r="N284" s="251"/>
      <c r="O284" s="251"/>
      <c r="P284" s="252"/>
      <c r="Q284" s="251"/>
      <c r="R284" s="251"/>
      <c r="S284" s="252"/>
      <c r="T284" s="251"/>
      <c r="U284" s="251"/>
      <c r="V284" s="252"/>
      <c r="W284" s="251"/>
      <c r="X284" s="251"/>
      <c r="Y284" s="252"/>
      <c r="Z284" s="251"/>
      <c r="AA284" s="251"/>
      <c r="AB284" s="252"/>
      <c r="AC284" s="251"/>
      <c r="AD284" s="251"/>
      <c r="AE284" s="252"/>
      <c r="AF284" s="251"/>
      <c r="AG284" s="251"/>
      <c r="AH284" s="252"/>
      <c r="AI284" s="251"/>
      <c r="AJ284" s="251"/>
      <c r="AK284" s="252"/>
      <c r="AL284" s="251"/>
      <c r="AM284" s="251"/>
      <c r="AN284" s="252"/>
      <c r="AO284" s="251"/>
      <c r="AP284" s="251"/>
      <c r="AQ284" s="252"/>
      <c r="AR284" s="251"/>
      <c r="AS284" s="251"/>
      <c r="AT284" s="252"/>
      <c r="AU284" s="251"/>
      <c r="AV284" s="251"/>
      <c r="AW284" s="252"/>
      <c r="AX284" s="251"/>
      <c r="AY284" s="251"/>
      <c r="AZ284" s="252"/>
      <c r="BA284" s="251"/>
      <c r="BB284" s="251"/>
      <c r="BC284" s="252"/>
      <c r="BD284" s="251"/>
      <c r="BE284" s="251"/>
      <c r="BF284" s="252"/>
      <c r="BG284" s="251"/>
      <c r="BH284" s="251"/>
      <c r="BI284" s="252"/>
      <c r="BJ284" s="251"/>
      <c r="BK284" s="251"/>
      <c r="BL284" s="252"/>
      <c r="BM284" s="198"/>
      <c r="BN284" s="198"/>
      <c r="BO284" s="79"/>
      <c r="BP284" s="198"/>
      <c r="BQ284" s="198"/>
      <c r="BR284" s="79"/>
      <c r="BS284" s="198"/>
      <c r="BT284" s="198"/>
      <c r="BU284" s="254"/>
      <c r="BV284" s="198"/>
      <c r="BW284" s="198"/>
      <c r="BX284" s="79"/>
      <c r="BY284" s="198"/>
      <c r="BZ284" s="198"/>
      <c r="CA284" s="79"/>
      <c r="CB284" s="198"/>
      <c r="CC284" s="198"/>
      <c r="CD284" s="79"/>
      <c r="CE284" s="198"/>
      <c r="CF284" s="198"/>
      <c r="CG284" s="79"/>
      <c r="CH284" s="198"/>
      <c r="CI284" s="198"/>
      <c r="CJ284" s="79"/>
      <c r="CK284" s="198"/>
      <c r="CL284" s="198"/>
      <c r="CM284" s="79"/>
      <c r="CN284" s="198"/>
      <c r="CO284" s="198"/>
      <c r="CP284" s="79"/>
      <c r="CQ284" s="198"/>
      <c r="CR284" s="198"/>
      <c r="CS284" s="79"/>
      <c r="CT284" s="198"/>
      <c r="CU284" s="198"/>
      <c r="CV284" s="79"/>
      <c r="CW284" s="198"/>
      <c r="CX284" s="198"/>
      <c r="CY284" s="488"/>
      <c r="CZ284" s="489"/>
      <c r="DA284" s="489"/>
      <c r="DB284" s="488"/>
      <c r="DC284" s="489"/>
      <c r="DD284" s="489"/>
      <c r="DE284" s="783"/>
      <c r="DF284" s="489"/>
      <c r="DG284" s="489"/>
      <c r="DH284" s="783"/>
      <c r="DI284" s="488">
        <f t="shared" ref="DI284:EU284" si="303">DI281/DI133</f>
        <v>66.408035144563911</v>
      </c>
      <c r="DJ284" s="488">
        <f t="shared" si="303"/>
        <v>69.102541841529671</v>
      </c>
      <c r="DK284" s="696">
        <f t="shared" si="303"/>
        <v>67.702103568108512</v>
      </c>
      <c r="DL284" s="488">
        <f t="shared" si="303"/>
        <v>84.911880541082098</v>
      </c>
      <c r="DM284" s="488">
        <f t="shared" si="303"/>
        <v>77.615206692270888</v>
      </c>
      <c r="DN284" s="696">
        <f t="shared" si="303"/>
        <v>81.338200895516266</v>
      </c>
      <c r="DO284" s="488">
        <f t="shared" si="303"/>
        <v>77.124960206091302</v>
      </c>
      <c r="DP284" s="488">
        <f t="shared" si="303"/>
        <v>62.900285215449749</v>
      </c>
      <c r="DQ284" s="696">
        <f t="shared" si="303"/>
        <v>69.679454195411353</v>
      </c>
      <c r="DR284" s="488">
        <f t="shared" si="303"/>
        <v>69.589892873024127</v>
      </c>
      <c r="DS284" s="488">
        <f t="shared" si="303"/>
        <v>60.410708681429703</v>
      </c>
      <c r="DT284" s="696">
        <f t="shared" si="303"/>
        <v>64.740512545389336</v>
      </c>
      <c r="DU284" s="488">
        <f>DU281/DU133</f>
        <v>63.144797568858301</v>
      </c>
      <c r="DV284" s="488">
        <f>DV281/DV133</f>
        <v>52.436089605304574</v>
      </c>
      <c r="DW284" s="696">
        <f>DW281/DW133</f>
        <v>57.487366946603501</v>
      </c>
      <c r="DX284" s="488">
        <f>DX281/DX133</f>
        <v>46.418943450916672</v>
      </c>
      <c r="DY284" s="488">
        <f t="shared" si="303"/>
        <v>61.800000000000004</v>
      </c>
      <c r="DZ284" s="696">
        <f t="shared" si="303"/>
        <v>54.803522312098202</v>
      </c>
      <c r="EA284" s="488">
        <f t="shared" si="303"/>
        <v>54.562500000000007</v>
      </c>
      <c r="EB284" s="488">
        <f t="shared" si="303"/>
        <v>52.452749999999988</v>
      </c>
      <c r="EC284" s="696">
        <f t="shared" si="303"/>
        <v>53.412425218340609</v>
      </c>
      <c r="ED284" s="488">
        <f t="shared" si="303"/>
        <v>54.562499999999993</v>
      </c>
      <c r="EE284" s="488">
        <f t="shared" si="303"/>
        <v>52.452749999999988</v>
      </c>
      <c r="EF284" s="696">
        <f t="shared" si="303"/>
        <v>53.412425218340609</v>
      </c>
      <c r="EG284" s="488">
        <f t="shared" si="303"/>
        <v>53.835000000000001</v>
      </c>
      <c r="EH284" s="488">
        <f t="shared" si="303"/>
        <v>52.452749999999988</v>
      </c>
      <c r="EI284" s="696">
        <f t="shared" si="303"/>
        <v>53.081502729257629</v>
      </c>
      <c r="EJ284" s="488">
        <f t="shared" si="303"/>
        <v>51.652500000000003</v>
      </c>
      <c r="EK284" s="488">
        <f t="shared" si="303"/>
        <v>52.452749999999995</v>
      </c>
      <c r="EL284" s="696">
        <f t="shared" si="303"/>
        <v>52.088735262008733</v>
      </c>
      <c r="EM284" s="488">
        <f t="shared" si="303"/>
        <v>51.652500000000003</v>
      </c>
      <c r="EN284" s="488">
        <f t="shared" si="303"/>
        <v>50.954100000000004</v>
      </c>
      <c r="EO284" s="696">
        <f t="shared" si="303"/>
        <v>51.271785589519659</v>
      </c>
      <c r="EP284" s="488">
        <f t="shared" si="303"/>
        <v>50.924999999999997</v>
      </c>
      <c r="EQ284" s="488">
        <f t="shared" si="303"/>
        <v>50.95409999999999</v>
      </c>
      <c r="ER284" s="696">
        <f t="shared" si="303"/>
        <v>50.94086310043668</v>
      </c>
      <c r="ES284" s="488">
        <f t="shared" si="303"/>
        <v>50.925000000000004</v>
      </c>
      <c r="ET284" s="488">
        <f t="shared" si="303"/>
        <v>50.95409999999999</v>
      </c>
      <c r="EU284" s="696">
        <f t="shared" si="303"/>
        <v>50.940863100436673</v>
      </c>
      <c r="EV284" s="488">
        <f t="shared" ref="EV284:FA284" si="304">EV281/EV133</f>
        <v>50.924999999999997</v>
      </c>
      <c r="EW284" s="488">
        <f t="shared" si="304"/>
        <v>50.954100000000004</v>
      </c>
      <c r="EX284" s="696">
        <f t="shared" si="304"/>
        <v>50.94086310043668</v>
      </c>
      <c r="EY284" s="488">
        <f t="shared" si="304"/>
        <v>50.925000000000004</v>
      </c>
      <c r="EZ284" s="488">
        <f t="shared" si="304"/>
        <v>50.954099999999997</v>
      </c>
      <c r="FA284" s="536">
        <f t="shared" si="304"/>
        <v>50.94086310043668</v>
      </c>
      <c r="FC284" s="349"/>
      <c r="FD284" s="402"/>
      <c r="FE284" s="402"/>
      <c r="FF284" s="402"/>
      <c r="FG284" s="398"/>
      <c r="FH284" s="417"/>
      <c r="FI284" s="425"/>
      <c r="FJ284" s="398"/>
      <c r="FK284" s="417"/>
      <c r="FL284" s="417"/>
      <c r="FM284" s="417"/>
      <c r="FN284" s="417"/>
      <c r="FO284" s="425"/>
      <c r="FP284" s="417"/>
      <c r="FQ284" s="417"/>
      <c r="FR284" s="425"/>
    </row>
    <row r="285" spans="1:184" ht="13.35" customHeight="1">
      <c r="A285" s="760"/>
      <c r="C285" s="177" t="s">
        <v>690</v>
      </c>
      <c r="D285" s="294" t="s">
        <v>507</v>
      </c>
      <c r="E285" s="251"/>
      <c r="F285" s="251"/>
      <c r="G285" s="252"/>
      <c r="H285" s="251"/>
      <c r="I285" s="251"/>
      <c r="J285" s="252"/>
      <c r="K285" s="251"/>
      <c r="L285" s="251"/>
      <c r="M285" s="252"/>
      <c r="N285" s="251"/>
      <c r="O285" s="251"/>
      <c r="P285" s="252"/>
      <c r="Q285" s="251"/>
      <c r="R285" s="251"/>
      <c r="S285" s="252"/>
      <c r="T285" s="251"/>
      <c r="U285" s="251"/>
      <c r="V285" s="252"/>
      <c r="W285" s="251"/>
      <c r="X285" s="251"/>
      <c r="Y285" s="252"/>
      <c r="Z285" s="251"/>
      <c r="AA285" s="251"/>
      <c r="AB285" s="252"/>
      <c r="AC285" s="251"/>
      <c r="AD285" s="251"/>
      <c r="AE285" s="252"/>
      <c r="AF285" s="251"/>
      <c r="AG285" s="251"/>
      <c r="AH285" s="252"/>
      <c r="AI285" s="251"/>
      <c r="AJ285" s="251"/>
      <c r="AK285" s="252"/>
      <c r="AL285" s="251"/>
      <c r="AM285" s="251"/>
      <c r="AN285" s="252"/>
      <c r="AO285" s="251"/>
      <c r="AP285" s="251"/>
      <c r="AQ285" s="252"/>
      <c r="AR285" s="251"/>
      <c r="AS285" s="251"/>
      <c r="AT285" s="252"/>
      <c r="AU285" s="251"/>
      <c r="AV285" s="251"/>
      <c r="AW285" s="252"/>
      <c r="AX285" s="251"/>
      <c r="AY285" s="251"/>
      <c r="AZ285" s="252"/>
      <c r="BA285" s="251"/>
      <c r="BB285" s="251"/>
      <c r="BC285" s="252"/>
      <c r="BD285" s="251"/>
      <c r="BE285" s="251"/>
      <c r="BF285" s="252"/>
      <c r="BG285" s="251"/>
      <c r="BH285" s="251"/>
      <c r="BI285" s="252"/>
      <c r="BJ285" s="251"/>
      <c r="BK285" s="251"/>
      <c r="BL285" s="252"/>
      <c r="BM285" s="198"/>
      <c r="BN285" s="198"/>
      <c r="BO285" s="79"/>
      <c r="BP285" s="198"/>
      <c r="BQ285" s="198"/>
      <c r="BR285" s="79"/>
      <c r="BS285" s="259"/>
      <c r="BT285" s="198"/>
      <c r="BU285" s="261"/>
      <c r="BV285" s="259"/>
      <c r="BW285" s="259"/>
      <c r="BX285" s="260"/>
      <c r="BY285" s="259"/>
      <c r="BZ285" s="259"/>
      <c r="CA285" s="260"/>
      <c r="CB285" s="259"/>
      <c r="CC285" s="259"/>
      <c r="CD285" s="260"/>
      <c r="CE285" s="259"/>
      <c r="CF285" s="259"/>
      <c r="CG285" s="260"/>
      <c r="CH285" s="259"/>
      <c r="CI285" s="259"/>
      <c r="CJ285" s="260"/>
      <c r="CK285" s="259"/>
      <c r="CL285" s="259"/>
      <c r="CM285" s="260"/>
      <c r="CN285" s="259"/>
      <c r="CO285" s="259"/>
      <c r="CP285" s="260"/>
      <c r="CQ285" s="259"/>
      <c r="CR285" s="259"/>
      <c r="CS285" s="260"/>
      <c r="CT285" s="259"/>
      <c r="CU285" s="259"/>
      <c r="CV285" s="260"/>
      <c r="CW285" s="259"/>
      <c r="CX285" s="259"/>
      <c r="CY285" s="334"/>
      <c r="CZ285" s="333"/>
      <c r="DA285" s="333"/>
      <c r="DB285" s="334"/>
      <c r="DC285" s="333"/>
      <c r="DD285" s="333"/>
      <c r="DE285" s="788"/>
      <c r="DF285" s="333"/>
      <c r="DG285" s="333"/>
      <c r="DH285" s="788"/>
      <c r="DI285" s="333"/>
      <c r="DJ285" s="333"/>
      <c r="DK285" s="700"/>
      <c r="DL285" s="334">
        <f t="shared" ref="DL285:EL285" si="305">DL284/DI284-1</f>
        <v>0.2786386520281332</v>
      </c>
      <c r="DM285" s="334">
        <f t="shared" si="305"/>
        <v>0.12318888168054665</v>
      </c>
      <c r="DN285" s="700">
        <f t="shared" si="305"/>
        <v>0.2014132000151192</v>
      </c>
      <c r="DO285" s="334">
        <f t="shared" si="305"/>
        <v>-9.17058989315791E-2</v>
      </c>
      <c r="DP285" s="334">
        <f t="shared" si="305"/>
        <v>-0.18958812459474506</v>
      </c>
      <c r="DQ285" s="700">
        <f t="shared" si="305"/>
        <v>-0.14333666803229717</v>
      </c>
      <c r="DR285" s="334">
        <f t="shared" si="305"/>
        <v>-9.7699464776800693E-2</v>
      </c>
      <c r="DS285" s="334">
        <f t="shared" si="305"/>
        <v>-3.9579733629070191E-2</v>
      </c>
      <c r="DT285" s="700">
        <f t="shared" si="305"/>
        <v>-7.0880888879684467E-2</v>
      </c>
      <c r="DU285" s="334">
        <f t="shared" si="305"/>
        <v>-9.2615393386590528E-2</v>
      </c>
      <c r="DV285" s="334">
        <f>DV284/DS284-1</f>
        <v>-0.13200671288560029</v>
      </c>
      <c r="DW285" s="700">
        <f>DW284/DT284-1</f>
        <v>-0.11203410837534966</v>
      </c>
      <c r="DX285" s="334">
        <f t="shared" si="305"/>
        <v>-0.26488095238095233</v>
      </c>
      <c r="DY285" s="334">
        <f t="shared" si="305"/>
        <v>0.17857758778694577</v>
      </c>
      <c r="DZ285" s="700">
        <f t="shared" si="305"/>
        <v>-4.668581598106869E-2</v>
      </c>
      <c r="EA285" s="334">
        <f t="shared" si="305"/>
        <v>0.17543606001490142</v>
      </c>
      <c r="EB285" s="334">
        <f t="shared" si="305"/>
        <v>-0.15125000000000022</v>
      </c>
      <c r="EC285" s="700">
        <f t="shared" si="305"/>
        <v>-2.5383351928284781E-2</v>
      </c>
      <c r="ED285" s="334">
        <f t="shared" si="305"/>
        <v>0</v>
      </c>
      <c r="EE285" s="334">
        <f t="shared" si="305"/>
        <v>0</v>
      </c>
      <c r="EF285" s="700">
        <f t="shared" si="305"/>
        <v>0</v>
      </c>
      <c r="EG285" s="334">
        <f t="shared" si="305"/>
        <v>-1.3333333333333197E-2</v>
      </c>
      <c r="EH285" s="334">
        <f t="shared" si="305"/>
        <v>0</v>
      </c>
      <c r="EI285" s="700">
        <f t="shared" si="305"/>
        <v>-6.1956087507770707E-3</v>
      </c>
      <c r="EJ285" s="334">
        <f t="shared" si="305"/>
        <v>-4.054054054054046E-2</v>
      </c>
      <c r="EK285" s="334">
        <f t="shared" si="305"/>
        <v>0</v>
      </c>
      <c r="EL285" s="700">
        <f t="shared" si="305"/>
        <v>-1.8702700869500766E-2</v>
      </c>
      <c r="EM285" s="334">
        <f t="shared" ref="EM285:FA285" si="306">EM284/EJ284-1</f>
        <v>0</v>
      </c>
      <c r="EN285" s="334">
        <f t="shared" si="306"/>
        <v>-2.8571428571428359E-2</v>
      </c>
      <c r="EO285" s="700">
        <f t="shared" si="306"/>
        <v>-1.5683807033896713E-2</v>
      </c>
      <c r="EP285" s="334">
        <f t="shared" si="306"/>
        <v>-1.4084507042253613E-2</v>
      </c>
      <c r="EQ285" s="334">
        <f t="shared" si="306"/>
        <v>0</v>
      </c>
      <c r="ER285" s="700">
        <f t="shared" si="306"/>
        <v>-6.4542805614833387E-3</v>
      </c>
      <c r="ES285" s="334">
        <f t="shared" si="306"/>
        <v>0</v>
      </c>
      <c r="ET285" s="334">
        <f t="shared" si="306"/>
        <v>0</v>
      </c>
      <c r="EU285" s="700">
        <f t="shared" si="306"/>
        <v>0</v>
      </c>
      <c r="EV285" s="334">
        <f t="shared" si="306"/>
        <v>0</v>
      </c>
      <c r="EW285" s="334">
        <f t="shared" si="306"/>
        <v>0</v>
      </c>
      <c r="EX285" s="700">
        <f t="shared" si="306"/>
        <v>0</v>
      </c>
      <c r="EY285" s="334">
        <f t="shared" si="306"/>
        <v>0</v>
      </c>
      <c r="EZ285" s="334">
        <f t="shared" si="306"/>
        <v>0</v>
      </c>
      <c r="FA285" s="523">
        <f t="shared" si="306"/>
        <v>0</v>
      </c>
      <c r="FC285" s="349"/>
      <c r="FD285" s="402"/>
      <c r="FE285" s="402"/>
      <c r="FF285" s="402"/>
      <c r="FG285" s="398"/>
      <c r="FH285" s="417"/>
      <c r="FI285" s="425"/>
      <c r="FJ285" s="398"/>
      <c r="FK285" s="417"/>
      <c r="FL285" s="425"/>
      <c r="FM285" s="417"/>
      <c r="FN285" s="417"/>
      <c r="FO285" s="425"/>
      <c r="FP285" s="417"/>
      <c r="FQ285" s="417"/>
      <c r="FR285" s="425"/>
    </row>
    <row r="286" spans="1:184" ht="13.35" customHeight="1">
      <c r="A286" s="760"/>
      <c r="E286" s="251"/>
      <c r="F286" s="251"/>
      <c r="G286" s="252"/>
      <c r="H286" s="251"/>
      <c r="I286" s="251"/>
      <c r="J286" s="252"/>
      <c r="K286" s="251"/>
      <c r="L286" s="251"/>
      <c r="M286" s="252"/>
      <c r="N286" s="251"/>
      <c r="O286" s="251"/>
      <c r="P286" s="252"/>
      <c r="Q286" s="251"/>
      <c r="R286" s="251"/>
      <c r="S286" s="252"/>
      <c r="T286" s="251"/>
      <c r="U286" s="251"/>
      <c r="V286" s="252"/>
      <c r="W286" s="251"/>
      <c r="X286" s="251"/>
      <c r="Y286" s="252"/>
      <c r="Z286" s="251"/>
      <c r="AA286" s="251"/>
      <c r="AB286" s="252"/>
      <c r="AC286" s="251"/>
      <c r="AD286" s="251"/>
      <c r="AE286" s="252"/>
      <c r="AF286" s="251"/>
      <c r="AG286" s="251"/>
      <c r="AH286" s="252"/>
      <c r="AI286" s="251"/>
      <c r="AJ286" s="251"/>
      <c r="AK286" s="252"/>
      <c r="AL286" s="251"/>
      <c r="AM286" s="251"/>
      <c r="AN286" s="252"/>
      <c r="AO286" s="251"/>
      <c r="AP286" s="251"/>
      <c r="AQ286" s="252"/>
      <c r="AR286" s="251"/>
      <c r="AS286" s="251"/>
      <c r="AT286" s="252"/>
      <c r="AU286" s="251"/>
      <c r="AV286" s="251"/>
      <c r="AW286" s="252"/>
      <c r="AX286" s="251"/>
      <c r="AY286" s="251"/>
      <c r="AZ286" s="252"/>
      <c r="BA286" s="251"/>
      <c r="BB286" s="251"/>
      <c r="BC286" s="252"/>
      <c r="BD286" s="251"/>
      <c r="BE286" s="251"/>
      <c r="BF286" s="252"/>
      <c r="BG286" s="251"/>
      <c r="BH286" s="251"/>
      <c r="BI286" s="252"/>
      <c r="BJ286" s="251"/>
      <c r="BK286" s="251"/>
      <c r="BL286" s="252"/>
      <c r="BM286" s="198"/>
      <c r="BN286" s="198"/>
      <c r="BO286" s="79"/>
      <c r="BP286" s="198"/>
      <c r="BQ286" s="198"/>
      <c r="BR286" s="79"/>
      <c r="BS286" s="259"/>
      <c r="BT286" s="198"/>
      <c r="BU286" s="261"/>
      <c r="BV286" s="259"/>
      <c r="BW286" s="259"/>
      <c r="BX286" s="260"/>
      <c r="BY286" s="259"/>
      <c r="BZ286" s="259"/>
      <c r="CA286" s="260"/>
      <c r="CB286" s="259"/>
      <c r="CC286" s="259"/>
      <c r="CD286" s="260"/>
      <c r="CE286" s="259"/>
      <c r="CF286" s="259"/>
      <c r="CG286" s="260"/>
      <c r="CH286" s="259"/>
      <c r="CI286" s="259"/>
      <c r="CJ286" s="260"/>
      <c r="CK286" s="259"/>
      <c r="CL286" s="259"/>
      <c r="CM286" s="260"/>
      <c r="CN286" s="259"/>
      <c r="CO286" s="259"/>
      <c r="CP286" s="260"/>
      <c r="CQ286" s="259"/>
      <c r="CR286" s="259"/>
      <c r="CS286" s="260"/>
      <c r="CT286" s="259"/>
      <c r="CU286" s="259"/>
      <c r="CV286" s="260"/>
      <c r="CW286" s="259"/>
      <c r="CX286" s="259"/>
      <c r="CY286" s="334"/>
      <c r="CZ286" s="333"/>
      <c r="DA286" s="333"/>
      <c r="DB286" s="334"/>
      <c r="DC286" s="333"/>
      <c r="DD286" s="333"/>
      <c r="DE286" s="788"/>
      <c r="DF286" s="333"/>
      <c r="DG286" s="333"/>
      <c r="DH286" s="788"/>
      <c r="DI286" s="333"/>
      <c r="DJ286" s="333"/>
      <c r="DK286" s="700"/>
      <c r="DL286" s="333"/>
      <c r="DM286" s="333"/>
      <c r="DN286" s="700"/>
      <c r="DO286" s="333"/>
      <c r="DP286" s="333"/>
      <c r="DQ286" s="700"/>
      <c r="DR286" s="333"/>
      <c r="DS286" s="333"/>
      <c r="DT286" s="700"/>
      <c r="DU286" s="333"/>
      <c r="DV286" s="333"/>
      <c r="DW286" s="700"/>
      <c r="DX286" s="333"/>
      <c r="DY286" s="333"/>
      <c r="DZ286" s="700"/>
      <c r="EA286" s="333"/>
      <c r="EB286" s="333"/>
      <c r="EC286" s="700"/>
      <c r="ED286" s="333"/>
      <c r="EE286" s="333"/>
      <c r="EF286" s="700"/>
      <c r="EG286" s="333"/>
      <c r="EH286" s="333"/>
      <c r="EI286" s="700"/>
      <c r="EJ286" s="333"/>
      <c r="EK286" s="333"/>
      <c r="EL286" s="700"/>
      <c r="EM286" s="333"/>
      <c r="EN286" s="333"/>
      <c r="EO286" s="700"/>
      <c r="EP286" s="333"/>
      <c r="EQ286" s="333"/>
      <c r="ER286" s="700"/>
      <c r="ES286" s="333"/>
      <c r="ET286" s="333"/>
      <c r="EU286" s="700"/>
      <c r="EV286" s="333"/>
      <c r="EW286" s="333"/>
      <c r="EX286" s="700"/>
      <c r="EY286" s="333"/>
      <c r="EZ286" s="333"/>
      <c r="FA286" s="523"/>
      <c r="FC286" s="349"/>
      <c r="FD286" s="402"/>
      <c r="FE286" s="402"/>
      <c r="FF286" s="402"/>
      <c r="FG286" s="398"/>
      <c r="FH286" s="417"/>
      <c r="FI286" s="425"/>
      <c r="FJ286" s="398"/>
      <c r="FK286" s="417"/>
      <c r="FL286" s="425"/>
      <c r="FM286" s="417"/>
      <c r="FN286" s="417"/>
      <c r="FO286" s="425"/>
      <c r="FP286" s="417"/>
      <c r="FQ286" s="417"/>
      <c r="FR286" s="425"/>
    </row>
    <row r="287" spans="1:184" ht="13.35" customHeight="1">
      <c r="A287" s="760"/>
      <c r="B287" s="351" t="s">
        <v>363</v>
      </c>
      <c r="C287" s="277"/>
      <c r="D287" s="290"/>
      <c r="E287" s="251"/>
      <c r="F287" s="251"/>
      <c r="G287" s="252"/>
      <c r="H287" s="251"/>
      <c r="I287" s="251"/>
      <c r="J287" s="252"/>
      <c r="K287" s="251"/>
      <c r="L287" s="251"/>
      <c r="M287" s="252"/>
      <c r="N287" s="251"/>
      <c r="O287" s="251"/>
      <c r="P287" s="252"/>
      <c r="Q287" s="251"/>
      <c r="R287" s="251"/>
      <c r="S287" s="252"/>
      <c r="T287" s="251"/>
      <c r="U287" s="251"/>
      <c r="V287" s="252"/>
      <c r="W287" s="251"/>
      <c r="X287" s="251"/>
      <c r="Y287" s="252"/>
      <c r="Z287" s="251"/>
      <c r="AA287" s="251"/>
      <c r="AB287" s="252"/>
      <c r="AC287" s="251"/>
      <c r="AD287" s="251"/>
      <c r="AE287" s="252"/>
      <c r="AF287" s="251"/>
      <c r="AG287" s="251"/>
      <c r="AH287" s="252"/>
      <c r="AI287" s="251"/>
      <c r="AJ287" s="251"/>
      <c r="AK287" s="252"/>
      <c r="AL287" s="251"/>
      <c r="AM287" s="251"/>
      <c r="AN287" s="252"/>
      <c r="AO287" s="291"/>
      <c r="AP287" s="291"/>
      <c r="AQ287" s="252"/>
      <c r="AR287" s="251"/>
      <c r="AS287" s="251"/>
      <c r="AT287" s="252"/>
      <c r="AU287" s="251"/>
      <c r="AV287" s="251"/>
      <c r="AW287" s="252"/>
      <c r="AX287" s="251"/>
      <c r="AY287" s="251"/>
      <c r="AZ287" s="252"/>
      <c r="BA287" s="251"/>
      <c r="BB287" s="251"/>
      <c r="BC287" s="252"/>
      <c r="BD287" s="251"/>
      <c r="BE287" s="251"/>
      <c r="BF287" s="252"/>
      <c r="BG287" s="251"/>
      <c r="BH287" s="251"/>
      <c r="BI287" s="252"/>
      <c r="BJ287" s="251"/>
      <c r="BK287" s="251"/>
      <c r="BL287" s="252"/>
      <c r="BM287" s="280"/>
      <c r="BN287" s="280"/>
      <c r="BO287" s="280"/>
      <c r="BP287" s="280"/>
      <c r="BQ287" s="280"/>
      <c r="BR287" s="280"/>
      <c r="BS287" s="280"/>
      <c r="BT287" s="280"/>
      <c r="BU287" s="281"/>
      <c r="BV287" s="280"/>
      <c r="BW287" s="280"/>
      <c r="BX287" s="280"/>
      <c r="BY287" s="280"/>
      <c r="BZ287" s="280"/>
      <c r="CA287" s="280"/>
      <c r="CB287" s="280"/>
      <c r="CC287" s="280"/>
      <c r="CD287" s="280"/>
      <c r="CE287" s="280"/>
      <c r="CF287" s="280"/>
      <c r="CG287" s="280"/>
      <c r="CH287" s="280"/>
      <c r="CI287" s="280"/>
      <c r="CJ287" s="280"/>
      <c r="CK287" s="280"/>
      <c r="CL287" s="280"/>
      <c r="CM287" s="280"/>
      <c r="CN287" s="280"/>
      <c r="CO287" s="280"/>
      <c r="CP287" s="280"/>
      <c r="CQ287" s="280"/>
      <c r="CR287" s="280"/>
      <c r="CS287" s="280"/>
      <c r="CT287" s="280"/>
      <c r="CU287" s="280"/>
      <c r="CV287" s="280"/>
      <c r="CW287" s="280"/>
      <c r="CX287" s="280"/>
      <c r="CY287" s="280"/>
      <c r="CZ287" s="280"/>
      <c r="DA287" s="280"/>
      <c r="DB287" s="280"/>
      <c r="DC287" s="280"/>
      <c r="DD287" s="280"/>
      <c r="DE287" s="785"/>
      <c r="DF287" s="280"/>
      <c r="DG287" s="280"/>
      <c r="DH287" s="785"/>
      <c r="DI287" s="280" t="str">
        <f t="shared" ref="DI287:EU287" si="307">DI102</f>
        <v>1h21</v>
      </c>
      <c r="DJ287" s="280" t="str">
        <f t="shared" si="307"/>
        <v>2h21</v>
      </c>
      <c r="DK287" s="695" t="str">
        <f t="shared" si="307"/>
        <v>2021</v>
      </c>
      <c r="DL287" s="280" t="str">
        <f t="shared" si="307"/>
        <v>1h22</v>
      </c>
      <c r="DM287" s="280" t="str">
        <f t="shared" si="307"/>
        <v>2h22</v>
      </c>
      <c r="DN287" s="695" t="str">
        <f t="shared" si="307"/>
        <v>2022</v>
      </c>
      <c r="DO287" s="280" t="str">
        <f t="shared" si="307"/>
        <v>1h23</v>
      </c>
      <c r="DP287" s="280" t="str">
        <f t="shared" si="307"/>
        <v>2h23</v>
      </c>
      <c r="DQ287" s="695" t="str">
        <f t="shared" si="307"/>
        <v>2023</v>
      </c>
      <c r="DR287" s="280" t="str">
        <f t="shared" si="307"/>
        <v>1h24</v>
      </c>
      <c r="DS287" s="280" t="str">
        <f t="shared" si="307"/>
        <v>2h24</v>
      </c>
      <c r="DT287" s="695" t="str">
        <f t="shared" si="307"/>
        <v>2024</v>
      </c>
      <c r="DU287" s="280" t="str">
        <f t="shared" si="307"/>
        <v>1h25</v>
      </c>
      <c r="DV287" s="280" t="str">
        <f>DV102</f>
        <v>2h25</v>
      </c>
      <c r="DW287" s="695" t="str">
        <f>DW102</f>
        <v>2025</v>
      </c>
      <c r="DX287" s="280" t="str">
        <f t="shared" si="307"/>
        <v>1h26</v>
      </c>
      <c r="DY287" s="280" t="str">
        <f t="shared" si="307"/>
        <v>2h26E</v>
      </c>
      <c r="DZ287" s="695" t="str">
        <f t="shared" si="307"/>
        <v>2026E</v>
      </c>
      <c r="EA287" s="280" t="str">
        <f t="shared" si="307"/>
        <v>1h27E</v>
      </c>
      <c r="EB287" s="280" t="str">
        <f t="shared" si="307"/>
        <v>2h27E</v>
      </c>
      <c r="EC287" s="695" t="str">
        <f t="shared" si="307"/>
        <v>2027E</v>
      </c>
      <c r="ED287" s="280" t="str">
        <f t="shared" si="307"/>
        <v>1h28E</v>
      </c>
      <c r="EE287" s="280" t="str">
        <f t="shared" si="307"/>
        <v>2h28E</v>
      </c>
      <c r="EF287" s="695" t="str">
        <f t="shared" si="307"/>
        <v>2028E</v>
      </c>
      <c r="EG287" s="280" t="str">
        <f t="shared" si="307"/>
        <v>1h29E</v>
      </c>
      <c r="EH287" s="280" t="str">
        <f t="shared" si="307"/>
        <v>2h29E</v>
      </c>
      <c r="EI287" s="695" t="str">
        <f t="shared" si="307"/>
        <v>2029E</v>
      </c>
      <c r="EJ287" s="280" t="str">
        <f t="shared" si="307"/>
        <v>1h30E</v>
      </c>
      <c r="EK287" s="280" t="str">
        <f t="shared" si="307"/>
        <v>2h30E</v>
      </c>
      <c r="EL287" s="695" t="str">
        <f t="shared" si="307"/>
        <v>2030E</v>
      </c>
      <c r="EM287" s="280" t="str">
        <f t="shared" si="307"/>
        <v>1h31E</v>
      </c>
      <c r="EN287" s="280" t="str">
        <f t="shared" si="307"/>
        <v>2h31E</v>
      </c>
      <c r="EO287" s="695" t="str">
        <f t="shared" si="307"/>
        <v>2031E</v>
      </c>
      <c r="EP287" s="280" t="str">
        <f t="shared" si="307"/>
        <v>1h32E</v>
      </c>
      <c r="EQ287" s="280" t="str">
        <f t="shared" si="307"/>
        <v>2h32E</v>
      </c>
      <c r="ER287" s="695" t="str">
        <f t="shared" si="307"/>
        <v>2032E</v>
      </c>
      <c r="ES287" s="280" t="str">
        <f t="shared" si="307"/>
        <v>1h33E</v>
      </c>
      <c r="ET287" s="280" t="str">
        <f t="shared" si="307"/>
        <v>2h33E</v>
      </c>
      <c r="EU287" s="695" t="str">
        <f t="shared" si="307"/>
        <v>2033E</v>
      </c>
      <c r="EV287" s="280" t="str">
        <f t="shared" ref="EV287:FA287" si="308">EV102</f>
        <v>1h34E</v>
      </c>
      <c r="EW287" s="280" t="str">
        <f t="shared" si="308"/>
        <v>2h34E</v>
      </c>
      <c r="EX287" s="695" t="str">
        <f t="shared" si="308"/>
        <v>2034E</v>
      </c>
      <c r="EY287" s="280" t="str">
        <f t="shared" si="308"/>
        <v>1h35E</v>
      </c>
      <c r="EZ287" s="280" t="str">
        <f t="shared" si="308"/>
        <v>2h35E</v>
      </c>
      <c r="FA287" s="540" t="str">
        <f t="shared" si="308"/>
        <v>2035E</v>
      </c>
      <c r="FC287" s="349"/>
      <c r="FD287" s="402"/>
      <c r="FE287" s="402"/>
      <c r="FF287" s="402"/>
      <c r="FG287" s="398"/>
      <c r="FH287" s="417"/>
      <c r="FI287" s="425"/>
      <c r="FJ287" s="398"/>
      <c r="FK287" s="417"/>
      <c r="FL287" s="425"/>
      <c r="FM287" s="417"/>
      <c r="FN287" s="417"/>
      <c r="FO287" s="425"/>
      <c r="FP287" s="417"/>
      <c r="FQ287" s="417"/>
      <c r="FR287" s="425"/>
    </row>
    <row r="288" spans="1:184" ht="13.35" customHeight="1">
      <c r="A288" s="760"/>
      <c r="C288" s="177" t="s">
        <v>575</v>
      </c>
      <c r="D288" s="250" t="s">
        <v>864</v>
      </c>
      <c r="E288" s="251"/>
      <c r="F288" s="251"/>
      <c r="G288" s="252"/>
      <c r="H288" s="251"/>
      <c r="I288" s="251"/>
      <c r="J288" s="252"/>
      <c r="K288" s="251"/>
      <c r="L288" s="251"/>
      <c r="M288" s="252"/>
      <c r="N288" s="251"/>
      <c r="O288" s="251"/>
      <c r="P288" s="252"/>
      <c r="Q288" s="251"/>
      <c r="R288" s="251"/>
      <c r="S288" s="252"/>
      <c r="T288" s="251"/>
      <c r="U288" s="251"/>
      <c r="V288" s="252"/>
      <c r="W288" s="251"/>
      <c r="X288" s="251"/>
      <c r="Y288" s="252"/>
      <c r="Z288" s="251"/>
      <c r="AA288" s="251"/>
      <c r="AB288" s="252"/>
      <c r="AC288" s="251"/>
      <c r="AD288" s="251"/>
      <c r="AE288" s="252"/>
      <c r="AF288" s="251"/>
      <c r="AG288" s="251"/>
      <c r="AH288" s="252"/>
      <c r="AI288" s="251"/>
      <c r="AJ288" s="251"/>
      <c r="AK288" s="252"/>
      <c r="AL288" s="251"/>
      <c r="AM288" s="251"/>
      <c r="AN288" s="252"/>
      <c r="AO288" s="251"/>
      <c r="AP288" s="251"/>
      <c r="AQ288" s="252"/>
      <c r="AR288" s="251"/>
      <c r="AS288" s="251"/>
      <c r="AT288" s="252"/>
      <c r="AU288" s="251"/>
      <c r="AV288" s="251"/>
      <c r="AW288" s="252"/>
      <c r="AX288" s="251"/>
      <c r="AY288" s="251"/>
      <c r="AZ288" s="252"/>
      <c r="BA288" s="251"/>
      <c r="BB288" s="251"/>
      <c r="BC288" s="252"/>
      <c r="BD288" s="251"/>
      <c r="BE288" s="251"/>
      <c r="BF288" s="252"/>
      <c r="BG288" s="251"/>
      <c r="BH288" s="251"/>
      <c r="BI288" s="252"/>
      <c r="BJ288" s="251"/>
      <c r="BK288" s="251"/>
      <c r="BL288" s="252"/>
      <c r="BM288" s="198"/>
      <c r="BN288" s="198"/>
      <c r="BO288" s="253"/>
      <c r="BP288" s="198"/>
      <c r="BQ288" s="198"/>
      <c r="BR288" s="253"/>
      <c r="BS288" s="198"/>
      <c r="BT288" s="198"/>
      <c r="BU288" s="254"/>
      <c r="BV288" s="198"/>
      <c r="BW288" s="198"/>
      <c r="BX288" s="253"/>
      <c r="BY288" s="198"/>
      <c r="BZ288" s="198"/>
      <c r="CA288" s="253"/>
      <c r="CB288" s="198"/>
      <c r="CC288" s="198"/>
      <c r="CD288" s="253"/>
      <c r="CE288" s="198"/>
      <c r="CF288" s="198"/>
      <c r="CG288" s="253"/>
      <c r="CH288" s="198"/>
      <c r="CI288" s="198"/>
      <c r="CJ288" s="253"/>
      <c r="CK288" s="198"/>
      <c r="CL288" s="198"/>
      <c r="CM288" s="253"/>
      <c r="CN288" s="198"/>
      <c r="CO288" s="198"/>
      <c r="CP288" s="253"/>
      <c r="CQ288" s="198"/>
      <c r="CR288" s="198"/>
      <c r="CS288" s="253"/>
      <c r="CT288" s="198"/>
      <c r="CU288" s="198"/>
      <c r="CV288" s="253"/>
      <c r="CW288" s="198"/>
      <c r="CX288" s="198"/>
      <c r="CY288" s="521"/>
      <c r="CZ288" s="489"/>
      <c r="DA288" s="489"/>
      <c r="DB288" s="488"/>
      <c r="DC288" s="489"/>
      <c r="DD288" s="489"/>
      <c r="DE288" s="783"/>
      <c r="DF288" s="489"/>
      <c r="DG288" s="489"/>
      <c r="DH288" s="783"/>
      <c r="DI288" s="753">
        <v>103.51984347864993</v>
      </c>
      <c r="DJ288" s="753">
        <v>107.93656918337332</v>
      </c>
      <c r="DK288" s="855">
        <v>105.64102776680794</v>
      </c>
      <c r="DL288" s="753">
        <f t="shared" ref="DL288:EU288" si="309">DL290/DL133</f>
        <v>134.61925940700638</v>
      </c>
      <c r="DM288" s="753">
        <f t="shared" si="309"/>
        <v>125.24105208459721</v>
      </c>
      <c r="DN288" s="855">
        <f t="shared" si="309"/>
        <v>130.02611062244745</v>
      </c>
      <c r="DO288" s="753">
        <f t="shared" si="309"/>
        <v>112.18972832024646</v>
      </c>
      <c r="DP288" s="753">
        <f t="shared" si="309"/>
        <v>99.489148762251631</v>
      </c>
      <c r="DQ288" s="855">
        <f t="shared" si="309"/>
        <v>105.54196719386698</v>
      </c>
      <c r="DR288" s="753">
        <f t="shared" si="309"/>
        <v>108.5747229731476</v>
      </c>
      <c r="DS288" s="753">
        <f t="shared" si="309"/>
        <v>106.39944542229186</v>
      </c>
      <c r="DT288" s="855">
        <f t="shared" si="309"/>
        <v>107.42551973873326</v>
      </c>
      <c r="DU288" s="753">
        <f t="shared" si="309"/>
        <v>97.11953920509346</v>
      </c>
      <c r="DV288" s="753">
        <f>DV290/DV133</f>
        <v>89.122593020547072</v>
      </c>
      <c r="DW288" s="855">
        <f>DW290/DW133</f>
        <v>92.894737447219896</v>
      </c>
      <c r="DX288" s="753">
        <f t="shared" ref="DX288" si="310">DX290/DX133</f>
        <v>98.687470987132016</v>
      </c>
      <c r="DY288" s="753">
        <f t="shared" si="309"/>
        <v>87.135604765649063</v>
      </c>
      <c r="DZ288" s="855">
        <f t="shared" si="309"/>
        <v>92.390274626221739</v>
      </c>
      <c r="EA288" s="753">
        <f t="shared" si="309"/>
        <v>99.609783800095869</v>
      </c>
      <c r="EB288" s="753">
        <f t="shared" si="309"/>
        <v>87.949956212057003</v>
      </c>
      <c r="EC288" s="855">
        <f t="shared" si="309"/>
        <v>93.253735136747167</v>
      </c>
      <c r="ED288" s="753">
        <f t="shared" si="309"/>
        <v>100.54071635897526</v>
      </c>
      <c r="EE288" s="753">
        <f t="shared" si="309"/>
        <v>88.771918419646326</v>
      </c>
      <c r="EF288" s="855">
        <f t="shared" si="309"/>
        <v>94.125265371670054</v>
      </c>
      <c r="EG288" s="753">
        <f t="shared" si="309"/>
        <v>101.48034922214326</v>
      </c>
      <c r="EH288" s="753">
        <f t="shared" si="309"/>
        <v>89.601562517026196</v>
      </c>
      <c r="EI288" s="855">
        <f t="shared" si="309"/>
        <v>95.004940748975358</v>
      </c>
      <c r="EJ288" s="753">
        <f t="shared" si="309"/>
        <v>102.42876370085486</v>
      </c>
      <c r="EK288" s="753">
        <f t="shared" si="309"/>
        <v>90.438960297559134</v>
      </c>
      <c r="EL288" s="855">
        <f t="shared" si="309"/>
        <v>95.892837391489138</v>
      </c>
      <c r="EM288" s="753">
        <f t="shared" si="309"/>
        <v>103.38604186628341</v>
      </c>
      <c r="EN288" s="753">
        <f t="shared" si="309"/>
        <v>91.284184225573725</v>
      </c>
      <c r="EO288" s="855">
        <f t="shared" si="309"/>
        <v>96.789032133465682</v>
      </c>
      <c r="EP288" s="753">
        <f t="shared" si="309"/>
        <v>104.3522665566225</v>
      </c>
      <c r="EQ288" s="753">
        <f t="shared" si="309"/>
        <v>92.137307442635162</v>
      </c>
      <c r="ER288" s="855">
        <f t="shared" si="309"/>
        <v>97.693602527236379</v>
      </c>
      <c r="ES288" s="753">
        <f t="shared" si="309"/>
        <v>105.32752138425448</v>
      </c>
      <c r="ET288" s="753">
        <f t="shared" si="309"/>
        <v>92.998403773874742</v>
      </c>
      <c r="EU288" s="855">
        <f t="shared" si="309"/>
        <v>98.606626849920829</v>
      </c>
      <c r="EV288" s="753">
        <f t="shared" ref="EV288:FA288" si="311">EV290/EV133</f>
        <v>106.31189074298584</v>
      </c>
      <c r="EW288" s="753">
        <f t="shared" si="311"/>
        <v>93.867547734378249</v>
      </c>
      <c r="EX288" s="855">
        <f t="shared" si="311"/>
        <v>99.528184110200485</v>
      </c>
      <c r="EY288" s="753">
        <f t="shared" si="311"/>
        <v>107.30545981535019</v>
      </c>
      <c r="EZ288" s="753">
        <f t="shared" si="311"/>
        <v>94.744814535634134</v>
      </c>
      <c r="FA288" s="856">
        <f t="shared" si="311"/>
        <v>100.45835405515562</v>
      </c>
      <c r="FB288" s="1871"/>
      <c r="FD288" s="404"/>
      <c r="FE288" s="404"/>
      <c r="FF288" s="404"/>
      <c r="FG288" s="422"/>
      <c r="FH288" s="404"/>
      <c r="FI288" s="397"/>
      <c r="FJ288" s="404"/>
      <c r="FK288" s="404"/>
      <c r="FL288" s="397"/>
      <c r="FM288" s="404"/>
      <c r="FN288" s="404"/>
      <c r="FO288" s="397"/>
    </row>
    <row r="289" spans="1:179" ht="13.35" customHeight="1">
      <c r="A289" s="760"/>
      <c r="D289" s="250"/>
      <c r="E289" s="251"/>
      <c r="F289" s="251"/>
      <c r="G289" s="252"/>
      <c r="H289" s="251"/>
      <c r="I289" s="251"/>
      <c r="J289" s="252"/>
      <c r="K289" s="251"/>
      <c r="L289" s="251"/>
      <c r="M289" s="252"/>
      <c r="N289" s="251"/>
      <c r="O289" s="251"/>
      <c r="P289" s="252"/>
      <c r="Q289" s="251"/>
      <c r="R289" s="251"/>
      <c r="S289" s="252"/>
      <c r="T289" s="251"/>
      <c r="U289" s="251"/>
      <c r="V289" s="252"/>
      <c r="W289" s="251"/>
      <c r="X289" s="251"/>
      <c r="Y289" s="252"/>
      <c r="Z289" s="251"/>
      <c r="AA289" s="251"/>
      <c r="AB289" s="252"/>
      <c r="AC289" s="251"/>
      <c r="AD289" s="251"/>
      <c r="AE289" s="252"/>
      <c r="AF289" s="251"/>
      <c r="AG289" s="251"/>
      <c r="AH289" s="252"/>
      <c r="AI289" s="251"/>
      <c r="AJ289" s="251"/>
      <c r="AK289" s="252"/>
      <c r="AL289" s="251"/>
      <c r="AM289" s="251"/>
      <c r="AN289" s="252"/>
      <c r="AO289" s="251"/>
      <c r="AP289" s="251"/>
      <c r="AQ289" s="252"/>
      <c r="AR289" s="251"/>
      <c r="AS289" s="251"/>
      <c r="AT289" s="252"/>
      <c r="AU289" s="251"/>
      <c r="AV289" s="251"/>
      <c r="AW289" s="252"/>
      <c r="AX289" s="251"/>
      <c r="AY289" s="251"/>
      <c r="AZ289" s="252"/>
      <c r="BA289" s="251"/>
      <c r="BB289" s="251"/>
      <c r="BC289" s="252"/>
      <c r="BD289" s="251"/>
      <c r="BE289" s="251"/>
      <c r="BF289" s="252"/>
      <c r="BG289" s="251"/>
      <c r="BH289" s="251"/>
      <c r="BI289" s="252"/>
      <c r="BJ289" s="251"/>
      <c r="BK289" s="251"/>
      <c r="BL289" s="252"/>
      <c r="BM289" s="198"/>
      <c r="BN289" s="198"/>
      <c r="BO289" s="253"/>
      <c r="BP289" s="198"/>
      <c r="BQ289" s="198"/>
      <c r="BR289" s="253"/>
      <c r="BS289" s="198"/>
      <c r="BT289" s="198"/>
      <c r="BU289" s="254"/>
      <c r="BV289" s="198"/>
      <c r="BW289" s="198"/>
      <c r="BX289" s="253"/>
      <c r="BY289" s="198"/>
      <c r="BZ289" s="198"/>
      <c r="CA289" s="253"/>
      <c r="CB289" s="198"/>
      <c r="CC289" s="198"/>
      <c r="CD289" s="253"/>
      <c r="CE289" s="198"/>
      <c r="CF289" s="198"/>
      <c r="CG289" s="253"/>
      <c r="CH289" s="198"/>
      <c r="CI289" s="198"/>
      <c r="CJ289" s="253"/>
      <c r="CK289" s="198"/>
      <c r="CL289" s="198"/>
      <c r="CM289" s="253"/>
      <c r="CN289" s="198"/>
      <c r="CO289" s="198"/>
      <c r="CP289" s="253"/>
      <c r="CQ289" s="198"/>
      <c r="CR289" s="198"/>
      <c r="CS289" s="253"/>
      <c r="CT289" s="198"/>
      <c r="CU289" s="198"/>
      <c r="CV289" s="253"/>
      <c r="CW289" s="198"/>
      <c r="CX289" s="198"/>
      <c r="CY289" s="521"/>
      <c r="CZ289" s="489"/>
      <c r="DA289" s="489"/>
      <c r="DB289" s="521"/>
      <c r="DC289" s="489"/>
      <c r="DD289" s="489"/>
      <c r="DE289" s="779"/>
      <c r="DF289" s="489"/>
      <c r="DG289" s="489"/>
      <c r="DH289" s="779"/>
      <c r="DI289" s="489"/>
      <c r="DJ289" s="489"/>
      <c r="DK289" s="690"/>
      <c r="DL289" s="489"/>
      <c r="DM289" s="489"/>
      <c r="DN289" s="690"/>
      <c r="DO289" s="489"/>
      <c r="DP289" s="489"/>
      <c r="DQ289" s="690"/>
      <c r="DR289" s="489"/>
      <c r="DS289" s="489"/>
      <c r="DT289" s="690"/>
      <c r="DU289" s="489"/>
      <c r="DV289" s="489"/>
      <c r="DW289" s="690"/>
      <c r="DX289" s="489"/>
      <c r="DY289" s="489"/>
      <c r="DZ289" s="690"/>
      <c r="EA289" s="489"/>
      <c r="EB289" s="489"/>
      <c r="EC289" s="690"/>
      <c r="ED289" s="489"/>
      <c r="EE289" s="489"/>
      <c r="EF289" s="690"/>
      <c r="EG289" s="489"/>
      <c r="EH289" s="489"/>
      <c r="EI289" s="690"/>
      <c r="EJ289" s="489"/>
      <c r="EK289" s="489"/>
      <c r="EL289" s="690"/>
      <c r="EM289" s="489"/>
      <c r="EN289" s="489"/>
      <c r="EO289" s="690"/>
      <c r="EP289" s="489"/>
      <c r="EQ289" s="489"/>
      <c r="ER289" s="690"/>
      <c r="ES289" s="489"/>
      <c r="ET289" s="489"/>
      <c r="EU289" s="690"/>
      <c r="EV289" s="489"/>
      <c r="EW289" s="489"/>
      <c r="EX289" s="690"/>
      <c r="EY289" s="489"/>
      <c r="EZ289" s="489"/>
      <c r="FA289" s="522"/>
      <c r="FB289" s="1871"/>
      <c r="FD289" s="404"/>
      <c r="FE289" s="404"/>
      <c r="FF289" s="404"/>
      <c r="FG289" s="422"/>
      <c r="FH289" s="404"/>
      <c r="FI289" s="397"/>
      <c r="FJ289" s="404"/>
      <c r="FK289" s="404"/>
      <c r="FL289" s="397"/>
      <c r="FM289" s="404"/>
      <c r="FN289" s="404"/>
      <c r="FO289" s="397"/>
    </row>
    <row r="290" spans="1:179" ht="13.35" customHeight="1">
      <c r="A290" s="760"/>
      <c r="C290" s="177" t="s">
        <v>379</v>
      </c>
      <c r="D290" s="250" t="s">
        <v>8</v>
      </c>
      <c r="E290" s="251"/>
      <c r="F290" s="251"/>
      <c r="G290" s="252"/>
      <c r="H290" s="251"/>
      <c r="I290" s="251"/>
      <c r="J290" s="252"/>
      <c r="K290" s="251"/>
      <c r="L290" s="251"/>
      <c r="M290" s="252"/>
      <c r="N290" s="251"/>
      <c r="O290" s="251"/>
      <c r="P290" s="252"/>
      <c r="Q290" s="251"/>
      <c r="R290" s="251"/>
      <c r="S290" s="252"/>
      <c r="T290" s="251"/>
      <c r="U290" s="251"/>
      <c r="V290" s="252"/>
      <c r="W290" s="251"/>
      <c r="X290" s="251"/>
      <c r="Y290" s="252"/>
      <c r="Z290" s="251"/>
      <c r="AA290" s="251"/>
      <c r="AB290" s="252"/>
      <c r="AC290" s="251"/>
      <c r="AD290" s="251"/>
      <c r="AE290" s="252"/>
      <c r="AF290" s="251"/>
      <c r="AG290" s="251"/>
      <c r="AH290" s="252"/>
      <c r="AI290" s="251"/>
      <c r="AJ290" s="251"/>
      <c r="AK290" s="252"/>
      <c r="AL290" s="251"/>
      <c r="AM290" s="251"/>
      <c r="AN290" s="252"/>
      <c r="AO290" s="251"/>
      <c r="AP290" s="251"/>
      <c r="AQ290" s="252"/>
      <c r="AR290" s="251"/>
      <c r="AS290" s="251"/>
      <c r="AT290" s="252"/>
      <c r="AU290" s="251"/>
      <c r="AV290" s="251"/>
      <c r="AW290" s="252"/>
      <c r="AX290" s="251"/>
      <c r="AY290" s="251"/>
      <c r="AZ290" s="252"/>
      <c r="BA290" s="251"/>
      <c r="BB290" s="251"/>
      <c r="BC290" s="252"/>
      <c r="BD290" s="251"/>
      <c r="BE290" s="251"/>
      <c r="BF290" s="252"/>
      <c r="BG290" s="251"/>
      <c r="BH290" s="251"/>
      <c r="BI290" s="252"/>
      <c r="BJ290" s="251"/>
      <c r="BK290" s="251"/>
      <c r="BL290" s="252"/>
      <c r="BM290" s="198"/>
      <c r="BN290" s="198"/>
      <c r="BO290" s="253"/>
      <c r="BP290" s="198"/>
      <c r="BQ290" s="198"/>
      <c r="BR290" s="253"/>
      <c r="BS290" s="198"/>
      <c r="BT290" s="198"/>
      <c r="BU290" s="254"/>
      <c r="BV290" s="198"/>
      <c r="BW290" s="198"/>
      <c r="BX290" s="253"/>
      <c r="BY290" s="198"/>
      <c r="BZ290" s="198"/>
      <c r="CA290" s="253"/>
      <c r="CB290" s="198"/>
      <c r="CC290" s="198"/>
      <c r="CD290" s="253"/>
      <c r="CE290" s="198"/>
      <c r="CF290" s="198"/>
      <c r="CG290" s="253"/>
      <c r="CH290" s="198"/>
      <c r="CI290" s="198"/>
      <c r="CJ290" s="253"/>
      <c r="CK290" s="198"/>
      <c r="CL290" s="198"/>
      <c r="CM290" s="253"/>
      <c r="CN290" s="198"/>
      <c r="CO290" s="198"/>
      <c r="CP290" s="253"/>
      <c r="CQ290" s="198"/>
      <c r="CR290" s="198"/>
      <c r="CS290" s="253"/>
      <c r="CT290" s="198"/>
      <c r="CU290" s="198"/>
      <c r="CV290" s="253"/>
      <c r="CW290" s="198"/>
      <c r="CX290" s="198"/>
      <c r="CY290" s="521"/>
      <c r="CZ290" s="489"/>
      <c r="DA290" s="489"/>
      <c r="DB290" s="521"/>
      <c r="DC290" s="489"/>
      <c r="DD290" s="489"/>
      <c r="DE290" s="779"/>
      <c r="DF290" s="489"/>
      <c r="DG290" s="489"/>
      <c r="DH290" s="779"/>
      <c r="DI290" s="646">
        <f>+DI296/DI293</f>
        <v>908</v>
      </c>
      <c r="DJ290" s="646">
        <f>+DJ296/DJ293</f>
        <v>824</v>
      </c>
      <c r="DK290" s="674">
        <f>+SUM(DI290:DJ290)</f>
        <v>1732</v>
      </c>
      <c r="DL290" s="646">
        <f>+DL296/DL293</f>
        <v>905.26315789473688</v>
      </c>
      <c r="DM290" s="646">
        <f>+DM296/DM293</f>
        <v>808.42105263157896</v>
      </c>
      <c r="DN290" s="674">
        <f>+SUM(DL290:DM290)</f>
        <v>1713.6842105263158</v>
      </c>
      <c r="DO290" s="646">
        <f>+DO296/DO293</f>
        <v>850.96952908587264</v>
      </c>
      <c r="DP290" s="646">
        <f>+DP296/DP293</f>
        <v>828.80886426592804</v>
      </c>
      <c r="DQ290" s="674">
        <f>+SUM(DO290:DP290)</f>
        <v>1679.7783933518008</v>
      </c>
      <c r="DR290" s="646">
        <f>+DR296/DR293</f>
        <v>956.40763959760909</v>
      </c>
      <c r="DS290" s="646">
        <f>+DS296/DS293</f>
        <v>1049.7157019973758</v>
      </c>
      <c r="DT290" s="674">
        <f>+SUM(DR290:DS290)</f>
        <v>2006.123341594985</v>
      </c>
      <c r="DU290" s="646">
        <f>+DU296/DU293</f>
        <v>1033.5662296589546</v>
      </c>
      <c r="DV290" s="646">
        <f>+DV296/DV293</f>
        <v>1062.2764027050368</v>
      </c>
      <c r="DW290" s="674">
        <f>+SUM(DU290:DV290)</f>
        <v>2095.8426323639915</v>
      </c>
      <c r="DX290" s="646">
        <f>+DX296/DX293</f>
        <v>1050.2524840788999</v>
      </c>
      <c r="DY290" s="646">
        <f>(1+DY291)*DV290</f>
        <v>1111.2944562733539</v>
      </c>
      <c r="DZ290" s="674">
        <f>SUM(DX290:DY290)</f>
        <v>2161.5469403522538</v>
      </c>
      <c r="EA290" s="646">
        <f>(1+EA291)*DX290</f>
        <v>1134.2726828052121</v>
      </c>
      <c r="EB290" s="646">
        <f>(1+EB291)*DY290</f>
        <v>1200.1980127752224</v>
      </c>
      <c r="EC290" s="674">
        <f>SUM(EA290:EB290)</f>
        <v>2334.4706955804345</v>
      </c>
      <c r="ED290" s="646">
        <f>(1+ED291)*EA290</f>
        <v>1225.014497429629</v>
      </c>
      <c r="EE290" s="646">
        <f>(1+EE291)*EB290</f>
        <v>1296.2138537972403</v>
      </c>
      <c r="EF290" s="674">
        <f>SUM(ED290:EE290)</f>
        <v>2521.2283512268696</v>
      </c>
      <c r="EG290" s="646">
        <f>(1+EG291)*ED290</f>
        <v>1323.0156572239994</v>
      </c>
      <c r="EH290" s="646">
        <f>(1+EH291)*EE290</f>
        <v>1399.9109621010195</v>
      </c>
      <c r="EI290" s="674">
        <f>SUM(EG290:EH290)</f>
        <v>2722.9266193250187</v>
      </c>
      <c r="EJ290" s="646">
        <f>(1+EJ291)*EG290</f>
        <v>1428.8569098019193</v>
      </c>
      <c r="EK290" s="646">
        <f>(1+EK291)*EH290</f>
        <v>1511.9038390691012</v>
      </c>
      <c r="EL290" s="674">
        <f>SUM(EJ290:EK290)</f>
        <v>2940.7607488710205</v>
      </c>
      <c r="EM290" s="646">
        <f>(1+EM291)*EJ290</f>
        <v>1543.1654625860729</v>
      </c>
      <c r="EN290" s="646">
        <f>(1+EN291)*EK290</f>
        <v>1632.8561461946294</v>
      </c>
      <c r="EO290" s="674">
        <f>SUM(EM290:EN290)</f>
        <v>3176.0216087807021</v>
      </c>
      <c r="EP290" s="646">
        <f>(1+EP291)*EM290</f>
        <v>1666.6186995929588</v>
      </c>
      <c r="EQ290" s="646">
        <f>(1+EQ291)*EN290</f>
        <v>1763.4846378902</v>
      </c>
      <c r="ER290" s="674">
        <f>SUM(EP290:EQ290)</f>
        <v>3430.1033374831586</v>
      </c>
      <c r="ES290" s="646">
        <f>(1+ES291)*EP290</f>
        <v>1799.9481955603956</v>
      </c>
      <c r="ET290" s="646">
        <f>(1+ET291)*EQ290</f>
        <v>1904.5634089214161</v>
      </c>
      <c r="EU290" s="674">
        <f>SUM(ES290:ET290)</f>
        <v>3704.5116044818114</v>
      </c>
      <c r="EV290" s="646">
        <f>(1+EV291)*ES290</f>
        <v>1943.9440512052274</v>
      </c>
      <c r="EW290" s="646">
        <f>(1+EW291)*ET290</f>
        <v>2056.9284816351296</v>
      </c>
      <c r="EX290" s="674">
        <f>SUM(EV290:EW290)</f>
        <v>4000.8725328403571</v>
      </c>
      <c r="EY290" s="646">
        <f>(1+EY291)*EV290</f>
        <v>2099.4595753016456</v>
      </c>
      <c r="EZ290" s="646">
        <f>(1+EZ291)*EW290</f>
        <v>2221.4827601659404</v>
      </c>
      <c r="FA290" s="776">
        <f>SUM(EY290:EZ290)</f>
        <v>4320.9423354675855</v>
      </c>
      <c r="FD290" s="404"/>
      <c r="FE290" s="404"/>
      <c r="FF290" s="404"/>
      <c r="FG290" s="404"/>
      <c r="FH290" s="417"/>
      <c r="FI290" s="397"/>
      <c r="FJ290" s="417"/>
      <c r="FK290" s="404"/>
      <c r="FL290" s="397"/>
      <c r="FM290" s="404"/>
      <c r="FN290" s="404"/>
      <c r="FO290" s="397"/>
    </row>
    <row r="291" spans="1:179" ht="13.35" customHeight="1">
      <c r="A291" s="760"/>
      <c r="B291" s="296"/>
      <c r="C291" s="177" t="s">
        <v>178</v>
      </c>
      <c r="D291" s="250" t="s">
        <v>507</v>
      </c>
      <c r="E291" s="251"/>
      <c r="F291" s="251"/>
      <c r="G291" s="252"/>
      <c r="H291" s="251"/>
      <c r="I291" s="251"/>
      <c r="J291" s="252"/>
      <c r="K291" s="251"/>
      <c r="L291" s="251"/>
      <c r="M291" s="252"/>
      <c r="N291" s="251"/>
      <c r="O291" s="251"/>
      <c r="P291" s="252"/>
      <c r="Q291" s="251"/>
      <c r="R291" s="251"/>
      <c r="S291" s="252"/>
      <c r="T291" s="251"/>
      <c r="U291" s="251"/>
      <c r="V291" s="252"/>
      <c r="W291" s="251"/>
      <c r="X291" s="251"/>
      <c r="Y291" s="252"/>
      <c r="Z291" s="251"/>
      <c r="AA291" s="251"/>
      <c r="AB291" s="252"/>
      <c r="AC291" s="251"/>
      <c r="AD291" s="251"/>
      <c r="AE291" s="252"/>
      <c r="AF291" s="251"/>
      <c r="AG291" s="251"/>
      <c r="AH291" s="252"/>
      <c r="AI291" s="251"/>
      <c r="AJ291" s="251"/>
      <c r="AK291" s="252"/>
      <c r="AL291" s="251"/>
      <c r="AM291" s="251"/>
      <c r="AN291" s="252"/>
      <c r="AO291" s="251"/>
      <c r="AP291" s="251"/>
      <c r="AQ291" s="252"/>
      <c r="AR291" s="251"/>
      <c r="AS291" s="251"/>
      <c r="AT291" s="252"/>
      <c r="AU291" s="251"/>
      <c r="AV291" s="251"/>
      <c r="AW291" s="252"/>
      <c r="AX291" s="251"/>
      <c r="AY291" s="251"/>
      <c r="AZ291" s="252"/>
      <c r="BA291" s="251"/>
      <c r="BB291" s="251"/>
      <c r="BC291" s="252"/>
      <c r="BD291" s="251"/>
      <c r="BE291" s="251"/>
      <c r="BF291" s="252"/>
      <c r="BG291" s="251"/>
      <c r="BH291" s="251"/>
      <c r="BI291" s="252"/>
      <c r="BJ291" s="251"/>
      <c r="BK291" s="251"/>
      <c r="BL291" s="252"/>
      <c r="BM291" s="282"/>
      <c r="BN291" s="282"/>
      <c r="BO291" s="415"/>
      <c r="BP291" s="259"/>
      <c r="BQ291" s="259"/>
      <c r="BR291" s="260"/>
      <c r="BS291" s="259"/>
      <c r="BT291" s="259"/>
      <c r="BU291" s="261"/>
      <c r="BV291" s="259"/>
      <c r="BW291" s="259"/>
      <c r="BX291" s="260"/>
      <c r="BY291" s="259"/>
      <c r="BZ291" s="259"/>
      <c r="CA291" s="260"/>
      <c r="CB291" s="259"/>
      <c r="CC291" s="259"/>
      <c r="CD291" s="260"/>
      <c r="CE291" s="259"/>
      <c r="CF291" s="259"/>
      <c r="CG291" s="260"/>
      <c r="CH291" s="259"/>
      <c r="CI291" s="259"/>
      <c r="CJ291" s="260"/>
      <c r="CK291" s="259"/>
      <c r="CL291" s="259"/>
      <c r="CM291" s="260"/>
      <c r="CN291" s="259"/>
      <c r="CO291" s="259"/>
      <c r="CP291" s="260"/>
      <c r="CQ291" s="259"/>
      <c r="CR291" s="259"/>
      <c r="CS291" s="260"/>
      <c r="CT291" s="259"/>
      <c r="CU291" s="259"/>
      <c r="CV291" s="260"/>
      <c r="CW291" s="259"/>
      <c r="CX291" s="259"/>
      <c r="CY291" s="334"/>
      <c r="CZ291" s="333"/>
      <c r="DA291" s="333"/>
      <c r="DB291" s="334"/>
      <c r="DC291" s="333"/>
      <c r="DD291" s="333"/>
      <c r="DE291" s="788"/>
      <c r="DF291" s="333"/>
      <c r="DG291" s="333"/>
      <c r="DH291" s="788"/>
      <c r="DI291" s="334"/>
      <c r="DJ291" s="334"/>
      <c r="DK291" s="700"/>
      <c r="DL291" s="334">
        <f>+DL290/DI290-1</f>
        <v>-3.0141432877347496E-3</v>
      </c>
      <c r="DM291" s="334">
        <f t="shared" ref="DM291:DU291" si="312">+DM290/DJ290-1</f>
        <v>-1.8906489524782799E-2</v>
      </c>
      <c r="DN291" s="700">
        <f t="shared" si="312"/>
        <v>-1.0574936185729911E-2</v>
      </c>
      <c r="DO291" s="334">
        <f t="shared" si="312"/>
        <v>-5.9975520195838405E-2</v>
      </c>
      <c r="DP291" s="334">
        <f t="shared" si="312"/>
        <v>2.5219298245614086E-2</v>
      </c>
      <c r="DQ291" s="700">
        <f t="shared" si="312"/>
        <v>-1.9785335574809104E-2</v>
      </c>
      <c r="DR291" s="523">
        <f t="shared" si="312"/>
        <v>0.12390350877192979</v>
      </c>
      <c r="DS291" s="334">
        <f t="shared" si="312"/>
        <v>0.26653532226287657</v>
      </c>
      <c r="DT291" s="700">
        <f t="shared" si="312"/>
        <v>0.19427857242049718</v>
      </c>
      <c r="DU291" s="523">
        <f t="shared" si="312"/>
        <v>8.0675422138836828E-2</v>
      </c>
      <c r="DV291" s="334">
        <f>+DV290/DS290-1</f>
        <v>1.1965811965812145E-2</v>
      </c>
      <c r="DW291" s="700">
        <f>+DW290/DT290-1</f>
        <v>4.4722719141323752E-2</v>
      </c>
      <c r="DX291" s="523">
        <f t="shared" ref="DX291" si="313">+DX290/DU290-1</f>
        <v>1.6144349477682951E-2</v>
      </c>
      <c r="DY291" s="1905">
        <f>DX291+DY3</f>
        <v>4.614434947768295E-2</v>
      </c>
      <c r="DZ291" s="700">
        <f>DZ290/DW290-1</f>
        <v>3.1349828929737811E-2</v>
      </c>
      <c r="EA291" s="1855">
        <v>0.08</v>
      </c>
      <c r="EB291" s="334">
        <f>EA291</f>
        <v>0.08</v>
      </c>
      <c r="EC291" s="700">
        <f>EC290/DZ290-1</f>
        <v>8.0000000000000071E-2</v>
      </c>
      <c r="ED291" s="334">
        <f>EA291</f>
        <v>0.08</v>
      </c>
      <c r="EE291" s="334">
        <f>ED291</f>
        <v>0.08</v>
      </c>
      <c r="EF291" s="700">
        <f>EF290/EC290-1</f>
        <v>8.0000000000000071E-2</v>
      </c>
      <c r="EG291" s="334">
        <f>ED291</f>
        <v>0.08</v>
      </c>
      <c r="EH291" s="334">
        <f>EG291</f>
        <v>0.08</v>
      </c>
      <c r="EI291" s="700">
        <f>EI290/EF290-1</f>
        <v>7.9999999999999849E-2</v>
      </c>
      <c r="EJ291" s="334">
        <f>EG291</f>
        <v>0.08</v>
      </c>
      <c r="EK291" s="334">
        <f>EJ291</f>
        <v>0.08</v>
      </c>
      <c r="EL291" s="700">
        <f>EL290/EI290-1</f>
        <v>8.0000000000000071E-2</v>
      </c>
      <c r="EM291" s="334">
        <f>EJ291</f>
        <v>0.08</v>
      </c>
      <c r="EN291" s="334">
        <f>EM291</f>
        <v>0.08</v>
      </c>
      <c r="EO291" s="700">
        <f>EO290/EL290-1</f>
        <v>8.0000000000000071E-2</v>
      </c>
      <c r="EP291" s="334">
        <f>EM291</f>
        <v>0.08</v>
      </c>
      <c r="EQ291" s="334">
        <f>EP291</f>
        <v>0.08</v>
      </c>
      <c r="ER291" s="700">
        <f>ER290/EO290-1</f>
        <v>8.0000000000000071E-2</v>
      </c>
      <c r="ES291" s="334">
        <f>EP291</f>
        <v>0.08</v>
      </c>
      <c r="ET291" s="334">
        <f>ES291</f>
        <v>0.08</v>
      </c>
      <c r="EU291" s="700">
        <f>EU290/ER290-1</f>
        <v>8.0000000000000071E-2</v>
      </c>
      <c r="EV291" s="334">
        <f>ES291</f>
        <v>0.08</v>
      </c>
      <c r="EW291" s="334">
        <f>EV291</f>
        <v>0.08</v>
      </c>
      <c r="EX291" s="700">
        <f>EX290/EU290-1</f>
        <v>8.0000000000000293E-2</v>
      </c>
      <c r="EY291" s="334">
        <f>EV291</f>
        <v>0.08</v>
      </c>
      <c r="EZ291" s="334">
        <f>EY291</f>
        <v>0.08</v>
      </c>
      <c r="FA291" s="523">
        <f>FA290/EX290-1</f>
        <v>8.0000000000000071E-2</v>
      </c>
      <c r="FC291" s="349"/>
      <c r="FD291" s="426"/>
      <c r="FE291" s="426"/>
      <c r="FF291" s="426"/>
      <c r="FG291" s="426"/>
      <c r="FH291" s="427"/>
      <c r="FI291" s="421"/>
      <c r="FJ291" s="427"/>
      <c r="FK291" s="428"/>
      <c r="FL291" s="429"/>
      <c r="FM291" s="428"/>
      <c r="FN291" s="428"/>
      <c r="FO291" s="429"/>
    </row>
    <row r="292" spans="1:179" ht="13.35" customHeight="1">
      <c r="A292" s="760"/>
      <c r="D292" s="250"/>
      <c r="E292" s="251"/>
      <c r="F292" s="251"/>
      <c r="G292" s="252"/>
      <c r="H292" s="251"/>
      <c r="I292" s="251"/>
      <c r="J292" s="252"/>
      <c r="K292" s="251"/>
      <c r="L292" s="251"/>
      <c r="M292" s="252"/>
      <c r="N292" s="251"/>
      <c r="O292" s="251"/>
      <c r="P292" s="252"/>
      <c r="Q292" s="251"/>
      <c r="R292" s="251"/>
      <c r="S292" s="252"/>
      <c r="T292" s="251"/>
      <c r="U292" s="251"/>
      <c r="V292" s="252"/>
      <c r="W292" s="251"/>
      <c r="X292" s="251"/>
      <c r="Y292" s="252"/>
      <c r="Z292" s="251"/>
      <c r="AA292" s="251"/>
      <c r="AB292" s="252"/>
      <c r="AC292" s="251"/>
      <c r="AD292" s="251"/>
      <c r="AE292" s="252"/>
      <c r="AF292" s="251"/>
      <c r="AG292" s="251"/>
      <c r="AH292" s="252"/>
      <c r="AI292" s="251"/>
      <c r="AJ292" s="251"/>
      <c r="AK292" s="252"/>
      <c r="AL292" s="251"/>
      <c r="AM292" s="251"/>
      <c r="AN292" s="252"/>
      <c r="AO292" s="251"/>
      <c r="AP292" s="251"/>
      <c r="AQ292" s="252"/>
      <c r="AR292" s="251"/>
      <c r="AS292" s="251"/>
      <c r="AT292" s="252"/>
      <c r="AU292" s="251"/>
      <c r="AV292" s="251"/>
      <c r="AW292" s="252"/>
      <c r="AX292" s="251"/>
      <c r="AY292" s="251"/>
      <c r="AZ292" s="252"/>
      <c r="BA292" s="251"/>
      <c r="BB292" s="251"/>
      <c r="BC292" s="252"/>
      <c r="BD292" s="251"/>
      <c r="BE292" s="251"/>
      <c r="BF292" s="252"/>
      <c r="BG292" s="251"/>
      <c r="BH292" s="251"/>
      <c r="BI292" s="252"/>
      <c r="BJ292" s="251"/>
      <c r="BK292" s="251"/>
      <c r="BL292" s="252"/>
      <c r="BM292" s="282"/>
      <c r="BN292" s="282"/>
      <c r="BO292" s="415"/>
      <c r="BP292" s="264"/>
      <c r="BQ292" s="264"/>
      <c r="BR292" s="82"/>
      <c r="BS292" s="264"/>
      <c r="BT292" s="264"/>
      <c r="BU292" s="266"/>
      <c r="BV292" s="282"/>
      <c r="BW292" s="282"/>
      <c r="BX292" s="415"/>
      <c r="BY292" s="264"/>
      <c r="BZ292" s="264"/>
      <c r="CA292" s="82"/>
      <c r="CB292" s="264"/>
      <c r="CC292" s="264"/>
      <c r="CD292" s="82"/>
      <c r="CE292" s="264"/>
      <c r="CF292" s="264"/>
      <c r="CG292" s="82"/>
      <c r="CH292" s="264"/>
      <c r="CI292" s="264"/>
      <c r="CJ292" s="82"/>
      <c r="CK292" s="264"/>
      <c r="CL292" s="264"/>
      <c r="CM292" s="82"/>
      <c r="CN292" s="264"/>
      <c r="CO292" s="264"/>
      <c r="CP292" s="82"/>
      <c r="CQ292" s="264"/>
      <c r="CR292" s="264"/>
      <c r="CS292" s="82"/>
      <c r="CT292" s="264"/>
      <c r="CU292" s="264"/>
      <c r="CV292" s="82"/>
      <c r="CW292" s="264"/>
      <c r="CX292" s="264"/>
      <c r="CY292" s="562"/>
      <c r="CZ292" s="526"/>
      <c r="DA292" s="526"/>
      <c r="DB292" s="562"/>
      <c r="DC292" s="526"/>
      <c r="DD292" s="526"/>
      <c r="DE292" s="796"/>
      <c r="DF292" s="526"/>
      <c r="DG292" s="526"/>
      <c r="DH292" s="796"/>
      <c r="DI292" s="562"/>
      <c r="DJ292" s="562"/>
      <c r="DK292" s="678"/>
      <c r="DL292" s="562"/>
      <c r="DM292" s="562"/>
      <c r="DN292" s="678"/>
      <c r="DO292" s="562"/>
      <c r="DP292" s="562"/>
      <c r="DQ292" s="678"/>
      <c r="DR292" s="562"/>
      <c r="DS292" s="562"/>
      <c r="DT292" s="678"/>
      <c r="DU292" s="562"/>
      <c r="DV292" s="562"/>
      <c r="DW292" s="678"/>
      <c r="DX292" s="562"/>
      <c r="DY292" s="562"/>
      <c r="DZ292" s="678"/>
      <c r="EA292" s="562"/>
      <c r="EB292" s="562"/>
      <c r="EC292" s="678"/>
      <c r="ED292" s="562"/>
      <c r="EE292" s="562"/>
      <c r="EF292" s="678"/>
      <c r="EG292" s="562"/>
      <c r="EH292" s="562"/>
      <c r="EI292" s="678"/>
      <c r="EJ292" s="562"/>
      <c r="EK292" s="562"/>
      <c r="EL292" s="678"/>
      <c r="EM292" s="562"/>
      <c r="EN292" s="562"/>
      <c r="EO292" s="678"/>
      <c r="EP292" s="562"/>
      <c r="EQ292" s="562"/>
      <c r="ER292" s="678"/>
      <c r="ES292" s="562"/>
      <c r="ET292" s="562"/>
      <c r="EU292" s="678"/>
      <c r="EV292" s="562"/>
      <c r="EW292" s="562"/>
      <c r="EX292" s="678"/>
      <c r="EY292" s="562"/>
      <c r="EZ292" s="562"/>
      <c r="FA292" s="563"/>
      <c r="FD292" s="404"/>
      <c r="FE292" s="404"/>
      <c r="FF292" s="404"/>
      <c r="FG292" s="404"/>
      <c r="FH292" s="430"/>
      <c r="FI292" s="431"/>
      <c r="FJ292" s="426"/>
      <c r="FK292" s="426"/>
      <c r="FL292" s="431"/>
      <c r="FM292" s="426"/>
      <c r="FN292" s="426"/>
      <c r="FO292" s="431"/>
    </row>
    <row r="293" spans="1:179" ht="13.35" customHeight="1">
      <c r="A293" s="760"/>
      <c r="C293" s="177" t="s">
        <v>522</v>
      </c>
      <c r="D293" s="294" t="s">
        <v>459</v>
      </c>
      <c r="E293" s="251"/>
      <c r="F293" s="251"/>
      <c r="G293" s="252"/>
      <c r="H293" s="251"/>
      <c r="I293" s="251"/>
      <c r="J293" s="252"/>
      <c r="K293" s="251"/>
      <c r="L293" s="251"/>
      <c r="M293" s="252"/>
      <c r="N293" s="251"/>
      <c r="O293" s="251"/>
      <c r="P293" s="252"/>
      <c r="Q293" s="251"/>
      <c r="R293" s="251"/>
      <c r="S293" s="252"/>
      <c r="T293" s="251"/>
      <c r="U293" s="251"/>
      <c r="V293" s="252"/>
      <c r="W293" s="251"/>
      <c r="X293" s="251"/>
      <c r="Y293" s="252"/>
      <c r="Z293" s="251"/>
      <c r="AA293" s="251"/>
      <c r="AB293" s="252"/>
      <c r="AC293" s="251"/>
      <c r="AD293" s="251"/>
      <c r="AE293" s="252"/>
      <c r="AF293" s="251"/>
      <c r="AG293" s="251"/>
      <c r="AH293" s="252"/>
      <c r="AI293" s="251"/>
      <c r="AJ293" s="251"/>
      <c r="AK293" s="252"/>
      <c r="AL293" s="251"/>
      <c r="AM293" s="251"/>
      <c r="AN293" s="252"/>
      <c r="AO293" s="251"/>
      <c r="AP293" s="251"/>
      <c r="AQ293" s="252"/>
      <c r="AR293" s="251"/>
      <c r="AS293" s="251"/>
      <c r="AT293" s="252"/>
      <c r="AU293" s="251"/>
      <c r="AV293" s="251"/>
      <c r="AW293" s="252"/>
      <c r="AX293" s="251"/>
      <c r="AY293" s="251"/>
      <c r="AZ293" s="252"/>
      <c r="BA293" s="251"/>
      <c r="BB293" s="251"/>
      <c r="BC293" s="252"/>
      <c r="BD293" s="251"/>
      <c r="BE293" s="251"/>
      <c r="BF293" s="252"/>
      <c r="BG293" s="251"/>
      <c r="BH293" s="251"/>
      <c r="BI293" s="252"/>
      <c r="BJ293" s="251"/>
      <c r="BK293" s="251"/>
      <c r="BL293" s="252"/>
      <c r="BM293" s="282"/>
      <c r="BN293" s="282"/>
      <c r="BO293" s="132"/>
      <c r="BP293" s="282"/>
      <c r="BQ293" s="282"/>
      <c r="BR293" s="132"/>
      <c r="BS293" s="282"/>
      <c r="BT293" s="282"/>
      <c r="BU293" s="283"/>
      <c r="BV293" s="282"/>
      <c r="BW293" s="282"/>
      <c r="BX293" s="132"/>
      <c r="BY293" s="282"/>
      <c r="BZ293" s="282"/>
      <c r="CA293" s="132"/>
      <c r="CB293" s="282"/>
      <c r="CC293" s="282"/>
      <c r="CD293" s="132"/>
      <c r="CE293" s="282"/>
      <c r="CF293" s="282"/>
      <c r="CG293" s="132"/>
      <c r="CH293" s="282"/>
      <c r="CI293" s="282"/>
      <c r="CJ293" s="132"/>
      <c r="CK293" s="282"/>
      <c r="CL293" s="282"/>
      <c r="CM293" s="132"/>
      <c r="CN293" s="282"/>
      <c r="CO293" s="282"/>
      <c r="CP293" s="132"/>
      <c r="CQ293" s="282"/>
      <c r="CR293" s="282"/>
      <c r="CS293" s="132"/>
      <c r="CT293" s="282"/>
      <c r="CU293" s="282"/>
      <c r="CV293" s="132"/>
      <c r="CW293" s="282"/>
      <c r="CX293" s="282"/>
      <c r="CY293" s="603"/>
      <c r="CZ293" s="599"/>
      <c r="DA293" s="599"/>
      <c r="DB293" s="603"/>
      <c r="DC293" s="599"/>
      <c r="DD293" s="599"/>
      <c r="DE293" s="803"/>
      <c r="DF293" s="599"/>
      <c r="DG293" s="599"/>
      <c r="DH293" s="803"/>
      <c r="DI293" s="603">
        <v>0.25</v>
      </c>
      <c r="DJ293" s="603">
        <f>+DI293</f>
        <v>0.25</v>
      </c>
      <c r="DK293" s="715">
        <f>+AVERAGE(DI293:DJ293)</f>
        <v>0.25</v>
      </c>
      <c r="DL293" s="603">
        <f>(1+DL294)*DI293</f>
        <v>0.23749999999999999</v>
      </c>
      <c r="DM293" s="603">
        <f>(1+DM294)*DJ293</f>
        <v>0.23749999999999999</v>
      </c>
      <c r="DN293" s="715">
        <f>DN296/DN290</f>
        <v>0.23749999999999999</v>
      </c>
      <c r="DO293" s="603">
        <f>(1+DO294)*DL293</f>
        <v>0.22562499999999999</v>
      </c>
      <c r="DP293" s="603">
        <f>(1+DP294)*DM293</f>
        <v>0.22562499999999999</v>
      </c>
      <c r="DQ293" s="715">
        <f>DQ296/DQ290</f>
        <v>0.22562499999999996</v>
      </c>
      <c r="DR293" s="603">
        <f>(1+DR294)*DO293</f>
        <v>0.21434374999999997</v>
      </c>
      <c r="DS293" s="603">
        <f>(1+DS294)*DP293</f>
        <v>0.21434374999999997</v>
      </c>
      <c r="DT293" s="715">
        <f>DT296/DT290</f>
        <v>0.21434374999999997</v>
      </c>
      <c r="DU293" s="603">
        <f>(1+DU294)*DR293</f>
        <v>0.20898515624999997</v>
      </c>
      <c r="DV293" s="603">
        <f>(1+DV294)*DS293</f>
        <v>0.20898515624999997</v>
      </c>
      <c r="DW293" s="715">
        <f>DW296/DW290</f>
        <v>0.20898515624999997</v>
      </c>
      <c r="DX293" s="603">
        <f>(1+DX294)*DU293</f>
        <v>0.20376052734374997</v>
      </c>
      <c r="DY293" s="603">
        <f>(1+DY294)*DV293</f>
        <v>0.19853589843749997</v>
      </c>
      <c r="DZ293" s="715">
        <f>DZ296/DZ290</f>
        <v>0.20107444126751839</v>
      </c>
      <c r="EA293" s="603">
        <f>(1+EA294)*DX293</f>
        <v>0.19764771152343746</v>
      </c>
      <c r="EB293" s="603">
        <f>(1+EB294)*DY293</f>
        <v>0.19257982148437497</v>
      </c>
      <c r="EC293" s="715">
        <f>EC296/EC290</f>
        <v>0.19504220802949282</v>
      </c>
      <c r="ED293" s="603">
        <f>(1+ED294)*EA293</f>
        <v>0.19171828017773435</v>
      </c>
      <c r="EE293" s="603">
        <f>(1+EE294)*EB293</f>
        <v>0.18680242683984372</v>
      </c>
      <c r="EF293" s="715">
        <f>EF296/EF290</f>
        <v>0.18919094178860804</v>
      </c>
      <c r="EG293" s="603">
        <f>(1+EG294)*ED293</f>
        <v>0.18596673177240231</v>
      </c>
      <c r="EH293" s="603">
        <f>(1+EH294)*EE293</f>
        <v>0.1811983540346484</v>
      </c>
      <c r="EI293" s="715">
        <f>EI296/EI290</f>
        <v>0.18351521353494982</v>
      </c>
      <c r="EJ293" s="603">
        <f>(1+EJ294)*EG293</f>
        <v>0.18038772981923024</v>
      </c>
      <c r="EK293" s="603">
        <f>(1+EK294)*EH293</f>
        <v>0.17576240341360894</v>
      </c>
      <c r="EL293" s="715">
        <f>EL296/EL290</f>
        <v>0.17800975712890132</v>
      </c>
      <c r="EM293" s="603">
        <f>(1+EM294)*EJ293</f>
        <v>0.17497609792465332</v>
      </c>
      <c r="EN293" s="603">
        <f>(1+EN294)*EK293</f>
        <v>0.17048953131120068</v>
      </c>
      <c r="EO293" s="715">
        <f>EO296/EO290</f>
        <v>0.17266946441503428</v>
      </c>
      <c r="EP293" s="603">
        <f>(1+EP294)*EM293</f>
        <v>0.16972681498691372</v>
      </c>
      <c r="EQ293" s="603">
        <f>(1+EQ294)*EN293</f>
        <v>0.16537484537186464</v>
      </c>
      <c r="ER293" s="715">
        <f>ER296/ER290</f>
        <v>0.16748938048258322</v>
      </c>
      <c r="ES293" s="603">
        <f>(1+ES294)*EP293</f>
        <v>0.16463501053730631</v>
      </c>
      <c r="ET293" s="603">
        <f>(1+ET294)*EQ293</f>
        <v>0.1604136000107087</v>
      </c>
      <c r="EU293" s="715">
        <f>EU296/EU290</f>
        <v>0.16246469906810573</v>
      </c>
      <c r="EV293" s="603">
        <f>(1+EV294)*ES293</f>
        <v>0.15969596022118712</v>
      </c>
      <c r="EW293" s="603">
        <f>(1+EW294)*ET293</f>
        <v>0.15560119201038744</v>
      </c>
      <c r="EX293" s="715">
        <f>EX296/EX290</f>
        <v>0.15759075809606254</v>
      </c>
      <c r="EY293" s="603">
        <f>(1+EY294)*EV293</f>
        <v>0.1549050814145515</v>
      </c>
      <c r="EZ293" s="603">
        <f>(1+EZ294)*EW293</f>
        <v>0.15093315625007581</v>
      </c>
      <c r="FA293" s="604">
        <f>FA296/FA290</f>
        <v>0.15286303535318069</v>
      </c>
      <c r="FC293" s="432"/>
      <c r="FD293" s="422"/>
      <c r="FE293" s="422"/>
      <c r="FF293" s="421"/>
      <c r="FG293" s="422"/>
      <c r="FH293" s="422"/>
      <c r="FI293" s="421"/>
      <c r="FJ293" s="420"/>
      <c r="FK293" s="420"/>
      <c r="FL293" s="421"/>
      <c r="FM293" s="420"/>
      <c r="FN293" s="420"/>
      <c r="FO293" s="421"/>
    </row>
    <row r="294" spans="1:179" ht="13.35" customHeight="1">
      <c r="A294" s="760"/>
      <c r="B294" s="296"/>
      <c r="C294" s="177" t="s">
        <v>178</v>
      </c>
      <c r="D294" s="294" t="s">
        <v>507</v>
      </c>
      <c r="E294" s="251"/>
      <c r="F294" s="251"/>
      <c r="G294" s="252"/>
      <c r="H294" s="251"/>
      <c r="I294" s="251"/>
      <c r="J294" s="252"/>
      <c r="K294" s="251"/>
      <c r="L294" s="251"/>
      <c r="M294" s="252"/>
      <c r="N294" s="251"/>
      <c r="O294" s="251"/>
      <c r="P294" s="252"/>
      <c r="Q294" s="251"/>
      <c r="R294" s="251"/>
      <c r="S294" s="252"/>
      <c r="T294" s="251"/>
      <c r="U294" s="251"/>
      <c r="V294" s="252"/>
      <c r="W294" s="251"/>
      <c r="X294" s="251"/>
      <c r="Y294" s="252"/>
      <c r="Z294" s="251"/>
      <c r="AA294" s="251"/>
      <c r="AB294" s="252"/>
      <c r="AC294" s="251"/>
      <c r="AD294" s="251"/>
      <c r="AE294" s="252"/>
      <c r="AF294" s="251"/>
      <c r="AG294" s="251"/>
      <c r="AH294" s="252"/>
      <c r="AI294" s="251"/>
      <c r="AJ294" s="251"/>
      <c r="AK294" s="252"/>
      <c r="AL294" s="251"/>
      <c r="AM294" s="251"/>
      <c r="AN294" s="252"/>
      <c r="AO294" s="251"/>
      <c r="AP294" s="251"/>
      <c r="AQ294" s="252"/>
      <c r="AR294" s="251"/>
      <c r="AS294" s="251"/>
      <c r="AT294" s="252"/>
      <c r="AU294" s="251"/>
      <c r="AV294" s="251"/>
      <c r="AW294" s="252"/>
      <c r="AX294" s="251"/>
      <c r="AY294" s="251"/>
      <c r="AZ294" s="252"/>
      <c r="BA294" s="251"/>
      <c r="BB294" s="251"/>
      <c r="BC294" s="252"/>
      <c r="BD294" s="251"/>
      <c r="BE294" s="251"/>
      <c r="BF294" s="252"/>
      <c r="BG294" s="251"/>
      <c r="BH294" s="251"/>
      <c r="BI294" s="252"/>
      <c r="BJ294" s="251"/>
      <c r="BK294" s="251"/>
      <c r="BL294" s="252"/>
      <c r="BM294" s="282"/>
      <c r="BN294" s="282"/>
      <c r="BO294" s="415"/>
      <c r="BP294" s="259"/>
      <c r="BQ294" s="259"/>
      <c r="BR294" s="260"/>
      <c r="BS294" s="259"/>
      <c r="BT294" s="259"/>
      <c r="BU294" s="261"/>
      <c r="BV294" s="259"/>
      <c r="BW294" s="259"/>
      <c r="BX294" s="260"/>
      <c r="BY294" s="259"/>
      <c r="BZ294" s="259"/>
      <c r="CA294" s="260"/>
      <c r="CB294" s="259"/>
      <c r="CC294" s="259"/>
      <c r="CD294" s="260"/>
      <c r="CE294" s="259"/>
      <c r="CF294" s="259"/>
      <c r="CG294" s="260"/>
      <c r="CH294" s="259"/>
      <c r="CI294" s="259"/>
      <c r="CJ294" s="260"/>
      <c r="CK294" s="259"/>
      <c r="CL294" s="259"/>
      <c r="CM294" s="418"/>
      <c r="CN294" s="259"/>
      <c r="CO294" s="259"/>
      <c r="CP294" s="418"/>
      <c r="CQ294" s="259"/>
      <c r="CR294" s="259"/>
      <c r="CS294" s="418"/>
      <c r="CT294" s="259"/>
      <c r="CU294" s="259"/>
      <c r="CV294" s="418"/>
      <c r="CW294" s="259"/>
      <c r="CX294" s="259"/>
      <c r="CY294" s="601"/>
      <c r="CZ294" s="333"/>
      <c r="DA294" s="333"/>
      <c r="DB294" s="333"/>
      <c r="DC294" s="333"/>
      <c r="DD294" s="333"/>
      <c r="DE294" s="788"/>
      <c r="DF294" s="333"/>
      <c r="DG294" s="333"/>
      <c r="DH294" s="788"/>
      <c r="DI294" s="333"/>
      <c r="DJ294" s="333"/>
      <c r="DK294" s="700"/>
      <c r="DL294" s="927">
        <v>-0.05</v>
      </c>
      <c r="DM294" s="927">
        <f>+DL294</f>
        <v>-0.05</v>
      </c>
      <c r="DN294" s="928">
        <f>DN293/DK293-1</f>
        <v>-5.0000000000000044E-2</v>
      </c>
      <c r="DO294" s="927">
        <v>-0.05</v>
      </c>
      <c r="DP294" s="927">
        <f>+DO294</f>
        <v>-0.05</v>
      </c>
      <c r="DQ294" s="928">
        <f>DQ293/DN293-1</f>
        <v>-5.0000000000000155E-2</v>
      </c>
      <c r="DR294" s="927">
        <v>-0.05</v>
      </c>
      <c r="DS294" s="927">
        <f>+DR294</f>
        <v>-0.05</v>
      </c>
      <c r="DT294" s="928">
        <f>DT293/DQ293-1</f>
        <v>-4.9999999999999933E-2</v>
      </c>
      <c r="DU294" s="853">
        <v>-2.5000000000000001E-2</v>
      </c>
      <c r="DV294" s="927">
        <f>+DU294</f>
        <v>-2.5000000000000001E-2</v>
      </c>
      <c r="DW294" s="928">
        <f>DW293/DT293-1</f>
        <v>-2.5000000000000022E-2</v>
      </c>
      <c r="DX294" s="853">
        <v>-2.5000000000000001E-2</v>
      </c>
      <c r="DY294" s="853">
        <v>-0.05</v>
      </c>
      <c r="DZ294" s="842">
        <f>DZ293/DW293-1</f>
        <v>-3.7852999344213378E-2</v>
      </c>
      <c r="EA294" s="853">
        <v>-0.03</v>
      </c>
      <c r="EB294" s="848">
        <f>+EA294</f>
        <v>-0.03</v>
      </c>
      <c r="EC294" s="842">
        <f>EC293/DZ293-1</f>
        <v>-3.0000000000000138E-2</v>
      </c>
      <c r="ED294" s="848">
        <f>+EB294</f>
        <v>-0.03</v>
      </c>
      <c r="EE294" s="848">
        <f>+ED294</f>
        <v>-0.03</v>
      </c>
      <c r="EF294" s="842">
        <f>EF293/EC293-1</f>
        <v>-2.9999999999999916E-2</v>
      </c>
      <c r="EG294" s="848">
        <f>+EE294</f>
        <v>-0.03</v>
      </c>
      <c r="EH294" s="848">
        <f>+EG294</f>
        <v>-0.03</v>
      </c>
      <c r="EI294" s="842">
        <f>EI293/EF293-1</f>
        <v>-2.9999999999999916E-2</v>
      </c>
      <c r="EJ294" s="848">
        <f>+EH294</f>
        <v>-0.03</v>
      </c>
      <c r="EK294" s="848">
        <f>+EJ294</f>
        <v>-0.03</v>
      </c>
      <c r="EL294" s="842">
        <f>EL293/EI293-1</f>
        <v>-3.0000000000000027E-2</v>
      </c>
      <c r="EM294" s="848">
        <f>+EK294</f>
        <v>-0.03</v>
      </c>
      <c r="EN294" s="848">
        <f>+EM294</f>
        <v>-0.03</v>
      </c>
      <c r="EO294" s="842">
        <f>EO293/EL293-1</f>
        <v>-3.0000000000000027E-2</v>
      </c>
      <c r="EP294" s="848">
        <f>+EN294</f>
        <v>-0.03</v>
      </c>
      <c r="EQ294" s="848">
        <f>+EP294</f>
        <v>-0.03</v>
      </c>
      <c r="ER294" s="842">
        <f>ER293/EO293-1</f>
        <v>-3.0000000000000249E-2</v>
      </c>
      <c r="ES294" s="848">
        <f>+EQ294</f>
        <v>-0.03</v>
      </c>
      <c r="ET294" s="848">
        <f>+ES294</f>
        <v>-0.03</v>
      </c>
      <c r="EU294" s="842">
        <f>EU293/ER293-1</f>
        <v>-2.9999999999999916E-2</v>
      </c>
      <c r="EV294" s="848">
        <f>+ET294</f>
        <v>-0.03</v>
      </c>
      <c r="EW294" s="848">
        <f>+EV294</f>
        <v>-0.03</v>
      </c>
      <c r="EX294" s="842">
        <f>EX293/EU293-1</f>
        <v>-3.0000000000000138E-2</v>
      </c>
      <c r="EY294" s="848">
        <f>+EW294</f>
        <v>-0.03</v>
      </c>
      <c r="EZ294" s="848">
        <f>+EY294</f>
        <v>-0.03</v>
      </c>
      <c r="FA294" s="849">
        <f>FA293/EX293-1</f>
        <v>-2.9999999999999916E-2</v>
      </c>
      <c r="FC294" s="349"/>
      <c r="FD294" s="422"/>
      <c r="FE294" s="422"/>
      <c r="FF294" s="421"/>
      <c r="FG294" s="422"/>
      <c r="FH294" s="422"/>
      <c r="FI294" s="421"/>
      <c r="FJ294" s="420"/>
      <c r="FK294" s="420"/>
      <c r="FL294" s="421"/>
      <c r="FM294" s="420"/>
      <c r="FN294" s="420"/>
      <c r="FO294" s="421"/>
    </row>
    <row r="295" spans="1:179" ht="13.35" customHeight="1">
      <c r="A295" s="760"/>
      <c r="D295" s="250"/>
      <c r="E295" s="251"/>
      <c r="F295" s="251"/>
      <c r="G295" s="252"/>
      <c r="H295" s="251"/>
      <c r="I295" s="251"/>
      <c r="J295" s="252"/>
      <c r="K295" s="251"/>
      <c r="L295" s="251"/>
      <c r="M295" s="252"/>
      <c r="N295" s="251"/>
      <c r="O295" s="251"/>
      <c r="P295" s="252"/>
      <c r="Q295" s="251"/>
      <c r="R295" s="251"/>
      <c r="S295" s="252"/>
      <c r="T295" s="251"/>
      <c r="U295" s="251"/>
      <c r="V295" s="252"/>
      <c r="W295" s="251"/>
      <c r="X295" s="251"/>
      <c r="Y295" s="252"/>
      <c r="Z295" s="251"/>
      <c r="AA295" s="251"/>
      <c r="AB295" s="252"/>
      <c r="AC295" s="251"/>
      <c r="AD295" s="251"/>
      <c r="AE295" s="252"/>
      <c r="AF295" s="251"/>
      <c r="AG295" s="251"/>
      <c r="AH295" s="252"/>
      <c r="AI295" s="251"/>
      <c r="AJ295" s="251"/>
      <c r="AK295" s="252"/>
      <c r="AL295" s="251"/>
      <c r="AM295" s="251"/>
      <c r="AN295" s="252"/>
      <c r="AO295" s="251"/>
      <c r="AP295" s="251"/>
      <c r="AQ295" s="252"/>
      <c r="AR295" s="251"/>
      <c r="AS295" s="251"/>
      <c r="AT295" s="252"/>
      <c r="AU295" s="251"/>
      <c r="AV295" s="251"/>
      <c r="AW295" s="252"/>
      <c r="AX295" s="251"/>
      <c r="AY295" s="251"/>
      <c r="AZ295" s="252"/>
      <c r="BA295" s="251"/>
      <c r="BB295" s="251"/>
      <c r="BC295" s="252"/>
      <c r="BD295" s="251"/>
      <c r="BE295" s="251"/>
      <c r="BF295" s="252"/>
      <c r="BG295" s="251"/>
      <c r="BH295" s="251"/>
      <c r="BI295" s="252"/>
      <c r="BJ295" s="251"/>
      <c r="BK295" s="251"/>
      <c r="BL295" s="252"/>
      <c r="BM295" s="282"/>
      <c r="BN295" s="282"/>
      <c r="BO295" s="415"/>
      <c r="BP295" s="282"/>
      <c r="BQ295" s="282"/>
      <c r="BR295" s="415"/>
      <c r="BS295" s="282"/>
      <c r="BT295" s="282"/>
      <c r="BU295" s="283"/>
      <c r="BV295" s="282"/>
      <c r="BW295" s="282"/>
      <c r="BX295" s="415"/>
      <c r="BY295" s="282"/>
      <c r="BZ295" s="282"/>
      <c r="CA295" s="415"/>
      <c r="CB295" s="282"/>
      <c r="CC295" s="282"/>
      <c r="CD295" s="415"/>
      <c r="CE295" s="282"/>
      <c r="CF295" s="282"/>
      <c r="CG295" s="415"/>
      <c r="CH295" s="282"/>
      <c r="CI295" s="282"/>
      <c r="CJ295" s="415"/>
      <c r="CK295" s="282"/>
      <c r="CL295" s="282"/>
      <c r="CM295" s="415"/>
      <c r="CN295" s="282"/>
      <c r="CO295" s="282"/>
      <c r="CP295" s="415"/>
      <c r="CQ295" s="282"/>
      <c r="CR295" s="282"/>
      <c r="CS295" s="415"/>
      <c r="CT295" s="198"/>
      <c r="CU295" s="198"/>
      <c r="CV295" s="253"/>
      <c r="CW295" s="198"/>
      <c r="CX295" s="198"/>
      <c r="CY295" s="521"/>
      <c r="CZ295" s="489"/>
      <c r="DA295" s="489"/>
      <c r="DB295" s="521"/>
      <c r="DC295" s="489"/>
      <c r="DD295" s="489"/>
      <c r="DE295" s="804"/>
      <c r="DF295" s="599"/>
      <c r="DG295" s="599"/>
      <c r="DH295" s="802"/>
      <c r="DI295" s="599"/>
      <c r="DJ295" s="599"/>
      <c r="DK295" s="713"/>
      <c r="DL295" s="599"/>
      <c r="DM295" s="599"/>
      <c r="DN295" s="713"/>
      <c r="DO295" s="599"/>
      <c r="DP295" s="599"/>
      <c r="DQ295" s="713"/>
      <c r="DR295" s="599"/>
      <c r="DS295" s="599"/>
      <c r="DT295" s="713"/>
      <c r="DU295" s="599"/>
      <c r="DV295" s="599"/>
      <c r="DW295" s="713"/>
      <c r="DX295" s="599"/>
      <c r="DY295" s="599"/>
      <c r="DZ295" s="713"/>
      <c r="EA295" s="599"/>
      <c r="EB295" s="599"/>
      <c r="EC295" s="713"/>
      <c r="ED295" s="599"/>
      <c r="EE295" s="599"/>
      <c r="EF295" s="713"/>
      <c r="EG295" s="599"/>
      <c r="EH295" s="599"/>
      <c r="EI295" s="713"/>
      <c r="EJ295" s="599"/>
      <c r="EK295" s="599"/>
      <c r="EL295" s="713"/>
      <c r="EM295" s="599"/>
      <c r="EN295" s="599"/>
      <c r="EO295" s="713"/>
      <c r="EP295" s="599"/>
      <c r="EQ295" s="599"/>
      <c r="ER295" s="713"/>
      <c r="ES295" s="599"/>
      <c r="ET295" s="599"/>
      <c r="EU295" s="713"/>
      <c r="EV295" s="599"/>
      <c r="EW295" s="599"/>
      <c r="EX295" s="713"/>
      <c r="EY295" s="599"/>
      <c r="EZ295" s="599"/>
      <c r="FA295" s="600"/>
      <c r="FC295" s="349"/>
      <c r="FD295" s="422"/>
      <c r="FE295" s="422"/>
      <c r="FF295" s="421"/>
      <c r="FG295" s="422"/>
      <c r="FH295" s="422"/>
      <c r="FI295" s="421"/>
      <c r="FJ295" s="422"/>
      <c r="FK295" s="422"/>
      <c r="FL295" s="421"/>
      <c r="FM295" s="422"/>
      <c r="FN295" s="422"/>
      <c r="FO295" s="421"/>
    </row>
    <row r="296" spans="1:179" ht="13.35" customHeight="1">
      <c r="A296" s="760" t="s">
        <v>488</v>
      </c>
      <c r="C296" s="177" t="s">
        <v>335</v>
      </c>
      <c r="D296" s="294" t="s">
        <v>357</v>
      </c>
      <c r="E296" s="251"/>
      <c r="F296" s="251"/>
      <c r="G296" s="252"/>
      <c r="H296" s="251"/>
      <c r="I296" s="251"/>
      <c r="J296" s="252"/>
      <c r="K296" s="251"/>
      <c r="L296" s="251"/>
      <c r="M296" s="252"/>
      <c r="N296" s="251"/>
      <c r="O296" s="251"/>
      <c r="P296" s="252"/>
      <c r="Q296" s="251"/>
      <c r="R296" s="251"/>
      <c r="S296" s="252"/>
      <c r="T296" s="251"/>
      <c r="U296" s="251"/>
      <c r="V296" s="252"/>
      <c r="W296" s="251"/>
      <c r="X296" s="251"/>
      <c r="Y296" s="252"/>
      <c r="Z296" s="251"/>
      <c r="AA296" s="251"/>
      <c r="AB296" s="252"/>
      <c r="AC296" s="251"/>
      <c r="AD296" s="251"/>
      <c r="AE296" s="252"/>
      <c r="AF296" s="251"/>
      <c r="AG296" s="251"/>
      <c r="AH296" s="252"/>
      <c r="AI296" s="251"/>
      <c r="AJ296" s="251"/>
      <c r="AK296" s="252"/>
      <c r="AL296" s="251"/>
      <c r="AM296" s="251"/>
      <c r="AN296" s="252"/>
      <c r="AO296" s="251"/>
      <c r="AP296" s="251"/>
      <c r="AQ296" s="252"/>
      <c r="AR296" s="251"/>
      <c r="AS296" s="251"/>
      <c r="AT296" s="252"/>
      <c r="AU296" s="251"/>
      <c r="AV296" s="251"/>
      <c r="AW296" s="252"/>
      <c r="AX296" s="251"/>
      <c r="AY296" s="251"/>
      <c r="AZ296" s="252"/>
      <c r="BA296" s="251"/>
      <c r="BB296" s="251"/>
      <c r="BC296" s="252"/>
      <c r="BD296" s="251"/>
      <c r="BE296" s="251"/>
      <c r="BF296" s="252"/>
      <c r="BG296" s="251"/>
      <c r="BH296" s="251"/>
      <c r="BI296" s="252"/>
      <c r="BJ296" s="251"/>
      <c r="BK296" s="251"/>
      <c r="BL296" s="252"/>
      <c r="BM296" s="198"/>
      <c r="BN296" s="198"/>
      <c r="BO296" s="253"/>
      <c r="BP296" s="198"/>
      <c r="BQ296" s="198"/>
      <c r="BR296" s="253"/>
      <c r="BS296" s="198"/>
      <c r="BT296" s="198"/>
      <c r="BU296" s="254"/>
      <c r="BV296" s="198"/>
      <c r="BW296" s="198"/>
      <c r="BX296" s="253"/>
      <c r="BY296" s="198"/>
      <c r="BZ296" s="198"/>
      <c r="CA296" s="253"/>
      <c r="CB296" s="198"/>
      <c r="CC296" s="198"/>
      <c r="CD296" s="253"/>
      <c r="CE296" s="198"/>
      <c r="CF296" s="198"/>
      <c r="CG296" s="253"/>
      <c r="CH296" s="198"/>
      <c r="CI296" s="198"/>
      <c r="CJ296" s="253"/>
      <c r="CK296" s="198"/>
      <c r="CL296" s="198"/>
      <c r="CM296" s="253"/>
      <c r="CN296" s="198"/>
      <c r="CO296" s="198"/>
      <c r="CP296" s="253"/>
      <c r="CQ296" s="198"/>
      <c r="CR296" s="198"/>
      <c r="CS296" s="253"/>
      <c r="CT296" s="198"/>
      <c r="CU296" s="198"/>
      <c r="CV296" s="253"/>
      <c r="CW296" s="198"/>
      <c r="CX296" s="198"/>
      <c r="CY296" s="521"/>
      <c r="CZ296" s="489"/>
      <c r="DA296" s="489"/>
      <c r="DB296" s="521"/>
      <c r="DC296" s="489"/>
      <c r="DD296" s="489"/>
      <c r="DE296" s="779"/>
      <c r="DF296" s="489"/>
      <c r="DG296" s="489"/>
      <c r="DH296" s="779"/>
      <c r="DI296" s="666">
        <v>227</v>
      </c>
      <c r="DJ296" s="837">
        <f>+DK296-DI296</f>
        <v>206</v>
      </c>
      <c r="DK296" s="834">
        <v>433</v>
      </c>
      <c r="DL296" s="666">
        <v>215</v>
      </c>
      <c r="DM296" s="837">
        <f>+DN296-DL296</f>
        <v>192</v>
      </c>
      <c r="DN296" s="834">
        <v>407</v>
      </c>
      <c r="DO296" s="666">
        <v>192</v>
      </c>
      <c r="DP296" s="837">
        <f>+DQ296-DO296</f>
        <v>187</v>
      </c>
      <c r="DQ296" s="834">
        <v>379</v>
      </c>
      <c r="DR296" s="666">
        <v>205</v>
      </c>
      <c r="DS296" s="837">
        <f>+DT296-DR296</f>
        <v>225</v>
      </c>
      <c r="DT296" s="834">
        <f>1313-DT351</f>
        <v>430</v>
      </c>
      <c r="DU296" s="836">
        <v>216</v>
      </c>
      <c r="DV296" s="837">
        <f>+DW296-DU296</f>
        <v>222</v>
      </c>
      <c r="DW296" s="834">
        <v>438</v>
      </c>
      <c r="DX296" s="1894">
        <f>+DX354-DX315-DX331-DX335</f>
        <v>214</v>
      </c>
      <c r="DY296" s="837">
        <f>DY293*DY290</f>
        <v>220.63184330484336</v>
      </c>
      <c r="DZ296" s="828">
        <f>SUM(DX296:DY296)</f>
        <v>434.63184330484336</v>
      </c>
      <c r="EA296" s="837">
        <f>EA293*EA290</f>
        <v>224.18640000000005</v>
      </c>
      <c r="EB296" s="837">
        <f>EB293*EB290</f>
        <v>231.13391904615392</v>
      </c>
      <c r="EC296" s="828">
        <f>SUM(EA296:EB296)</f>
        <v>455.32031904615394</v>
      </c>
      <c r="ED296" s="837">
        <f>ED293*ED290</f>
        <v>234.85767264000006</v>
      </c>
      <c r="EE296" s="837">
        <f>EE293*EE290</f>
        <v>242.13589359275085</v>
      </c>
      <c r="EF296" s="828">
        <f>SUM(ED296:EE296)</f>
        <v>476.99356623275094</v>
      </c>
      <c r="EG296" s="837">
        <f>EG293*EG290</f>
        <v>246.03689785766403</v>
      </c>
      <c r="EH296" s="837">
        <f>EH293*EH290</f>
        <v>253.66156212776579</v>
      </c>
      <c r="EI296" s="828">
        <f>SUM(EG296:EH296)</f>
        <v>499.69845998542985</v>
      </c>
      <c r="EJ296" s="837">
        <f>EJ293*EJ290</f>
        <v>257.74825419568884</v>
      </c>
      <c r="EK296" s="837">
        <f>EK293*EK290</f>
        <v>265.73585248504747</v>
      </c>
      <c r="EL296" s="828">
        <f>SUM(EJ296:EK296)</f>
        <v>523.48410668073632</v>
      </c>
      <c r="EM296" s="837">
        <f>EM293*EM290</f>
        <v>270.01707109540365</v>
      </c>
      <c r="EN296" s="837">
        <f>EN293*EN290</f>
        <v>278.38487906333575</v>
      </c>
      <c r="EO296" s="828">
        <f>SUM(EM296:EN296)</f>
        <v>548.4019501587394</v>
      </c>
      <c r="EP296" s="837">
        <f>EP293*EP290</f>
        <v>282.86988367954484</v>
      </c>
      <c r="EQ296" s="837">
        <f>EQ293*EQ290</f>
        <v>291.63599930675053</v>
      </c>
      <c r="ER296" s="828">
        <f>SUM(EP296:EQ296)</f>
        <v>574.50588298629532</v>
      </c>
      <c r="ES296" s="837">
        <f>ES293*ES290</f>
        <v>296.33449014269121</v>
      </c>
      <c r="ET296" s="837">
        <f>ET293*ET290</f>
        <v>305.51787287375186</v>
      </c>
      <c r="EU296" s="828">
        <f>SUM(ES296:ET296)</f>
        <v>601.85236301644306</v>
      </c>
      <c r="EV296" s="837">
        <f>EV293*EV290</f>
        <v>310.44001187348334</v>
      </c>
      <c r="EW296" s="837">
        <f>EW293*EW290</f>
        <v>320.06052362254252</v>
      </c>
      <c r="EX296" s="828">
        <f>SUM(EV296:EW296)</f>
        <v>630.5005354960258</v>
      </c>
      <c r="EY296" s="837">
        <f>EY293*EY290</f>
        <v>325.21695643866116</v>
      </c>
      <c r="EZ296" s="837">
        <f>EZ293*EZ290</f>
        <v>335.29540454697553</v>
      </c>
      <c r="FA296" s="840">
        <f>SUM(EY296:EZ296)</f>
        <v>660.51236098563663</v>
      </c>
      <c r="FB296" s="432"/>
      <c r="FC296" s="432"/>
      <c r="FD296" s="422"/>
      <c r="FE296" s="433"/>
      <c r="FF296" s="433"/>
      <c r="FG296" s="433"/>
      <c r="FH296" s="433"/>
      <c r="FI296" s="403"/>
      <c r="FJ296" s="433"/>
      <c r="FK296" s="433"/>
      <c r="FM296" s="433"/>
      <c r="FN296" s="433"/>
      <c r="FO296" s="403"/>
    </row>
    <row r="297" spans="1:179" ht="13.35" customHeight="1">
      <c r="A297" s="760"/>
      <c r="C297" s="177" t="s">
        <v>690</v>
      </c>
      <c r="D297" s="294" t="s">
        <v>507</v>
      </c>
      <c r="E297" s="251"/>
      <c r="F297" s="251"/>
      <c r="G297" s="252"/>
      <c r="H297" s="251"/>
      <c r="I297" s="251"/>
      <c r="J297" s="252"/>
      <c r="K297" s="251"/>
      <c r="L297" s="251"/>
      <c r="M297" s="252"/>
      <c r="N297" s="251"/>
      <c r="O297" s="251"/>
      <c r="P297" s="252"/>
      <c r="Q297" s="251"/>
      <c r="R297" s="251"/>
      <c r="S297" s="252"/>
      <c r="T297" s="251"/>
      <c r="U297" s="251"/>
      <c r="V297" s="252"/>
      <c r="W297" s="251"/>
      <c r="X297" s="251"/>
      <c r="Y297" s="252"/>
      <c r="Z297" s="251"/>
      <c r="AA297" s="251"/>
      <c r="AB297" s="252"/>
      <c r="AC297" s="251"/>
      <c r="AD297" s="251"/>
      <c r="AE297" s="252"/>
      <c r="AF297" s="251"/>
      <c r="AG297" s="251"/>
      <c r="AH297" s="252"/>
      <c r="AI297" s="251"/>
      <c r="AJ297" s="251"/>
      <c r="AK297" s="252"/>
      <c r="AL297" s="251"/>
      <c r="AM297" s="251"/>
      <c r="AN297" s="252"/>
      <c r="AO297" s="251"/>
      <c r="AP297" s="251"/>
      <c r="AQ297" s="252"/>
      <c r="AR297" s="251"/>
      <c r="AS297" s="251"/>
      <c r="AT297" s="252"/>
      <c r="AU297" s="251"/>
      <c r="AV297" s="251"/>
      <c r="AW297" s="252"/>
      <c r="AX297" s="251"/>
      <c r="AY297" s="251"/>
      <c r="AZ297" s="252"/>
      <c r="BA297" s="251"/>
      <c r="BB297" s="251"/>
      <c r="BC297" s="252"/>
      <c r="BD297" s="251"/>
      <c r="BE297" s="251"/>
      <c r="BF297" s="252"/>
      <c r="BG297" s="251"/>
      <c r="BH297" s="251"/>
      <c r="BI297" s="252"/>
      <c r="BJ297" s="251"/>
      <c r="BK297" s="251"/>
      <c r="BL297" s="252"/>
      <c r="BM297" s="282"/>
      <c r="BN297" s="282"/>
      <c r="BO297" s="415"/>
      <c r="BP297" s="259"/>
      <c r="BQ297" s="259"/>
      <c r="BR297" s="260"/>
      <c r="BS297" s="259"/>
      <c r="BT297" s="259"/>
      <c r="BU297" s="261"/>
      <c r="BV297" s="259"/>
      <c r="BW297" s="259"/>
      <c r="BX297" s="260"/>
      <c r="BY297" s="259"/>
      <c r="BZ297" s="259"/>
      <c r="CA297" s="260"/>
      <c r="CB297" s="259"/>
      <c r="CC297" s="259"/>
      <c r="CD297" s="260"/>
      <c r="CE297" s="259"/>
      <c r="CF297" s="259"/>
      <c r="CG297" s="260"/>
      <c r="CH297" s="259"/>
      <c r="CI297" s="259"/>
      <c r="CJ297" s="260"/>
      <c r="CK297" s="259"/>
      <c r="CL297" s="259"/>
      <c r="CM297" s="260"/>
      <c r="CN297" s="259"/>
      <c r="CO297" s="259"/>
      <c r="CP297" s="260"/>
      <c r="CQ297" s="259"/>
      <c r="CR297" s="259"/>
      <c r="CS297" s="260"/>
      <c r="CT297" s="259"/>
      <c r="CU297" s="259"/>
      <c r="CV297" s="260"/>
      <c r="CW297" s="259"/>
      <c r="CX297" s="259"/>
      <c r="CY297" s="334"/>
      <c r="CZ297" s="333"/>
      <c r="DA297" s="333"/>
      <c r="DB297" s="334"/>
      <c r="DC297" s="333"/>
      <c r="DD297" s="333"/>
      <c r="DE297" s="788"/>
      <c r="DF297" s="333"/>
      <c r="DG297" s="333"/>
      <c r="DH297" s="788"/>
      <c r="DI297" s="333"/>
      <c r="DJ297" s="333"/>
      <c r="DK297" s="700"/>
      <c r="DL297" s="848">
        <f t="shared" ref="DL297:EL297" si="314">DL296/DI296-1</f>
        <v>-5.2863436123347984E-2</v>
      </c>
      <c r="DM297" s="848">
        <f t="shared" si="314"/>
        <v>-6.7961165048543659E-2</v>
      </c>
      <c r="DN297" s="842">
        <f t="shared" si="314"/>
        <v>-6.004618937644346E-2</v>
      </c>
      <c r="DO297" s="848">
        <f t="shared" si="314"/>
        <v>-0.10697674418604652</v>
      </c>
      <c r="DP297" s="848">
        <f t="shared" si="314"/>
        <v>-2.604166666666663E-2</v>
      </c>
      <c r="DQ297" s="842">
        <f t="shared" si="314"/>
        <v>-6.879606879606881E-2</v>
      </c>
      <c r="DR297" s="848">
        <f t="shared" si="314"/>
        <v>6.7708333333333259E-2</v>
      </c>
      <c r="DS297" s="848">
        <f t="shared" si="314"/>
        <v>0.20320855614973254</v>
      </c>
      <c r="DT297" s="842">
        <f t="shared" si="314"/>
        <v>0.13456464379947231</v>
      </c>
      <c r="DU297" s="848">
        <f t="shared" si="314"/>
        <v>5.3658536585365901E-2</v>
      </c>
      <c r="DV297" s="848">
        <f>DV296/DS296-1</f>
        <v>-1.3333333333333308E-2</v>
      </c>
      <c r="DW297" s="842">
        <f>DW296/DT296-1</f>
        <v>1.8604651162790642E-2</v>
      </c>
      <c r="DX297" s="848">
        <f t="shared" si="314"/>
        <v>-9.2592592592593004E-3</v>
      </c>
      <c r="DY297" s="848">
        <f t="shared" si="314"/>
        <v>-6.1628679962011379E-3</v>
      </c>
      <c r="DZ297" s="842">
        <f t="shared" si="314"/>
        <v>-7.68985546839418E-3</v>
      </c>
      <c r="EA297" s="848">
        <f t="shared" si="314"/>
        <v>4.7600000000000309E-2</v>
      </c>
      <c r="EB297" s="848">
        <f t="shared" si="314"/>
        <v>4.7600000000000087E-2</v>
      </c>
      <c r="EC297" s="842">
        <f t="shared" si="314"/>
        <v>4.7600000000000087E-2</v>
      </c>
      <c r="ED297" s="848">
        <f t="shared" si="314"/>
        <v>4.7600000000000087E-2</v>
      </c>
      <c r="EE297" s="848">
        <f t="shared" si="314"/>
        <v>4.7600000000000087E-2</v>
      </c>
      <c r="EF297" s="842">
        <f t="shared" si="314"/>
        <v>4.7600000000000087E-2</v>
      </c>
      <c r="EG297" s="848">
        <f t="shared" si="314"/>
        <v>4.7599999999999865E-2</v>
      </c>
      <c r="EH297" s="848">
        <f t="shared" si="314"/>
        <v>4.7600000000000087E-2</v>
      </c>
      <c r="EI297" s="842">
        <f t="shared" si="314"/>
        <v>4.7599999999999865E-2</v>
      </c>
      <c r="EJ297" s="848">
        <f t="shared" si="314"/>
        <v>4.7600000000000087E-2</v>
      </c>
      <c r="EK297" s="848">
        <f t="shared" si="314"/>
        <v>4.7600000000000087E-2</v>
      </c>
      <c r="EL297" s="842">
        <f t="shared" si="314"/>
        <v>4.7600000000000087E-2</v>
      </c>
      <c r="EM297" s="848">
        <f t="shared" ref="EM297:FA297" si="315">EM296/EJ296-1</f>
        <v>4.7600000000000087E-2</v>
      </c>
      <c r="EN297" s="848">
        <f t="shared" si="315"/>
        <v>4.7600000000000087E-2</v>
      </c>
      <c r="EO297" s="842">
        <f t="shared" si="315"/>
        <v>4.7600000000000087E-2</v>
      </c>
      <c r="EP297" s="848">
        <f t="shared" si="315"/>
        <v>4.7599999999999865E-2</v>
      </c>
      <c r="EQ297" s="848">
        <f t="shared" si="315"/>
        <v>4.7600000000000087E-2</v>
      </c>
      <c r="ER297" s="842">
        <f t="shared" si="315"/>
        <v>4.7599999999999865E-2</v>
      </c>
      <c r="ES297" s="848">
        <f t="shared" si="315"/>
        <v>4.7600000000000087E-2</v>
      </c>
      <c r="ET297" s="848">
        <f t="shared" si="315"/>
        <v>4.7600000000000087E-2</v>
      </c>
      <c r="EU297" s="842">
        <f t="shared" si="315"/>
        <v>4.7600000000000087E-2</v>
      </c>
      <c r="EV297" s="848">
        <f t="shared" si="315"/>
        <v>4.7600000000000087E-2</v>
      </c>
      <c r="EW297" s="848">
        <f t="shared" si="315"/>
        <v>4.7600000000000309E-2</v>
      </c>
      <c r="EX297" s="842">
        <f t="shared" si="315"/>
        <v>4.7600000000000087E-2</v>
      </c>
      <c r="EY297" s="848">
        <f t="shared" si="315"/>
        <v>4.7600000000000087E-2</v>
      </c>
      <c r="EZ297" s="848">
        <f t="shared" si="315"/>
        <v>4.7599999999999865E-2</v>
      </c>
      <c r="FA297" s="849">
        <f t="shared" si="315"/>
        <v>4.7600000000000087E-2</v>
      </c>
      <c r="FB297" s="424"/>
      <c r="FC297" s="349"/>
      <c r="FD297" s="422"/>
      <c r="FE297" s="434"/>
      <c r="FF297" s="434"/>
      <c r="FG297" s="410"/>
      <c r="FH297" s="410"/>
      <c r="FI297" s="411"/>
      <c r="FJ297" s="410"/>
      <c r="FK297" s="410"/>
      <c r="FL297" s="411"/>
      <c r="FM297" s="410"/>
      <c r="FN297" s="410"/>
      <c r="FO297" s="411"/>
    </row>
    <row r="298" spans="1:179" ht="13.35" customHeight="1">
      <c r="A298" s="760"/>
      <c r="D298" s="250"/>
      <c r="E298" s="251"/>
      <c r="F298" s="251"/>
      <c r="G298" s="252"/>
      <c r="H298" s="251"/>
      <c r="I298" s="251"/>
      <c r="J298" s="252"/>
      <c r="K298" s="251"/>
      <c r="L298" s="251"/>
      <c r="M298" s="252"/>
      <c r="N298" s="251"/>
      <c r="O298" s="251"/>
      <c r="P298" s="252"/>
      <c r="Q298" s="251"/>
      <c r="R298" s="251"/>
      <c r="S298" s="252"/>
      <c r="T298" s="251"/>
      <c r="U298" s="251"/>
      <c r="V298" s="252"/>
      <c r="W298" s="251"/>
      <c r="X298" s="251"/>
      <c r="Y298" s="252"/>
      <c r="Z298" s="251"/>
      <c r="AA298" s="251"/>
      <c r="AB298" s="252"/>
      <c r="AC298" s="251"/>
      <c r="AD298" s="251"/>
      <c r="AE298" s="252"/>
      <c r="AF298" s="251"/>
      <c r="AG298" s="251"/>
      <c r="AH298" s="252"/>
      <c r="AI298" s="251"/>
      <c r="AJ298" s="251"/>
      <c r="AK298" s="252"/>
      <c r="AL298" s="251"/>
      <c r="AM298" s="251"/>
      <c r="AN298" s="252"/>
      <c r="AO298" s="251"/>
      <c r="AP298" s="251"/>
      <c r="AQ298" s="252"/>
      <c r="AR298" s="251"/>
      <c r="AS298" s="251"/>
      <c r="AT298" s="252"/>
      <c r="AU298" s="251"/>
      <c r="AV298" s="251"/>
      <c r="AW298" s="252"/>
      <c r="AX298" s="251"/>
      <c r="AY298" s="251"/>
      <c r="AZ298" s="252"/>
      <c r="BA298" s="251"/>
      <c r="BB298" s="251"/>
      <c r="BC298" s="252"/>
      <c r="BD298" s="251"/>
      <c r="BE298" s="251"/>
      <c r="BF298" s="252"/>
      <c r="BG298" s="251"/>
      <c r="BH298" s="251"/>
      <c r="BI298" s="252"/>
      <c r="BJ298" s="251"/>
      <c r="BK298" s="251"/>
      <c r="BL298" s="252"/>
      <c r="BM298" s="282"/>
      <c r="BN298" s="282"/>
      <c r="BO298" s="415"/>
      <c r="BP298" s="282"/>
      <c r="BQ298" s="282"/>
      <c r="BR298" s="415"/>
      <c r="BS298" s="282"/>
      <c r="BT298" s="282"/>
      <c r="BU298" s="283"/>
      <c r="BV298" s="282"/>
      <c r="BW298" s="282"/>
      <c r="BX298" s="415"/>
      <c r="BY298" s="282"/>
      <c r="BZ298" s="282"/>
      <c r="CA298" s="415"/>
      <c r="CB298" s="282"/>
      <c r="CC298" s="282"/>
      <c r="CD298" s="415"/>
      <c r="CE298" s="282"/>
      <c r="CF298" s="282"/>
      <c r="CG298" s="415"/>
      <c r="CH298" s="282"/>
      <c r="CI298" s="282"/>
      <c r="CJ298" s="415"/>
      <c r="CK298" s="282"/>
      <c r="CL298" s="282"/>
      <c r="CM298" s="415"/>
      <c r="CN298" s="282"/>
      <c r="CO298" s="282"/>
      <c r="CP298" s="415"/>
      <c r="CQ298" s="346"/>
      <c r="CR298" s="346"/>
      <c r="CS298" s="346"/>
      <c r="CT298" s="282"/>
      <c r="CU298" s="282"/>
      <c r="CV298" s="415"/>
      <c r="CW298" s="282"/>
      <c r="CX298" s="282"/>
      <c r="CY298" s="598"/>
      <c r="CZ298" s="599"/>
      <c r="DA298" s="599"/>
      <c r="DB298" s="572"/>
      <c r="DC298" s="572"/>
      <c r="DD298" s="605"/>
      <c r="DE298" s="805"/>
      <c r="DF298" s="572"/>
      <c r="DG298" s="572"/>
      <c r="DH298" s="805"/>
      <c r="DI298" s="599"/>
      <c r="DJ298" s="599"/>
      <c r="DK298" s="713"/>
      <c r="DL298" s="599"/>
      <c r="DM298" s="599"/>
      <c r="DN298" s="713"/>
      <c r="DO298" s="599"/>
      <c r="DP298" s="599"/>
      <c r="DQ298" s="713"/>
      <c r="DR298" s="599"/>
      <c r="DS298" s="599"/>
      <c r="DT298" s="713"/>
      <c r="DU298" s="599"/>
      <c r="DV298" s="599"/>
      <c r="DW298" s="713"/>
      <c r="DX298" s="599"/>
      <c r="DY298" s="599"/>
      <c r="DZ298" s="713"/>
      <c r="EA298" s="599"/>
      <c r="EB298" s="599"/>
      <c r="EC298" s="713"/>
      <c r="ED298" s="599"/>
      <c r="EE298" s="599"/>
      <c r="EF298" s="713"/>
      <c r="EG298" s="599"/>
      <c r="EH298" s="599"/>
      <c r="EI298" s="713"/>
      <c r="EJ298" s="599"/>
      <c r="EK298" s="599"/>
      <c r="EL298" s="713"/>
      <c r="EM298" s="599"/>
      <c r="EN298" s="599"/>
      <c r="EO298" s="713"/>
      <c r="EP298" s="599"/>
      <c r="EQ298" s="599"/>
      <c r="ER298" s="713"/>
      <c r="ES298" s="599"/>
      <c r="ET298" s="599"/>
      <c r="EU298" s="713"/>
      <c r="EV298" s="599"/>
      <c r="EW298" s="599"/>
      <c r="EX298" s="713"/>
      <c r="EY298" s="599"/>
      <c r="EZ298" s="599"/>
      <c r="FA298" s="600"/>
      <c r="FD298" s="422"/>
      <c r="FE298" s="433"/>
      <c r="FF298" s="433"/>
      <c r="FG298" s="433"/>
      <c r="FH298" s="433"/>
      <c r="FI298" s="433"/>
      <c r="FJ298" s="433"/>
      <c r="FK298" s="433"/>
      <c r="FL298" s="433"/>
      <c r="FM298" s="433"/>
      <c r="FN298" s="433"/>
      <c r="FO298" s="433"/>
      <c r="FW298" s="424"/>
    </row>
    <row r="299" spans="1:179" ht="13.35" customHeight="1">
      <c r="A299" s="760"/>
      <c r="C299" s="177" t="s">
        <v>40</v>
      </c>
      <c r="D299" s="294" t="s">
        <v>406</v>
      </c>
      <c r="E299" s="251"/>
      <c r="F299" s="251"/>
      <c r="G299" s="252"/>
      <c r="H299" s="251"/>
      <c r="I299" s="251"/>
      <c r="J299" s="252"/>
      <c r="K299" s="251"/>
      <c r="L299" s="251"/>
      <c r="M299" s="252"/>
      <c r="N299" s="251"/>
      <c r="O299" s="251"/>
      <c r="P299" s="252"/>
      <c r="Q299" s="251"/>
      <c r="R299" s="251"/>
      <c r="S299" s="252"/>
      <c r="T299" s="251"/>
      <c r="U299" s="251"/>
      <c r="V299" s="252"/>
      <c r="W299" s="251"/>
      <c r="X299" s="251"/>
      <c r="Y299" s="252"/>
      <c r="Z299" s="251"/>
      <c r="AA299" s="251"/>
      <c r="AB299" s="252"/>
      <c r="AC299" s="251"/>
      <c r="AD299" s="251"/>
      <c r="AE299" s="252"/>
      <c r="AF299" s="251"/>
      <c r="AG299" s="251"/>
      <c r="AH299" s="252"/>
      <c r="AI299" s="251"/>
      <c r="AJ299" s="251"/>
      <c r="AK299" s="252"/>
      <c r="AL299" s="251"/>
      <c r="AM299" s="251"/>
      <c r="AN299" s="252"/>
      <c r="AO299" s="251"/>
      <c r="AP299" s="251"/>
      <c r="AQ299" s="252"/>
      <c r="AR299" s="251"/>
      <c r="AS299" s="251"/>
      <c r="AT299" s="252"/>
      <c r="AU299" s="251"/>
      <c r="AV299" s="251"/>
      <c r="AW299" s="252"/>
      <c r="AX299" s="251"/>
      <c r="AY299" s="251"/>
      <c r="AZ299" s="252"/>
      <c r="BA299" s="251"/>
      <c r="BB299" s="251"/>
      <c r="BC299" s="252"/>
      <c r="BD299" s="251"/>
      <c r="BE299" s="251"/>
      <c r="BF299" s="252"/>
      <c r="BG299" s="251"/>
      <c r="BH299" s="251"/>
      <c r="BI299" s="252"/>
      <c r="BJ299" s="251"/>
      <c r="BK299" s="251"/>
      <c r="BL299" s="252"/>
      <c r="BM299" s="198"/>
      <c r="BN299" s="198"/>
      <c r="BO299" s="79"/>
      <c r="BP299" s="198"/>
      <c r="BQ299" s="198"/>
      <c r="BR299" s="79"/>
      <c r="BS299" s="198"/>
      <c r="BT299" s="198"/>
      <c r="BU299" s="254"/>
      <c r="BV299" s="198"/>
      <c r="BW299" s="198"/>
      <c r="BX299" s="79"/>
      <c r="BY299" s="198"/>
      <c r="BZ299" s="198"/>
      <c r="CA299" s="79"/>
      <c r="CB299" s="198"/>
      <c r="CC299" s="198"/>
      <c r="CD299" s="79"/>
      <c r="CE299" s="198"/>
      <c r="CF299" s="198"/>
      <c r="CG299" s="79"/>
      <c r="CH299" s="198"/>
      <c r="CI299" s="198"/>
      <c r="CJ299" s="79"/>
      <c r="CK299" s="198"/>
      <c r="CL299" s="198"/>
      <c r="CM299" s="79"/>
      <c r="CN299" s="198"/>
      <c r="CO299" s="198"/>
      <c r="CP299" s="79"/>
      <c r="CQ299" s="198"/>
      <c r="CR299" s="198"/>
      <c r="CS299" s="79"/>
      <c r="CT299" s="198"/>
      <c r="CU299" s="198"/>
      <c r="CV299" s="79"/>
      <c r="CW299" s="198"/>
      <c r="CX299" s="198"/>
      <c r="CY299" s="488"/>
      <c r="CZ299" s="489"/>
      <c r="DA299" s="489"/>
      <c r="DB299" s="488"/>
      <c r="DC299" s="489"/>
      <c r="DD299" s="489"/>
      <c r="DE299" s="783"/>
      <c r="DF299" s="489"/>
      <c r="DG299" s="489"/>
      <c r="DH299" s="783"/>
      <c r="DI299" s="488">
        <v>27.638352849229776</v>
      </c>
      <c r="DJ299" s="488">
        <v>27.088753873802606</v>
      </c>
      <c r="DK299" s="696">
        <v>27.374401499428473</v>
      </c>
      <c r="DL299" s="488">
        <f t="shared" ref="DL299:EU299" si="316">DL296/DL133</f>
        <v>31.972074109164016</v>
      </c>
      <c r="DM299" s="488">
        <f t="shared" si="316"/>
        <v>29.744749870091837</v>
      </c>
      <c r="DN299" s="696">
        <f t="shared" si="316"/>
        <v>30.881201272831269</v>
      </c>
      <c r="DO299" s="488">
        <f t="shared" si="316"/>
        <v>25.312807452255608</v>
      </c>
      <c r="DP299" s="488">
        <f t="shared" si="316"/>
        <v>22.447239189483021</v>
      </c>
      <c r="DQ299" s="696">
        <f t="shared" si="316"/>
        <v>23.812906348116236</v>
      </c>
      <c r="DR299" s="488">
        <f t="shared" si="316"/>
        <v>23.272313277275604</v>
      </c>
      <c r="DS299" s="488">
        <f t="shared" si="316"/>
        <v>22.806056129734369</v>
      </c>
      <c r="DT299" s="696">
        <f t="shared" si="316"/>
        <v>23.025988746499102</v>
      </c>
      <c r="DU299" s="488">
        <f t="shared" si="316"/>
        <v>20.296542075704455</v>
      </c>
      <c r="DV299" s="488">
        <f>DV296/DV133</f>
        <v>18.625299027804186</v>
      </c>
      <c r="DW299" s="696">
        <f>DW296/DW133</f>
        <v>19.413621220209972</v>
      </c>
      <c r="DX299" s="488">
        <f t="shared" ref="DX299" si="317">DX296/DX133</f>
        <v>20.108611130559044</v>
      </c>
      <c r="DY299" s="488">
        <f t="shared" si="316"/>
        <v>17.299545578043041</v>
      </c>
      <c r="DZ299" s="696">
        <f t="shared" si="316"/>
        <v>18.577322849020117</v>
      </c>
      <c r="EA299" s="488">
        <f t="shared" si="316"/>
        <v>19.687645813433324</v>
      </c>
      <c r="EB299" s="488">
        <f t="shared" si="316"/>
        <v>16.937386866876533</v>
      </c>
      <c r="EC299" s="696">
        <f t="shared" si="316"/>
        <v>18.188414408068667</v>
      </c>
      <c r="ED299" s="488">
        <f t="shared" si="316"/>
        <v>19.275493228180139</v>
      </c>
      <c r="EE299" s="488">
        <f t="shared" si="316"/>
        <v>16.582809796018555</v>
      </c>
      <c r="EF299" s="696">
        <f t="shared" si="316"/>
        <v>17.807647601768913</v>
      </c>
      <c r="EG299" s="488">
        <f t="shared" si="316"/>
        <v>18.87196888396403</v>
      </c>
      <c r="EH299" s="488">
        <f t="shared" si="316"/>
        <v>16.235655647017794</v>
      </c>
      <c r="EI299" s="696">
        <f t="shared" si="316"/>
        <v>17.434851988423468</v>
      </c>
      <c r="EJ299" s="488">
        <f t="shared" si="316"/>
        <v>18.476892152187585</v>
      </c>
      <c r="EK299" s="488">
        <f t="shared" si="316"/>
        <v>15.895769024126954</v>
      </c>
      <c r="EL299" s="696">
        <f t="shared" si="316"/>
        <v>17.069860694460207</v>
      </c>
      <c r="EM299" s="488">
        <f t="shared" si="316"/>
        <v>18.090086185637116</v>
      </c>
      <c r="EN299" s="488">
        <f t="shared" si="316"/>
        <v>15.562997784743363</v>
      </c>
      <c r="EO299" s="696">
        <f t="shared" si="316"/>
        <v>16.712510339735065</v>
      </c>
      <c r="EP299" s="488">
        <f t="shared" si="316"/>
        <v>17.711377839320971</v>
      </c>
      <c r="EQ299" s="488">
        <f t="shared" si="316"/>
        <v>15.237192971305742</v>
      </c>
      <c r="ER299" s="696">
        <f t="shared" si="316"/>
        <v>16.362640964398548</v>
      </c>
      <c r="ES299" s="488">
        <f t="shared" si="316"/>
        <v>17.340597592965093</v>
      </c>
      <c r="ET299" s="488">
        <f t="shared" si="316"/>
        <v>14.918208744616726</v>
      </c>
      <c r="EU299" s="696">
        <f t="shared" si="316"/>
        <v>16.020095957293382</v>
      </c>
      <c r="EV299" s="488">
        <f t="shared" ref="EV299:FA299" si="318">EV296/EV133</f>
        <v>16.977579475131058</v>
      </c>
      <c r="EW299" s="488">
        <f t="shared" si="318"/>
        <v>14.605902318561199</v>
      </c>
      <c r="EX299" s="696">
        <f t="shared" si="318"/>
        <v>15.684721985850981</v>
      </c>
      <c r="EY299" s="488">
        <f t="shared" si="318"/>
        <v>16.622160988922708</v>
      </c>
      <c r="EZ299" s="488">
        <f t="shared" si="318"/>
        <v>14.300133896191319</v>
      </c>
      <c r="FA299" s="536">
        <f t="shared" si="318"/>
        <v>15.356368927455595</v>
      </c>
      <c r="FB299" s="1871"/>
      <c r="FD299" s="422"/>
      <c r="FE299" s="433"/>
      <c r="FF299" s="433"/>
      <c r="FG299" s="433"/>
      <c r="FH299" s="433"/>
      <c r="FI299" s="433"/>
      <c r="FJ299" s="426"/>
      <c r="FK299" s="426"/>
      <c r="FL299" s="426"/>
      <c r="FM299" s="433"/>
      <c r="FN299" s="433"/>
      <c r="FO299" s="433"/>
    </row>
    <row r="300" spans="1:179" ht="13.35" customHeight="1">
      <c r="A300" s="760"/>
      <c r="C300" s="177" t="s">
        <v>690</v>
      </c>
      <c r="D300" s="294" t="s">
        <v>507</v>
      </c>
      <c r="E300" s="251"/>
      <c r="F300" s="251"/>
      <c r="G300" s="252"/>
      <c r="H300" s="251"/>
      <c r="I300" s="251"/>
      <c r="J300" s="252"/>
      <c r="K300" s="251"/>
      <c r="L300" s="251"/>
      <c r="M300" s="252"/>
      <c r="N300" s="251"/>
      <c r="O300" s="251"/>
      <c r="P300" s="252"/>
      <c r="Q300" s="251"/>
      <c r="R300" s="251"/>
      <c r="S300" s="252"/>
      <c r="T300" s="251"/>
      <c r="U300" s="251"/>
      <c r="V300" s="252"/>
      <c r="W300" s="251"/>
      <c r="X300" s="251"/>
      <c r="Y300" s="252"/>
      <c r="Z300" s="251"/>
      <c r="AA300" s="251"/>
      <c r="AB300" s="252"/>
      <c r="AC300" s="251"/>
      <c r="AD300" s="251"/>
      <c r="AE300" s="252"/>
      <c r="AF300" s="251"/>
      <c r="AG300" s="251"/>
      <c r="AH300" s="252"/>
      <c r="AI300" s="251"/>
      <c r="AJ300" s="251"/>
      <c r="AK300" s="252"/>
      <c r="AL300" s="251"/>
      <c r="AM300" s="251"/>
      <c r="AN300" s="252"/>
      <c r="AO300" s="251"/>
      <c r="AP300" s="251"/>
      <c r="AQ300" s="252"/>
      <c r="AR300" s="251"/>
      <c r="AS300" s="251"/>
      <c r="AT300" s="252"/>
      <c r="AU300" s="251"/>
      <c r="AV300" s="251"/>
      <c r="AW300" s="252"/>
      <c r="AX300" s="251"/>
      <c r="AY300" s="251"/>
      <c r="AZ300" s="252"/>
      <c r="BA300" s="251"/>
      <c r="BB300" s="251"/>
      <c r="BC300" s="252"/>
      <c r="BD300" s="251"/>
      <c r="BE300" s="251"/>
      <c r="BF300" s="252"/>
      <c r="BG300" s="251"/>
      <c r="BH300" s="251"/>
      <c r="BI300" s="252"/>
      <c r="BJ300" s="251"/>
      <c r="BK300" s="251"/>
      <c r="BL300" s="252"/>
      <c r="BM300" s="282"/>
      <c r="BN300" s="282"/>
      <c r="BO300" s="415"/>
      <c r="BP300" s="259"/>
      <c r="BQ300" s="259"/>
      <c r="BR300" s="260"/>
      <c r="BS300" s="259"/>
      <c r="BT300" s="259"/>
      <c r="BU300" s="261"/>
      <c r="BV300" s="259"/>
      <c r="BW300" s="259"/>
      <c r="BX300" s="260"/>
      <c r="BY300" s="259"/>
      <c r="BZ300" s="259"/>
      <c r="CA300" s="260"/>
      <c r="CB300" s="259"/>
      <c r="CC300" s="259"/>
      <c r="CD300" s="260"/>
      <c r="CE300" s="259"/>
      <c r="CF300" s="259"/>
      <c r="CG300" s="260"/>
      <c r="CH300" s="259"/>
      <c r="CI300" s="259"/>
      <c r="CJ300" s="260"/>
      <c r="CK300" s="259"/>
      <c r="CL300" s="259"/>
      <c r="CM300" s="260"/>
      <c r="CN300" s="259"/>
      <c r="CO300" s="259"/>
      <c r="CP300" s="260"/>
      <c r="CQ300" s="259"/>
      <c r="CR300" s="259"/>
      <c r="CS300" s="260"/>
      <c r="CT300" s="259"/>
      <c r="CU300" s="259"/>
      <c r="CV300" s="260"/>
      <c r="CW300" s="259"/>
      <c r="CX300" s="259"/>
      <c r="CY300" s="334"/>
      <c r="CZ300" s="333"/>
      <c r="DA300" s="333"/>
      <c r="DB300" s="334"/>
      <c r="DC300" s="333"/>
      <c r="DD300" s="333"/>
      <c r="DE300" s="788"/>
      <c r="DF300" s="333"/>
      <c r="DG300" s="333"/>
      <c r="DH300" s="788"/>
      <c r="DI300" s="334">
        <v>-6.8781431334622889E-2</v>
      </c>
      <c r="DJ300" s="334">
        <v>-3.5851063829787422E-2</v>
      </c>
      <c r="DK300" s="700">
        <v>-5.2180111204740309E-2</v>
      </c>
      <c r="DL300" s="334">
        <f t="shared" ref="DL300:EL300" si="319">DL299/DI299-1</f>
        <v>0.15680099619449694</v>
      </c>
      <c r="DM300" s="334">
        <f t="shared" si="319"/>
        <v>9.8047920870137695E-2</v>
      </c>
      <c r="DN300" s="700">
        <f t="shared" si="319"/>
        <v>0.1281050755931965</v>
      </c>
      <c r="DO300" s="334">
        <f t="shared" si="319"/>
        <v>-0.20828384902935315</v>
      </c>
      <c r="DP300" s="334">
        <f t="shared" si="319"/>
        <v>-0.24533777263147938</v>
      </c>
      <c r="DQ300" s="700">
        <f t="shared" si="319"/>
        <v>-0.22888665703991229</v>
      </c>
      <c r="DR300" s="334">
        <f t="shared" si="319"/>
        <v>-8.0611136430786434E-2</v>
      </c>
      <c r="DS300" s="334">
        <f t="shared" si="319"/>
        <v>1.5984902963900316E-2</v>
      </c>
      <c r="DT300" s="700">
        <f t="shared" si="319"/>
        <v>-3.3045844556449322E-2</v>
      </c>
      <c r="DU300" s="334">
        <f t="shared" si="319"/>
        <v>-0.12786744343446332</v>
      </c>
      <c r="DV300" s="334">
        <f>DV299/DS299-1</f>
        <v>-0.18331784672227225</v>
      </c>
      <c r="DW300" s="700">
        <f>DW299/DT299-1</f>
        <v>-0.15688218934087506</v>
      </c>
      <c r="DX300" s="334">
        <f t="shared" si="319"/>
        <v>-9.2592592592591894E-3</v>
      </c>
      <c r="DY300" s="334">
        <f t="shared" si="319"/>
        <v>-7.1180250463739436E-2</v>
      </c>
      <c r="DZ300" s="700">
        <f t="shared" si="319"/>
        <v>-4.3077917391282528E-2</v>
      </c>
      <c r="EA300" s="334">
        <f t="shared" si="319"/>
        <v>-2.0934579439252254E-2</v>
      </c>
      <c r="EB300" s="334">
        <f t="shared" si="319"/>
        <v>-2.0934579439252254E-2</v>
      </c>
      <c r="EC300" s="700">
        <f t="shared" si="319"/>
        <v>-2.0934579439252365E-2</v>
      </c>
      <c r="ED300" s="334">
        <f t="shared" si="319"/>
        <v>-2.0934579439252476E-2</v>
      </c>
      <c r="EE300" s="334">
        <f t="shared" si="319"/>
        <v>-2.0934579439252476E-2</v>
      </c>
      <c r="EF300" s="700">
        <f t="shared" si="319"/>
        <v>-2.0934579439252254E-2</v>
      </c>
      <c r="EG300" s="334">
        <f t="shared" si="319"/>
        <v>-2.0934579439252365E-2</v>
      </c>
      <c r="EH300" s="334">
        <f t="shared" si="319"/>
        <v>-2.0934579439252254E-2</v>
      </c>
      <c r="EI300" s="700">
        <f t="shared" si="319"/>
        <v>-2.0934579439252476E-2</v>
      </c>
      <c r="EJ300" s="334">
        <f t="shared" si="319"/>
        <v>-2.0934579439252476E-2</v>
      </c>
      <c r="EK300" s="334">
        <f t="shared" si="319"/>
        <v>-2.0934579439252254E-2</v>
      </c>
      <c r="EL300" s="700">
        <f t="shared" si="319"/>
        <v>-2.0934579439252476E-2</v>
      </c>
      <c r="EM300" s="334">
        <f t="shared" ref="EM300:FA300" si="320">EM299/EJ299-1</f>
        <v>-2.0934579439252365E-2</v>
      </c>
      <c r="EN300" s="334">
        <f t="shared" si="320"/>
        <v>-2.0934579439252254E-2</v>
      </c>
      <c r="EO300" s="700">
        <f t="shared" si="320"/>
        <v>-2.0934579439251921E-2</v>
      </c>
      <c r="EP300" s="334">
        <f t="shared" si="320"/>
        <v>-2.0934579439252587E-2</v>
      </c>
      <c r="EQ300" s="334">
        <f t="shared" si="320"/>
        <v>-2.0934579439252476E-2</v>
      </c>
      <c r="ER300" s="700">
        <f t="shared" si="320"/>
        <v>-2.093457943925281E-2</v>
      </c>
      <c r="ES300" s="334">
        <f t="shared" si="320"/>
        <v>-2.0934579439252365E-2</v>
      </c>
      <c r="ET300" s="334">
        <f t="shared" si="320"/>
        <v>-2.0934579439252254E-2</v>
      </c>
      <c r="EU300" s="700">
        <f t="shared" si="320"/>
        <v>-2.0934579439252365E-2</v>
      </c>
      <c r="EV300" s="334">
        <f t="shared" si="320"/>
        <v>-2.0934579439252254E-2</v>
      </c>
      <c r="EW300" s="334">
        <f t="shared" si="320"/>
        <v>-2.0934579439252254E-2</v>
      </c>
      <c r="EX300" s="700">
        <f t="shared" si="320"/>
        <v>-2.0934579439252143E-2</v>
      </c>
      <c r="EY300" s="334">
        <f t="shared" si="320"/>
        <v>-2.0934579439252254E-2</v>
      </c>
      <c r="EZ300" s="334">
        <f t="shared" si="320"/>
        <v>-2.0934579439252365E-2</v>
      </c>
      <c r="FA300" s="523">
        <f t="shared" si="320"/>
        <v>-2.0934579439252365E-2</v>
      </c>
      <c r="FD300" s="422"/>
      <c r="FE300" s="433"/>
      <c r="FF300" s="433"/>
      <c r="FG300" s="433"/>
      <c r="FH300" s="433"/>
      <c r="FI300" s="433"/>
      <c r="FJ300" s="420"/>
      <c r="FK300" s="420"/>
      <c r="FL300" s="421"/>
      <c r="FM300" s="420"/>
      <c r="FN300" s="420"/>
      <c r="FO300" s="421"/>
      <c r="FP300" s="236"/>
      <c r="FS300" s="424"/>
    </row>
    <row r="301" spans="1:179" ht="13.35" customHeight="1">
      <c r="A301" s="760"/>
      <c r="E301" s="251"/>
      <c r="F301" s="251"/>
      <c r="G301" s="252"/>
      <c r="H301" s="251"/>
      <c r="I301" s="251"/>
      <c r="J301" s="252"/>
      <c r="K301" s="251"/>
      <c r="L301" s="251"/>
      <c r="M301" s="252"/>
      <c r="N301" s="251"/>
      <c r="O301" s="251"/>
      <c r="P301" s="252"/>
      <c r="Q301" s="251"/>
      <c r="R301" s="251"/>
      <c r="S301" s="252"/>
      <c r="T301" s="251"/>
      <c r="U301" s="251"/>
      <c r="V301" s="252"/>
      <c r="W301" s="251"/>
      <c r="X301" s="251"/>
      <c r="Y301" s="252"/>
      <c r="Z301" s="251"/>
      <c r="AA301" s="251"/>
      <c r="AB301" s="252"/>
      <c r="AC301" s="251"/>
      <c r="AD301" s="251"/>
      <c r="AE301" s="252"/>
      <c r="AF301" s="251"/>
      <c r="AG301" s="251"/>
      <c r="AH301" s="252"/>
      <c r="AI301" s="251"/>
      <c r="AJ301" s="251"/>
      <c r="AK301" s="252"/>
      <c r="AL301" s="251"/>
      <c r="AM301" s="251"/>
      <c r="AN301" s="252"/>
      <c r="AO301" s="251"/>
      <c r="AP301" s="251"/>
      <c r="AQ301" s="252"/>
      <c r="AR301" s="251"/>
      <c r="AS301" s="251"/>
      <c r="AT301" s="252"/>
      <c r="AU301" s="251"/>
      <c r="AV301" s="251"/>
      <c r="AW301" s="252"/>
      <c r="AX301" s="251"/>
      <c r="AY301" s="251"/>
      <c r="AZ301" s="252"/>
      <c r="BA301" s="251"/>
      <c r="BB301" s="251"/>
      <c r="BC301" s="252"/>
      <c r="BD301" s="251"/>
      <c r="BE301" s="251"/>
      <c r="BF301" s="252"/>
      <c r="BG301" s="251"/>
      <c r="BH301" s="251"/>
      <c r="BI301" s="252"/>
      <c r="BJ301" s="251"/>
      <c r="BK301" s="251"/>
      <c r="BL301" s="252"/>
      <c r="BM301" s="282"/>
      <c r="BN301" s="282"/>
      <c r="BO301" s="415"/>
      <c r="BP301" s="259"/>
      <c r="BQ301" s="259"/>
      <c r="BR301" s="260"/>
      <c r="BS301" s="259"/>
      <c r="BT301" s="259"/>
      <c r="BU301" s="261"/>
      <c r="BV301" s="259"/>
      <c r="BW301" s="259"/>
      <c r="BX301" s="260"/>
      <c r="BY301" s="259"/>
      <c r="BZ301" s="259"/>
      <c r="CA301" s="260"/>
      <c r="CB301" s="259"/>
      <c r="CC301" s="259"/>
      <c r="CD301" s="260"/>
      <c r="CE301" s="259"/>
      <c r="CF301" s="259"/>
      <c r="CG301" s="260"/>
      <c r="CH301" s="259"/>
      <c r="CI301" s="259"/>
      <c r="CJ301" s="260"/>
      <c r="CK301" s="259"/>
      <c r="CL301" s="259"/>
      <c r="CM301" s="260"/>
      <c r="CN301" s="259"/>
      <c r="CO301" s="259"/>
      <c r="CP301" s="260"/>
      <c r="CQ301" s="259"/>
      <c r="CR301" s="259"/>
      <c r="CS301" s="260"/>
      <c r="CT301" s="259"/>
      <c r="CU301" s="259"/>
      <c r="CV301" s="260"/>
      <c r="CW301" s="259"/>
      <c r="CX301" s="259"/>
      <c r="CY301" s="334"/>
      <c r="CZ301" s="333"/>
      <c r="DA301" s="333"/>
      <c r="DB301" s="334"/>
      <c r="DC301" s="333"/>
      <c r="DD301" s="333"/>
      <c r="DE301" s="788"/>
      <c r="DF301" s="333"/>
      <c r="DG301" s="333"/>
      <c r="DH301" s="788"/>
      <c r="DI301" s="334"/>
      <c r="DJ301" s="334"/>
      <c r="DK301" s="700"/>
      <c r="DL301" s="334"/>
      <c r="DM301" s="334"/>
      <c r="DN301" s="700"/>
      <c r="DO301" s="334"/>
      <c r="DP301" s="334"/>
      <c r="DQ301" s="700"/>
      <c r="DR301" s="334"/>
      <c r="DS301" s="334"/>
      <c r="DT301" s="700"/>
      <c r="DU301" s="334"/>
      <c r="DV301" s="334"/>
      <c r="DW301" s="700"/>
      <c r="DX301" s="334"/>
      <c r="DY301" s="334"/>
      <c r="DZ301" s="700"/>
      <c r="EA301" s="334"/>
      <c r="EB301" s="334"/>
      <c r="EC301" s="700"/>
      <c r="ED301" s="334"/>
      <c r="EE301" s="334"/>
      <c r="EF301" s="700"/>
      <c r="EG301" s="334"/>
      <c r="EH301" s="334"/>
      <c r="EI301" s="700"/>
      <c r="EJ301" s="334"/>
      <c r="EK301" s="334"/>
      <c r="EL301" s="700"/>
      <c r="EM301" s="334"/>
      <c r="EN301" s="334"/>
      <c r="EO301" s="700"/>
      <c r="EP301" s="334"/>
      <c r="EQ301" s="334"/>
      <c r="ER301" s="700"/>
      <c r="ES301" s="334"/>
      <c r="ET301" s="334"/>
      <c r="EU301" s="700"/>
      <c r="EV301" s="334"/>
      <c r="EW301" s="334"/>
      <c r="EX301" s="700"/>
      <c r="EY301" s="334"/>
      <c r="EZ301" s="334"/>
      <c r="FA301" s="523"/>
      <c r="FD301" s="422"/>
      <c r="FE301" s="433"/>
      <c r="FF301" s="433"/>
      <c r="FG301" s="433"/>
      <c r="FH301" s="433"/>
      <c r="FI301" s="433"/>
      <c r="FJ301" s="420"/>
      <c r="FK301" s="420"/>
      <c r="FL301" s="421"/>
      <c r="FM301" s="420"/>
      <c r="FN301" s="420"/>
      <c r="FO301" s="421"/>
      <c r="FP301" s="236"/>
      <c r="FS301" s="424"/>
    </row>
    <row r="302" spans="1:179" ht="13.35" customHeight="1">
      <c r="A302" s="760"/>
      <c r="C302" s="177" t="s">
        <v>1068</v>
      </c>
      <c r="E302" s="251"/>
      <c r="F302" s="251"/>
      <c r="G302" s="252"/>
      <c r="H302" s="251"/>
      <c r="I302" s="251"/>
      <c r="J302" s="252"/>
      <c r="K302" s="251"/>
      <c r="L302" s="251"/>
      <c r="M302" s="252"/>
      <c r="N302" s="251"/>
      <c r="O302" s="251"/>
      <c r="P302" s="252"/>
      <c r="Q302" s="251"/>
      <c r="R302" s="251"/>
      <c r="S302" s="252"/>
      <c r="T302" s="251"/>
      <c r="U302" s="251"/>
      <c r="V302" s="252"/>
      <c r="W302" s="251"/>
      <c r="X302" s="251"/>
      <c r="Y302" s="252"/>
      <c r="Z302" s="251"/>
      <c r="AA302" s="251"/>
      <c r="AB302" s="252"/>
      <c r="AC302" s="251"/>
      <c r="AD302" s="251"/>
      <c r="AE302" s="252"/>
      <c r="AF302" s="251"/>
      <c r="AG302" s="251"/>
      <c r="AH302" s="252"/>
      <c r="AI302" s="251"/>
      <c r="AJ302" s="251"/>
      <c r="AK302" s="252"/>
      <c r="AL302" s="251"/>
      <c r="AM302" s="251"/>
      <c r="AN302" s="252"/>
      <c r="AO302" s="251"/>
      <c r="AP302" s="251"/>
      <c r="AQ302" s="252"/>
      <c r="AR302" s="251"/>
      <c r="AS302" s="251"/>
      <c r="AT302" s="252"/>
      <c r="AU302" s="251"/>
      <c r="AV302" s="251"/>
      <c r="AW302" s="252"/>
      <c r="AX302" s="251"/>
      <c r="AY302" s="251"/>
      <c r="AZ302" s="252"/>
      <c r="BA302" s="251"/>
      <c r="BB302" s="251"/>
      <c r="BC302" s="252"/>
      <c r="BD302" s="251"/>
      <c r="BE302" s="251"/>
      <c r="BF302" s="252"/>
      <c r="BG302" s="251"/>
      <c r="BH302" s="251"/>
      <c r="BI302" s="252"/>
      <c r="BJ302" s="251"/>
      <c r="BK302" s="251"/>
      <c r="BL302" s="252"/>
      <c r="BM302" s="282"/>
      <c r="BN302" s="282"/>
      <c r="BO302" s="415"/>
      <c r="BP302" s="259"/>
      <c r="BQ302" s="259"/>
      <c r="BR302" s="260"/>
      <c r="BS302" s="259"/>
      <c r="BT302" s="259"/>
      <c r="BU302" s="261"/>
      <c r="BV302" s="259"/>
      <c r="BW302" s="259"/>
      <c r="BX302" s="260"/>
      <c r="BY302" s="259"/>
      <c r="BZ302" s="259"/>
      <c r="CA302" s="260"/>
      <c r="CB302" s="259"/>
      <c r="CC302" s="259"/>
      <c r="CD302" s="260"/>
      <c r="CE302" s="259"/>
      <c r="CF302" s="259"/>
      <c r="CG302" s="260"/>
      <c r="CH302" s="259"/>
      <c r="CI302" s="259"/>
      <c r="CJ302" s="260"/>
      <c r="CK302" s="259"/>
      <c r="CL302" s="259"/>
      <c r="CM302" s="260"/>
      <c r="CN302" s="259"/>
      <c r="CO302" s="259"/>
      <c r="CP302" s="260"/>
      <c r="CQ302" s="259"/>
      <c r="CR302" s="259"/>
      <c r="CS302" s="260"/>
      <c r="CT302" s="259"/>
      <c r="CU302" s="259"/>
      <c r="CV302" s="260"/>
      <c r="CW302" s="259"/>
      <c r="CX302" s="259"/>
      <c r="CY302" s="334"/>
      <c r="CZ302" s="333"/>
      <c r="DA302" s="333"/>
      <c r="DB302" s="334"/>
      <c r="DC302" s="333"/>
      <c r="DD302" s="333"/>
      <c r="DE302" s="788"/>
      <c r="DF302" s="333"/>
      <c r="DG302" s="333"/>
      <c r="DH302" s="788"/>
      <c r="DI302" s="334"/>
      <c r="DJ302" s="334"/>
      <c r="DK302" s="700"/>
      <c r="DL302" s="334"/>
      <c r="DM302" s="334"/>
      <c r="DN302" s="700"/>
      <c r="DO302" s="334"/>
      <c r="DP302" s="334"/>
      <c r="DQ302" s="700"/>
      <c r="DR302" s="334"/>
      <c r="DS302" s="334"/>
      <c r="DT302" s="700"/>
      <c r="DU302" s="1890">
        <v>451</v>
      </c>
      <c r="DV302" s="1888"/>
      <c r="DW302" s="1889"/>
      <c r="DX302" s="1890">
        <v>405</v>
      </c>
      <c r="DY302" s="1888"/>
      <c r="DZ302" s="1889"/>
      <c r="EA302" s="334"/>
      <c r="EB302" s="334"/>
      <c r="EC302" s="700"/>
      <c r="ED302" s="334"/>
      <c r="EE302" s="334"/>
      <c r="EF302" s="700"/>
      <c r="EG302" s="334"/>
      <c r="EH302" s="334"/>
      <c r="EI302" s="700"/>
      <c r="EJ302" s="334"/>
      <c r="EK302" s="334"/>
      <c r="EL302" s="700"/>
      <c r="EM302" s="334"/>
      <c r="EN302" s="334"/>
      <c r="EO302" s="700"/>
      <c r="EP302" s="334"/>
      <c r="EQ302" s="334"/>
      <c r="ER302" s="700"/>
      <c r="ES302" s="334"/>
      <c r="ET302" s="334"/>
      <c r="EU302" s="700"/>
      <c r="EV302" s="334"/>
      <c r="EW302" s="334"/>
      <c r="EX302" s="700"/>
      <c r="EY302" s="334"/>
      <c r="EZ302" s="334"/>
      <c r="FA302" s="523"/>
      <c r="FD302" s="422"/>
      <c r="FE302" s="433"/>
      <c r="FF302" s="433"/>
      <c r="FG302" s="433"/>
      <c r="FH302" s="433"/>
      <c r="FI302" s="433"/>
      <c r="FJ302" s="420"/>
      <c r="FK302" s="420"/>
      <c r="FL302" s="421"/>
      <c r="FM302" s="420"/>
      <c r="FN302" s="420"/>
      <c r="FO302" s="421"/>
      <c r="FP302" s="236"/>
      <c r="FS302" s="424"/>
    </row>
    <row r="303" spans="1:179" ht="13.35" customHeight="1">
      <c r="A303" s="760"/>
      <c r="E303" s="251"/>
      <c r="F303" s="251"/>
      <c r="G303" s="252"/>
      <c r="H303" s="251"/>
      <c r="I303" s="251"/>
      <c r="J303" s="252"/>
      <c r="K303" s="251"/>
      <c r="L303" s="251"/>
      <c r="M303" s="252"/>
      <c r="N303" s="251"/>
      <c r="O303" s="251"/>
      <c r="P303" s="252"/>
      <c r="Q303" s="251"/>
      <c r="R303" s="251"/>
      <c r="S303" s="252"/>
      <c r="T303" s="251"/>
      <c r="U303" s="251"/>
      <c r="V303" s="252"/>
      <c r="W303" s="251"/>
      <c r="X303" s="251"/>
      <c r="Y303" s="252"/>
      <c r="Z303" s="251"/>
      <c r="AA303" s="251"/>
      <c r="AB303" s="252"/>
      <c r="AC303" s="251"/>
      <c r="AD303" s="251"/>
      <c r="AE303" s="252"/>
      <c r="AF303" s="251"/>
      <c r="AG303" s="251"/>
      <c r="AH303" s="252"/>
      <c r="AI303" s="251"/>
      <c r="AJ303" s="251"/>
      <c r="AK303" s="252"/>
      <c r="AL303" s="251"/>
      <c r="AM303" s="251"/>
      <c r="AN303" s="252"/>
      <c r="AO303" s="251"/>
      <c r="AP303" s="251"/>
      <c r="AQ303" s="252"/>
      <c r="AR303" s="251"/>
      <c r="AS303" s="251"/>
      <c r="AT303" s="252"/>
      <c r="AU303" s="251"/>
      <c r="AV303" s="251"/>
      <c r="AW303" s="252"/>
      <c r="AX303" s="251"/>
      <c r="AY303" s="251"/>
      <c r="AZ303" s="252"/>
      <c r="BA303" s="251"/>
      <c r="BB303" s="251"/>
      <c r="BC303" s="252"/>
      <c r="BD303" s="251"/>
      <c r="BE303" s="251"/>
      <c r="BF303" s="252"/>
      <c r="BG303" s="251"/>
      <c r="BH303" s="251"/>
      <c r="BI303" s="252"/>
      <c r="BJ303" s="251"/>
      <c r="BK303" s="251"/>
      <c r="BL303" s="252"/>
      <c r="BM303" s="282"/>
      <c r="BN303" s="282"/>
      <c r="BO303" s="415"/>
      <c r="BP303" s="259"/>
      <c r="BQ303" s="259"/>
      <c r="BR303" s="260"/>
      <c r="BS303" s="259"/>
      <c r="BT303" s="259"/>
      <c r="BU303" s="261"/>
      <c r="BV303" s="259"/>
      <c r="BW303" s="259"/>
      <c r="BX303" s="260"/>
      <c r="BY303" s="259"/>
      <c r="BZ303" s="259"/>
      <c r="CA303" s="260"/>
      <c r="CB303" s="259"/>
      <c r="CC303" s="259"/>
      <c r="CD303" s="260"/>
      <c r="CE303" s="259"/>
      <c r="CF303" s="259"/>
      <c r="CG303" s="260"/>
      <c r="CH303" s="259"/>
      <c r="CI303" s="259"/>
      <c r="CJ303" s="260"/>
      <c r="CK303" s="259"/>
      <c r="CL303" s="259"/>
      <c r="CM303" s="260"/>
      <c r="CN303" s="259"/>
      <c r="CO303" s="259"/>
      <c r="CP303" s="260"/>
      <c r="CQ303" s="259"/>
      <c r="CR303" s="259"/>
      <c r="CS303" s="260"/>
      <c r="CT303" s="259"/>
      <c r="CU303" s="259"/>
      <c r="CV303" s="260"/>
      <c r="CW303" s="259"/>
      <c r="CX303" s="259"/>
      <c r="CY303" s="334"/>
      <c r="CZ303" s="333"/>
      <c r="DA303" s="333"/>
      <c r="DB303" s="334"/>
      <c r="DC303" s="333"/>
      <c r="DD303" s="333"/>
      <c r="DE303" s="788"/>
      <c r="DF303" s="333"/>
      <c r="DG303" s="333"/>
      <c r="DH303" s="788"/>
      <c r="DI303" s="334"/>
      <c r="DJ303" s="334"/>
      <c r="DK303" s="700"/>
      <c r="DL303" s="334"/>
      <c r="DM303" s="334"/>
      <c r="DN303" s="700"/>
      <c r="DO303" s="334"/>
      <c r="DP303" s="334"/>
      <c r="DQ303" s="700"/>
      <c r="DR303" s="334"/>
      <c r="DS303" s="334"/>
      <c r="DT303" s="700"/>
      <c r="DU303" s="1888"/>
      <c r="DV303" s="1888"/>
      <c r="DW303" s="1889"/>
      <c r="DX303" s="1888"/>
      <c r="DY303" s="1888"/>
      <c r="DZ303" s="1889"/>
      <c r="EA303" s="334"/>
      <c r="EB303" s="334"/>
      <c r="EC303" s="700"/>
      <c r="ED303" s="334"/>
      <c r="EE303" s="334"/>
      <c r="EF303" s="700"/>
      <c r="EG303" s="334"/>
      <c r="EH303" s="334"/>
      <c r="EI303" s="700"/>
      <c r="EJ303" s="334"/>
      <c r="EK303" s="334"/>
      <c r="EL303" s="700"/>
      <c r="EM303" s="334"/>
      <c r="EN303" s="334"/>
      <c r="EO303" s="700"/>
      <c r="EP303" s="334"/>
      <c r="EQ303" s="334"/>
      <c r="ER303" s="700"/>
      <c r="ES303" s="334"/>
      <c r="ET303" s="334"/>
      <c r="EU303" s="700"/>
      <c r="EV303" s="334"/>
      <c r="EW303" s="334"/>
      <c r="EX303" s="700"/>
      <c r="EY303" s="334"/>
      <c r="EZ303" s="334"/>
      <c r="FA303" s="523"/>
      <c r="FD303" s="422"/>
      <c r="FE303" s="433"/>
      <c r="FF303" s="433"/>
      <c r="FG303" s="433"/>
      <c r="FH303" s="433"/>
      <c r="FI303" s="433"/>
      <c r="FJ303" s="420"/>
      <c r="FK303" s="420"/>
      <c r="FL303" s="421"/>
      <c r="FM303" s="420"/>
      <c r="FN303" s="420"/>
      <c r="FO303" s="421"/>
      <c r="FP303" s="236"/>
      <c r="FS303" s="424"/>
    </row>
    <row r="304" spans="1:179" ht="13.35" customHeight="1">
      <c r="A304" s="760"/>
      <c r="C304" s="177" t="s">
        <v>1069</v>
      </c>
      <c r="E304" s="251"/>
      <c r="F304" s="251"/>
      <c r="G304" s="252"/>
      <c r="H304" s="251"/>
      <c r="I304" s="251"/>
      <c r="J304" s="252"/>
      <c r="K304" s="251"/>
      <c r="L304" s="251"/>
      <c r="M304" s="252"/>
      <c r="N304" s="251"/>
      <c r="O304" s="251"/>
      <c r="P304" s="252"/>
      <c r="Q304" s="251"/>
      <c r="R304" s="251"/>
      <c r="S304" s="252"/>
      <c r="T304" s="251"/>
      <c r="U304" s="251"/>
      <c r="V304" s="252"/>
      <c r="W304" s="251"/>
      <c r="X304" s="251"/>
      <c r="Y304" s="252"/>
      <c r="Z304" s="251"/>
      <c r="AA304" s="251"/>
      <c r="AB304" s="252"/>
      <c r="AC304" s="251"/>
      <c r="AD304" s="251"/>
      <c r="AE304" s="252"/>
      <c r="AF304" s="251"/>
      <c r="AG304" s="251"/>
      <c r="AH304" s="252"/>
      <c r="AI304" s="251"/>
      <c r="AJ304" s="251"/>
      <c r="AK304" s="252"/>
      <c r="AL304" s="251"/>
      <c r="AM304" s="251"/>
      <c r="AN304" s="252"/>
      <c r="AO304" s="251"/>
      <c r="AP304" s="251"/>
      <c r="AQ304" s="252"/>
      <c r="AR304" s="251"/>
      <c r="AS304" s="251"/>
      <c r="AT304" s="252"/>
      <c r="AU304" s="251"/>
      <c r="AV304" s="251"/>
      <c r="AW304" s="252"/>
      <c r="AX304" s="251"/>
      <c r="AY304" s="251"/>
      <c r="AZ304" s="252"/>
      <c r="BA304" s="251"/>
      <c r="BB304" s="251"/>
      <c r="BC304" s="252"/>
      <c r="BD304" s="251"/>
      <c r="BE304" s="251"/>
      <c r="BF304" s="252"/>
      <c r="BG304" s="251"/>
      <c r="BH304" s="251"/>
      <c r="BI304" s="252"/>
      <c r="BJ304" s="251"/>
      <c r="BK304" s="251"/>
      <c r="BL304" s="252"/>
      <c r="BM304" s="282"/>
      <c r="BN304" s="282"/>
      <c r="BO304" s="415"/>
      <c r="BP304" s="259"/>
      <c r="BQ304" s="259"/>
      <c r="BR304" s="260"/>
      <c r="BS304" s="259"/>
      <c r="BT304" s="259"/>
      <c r="BU304" s="261"/>
      <c r="BV304" s="259"/>
      <c r="BW304" s="259"/>
      <c r="BX304" s="260"/>
      <c r="BY304" s="259"/>
      <c r="BZ304" s="259"/>
      <c r="CA304" s="260"/>
      <c r="CB304" s="259"/>
      <c r="CC304" s="259"/>
      <c r="CD304" s="260"/>
      <c r="CE304" s="259"/>
      <c r="CF304" s="259"/>
      <c r="CG304" s="260"/>
      <c r="CH304" s="259"/>
      <c r="CI304" s="259"/>
      <c r="CJ304" s="260"/>
      <c r="CK304" s="259"/>
      <c r="CL304" s="259"/>
      <c r="CM304" s="260"/>
      <c r="CN304" s="259"/>
      <c r="CO304" s="259"/>
      <c r="CP304" s="260"/>
      <c r="CQ304" s="259"/>
      <c r="CR304" s="259"/>
      <c r="CS304" s="260"/>
      <c r="CT304" s="259"/>
      <c r="CU304" s="259"/>
      <c r="CV304" s="260"/>
      <c r="CW304" s="259"/>
      <c r="CX304" s="259"/>
      <c r="CY304" s="334"/>
      <c r="CZ304" s="333"/>
      <c r="DA304" s="333"/>
      <c r="DB304" s="334"/>
      <c r="DC304" s="333"/>
      <c r="DD304" s="333"/>
      <c r="DE304" s="788"/>
      <c r="DF304" s="333"/>
      <c r="DG304" s="333"/>
      <c r="DH304" s="788"/>
      <c r="DI304" s="334"/>
      <c r="DJ304" s="334"/>
      <c r="DK304" s="700"/>
      <c r="DL304" s="334"/>
      <c r="DM304" s="334"/>
      <c r="DN304" s="700"/>
      <c r="DO304" s="334"/>
      <c r="DP304" s="334"/>
      <c r="DQ304" s="700"/>
      <c r="DR304" s="334"/>
      <c r="DS304" s="334"/>
      <c r="DT304" s="700"/>
      <c r="DU304" s="1888"/>
      <c r="DV304" s="1888"/>
      <c r="DW304" s="1889"/>
      <c r="DX304" s="1890">
        <v>746</v>
      </c>
      <c r="DY304" s="1888"/>
      <c r="DZ304" s="1889"/>
      <c r="EA304" s="334"/>
      <c r="EB304" s="334"/>
      <c r="EC304" s="700"/>
      <c r="ED304" s="334"/>
      <c r="EE304" s="334"/>
      <c r="EF304" s="700"/>
      <c r="EG304" s="334"/>
      <c r="EH304" s="334"/>
      <c r="EI304" s="700"/>
      <c r="EJ304" s="334"/>
      <c r="EK304" s="334"/>
      <c r="EL304" s="700"/>
      <c r="EM304" s="334"/>
      <c r="EN304" s="334"/>
      <c r="EO304" s="700"/>
      <c r="EP304" s="334"/>
      <c r="EQ304" s="334"/>
      <c r="ER304" s="700"/>
      <c r="ES304" s="334"/>
      <c r="ET304" s="334"/>
      <c r="EU304" s="700"/>
      <c r="EV304" s="334"/>
      <c r="EW304" s="334"/>
      <c r="EX304" s="700"/>
      <c r="EY304" s="334"/>
      <c r="EZ304" s="334"/>
      <c r="FA304" s="523"/>
      <c r="FD304" s="422"/>
      <c r="FE304" s="433"/>
      <c r="FF304" s="433"/>
      <c r="FG304" s="433"/>
      <c r="FH304" s="433"/>
      <c r="FI304" s="433"/>
      <c r="FJ304" s="420"/>
      <c r="FK304" s="420"/>
      <c r="FL304" s="421"/>
      <c r="FM304" s="420"/>
      <c r="FN304" s="420"/>
      <c r="FO304" s="421"/>
      <c r="FP304" s="236"/>
      <c r="FS304" s="424"/>
    </row>
    <row r="305" spans="1:175" ht="13.35" customHeight="1">
      <c r="A305" s="760"/>
      <c r="E305" s="251"/>
      <c r="F305" s="251"/>
      <c r="G305" s="252"/>
      <c r="H305" s="251"/>
      <c r="I305" s="251"/>
      <c r="J305" s="252"/>
      <c r="K305" s="251"/>
      <c r="L305" s="251"/>
      <c r="M305" s="252"/>
      <c r="N305" s="251"/>
      <c r="O305" s="251"/>
      <c r="P305" s="252"/>
      <c r="Q305" s="251"/>
      <c r="R305" s="251"/>
      <c r="S305" s="252"/>
      <c r="T305" s="251"/>
      <c r="U305" s="251"/>
      <c r="V305" s="252"/>
      <c r="W305" s="251"/>
      <c r="X305" s="251"/>
      <c r="Y305" s="252"/>
      <c r="Z305" s="251"/>
      <c r="AA305" s="251"/>
      <c r="AB305" s="252"/>
      <c r="AC305" s="251"/>
      <c r="AD305" s="251"/>
      <c r="AE305" s="252"/>
      <c r="AF305" s="251"/>
      <c r="AG305" s="251"/>
      <c r="AH305" s="252"/>
      <c r="AI305" s="251"/>
      <c r="AJ305" s="251"/>
      <c r="AK305" s="252"/>
      <c r="AL305" s="251"/>
      <c r="AM305" s="251"/>
      <c r="AN305" s="252"/>
      <c r="AO305" s="251"/>
      <c r="AP305" s="251"/>
      <c r="AQ305" s="252"/>
      <c r="AR305" s="251"/>
      <c r="AS305" s="251"/>
      <c r="AT305" s="252"/>
      <c r="AU305" s="251"/>
      <c r="AV305" s="251"/>
      <c r="AW305" s="252"/>
      <c r="AX305" s="251"/>
      <c r="AY305" s="251"/>
      <c r="AZ305" s="252"/>
      <c r="BA305" s="251"/>
      <c r="BB305" s="251"/>
      <c r="BC305" s="252"/>
      <c r="BD305" s="251"/>
      <c r="BE305" s="251"/>
      <c r="BF305" s="252"/>
      <c r="BG305" s="251"/>
      <c r="BH305" s="251"/>
      <c r="BI305" s="252"/>
      <c r="BJ305" s="251"/>
      <c r="BK305" s="251"/>
      <c r="BL305" s="252"/>
      <c r="BM305" s="282"/>
      <c r="BN305" s="282"/>
      <c r="BO305" s="415"/>
      <c r="BP305" s="259"/>
      <c r="BQ305" s="259"/>
      <c r="BR305" s="260"/>
      <c r="BS305" s="259"/>
      <c r="BT305" s="259"/>
      <c r="BU305" s="261"/>
      <c r="BV305" s="259"/>
      <c r="BW305" s="259"/>
      <c r="BX305" s="260"/>
      <c r="BY305" s="259"/>
      <c r="BZ305" s="259"/>
      <c r="CA305" s="260"/>
      <c r="CB305" s="259"/>
      <c r="CC305" s="259"/>
      <c r="CD305" s="260"/>
      <c r="CE305" s="259"/>
      <c r="CF305" s="259"/>
      <c r="CG305" s="260"/>
      <c r="CH305" s="259"/>
      <c r="CI305" s="259"/>
      <c r="CJ305" s="260"/>
      <c r="CK305" s="259"/>
      <c r="CL305" s="259"/>
      <c r="CM305" s="260"/>
      <c r="CN305" s="259"/>
      <c r="CO305" s="259"/>
      <c r="CP305" s="260"/>
      <c r="CQ305" s="259"/>
      <c r="CR305" s="259"/>
      <c r="CS305" s="260"/>
      <c r="CT305" s="259"/>
      <c r="CU305" s="259"/>
      <c r="CV305" s="260"/>
      <c r="CW305" s="259"/>
      <c r="CX305" s="259"/>
      <c r="CY305" s="334"/>
      <c r="CZ305" s="333"/>
      <c r="DA305" s="333"/>
      <c r="DB305" s="334"/>
      <c r="DC305" s="333"/>
      <c r="DD305" s="333"/>
      <c r="DE305" s="788"/>
      <c r="DF305" s="333"/>
      <c r="DG305" s="333"/>
      <c r="DH305" s="788"/>
      <c r="DI305" s="334"/>
      <c r="DJ305" s="334"/>
      <c r="DK305" s="700"/>
      <c r="DL305" s="334"/>
      <c r="DM305" s="334"/>
      <c r="DN305" s="700"/>
      <c r="DO305" s="334"/>
      <c r="DP305" s="334"/>
      <c r="DQ305" s="700"/>
      <c r="DR305" s="334"/>
      <c r="DS305" s="334"/>
      <c r="DT305" s="700"/>
      <c r="DU305" s="1888"/>
      <c r="DV305" s="1888"/>
      <c r="DW305" s="1889"/>
      <c r="DX305" s="1888"/>
      <c r="DY305" s="1888"/>
      <c r="DZ305" s="1889"/>
      <c r="EA305" s="334"/>
      <c r="EB305" s="334"/>
      <c r="EC305" s="700"/>
      <c r="ED305" s="334"/>
      <c r="EE305" s="334"/>
      <c r="EF305" s="700"/>
      <c r="EG305" s="334"/>
      <c r="EH305" s="334"/>
      <c r="EI305" s="700"/>
      <c r="EJ305" s="334"/>
      <c r="EK305" s="334"/>
      <c r="EL305" s="700"/>
      <c r="EM305" s="334"/>
      <c r="EN305" s="334"/>
      <c r="EO305" s="700"/>
      <c r="EP305" s="334"/>
      <c r="EQ305" s="334"/>
      <c r="ER305" s="700"/>
      <c r="ES305" s="334"/>
      <c r="ET305" s="334"/>
      <c r="EU305" s="700"/>
      <c r="EV305" s="334"/>
      <c r="EW305" s="334"/>
      <c r="EX305" s="700"/>
      <c r="EY305" s="334"/>
      <c r="EZ305" s="334"/>
      <c r="FA305" s="523"/>
      <c r="FD305" s="422"/>
      <c r="FE305" s="433"/>
      <c r="FF305" s="433"/>
      <c r="FG305" s="433"/>
      <c r="FH305" s="433"/>
      <c r="FI305" s="433"/>
      <c r="FJ305" s="420"/>
      <c r="FK305" s="420"/>
      <c r="FL305" s="421"/>
      <c r="FM305" s="420"/>
      <c r="FN305" s="420"/>
      <c r="FO305" s="421"/>
      <c r="FP305" s="236"/>
      <c r="FS305" s="424"/>
    </row>
    <row r="306" spans="1:175" ht="13.35" customHeight="1">
      <c r="A306" s="760"/>
      <c r="C306" s="177" t="s">
        <v>1070</v>
      </c>
      <c r="E306" s="251"/>
      <c r="F306" s="251"/>
      <c r="G306" s="252"/>
      <c r="H306" s="251"/>
      <c r="I306" s="251"/>
      <c r="J306" s="252"/>
      <c r="K306" s="251"/>
      <c r="L306" s="251"/>
      <c r="M306" s="252"/>
      <c r="N306" s="251"/>
      <c r="O306" s="251"/>
      <c r="P306" s="252"/>
      <c r="Q306" s="251"/>
      <c r="R306" s="251"/>
      <c r="S306" s="252"/>
      <c r="T306" s="251"/>
      <c r="U306" s="251"/>
      <c r="V306" s="252"/>
      <c r="W306" s="251"/>
      <c r="X306" s="251"/>
      <c r="Y306" s="252"/>
      <c r="Z306" s="251"/>
      <c r="AA306" s="251"/>
      <c r="AB306" s="252"/>
      <c r="AC306" s="251"/>
      <c r="AD306" s="251"/>
      <c r="AE306" s="252"/>
      <c r="AF306" s="251"/>
      <c r="AG306" s="251"/>
      <c r="AH306" s="252"/>
      <c r="AI306" s="251"/>
      <c r="AJ306" s="251"/>
      <c r="AK306" s="252"/>
      <c r="AL306" s="251"/>
      <c r="AM306" s="251"/>
      <c r="AN306" s="252"/>
      <c r="AO306" s="251"/>
      <c r="AP306" s="251"/>
      <c r="AQ306" s="252"/>
      <c r="AR306" s="251"/>
      <c r="AS306" s="251"/>
      <c r="AT306" s="252"/>
      <c r="AU306" s="251"/>
      <c r="AV306" s="251"/>
      <c r="AW306" s="252"/>
      <c r="AX306" s="251"/>
      <c r="AY306" s="251"/>
      <c r="AZ306" s="252"/>
      <c r="BA306" s="251"/>
      <c r="BB306" s="251"/>
      <c r="BC306" s="252"/>
      <c r="BD306" s="251"/>
      <c r="BE306" s="251"/>
      <c r="BF306" s="252"/>
      <c r="BG306" s="251"/>
      <c r="BH306" s="251"/>
      <c r="BI306" s="252"/>
      <c r="BJ306" s="251"/>
      <c r="BK306" s="251"/>
      <c r="BL306" s="252"/>
      <c r="BM306" s="282"/>
      <c r="BN306" s="282"/>
      <c r="BO306" s="415"/>
      <c r="BP306" s="259"/>
      <c r="BQ306" s="259"/>
      <c r="BR306" s="260"/>
      <c r="BS306" s="259"/>
      <c r="BT306" s="259"/>
      <c r="BU306" s="261"/>
      <c r="BV306" s="259"/>
      <c r="BW306" s="259"/>
      <c r="BX306" s="260"/>
      <c r="BY306" s="259"/>
      <c r="BZ306" s="259"/>
      <c r="CA306" s="260"/>
      <c r="CB306" s="259"/>
      <c r="CC306" s="259"/>
      <c r="CD306" s="260"/>
      <c r="CE306" s="259"/>
      <c r="CF306" s="259"/>
      <c r="CG306" s="260"/>
      <c r="CH306" s="259"/>
      <c r="CI306" s="259"/>
      <c r="CJ306" s="260"/>
      <c r="CK306" s="259"/>
      <c r="CL306" s="259"/>
      <c r="CM306" s="260"/>
      <c r="CN306" s="259"/>
      <c r="CO306" s="259"/>
      <c r="CP306" s="260"/>
      <c r="CQ306" s="259"/>
      <c r="CR306" s="259"/>
      <c r="CS306" s="260"/>
      <c r="CT306" s="259"/>
      <c r="CU306" s="259"/>
      <c r="CV306" s="260"/>
      <c r="CW306" s="259"/>
      <c r="CX306" s="259"/>
      <c r="CY306" s="334"/>
      <c r="CZ306" s="333"/>
      <c r="DA306" s="333"/>
      <c r="DB306" s="334"/>
      <c r="DC306" s="333"/>
      <c r="DD306" s="333"/>
      <c r="DE306" s="788"/>
      <c r="DF306" s="333"/>
      <c r="DG306" s="333"/>
      <c r="DH306" s="788"/>
      <c r="DI306" s="334"/>
      <c r="DJ306" s="334"/>
      <c r="DK306" s="700"/>
      <c r="DL306" s="334"/>
      <c r="DM306" s="334"/>
      <c r="DN306" s="700"/>
      <c r="DO306" s="334"/>
      <c r="DP306" s="334"/>
      <c r="DQ306" s="700"/>
      <c r="DR306" s="334"/>
      <c r="DS306" s="334"/>
      <c r="DT306" s="700"/>
      <c r="DU306" s="1890">
        <v>467</v>
      </c>
      <c r="DV306" s="1888"/>
      <c r="DW306" s="1889"/>
      <c r="DX306" s="1888"/>
      <c r="DY306" s="1888"/>
      <c r="DZ306" s="1889"/>
      <c r="EA306" s="334"/>
      <c r="EB306" s="334"/>
      <c r="EC306" s="700"/>
      <c r="ED306" s="334"/>
      <c r="EE306" s="334"/>
      <c r="EF306" s="700"/>
      <c r="EG306" s="334"/>
      <c r="EH306" s="334"/>
      <c r="EI306" s="700"/>
      <c r="EJ306" s="334"/>
      <c r="EK306" s="334"/>
      <c r="EL306" s="700"/>
      <c r="EM306" s="334"/>
      <c r="EN306" s="334"/>
      <c r="EO306" s="700"/>
      <c r="EP306" s="334"/>
      <c r="EQ306" s="334"/>
      <c r="ER306" s="700"/>
      <c r="ES306" s="334"/>
      <c r="ET306" s="334"/>
      <c r="EU306" s="700"/>
      <c r="EV306" s="334"/>
      <c r="EW306" s="334"/>
      <c r="EX306" s="700"/>
      <c r="EY306" s="334"/>
      <c r="EZ306" s="334"/>
      <c r="FA306" s="523"/>
      <c r="FD306" s="422"/>
      <c r="FE306" s="433"/>
      <c r="FF306" s="433"/>
      <c r="FG306" s="433"/>
      <c r="FH306" s="433"/>
      <c r="FI306" s="433"/>
      <c r="FJ306" s="420"/>
      <c r="FK306" s="420"/>
      <c r="FL306" s="421"/>
      <c r="FM306" s="420"/>
      <c r="FN306" s="420"/>
      <c r="FO306" s="421"/>
      <c r="FP306" s="236"/>
      <c r="FS306" s="424"/>
    </row>
    <row r="307" spans="1:175" ht="13.35" customHeight="1">
      <c r="A307" s="760"/>
      <c r="E307" s="251"/>
      <c r="F307" s="251"/>
      <c r="G307" s="252"/>
      <c r="H307" s="251"/>
      <c r="I307" s="251"/>
      <c r="J307" s="252"/>
      <c r="K307" s="251"/>
      <c r="L307" s="251"/>
      <c r="M307" s="252"/>
      <c r="N307" s="251"/>
      <c r="O307" s="251"/>
      <c r="P307" s="252"/>
      <c r="Q307" s="251"/>
      <c r="R307" s="251"/>
      <c r="S307" s="252"/>
      <c r="T307" s="251"/>
      <c r="U307" s="251"/>
      <c r="V307" s="252"/>
      <c r="W307" s="251"/>
      <c r="X307" s="251"/>
      <c r="Y307" s="252"/>
      <c r="Z307" s="251"/>
      <c r="AA307" s="251"/>
      <c r="AB307" s="252"/>
      <c r="AC307" s="251"/>
      <c r="AD307" s="251"/>
      <c r="AE307" s="252"/>
      <c r="AF307" s="251"/>
      <c r="AG307" s="251"/>
      <c r="AH307" s="252"/>
      <c r="AI307" s="251"/>
      <c r="AJ307" s="251"/>
      <c r="AK307" s="252"/>
      <c r="AL307" s="251"/>
      <c r="AM307" s="251"/>
      <c r="AN307" s="252"/>
      <c r="AO307" s="251"/>
      <c r="AP307" s="251"/>
      <c r="AQ307" s="252"/>
      <c r="AR307" s="251"/>
      <c r="AS307" s="251"/>
      <c r="AT307" s="252"/>
      <c r="AU307" s="251"/>
      <c r="AV307" s="251"/>
      <c r="AW307" s="252"/>
      <c r="AX307" s="251"/>
      <c r="AY307" s="251"/>
      <c r="AZ307" s="252"/>
      <c r="BA307" s="251"/>
      <c r="BB307" s="251"/>
      <c r="BC307" s="252"/>
      <c r="BD307" s="251"/>
      <c r="BE307" s="251"/>
      <c r="BF307" s="252"/>
      <c r="BG307" s="251"/>
      <c r="BH307" s="251"/>
      <c r="BI307" s="252"/>
      <c r="BJ307" s="251"/>
      <c r="BK307" s="251"/>
      <c r="BL307" s="252"/>
      <c r="BM307" s="282"/>
      <c r="BN307" s="282"/>
      <c r="BO307" s="415"/>
      <c r="BP307" s="259"/>
      <c r="BQ307" s="259"/>
      <c r="BR307" s="260"/>
      <c r="BS307" s="259"/>
      <c r="BT307" s="259"/>
      <c r="BU307" s="261"/>
      <c r="BV307" s="259"/>
      <c r="BW307" s="259"/>
      <c r="BX307" s="260"/>
      <c r="BY307" s="259"/>
      <c r="BZ307" s="259"/>
      <c r="CA307" s="260"/>
      <c r="CB307" s="259"/>
      <c r="CC307" s="259"/>
      <c r="CD307" s="260"/>
      <c r="CE307" s="259"/>
      <c r="CF307" s="259"/>
      <c r="CG307" s="260"/>
      <c r="CH307" s="259"/>
      <c r="CI307" s="259"/>
      <c r="CJ307" s="260"/>
      <c r="CK307" s="259"/>
      <c r="CL307" s="259"/>
      <c r="CM307" s="260"/>
      <c r="CN307" s="259"/>
      <c r="CO307" s="259"/>
      <c r="CP307" s="260"/>
      <c r="CQ307" s="259"/>
      <c r="CR307" s="259"/>
      <c r="CS307" s="260"/>
      <c r="CT307" s="259"/>
      <c r="CU307" s="259"/>
      <c r="CV307" s="260"/>
      <c r="CW307" s="259"/>
      <c r="CX307" s="259"/>
      <c r="CY307" s="334"/>
      <c r="CZ307" s="333"/>
      <c r="DA307" s="333"/>
      <c r="DB307" s="334"/>
      <c r="DC307" s="333"/>
      <c r="DD307" s="333"/>
      <c r="DE307" s="788"/>
      <c r="DF307" s="333"/>
      <c r="DG307" s="333"/>
      <c r="DH307" s="788"/>
      <c r="DI307" s="334"/>
      <c r="DJ307" s="334"/>
      <c r="DK307" s="700"/>
      <c r="DL307" s="334"/>
      <c r="DM307" s="334"/>
      <c r="DN307" s="700"/>
      <c r="DO307" s="334"/>
      <c r="DP307" s="334"/>
      <c r="DQ307" s="700"/>
      <c r="DR307" s="334"/>
      <c r="DS307" s="334"/>
      <c r="DT307" s="700"/>
      <c r="DU307" s="1888"/>
      <c r="DV307" s="1888"/>
      <c r="DW307" s="1889"/>
      <c r="DX307" s="1888"/>
      <c r="DY307" s="1888"/>
      <c r="DZ307" s="1889"/>
      <c r="EA307" s="334"/>
      <c r="EB307" s="334"/>
      <c r="EC307" s="700"/>
      <c r="ED307" s="334"/>
      <c r="EE307" s="334"/>
      <c r="EF307" s="700"/>
      <c r="EG307" s="334"/>
      <c r="EH307" s="334"/>
      <c r="EI307" s="700"/>
      <c r="EJ307" s="334"/>
      <c r="EK307" s="334"/>
      <c r="EL307" s="700"/>
      <c r="EM307" s="334"/>
      <c r="EN307" s="334"/>
      <c r="EO307" s="700"/>
      <c r="EP307" s="334"/>
      <c r="EQ307" s="334"/>
      <c r="ER307" s="700"/>
      <c r="ES307" s="334"/>
      <c r="ET307" s="334"/>
      <c r="EU307" s="700"/>
      <c r="EV307" s="334"/>
      <c r="EW307" s="334"/>
      <c r="EX307" s="700"/>
      <c r="EY307" s="334"/>
      <c r="EZ307" s="334"/>
      <c r="FA307" s="523"/>
      <c r="FD307" s="422"/>
      <c r="FE307" s="433"/>
      <c r="FF307" s="433"/>
      <c r="FG307" s="433"/>
      <c r="FH307" s="433"/>
      <c r="FI307" s="433"/>
      <c r="FJ307" s="420"/>
      <c r="FK307" s="420"/>
      <c r="FL307" s="421"/>
      <c r="FM307" s="420"/>
      <c r="FN307" s="420"/>
      <c r="FO307" s="421"/>
      <c r="FP307" s="236"/>
      <c r="FS307" s="424"/>
    </row>
    <row r="308" spans="1:175" ht="13.35" customHeight="1">
      <c r="A308" s="760"/>
      <c r="C308" s="177" t="s">
        <v>1072</v>
      </c>
      <c r="E308" s="251"/>
      <c r="F308" s="251"/>
      <c r="G308" s="252"/>
      <c r="H308" s="251"/>
      <c r="I308" s="251"/>
      <c r="J308" s="252"/>
      <c r="K308" s="251"/>
      <c r="L308" s="251"/>
      <c r="M308" s="252"/>
      <c r="N308" s="251"/>
      <c r="O308" s="251"/>
      <c r="P308" s="252"/>
      <c r="Q308" s="251"/>
      <c r="R308" s="251"/>
      <c r="S308" s="252"/>
      <c r="T308" s="251"/>
      <c r="U308" s="251"/>
      <c r="V308" s="252"/>
      <c r="W308" s="251"/>
      <c r="X308" s="251"/>
      <c r="Y308" s="252"/>
      <c r="Z308" s="251"/>
      <c r="AA308" s="251"/>
      <c r="AB308" s="252"/>
      <c r="AC308" s="251"/>
      <c r="AD308" s="251"/>
      <c r="AE308" s="252"/>
      <c r="AF308" s="251"/>
      <c r="AG308" s="251"/>
      <c r="AH308" s="252"/>
      <c r="AI308" s="251"/>
      <c r="AJ308" s="251"/>
      <c r="AK308" s="252"/>
      <c r="AL308" s="251"/>
      <c r="AM308" s="251"/>
      <c r="AN308" s="252"/>
      <c r="AO308" s="251"/>
      <c r="AP308" s="251"/>
      <c r="AQ308" s="252"/>
      <c r="AR308" s="251"/>
      <c r="AS308" s="251"/>
      <c r="AT308" s="252"/>
      <c r="AU308" s="251"/>
      <c r="AV308" s="251"/>
      <c r="AW308" s="252"/>
      <c r="AX308" s="251"/>
      <c r="AY308" s="251"/>
      <c r="AZ308" s="252"/>
      <c r="BA308" s="251"/>
      <c r="BB308" s="251"/>
      <c r="BC308" s="252"/>
      <c r="BD308" s="251"/>
      <c r="BE308" s="251"/>
      <c r="BF308" s="252"/>
      <c r="BG308" s="251"/>
      <c r="BH308" s="251"/>
      <c r="BI308" s="252"/>
      <c r="BJ308" s="251"/>
      <c r="BK308" s="251"/>
      <c r="BL308" s="252"/>
      <c r="BM308" s="282"/>
      <c r="BN308" s="282"/>
      <c r="BO308" s="415"/>
      <c r="BP308" s="259"/>
      <c r="BQ308" s="259"/>
      <c r="BR308" s="260"/>
      <c r="BS308" s="259"/>
      <c r="BT308" s="259"/>
      <c r="BU308" s="261"/>
      <c r="BV308" s="259"/>
      <c r="BW308" s="259"/>
      <c r="BX308" s="260"/>
      <c r="BY308" s="259"/>
      <c r="BZ308" s="259"/>
      <c r="CA308" s="260"/>
      <c r="CB308" s="259"/>
      <c r="CC308" s="259"/>
      <c r="CD308" s="260"/>
      <c r="CE308" s="259"/>
      <c r="CF308" s="259"/>
      <c r="CG308" s="260"/>
      <c r="CH308" s="259"/>
      <c r="CI308" s="259"/>
      <c r="CJ308" s="260"/>
      <c r="CK308" s="259"/>
      <c r="CL308" s="259"/>
      <c r="CM308" s="260"/>
      <c r="CN308" s="259"/>
      <c r="CO308" s="259"/>
      <c r="CP308" s="260"/>
      <c r="CQ308" s="259"/>
      <c r="CR308" s="259"/>
      <c r="CS308" s="260"/>
      <c r="CT308" s="259"/>
      <c r="CU308" s="259"/>
      <c r="CV308" s="260"/>
      <c r="CW308" s="259"/>
      <c r="CX308" s="259"/>
      <c r="CY308" s="334"/>
      <c r="CZ308" s="333"/>
      <c r="DA308" s="333"/>
      <c r="DB308" s="334"/>
      <c r="DC308" s="333"/>
      <c r="DD308" s="333"/>
      <c r="DE308" s="788"/>
      <c r="DF308" s="333"/>
      <c r="DG308" s="333"/>
      <c r="DH308" s="788"/>
      <c r="DI308" s="334"/>
      <c r="DJ308" s="334"/>
      <c r="DK308" s="700"/>
      <c r="DL308" s="334"/>
      <c r="DM308" s="334"/>
      <c r="DN308" s="700"/>
      <c r="DO308" s="334"/>
      <c r="DP308" s="334"/>
      <c r="DQ308" s="700"/>
      <c r="DR308" s="334"/>
      <c r="DS308" s="334"/>
      <c r="DT308" s="700"/>
      <c r="DU308" s="1890">
        <v>216</v>
      </c>
      <c r="DV308" s="1888"/>
      <c r="DW308" s="1889"/>
      <c r="DX308" s="1888"/>
      <c r="DY308" s="1888"/>
      <c r="DZ308" s="1889"/>
      <c r="EA308" s="334"/>
      <c r="EB308" s="334"/>
      <c r="EC308" s="700"/>
      <c r="ED308" s="334"/>
      <c r="EE308" s="334"/>
      <c r="EF308" s="700"/>
      <c r="EG308" s="334"/>
      <c r="EH308" s="334"/>
      <c r="EI308" s="700"/>
      <c r="EJ308" s="334"/>
      <c r="EK308" s="334"/>
      <c r="EL308" s="700"/>
      <c r="EM308" s="334"/>
      <c r="EN308" s="334"/>
      <c r="EO308" s="700"/>
      <c r="EP308" s="334"/>
      <c r="EQ308" s="334"/>
      <c r="ER308" s="700"/>
      <c r="ES308" s="334"/>
      <c r="ET308" s="334"/>
      <c r="EU308" s="700"/>
      <c r="EV308" s="334"/>
      <c r="EW308" s="334"/>
      <c r="EX308" s="700"/>
      <c r="EY308" s="334"/>
      <c r="EZ308" s="334"/>
      <c r="FA308" s="523"/>
      <c r="FD308" s="422"/>
      <c r="FE308" s="433"/>
      <c r="FF308" s="433"/>
      <c r="FG308" s="433"/>
      <c r="FH308" s="433"/>
      <c r="FI308" s="433"/>
      <c r="FJ308" s="420"/>
      <c r="FK308" s="420"/>
      <c r="FL308" s="421"/>
      <c r="FM308" s="420"/>
      <c r="FN308" s="420"/>
      <c r="FO308" s="421"/>
      <c r="FP308" s="236"/>
      <c r="FS308" s="424"/>
    </row>
    <row r="309" spans="1:175" ht="13.35" customHeight="1">
      <c r="A309" s="760"/>
      <c r="E309" s="251"/>
      <c r="F309" s="251"/>
      <c r="G309" s="252"/>
      <c r="H309" s="251"/>
      <c r="I309" s="251"/>
      <c r="J309" s="252"/>
      <c r="K309" s="251"/>
      <c r="L309" s="251"/>
      <c r="M309" s="252"/>
      <c r="N309" s="251"/>
      <c r="O309" s="251"/>
      <c r="P309" s="252"/>
      <c r="Q309" s="251"/>
      <c r="R309" s="251"/>
      <c r="S309" s="252"/>
      <c r="T309" s="251"/>
      <c r="U309" s="251"/>
      <c r="V309" s="252"/>
      <c r="W309" s="251"/>
      <c r="X309" s="251"/>
      <c r="Y309" s="252"/>
      <c r="Z309" s="251"/>
      <c r="AA309" s="251"/>
      <c r="AB309" s="252"/>
      <c r="AC309" s="251"/>
      <c r="AD309" s="251"/>
      <c r="AE309" s="252"/>
      <c r="AF309" s="251"/>
      <c r="AG309" s="251"/>
      <c r="AH309" s="252"/>
      <c r="AI309" s="251"/>
      <c r="AJ309" s="251"/>
      <c r="AK309" s="252"/>
      <c r="AL309" s="251"/>
      <c r="AM309" s="251"/>
      <c r="AN309" s="252"/>
      <c r="AO309" s="251"/>
      <c r="AP309" s="251"/>
      <c r="AQ309" s="252"/>
      <c r="AR309" s="251"/>
      <c r="AS309" s="251"/>
      <c r="AT309" s="252"/>
      <c r="AU309" s="251"/>
      <c r="AV309" s="251"/>
      <c r="AW309" s="252"/>
      <c r="AX309" s="251"/>
      <c r="AY309" s="251"/>
      <c r="AZ309" s="252"/>
      <c r="BA309" s="251"/>
      <c r="BB309" s="251"/>
      <c r="BC309" s="252"/>
      <c r="BD309" s="251"/>
      <c r="BE309" s="251"/>
      <c r="BF309" s="252"/>
      <c r="BG309" s="251"/>
      <c r="BH309" s="251"/>
      <c r="BI309" s="252"/>
      <c r="BJ309" s="251"/>
      <c r="BK309" s="251"/>
      <c r="BL309" s="252"/>
      <c r="BM309" s="282"/>
      <c r="BN309" s="282"/>
      <c r="BO309" s="415"/>
      <c r="BP309" s="259"/>
      <c r="BQ309" s="259"/>
      <c r="BR309" s="260"/>
      <c r="BS309" s="259"/>
      <c r="BT309" s="259"/>
      <c r="BU309" s="261"/>
      <c r="BV309" s="259"/>
      <c r="BW309" s="259"/>
      <c r="BX309" s="260"/>
      <c r="BY309" s="259"/>
      <c r="BZ309" s="259"/>
      <c r="CA309" s="260"/>
      <c r="CB309" s="259"/>
      <c r="CC309" s="259"/>
      <c r="CD309" s="260"/>
      <c r="CE309" s="259"/>
      <c r="CF309" s="259"/>
      <c r="CG309" s="260"/>
      <c r="CH309" s="259"/>
      <c r="CI309" s="259"/>
      <c r="CJ309" s="260"/>
      <c r="CK309" s="259"/>
      <c r="CL309" s="259"/>
      <c r="CM309" s="260"/>
      <c r="CN309" s="259"/>
      <c r="CO309" s="259"/>
      <c r="CP309" s="260"/>
      <c r="CQ309" s="259"/>
      <c r="CR309" s="259"/>
      <c r="CS309" s="260"/>
      <c r="CT309" s="259"/>
      <c r="CU309" s="259"/>
      <c r="CV309" s="260"/>
      <c r="CW309" s="259"/>
      <c r="CX309" s="259"/>
      <c r="CY309" s="334"/>
      <c r="CZ309" s="333"/>
      <c r="DA309" s="333"/>
      <c r="DB309" s="334"/>
      <c r="DC309" s="333"/>
      <c r="DD309" s="333"/>
      <c r="DE309" s="788"/>
      <c r="DF309" s="333"/>
      <c r="DG309" s="333"/>
      <c r="DH309" s="788"/>
      <c r="DI309" s="334"/>
      <c r="DJ309" s="334"/>
      <c r="DK309" s="700"/>
      <c r="DL309" s="334"/>
      <c r="DM309" s="334"/>
      <c r="DN309" s="700"/>
      <c r="DO309" s="334"/>
      <c r="DP309" s="334"/>
      <c r="DQ309" s="700"/>
      <c r="DR309" s="334"/>
      <c r="DS309" s="334"/>
      <c r="DT309" s="700"/>
      <c r="DU309" s="334"/>
      <c r="DV309" s="334"/>
      <c r="DW309" s="700"/>
      <c r="DX309" s="334"/>
      <c r="DY309" s="334"/>
      <c r="DZ309" s="700"/>
      <c r="EA309" s="334"/>
      <c r="EB309" s="334"/>
      <c r="EC309" s="700"/>
      <c r="ED309" s="334"/>
      <c r="EE309" s="334"/>
      <c r="EF309" s="700"/>
      <c r="EG309" s="334"/>
      <c r="EH309" s="334"/>
      <c r="EI309" s="700"/>
      <c r="EJ309" s="334"/>
      <c r="EK309" s="334"/>
      <c r="EL309" s="700"/>
      <c r="EM309" s="334"/>
      <c r="EN309" s="334"/>
      <c r="EO309" s="700"/>
      <c r="EP309" s="334"/>
      <c r="EQ309" s="334"/>
      <c r="ER309" s="700"/>
      <c r="ES309" s="334"/>
      <c r="ET309" s="334"/>
      <c r="EU309" s="700"/>
      <c r="EV309" s="334"/>
      <c r="EW309" s="334"/>
      <c r="EX309" s="700"/>
      <c r="EY309" s="334"/>
      <c r="EZ309" s="334"/>
      <c r="FA309" s="523"/>
      <c r="FD309" s="422"/>
      <c r="FE309" s="433"/>
      <c r="FF309" s="433"/>
      <c r="FG309" s="433"/>
      <c r="FH309" s="433"/>
      <c r="FI309" s="433"/>
      <c r="FJ309" s="420"/>
      <c r="FK309" s="420"/>
      <c r="FL309" s="421"/>
      <c r="FM309" s="420"/>
      <c r="FN309" s="420"/>
      <c r="FO309" s="421"/>
      <c r="FP309" s="236"/>
      <c r="FS309" s="424"/>
    </row>
    <row r="310" spans="1:175" ht="13.35" customHeight="1">
      <c r="A310" s="760"/>
      <c r="C310" s="177" t="s">
        <v>1071</v>
      </c>
      <c r="E310" s="251"/>
      <c r="F310" s="251"/>
      <c r="G310" s="252"/>
      <c r="H310" s="251"/>
      <c r="I310" s="251"/>
      <c r="J310" s="252"/>
      <c r="K310" s="251"/>
      <c r="L310" s="251"/>
      <c r="M310" s="252"/>
      <c r="N310" s="251"/>
      <c r="O310" s="251"/>
      <c r="P310" s="252"/>
      <c r="Q310" s="251"/>
      <c r="R310" s="251"/>
      <c r="S310" s="252"/>
      <c r="T310" s="251"/>
      <c r="U310" s="251"/>
      <c r="V310" s="252"/>
      <c r="W310" s="251"/>
      <c r="X310" s="251"/>
      <c r="Y310" s="252"/>
      <c r="Z310" s="251"/>
      <c r="AA310" s="251"/>
      <c r="AB310" s="252"/>
      <c r="AC310" s="251"/>
      <c r="AD310" s="251"/>
      <c r="AE310" s="252"/>
      <c r="AF310" s="251"/>
      <c r="AG310" s="251"/>
      <c r="AH310" s="252"/>
      <c r="AI310" s="251"/>
      <c r="AJ310" s="251"/>
      <c r="AK310" s="252"/>
      <c r="AL310" s="251"/>
      <c r="AM310" s="251"/>
      <c r="AN310" s="252"/>
      <c r="AO310" s="251"/>
      <c r="AP310" s="251"/>
      <c r="AQ310" s="252"/>
      <c r="AR310" s="251"/>
      <c r="AS310" s="251"/>
      <c r="AT310" s="252"/>
      <c r="AU310" s="251"/>
      <c r="AV310" s="251"/>
      <c r="AW310" s="252"/>
      <c r="AX310" s="251"/>
      <c r="AY310" s="251"/>
      <c r="AZ310" s="252"/>
      <c r="BA310" s="251"/>
      <c r="BB310" s="251"/>
      <c r="BC310" s="252"/>
      <c r="BD310" s="251"/>
      <c r="BE310" s="251"/>
      <c r="BF310" s="252"/>
      <c r="BG310" s="251"/>
      <c r="BH310" s="251"/>
      <c r="BI310" s="252"/>
      <c r="BJ310" s="251"/>
      <c r="BK310" s="251"/>
      <c r="BL310" s="252"/>
      <c r="BM310" s="282"/>
      <c r="BN310" s="282"/>
      <c r="BO310" s="415"/>
      <c r="BP310" s="259"/>
      <c r="BQ310" s="259"/>
      <c r="BR310" s="260"/>
      <c r="BS310" s="259"/>
      <c r="BT310" s="259"/>
      <c r="BU310" s="261"/>
      <c r="BV310" s="259"/>
      <c r="BW310" s="259"/>
      <c r="BX310" s="260"/>
      <c r="BY310" s="259"/>
      <c r="BZ310" s="259"/>
      <c r="CA310" s="260"/>
      <c r="CB310" s="259"/>
      <c r="CC310" s="259"/>
      <c r="CD310" s="260"/>
      <c r="CE310" s="259"/>
      <c r="CF310" s="259"/>
      <c r="CG310" s="260"/>
      <c r="CH310" s="259"/>
      <c r="CI310" s="259"/>
      <c r="CJ310" s="260"/>
      <c r="CK310" s="259"/>
      <c r="CL310" s="259"/>
      <c r="CM310" s="260"/>
      <c r="CN310" s="259"/>
      <c r="CO310" s="259"/>
      <c r="CP310" s="260"/>
      <c r="CQ310" s="259"/>
      <c r="CR310" s="259"/>
      <c r="CS310" s="260"/>
      <c r="CT310" s="259"/>
      <c r="CU310" s="259"/>
      <c r="CV310" s="260"/>
      <c r="CW310" s="259"/>
      <c r="CX310" s="259"/>
      <c r="CY310" s="334"/>
      <c r="CZ310" s="333"/>
      <c r="DA310" s="333"/>
      <c r="DB310" s="334"/>
      <c r="DC310" s="333"/>
      <c r="DD310" s="333"/>
      <c r="DE310" s="788"/>
      <c r="DF310" s="333"/>
      <c r="DG310" s="333"/>
      <c r="DH310" s="788"/>
      <c r="DI310" s="334"/>
      <c r="DJ310" s="334"/>
      <c r="DK310" s="700"/>
      <c r="DL310" s="334"/>
      <c r="DM310" s="334"/>
      <c r="DN310" s="700"/>
      <c r="DO310" s="334"/>
      <c r="DP310" s="334"/>
      <c r="DQ310" s="700"/>
      <c r="DR310" s="334"/>
      <c r="DS310" s="334"/>
      <c r="DT310" s="700"/>
      <c r="DU310" s="1892">
        <v>470</v>
      </c>
      <c r="DV310" s="334"/>
      <c r="DW310" s="700"/>
      <c r="DX310" s="334"/>
      <c r="DY310" s="334"/>
      <c r="DZ310" s="700"/>
      <c r="EA310" s="334"/>
      <c r="EB310" s="334"/>
      <c r="EC310" s="700"/>
      <c r="ED310" s="334"/>
      <c r="EE310" s="334"/>
      <c r="EF310" s="700"/>
      <c r="EG310" s="334"/>
      <c r="EH310" s="334"/>
      <c r="EI310" s="700"/>
      <c r="EJ310" s="334"/>
      <c r="EK310" s="334"/>
      <c r="EL310" s="700"/>
      <c r="EM310" s="334"/>
      <c r="EN310" s="334"/>
      <c r="EO310" s="700"/>
      <c r="EP310" s="334"/>
      <c r="EQ310" s="334"/>
      <c r="ER310" s="700"/>
      <c r="ES310" s="334"/>
      <c r="ET310" s="334"/>
      <c r="EU310" s="700"/>
      <c r="EV310" s="334"/>
      <c r="EW310" s="334"/>
      <c r="EX310" s="700"/>
      <c r="EY310" s="334"/>
      <c r="EZ310" s="334"/>
      <c r="FA310" s="523"/>
      <c r="FD310" s="422"/>
      <c r="FE310" s="433"/>
      <c r="FF310" s="433"/>
      <c r="FG310" s="433"/>
      <c r="FH310" s="433"/>
      <c r="FI310" s="433"/>
      <c r="FJ310" s="420"/>
      <c r="FK310" s="420"/>
      <c r="FL310" s="421"/>
      <c r="FM310" s="420"/>
      <c r="FN310" s="420"/>
      <c r="FO310" s="421"/>
      <c r="FP310" s="236"/>
      <c r="FS310" s="424"/>
    </row>
    <row r="311" spans="1:175" ht="13.35" customHeight="1">
      <c r="A311" s="760"/>
      <c r="E311" s="251"/>
      <c r="F311" s="251"/>
      <c r="G311" s="252"/>
      <c r="H311" s="251"/>
      <c r="I311" s="251"/>
      <c r="J311" s="252"/>
      <c r="K311" s="251"/>
      <c r="L311" s="251"/>
      <c r="M311" s="252"/>
      <c r="N311" s="251"/>
      <c r="O311" s="251"/>
      <c r="P311" s="252"/>
      <c r="Q311" s="251"/>
      <c r="R311" s="251"/>
      <c r="S311" s="252"/>
      <c r="T311" s="251"/>
      <c r="U311" s="251"/>
      <c r="V311" s="252"/>
      <c r="W311" s="251"/>
      <c r="X311" s="251"/>
      <c r="Y311" s="252"/>
      <c r="Z311" s="251"/>
      <c r="AA311" s="251"/>
      <c r="AB311" s="252"/>
      <c r="AC311" s="251"/>
      <c r="AD311" s="251"/>
      <c r="AE311" s="252"/>
      <c r="AF311" s="251"/>
      <c r="AG311" s="251"/>
      <c r="AH311" s="252"/>
      <c r="AI311" s="251"/>
      <c r="AJ311" s="251"/>
      <c r="AK311" s="252"/>
      <c r="AL311" s="251"/>
      <c r="AM311" s="251"/>
      <c r="AN311" s="252"/>
      <c r="AO311" s="251"/>
      <c r="AP311" s="251"/>
      <c r="AQ311" s="252"/>
      <c r="AR311" s="251"/>
      <c r="AS311" s="251"/>
      <c r="AT311" s="252"/>
      <c r="AU311" s="251"/>
      <c r="AV311" s="251"/>
      <c r="AW311" s="252"/>
      <c r="AX311" s="251"/>
      <c r="AY311" s="251"/>
      <c r="AZ311" s="252"/>
      <c r="BA311" s="251"/>
      <c r="BB311" s="251"/>
      <c r="BC311" s="252"/>
      <c r="BD311" s="251"/>
      <c r="BE311" s="251"/>
      <c r="BF311" s="252"/>
      <c r="BG311" s="251"/>
      <c r="BH311" s="251"/>
      <c r="BI311" s="252"/>
      <c r="BJ311" s="251"/>
      <c r="BK311" s="251"/>
      <c r="BL311" s="252"/>
      <c r="BM311" s="282"/>
      <c r="BN311" s="282"/>
      <c r="BO311" s="415"/>
      <c r="BP311" s="259"/>
      <c r="BQ311" s="259"/>
      <c r="BR311" s="260"/>
      <c r="BS311" s="259"/>
      <c r="BT311" s="259"/>
      <c r="BU311" s="261"/>
      <c r="BV311" s="259"/>
      <c r="BW311" s="259"/>
      <c r="BX311" s="260"/>
      <c r="BY311" s="259"/>
      <c r="BZ311" s="259"/>
      <c r="CA311" s="260"/>
      <c r="CB311" s="259"/>
      <c r="CC311" s="259"/>
      <c r="CD311" s="260"/>
      <c r="CE311" s="259"/>
      <c r="CF311" s="259"/>
      <c r="CG311" s="260"/>
      <c r="CH311" s="259"/>
      <c r="CI311" s="259"/>
      <c r="CJ311" s="260"/>
      <c r="CK311" s="259"/>
      <c r="CL311" s="259"/>
      <c r="CM311" s="260"/>
      <c r="CN311" s="259"/>
      <c r="CO311" s="259"/>
      <c r="CP311" s="260"/>
      <c r="CQ311" s="259"/>
      <c r="CR311" s="259"/>
      <c r="CS311" s="260"/>
      <c r="CT311" s="259"/>
      <c r="CU311" s="259"/>
      <c r="CV311" s="260"/>
      <c r="CW311" s="259"/>
      <c r="CX311" s="259"/>
      <c r="CY311" s="334"/>
      <c r="CZ311" s="333"/>
      <c r="DA311" s="333"/>
      <c r="DB311" s="334"/>
      <c r="DC311" s="333"/>
      <c r="DD311" s="333"/>
      <c r="DE311" s="788"/>
      <c r="DF311" s="333"/>
      <c r="DG311" s="333"/>
      <c r="DH311" s="788"/>
      <c r="DI311" s="334"/>
      <c r="DJ311" s="334"/>
      <c r="DK311" s="700"/>
      <c r="DL311" s="334"/>
      <c r="DM311" s="334"/>
      <c r="DN311" s="700"/>
      <c r="DO311" s="334"/>
      <c r="DP311" s="334"/>
      <c r="DQ311" s="700"/>
      <c r="DR311" s="334"/>
      <c r="DS311" s="334"/>
      <c r="DT311" s="700"/>
      <c r="DU311" s="177"/>
      <c r="DV311" s="334"/>
      <c r="DW311" s="700"/>
      <c r="DX311" s="334"/>
      <c r="DY311" s="334"/>
      <c r="DZ311" s="700"/>
      <c r="EA311" s="334"/>
      <c r="EB311" s="334"/>
      <c r="EC311" s="700"/>
      <c r="ED311" s="334"/>
      <c r="EE311" s="334"/>
      <c r="EF311" s="700"/>
      <c r="EG311" s="334"/>
      <c r="EH311" s="334"/>
      <c r="EI311" s="700"/>
      <c r="EJ311" s="334"/>
      <c r="EK311" s="334"/>
      <c r="EL311" s="700"/>
      <c r="EM311" s="334"/>
      <c r="EN311" s="334"/>
      <c r="EO311" s="700"/>
      <c r="EP311" s="334"/>
      <c r="EQ311" s="334"/>
      <c r="ER311" s="700"/>
      <c r="ES311" s="334"/>
      <c r="ET311" s="334"/>
      <c r="EU311" s="700"/>
      <c r="EV311" s="334"/>
      <c r="EW311" s="334"/>
      <c r="EX311" s="700"/>
      <c r="EY311" s="334"/>
      <c r="EZ311" s="334"/>
      <c r="FA311" s="523"/>
      <c r="FD311" s="422"/>
      <c r="FE311" s="433"/>
      <c r="FF311" s="433"/>
      <c r="FG311" s="433"/>
      <c r="FH311" s="433"/>
      <c r="FI311" s="433"/>
      <c r="FJ311" s="420"/>
      <c r="FK311" s="420"/>
      <c r="FL311" s="421"/>
      <c r="FM311" s="420"/>
      <c r="FN311" s="420"/>
      <c r="FO311" s="421"/>
      <c r="FP311" s="236"/>
      <c r="FS311" s="424"/>
    </row>
    <row r="312" spans="1:175" ht="13.35" customHeight="1">
      <c r="A312" s="760"/>
      <c r="C312" s="177" t="s">
        <v>183</v>
      </c>
      <c r="E312" s="251"/>
      <c r="F312" s="251"/>
      <c r="G312" s="252"/>
      <c r="H312" s="251"/>
      <c r="I312" s="251"/>
      <c r="J312" s="252"/>
      <c r="K312" s="251"/>
      <c r="L312" s="251"/>
      <c r="M312" s="252"/>
      <c r="N312" s="251"/>
      <c r="O312" s="251"/>
      <c r="P312" s="252"/>
      <c r="Q312" s="251"/>
      <c r="R312" s="251"/>
      <c r="S312" s="252"/>
      <c r="T312" s="251"/>
      <c r="U312" s="251"/>
      <c r="V312" s="252"/>
      <c r="W312" s="251"/>
      <c r="X312" s="251"/>
      <c r="Y312" s="252"/>
      <c r="Z312" s="251"/>
      <c r="AA312" s="251"/>
      <c r="AB312" s="252"/>
      <c r="AC312" s="251"/>
      <c r="AD312" s="251"/>
      <c r="AE312" s="252"/>
      <c r="AF312" s="251"/>
      <c r="AG312" s="251"/>
      <c r="AH312" s="252"/>
      <c r="AI312" s="251"/>
      <c r="AJ312" s="251"/>
      <c r="AK312" s="252"/>
      <c r="AL312" s="251"/>
      <c r="AM312" s="251"/>
      <c r="AN312" s="252"/>
      <c r="AO312" s="251"/>
      <c r="AP312" s="251"/>
      <c r="AQ312" s="252"/>
      <c r="AR312" s="251"/>
      <c r="AS312" s="251"/>
      <c r="AT312" s="252"/>
      <c r="AU312" s="251"/>
      <c r="AV312" s="251"/>
      <c r="AW312" s="252"/>
      <c r="AX312" s="251"/>
      <c r="AY312" s="251"/>
      <c r="AZ312" s="252"/>
      <c r="BA312" s="251"/>
      <c r="BB312" s="251"/>
      <c r="BC312" s="252"/>
      <c r="BD312" s="251"/>
      <c r="BE312" s="251"/>
      <c r="BF312" s="252"/>
      <c r="BG312" s="251"/>
      <c r="BH312" s="251"/>
      <c r="BI312" s="252"/>
      <c r="BJ312" s="251"/>
      <c r="BK312" s="251"/>
      <c r="BL312" s="252"/>
      <c r="BM312" s="282"/>
      <c r="BN312" s="282"/>
      <c r="BO312" s="415"/>
      <c r="BP312" s="259"/>
      <c r="BQ312" s="259"/>
      <c r="BR312" s="260"/>
      <c r="BS312" s="259"/>
      <c r="BT312" s="259"/>
      <c r="BU312" s="261"/>
      <c r="BV312" s="259"/>
      <c r="BW312" s="259"/>
      <c r="BX312" s="260"/>
      <c r="BY312" s="259"/>
      <c r="BZ312" s="259"/>
      <c r="CA312" s="260"/>
      <c r="CB312" s="259"/>
      <c r="CC312" s="259"/>
      <c r="CD312" s="260"/>
      <c r="CE312" s="259"/>
      <c r="CF312" s="259"/>
      <c r="CG312" s="260"/>
      <c r="CH312" s="259"/>
      <c r="CI312" s="259"/>
      <c r="CJ312" s="260"/>
      <c r="CK312" s="259"/>
      <c r="CL312" s="259"/>
      <c r="CM312" s="260"/>
      <c r="CN312" s="259"/>
      <c r="CO312" s="259"/>
      <c r="CP312" s="260"/>
      <c r="CQ312" s="259"/>
      <c r="CR312" s="259"/>
      <c r="CS312" s="260"/>
      <c r="CT312" s="259"/>
      <c r="CU312" s="259"/>
      <c r="CV312" s="260"/>
      <c r="CW312" s="259"/>
      <c r="CX312" s="259"/>
      <c r="CY312" s="334"/>
      <c r="CZ312" s="333"/>
      <c r="DA312" s="333"/>
      <c r="DB312" s="334"/>
      <c r="DC312" s="333"/>
      <c r="DD312" s="333"/>
      <c r="DE312" s="788"/>
      <c r="DF312" s="333"/>
      <c r="DG312" s="333"/>
      <c r="DH312" s="788"/>
      <c r="DI312" s="334"/>
      <c r="DJ312" s="334"/>
      <c r="DK312" s="700"/>
      <c r="DL312" s="334"/>
      <c r="DM312" s="334"/>
      <c r="DN312" s="700"/>
      <c r="DO312" s="334"/>
      <c r="DP312" s="334"/>
      <c r="DQ312" s="700"/>
      <c r="DR312" s="334"/>
      <c r="DS312" s="334"/>
      <c r="DT312" s="700"/>
      <c r="DU312" s="1890">
        <v>293</v>
      </c>
      <c r="DV312" s="334"/>
      <c r="DW312" s="700"/>
      <c r="DX312" s="334"/>
      <c r="DY312" s="334"/>
      <c r="DZ312" s="700"/>
      <c r="EA312" s="334"/>
      <c r="EB312" s="334"/>
      <c r="EC312" s="700"/>
      <c r="ED312" s="334"/>
      <c r="EE312" s="334"/>
      <c r="EF312" s="700"/>
      <c r="EG312" s="334"/>
      <c r="EH312" s="334"/>
      <c r="EI312" s="700"/>
      <c r="EJ312" s="334"/>
      <c r="EK312" s="334"/>
      <c r="EL312" s="700"/>
      <c r="EM312" s="334"/>
      <c r="EN312" s="334"/>
      <c r="EO312" s="700"/>
      <c r="EP312" s="334"/>
      <c r="EQ312" s="334"/>
      <c r="ER312" s="700"/>
      <c r="ES312" s="334"/>
      <c r="ET312" s="334"/>
      <c r="EU312" s="700"/>
      <c r="EV312" s="334"/>
      <c r="EW312" s="334"/>
      <c r="EX312" s="700"/>
      <c r="EY312" s="334"/>
      <c r="EZ312" s="334"/>
      <c r="FA312" s="523"/>
      <c r="FD312" s="422"/>
      <c r="FE312" s="433"/>
      <c r="FF312" s="433"/>
      <c r="FG312" s="433"/>
      <c r="FH312" s="433"/>
      <c r="FI312" s="433"/>
      <c r="FJ312" s="420"/>
      <c r="FK312" s="420"/>
      <c r="FL312" s="421"/>
      <c r="FM312" s="420"/>
      <c r="FN312" s="420"/>
      <c r="FO312" s="421"/>
      <c r="FP312" s="236"/>
      <c r="FS312" s="424"/>
    </row>
    <row r="313" spans="1:175" ht="13.35" customHeight="1">
      <c r="A313" s="760"/>
      <c r="E313" s="251"/>
      <c r="F313" s="251"/>
      <c r="G313" s="252"/>
      <c r="H313" s="251"/>
      <c r="I313" s="251"/>
      <c r="J313" s="252"/>
      <c r="K313" s="251"/>
      <c r="L313" s="251"/>
      <c r="M313" s="252"/>
      <c r="N313" s="251"/>
      <c r="O313" s="251"/>
      <c r="P313" s="252"/>
      <c r="Q313" s="251"/>
      <c r="R313" s="251"/>
      <c r="S313" s="252"/>
      <c r="T313" s="251"/>
      <c r="U313" s="251"/>
      <c r="V313" s="252"/>
      <c r="W313" s="251"/>
      <c r="X313" s="251"/>
      <c r="Y313" s="252"/>
      <c r="Z313" s="251"/>
      <c r="AA313" s="251"/>
      <c r="AB313" s="252"/>
      <c r="AC313" s="251"/>
      <c r="AD313" s="251"/>
      <c r="AE313" s="252"/>
      <c r="AF313" s="251"/>
      <c r="AG313" s="251"/>
      <c r="AH313" s="252"/>
      <c r="AI313" s="251"/>
      <c r="AJ313" s="251"/>
      <c r="AK313" s="252"/>
      <c r="AL313" s="251"/>
      <c r="AM313" s="251"/>
      <c r="AN313" s="252"/>
      <c r="AO313" s="251"/>
      <c r="AP313" s="251"/>
      <c r="AQ313" s="252"/>
      <c r="AR313" s="251"/>
      <c r="AS313" s="251"/>
      <c r="AT313" s="252"/>
      <c r="AU313" s="251"/>
      <c r="AV313" s="251"/>
      <c r="AW313" s="252"/>
      <c r="AX313" s="251"/>
      <c r="AY313" s="251"/>
      <c r="AZ313" s="252"/>
      <c r="BA313" s="251"/>
      <c r="BB313" s="251"/>
      <c r="BC313" s="252"/>
      <c r="BD313" s="251"/>
      <c r="BE313" s="251"/>
      <c r="BF313" s="252"/>
      <c r="BG313" s="251"/>
      <c r="BH313" s="251"/>
      <c r="BI313" s="252"/>
      <c r="BJ313" s="251"/>
      <c r="BK313" s="251"/>
      <c r="BL313" s="252"/>
      <c r="BM313" s="282"/>
      <c r="BN313" s="282"/>
      <c r="BO313" s="415"/>
      <c r="BP313" s="259"/>
      <c r="BQ313" s="259"/>
      <c r="BR313" s="260"/>
      <c r="BS313" s="259"/>
      <c r="BT313" s="259"/>
      <c r="BU313" s="261"/>
      <c r="BV313" s="259"/>
      <c r="BW313" s="259"/>
      <c r="BX313" s="260"/>
      <c r="BY313" s="259"/>
      <c r="BZ313" s="259"/>
      <c r="CA313" s="260"/>
      <c r="CB313" s="259"/>
      <c r="CC313" s="259"/>
      <c r="CD313" s="260"/>
      <c r="CE313" s="259"/>
      <c r="CF313" s="259"/>
      <c r="CG313" s="260"/>
      <c r="CH313" s="259"/>
      <c r="CI313" s="259"/>
      <c r="CJ313" s="260"/>
      <c r="CK313" s="259"/>
      <c r="CL313" s="259"/>
      <c r="CM313" s="260"/>
      <c r="CN313" s="259"/>
      <c r="CO313" s="259"/>
      <c r="CP313" s="260"/>
      <c r="CQ313" s="259"/>
      <c r="CR313" s="259"/>
      <c r="CS313" s="260"/>
      <c r="CT313" s="259"/>
      <c r="CU313" s="259"/>
      <c r="CV313" s="260"/>
      <c r="CW313" s="259"/>
      <c r="CX313" s="259"/>
      <c r="CY313" s="334"/>
      <c r="CZ313" s="333"/>
      <c r="DA313" s="333"/>
      <c r="DB313" s="334"/>
      <c r="DC313" s="333"/>
      <c r="DD313" s="333"/>
      <c r="DE313" s="788"/>
      <c r="DF313" s="333"/>
      <c r="DG313" s="333"/>
      <c r="DH313" s="788"/>
      <c r="DI313" s="333"/>
      <c r="DJ313" s="333"/>
      <c r="DK313" s="700"/>
      <c r="DL313" s="333"/>
      <c r="DM313" s="333"/>
      <c r="DN313" s="700"/>
      <c r="DO313" s="333"/>
      <c r="DP313" s="333"/>
      <c r="DQ313" s="700"/>
      <c r="DR313" s="333"/>
      <c r="DS313" s="333"/>
      <c r="DT313" s="700"/>
      <c r="DU313" s="1891"/>
      <c r="DV313" s="333"/>
      <c r="DW313" s="700"/>
      <c r="DX313" s="333"/>
      <c r="DY313" s="333"/>
      <c r="DZ313" s="700"/>
      <c r="EA313" s="333"/>
      <c r="EB313" s="333"/>
      <c r="EC313" s="700"/>
      <c r="ED313" s="333"/>
      <c r="EE313" s="333"/>
      <c r="EF313" s="700"/>
      <c r="EG313" s="333"/>
      <c r="EH313" s="333"/>
      <c r="EI313" s="700"/>
      <c r="EJ313" s="333"/>
      <c r="EK313" s="333"/>
      <c r="EL313" s="700"/>
      <c r="EM313" s="333"/>
      <c r="EN313" s="333"/>
      <c r="EO313" s="700"/>
      <c r="EP313" s="333"/>
      <c r="EQ313" s="333"/>
      <c r="ER313" s="700"/>
      <c r="ES313" s="333"/>
      <c r="ET313" s="333"/>
      <c r="EU313" s="700"/>
      <c r="EV313" s="333"/>
      <c r="EW313" s="333"/>
      <c r="EX313" s="700"/>
      <c r="EY313" s="333"/>
      <c r="EZ313" s="333"/>
      <c r="FA313" s="523"/>
      <c r="FD313" s="422"/>
      <c r="FE313" s="433"/>
      <c r="FF313" s="433"/>
      <c r="FG313" s="433"/>
      <c r="FH313" s="433"/>
      <c r="FI313" s="433"/>
      <c r="FJ313" s="420"/>
      <c r="FK313" s="420"/>
      <c r="FL313" s="421"/>
      <c r="FM313" s="420"/>
      <c r="FN313" s="420"/>
      <c r="FO313" s="421"/>
      <c r="FP313" s="236"/>
      <c r="FS313" s="424"/>
    </row>
    <row r="314" spans="1:175" ht="12.75" customHeight="1">
      <c r="A314" s="760"/>
      <c r="B314" s="351" t="s">
        <v>785</v>
      </c>
      <c r="C314" s="436"/>
      <c r="D314" s="437"/>
      <c r="E314" s="251"/>
      <c r="F314" s="251"/>
      <c r="G314" s="252"/>
      <c r="H314" s="251"/>
      <c r="I314" s="251"/>
      <c r="J314" s="252"/>
      <c r="K314" s="251"/>
      <c r="L314" s="251"/>
      <c r="M314" s="252"/>
      <c r="N314" s="251"/>
      <c r="O314" s="251"/>
      <c r="P314" s="252"/>
      <c r="Q314" s="251"/>
      <c r="R314" s="251"/>
      <c r="S314" s="252"/>
      <c r="T314" s="251"/>
      <c r="U314" s="251"/>
      <c r="V314" s="252"/>
      <c r="W314" s="251"/>
      <c r="X314" s="251"/>
      <c r="Y314" s="252"/>
      <c r="Z314" s="251"/>
      <c r="AA314" s="251"/>
      <c r="AB314" s="252"/>
      <c r="AC314" s="251"/>
      <c r="AD314" s="251"/>
      <c r="AE314" s="252"/>
      <c r="AF314" s="251"/>
      <c r="AG314" s="251"/>
      <c r="AH314" s="252"/>
      <c r="AI314" s="251"/>
      <c r="AJ314" s="251"/>
      <c r="AK314" s="252"/>
      <c r="AL314" s="251"/>
      <c r="AM314" s="251"/>
      <c r="AN314" s="252"/>
      <c r="AO314" s="291"/>
      <c r="AP314" s="291"/>
      <c r="AQ314" s="252"/>
      <c r="AR314" s="251"/>
      <c r="AS314" s="251"/>
      <c r="AT314" s="252"/>
      <c r="AU314" s="251"/>
      <c r="AV314" s="251"/>
      <c r="AW314" s="252"/>
      <c r="AX314" s="251"/>
      <c r="AY314" s="251"/>
      <c r="AZ314" s="252"/>
      <c r="BA314" s="251"/>
      <c r="BB314" s="251"/>
      <c r="BC314" s="252"/>
      <c r="BD314" s="251"/>
      <c r="BE314" s="251"/>
      <c r="BF314" s="252"/>
      <c r="BG314" s="251"/>
      <c r="BH314" s="251"/>
      <c r="BI314" s="252"/>
      <c r="BJ314" s="251"/>
      <c r="BK314" s="251"/>
      <c r="BL314" s="252"/>
      <c r="BM314" s="280"/>
      <c r="BN314" s="280"/>
      <c r="BO314" s="280"/>
      <c r="BP314" s="280"/>
      <c r="BQ314" s="280"/>
      <c r="BR314" s="280"/>
      <c r="BS314" s="280"/>
      <c r="BT314" s="280"/>
      <c r="BU314" s="281"/>
      <c r="BV314" s="280"/>
      <c r="BW314" s="280"/>
      <c r="BX314" s="280"/>
      <c r="BY314" s="280"/>
      <c r="BZ314" s="280"/>
      <c r="CA314" s="280"/>
      <c r="CB314" s="280"/>
      <c r="CC314" s="280"/>
      <c r="CD314" s="280"/>
      <c r="CE314" s="280"/>
      <c r="CF314" s="280"/>
      <c r="CG314" s="280"/>
      <c r="CH314" s="280"/>
      <c r="CI314" s="280"/>
      <c r="CJ314" s="280"/>
      <c r="CK314" s="280"/>
      <c r="CL314" s="280"/>
      <c r="CM314" s="280"/>
      <c r="CN314" s="280"/>
      <c r="CO314" s="280"/>
      <c r="CP314" s="280"/>
      <c r="CQ314" s="280"/>
      <c r="CR314" s="280"/>
      <c r="CS314" s="280"/>
      <c r="CT314" s="280"/>
      <c r="CU314" s="280"/>
      <c r="CV314" s="280"/>
      <c r="CW314" s="280"/>
      <c r="CX314" s="280"/>
      <c r="CY314" s="280"/>
      <c r="CZ314" s="280"/>
      <c r="DA314" s="280"/>
      <c r="DB314" s="280"/>
      <c r="DC314" s="280"/>
      <c r="DD314" s="280"/>
      <c r="DE314" s="785"/>
      <c r="DF314" s="280"/>
      <c r="DG314" s="280"/>
      <c r="DH314" s="785"/>
      <c r="DI314" s="280" t="str">
        <f t="shared" ref="DI314:DW314" si="321">DI5</f>
        <v>1h21</v>
      </c>
      <c r="DJ314" s="280" t="str">
        <f t="shared" si="321"/>
        <v>2h21</v>
      </c>
      <c r="DK314" s="695" t="str">
        <f t="shared" si="321"/>
        <v>2021</v>
      </c>
      <c r="DL314" s="280" t="str">
        <f t="shared" si="321"/>
        <v>1h22</v>
      </c>
      <c r="DM314" s="280" t="str">
        <f t="shared" si="321"/>
        <v>2h22</v>
      </c>
      <c r="DN314" s="695" t="str">
        <f t="shared" si="321"/>
        <v>2022</v>
      </c>
      <c r="DO314" s="280" t="str">
        <f t="shared" si="321"/>
        <v>1h23</v>
      </c>
      <c r="DP314" s="280" t="str">
        <f t="shared" si="321"/>
        <v>2h23</v>
      </c>
      <c r="DQ314" s="695" t="str">
        <f t="shared" si="321"/>
        <v>2023</v>
      </c>
      <c r="DR314" s="280" t="str">
        <f t="shared" si="321"/>
        <v>1h24</v>
      </c>
      <c r="DS314" s="280" t="str">
        <f t="shared" si="321"/>
        <v>2h24</v>
      </c>
      <c r="DT314" s="695" t="str">
        <f t="shared" si="321"/>
        <v>2024</v>
      </c>
      <c r="DU314" s="280" t="str">
        <f t="shared" si="321"/>
        <v>1h25</v>
      </c>
      <c r="DV314" s="280" t="str">
        <f t="shared" si="321"/>
        <v>2h25</v>
      </c>
      <c r="DW314" s="695" t="str">
        <f t="shared" si="321"/>
        <v>2025</v>
      </c>
      <c r="DX314" s="280" t="str">
        <f t="shared" ref="DX314" si="322">DX5</f>
        <v>1h26</v>
      </c>
      <c r="DY314" s="280" t="str">
        <f t="shared" ref="DY314:FA314" si="323">DY5</f>
        <v>2h26E</v>
      </c>
      <c r="DZ314" s="695" t="str">
        <f t="shared" si="323"/>
        <v>2026E</v>
      </c>
      <c r="EA314" s="280" t="str">
        <f t="shared" si="323"/>
        <v>1h27E</v>
      </c>
      <c r="EB314" s="280" t="str">
        <f t="shared" si="323"/>
        <v>2h27E</v>
      </c>
      <c r="EC314" s="695" t="str">
        <f t="shared" si="323"/>
        <v>2027E</v>
      </c>
      <c r="ED314" s="280" t="str">
        <f t="shared" si="323"/>
        <v>1h28E</v>
      </c>
      <c r="EE314" s="280" t="str">
        <f t="shared" si="323"/>
        <v>2h28E</v>
      </c>
      <c r="EF314" s="695" t="str">
        <f t="shared" si="323"/>
        <v>2028E</v>
      </c>
      <c r="EG314" s="280" t="str">
        <f t="shared" si="323"/>
        <v>1h29E</v>
      </c>
      <c r="EH314" s="280" t="str">
        <f t="shared" si="323"/>
        <v>2h29E</v>
      </c>
      <c r="EI314" s="695" t="str">
        <f t="shared" si="323"/>
        <v>2029E</v>
      </c>
      <c r="EJ314" s="280" t="str">
        <f t="shared" si="323"/>
        <v>1h30E</v>
      </c>
      <c r="EK314" s="280" t="str">
        <f t="shared" si="323"/>
        <v>2h30E</v>
      </c>
      <c r="EL314" s="695" t="str">
        <f t="shared" si="323"/>
        <v>2030E</v>
      </c>
      <c r="EM314" s="280" t="str">
        <f t="shared" si="323"/>
        <v>1h31E</v>
      </c>
      <c r="EN314" s="280" t="str">
        <f t="shared" si="323"/>
        <v>2h31E</v>
      </c>
      <c r="EO314" s="695" t="str">
        <f t="shared" si="323"/>
        <v>2031E</v>
      </c>
      <c r="EP314" s="280" t="str">
        <f t="shared" si="323"/>
        <v>1h32E</v>
      </c>
      <c r="EQ314" s="280" t="str">
        <f t="shared" si="323"/>
        <v>2h32E</v>
      </c>
      <c r="ER314" s="695" t="str">
        <f t="shared" si="323"/>
        <v>2032E</v>
      </c>
      <c r="ES314" s="280" t="str">
        <f t="shared" si="323"/>
        <v>1h33E</v>
      </c>
      <c r="ET314" s="280" t="str">
        <f t="shared" si="323"/>
        <v>2h33E</v>
      </c>
      <c r="EU314" s="695" t="str">
        <f t="shared" si="323"/>
        <v>2033E</v>
      </c>
      <c r="EV314" s="280" t="str">
        <f t="shared" si="323"/>
        <v>1h34E</v>
      </c>
      <c r="EW314" s="280" t="str">
        <f t="shared" si="323"/>
        <v>2h34E</v>
      </c>
      <c r="EX314" s="695" t="str">
        <f t="shared" si="323"/>
        <v>2034E</v>
      </c>
      <c r="EY314" s="280" t="str">
        <f t="shared" si="323"/>
        <v>1h35E</v>
      </c>
      <c r="EZ314" s="280" t="str">
        <f t="shared" si="323"/>
        <v>2h35E</v>
      </c>
      <c r="FA314" s="540" t="str">
        <f t="shared" si="323"/>
        <v>2035E</v>
      </c>
      <c r="FG314" s="438"/>
      <c r="FH314" s="438"/>
      <c r="FI314" s="439"/>
      <c r="FJ314" s="395"/>
      <c r="FK314" s="395"/>
      <c r="FL314" s="440"/>
      <c r="FM314" s="395"/>
      <c r="FN314" s="395"/>
      <c r="FO314" s="395"/>
    </row>
    <row r="315" spans="1:175" ht="13.35" customHeight="1">
      <c r="A315" s="760"/>
      <c r="B315" s="4"/>
      <c r="C315" s="177" t="s">
        <v>335</v>
      </c>
      <c r="D315" s="294" t="s">
        <v>357</v>
      </c>
      <c r="E315" s="251"/>
      <c r="F315" s="251"/>
      <c r="G315" s="252"/>
      <c r="H315" s="251"/>
      <c r="I315" s="251"/>
      <c r="J315" s="252"/>
      <c r="K315" s="251"/>
      <c r="L315" s="251"/>
      <c r="M315" s="252"/>
      <c r="N315" s="251"/>
      <c r="O315" s="251"/>
      <c r="P315" s="252"/>
      <c r="Q315" s="251"/>
      <c r="R315" s="251"/>
      <c r="S315" s="252"/>
      <c r="T315" s="251"/>
      <c r="U315" s="251"/>
      <c r="V315" s="252"/>
      <c r="W315" s="251"/>
      <c r="X315" s="251"/>
      <c r="Y315" s="252"/>
      <c r="Z315" s="251"/>
      <c r="AA315" s="251"/>
      <c r="AB315" s="252"/>
      <c r="AC315" s="251"/>
      <c r="AD315" s="251"/>
      <c r="AE315" s="252"/>
      <c r="AF315" s="251"/>
      <c r="AG315" s="251"/>
      <c r="AH315" s="252"/>
      <c r="AI315" s="251"/>
      <c r="AJ315" s="251"/>
      <c r="AK315" s="252"/>
      <c r="AL315" s="251"/>
      <c r="AM315" s="251"/>
      <c r="AN315" s="252"/>
      <c r="AO315" s="251"/>
      <c r="AP315" s="251"/>
      <c r="AQ315" s="252"/>
      <c r="AR315" s="251"/>
      <c r="AS315" s="251"/>
      <c r="AT315" s="252"/>
      <c r="AU315" s="251"/>
      <c r="AV315" s="251"/>
      <c r="AW315" s="252"/>
      <c r="AX315" s="251"/>
      <c r="AY315" s="251"/>
      <c r="AZ315" s="252"/>
      <c r="BA315" s="251"/>
      <c r="BB315" s="251"/>
      <c r="BC315" s="252"/>
      <c r="BD315" s="251"/>
      <c r="BE315" s="251"/>
      <c r="BF315" s="252"/>
      <c r="BG315" s="251"/>
      <c r="BH315" s="251"/>
      <c r="BI315" s="252"/>
      <c r="BJ315" s="251"/>
      <c r="BK315" s="251"/>
      <c r="BL315" s="252"/>
      <c r="BM315" s="251"/>
      <c r="BN315" s="198"/>
      <c r="BO315" s="79"/>
      <c r="BP315" s="259"/>
      <c r="BQ315" s="259"/>
      <c r="BR315" s="260"/>
      <c r="BS315" s="259"/>
      <c r="BT315" s="259"/>
      <c r="BU315" s="261"/>
      <c r="BV315" s="259"/>
      <c r="BW315" s="259"/>
      <c r="BX315" s="260"/>
      <c r="BY315" s="259"/>
      <c r="BZ315" s="259"/>
      <c r="CA315" s="260"/>
      <c r="CB315" s="259"/>
      <c r="CC315" s="259"/>
      <c r="CD315" s="260"/>
      <c r="CE315" s="259"/>
      <c r="CF315" s="259"/>
      <c r="CG315" s="260"/>
      <c r="CH315" s="259"/>
      <c r="CI315" s="259"/>
      <c r="CJ315" s="260"/>
      <c r="CK315" s="259"/>
      <c r="CL315" s="259"/>
      <c r="CM315" s="260"/>
      <c r="CN315" s="259"/>
      <c r="CO315" s="259"/>
      <c r="CP315" s="260"/>
      <c r="CQ315" s="259"/>
      <c r="CR315" s="259"/>
      <c r="CS315" s="260"/>
      <c r="CT315" s="259"/>
      <c r="CU315" s="198"/>
      <c r="CV315" s="253"/>
      <c r="CW315" s="198"/>
      <c r="CX315" s="198"/>
      <c r="CY315" s="521"/>
      <c r="CZ315" s="489"/>
      <c r="DA315" s="489"/>
      <c r="DB315" s="521"/>
      <c r="DC315" s="489"/>
      <c r="DD315" s="489"/>
      <c r="DE315" s="779"/>
      <c r="DF315" s="489"/>
      <c r="DG315" s="489"/>
      <c r="DH315" s="779"/>
      <c r="DI315" s="831">
        <v>267.35049716184307</v>
      </c>
      <c r="DJ315" s="646">
        <f>+DK315-DI315</f>
        <v>298.11336083266696</v>
      </c>
      <c r="DK315" s="685">
        <v>565.46385799451002</v>
      </c>
      <c r="DL315" s="831">
        <v>315.77222614027261</v>
      </c>
      <c r="DM315" s="646">
        <f>+DN315-DL315</f>
        <v>329.10439254763065</v>
      </c>
      <c r="DN315" s="834">
        <v>644.87661868790326</v>
      </c>
      <c r="DO315" s="666">
        <v>363</v>
      </c>
      <c r="DP315" s="646">
        <f>+DQ315-DO315</f>
        <v>340</v>
      </c>
      <c r="DQ315" s="834">
        <v>703</v>
      </c>
      <c r="DR315" s="666">
        <v>390</v>
      </c>
      <c r="DS315" s="646">
        <f>+DT315-DR315</f>
        <v>387</v>
      </c>
      <c r="DT315" s="834">
        <v>777</v>
      </c>
      <c r="DU315" s="666">
        <v>413</v>
      </c>
      <c r="DV315" s="646">
        <f>+DW315-DU315</f>
        <v>440</v>
      </c>
      <c r="DW315" s="834">
        <v>853</v>
      </c>
      <c r="DX315" s="666">
        <v>426</v>
      </c>
      <c r="DY315" s="646">
        <f>DV315*(1+DY316)</f>
        <v>448.8</v>
      </c>
      <c r="DZ315" s="674">
        <f>SUM(DX315:DY315)</f>
        <v>874.8</v>
      </c>
      <c r="EA315" s="646">
        <f>DX315*(1+EA316)</f>
        <v>443.04</v>
      </c>
      <c r="EB315" s="646">
        <f>DY315*(1+EB316)</f>
        <v>466.75200000000001</v>
      </c>
      <c r="EC315" s="674">
        <f>SUM(EA315:EB315)</f>
        <v>909.79200000000003</v>
      </c>
      <c r="ED315" s="646">
        <f>EA315*(1+ED316)</f>
        <v>460.76160000000004</v>
      </c>
      <c r="EE315" s="646">
        <f>EB315*(1+EE316)</f>
        <v>485.42208000000005</v>
      </c>
      <c r="EF315" s="674">
        <f>SUM(ED315:EE315)</f>
        <v>946.18368000000009</v>
      </c>
      <c r="EG315" s="646">
        <f>ED315*(1+EG316)</f>
        <v>479.19206400000007</v>
      </c>
      <c r="EH315" s="646">
        <f>EE315*(1+EH316)</f>
        <v>504.83896320000008</v>
      </c>
      <c r="EI315" s="674">
        <f>SUM(EG315:EH315)</f>
        <v>984.03102720000015</v>
      </c>
      <c r="EJ315" s="646">
        <f>EG315*(1+EJ316)</f>
        <v>503.15166720000008</v>
      </c>
      <c r="EK315" s="646">
        <f>EH315*(1+EK316)</f>
        <v>530.08091136000007</v>
      </c>
      <c r="EL315" s="674">
        <f>SUM(EJ315:EK315)</f>
        <v>1033.2325785600001</v>
      </c>
      <c r="EM315" s="646">
        <f>EJ315*(1+EM316)</f>
        <v>528.30925056000012</v>
      </c>
      <c r="EN315" s="646">
        <f>EK315*(1+EN316)</f>
        <v>556.58495692800011</v>
      </c>
      <c r="EO315" s="674">
        <f>SUM(EM315:EN315)</f>
        <v>1084.8942074880001</v>
      </c>
      <c r="EP315" s="646">
        <f>EM315*(1+EP316)</f>
        <v>554.72471308800016</v>
      </c>
      <c r="EQ315" s="646">
        <f>EN315*(1+EQ316)</f>
        <v>584.4142047744001</v>
      </c>
      <c r="ER315" s="674">
        <f>SUM(EP315:EQ315)</f>
        <v>1139.1389178624004</v>
      </c>
      <c r="ES315" s="646">
        <f>EP315*(1+ES316)</f>
        <v>582.46094874240021</v>
      </c>
      <c r="ET315" s="646">
        <f>EQ315*(1+ET316)</f>
        <v>613.63491501312012</v>
      </c>
      <c r="EU315" s="674">
        <f>SUM(ES315:ET315)</f>
        <v>1196.0958637555204</v>
      </c>
      <c r="EV315" s="646">
        <f>ES315*(1+EV316)</f>
        <v>611.58399617952023</v>
      </c>
      <c r="EW315" s="646">
        <f>ET315*(1+EW316)</f>
        <v>644.3166607637761</v>
      </c>
      <c r="EX315" s="674">
        <f>SUM(EV315:EW315)</f>
        <v>1255.9006569432963</v>
      </c>
      <c r="EY315" s="646">
        <f>EV315*(1+EY316)</f>
        <v>642.16319598849623</v>
      </c>
      <c r="EZ315" s="646">
        <f>EW315*(1+EZ316)</f>
        <v>676.53249380196496</v>
      </c>
      <c r="FA315" s="776">
        <f>SUM(EY315:EZ315)</f>
        <v>1318.6956897904611</v>
      </c>
      <c r="FG315" s="424"/>
      <c r="FH315" s="424"/>
      <c r="FI315" s="441"/>
    </row>
    <row r="316" spans="1:175" ht="13.35" customHeight="1">
      <c r="A316" s="760"/>
      <c r="B316" s="442"/>
      <c r="C316" s="177" t="s">
        <v>178</v>
      </c>
      <c r="D316" s="294" t="s">
        <v>507</v>
      </c>
      <c r="E316" s="251"/>
      <c r="F316" s="251"/>
      <c r="G316" s="252"/>
      <c r="H316" s="251"/>
      <c r="I316" s="251"/>
      <c r="J316" s="252"/>
      <c r="K316" s="251"/>
      <c r="L316" s="251"/>
      <c r="M316" s="252"/>
      <c r="N316" s="251"/>
      <c r="O316" s="251"/>
      <c r="P316" s="252"/>
      <c r="Q316" s="251"/>
      <c r="R316" s="251"/>
      <c r="S316" s="252"/>
      <c r="T316" s="251"/>
      <c r="U316" s="251"/>
      <c r="V316" s="252"/>
      <c r="W316" s="251"/>
      <c r="X316" s="251"/>
      <c r="Y316" s="252"/>
      <c r="Z316" s="251"/>
      <c r="AA316" s="251"/>
      <c r="AB316" s="252"/>
      <c r="AC316" s="251"/>
      <c r="AD316" s="251"/>
      <c r="AE316" s="252"/>
      <c r="AF316" s="251"/>
      <c r="AG316" s="251"/>
      <c r="AH316" s="252"/>
      <c r="AI316" s="251"/>
      <c r="AJ316" s="251"/>
      <c r="AK316" s="252"/>
      <c r="AL316" s="251"/>
      <c r="AM316" s="251"/>
      <c r="AN316" s="252"/>
      <c r="AO316" s="251"/>
      <c r="AP316" s="251"/>
      <c r="AQ316" s="252"/>
      <c r="AR316" s="251"/>
      <c r="AS316" s="251"/>
      <c r="AT316" s="252"/>
      <c r="AU316" s="251"/>
      <c r="AV316" s="251"/>
      <c r="AW316" s="252"/>
      <c r="AX316" s="251"/>
      <c r="AY316" s="251"/>
      <c r="AZ316" s="252"/>
      <c r="BA316" s="251"/>
      <c r="BB316" s="251"/>
      <c r="BC316" s="252"/>
      <c r="BD316" s="251"/>
      <c r="BE316" s="251"/>
      <c r="BF316" s="252"/>
      <c r="BG316" s="251"/>
      <c r="BH316" s="251"/>
      <c r="BI316" s="252"/>
      <c r="BJ316" s="251"/>
      <c r="BK316" s="251"/>
      <c r="BL316" s="252"/>
      <c r="BM316" s="251"/>
      <c r="BN316" s="198"/>
      <c r="BO316" s="79"/>
      <c r="BP316" s="259"/>
      <c r="BQ316" s="259"/>
      <c r="BR316" s="260"/>
      <c r="BS316" s="259"/>
      <c r="BT316" s="259"/>
      <c r="BU316" s="261"/>
      <c r="BV316" s="259"/>
      <c r="BW316" s="259"/>
      <c r="BX316" s="260"/>
      <c r="BY316" s="259"/>
      <c r="BZ316" s="259"/>
      <c r="CA316" s="260"/>
      <c r="CB316" s="259"/>
      <c r="CC316" s="259"/>
      <c r="CD316" s="260"/>
      <c r="CE316" s="259"/>
      <c r="CF316" s="259"/>
      <c r="CG316" s="260"/>
      <c r="CH316" s="259"/>
      <c r="CI316" s="259"/>
      <c r="CJ316" s="260"/>
      <c r="CK316" s="259"/>
      <c r="CL316" s="259"/>
      <c r="CM316" s="260"/>
      <c r="CN316" s="259"/>
      <c r="CO316" s="259"/>
      <c r="CP316" s="260"/>
      <c r="CQ316" s="259"/>
      <c r="CR316" s="259"/>
      <c r="CS316" s="260"/>
      <c r="CT316" s="259"/>
      <c r="CU316" s="259"/>
      <c r="CV316" s="260"/>
      <c r="CW316" s="259"/>
      <c r="CX316" s="259"/>
      <c r="CY316" s="334"/>
      <c r="CZ316" s="333"/>
      <c r="DA316" s="333"/>
      <c r="DB316" s="334"/>
      <c r="DC316" s="494"/>
      <c r="DD316" s="333"/>
      <c r="DE316" s="788"/>
      <c r="DF316" s="333"/>
      <c r="DG316" s="333"/>
      <c r="DH316" s="788"/>
      <c r="DI316" s="333"/>
      <c r="DJ316" s="494"/>
      <c r="DK316" s="700"/>
      <c r="DL316" s="848">
        <f t="shared" ref="DL316:DU316" si="324">DL315/DI315-1</f>
        <v>0.18111703360370779</v>
      </c>
      <c r="DM316" s="848">
        <f t="shared" si="324"/>
        <v>0.10395720483108151</v>
      </c>
      <c r="DN316" s="842">
        <f t="shared" si="324"/>
        <v>0.14043826067865894</v>
      </c>
      <c r="DO316" s="848">
        <f t="shared" si="324"/>
        <v>0.14956278592642236</v>
      </c>
      <c r="DP316" s="848">
        <f t="shared" si="324"/>
        <v>3.3106842992964403E-2</v>
      </c>
      <c r="DQ316" s="842">
        <f t="shared" si="324"/>
        <v>9.0131010534010958E-2</v>
      </c>
      <c r="DR316" s="848">
        <f t="shared" si="324"/>
        <v>7.4380165289256173E-2</v>
      </c>
      <c r="DS316" s="848">
        <f t="shared" si="324"/>
        <v>0.13823529411764701</v>
      </c>
      <c r="DT316" s="842">
        <f>DT315/DQ315-1</f>
        <v>0.10526315789473695</v>
      </c>
      <c r="DU316" s="848">
        <f t="shared" si="324"/>
        <v>5.8974358974358987E-2</v>
      </c>
      <c r="DV316" s="848">
        <f>DV315/DS315-1</f>
        <v>0.13695090439276481</v>
      </c>
      <c r="DW316" s="842">
        <f>DW315/DT315-1</f>
        <v>9.7812097812097765E-2</v>
      </c>
      <c r="DX316" s="848">
        <f t="shared" ref="DX316" si="325">DX315/DU315-1</f>
        <v>3.14769975786926E-2</v>
      </c>
      <c r="DY316" s="1905">
        <f>-1%+DY3</f>
        <v>1.9999999999999997E-2</v>
      </c>
      <c r="DZ316" s="854">
        <f>+DZ315/DW315-1</f>
        <v>2.5556858147713912E-2</v>
      </c>
      <c r="EA316" s="853">
        <v>0.04</v>
      </c>
      <c r="EB316" s="848">
        <f>+EA316</f>
        <v>0.04</v>
      </c>
      <c r="EC316" s="854">
        <f>+EC315/DZ315-1</f>
        <v>4.0000000000000036E-2</v>
      </c>
      <c r="ED316" s="848">
        <f>+EB316</f>
        <v>0.04</v>
      </c>
      <c r="EE316" s="848">
        <f>+ED316</f>
        <v>0.04</v>
      </c>
      <c r="EF316" s="854">
        <f>+EF315/EC315-1</f>
        <v>4.0000000000000036E-2</v>
      </c>
      <c r="EG316" s="848">
        <f>+EE316</f>
        <v>0.04</v>
      </c>
      <c r="EH316" s="848">
        <f>+EG316</f>
        <v>0.04</v>
      </c>
      <c r="EI316" s="854">
        <f>+EI315/EF315-1</f>
        <v>4.0000000000000036E-2</v>
      </c>
      <c r="EJ316" s="848">
        <v>0.05</v>
      </c>
      <c r="EK316" s="848">
        <f>+EJ316</f>
        <v>0.05</v>
      </c>
      <c r="EL316" s="854">
        <f>+EL315/EI315-1</f>
        <v>4.9999999999999822E-2</v>
      </c>
      <c r="EM316" s="848">
        <f>+EK316</f>
        <v>0.05</v>
      </c>
      <c r="EN316" s="848">
        <f>+EM316</f>
        <v>0.05</v>
      </c>
      <c r="EO316" s="854">
        <f>+EO315/EL315-1</f>
        <v>5.0000000000000044E-2</v>
      </c>
      <c r="EP316" s="848">
        <f>+EN316</f>
        <v>0.05</v>
      </c>
      <c r="EQ316" s="848">
        <f>+EP316</f>
        <v>0.05</v>
      </c>
      <c r="ER316" s="854">
        <f>+ER315/EO315-1</f>
        <v>5.0000000000000266E-2</v>
      </c>
      <c r="ES316" s="848">
        <f>+EQ316</f>
        <v>0.05</v>
      </c>
      <c r="ET316" s="848">
        <f>+ES316</f>
        <v>0.05</v>
      </c>
      <c r="EU316" s="854">
        <f>+EU315/ER315-1</f>
        <v>5.0000000000000044E-2</v>
      </c>
      <c r="EV316" s="848">
        <f>+ET316</f>
        <v>0.05</v>
      </c>
      <c r="EW316" s="848">
        <f>+EV316</f>
        <v>0.05</v>
      </c>
      <c r="EX316" s="854">
        <f>+EX315/EU315-1</f>
        <v>4.9999999999999822E-2</v>
      </c>
      <c r="EY316" s="848">
        <f>+EW316</f>
        <v>0.05</v>
      </c>
      <c r="EZ316" s="848">
        <f>+EY316</f>
        <v>0.05</v>
      </c>
      <c r="FA316" s="848">
        <f>+FA315/EX315-1</f>
        <v>5.0000000000000044E-2</v>
      </c>
      <c r="FB316" s="1871"/>
      <c r="FI316" s="443"/>
      <c r="FJ316" s="262"/>
      <c r="FK316" s="262"/>
      <c r="FL316" s="262"/>
      <c r="FM316" s="262"/>
      <c r="FN316" s="262"/>
      <c r="FO316" s="262"/>
    </row>
    <row r="317" spans="1:175" ht="13.35" customHeight="1">
      <c r="A317" s="760"/>
      <c r="B317" s="4"/>
      <c r="E317" s="251"/>
      <c r="F317" s="251"/>
      <c r="G317" s="252"/>
      <c r="H317" s="251"/>
      <c r="I317" s="251"/>
      <c r="J317" s="252"/>
      <c r="K317" s="251"/>
      <c r="L317" s="251"/>
      <c r="M317" s="252"/>
      <c r="N317" s="251"/>
      <c r="O317" s="251"/>
      <c r="P317" s="252"/>
      <c r="Q317" s="251"/>
      <c r="R317" s="251"/>
      <c r="S317" s="252"/>
      <c r="T317" s="251"/>
      <c r="U317" s="251"/>
      <c r="V317" s="252"/>
      <c r="W317" s="251"/>
      <c r="X317" s="251"/>
      <c r="Y317" s="252"/>
      <c r="Z317" s="251"/>
      <c r="AA317" s="251"/>
      <c r="AB317" s="252"/>
      <c r="AC317" s="251"/>
      <c r="AD317" s="251"/>
      <c r="AE317" s="252"/>
      <c r="AF317" s="251"/>
      <c r="AG317" s="251"/>
      <c r="AH317" s="252"/>
      <c r="AI317" s="251"/>
      <c r="AJ317" s="251"/>
      <c r="AK317" s="252"/>
      <c r="AL317" s="251"/>
      <c r="AM317" s="251"/>
      <c r="AN317" s="252"/>
      <c r="AO317" s="251"/>
      <c r="AP317" s="251"/>
      <c r="AQ317" s="252"/>
      <c r="AR317" s="251"/>
      <c r="AS317" s="251"/>
      <c r="AT317" s="252"/>
      <c r="AU317" s="251"/>
      <c r="AV317" s="251"/>
      <c r="AW317" s="252"/>
      <c r="AX317" s="251"/>
      <c r="AY317" s="251"/>
      <c r="AZ317" s="252"/>
      <c r="BA317" s="251"/>
      <c r="BB317" s="251"/>
      <c r="BC317" s="252"/>
      <c r="BD317" s="251"/>
      <c r="BE317" s="251"/>
      <c r="BF317" s="252"/>
      <c r="BG317" s="251"/>
      <c r="BH317" s="251"/>
      <c r="BI317" s="252"/>
      <c r="BJ317" s="251"/>
      <c r="BK317" s="251"/>
      <c r="BL317" s="252"/>
      <c r="BM317" s="251"/>
      <c r="BN317" s="198"/>
      <c r="BO317" s="79"/>
      <c r="BP317" s="259"/>
      <c r="BQ317" s="259"/>
      <c r="BR317" s="260"/>
      <c r="BS317" s="259"/>
      <c r="BT317" s="259"/>
      <c r="BU317" s="261"/>
      <c r="BV317" s="259"/>
      <c r="BW317" s="259"/>
      <c r="BX317" s="260"/>
      <c r="BY317" s="259"/>
      <c r="BZ317" s="259"/>
      <c r="CA317" s="260"/>
      <c r="CB317" s="259"/>
      <c r="CC317" s="259"/>
      <c r="CD317" s="260"/>
      <c r="CE317" s="259"/>
      <c r="CF317" s="259"/>
      <c r="CG317" s="260"/>
      <c r="CH317" s="259"/>
      <c r="CI317" s="259"/>
      <c r="CJ317" s="260"/>
      <c r="CK317" s="259"/>
      <c r="CL317" s="259"/>
      <c r="CM317" s="260"/>
      <c r="CN317" s="259"/>
      <c r="CO317" s="259"/>
      <c r="CP317" s="260"/>
      <c r="CQ317" s="259"/>
      <c r="CR317" s="259"/>
      <c r="CS317" s="260"/>
      <c r="CT317" s="259"/>
      <c r="CU317" s="259"/>
      <c r="CV317" s="260"/>
      <c r="CW317" s="259"/>
      <c r="CX317" s="259"/>
      <c r="CY317" s="334"/>
      <c r="CZ317" s="333"/>
      <c r="DA317" s="333"/>
      <c r="DB317" s="334"/>
      <c r="DC317" s="333"/>
      <c r="DD317" s="333"/>
      <c r="DE317" s="788"/>
      <c r="DF317" s="333"/>
      <c r="DG317" s="333"/>
      <c r="DH317" s="788"/>
      <c r="DI317" s="333"/>
      <c r="DJ317" s="333"/>
      <c r="DK317" s="700"/>
      <c r="DL317" s="333"/>
      <c r="DM317" s="333"/>
      <c r="DN317" s="700"/>
      <c r="DO317" s="333"/>
      <c r="DP317" s="333"/>
      <c r="DQ317" s="700"/>
      <c r="DR317" s="333"/>
      <c r="DS317" s="333"/>
      <c r="DT317" s="700"/>
      <c r="DU317" s="333"/>
      <c r="DV317" s="333"/>
      <c r="DW317" s="700"/>
      <c r="DX317" s="333"/>
      <c r="DY317" s="333"/>
      <c r="DZ317" s="700"/>
      <c r="EA317" s="333"/>
      <c r="EB317" s="333"/>
      <c r="EC317" s="700"/>
      <c r="ED317" s="333"/>
      <c r="EE317" s="333"/>
      <c r="EF317" s="700"/>
      <c r="EG317" s="333"/>
      <c r="EH317" s="333"/>
      <c r="EI317" s="700"/>
      <c r="EJ317" s="333"/>
      <c r="EK317" s="333"/>
      <c r="EL317" s="700"/>
      <c r="EM317" s="333"/>
      <c r="EN317" s="333"/>
      <c r="EO317" s="700"/>
      <c r="EP317" s="333"/>
      <c r="EQ317" s="333"/>
      <c r="ER317" s="700"/>
      <c r="ES317" s="333"/>
      <c r="ET317" s="333"/>
      <c r="EU317" s="700"/>
      <c r="EV317" s="333"/>
      <c r="EW317" s="333"/>
      <c r="EX317" s="700"/>
      <c r="EY317" s="333"/>
      <c r="EZ317" s="333"/>
      <c r="FA317" s="523"/>
      <c r="FG317" s="424"/>
      <c r="FH317" s="424"/>
      <c r="FI317" s="441"/>
    </row>
    <row r="318" spans="1:175" ht="13.35" customHeight="1">
      <c r="A318" s="760"/>
      <c r="B318" s="4"/>
      <c r="C318" s="177" t="s">
        <v>481</v>
      </c>
      <c r="D318" s="294" t="s">
        <v>357</v>
      </c>
      <c r="E318" s="251"/>
      <c r="F318" s="251"/>
      <c r="G318" s="252"/>
      <c r="H318" s="251"/>
      <c r="I318" s="251"/>
      <c r="J318" s="252"/>
      <c r="K318" s="251"/>
      <c r="L318" s="251"/>
      <c r="M318" s="252"/>
      <c r="N318" s="251"/>
      <c r="O318" s="251"/>
      <c r="P318" s="252"/>
      <c r="Q318" s="251"/>
      <c r="R318" s="251"/>
      <c r="S318" s="252"/>
      <c r="T318" s="251"/>
      <c r="U318" s="251"/>
      <c r="V318" s="252"/>
      <c r="W318" s="251"/>
      <c r="X318" s="251"/>
      <c r="Y318" s="252"/>
      <c r="Z318" s="251"/>
      <c r="AA318" s="251"/>
      <c r="AB318" s="252"/>
      <c r="AC318" s="251"/>
      <c r="AD318" s="251"/>
      <c r="AE318" s="252"/>
      <c r="AF318" s="251"/>
      <c r="AG318" s="251"/>
      <c r="AH318" s="252"/>
      <c r="AI318" s="251"/>
      <c r="AJ318" s="251"/>
      <c r="AK318" s="252"/>
      <c r="AL318" s="251"/>
      <c r="AM318" s="251"/>
      <c r="AN318" s="252"/>
      <c r="AO318" s="251"/>
      <c r="AP318" s="251"/>
      <c r="AQ318" s="252"/>
      <c r="AR318" s="251"/>
      <c r="AS318" s="251"/>
      <c r="AT318" s="252"/>
      <c r="AU318" s="251"/>
      <c r="AV318" s="251"/>
      <c r="AW318" s="252"/>
      <c r="AX318" s="251"/>
      <c r="AY318" s="251"/>
      <c r="AZ318" s="252"/>
      <c r="BA318" s="251"/>
      <c r="BB318" s="251"/>
      <c r="BC318" s="252"/>
      <c r="BD318" s="251"/>
      <c r="BE318" s="251"/>
      <c r="BF318" s="252"/>
      <c r="BG318" s="251"/>
      <c r="BH318" s="251"/>
      <c r="BI318" s="252"/>
      <c r="BJ318" s="251"/>
      <c r="BK318" s="251"/>
      <c r="BL318" s="252"/>
      <c r="BM318" s="251"/>
      <c r="BN318" s="198"/>
      <c r="BO318" s="79"/>
      <c r="BP318" s="259"/>
      <c r="BQ318" s="259"/>
      <c r="BR318" s="260"/>
      <c r="BS318" s="259"/>
      <c r="BT318" s="259"/>
      <c r="BU318" s="261"/>
      <c r="BV318" s="259"/>
      <c r="BW318" s="259"/>
      <c r="BX318" s="260"/>
      <c r="BY318" s="259"/>
      <c r="BZ318" s="259"/>
      <c r="CA318" s="260"/>
      <c r="CB318" s="259"/>
      <c r="CC318" s="259"/>
      <c r="CD318" s="260"/>
      <c r="CE318" s="259"/>
      <c r="CF318" s="259"/>
      <c r="CG318" s="260"/>
      <c r="CH318" s="259"/>
      <c r="CI318" s="259"/>
      <c r="CJ318" s="260"/>
      <c r="CK318" s="259"/>
      <c r="CL318" s="259"/>
      <c r="CM318" s="260"/>
      <c r="CN318" s="259"/>
      <c r="CO318" s="259"/>
      <c r="CP318" s="260"/>
      <c r="CQ318" s="259"/>
      <c r="CR318" s="259"/>
      <c r="CS318" s="260"/>
      <c r="CT318" s="259"/>
      <c r="CU318" s="198"/>
      <c r="CV318" s="253"/>
      <c r="CW318" s="198"/>
      <c r="CX318" s="198"/>
      <c r="CY318" s="521"/>
      <c r="CZ318" s="489"/>
      <c r="DA318" s="489"/>
      <c r="DB318" s="521"/>
      <c r="DC318" s="489"/>
      <c r="DD318" s="489"/>
      <c r="DE318" s="779"/>
      <c r="DF318" s="489"/>
      <c r="DG318" s="489"/>
      <c r="DH318" s="779"/>
      <c r="DI318" s="837">
        <f>+DI315-DI321</f>
        <v>66.837624290460781</v>
      </c>
      <c r="DJ318" s="837">
        <f>+DJ315-DJ321</f>
        <v>74.528340208166753</v>
      </c>
      <c r="DK318" s="828">
        <f>+SUM(DI318:DJ318)</f>
        <v>141.36596449862753</v>
      </c>
      <c r="DL318" s="837">
        <f>+DL315-DL321</f>
        <v>78.943056535068138</v>
      </c>
      <c r="DM318" s="837">
        <f>+DM315-DM321</f>
        <v>82.276098136907649</v>
      </c>
      <c r="DN318" s="828">
        <f>+SUM(DL318:DM318)</f>
        <v>161.21915467197579</v>
      </c>
      <c r="DO318" s="837">
        <f>+DO315-DO321</f>
        <v>90.75</v>
      </c>
      <c r="DP318" s="837">
        <f>+DP315-DP321</f>
        <v>85</v>
      </c>
      <c r="DQ318" s="828">
        <f>+SUM(DO318:DP318)</f>
        <v>175.75</v>
      </c>
      <c r="DR318" s="837">
        <f>+DR315-DR321</f>
        <v>97.5</v>
      </c>
      <c r="DS318" s="837">
        <f>+DS315-DS321</f>
        <v>96.75</v>
      </c>
      <c r="DT318" s="828">
        <f>+SUM(DR318:DS318)</f>
        <v>194.25</v>
      </c>
      <c r="DU318" s="837">
        <f>+DU315-DU321</f>
        <v>103.25</v>
      </c>
      <c r="DV318" s="837">
        <f>+DV315-DV321</f>
        <v>110</v>
      </c>
      <c r="DW318" s="828">
        <f>+SUM(DU318:DV318)</f>
        <v>213.25</v>
      </c>
      <c r="DX318" s="837">
        <f>+DX315-DX321</f>
        <v>106.5</v>
      </c>
      <c r="DY318" s="837">
        <f>+DY315-DY321</f>
        <v>112.19999999999999</v>
      </c>
      <c r="DZ318" s="828">
        <f>+SUM(DX318:DY318)</f>
        <v>218.7</v>
      </c>
      <c r="EA318" s="837">
        <f>+EA315-EA321</f>
        <v>110.75999999999999</v>
      </c>
      <c r="EB318" s="837">
        <f>+EB315-EB321</f>
        <v>116.68799999999999</v>
      </c>
      <c r="EC318" s="828">
        <f>+SUM(EA318:EB318)</f>
        <v>227.44799999999998</v>
      </c>
      <c r="ED318" s="837">
        <f>+ED315-ED321</f>
        <v>115.19040000000001</v>
      </c>
      <c r="EE318" s="837">
        <f>+EE315-EE321</f>
        <v>121.35552000000001</v>
      </c>
      <c r="EF318" s="828">
        <f>+SUM(ED318:EE318)</f>
        <v>236.54592000000002</v>
      </c>
      <c r="EG318" s="837">
        <f>+EG315-EG321</f>
        <v>119.79801600000002</v>
      </c>
      <c r="EH318" s="837">
        <f>+EH315-EH321</f>
        <v>126.20974080000002</v>
      </c>
      <c r="EI318" s="828">
        <f>+SUM(EG318:EH318)</f>
        <v>246.00775680000004</v>
      </c>
      <c r="EJ318" s="837">
        <f>+EJ315-EJ321</f>
        <v>125.7879168</v>
      </c>
      <c r="EK318" s="837">
        <f>+EK315-EK321</f>
        <v>132.52022784000002</v>
      </c>
      <c r="EL318" s="828">
        <f>+SUM(EJ318:EK318)</f>
        <v>258.30814464000002</v>
      </c>
      <c r="EM318" s="837">
        <f>+EM315-EM321</f>
        <v>132.07731264000006</v>
      </c>
      <c r="EN318" s="837">
        <f>+EN315-EN321</f>
        <v>139.14623923200003</v>
      </c>
      <c r="EO318" s="828">
        <f>+SUM(EM318:EN318)</f>
        <v>271.22355187200009</v>
      </c>
      <c r="EP318" s="837">
        <f>+EP315-EP321</f>
        <v>138.68117827200001</v>
      </c>
      <c r="EQ318" s="837">
        <f>+EQ315-EQ321</f>
        <v>146.10355119360003</v>
      </c>
      <c r="ER318" s="828">
        <f>+SUM(EP318:EQ318)</f>
        <v>284.78472946560004</v>
      </c>
      <c r="ES318" s="837">
        <f>+ES315-ES321</f>
        <v>145.61523718560005</v>
      </c>
      <c r="ET318" s="837">
        <f>+ET315-ET321</f>
        <v>153.40872875328</v>
      </c>
      <c r="EU318" s="828">
        <f>+SUM(ES318:ET318)</f>
        <v>299.02396593888005</v>
      </c>
      <c r="EV318" s="837">
        <f>+EV315-EV321</f>
        <v>152.89599904488006</v>
      </c>
      <c r="EW318" s="837">
        <f>+EW315-EW321</f>
        <v>161.07916519094402</v>
      </c>
      <c r="EX318" s="828">
        <f>+SUM(EV318:EW318)</f>
        <v>313.97516423582408</v>
      </c>
      <c r="EY318" s="837">
        <f>+EY315-EY321</f>
        <v>160.54079899712406</v>
      </c>
      <c r="EZ318" s="837">
        <f>+EZ315-EZ321</f>
        <v>169.13312345049121</v>
      </c>
      <c r="FA318" s="840">
        <f>+SUM(EY318:EZ318)</f>
        <v>329.67392244761527</v>
      </c>
      <c r="FG318" s="424"/>
      <c r="FH318" s="424"/>
      <c r="FI318" s="441"/>
      <c r="FJ318" s="193"/>
      <c r="FK318" s="193"/>
      <c r="FL318" s="193"/>
      <c r="FM318" s="193"/>
      <c r="FN318" s="193"/>
      <c r="FO318" s="193"/>
    </row>
    <row r="319" spans="1:175" ht="13.35" customHeight="1">
      <c r="A319" s="760"/>
      <c r="B319" s="4"/>
      <c r="C319" s="177" t="s">
        <v>178</v>
      </c>
      <c r="D319" s="294" t="s">
        <v>507</v>
      </c>
      <c r="E319" s="251"/>
      <c r="F319" s="251"/>
      <c r="G319" s="252"/>
      <c r="H319" s="251"/>
      <c r="I319" s="251"/>
      <c r="J319" s="252"/>
      <c r="K319" s="251"/>
      <c r="L319" s="251"/>
      <c r="M319" s="252"/>
      <c r="N319" s="251"/>
      <c r="O319" s="251"/>
      <c r="P319" s="252"/>
      <c r="Q319" s="251"/>
      <c r="R319" s="251"/>
      <c r="S319" s="252"/>
      <c r="T319" s="251"/>
      <c r="U319" s="251"/>
      <c r="V319" s="252"/>
      <c r="W319" s="251"/>
      <c r="X319" s="251"/>
      <c r="Y319" s="252"/>
      <c r="Z319" s="251"/>
      <c r="AA319" s="251"/>
      <c r="AB319" s="252"/>
      <c r="AC319" s="251"/>
      <c r="AD319" s="251"/>
      <c r="AE319" s="252"/>
      <c r="AF319" s="251"/>
      <c r="AG319" s="251"/>
      <c r="AH319" s="252"/>
      <c r="AI319" s="251"/>
      <c r="AJ319" s="251"/>
      <c r="AK319" s="252"/>
      <c r="AL319" s="251"/>
      <c r="AM319" s="251"/>
      <c r="AN319" s="252"/>
      <c r="AO319" s="251"/>
      <c r="AP319" s="251"/>
      <c r="AQ319" s="252"/>
      <c r="AR319" s="251"/>
      <c r="AS319" s="251"/>
      <c r="AT319" s="252"/>
      <c r="AU319" s="251"/>
      <c r="AV319" s="251"/>
      <c r="AW319" s="252"/>
      <c r="AX319" s="251"/>
      <c r="AY319" s="251"/>
      <c r="AZ319" s="252"/>
      <c r="BA319" s="251"/>
      <c r="BB319" s="251"/>
      <c r="BC319" s="252"/>
      <c r="BD319" s="251"/>
      <c r="BE319" s="251"/>
      <c r="BF319" s="252"/>
      <c r="BG319" s="251"/>
      <c r="BH319" s="251"/>
      <c r="BI319" s="252"/>
      <c r="BJ319" s="251"/>
      <c r="BK319" s="251"/>
      <c r="BL319" s="252"/>
      <c r="BM319" s="251"/>
      <c r="BN319" s="198"/>
      <c r="BO319" s="79"/>
      <c r="BP319" s="259"/>
      <c r="BQ319" s="259"/>
      <c r="BR319" s="260"/>
      <c r="BS319" s="259"/>
      <c r="BT319" s="259"/>
      <c r="BU319" s="261"/>
      <c r="BV319" s="259"/>
      <c r="BW319" s="259"/>
      <c r="BX319" s="260"/>
      <c r="BY319" s="259"/>
      <c r="BZ319" s="259"/>
      <c r="CA319" s="260"/>
      <c r="CB319" s="259"/>
      <c r="CC319" s="259"/>
      <c r="CD319" s="260"/>
      <c r="CE319" s="259"/>
      <c r="CF319" s="259"/>
      <c r="CG319" s="260"/>
      <c r="CH319" s="259"/>
      <c r="CI319" s="259"/>
      <c r="CJ319" s="260"/>
      <c r="CK319" s="259"/>
      <c r="CL319" s="259"/>
      <c r="CM319" s="260"/>
      <c r="CN319" s="259"/>
      <c r="CO319" s="259"/>
      <c r="CP319" s="260"/>
      <c r="CQ319" s="259"/>
      <c r="CR319" s="259"/>
      <c r="CS319" s="260"/>
      <c r="CT319" s="259"/>
      <c r="CU319" s="259"/>
      <c r="CV319" s="260"/>
      <c r="CW319" s="260"/>
      <c r="CX319" s="260"/>
      <c r="CY319" s="334"/>
      <c r="CZ319" s="334"/>
      <c r="DA319" s="334"/>
      <c r="DB319" s="334"/>
      <c r="DC319" s="334"/>
      <c r="DD319" s="334"/>
      <c r="DE319" s="788"/>
      <c r="DF319" s="334"/>
      <c r="DG319" s="334"/>
      <c r="DH319" s="788"/>
      <c r="DI319" s="848"/>
      <c r="DJ319" s="848"/>
      <c r="DK319" s="842"/>
      <c r="DL319" s="848">
        <f>+DL318/DI318-1</f>
        <v>0.18111703360370734</v>
      </c>
      <c r="DM319" s="848">
        <f t="shared" ref="DM319:EU319" si="326">+DM318/DJ318-1</f>
        <v>0.10395720483108128</v>
      </c>
      <c r="DN319" s="842">
        <f t="shared" si="326"/>
        <v>0.14043826067865872</v>
      </c>
      <c r="DO319" s="848">
        <f t="shared" si="326"/>
        <v>0.14956278592642258</v>
      </c>
      <c r="DP319" s="848">
        <f t="shared" si="326"/>
        <v>3.3106842992964625E-2</v>
      </c>
      <c r="DQ319" s="842">
        <f t="shared" si="326"/>
        <v>9.013101053401118E-2</v>
      </c>
      <c r="DR319" s="848">
        <f t="shared" si="326"/>
        <v>7.4380165289256173E-2</v>
      </c>
      <c r="DS319" s="848">
        <f t="shared" si="326"/>
        <v>0.13823529411764701</v>
      </c>
      <c r="DT319" s="842">
        <f t="shared" si="326"/>
        <v>0.10526315789473695</v>
      </c>
      <c r="DU319" s="848">
        <f t="shared" si="326"/>
        <v>5.8974358974358987E-2</v>
      </c>
      <c r="DV319" s="848">
        <f>+DV318/DS318-1</f>
        <v>0.13695090439276481</v>
      </c>
      <c r="DW319" s="842">
        <f>+DW318/DT318-1</f>
        <v>9.7812097812097765E-2</v>
      </c>
      <c r="DX319" s="848">
        <f t="shared" si="326"/>
        <v>3.14769975786926E-2</v>
      </c>
      <c r="DY319" s="848">
        <f t="shared" si="326"/>
        <v>1.9999999999999796E-2</v>
      </c>
      <c r="DZ319" s="842">
        <f t="shared" si="326"/>
        <v>2.5556858147713912E-2</v>
      </c>
      <c r="EA319" s="848">
        <f t="shared" si="326"/>
        <v>3.9999999999999813E-2</v>
      </c>
      <c r="EB319" s="848">
        <f t="shared" si="326"/>
        <v>4.0000000000000036E-2</v>
      </c>
      <c r="EC319" s="842">
        <f t="shared" si="326"/>
        <v>4.0000000000000036E-2</v>
      </c>
      <c r="ED319" s="848">
        <f t="shared" si="326"/>
        <v>4.0000000000000258E-2</v>
      </c>
      <c r="EE319" s="848">
        <f t="shared" si="326"/>
        <v>4.0000000000000258E-2</v>
      </c>
      <c r="EF319" s="842">
        <f t="shared" si="326"/>
        <v>4.0000000000000258E-2</v>
      </c>
      <c r="EG319" s="848">
        <f t="shared" si="326"/>
        <v>4.0000000000000036E-2</v>
      </c>
      <c r="EH319" s="848">
        <f t="shared" si="326"/>
        <v>4.0000000000000036E-2</v>
      </c>
      <c r="EI319" s="842">
        <f t="shared" si="326"/>
        <v>4.0000000000000036E-2</v>
      </c>
      <c r="EJ319" s="848">
        <f t="shared" si="326"/>
        <v>4.9999999999999822E-2</v>
      </c>
      <c r="EK319" s="848">
        <f t="shared" si="326"/>
        <v>5.0000000000000044E-2</v>
      </c>
      <c r="EL319" s="842">
        <f t="shared" si="326"/>
        <v>4.9999999999999822E-2</v>
      </c>
      <c r="EM319" s="848">
        <f t="shared" si="326"/>
        <v>5.0000000000000488E-2</v>
      </c>
      <c r="EN319" s="848">
        <f t="shared" si="326"/>
        <v>5.0000000000000044E-2</v>
      </c>
      <c r="EO319" s="842">
        <f t="shared" si="326"/>
        <v>5.0000000000000266E-2</v>
      </c>
      <c r="EP319" s="848">
        <f t="shared" si="326"/>
        <v>4.99999999999996E-2</v>
      </c>
      <c r="EQ319" s="848">
        <f t="shared" si="326"/>
        <v>5.0000000000000044E-2</v>
      </c>
      <c r="ER319" s="842">
        <f t="shared" si="326"/>
        <v>4.9999999999999822E-2</v>
      </c>
      <c r="ES319" s="848">
        <f t="shared" si="326"/>
        <v>5.0000000000000266E-2</v>
      </c>
      <c r="ET319" s="848">
        <f t="shared" si="326"/>
        <v>4.9999999999999822E-2</v>
      </c>
      <c r="EU319" s="842">
        <f t="shared" si="326"/>
        <v>5.0000000000000044E-2</v>
      </c>
      <c r="EV319" s="848">
        <f t="shared" ref="EV319:FA319" si="327">+EV318/ES318-1</f>
        <v>5.0000000000000044E-2</v>
      </c>
      <c r="EW319" s="848">
        <f t="shared" si="327"/>
        <v>5.0000000000000044E-2</v>
      </c>
      <c r="EX319" s="842">
        <f t="shared" si="327"/>
        <v>5.0000000000000044E-2</v>
      </c>
      <c r="EY319" s="848">
        <f t="shared" si="327"/>
        <v>5.0000000000000044E-2</v>
      </c>
      <c r="EZ319" s="848">
        <f t="shared" si="327"/>
        <v>4.9999999999999822E-2</v>
      </c>
      <c r="FA319" s="849">
        <f t="shared" si="327"/>
        <v>5.0000000000000044E-2</v>
      </c>
      <c r="FG319" s="424"/>
      <c r="FH319" s="424"/>
      <c r="FI319" s="441"/>
      <c r="FJ319" s="395"/>
      <c r="FK319" s="395"/>
      <c r="FL319" s="395"/>
      <c r="FM319" s="395"/>
      <c r="FN319" s="395"/>
      <c r="FO319" s="395"/>
    </row>
    <row r="320" spans="1:175" ht="13.35" customHeight="1">
      <c r="A320" s="760"/>
      <c r="B320" s="4"/>
      <c r="E320" s="251"/>
      <c r="F320" s="251"/>
      <c r="G320" s="252"/>
      <c r="H320" s="251"/>
      <c r="I320" s="251"/>
      <c r="J320" s="252"/>
      <c r="K320" s="251"/>
      <c r="L320" s="251"/>
      <c r="M320" s="252"/>
      <c r="N320" s="251"/>
      <c r="O320" s="251"/>
      <c r="P320" s="252"/>
      <c r="Q320" s="251"/>
      <c r="R320" s="251"/>
      <c r="S320" s="252"/>
      <c r="T320" s="251"/>
      <c r="U320" s="251"/>
      <c r="V320" s="252"/>
      <c r="W320" s="251"/>
      <c r="X320" s="251"/>
      <c r="Y320" s="252"/>
      <c r="Z320" s="251"/>
      <c r="AA320" s="251"/>
      <c r="AB320" s="252"/>
      <c r="AC320" s="251"/>
      <c r="AD320" s="251"/>
      <c r="AE320" s="252"/>
      <c r="AF320" s="251"/>
      <c r="AG320" s="251"/>
      <c r="AH320" s="252"/>
      <c r="AI320" s="251"/>
      <c r="AJ320" s="251"/>
      <c r="AK320" s="252"/>
      <c r="AL320" s="251"/>
      <c r="AM320" s="251"/>
      <c r="AN320" s="252"/>
      <c r="AO320" s="251"/>
      <c r="AP320" s="251"/>
      <c r="AQ320" s="252"/>
      <c r="AR320" s="251"/>
      <c r="AS320" s="251"/>
      <c r="AT320" s="252"/>
      <c r="AU320" s="251"/>
      <c r="AV320" s="251"/>
      <c r="AW320" s="252"/>
      <c r="AX320" s="251"/>
      <c r="AY320" s="251"/>
      <c r="AZ320" s="252"/>
      <c r="BA320" s="251"/>
      <c r="BB320" s="251"/>
      <c r="BC320" s="252"/>
      <c r="BD320" s="251"/>
      <c r="BE320" s="251"/>
      <c r="BF320" s="252"/>
      <c r="BG320" s="251"/>
      <c r="BH320" s="251"/>
      <c r="BI320" s="252"/>
      <c r="BJ320" s="251"/>
      <c r="BK320" s="251"/>
      <c r="BL320" s="252"/>
      <c r="BM320" s="251"/>
      <c r="BN320" s="198"/>
      <c r="BO320" s="79"/>
      <c r="BP320" s="259"/>
      <c r="BQ320" s="259"/>
      <c r="BR320" s="260"/>
      <c r="BS320" s="259"/>
      <c r="BT320" s="259"/>
      <c r="BU320" s="261"/>
      <c r="BV320" s="259"/>
      <c r="BW320" s="259"/>
      <c r="BX320" s="260"/>
      <c r="BY320" s="259"/>
      <c r="BZ320" s="259"/>
      <c r="CA320" s="260"/>
      <c r="CB320" s="259"/>
      <c r="CC320" s="259"/>
      <c r="CD320" s="260"/>
      <c r="CE320" s="259"/>
      <c r="CF320" s="259"/>
      <c r="CG320" s="260"/>
      <c r="CH320" s="259"/>
      <c r="CI320" s="259"/>
      <c r="CJ320" s="260"/>
      <c r="CK320" s="259"/>
      <c r="CL320" s="259"/>
      <c r="CM320" s="260"/>
      <c r="CN320" s="259"/>
      <c r="CO320" s="259"/>
      <c r="CP320" s="260"/>
      <c r="CQ320" s="259"/>
      <c r="CR320" s="259"/>
      <c r="CS320" s="260"/>
      <c r="CT320" s="259"/>
      <c r="CU320" s="259"/>
      <c r="CV320" s="260"/>
      <c r="CW320" s="259"/>
      <c r="CX320" s="259"/>
      <c r="CY320" s="334"/>
      <c r="CZ320" s="333"/>
      <c r="DA320" s="333"/>
      <c r="DB320" s="334"/>
      <c r="DC320" s="333"/>
      <c r="DD320" s="333"/>
      <c r="DE320" s="788"/>
      <c r="DF320" s="333"/>
      <c r="DG320" s="333"/>
      <c r="DH320" s="788"/>
      <c r="DI320" s="333"/>
      <c r="DJ320" s="333"/>
      <c r="DK320" s="700"/>
      <c r="DL320" s="333"/>
      <c r="DM320" s="333"/>
      <c r="DN320" s="700"/>
      <c r="DO320" s="333"/>
      <c r="DP320" s="333"/>
      <c r="DQ320" s="700"/>
      <c r="DR320" s="333"/>
      <c r="DS320" s="333"/>
      <c r="DT320" s="700"/>
      <c r="DU320" s="333"/>
      <c r="DV320" s="333"/>
      <c r="DW320" s="700"/>
      <c r="DX320" s="333"/>
      <c r="DY320" s="333"/>
      <c r="DZ320" s="700"/>
      <c r="EA320" s="333"/>
      <c r="EB320" s="333"/>
      <c r="EC320" s="700"/>
      <c r="ED320" s="333"/>
      <c r="EE320" s="333"/>
      <c r="EF320" s="700"/>
      <c r="EG320" s="333"/>
      <c r="EH320" s="333"/>
      <c r="EI320" s="700"/>
      <c r="EJ320" s="333"/>
      <c r="EK320" s="333"/>
      <c r="EL320" s="700"/>
      <c r="EM320" s="333"/>
      <c r="EN320" s="333"/>
      <c r="EO320" s="700"/>
      <c r="EP320" s="333"/>
      <c r="EQ320" s="333"/>
      <c r="ER320" s="700"/>
      <c r="ES320" s="333"/>
      <c r="ET320" s="333"/>
      <c r="EU320" s="700"/>
      <c r="EV320" s="333"/>
      <c r="EW320" s="333"/>
      <c r="EX320" s="700"/>
      <c r="EY320" s="333"/>
      <c r="EZ320" s="333"/>
      <c r="FA320" s="523"/>
    </row>
    <row r="321" spans="1:184" ht="13.35" customHeight="1">
      <c r="A321" s="760"/>
      <c r="B321" s="4"/>
      <c r="C321" s="177" t="s">
        <v>38</v>
      </c>
      <c r="D321" s="294" t="s">
        <v>357</v>
      </c>
      <c r="E321" s="251"/>
      <c r="F321" s="251"/>
      <c r="G321" s="252"/>
      <c r="H321" s="251"/>
      <c r="I321" s="251"/>
      <c r="J321" s="252"/>
      <c r="K321" s="251"/>
      <c r="L321" s="251"/>
      <c r="M321" s="252"/>
      <c r="N321" s="251"/>
      <c r="O321" s="251"/>
      <c r="P321" s="252"/>
      <c r="Q321" s="251"/>
      <c r="R321" s="251"/>
      <c r="S321" s="252"/>
      <c r="T321" s="251"/>
      <c r="U321" s="251"/>
      <c r="V321" s="252"/>
      <c r="W321" s="251"/>
      <c r="X321" s="251"/>
      <c r="Y321" s="252"/>
      <c r="Z321" s="251"/>
      <c r="AA321" s="251"/>
      <c r="AB321" s="252"/>
      <c r="AC321" s="251"/>
      <c r="AD321" s="251"/>
      <c r="AE321" s="252"/>
      <c r="AF321" s="251"/>
      <c r="AG321" s="251"/>
      <c r="AH321" s="252"/>
      <c r="AI321" s="251"/>
      <c r="AJ321" s="251"/>
      <c r="AK321" s="252"/>
      <c r="AL321" s="251"/>
      <c r="AM321" s="251"/>
      <c r="AN321" s="252"/>
      <c r="AO321" s="251"/>
      <c r="AP321" s="251"/>
      <c r="AQ321" s="252"/>
      <c r="AR321" s="251"/>
      <c r="AS321" s="251"/>
      <c r="AT321" s="252"/>
      <c r="AU321" s="251"/>
      <c r="AV321" s="251"/>
      <c r="AW321" s="252"/>
      <c r="AX321" s="251"/>
      <c r="AY321" s="251"/>
      <c r="AZ321" s="252"/>
      <c r="BA321" s="251"/>
      <c r="BB321" s="251"/>
      <c r="BC321" s="252"/>
      <c r="BD321" s="251"/>
      <c r="BE321" s="251"/>
      <c r="BF321" s="252"/>
      <c r="BG321" s="251"/>
      <c r="BH321" s="251"/>
      <c r="BI321" s="252"/>
      <c r="BJ321" s="251"/>
      <c r="BK321" s="251"/>
      <c r="BL321" s="252"/>
      <c r="BM321" s="251"/>
      <c r="BN321" s="198"/>
      <c r="BO321" s="79"/>
      <c r="BP321" s="259"/>
      <c r="BQ321" s="259"/>
      <c r="BR321" s="260"/>
      <c r="BS321" s="259"/>
      <c r="BT321" s="259"/>
      <c r="BU321" s="261"/>
      <c r="BV321" s="259"/>
      <c r="BW321" s="259"/>
      <c r="BX321" s="260"/>
      <c r="BY321" s="259"/>
      <c r="BZ321" s="259"/>
      <c r="CA321" s="260"/>
      <c r="CB321" s="259"/>
      <c r="CC321" s="259"/>
      <c r="CD321" s="260"/>
      <c r="CE321" s="259"/>
      <c r="CF321" s="259"/>
      <c r="CG321" s="260"/>
      <c r="CH321" s="259"/>
      <c r="CI321" s="259"/>
      <c r="CJ321" s="260"/>
      <c r="CK321" s="259"/>
      <c r="CL321" s="259"/>
      <c r="CM321" s="260"/>
      <c r="CN321" s="259"/>
      <c r="CO321" s="259"/>
      <c r="CP321" s="260"/>
      <c r="CQ321" s="259"/>
      <c r="CR321" s="259"/>
      <c r="CS321" s="260"/>
      <c r="CT321" s="259"/>
      <c r="CU321" s="198"/>
      <c r="CV321" s="253"/>
      <c r="CW321" s="198"/>
      <c r="CX321" s="198"/>
      <c r="CY321" s="521"/>
      <c r="CZ321" s="489"/>
      <c r="DA321" s="489"/>
      <c r="DB321" s="521"/>
      <c r="DC321" s="489"/>
      <c r="DD321" s="489"/>
      <c r="DE321" s="779"/>
      <c r="DF321" s="489"/>
      <c r="DG321" s="489"/>
      <c r="DH321" s="779"/>
      <c r="DI321" s="646">
        <f>DI315*DI322</f>
        <v>200.51287287138229</v>
      </c>
      <c r="DJ321" s="646">
        <f>DJ315*DJ322</f>
        <v>223.5850206245002</v>
      </c>
      <c r="DK321" s="674">
        <f>+SUM(DI321:DJ321)</f>
        <v>424.09789349588249</v>
      </c>
      <c r="DL321" s="646">
        <f t="shared" ref="DL321:DY321" si="328">DL315*DL322</f>
        <v>236.82916960520447</v>
      </c>
      <c r="DM321" s="646">
        <f t="shared" si="328"/>
        <v>246.828294410723</v>
      </c>
      <c r="DN321" s="674">
        <f>+SUM(DL321:DM321)</f>
        <v>483.65746401592747</v>
      </c>
      <c r="DO321" s="646">
        <f t="shared" si="328"/>
        <v>272.25</v>
      </c>
      <c r="DP321" s="646">
        <f t="shared" si="328"/>
        <v>255</v>
      </c>
      <c r="DQ321" s="674">
        <f>+SUM(DO321:DP321)</f>
        <v>527.25</v>
      </c>
      <c r="DR321" s="646">
        <f t="shared" si="328"/>
        <v>292.5</v>
      </c>
      <c r="DS321" s="646">
        <f t="shared" si="328"/>
        <v>290.25</v>
      </c>
      <c r="DT321" s="674">
        <f>+SUM(DR321:DS321)</f>
        <v>582.75</v>
      </c>
      <c r="DU321" s="646">
        <f>DU315*DU322</f>
        <v>309.75</v>
      </c>
      <c r="DV321" s="646">
        <f>DV315*DV322</f>
        <v>330</v>
      </c>
      <c r="DW321" s="674">
        <f>+SUM(DU321:DV321)</f>
        <v>639.75</v>
      </c>
      <c r="DX321" s="646">
        <f>DX315*DX322</f>
        <v>319.5</v>
      </c>
      <c r="DY321" s="646">
        <f t="shared" si="328"/>
        <v>336.6</v>
      </c>
      <c r="DZ321" s="674">
        <f>+SUM(DX321:DY321)</f>
        <v>656.1</v>
      </c>
      <c r="EA321" s="646">
        <f>EA315*EA322</f>
        <v>332.28000000000003</v>
      </c>
      <c r="EB321" s="646">
        <f>EB315*EB322</f>
        <v>350.06400000000002</v>
      </c>
      <c r="EC321" s="674">
        <f>+SUM(EA321:EB321)</f>
        <v>682.34400000000005</v>
      </c>
      <c r="ED321" s="646">
        <f>ED315*ED322</f>
        <v>345.57120000000003</v>
      </c>
      <c r="EE321" s="646">
        <f>EE315*EE322</f>
        <v>364.06656000000004</v>
      </c>
      <c r="EF321" s="674">
        <f>+SUM(ED321:EE321)</f>
        <v>709.63776000000007</v>
      </c>
      <c r="EG321" s="646">
        <f>EG315*EG322</f>
        <v>359.39404800000005</v>
      </c>
      <c r="EH321" s="646">
        <f>EH315*EH322</f>
        <v>378.62922240000006</v>
      </c>
      <c r="EI321" s="674">
        <f>+SUM(EG321:EH321)</f>
        <v>738.02327040000011</v>
      </c>
      <c r="EJ321" s="646">
        <f>EJ315*EJ322</f>
        <v>377.36375040000007</v>
      </c>
      <c r="EK321" s="646">
        <f>EK315*EK322</f>
        <v>397.56068352000005</v>
      </c>
      <c r="EL321" s="674">
        <f>+SUM(EJ321:EK321)</f>
        <v>774.92443392000018</v>
      </c>
      <c r="EM321" s="646">
        <f>EM315*EM322</f>
        <v>396.23193792000006</v>
      </c>
      <c r="EN321" s="646">
        <f>EN315*EN322</f>
        <v>417.43871769600008</v>
      </c>
      <c r="EO321" s="674">
        <f>+SUM(EM321:EN321)</f>
        <v>813.6706556160002</v>
      </c>
      <c r="EP321" s="646">
        <f>EP315*EP322</f>
        <v>416.04353481600015</v>
      </c>
      <c r="EQ321" s="646">
        <f>EQ315*EQ322</f>
        <v>438.31065358080008</v>
      </c>
      <c r="ER321" s="674">
        <f>+SUM(EP321:EQ321)</f>
        <v>854.35418839680028</v>
      </c>
      <c r="ES321" s="646">
        <f>ES315*ES322</f>
        <v>436.84571155680015</v>
      </c>
      <c r="ET321" s="646">
        <f>ET315*ET322</f>
        <v>460.22618625984012</v>
      </c>
      <c r="EU321" s="674">
        <f>+SUM(ES321:ET321)</f>
        <v>897.07189781664033</v>
      </c>
      <c r="EV321" s="646">
        <f>EV315*EV322</f>
        <v>458.68799713464017</v>
      </c>
      <c r="EW321" s="646">
        <f>EW315*EW322</f>
        <v>483.23749557283207</v>
      </c>
      <c r="EX321" s="674">
        <f>+SUM(EV321:EW321)</f>
        <v>941.92549270747224</v>
      </c>
      <c r="EY321" s="646">
        <f>EY315*EY322</f>
        <v>481.62239699137217</v>
      </c>
      <c r="EZ321" s="646">
        <f>EZ315*EZ322</f>
        <v>507.39937035147375</v>
      </c>
      <c r="FA321" s="776">
        <f>+SUM(EY321:EZ321)</f>
        <v>989.02176734284592</v>
      </c>
      <c r="FB321" s="1871"/>
      <c r="FI321" s="217"/>
    </row>
    <row r="322" spans="1:184" ht="13.35" customHeight="1">
      <c r="A322" s="760"/>
      <c r="B322" s="4"/>
      <c r="C322" s="177" t="s">
        <v>212</v>
      </c>
      <c r="D322" s="294" t="s">
        <v>507</v>
      </c>
      <c r="E322" s="251"/>
      <c r="F322" s="251"/>
      <c r="G322" s="252"/>
      <c r="H322" s="251"/>
      <c r="I322" s="251"/>
      <c r="J322" s="252"/>
      <c r="K322" s="251"/>
      <c r="L322" s="251"/>
      <c r="M322" s="252"/>
      <c r="N322" s="251"/>
      <c r="O322" s="251"/>
      <c r="P322" s="252"/>
      <c r="Q322" s="251"/>
      <c r="R322" s="251"/>
      <c r="S322" s="252"/>
      <c r="T322" s="251"/>
      <c r="U322" s="251"/>
      <c r="V322" s="252"/>
      <c r="W322" s="251"/>
      <c r="X322" s="251"/>
      <c r="Y322" s="252"/>
      <c r="Z322" s="251"/>
      <c r="AA322" s="251"/>
      <c r="AB322" s="252"/>
      <c r="AC322" s="251"/>
      <c r="AD322" s="251"/>
      <c r="AE322" s="252"/>
      <c r="AF322" s="251"/>
      <c r="AG322" s="251"/>
      <c r="AH322" s="252"/>
      <c r="AI322" s="251"/>
      <c r="AJ322" s="251"/>
      <c r="AK322" s="252"/>
      <c r="AL322" s="251"/>
      <c r="AM322" s="251"/>
      <c r="AN322" s="252"/>
      <c r="AO322" s="251"/>
      <c r="AP322" s="251"/>
      <c r="AQ322" s="252"/>
      <c r="AR322" s="251"/>
      <c r="AS322" s="251"/>
      <c r="AT322" s="252"/>
      <c r="AU322" s="251"/>
      <c r="AV322" s="251"/>
      <c r="AW322" s="252"/>
      <c r="AX322" s="251"/>
      <c r="AY322" s="251"/>
      <c r="AZ322" s="252"/>
      <c r="BA322" s="251"/>
      <c r="BB322" s="251"/>
      <c r="BC322" s="252"/>
      <c r="BD322" s="251"/>
      <c r="BE322" s="251"/>
      <c r="BF322" s="252"/>
      <c r="BG322" s="251"/>
      <c r="BH322" s="251"/>
      <c r="BI322" s="252"/>
      <c r="BJ322" s="251"/>
      <c r="BK322" s="251"/>
      <c r="BL322" s="252"/>
      <c r="BM322" s="251"/>
      <c r="BN322" s="198"/>
      <c r="BO322" s="79"/>
      <c r="BP322" s="259"/>
      <c r="BQ322" s="259"/>
      <c r="BR322" s="260"/>
      <c r="BS322" s="259"/>
      <c r="BT322" s="259"/>
      <c r="BU322" s="261"/>
      <c r="BV322" s="259"/>
      <c r="BW322" s="259"/>
      <c r="BX322" s="260"/>
      <c r="BY322" s="259"/>
      <c r="BZ322" s="259"/>
      <c r="CA322" s="260"/>
      <c r="CB322" s="259"/>
      <c r="CC322" s="259"/>
      <c r="CD322" s="260"/>
      <c r="CE322" s="259"/>
      <c r="CF322" s="259"/>
      <c r="CG322" s="260"/>
      <c r="CH322" s="259"/>
      <c r="CI322" s="259"/>
      <c r="CJ322" s="260"/>
      <c r="CK322" s="259"/>
      <c r="CL322" s="259"/>
      <c r="CM322" s="260"/>
      <c r="CN322" s="259"/>
      <c r="CO322" s="259"/>
      <c r="CP322" s="260"/>
      <c r="CQ322" s="259"/>
      <c r="CR322" s="259"/>
      <c r="CS322" s="260"/>
      <c r="CT322" s="259"/>
      <c r="CU322" s="259"/>
      <c r="CV322" s="260"/>
      <c r="CW322" s="259"/>
      <c r="CX322" s="259"/>
      <c r="CY322" s="334"/>
      <c r="CZ322" s="333"/>
      <c r="DA322" s="333"/>
      <c r="DB322" s="334"/>
      <c r="DC322" s="333"/>
      <c r="DD322" s="333"/>
      <c r="DE322" s="788"/>
      <c r="DF322" s="333"/>
      <c r="DG322" s="333"/>
      <c r="DH322" s="717"/>
      <c r="DI322" s="853">
        <v>0.75</v>
      </c>
      <c r="DJ322" s="848">
        <f>+DI322</f>
        <v>0.75</v>
      </c>
      <c r="DK322" s="842">
        <f>+DK321/DK315</f>
        <v>0.75</v>
      </c>
      <c r="DL322" s="848">
        <f>+DJ322</f>
        <v>0.75</v>
      </c>
      <c r="DM322" s="848">
        <f>+DL322</f>
        <v>0.75</v>
      </c>
      <c r="DN322" s="842">
        <f>+DN321/DN315</f>
        <v>0.75</v>
      </c>
      <c r="DO322" s="848">
        <f>+DM322</f>
        <v>0.75</v>
      </c>
      <c r="DP322" s="848">
        <f>+DO322</f>
        <v>0.75</v>
      </c>
      <c r="DQ322" s="842">
        <f>+DQ321/DQ315</f>
        <v>0.75</v>
      </c>
      <c r="DR322" s="848">
        <f>+DP322</f>
        <v>0.75</v>
      </c>
      <c r="DS322" s="848">
        <f>+DR322</f>
        <v>0.75</v>
      </c>
      <c r="DT322" s="842">
        <f>+DT321/DT315</f>
        <v>0.75</v>
      </c>
      <c r="DU322" s="848">
        <f>+DS322</f>
        <v>0.75</v>
      </c>
      <c r="DV322" s="848">
        <f>+DU322</f>
        <v>0.75</v>
      </c>
      <c r="DW322" s="842">
        <f>+DW321/DW315</f>
        <v>0.75</v>
      </c>
      <c r="DX322" s="848">
        <f>+DV322</f>
        <v>0.75</v>
      </c>
      <c r="DY322" s="848">
        <f>+DX322</f>
        <v>0.75</v>
      </c>
      <c r="DZ322" s="842">
        <f>+DZ321/DZ315</f>
        <v>0.75000000000000011</v>
      </c>
      <c r="EA322" s="848">
        <f>+DY322</f>
        <v>0.75</v>
      </c>
      <c r="EB322" s="848">
        <f>+EA322</f>
        <v>0.75</v>
      </c>
      <c r="EC322" s="842">
        <f>+EC321/EC315</f>
        <v>0.75</v>
      </c>
      <c r="ED322" s="848">
        <f>+EB322</f>
        <v>0.75</v>
      </c>
      <c r="EE322" s="848">
        <f>+ED322</f>
        <v>0.75</v>
      </c>
      <c r="EF322" s="842">
        <f>+EF321/EF315</f>
        <v>0.75</v>
      </c>
      <c r="EG322" s="848">
        <f>+EE322</f>
        <v>0.75</v>
      </c>
      <c r="EH322" s="848">
        <f>+EG322</f>
        <v>0.75</v>
      </c>
      <c r="EI322" s="842">
        <f>+EI321/EI315</f>
        <v>0.75</v>
      </c>
      <c r="EJ322" s="848">
        <f>+EH322</f>
        <v>0.75</v>
      </c>
      <c r="EK322" s="848">
        <f>+EJ322</f>
        <v>0.75</v>
      </c>
      <c r="EL322" s="842">
        <f>+EL321/EL315</f>
        <v>0.75000000000000011</v>
      </c>
      <c r="EM322" s="848">
        <f>+EK322</f>
        <v>0.75</v>
      </c>
      <c r="EN322" s="848">
        <f>+EM322</f>
        <v>0.75</v>
      </c>
      <c r="EO322" s="842">
        <f>+EO321/EO315</f>
        <v>0.75000000000000011</v>
      </c>
      <c r="EP322" s="848">
        <f>+EN322</f>
        <v>0.75</v>
      </c>
      <c r="EQ322" s="848">
        <f>+EP322</f>
        <v>0.75</v>
      </c>
      <c r="ER322" s="842">
        <f>+ER321/ER315</f>
        <v>0.75</v>
      </c>
      <c r="ES322" s="848">
        <f>+EQ322</f>
        <v>0.75</v>
      </c>
      <c r="ET322" s="848">
        <f>+ES322</f>
        <v>0.75</v>
      </c>
      <c r="EU322" s="842">
        <f>+EU321/EU315</f>
        <v>0.75</v>
      </c>
      <c r="EV322" s="848">
        <f>+ET322</f>
        <v>0.75</v>
      </c>
      <c r="EW322" s="848">
        <f>+EV322</f>
        <v>0.75</v>
      </c>
      <c r="EX322" s="842">
        <f>+EX321/EX315</f>
        <v>0.75</v>
      </c>
      <c r="EY322" s="848">
        <f>+EW322</f>
        <v>0.75</v>
      </c>
      <c r="EZ322" s="848">
        <f>+EY322</f>
        <v>0.75</v>
      </c>
      <c r="FA322" s="849">
        <f>+FA321/FA315</f>
        <v>0.75000000000000011</v>
      </c>
      <c r="FG322" s="424"/>
      <c r="FH322" s="424"/>
      <c r="FI322" s="441"/>
    </row>
    <row r="323" spans="1:184" ht="13.35" customHeight="1">
      <c r="A323" s="760"/>
      <c r="B323" s="4"/>
      <c r="E323" s="251"/>
      <c r="F323" s="251"/>
      <c r="G323" s="252"/>
      <c r="H323" s="251"/>
      <c r="I323" s="251"/>
      <c r="J323" s="252"/>
      <c r="K323" s="251"/>
      <c r="L323" s="251"/>
      <c r="M323" s="252"/>
      <c r="N323" s="251"/>
      <c r="O323" s="251"/>
      <c r="P323" s="252"/>
      <c r="Q323" s="251"/>
      <c r="R323" s="251"/>
      <c r="S323" s="252"/>
      <c r="T323" s="251"/>
      <c r="U323" s="251"/>
      <c r="V323" s="252"/>
      <c r="W323" s="251"/>
      <c r="X323" s="251"/>
      <c r="Y323" s="252"/>
      <c r="Z323" s="251"/>
      <c r="AA323" s="251"/>
      <c r="AB323" s="252"/>
      <c r="AC323" s="251"/>
      <c r="AD323" s="251"/>
      <c r="AE323" s="252"/>
      <c r="AF323" s="251"/>
      <c r="AG323" s="251"/>
      <c r="AH323" s="252"/>
      <c r="AI323" s="251"/>
      <c r="AJ323" s="251"/>
      <c r="AK323" s="252"/>
      <c r="AL323" s="251"/>
      <c r="AM323" s="251"/>
      <c r="AN323" s="252"/>
      <c r="AO323" s="251"/>
      <c r="AP323" s="251"/>
      <c r="AQ323" s="252"/>
      <c r="AR323" s="251"/>
      <c r="AS323" s="251"/>
      <c r="AT323" s="252"/>
      <c r="AU323" s="251"/>
      <c r="AV323" s="251"/>
      <c r="AW323" s="252"/>
      <c r="AX323" s="251"/>
      <c r="AY323" s="251"/>
      <c r="AZ323" s="252"/>
      <c r="BA323" s="251"/>
      <c r="BB323" s="251"/>
      <c r="BC323" s="252"/>
      <c r="BD323" s="251"/>
      <c r="BE323" s="251"/>
      <c r="BF323" s="252"/>
      <c r="BG323" s="251"/>
      <c r="BH323" s="251"/>
      <c r="BI323" s="252"/>
      <c r="BJ323" s="251"/>
      <c r="BK323" s="251"/>
      <c r="BL323" s="252"/>
      <c r="BM323" s="251"/>
      <c r="BN323" s="198"/>
      <c r="BO323" s="79"/>
      <c r="BP323" s="259"/>
      <c r="BQ323" s="259"/>
      <c r="BR323" s="260"/>
      <c r="BS323" s="259"/>
      <c r="BT323" s="259"/>
      <c r="BU323" s="261"/>
      <c r="BV323" s="259"/>
      <c r="BW323" s="259"/>
      <c r="BX323" s="260"/>
      <c r="BY323" s="259"/>
      <c r="BZ323" s="259"/>
      <c r="CA323" s="260"/>
      <c r="CB323" s="259"/>
      <c r="CC323" s="259"/>
      <c r="CD323" s="260"/>
      <c r="CE323" s="259"/>
      <c r="CF323" s="259"/>
      <c r="CG323" s="260"/>
      <c r="CH323" s="259"/>
      <c r="CI323" s="259"/>
      <c r="CJ323" s="260"/>
      <c r="CK323" s="259"/>
      <c r="CL323" s="259"/>
      <c r="CM323" s="260"/>
      <c r="CN323" s="259"/>
      <c r="CO323" s="259"/>
      <c r="CP323" s="260"/>
      <c r="CQ323" s="259"/>
      <c r="CR323" s="259"/>
      <c r="CS323" s="260"/>
      <c r="CT323" s="259"/>
      <c r="CU323" s="259"/>
      <c r="CV323" s="260"/>
      <c r="CW323" s="259"/>
      <c r="CX323" s="259"/>
      <c r="CY323" s="334"/>
      <c r="CZ323" s="333"/>
      <c r="DA323" s="333"/>
      <c r="DB323" s="334"/>
      <c r="DC323" s="333"/>
      <c r="DD323" s="333"/>
      <c r="DE323" s="788"/>
      <c r="DF323" s="333"/>
      <c r="DG323" s="333"/>
      <c r="DH323" s="788"/>
      <c r="DI323" s="333"/>
      <c r="DJ323" s="333"/>
      <c r="DK323" s="700"/>
      <c r="DL323" s="333"/>
      <c r="DM323" s="333"/>
      <c r="DN323" s="700"/>
      <c r="DO323" s="333"/>
      <c r="DP323" s="333"/>
      <c r="DQ323" s="700"/>
      <c r="DR323" s="333"/>
      <c r="DS323" s="333"/>
      <c r="DT323" s="700"/>
      <c r="DU323" s="333"/>
      <c r="DV323" s="333"/>
      <c r="DW323" s="700"/>
      <c r="DX323" s="333"/>
      <c r="DY323" s="333"/>
      <c r="DZ323" s="700"/>
      <c r="EA323" s="333"/>
      <c r="EB323" s="333"/>
      <c r="EC323" s="700"/>
      <c r="ED323" s="333"/>
      <c r="EE323" s="333"/>
      <c r="EF323" s="700"/>
      <c r="EG323" s="333"/>
      <c r="EH323" s="333"/>
      <c r="EI323" s="700"/>
      <c r="EJ323" s="333"/>
      <c r="EK323" s="333"/>
      <c r="EL323" s="700"/>
      <c r="EM323" s="333"/>
      <c r="EN323" s="333"/>
      <c r="EO323" s="700"/>
      <c r="EP323" s="333"/>
      <c r="EQ323" s="333"/>
      <c r="ER323" s="700"/>
      <c r="ES323" s="333"/>
      <c r="ET323" s="333"/>
      <c r="EU323" s="700"/>
      <c r="EV323" s="333"/>
      <c r="EW323" s="333"/>
      <c r="EX323" s="700"/>
      <c r="EY323" s="333"/>
      <c r="EZ323" s="333"/>
      <c r="FA323" s="523"/>
      <c r="FG323" s="424"/>
      <c r="FH323" s="424"/>
      <c r="FI323" s="441"/>
    </row>
    <row r="324" spans="1:184" ht="13.35" customHeight="1">
      <c r="A324" s="760"/>
      <c r="B324" s="4"/>
      <c r="C324" s="177" t="s">
        <v>328</v>
      </c>
      <c r="D324" s="294" t="s">
        <v>357</v>
      </c>
      <c r="E324" s="251"/>
      <c r="F324" s="251"/>
      <c r="G324" s="252"/>
      <c r="H324" s="251"/>
      <c r="I324" s="251"/>
      <c r="J324" s="252"/>
      <c r="K324" s="251"/>
      <c r="L324" s="251"/>
      <c r="M324" s="252"/>
      <c r="N324" s="251"/>
      <c r="O324" s="251"/>
      <c r="P324" s="252"/>
      <c r="Q324" s="251"/>
      <c r="R324" s="251"/>
      <c r="S324" s="252"/>
      <c r="T324" s="251"/>
      <c r="U324" s="251"/>
      <c r="V324" s="252"/>
      <c r="W324" s="251"/>
      <c r="X324" s="251"/>
      <c r="Y324" s="252"/>
      <c r="Z324" s="251"/>
      <c r="AA324" s="251"/>
      <c r="AB324" s="252"/>
      <c r="AC324" s="251"/>
      <c r="AD324" s="251"/>
      <c r="AE324" s="252"/>
      <c r="AF324" s="251"/>
      <c r="AG324" s="251"/>
      <c r="AH324" s="252"/>
      <c r="AI324" s="251"/>
      <c r="AJ324" s="251"/>
      <c r="AK324" s="252"/>
      <c r="AL324" s="251"/>
      <c r="AM324" s="251"/>
      <c r="AN324" s="252"/>
      <c r="AO324" s="251"/>
      <c r="AP324" s="251"/>
      <c r="AQ324" s="252"/>
      <c r="AR324" s="251"/>
      <c r="AS324" s="251"/>
      <c r="AT324" s="252"/>
      <c r="AU324" s="251"/>
      <c r="AV324" s="251"/>
      <c r="AW324" s="252"/>
      <c r="AX324" s="251"/>
      <c r="AY324" s="251"/>
      <c r="AZ324" s="252"/>
      <c r="BA324" s="251"/>
      <c r="BB324" s="251"/>
      <c r="BC324" s="252"/>
      <c r="BD324" s="251"/>
      <c r="BE324" s="251"/>
      <c r="BF324" s="252"/>
      <c r="BG324" s="251"/>
      <c r="BH324" s="251"/>
      <c r="BI324" s="252"/>
      <c r="BJ324" s="251"/>
      <c r="BK324" s="251"/>
      <c r="BL324" s="252"/>
      <c r="BM324" s="251"/>
      <c r="BN324" s="198"/>
      <c r="BO324" s="79"/>
      <c r="BP324" s="259"/>
      <c r="BQ324" s="259"/>
      <c r="BR324" s="260"/>
      <c r="BS324" s="259"/>
      <c r="BT324" s="259"/>
      <c r="BU324" s="261"/>
      <c r="BV324" s="259"/>
      <c r="BW324" s="259"/>
      <c r="BX324" s="260"/>
      <c r="BY324" s="259"/>
      <c r="BZ324" s="259"/>
      <c r="CA324" s="260"/>
      <c r="CB324" s="259"/>
      <c r="CC324" s="259"/>
      <c r="CD324" s="260"/>
      <c r="CE324" s="259"/>
      <c r="CF324" s="259"/>
      <c r="CG324" s="260"/>
      <c r="CH324" s="259"/>
      <c r="CI324" s="259"/>
      <c r="CJ324" s="260"/>
      <c r="CK324" s="259"/>
      <c r="CL324" s="259"/>
      <c r="CM324" s="260"/>
      <c r="CN324" s="259"/>
      <c r="CO324" s="259"/>
      <c r="CP324" s="260"/>
      <c r="CQ324" s="259"/>
      <c r="CR324" s="259"/>
      <c r="CS324" s="260"/>
      <c r="CT324" s="259"/>
      <c r="CU324" s="198"/>
      <c r="CV324" s="253"/>
      <c r="CW324" s="198"/>
      <c r="CX324" s="198"/>
      <c r="CY324" s="521"/>
      <c r="CZ324" s="489"/>
      <c r="DA324" s="489"/>
      <c r="DB324" s="521"/>
      <c r="DC324" s="489"/>
      <c r="DD324" s="489"/>
      <c r="DE324" s="779"/>
      <c r="DF324" s="489"/>
      <c r="DG324" s="489"/>
      <c r="DH324" s="779"/>
      <c r="DI324" s="837">
        <f>+DI315*DI325</f>
        <v>80.20514914855292</v>
      </c>
      <c r="DJ324" s="837">
        <f>+DJ315*DJ325</f>
        <v>89.434008249800087</v>
      </c>
      <c r="DK324" s="828">
        <f>+SUM(DI324:DJ324)</f>
        <v>169.63915739835301</v>
      </c>
      <c r="DL324" s="837">
        <f>+DL315*DL325</f>
        <v>94.731667842081777</v>
      </c>
      <c r="DM324" s="837">
        <f>+DM315*DM325</f>
        <v>98.731317764289187</v>
      </c>
      <c r="DN324" s="828">
        <f>+SUM(DL324:DM324)</f>
        <v>193.46298560637098</v>
      </c>
      <c r="DO324" s="837">
        <f>+DO315*DO325</f>
        <v>108.89999999999999</v>
      </c>
      <c r="DP324" s="837">
        <f>+DP315*DP325</f>
        <v>102</v>
      </c>
      <c r="DQ324" s="828">
        <f>+SUM(DO324:DP324)</f>
        <v>210.89999999999998</v>
      </c>
      <c r="DR324" s="837">
        <f>+DR315*DR325</f>
        <v>117</v>
      </c>
      <c r="DS324" s="837">
        <f>+DS315*DS325</f>
        <v>116.1</v>
      </c>
      <c r="DT324" s="828">
        <f>+SUM(DR324:DS324)</f>
        <v>233.1</v>
      </c>
      <c r="DU324" s="837">
        <f>+DU315*DU325</f>
        <v>123.89999999999999</v>
      </c>
      <c r="DV324" s="837">
        <f>+DV315*DV325</f>
        <v>132</v>
      </c>
      <c r="DW324" s="828">
        <f>+SUM(DU324:DV324)</f>
        <v>255.89999999999998</v>
      </c>
      <c r="DX324" s="837">
        <f>+DX315*DX325</f>
        <v>127.8</v>
      </c>
      <c r="DY324" s="837">
        <f>+DY315*DY325</f>
        <v>134.63999999999999</v>
      </c>
      <c r="DZ324" s="828">
        <f>+SUM(DX324:DY324)</f>
        <v>262.44</v>
      </c>
      <c r="EA324" s="837">
        <f>+EA315*EA325</f>
        <v>132.91200000000001</v>
      </c>
      <c r="EB324" s="837">
        <f>+EB315*EB325</f>
        <v>140.0256</v>
      </c>
      <c r="EC324" s="828">
        <f>+SUM(EA324:EB324)</f>
        <v>272.93759999999997</v>
      </c>
      <c r="ED324" s="837">
        <f>+ED315*ED325</f>
        <v>138.22848000000002</v>
      </c>
      <c r="EE324" s="837">
        <f>+EE315*EE325</f>
        <v>145.62662400000002</v>
      </c>
      <c r="EF324" s="828">
        <f>+SUM(ED324:EE324)</f>
        <v>283.85510400000004</v>
      </c>
      <c r="EG324" s="837">
        <f>+EG315*EG325</f>
        <v>143.75761920000002</v>
      </c>
      <c r="EH324" s="837">
        <f>+EH315*EH325</f>
        <v>151.45168896000001</v>
      </c>
      <c r="EI324" s="828">
        <f>+SUM(EG324:EH324)</f>
        <v>295.20930816000003</v>
      </c>
      <c r="EJ324" s="837">
        <f>+EJ315*EJ325</f>
        <v>150.94550016000002</v>
      </c>
      <c r="EK324" s="837">
        <f>+EK315*EK325</f>
        <v>159.02427340800003</v>
      </c>
      <c r="EL324" s="828">
        <f>+SUM(EJ324:EK324)</f>
        <v>309.96977356800005</v>
      </c>
      <c r="EM324" s="837">
        <f>+EM315*EM325</f>
        <v>158.49277516800004</v>
      </c>
      <c r="EN324" s="837">
        <f>+EN315*EN325</f>
        <v>166.97548707840002</v>
      </c>
      <c r="EO324" s="828">
        <f>+SUM(EM324:EN324)</f>
        <v>325.46826224640006</v>
      </c>
      <c r="EP324" s="837">
        <f>+EP315*EP325</f>
        <v>166.41741392640003</v>
      </c>
      <c r="EQ324" s="837">
        <f>+EQ315*EQ325</f>
        <v>175.32426143232001</v>
      </c>
      <c r="ER324" s="828">
        <f>+SUM(EP324:EQ324)</f>
        <v>341.74167535872004</v>
      </c>
      <c r="ES324" s="837">
        <f>+ES315*ES325</f>
        <v>174.73828462272004</v>
      </c>
      <c r="ET324" s="837">
        <f>+ET315*ET325</f>
        <v>184.09047450393604</v>
      </c>
      <c r="EU324" s="828">
        <f>+SUM(ES324:ET324)</f>
        <v>358.82875912665611</v>
      </c>
      <c r="EV324" s="837">
        <f>+EV315*EV325</f>
        <v>183.47519885385606</v>
      </c>
      <c r="EW324" s="837">
        <f>+EW315*EW325</f>
        <v>193.29499822913283</v>
      </c>
      <c r="EX324" s="828">
        <f>+SUM(EV324:EW324)</f>
        <v>376.77019708298889</v>
      </c>
      <c r="EY324" s="837">
        <f>+EY315*EY325</f>
        <v>192.64895879654887</v>
      </c>
      <c r="EZ324" s="837">
        <f>+EZ315*EZ325</f>
        <v>202.95974814058948</v>
      </c>
      <c r="FA324" s="840">
        <f>+SUM(EY324:EZ324)</f>
        <v>395.60870693713832</v>
      </c>
      <c r="FG324" s="424"/>
      <c r="FH324" s="424"/>
      <c r="FI324" s="441"/>
    </row>
    <row r="325" spans="1:184" ht="13.35" customHeight="1">
      <c r="A325" s="760"/>
      <c r="B325" s="4"/>
      <c r="C325" s="177" t="s">
        <v>149</v>
      </c>
      <c r="D325" s="294" t="s">
        <v>507</v>
      </c>
      <c r="E325" s="251"/>
      <c r="F325" s="251"/>
      <c r="G325" s="252"/>
      <c r="H325" s="251"/>
      <c r="I325" s="251"/>
      <c r="J325" s="252"/>
      <c r="K325" s="251"/>
      <c r="L325" s="251"/>
      <c r="M325" s="252"/>
      <c r="N325" s="251"/>
      <c r="O325" s="251"/>
      <c r="P325" s="252"/>
      <c r="Q325" s="251"/>
      <c r="R325" s="251"/>
      <c r="S325" s="252"/>
      <c r="T325" s="251"/>
      <c r="U325" s="251"/>
      <c r="V325" s="252"/>
      <c r="W325" s="251"/>
      <c r="X325" s="251"/>
      <c r="Y325" s="252"/>
      <c r="Z325" s="251"/>
      <c r="AA325" s="251"/>
      <c r="AB325" s="252"/>
      <c r="AC325" s="251"/>
      <c r="AD325" s="251"/>
      <c r="AE325" s="252"/>
      <c r="AF325" s="251"/>
      <c r="AG325" s="251"/>
      <c r="AH325" s="252"/>
      <c r="AI325" s="251"/>
      <c r="AJ325" s="251"/>
      <c r="AK325" s="252"/>
      <c r="AL325" s="251"/>
      <c r="AM325" s="251"/>
      <c r="AN325" s="252"/>
      <c r="AO325" s="251"/>
      <c r="AP325" s="251"/>
      <c r="AQ325" s="252"/>
      <c r="AR325" s="251"/>
      <c r="AS325" s="251"/>
      <c r="AT325" s="252"/>
      <c r="AU325" s="251"/>
      <c r="AV325" s="251"/>
      <c r="AW325" s="252"/>
      <c r="AX325" s="251"/>
      <c r="AY325" s="251"/>
      <c r="AZ325" s="252"/>
      <c r="BA325" s="251"/>
      <c r="BB325" s="251"/>
      <c r="BC325" s="252"/>
      <c r="BD325" s="251"/>
      <c r="BE325" s="251"/>
      <c r="BF325" s="252"/>
      <c r="BG325" s="251"/>
      <c r="BH325" s="251"/>
      <c r="BI325" s="252"/>
      <c r="BJ325" s="251"/>
      <c r="BK325" s="251"/>
      <c r="BL325" s="252"/>
      <c r="BM325" s="251"/>
      <c r="BN325" s="198"/>
      <c r="BO325" s="79"/>
      <c r="BP325" s="259"/>
      <c r="BQ325" s="259"/>
      <c r="BR325" s="260"/>
      <c r="BS325" s="259"/>
      <c r="BT325" s="259"/>
      <c r="BU325" s="261"/>
      <c r="BV325" s="259"/>
      <c r="BW325" s="259"/>
      <c r="BX325" s="260"/>
      <c r="BY325" s="259"/>
      <c r="BZ325" s="259"/>
      <c r="CA325" s="260"/>
      <c r="CB325" s="259"/>
      <c r="CC325" s="259"/>
      <c r="CD325" s="260"/>
      <c r="CE325" s="259"/>
      <c r="CF325" s="259"/>
      <c r="CG325" s="260"/>
      <c r="CH325" s="259"/>
      <c r="CI325" s="259"/>
      <c r="CJ325" s="260"/>
      <c r="CK325" s="259"/>
      <c r="CL325" s="259"/>
      <c r="CM325" s="260"/>
      <c r="CN325" s="259"/>
      <c r="CO325" s="259"/>
      <c r="CP325" s="260"/>
      <c r="CQ325" s="259"/>
      <c r="CR325" s="259"/>
      <c r="CS325" s="260"/>
      <c r="CT325" s="259"/>
      <c r="CU325" s="259"/>
      <c r="CV325" s="260"/>
      <c r="CW325" s="259"/>
      <c r="CX325" s="259"/>
      <c r="CY325" s="334"/>
      <c r="CZ325" s="333"/>
      <c r="DA325" s="333"/>
      <c r="DB325" s="334"/>
      <c r="DC325" s="333"/>
      <c r="DD325" s="333"/>
      <c r="DE325" s="788"/>
      <c r="DF325" s="333"/>
      <c r="DG325" s="333"/>
      <c r="DH325" s="717"/>
      <c r="DI325" s="853">
        <v>0.3</v>
      </c>
      <c r="DJ325" s="848">
        <f>+DI325</f>
        <v>0.3</v>
      </c>
      <c r="DK325" s="842">
        <f>+DK324/DK315</f>
        <v>0.3</v>
      </c>
      <c r="DL325" s="848">
        <f>+DJ325</f>
        <v>0.3</v>
      </c>
      <c r="DM325" s="848">
        <f>+DL325</f>
        <v>0.3</v>
      </c>
      <c r="DN325" s="842">
        <f>+DN324/DN315</f>
        <v>0.3</v>
      </c>
      <c r="DO325" s="848">
        <f>+DM325</f>
        <v>0.3</v>
      </c>
      <c r="DP325" s="848">
        <f>+DO325</f>
        <v>0.3</v>
      </c>
      <c r="DQ325" s="842">
        <f>+DQ324/DQ315</f>
        <v>0.3</v>
      </c>
      <c r="DR325" s="848">
        <f>+DP325</f>
        <v>0.3</v>
      </c>
      <c r="DS325" s="848">
        <f>+DR325</f>
        <v>0.3</v>
      </c>
      <c r="DT325" s="842">
        <f>+DT324/DT315</f>
        <v>0.3</v>
      </c>
      <c r="DU325" s="848">
        <f>+DS325</f>
        <v>0.3</v>
      </c>
      <c r="DV325" s="848">
        <f>+DU325</f>
        <v>0.3</v>
      </c>
      <c r="DW325" s="842">
        <f>+DW324/DW315</f>
        <v>0.3</v>
      </c>
      <c r="DX325" s="848">
        <f>+DV325</f>
        <v>0.3</v>
      </c>
      <c r="DY325" s="848">
        <f>+DX325</f>
        <v>0.3</v>
      </c>
      <c r="DZ325" s="842">
        <f>+DZ324/DZ315</f>
        <v>0.3</v>
      </c>
      <c r="EA325" s="848">
        <f>+DY325</f>
        <v>0.3</v>
      </c>
      <c r="EB325" s="848">
        <f>+EA325</f>
        <v>0.3</v>
      </c>
      <c r="EC325" s="842">
        <f>+EC324/EC315</f>
        <v>0.3</v>
      </c>
      <c r="ED325" s="848">
        <f>+EB325</f>
        <v>0.3</v>
      </c>
      <c r="EE325" s="848">
        <f>+ED325</f>
        <v>0.3</v>
      </c>
      <c r="EF325" s="842">
        <f>+EF324/EF315</f>
        <v>0.3</v>
      </c>
      <c r="EG325" s="848">
        <f>+EE325</f>
        <v>0.3</v>
      </c>
      <c r="EH325" s="848">
        <f>+EG325</f>
        <v>0.3</v>
      </c>
      <c r="EI325" s="842">
        <f>+EI324/EI315</f>
        <v>0.3</v>
      </c>
      <c r="EJ325" s="848">
        <f>+EH325</f>
        <v>0.3</v>
      </c>
      <c r="EK325" s="848">
        <f>+EJ325</f>
        <v>0.3</v>
      </c>
      <c r="EL325" s="842">
        <f>+EL324/EL315</f>
        <v>0.30000000000000004</v>
      </c>
      <c r="EM325" s="848">
        <f>+EK325</f>
        <v>0.3</v>
      </c>
      <c r="EN325" s="848">
        <f>+EM325</f>
        <v>0.3</v>
      </c>
      <c r="EO325" s="842">
        <f>+EO324/EO315</f>
        <v>0.30000000000000004</v>
      </c>
      <c r="EP325" s="848">
        <f>+EN325</f>
        <v>0.3</v>
      </c>
      <c r="EQ325" s="848">
        <f>+EP325</f>
        <v>0.3</v>
      </c>
      <c r="ER325" s="842">
        <f>+ER324/ER315</f>
        <v>0.29999999999999993</v>
      </c>
      <c r="ES325" s="848">
        <f>+EQ325</f>
        <v>0.3</v>
      </c>
      <c r="ET325" s="848">
        <f>+ES325</f>
        <v>0.3</v>
      </c>
      <c r="EU325" s="842">
        <f>+EU324/EU315</f>
        <v>0.3</v>
      </c>
      <c r="EV325" s="848">
        <f>+ET325</f>
        <v>0.3</v>
      </c>
      <c r="EW325" s="848">
        <f>+EV325</f>
        <v>0.3</v>
      </c>
      <c r="EX325" s="842">
        <f>+EX324/EX315</f>
        <v>0.3</v>
      </c>
      <c r="EY325" s="848">
        <f>+EW325</f>
        <v>0.3</v>
      </c>
      <c r="EZ325" s="848">
        <f>+EY325</f>
        <v>0.3</v>
      </c>
      <c r="FA325" s="849">
        <f>+FA324/FA315</f>
        <v>0.3</v>
      </c>
      <c r="FG325" s="68"/>
      <c r="FH325" s="68"/>
      <c r="FI325" s="68"/>
    </row>
    <row r="326" spans="1:184" ht="13.35" customHeight="1">
      <c r="A326" s="760"/>
      <c r="B326" s="4"/>
      <c r="E326" s="251"/>
      <c r="F326" s="251"/>
      <c r="G326" s="252"/>
      <c r="H326" s="251"/>
      <c r="I326" s="251"/>
      <c r="J326" s="252"/>
      <c r="K326" s="251"/>
      <c r="L326" s="251"/>
      <c r="M326" s="252"/>
      <c r="N326" s="251"/>
      <c r="O326" s="251"/>
      <c r="P326" s="252"/>
      <c r="Q326" s="251"/>
      <c r="R326" s="251"/>
      <c r="S326" s="252"/>
      <c r="T326" s="251"/>
      <c r="U326" s="251"/>
      <c r="V326" s="252"/>
      <c r="W326" s="251"/>
      <c r="X326" s="251"/>
      <c r="Y326" s="252"/>
      <c r="Z326" s="251"/>
      <c r="AA326" s="251"/>
      <c r="AB326" s="252"/>
      <c r="AC326" s="251"/>
      <c r="AD326" s="251"/>
      <c r="AE326" s="252"/>
      <c r="AF326" s="251"/>
      <c r="AG326" s="251"/>
      <c r="AH326" s="252"/>
      <c r="AI326" s="251"/>
      <c r="AJ326" s="251"/>
      <c r="AK326" s="252"/>
      <c r="AL326" s="251"/>
      <c r="AM326" s="251"/>
      <c r="AN326" s="252"/>
      <c r="AO326" s="251"/>
      <c r="AP326" s="251"/>
      <c r="AQ326" s="252"/>
      <c r="AR326" s="251"/>
      <c r="AS326" s="251"/>
      <c r="AT326" s="252"/>
      <c r="AU326" s="251"/>
      <c r="AV326" s="251"/>
      <c r="AW326" s="252"/>
      <c r="AX326" s="251"/>
      <c r="AY326" s="251"/>
      <c r="AZ326" s="252"/>
      <c r="BA326" s="251"/>
      <c r="BB326" s="251"/>
      <c r="BC326" s="252"/>
      <c r="BD326" s="251"/>
      <c r="BE326" s="251"/>
      <c r="BF326" s="252"/>
      <c r="BG326" s="251"/>
      <c r="BH326" s="251"/>
      <c r="BI326" s="252"/>
      <c r="BJ326" s="251"/>
      <c r="BK326" s="251"/>
      <c r="BL326" s="252"/>
      <c r="BM326" s="251"/>
      <c r="BN326" s="198"/>
      <c r="BO326" s="79"/>
      <c r="BP326" s="259"/>
      <c r="BQ326" s="259"/>
      <c r="BR326" s="260"/>
      <c r="BS326" s="259"/>
      <c r="BT326" s="259"/>
      <c r="BU326" s="261"/>
      <c r="BV326" s="259"/>
      <c r="BW326" s="259"/>
      <c r="BX326" s="260"/>
      <c r="BY326" s="259"/>
      <c r="BZ326" s="259"/>
      <c r="CA326" s="260"/>
      <c r="CB326" s="259"/>
      <c r="CC326" s="259"/>
      <c r="CD326" s="260"/>
      <c r="CE326" s="259"/>
      <c r="CF326" s="259"/>
      <c r="CG326" s="260"/>
      <c r="CH326" s="259"/>
      <c r="CI326" s="259"/>
      <c r="CJ326" s="260"/>
      <c r="CK326" s="259"/>
      <c r="CL326" s="259"/>
      <c r="CM326" s="260"/>
      <c r="CN326" s="259"/>
      <c r="CO326" s="259"/>
      <c r="CP326" s="260"/>
      <c r="CQ326" s="259"/>
      <c r="CR326" s="259"/>
      <c r="CS326" s="260"/>
      <c r="CT326" s="259"/>
      <c r="CU326" s="259"/>
      <c r="CV326" s="260"/>
      <c r="CW326" s="259"/>
      <c r="CX326" s="259"/>
      <c r="CY326" s="334"/>
      <c r="CZ326" s="333"/>
      <c r="DA326" s="333"/>
      <c r="DB326" s="334"/>
      <c r="DC326" s="333"/>
      <c r="DD326" s="333"/>
      <c r="DE326" s="788"/>
      <c r="DF326" s="333"/>
      <c r="DG326" s="333"/>
      <c r="DH326" s="788"/>
      <c r="DI326" s="333"/>
      <c r="DJ326" s="333"/>
      <c r="DK326" s="700"/>
      <c r="DL326" s="333"/>
      <c r="DM326" s="333"/>
      <c r="DN326" s="700"/>
      <c r="DO326" s="333"/>
      <c r="DP326" s="333"/>
      <c r="DQ326" s="700"/>
      <c r="DR326" s="333"/>
      <c r="DS326" s="333"/>
      <c r="DT326" s="700"/>
      <c r="DU326" s="333"/>
      <c r="DV326" s="333"/>
      <c r="DW326" s="700"/>
      <c r="DX326" s="333"/>
      <c r="DY326" s="333"/>
      <c r="DZ326" s="700"/>
      <c r="EA326" s="333"/>
      <c r="EB326" s="333"/>
      <c r="EC326" s="700"/>
      <c r="ED326" s="333"/>
      <c r="EE326" s="333"/>
      <c r="EF326" s="700"/>
      <c r="EG326" s="333"/>
      <c r="EH326" s="333"/>
      <c r="EI326" s="700"/>
      <c r="EJ326" s="333"/>
      <c r="EK326" s="333"/>
      <c r="EL326" s="700"/>
      <c r="EM326" s="333"/>
      <c r="EN326" s="333"/>
      <c r="EO326" s="700"/>
      <c r="EP326" s="333"/>
      <c r="EQ326" s="333"/>
      <c r="ER326" s="700"/>
      <c r="ES326" s="333"/>
      <c r="ET326" s="333"/>
      <c r="EU326" s="700"/>
      <c r="EV326" s="333"/>
      <c r="EW326" s="333"/>
      <c r="EX326" s="700"/>
      <c r="EY326" s="333"/>
      <c r="EZ326" s="333"/>
      <c r="FA326" s="523"/>
    </row>
    <row r="327" spans="1:184" ht="13.35" customHeight="1">
      <c r="A327" s="760"/>
      <c r="B327" s="4"/>
      <c r="C327" s="177" t="s">
        <v>740</v>
      </c>
      <c r="D327" s="294" t="s">
        <v>357</v>
      </c>
      <c r="E327" s="251"/>
      <c r="F327" s="251"/>
      <c r="G327" s="252"/>
      <c r="H327" s="251"/>
      <c r="I327" s="251"/>
      <c r="J327" s="252"/>
      <c r="K327" s="251"/>
      <c r="L327" s="251"/>
      <c r="M327" s="252"/>
      <c r="N327" s="251"/>
      <c r="O327" s="251"/>
      <c r="P327" s="252"/>
      <c r="Q327" s="251"/>
      <c r="R327" s="251"/>
      <c r="S327" s="252"/>
      <c r="T327" s="251"/>
      <c r="U327" s="251"/>
      <c r="V327" s="252"/>
      <c r="W327" s="251"/>
      <c r="X327" s="251"/>
      <c r="Y327" s="252"/>
      <c r="Z327" s="251"/>
      <c r="AA327" s="251"/>
      <c r="AB327" s="252"/>
      <c r="AC327" s="251"/>
      <c r="AD327" s="251"/>
      <c r="AE327" s="252"/>
      <c r="AF327" s="251"/>
      <c r="AG327" s="251"/>
      <c r="AH327" s="252"/>
      <c r="AI327" s="251"/>
      <c r="AJ327" s="251"/>
      <c r="AK327" s="252"/>
      <c r="AL327" s="251"/>
      <c r="AM327" s="251"/>
      <c r="AN327" s="252"/>
      <c r="AO327" s="251"/>
      <c r="AP327" s="251"/>
      <c r="AQ327" s="252"/>
      <c r="AR327" s="251"/>
      <c r="AS327" s="251"/>
      <c r="AT327" s="252"/>
      <c r="AU327" s="251"/>
      <c r="AV327" s="251"/>
      <c r="AW327" s="252"/>
      <c r="AX327" s="251"/>
      <c r="AY327" s="251"/>
      <c r="AZ327" s="252"/>
      <c r="BA327" s="251"/>
      <c r="BB327" s="251"/>
      <c r="BC327" s="252"/>
      <c r="BD327" s="251"/>
      <c r="BE327" s="251"/>
      <c r="BF327" s="252"/>
      <c r="BG327" s="251"/>
      <c r="BH327" s="251"/>
      <c r="BI327" s="252"/>
      <c r="BJ327" s="251"/>
      <c r="BK327" s="251"/>
      <c r="BL327" s="252"/>
      <c r="BM327" s="251"/>
      <c r="BN327" s="198"/>
      <c r="BO327" s="79"/>
      <c r="BP327" s="259"/>
      <c r="BQ327" s="259"/>
      <c r="BR327" s="260"/>
      <c r="BS327" s="259"/>
      <c r="BT327" s="259"/>
      <c r="BU327" s="261"/>
      <c r="BV327" s="259"/>
      <c r="BW327" s="259"/>
      <c r="BX327" s="260"/>
      <c r="BY327" s="259"/>
      <c r="BZ327" s="259"/>
      <c r="CA327" s="260"/>
      <c r="CB327" s="259"/>
      <c r="CC327" s="259"/>
      <c r="CD327" s="260"/>
      <c r="CE327" s="259"/>
      <c r="CF327" s="259"/>
      <c r="CG327" s="260"/>
      <c r="CH327" s="259"/>
      <c r="CI327" s="259"/>
      <c r="CJ327" s="260"/>
      <c r="CK327" s="259"/>
      <c r="CL327" s="259"/>
      <c r="CM327" s="260"/>
      <c r="CN327" s="259"/>
      <c r="CO327" s="259"/>
      <c r="CP327" s="260"/>
      <c r="CQ327" s="259"/>
      <c r="CR327" s="259"/>
      <c r="CS327" s="260"/>
      <c r="CT327" s="259"/>
      <c r="CU327" s="198"/>
      <c r="CV327" s="253"/>
      <c r="CW327" s="198"/>
      <c r="CX327" s="198"/>
      <c r="CY327" s="521"/>
      <c r="CZ327" s="489"/>
      <c r="DA327" s="489"/>
      <c r="DB327" s="521"/>
      <c r="DC327" s="489"/>
      <c r="DD327" s="489"/>
      <c r="DE327" s="779"/>
      <c r="DF327" s="489"/>
      <c r="DG327" s="489"/>
      <c r="DH327" s="779"/>
      <c r="DI327" s="837">
        <f>+DI321-DI324</f>
        <v>120.30772372282937</v>
      </c>
      <c r="DJ327" s="837">
        <f>+DJ321-DJ324</f>
        <v>134.15101237470012</v>
      </c>
      <c r="DK327" s="828">
        <f>+SUM(DI327:DJ327)</f>
        <v>254.45873609752948</v>
      </c>
      <c r="DL327" s="837">
        <f>+DL321-DL324</f>
        <v>142.09750176312269</v>
      </c>
      <c r="DM327" s="837">
        <f>+DM321-DM324</f>
        <v>148.0969766464338</v>
      </c>
      <c r="DN327" s="828">
        <f>+SUM(DL327:DM327)</f>
        <v>290.1944784095565</v>
      </c>
      <c r="DO327" s="837">
        <f>+DO321-DO324</f>
        <v>163.35000000000002</v>
      </c>
      <c r="DP327" s="837">
        <f>+DP321-DP324</f>
        <v>153</v>
      </c>
      <c r="DQ327" s="828">
        <f>+SUM(DO327:DP327)</f>
        <v>316.35000000000002</v>
      </c>
      <c r="DR327" s="837">
        <f>+DR321-DR324</f>
        <v>175.5</v>
      </c>
      <c r="DS327" s="837">
        <f>+DS321-DS324</f>
        <v>174.15</v>
      </c>
      <c r="DT327" s="828">
        <f>+SUM(DR327:DS327)</f>
        <v>349.65</v>
      </c>
      <c r="DU327" s="837">
        <f>+DU321-DU324</f>
        <v>185.85000000000002</v>
      </c>
      <c r="DV327" s="837">
        <f>+DV321-DV324</f>
        <v>198</v>
      </c>
      <c r="DW327" s="828">
        <f>+SUM(DU327:DV327)</f>
        <v>383.85</v>
      </c>
      <c r="DX327" s="837">
        <f>+DX321-DX324</f>
        <v>191.7</v>
      </c>
      <c r="DY327" s="837">
        <f>+DY321-DY324</f>
        <v>201.96000000000004</v>
      </c>
      <c r="DZ327" s="828">
        <f>+SUM(DX327:DY327)</f>
        <v>393.66</v>
      </c>
      <c r="EA327" s="837">
        <f>+EA321-EA324</f>
        <v>199.36800000000002</v>
      </c>
      <c r="EB327" s="837">
        <f>+EB321-EB324</f>
        <v>210.03840000000002</v>
      </c>
      <c r="EC327" s="828">
        <f>+SUM(EA327:EB327)</f>
        <v>409.40640000000008</v>
      </c>
      <c r="ED327" s="837">
        <f>+ED321-ED324</f>
        <v>207.34272000000001</v>
      </c>
      <c r="EE327" s="837">
        <f>+EE321-EE324</f>
        <v>218.43993600000002</v>
      </c>
      <c r="EF327" s="828">
        <f>+SUM(ED327:EE327)</f>
        <v>425.78265600000003</v>
      </c>
      <c r="EG327" s="837">
        <f>+EG321-EG324</f>
        <v>215.63642880000003</v>
      </c>
      <c r="EH327" s="837">
        <f>+EH321-EH324</f>
        <v>227.17753344000005</v>
      </c>
      <c r="EI327" s="828">
        <f>+SUM(EG327:EH327)</f>
        <v>442.81396224000008</v>
      </c>
      <c r="EJ327" s="837">
        <f>+EJ321-EJ324</f>
        <v>226.41825024000005</v>
      </c>
      <c r="EK327" s="837">
        <f>+EK321-EK324</f>
        <v>238.53641011200003</v>
      </c>
      <c r="EL327" s="828">
        <f>+SUM(EJ327:EK327)</f>
        <v>464.95466035200008</v>
      </c>
      <c r="EM327" s="837">
        <f>+EM321-EM324</f>
        <v>237.73916275200003</v>
      </c>
      <c r="EN327" s="837">
        <f>+EN321-EN324</f>
        <v>250.46323061760006</v>
      </c>
      <c r="EO327" s="828">
        <f>+SUM(EM327:EN327)</f>
        <v>488.20239336960009</v>
      </c>
      <c r="EP327" s="837">
        <f>+EP321-EP324</f>
        <v>249.62612088960012</v>
      </c>
      <c r="EQ327" s="837">
        <f>+EQ321-EQ324</f>
        <v>262.98639214848004</v>
      </c>
      <c r="ER327" s="828">
        <f>+SUM(EP327:EQ327)</f>
        <v>512.61251303808012</v>
      </c>
      <c r="ES327" s="837">
        <f>+ES321-ES324</f>
        <v>262.10742693408008</v>
      </c>
      <c r="ET327" s="837">
        <f>+ET321-ET324</f>
        <v>276.13571175590408</v>
      </c>
      <c r="EU327" s="828">
        <f>+SUM(ES327:ET327)</f>
        <v>538.24313868998411</v>
      </c>
      <c r="EV327" s="837">
        <f>+EV321-EV324</f>
        <v>275.21279828078411</v>
      </c>
      <c r="EW327" s="837">
        <f>+EW321-EW324</f>
        <v>289.94249734369924</v>
      </c>
      <c r="EX327" s="828">
        <f>+SUM(EV327:EW327)</f>
        <v>565.15529562448341</v>
      </c>
      <c r="EY327" s="837">
        <f>+EY321-EY324</f>
        <v>288.9734381948233</v>
      </c>
      <c r="EZ327" s="837">
        <f>+EZ321-EZ324</f>
        <v>304.43962221088429</v>
      </c>
      <c r="FA327" s="840">
        <f>+SUM(EY327:EZ327)</f>
        <v>593.4130604057076</v>
      </c>
      <c r="FB327" s="1871"/>
    </row>
    <row r="328" spans="1:184" ht="13.15" customHeight="1">
      <c r="A328" s="760"/>
      <c r="B328" s="4"/>
      <c r="C328" s="177" t="s">
        <v>212</v>
      </c>
      <c r="D328" s="294" t="s">
        <v>507</v>
      </c>
      <c r="E328" s="251"/>
      <c r="F328" s="251"/>
      <c r="G328" s="252"/>
      <c r="H328" s="251"/>
      <c r="I328" s="251"/>
      <c r="J328" s="252"/>
      <c r="K328" s="251"/>
      <c r="L328" s="251"/>
      <c r="M328" s="252"/>
      <c r="N328" s="251"/>
      <c r="O328" s="251"/>
      <c r="P328" s="252"/>
      <c r="Q328" s="251"/>
      <c r="R328" s="251"/>
      <c r="S328" s="252"/>
      <c r="T328" s="251"/>
      <c r="U328" s="251"/>
      <c r="V328" s="252"/>
      <c r="W328" s="251"/>
      <c r="X328" s="251"/>
      <c r="Y328" s="252"/>
      <c r="Z328" s="251"/>
      <c r="AA328" s="251"/>
      <c r="AB328" s="252"/>
      <c r="AC328" s="251"/>
      <c r="AD328" s="251"/>
      <c r="AE328" s="252"/>
      <c r="AF328" s="251"/>
      <c r="AG328" s="251"/>
      <c r="AH328" s="252"/>
      <c r="AI328" s="251"/>
      <c r="AJ328" s="251"/>
      <c r="AK328" s="252"/>
      <c r="AL328" s="251"/>
      <c r="AM328" s="251"/>
      <c r="AN328" s="252"/>
      <c r="AO328" s="251"/>
      <c r="AP328" s="251"/>
      <c r="AQ328" s="252"/>
      <c r="AR328" s="251"/>
      <c r="AS328" s="251"/>
      <c r="AT328" s="252"/>
      <c r="AU328" s="251"/>
      <c r="AV328" s="251"/>
      <c r="AW328" s="252"/>
      <c r="AX328" s="251"/>
      <c r="AY328" s="251"/>
      <c r="AZ328" s="252"/>
      <c r="BA328" s="251"/>
      <c r="BB328" s="251"/>
      <c r="BC328" s="252"/>
      <c r="BD328" s="251"/>
      <c r="BE328" s="251"/>
      <c r="BF328" s="252"/>
      <c r="BG328" s="251"/>
      <c r="BH328" s="251"/>
      <c r="BI328" s="252"/>
      <c r="BJ328" s="251"/>
      <c r="BK328" s="251"/>
      <c r="BL328" s="252"/>
      <c r="BM328" s="251"/>
      <c r="BN328" s="198"/>
      <c r="BO328" s="79"/>
      <c r="BP328" s="259"/>
      <c r="BQ328" s="259"/>
      <c r="BR328" s="260"/>
      <c r="BS328" s="259"/>
      <c r="BT328" s="259"/>
      <c r="BU328" s="261"/>
      <c r="BV328" s="259"/>
      <c r="BW328" s="259"/>
      <c r="BX328" s="260"/>
      <c r="BY328" s="259"/>
      <c r="BZ328" s="259"/>
      <c r="CA328" s="260"/>
      <c r="CB328" s="259"/>
      <c r="CC328" s="259"/>
      <c r="CD328" s="260"/>
      <c r="CE328" s="259"/>
      <c r="CF328" s="259"/>
      <c r="CG328" s="260"/>
      <c r="CH328" s="259"/>
      <c r="CI328" s="259"/>
      <c r="CJ328" s="260"/>
      <c r="CK328" s="259"/>
      <c r="CL328" s="259"/>
      <c r="CM328" s="260"/>
      <c r="CN328" s="259"/>
      <c r="CO328" s="259"/>
      <c r="CP328" s="260"/>
      <c r="CQ328" s="259"/>
      <c r="CR328" s="259"/>
      <c r="CS328" s="260"/>
      <c r="CT328" s="259"/>
      <c r="CU328" s="259"/>
      <c r="CV328" s="260"/>
      <c r="CW328" s="259"/>
      <c r="CX328" s="259"/>
      <c r="CY328" s="334"/>
      <c r="CZ328" s="333"/>
      <c r="DA328" s="333"/>
      <c r="DB328" s="334"/>
      <c r="DC328" s="333"/>
      <c r="DD328" s="333"/>
      <c r="DE328" s="788"/>
      <c r="DF328" s="333"/>
      <c r="DG328" s="333"/>
      <c r="DH328" s="717"/>
      <c r="DI328" s="848">
        <f t="shared" ref="DI328:FA328" si="329">+DI327/DI315</f>
        <v>0.44999999999999996</v>
      </c>
      <c r="DJ328" s="848">
        <f t="shared" si="329"/>
        <v>0.44999999999999996</v>
      </c>
      <c r="DK328" s="842">
        <f t="shared" si="329"/>
        <v>0.44999999999999996</v>
      </c>
      <c r="DL328" s="848">
        <f t="shared" si="329"/>
        <v>0.45000000000000007</v>
      </c>
      <c r="DM328" s="848">
        <f t="shared" si="329"/>
        <v>0.45</v>
      </c>
      <c r="DN328" s="842">
        <f t="shared" si="329"/>
        <v>0.45000000000000007</v>
      </c>
      <c r="DO328" s="848">
        <f t="shared" si="329"/>
        <v>0.45000000000000007</v>
      </c>
      <c r="DP328" s="848">
        <f t="shared" si="329"/>
        <v>0.45</v>
      </c>
      <c r="DQ328" s="842">
        <f t="shared" si="329"/>
        <v>0.45</v>
      </c>
      <c r="DR328" s="848">
        <f t="shared" si="329"/>
        <v>0.45</v>
      </c>
      <c r="DS328" s="848">
        <f t="shared" si="329"/>
        <v>0.45</v>
      </c>
      <c r="DT328" s="842">
        <f t="shared" si="329"/>
        <v>0.44999999999999996</v>
      </c>
      <c r="DU328" s="848">
        <f t="shared" si="329"/>
        <v>0.45000000000000007</v>
      </c>
      <c r="DV328" s="848">
        <f t="shared" si="329"/>
        <v>0.45</v>
      </c>
      <c r="DW328" s="842">
        <f t="shared" si="329"/>
        <v>0.45</v>
      </c>
      <c r="DX328" s="848">
        <f t="shared" ref="DX328" si="330">+DX327/DX315</f>
        <v>0.44999999999999996</v>
      </c>
      <c r="DY328" s="848">
        <f t="shared" si="329"/>
        <v>0.45000000000000007</v>
      </c>
      <c r="DZ328" s="842">
        <f t="shared" si="329"/>
        <v>0.45000000000000007</v>
      </c>
      <c r="EA328" s="848">
        <f t="shared" si="329"/>
        <v>0.45</v>
      </c>
      <c r="EB328" s="848">
        <f t="shared" si="329"/>
        <v>0.45000000000000007</v>
      </c>
      <c r="EC328" s="842">
        <f t="shared" si="329"/>
        <v>0.45000000000000007</v>
      </c>
      <c r="ED328" s="848">
        <f t="shared" si="329"/>
        <v>0.45</v>
      </c>
      <c r="EE328" s="848">
        <f t="shared" si="329"/>
        <v>0.45</v>
      </c>
      <c r="EF328" s="842">
        <f t="shared" si="329"/>
        <v>0.45</v>
      </c>
      <c r="EG328" s="848">
        <f t="shared" si="329"/>
        <v>0.45</v>
      </c>
      <c r="EH328" s="848">
        <f t="shared" si="329"/>
        <v>0.45</v>
      </c>
      <c r="EI328" s="842">
        <f t="shared" si="329"/>
        <v>0.45</v>
      </c>
      <c r="EJ328" s="848">
        <f t="shared" si="329"/>
        <v>0.45</v>
      </c>
      <c r="EK328" s="848">
        <f t="shared" si="329"/>
        <v>0.45</v>
      </c>
      <c r="EL328" s="842">
        <f t="shared" si="329"/>
        <v>0.45</v>
      </c>
      <c r="EM328" s="848">
        <f t="shared" si="329"/>
        <v>0.44999999999999996</v>
      </c>
      <c r="EN328" s="848">
        <f t="shared" si="329"/>
        <v>0.45</v>
      </c>
      <c r="EO328" s="842">
        <f t="shared" si="329"/>
        <v>0.45</v>
      </c>
      <c r="EP328" s="848">
        <f t="shared" si="329"/>
        <v>0.45000000000000007</v>
      </c>
      <c r="EQ328" s="848">
        <f t="shared" si="329"/>
        <v>0.44999999999999996</v>
      </c>
      <c r="ER328" s="842">
        <f t="shared" si="329"/>
        <v>0.44999999999999996</v>
      </c>
      <c r="ES328" s="848">
        <f t="shared" si="329"/>
        <v>0.44999999999999996</v>
      </c>
      <c r="ET328" s="848">
        <f t="shared" si="329"/>
        <v>0.45000000000000007</v>
      </c>
      <c r="EU328" s="842">
        <f t="shared" si="329"/>
        <v>0.4499999999999999</v>
      </c>
      <c r="EV328" s="848">
        <f t="shared" si="329"/>
        <v>0.45</v>
      </c>
      <c r="EW328" s="848">
        <f t="shared" si="329"/>
        <v>0.45</v>
      </c>
      <c r="EX328" s="842">
        <f t="shared" si="329"/>
        <v>0.45000000000000007</v>
      </c>
      <c r="EY328" s="848">
        <f t="shared" si="329"/>
        <v>0.45</v>
      </c>
      <c r="EZ328" s="848">
        <f t="shared" si="329"/>
        <v>0.45000000000000007</v>
      </c>
      <c r="FA328" s="849">
        <f t="shared" si="329"/>
        <v>0.45000000000000007</v>
      </c>
      <c r="FG328" s="236"/>
      <c r="FH328" s="236"/>
      <c r="FI328" s="236"/>
    </row>
    <row r="329" spans="1:184" ht="13.15" customHeight="1">
      <c r="A329" s="760"/>
      <c r="B329" s="4"/>
      <c r="E329" s="251"/>
      <c r="F329" s="251"/>
      <c r="G329" s="252"/>
      <c r="H329" s="251"/>
      <c r="I329" s="251"/>
      <c r="J329" s="252"/>
      <c r="K329" s="251"/>
      <c r="L329" s="251"/>
      <c r="M329" s="252"/>
      <c r="N329" s="251"/>
      <c r="O329" s="251"/>
      <c r="P329" s="252"/>
      <c r="Q329" s="251"/>
      <c r="R329" s="251"/>
      <c r="S329" s="252"/>
      <c r="T329" s="251"/>
      <c r="U329" s="251"/>
      <c r="V329" s="252"/>
      <c r="W329" s="251"/>
      <c r="X329" s="251"/>
      <c r="Y329" s="252"/>
      <c r="Z329" s="251"/>
      <c r="AA329" s="251"/>
      <c r="AB329" s="252"/>
      <c r="AC329" s="251"/>
      <c r="AD329" s="251"/>
      <c r="AE329" s="252"/>
      <c r="AF329" s="251"/>
      <c r="AG329" s="251"/>
      <c r="AH329" s="252"/>
      <c r="AI329" s="251"/>
      <c r="AJ329" s="251"/>
      <c r="AK329" s="252"/>
      <c r="AL329" s="251"/>
      <c r="AM329" s="251"/>
      <c r="AN329" s="252"/>
      <c r="AO329" s="251"/>
      <c r="AP329" s="251"/>
      <c r="AQ329" s="252"/>
      <c r="AR329" s="251"/>
      <c r="AS329" s="251"/>
      <c r="AT329" s="252"/>
      <c r="AU329" s="251"/>
      <c r="AV329" s="251"/>
      <c r="AW329" s="252"/>
      <c r="AX329" s="251"/>
      <c r="AY329" s="251"/>
      <c r="AZ329" s="252"/>
      <c r="BA329" s="251"/>
      <c r="BB329" s="251"/>
      <c r="BC329" s="252"/>
      <c r="BD329" s="251"/>
      <c r="BE329" s="251"/>
      <c r="BF329" s="252"/>
      <c r="BG329" s="251"/>
      <c r="BH329" s="251"/>
      <c r="BI329" s="252"/>
      <c r="BJ329" s="251"/>
      <c r="BK329" s="251"/>
      <c r="BL329" s="252"/>
      <c r="BM329" s="251"/>
      <c r="BN329" s="198"/>
      <c r="BO329" s="79"/>
      <c r="BP329" s="259"/>
      <c r="BQ329" s="259"/>
      <c r="BR329" s="260"/>
      <c r="BS329" s="259"/>
      <c r="BT329" s="259"/>
      <c r="BU329" s="261"/>
      <c r="BV329" s="259"/>
      <c r="BW329" s="259"/>
      <c r="BX329" s="260"/>
      <c r="BY329" s="259"/>
      <c r="BZ329" s="259"/>
      <c r="CA329" s="260"/>
      <c r="CB329" s="259"/>
      <c r="CC329" s="259"/>
      <c r="CD329" s="260"/>
      <c r="CE329" s="259"/>
      <c r="CF329" s="259"/>
      <c r="CG329" s="260"/>
      <c r="CH329" s="259"/>
      <c r="CI329" s="259"/>
      <c r="CJ329" s="260"/>
      <c r="CK329" s="259"/>
      <c r="CL329" s="259"/>
      <c r="CM329" s="260"/>
      <c r="CN329" s="259"/>
      <c r="CO329" s="259"/>
      <c r="CP329" s="260"/>
      <c r="CQ329" s="259"/>
      <c r="CR329" s="259"/>
      <c r="CS329" s="260"/>
      <c r="CT329" s="259"/>
      <c r="CU329" s="259"/>
      <c r="CV329" s="260"/>
      <c r="CW329" s="259"/>
      <c r="CX329" s="259"/>
      <c r="CY329" s="334"/>
      <c r="CZ329" s="333"/>
      <c r="DA329" s="333"/>
      <c r="DB329" s="334"/>
      <c r="DC329" s="333"/>
      <c r="DD329" s="333"/>
      <c r="DE329" s="788"/>
      <c r="DF329" s="333"/>
      <c r="DG329" s="333"/>
      <c r="DH329" s="717"/>
      <c r="DI329" s="333"/>
      <c r="DJ329" s="333"/>
      <c r="DK329" s="716"/>
      <c r="DL329" s="333"/>
      <c r="DM329" s="333"/>
      <c r="DN329" s="716"/>
      <c r="DO329" s="333"/>
      <c r="DP329" s="333"/>
      <c r="DQ329" s="716"/>
      <c r="DR329" s="333"/>
      <c r="DS329" s="333"/>
      <c r="DT329" s="716"/>
      <c r="DU329" s="333"/>
      <c r="DV329" s="333"/>
      <c r="DW329" s="716"/>
      <c r="DX329" s="333"/>
      <c r="DY329" s="333"/>
      <c r="DZ329" s="716"/>
      <c r="EA329" s="333"/>
      <c r="EB329" s="333"/>
      <c r="EC329" s="716"/>
      <c r="ED329" s="333"/>
      <c r="EE329" s="333"/>
      <c r="EF329" s="716"/>
      <c r="EG329" s="333"/>
      <c r="EH329" s="333"/>
      <c r="EI329" s="716"/>
      <c r="EJ329" s="333"/>
      <c r="EK329" s="333"/>
      <c r="EL329" s="716"/>
      <c r="EM329" s="333"/>
      <c r="EN329" s="333"/>
      <c r="EO329" s="716"/>
      <c r="EP329" s="333"/>
      <c r="EQ329" s="333"/>
      <c r="ER329" s="716"/>
      <c r="ES329" s="333"/>
      <c r="ET329" s="333"/>
      <c r="EU329" s="716"/>
      <c r="EV329" s="333"/>
      <c r="EW329" s="333"/>
      <c r="EX329" s="716"/>
      <c r="EY329" s="333"/>
      <c r="EZ329" s="333"/>
      <c r="FA329" s="494"/>
      <c r="FG329" s="236"/>
      <c r="FH329" s="236"/>
      <c r="FI329" s="236"/>
    </row>
    <row r="330" spans="1:184" ht="13.15" customHeight="1">
      <c r="A330" s="760"/>
      <c r="B330" s="351" t="s">
        <v>988</v>
      </c>
      <c r="C330" s="436"/>
      <c r="D330" s="437"/>
      <c r="E330" s="251"/>
      <c r="F330" s="251"/>
      <c r="G330" s="252"/>
      <c r="H330" s="251"/>
      <c r="I330" s="251"/>
      <c r="J330" s="252"/>
      <c r="K330" s="251"/>
      <c r="L330" s="251"/>
      <c r="M330" s="252"/>
      <c r="N330" s="251"/>
      <c r="O330" s="251"/>
      <c r="P330" s="252"/>
      <c r="Q330" s="251"/>
      <c r="R330" s="251"/>
      <c r="S330" s="252"/>
      <c r="T330" s="251"/>
      <c r="U330" s="251"/>
      <c r="V330" s="252"/>
      <c r="W330" s="251"/>
      <c r="X330" s="251"/>
      <c r="Y330" s="252"/>
      <c r="Z330" s="251"/>
      <c r="AA330" s="251"/>
      <c r="AB330" s="252"/>
      <c r="AC330" s="251"/>
      <c r="AD330" s="251"/>
      <c r="AE330" s="252"/>
      <c r="AF330" s="251"/>
      <c r="AG330" s="251"/>
      <c r="AH330" s="252"/>
      <c r="AI330" s="251"/>
      <c r="AJ330" s="251"/>
      <c r="AK330" s="252"/>
      <c r="AL330" s="251"/>
      <c r="AM330" s="251"/>
      <c r="AN330" s="252"/>
      <c r="AO330" s="291"/>
      <c r="AP330" s="291"/>
      <c r="AQ330" s="252"/>
      <c r="AR330" s="251"/>
      <c r="AS330" s="251"/>
      <c r="AT330" s="252"/>
      <c r="AU330" s="251"/>
      <c r="AV330" s="251"/>
      <c r="AW330" s="252"/>
      <c r="AX330" s="251"/>
      <c r="AY330" s="251"/>
      <c r="AZ330" s="252"/>
      <c r="BA330" s="251"/>
      <c r="BB330" s="251"/>
      <c r="BC330" s="252"/>
      <c r="BD330" s="251"/>
      <c r="BE330" s="251"/>
      <c r="BF330" s="252"/>
      <c r="BG330" s="251"/>
      <c r="BH330" s="251"/>
      <c r="BI330" s="252"/>
      <c r="BJ330" s="251"/>
      <c r="BK330" s="251"/>
      <c r="BL330" s="252"/>
      <c r="BM330" s="280"/>
      <c r="BN330" s="280"/>
      <c r="BO330" s="280"/>
      <c r="BP330" s="280"/>
      <c r="BQ330" s="280"/>
      <c r="BR330" s="280"/>
      <c r="BS330" s="280"/>
      <c r="BT330" s="280"/>
      <c r="BU330" s="281"/>
      <c r="BV330" s="280"/>
      <c r="BW330" s="280"/>
      <c r="BX330" s="280"/>
      <c r="BY330" s="280"/>
      <c r="BZ330" s="280"/>
      <c r="CA330" s="280"/>
      <c r="CB330" s="280"/>
      <c r="CC330" s="280"/>
      <c r="CD330" s="280"/>
      <c r="CE330" s="280"/>
      <c r="CF330" s="280"/>
      <c r="CG330" s="280"/>
      <c r="CH330" s="280"/>
      <c r="CI330" s="280"/>
      <c r="CJ330" s="280"/>
      <c r="CK330" s="280"/>
      <c r="CL330" s="280"/>
      <c r="CM330" s="280"/>
      <c r="CN330" s="280"/>
      <c r="CO330" s="280"/>
      <c r="CP330" s="280"/>
      <c r="CQ330" s="280"/>
      <c r="CR330" s="280"/>
      <c r="CS330" s="280"/>
      <c r="CT330" s="280"/>
      <c r="CU330" s="280"/>
      <c r="CV330" s="280"/>
      <c r="CW330" s="280"/>
      <c r="CX330" s="280"/>
      <c r="CY330" s="280"/>
      <c r="CZ330" s="280"/>
      <c r="DA330" s="280"/>
      <c r="DB330" s="280"/>
      <c r="DC330" s="280"/>
      <c r="DD330" s="280"/>
      <c r="DE330" s="785"/>
      <c r="DF330" s="280"/>
      <c r="DG330" s="280"/>
      <c r="DH330" s="785"/>
      <c r="DI330" s="280">
        <f>DI21</f>
        <v>0</v>
      </c>
      <c r="DJ330" s="280">
        <f>DJ21</f>
        <v>0</v>
      </c>
      <c r="DK330" s="695">
        <f>DK21</f>
        <v>0</v>
      </c>
      <c r="DL330" s="280" t="str">
        <f t="shared" ref="DL330:FA330" si="331">DL5</f>
        <v>1h22</v>
      </c>
      <c r="DM330" s="280" t="str">
        <f t="shared" si="331"/>
        <v>2h22</v>
      </c>
      <c r="DN330" s="695" t="str">
        <f t="shared" si="331"/>
        <v>2022</v>
      </c>
      <c r="DO330" s="280" t="str">
        <f t="shared" si="331"/>
        <v>1h23</v>
      </c>
      <c r="DP330" s="280" t="str">
        <f t="shared" si="331"/>
        <v>2h23</v>
      </c>
      <c r="DQ330" s="695" t="str">
        <f t="shared" si="331"/>
        <v>2023</v>
      </c>
      <c r="DR330" s="280" t="str">
        <f t="shared" si="331"/>
        <v>1h24</v>
      </c>
      <c r="DS330" s="280" t="str">
        <f t="shared" si="331"/>
        <v>2h24</v>
      </c>
      <c r="DT330" s="695" t="str">
        <f t="shared" si="331"/>
        <v>2024</v>
      </c>
      <c r="DU330" s="280" t="str">
        <f t="shared" si="331"/>
        <v>1h25</v>
      </c>
      <c r="DV330" s="280" t="str">
        <f t="shared" si="331"/>
        <v>2h25</v>
      </c>
      <c r="DW330" s="695" t="str">
        <f t="shared" si="331"/>
        <v>2025</v>
      </c>
      <c r="DX330" s="280" t="str">
        <f t="shared" si="331"/>
        <v>1h26</v>
      </c>
      <c r="DY330" s="280" t="str">
        <f t="shared" si="331"/>
        <v>2h26E</v>
      </c>
      <c r="DZ330" s="695" t="str">
        <f t="shared" si="331"/>
        <v>2026E</v>
      </c>
      <c r="EA330" s="280" t="str">
        <f t="shared" si="331"/>
        <v>1h27E</v>
      </c>
      <c r="EB330" s="280" t="str">
        <f t="shared" si="331"/>
        <v>2h27E</v>
      </c>
      <c r="EC330" s="695" t="str">
        <f t="shared" si="331"/>
        <v>2027E</v>
      </c>
      <c r="ED330" s="280" t="str">
        <f t="shared" si="331"/>
        <v>1h28E</v>
      </c>
      <c r="EE330" s="280" t="str">
        <f t="shared" si="331"/>
        <v>2h28E</v>
      </c>
      <c r="EF330" s="695" t="str">
        <f t="shared" si="331"/>
        <v>2028E</v>
      </c>
      <c r="EG330" s="280" t="str">
        <f t="shared" si="331"/>
        <v>1h29E</v>
      </c>
      <c r="EH330" s="280" t="str">
        <f t="shared" si="331"/>
        <v>2h29E</v>
      </c>
      <c r="EI330" s="695" t="str">
        <f t="shared" si="331"/>
        <v>2029E</v>
      </c>
      <c r="EJ330" s="280" t="str">
        <f t="shared" si="331"/>
        <v>1h30E</v>
      </c>
      <c r="EK330" s="280" t="str">
        <f t="shared" si="331"/>
        <v>2h30E</v>
      </c>
      <c r="EL330" s="695" t="str">
        <f t="shared" si="331"/>
        <v>2030E</v>
      </c>
      <c r="EM330" s="280" t="str">
        <f t="shared" si="331"/>
        <v>1h31E</v>
      </c>
      <c r="EN330" s="280" t="str">
        <f t="shared" si="331"/>
        <v>2h31E</v>
      </c>
      <c r="EO330" s="695" t="str">
        <f t="shared" si="331"/>
        <v>2031E</v>
      </c>
      <c r="EP330" s="280" t="str">
        <f t="shared" si="331"/>
        <v>1h32E</v>
      </c>
      <c r="EQ330" s="280" t="str">
        <f t="shared" si="331"/>
        <v>2h32E</v>
      </c>
      <c r="ER330" s="695" t="str">
        <f t="shared" si="331"/>
        <v>2032E</v>
      </c>
      <c r="ES330" s="280" t="str">
        <f t="shared" si="331"/>
        <v>1h33E</v>
      </c>
      <c r="ET330" s="280" t="str">
        <f t="shared" si="331"/>
        <v>2h33E</v>
      </c>
      <c r="EU330" s="695" t="str">
        <f t="shared" si="331"/>
        <v>2033E</v>
      </c>
      <c r="EV330" s="280" t="str">
        <f t="shared" si="331"/>
        <v>1h34E</v>
      </c>
      <c r="EW330" s="280" t="str">
        <f t="shared" si="331"/>
        <v>2h34E</v>
      </c>
      <c r="EX330" s="695" t="str">
        <f t="shared" si="331"/>
        <v>2034E</v>
      </c>
      <c r="EY330" s="280" t="str">
        <f t="shared" si="331"/>
        <v>1h35E</v>
      </c>
      <c r="EZ330" s="280" t="str">
        <f t="shared" si="331"/>
        <v>2h35E</v>
      </c>
      <c r="FA330" s="540" t="str">
        <f t="shared" si="331"/>
        <v>2035E</v>
      </c>
      <c r="FG330" s="236"/>
      <c r="FH330" s="236"/>
      <c r="FI330" s="236"/>
    </row>
    <row r="331" spans="1:184" ht="13.15" customHeight="1">
      <c r="A331" s="760"/>
      <c r="B331" s="4"/>
      <c r="C331" s="177" t="s">
        <v>335</v>
      </c>
      <c r="D331" s="294" t="s">
        <v>357</v>
      </c>
      <c r="E331" s="251"/>
      <c r="F331" s="251"/>
      <c r="G331" s="252"/>
      <c r="H331" s="251"/>
      <c r="I331" s="251"/>
      <c r="J331" s="252"/>
      <c r="K331" s="251"/>
      <c r="L331" s="251"/>
      <c r="M331" s="252"/>
      <c r="N331" s="251"/>
      <c r="O331" s="251"/>
      <c r="P331" s="252"/>
      <c r="Q331" s="251"/>
      <c r="R331" s="251"/>
      <c r="S331" s="252"/>
      <c r="T331" s="251"/>
      <c r="U331" s="251"/>
      <c r="V331" s="252"/>
      <c r="W331" s="251"/>
      <c r="X331" s="251"/>
      <c r="Y331" s="252"/>
      <c r="Z331" s="251"/>
      <c r="AA331" s="251"/>
      <c r="AB331" s="252"/>
      <c r="AC331" s="251"/>
      <c r="AD331" s="251"/>
      <c r="AE331" s="252"/>
      <c r="AF331" s="251"/>
      <c r="AG331" s="251"/>
      <c r="AH331" s="252"/>
      <c r="AI331" s="251"/>
      <c r="AJ331" s="251"/>
      <c r="AK331" s="252"/>
      <c r="AL331" s="251"/>
      <c r="AM331" s="251"/>
      <c r="AN331" s="252"/>
      <c r="AO331" s="251"/>
      <c r="AP331" s="251"/>
      <c r="AQ331" s="252"/>
      <c r="AR331" s="251"/>
      <c r="AS331" s="251"/>
      <c r="AT331" s="252"/>
      <c r="AU331" s="251"/>
      <c r="AV331" s="251"/>
      <c r="AW331" s="252"/>
      <c r="AX331" s="251"/>
      <c r="AY331" s="251"/>
      <c r="AZ331" s="252"/>
      <c r="BA331" s="251"/>
      <c r="BB331" s="251"/>
      <c r="BC331" s="252"/>
      <c r="BD331" s="251"/>
      <c r="BE331" s="251"/>
      <c r="BF331" s="252"/>
      <c r="BG331" s="251"/>
      <c r="BH331" s="251"/>
      <c r="BI331" s="252"/>
      <c r="BJ331" s="251"/>
      <c r="BK331" s="251"/>
      <c r="BL331" s="252"/>
      <c r="BM331" s="251"/>
      <c r="BN331" s="198"/>
      <c r="BO331" s="79"/>
      <c r="BP331" s="259"/>
      <c r="BQ331" s="259"/>
      <c r="BR331" s="260"/>
      <c r="BS331" s="259"/>
      <c r="BT331" s="259"/>
      <c r="BU331" s="261"/>
      <c r="BV331" s="259"/>
      <c r="BW331" s="259"/>
      <c r="BX331" s="260"/>
      <c r="BY331" s="259"/>
      <c r="BZ331" s="259"/>
      <c r="CA331" s="260"/>
      <c r="CB331" s="259"/>
      <c r="CC331" s="259"/>
      <c r="CD331" s="260"/>
      <c r="CE331" s="259"/>
      <c r="CF331" s="259"/>
      <c r="CG331" s="260"/>
      <c r="CH331" s="259"/>
      <c r="CI331" s="259"/>
      <c r="CJ331" s="260"/>
      <c r="CK331" s="259"/>
      <c r="CL331" s="259"/>
      <c r="CM331" s="260"/>
      <c r="CN331" s="259"/>
      <c r="CO331" s="259"/>
      <c r="CP331" s="260"/>
      <c r="CQ331" s="259"/>
      <c r="CR331" s="259"/>
      <c r="CS331" s="260"/>
      <c r="CT331" s="259"/>
      <c r="CU331" s="198"/>
      <c r="CV331" s="253"/>
      <c r="CW331" s="198"/>
      <c r="CX331" s="198"/>
      <c r="CY331" s="521"/>
      <c r="CZ331" s="489"/>
      <c r="DA331" s="489"/>
      <c r="DB331" s="521"/>
      <c r="DC331" s="489"/>
      <c r="DD331" s="489"/>
      <c r="DE331" s="779"/>
      <c r="DF331" s="489"/>
      <c r="DG331" s="489"/>
      <c r="DH331" s="779"/>
      <c r="DI331" s="831"/>
      <c r="DJ331" s="646"/>
      <c r="DK331" s="685"/>
      <c r="DL331" s="831"/>
      <c r="DM331" s="646"/>
      <c r="DN331" s="834"/>
      <c r="DO331" s="666"/>
      <c r="DP331" s="646"/>
      <c r="DQ331" s="834"/>
      <c r="DR331" s="666"/>
      <c r="DS331" s="646"/>
      <c r="DT331" s="834"/>
      <c r="DU331" s="646">
        <f>+DU354-DU296-DU351</f>
        <v>48</v>
      </c>
      <c r="DV331" s="646">
        <f>+DW331-DU331</f>
        <v>44</v>
      </c>
      <c r="DW331" s="834">
        <v>92</v>
      </c>
      <c r="DX331" s="831">
        <v>57</v>
      </c>
      <c r="DY331" s="646">
        <f>+DZ331-DX331</f>
        <v>63</v>
      </c>
      <c r="DZ331" s="1784">
        <v>120</v>
      </c>
      <c r="EA331" s="646">
        <f>+EC331*0.47</f>
        <v>94</v>
      </c>
      <c r="EB331" s="646">
        <f>+EC331-EA331</f>
        <v>106</v>
      </c>
      <c r="EC331" s="1784">
        <v>200</v>
      </c>
      <c r="ED331" s="646">
        <f>+EF331*0.47</f>
        <v>124.55</v>
      </c>
      <c r="EE331" s="646">
        <f>+EF331-ED331</f>
        <v>140.44999999999999</v>
      </c>
      <c r="EF331" s="1784">
        <v>265</v>
      </c>
      <c r="EG331" s="646">
        <f>+EI331*0.47</f>
        <v>159.79999999999998</v>
      </c>
      <c r="EH331" s="646">
        <f>+EI331-EG331</f>
        <v>180.20000000000002</v>
      </c>
      <c r="EI331" s="1784">
        <v>340</v>
      </c>
      <c r="EJ331" s="646">
        <f>+EL331*0.47</f>
        <v>180.95</v>
      </c>
      <c r="EK331" s="646">
        <f>+EL331-EJ331</f>
        <v>204.05</v>
      </c>
      <c r="EL331" s="1784">
        <v>385</v>
      </c>
      <c r="EM331" s="646">
        <f>+EJ331*(1+EM332)</f>
        <v>189.9975</v>
      </c>
      <c r="EN331" s="646">
        <f>+EK331*(1+EN332)</f>
        <v>214.25250000000003</v>
      </c>
      <c r="EO331" s="674">
        <f>+SUM(EM331:EN331)</f>
        <v>404.25</v>
      </c>
      <c r="EP331" s="646">
        <f>+EM331*(1+EP332)</f>
        <v>199.49737500000001</v>
      </c>
      <c r="EQ331" s="646">
        <f>+EN331*(1+EQ332)</f>
        <v>224.96512500000003</v>
      </c>
      <c r="ER331" s="674">
        <f>+SUM(EP331:EQ331)</f>
        <v>424.46250000000003</v>
      </c>
      <c r="ES331" s="646">
        <f>+EP331*(1+ES332)</f>
        <v>209.47224375000002</v>
      </c>
      <c r="ET331" s="646">
        <f>+EQ331*(1+ET332)</f>
        <v>236.21338125000005</v>
      </c>
      <c r="EU331" s="674">
        <f>+SUM(ES331:ET331)</f>
        <v>445.68562500000007</v>
      </c>
      <c r="EV331" s="646">
        <f>+ES331*(1+EV332)</f>
        <v>219.94585593750003</v>
      </c>
      <c r="EW331" s="646">
        <f>+ET331*(1+EW332)</f>
        <v>248.02405031250007</v>
      </c>
      <c r="EX331" s="674">
        <f>+SUM(EV331:EW331)</f>
        <v>467.96990625000012</v>
      </c>
      <c r="EY331" s="646">
        <f>+EV331*(1+EY332)</f>
        <v>230.94314873437503</v>
      </c>
      <c r="EZ331" s="646">
        <f>+EW331*(1+EZ332)</f>
        <v>260.42525282812505</v>
      </c>
      <c r="FA331" s="776">
        <f>+SUM(EY331:EZ331)</f>
        <v>491.36840156250008</v>
      </c>
      <c r="FB331" s="177"/>
      <c r="FC331" s="177"/>
      <c r="FD331" s="177"/>
      <c r="FE331" s="177"/>
      <c r="FF331" s="177"/>
      <c r="FG331" s="1783"/>
      <c r="FH331" s="1783"/>
      <c r="FI331" s="1783"/>
      <c r="FJ331" s="177"/>
      <c r="FK331" s="177"/>
      <c r="FL331" s="177"/>
      <c r="FM331" s="177"/>
      <c r="FN331" s="177"/>
      <c r="FO331" s="177"/>
      <c r="FP331" s="177"/>
      <c r="FQ331" s="177"/>
      <c r="FR331" s="177"/>
      <c r="FS331" s="177"/>
      <c r="FT331" s="177"/>
      <c r="FU331" s="177"/>
      <c r="FV331" s="177"/>
      <c r="FW331" s="177"/>
      <c r="FX331" s="177"/>
      <c r="FY331" s="177"/>
      <c r="FZ331" s="177"/>
      <c r="GA331" s="177"/>
      <c r="GB331" s="177"/>
    </row>
    <row r="332" spans="1:184" ht="13.15" customHeight="1">
      <c r="A332" s="760"/>
      <c r="B332" s="4"/>
      <c r="C332" s="177" t="s">
        <v>178</v>
      </c>
      <c r="D332" s="294" t="s">
        <v>507</v>
      </c>
      <c r="E332" s="251"/>
      <c r="F332" s="251"/>
      <c r="G332" s="252"/>
      <c r="H332" s="251"/>
      <c r="I332" s="251"/>
      <c r="J332" s="252"/>
      <c r="K332" s="251"/>
      <c r="L332" s="251"/>
      <c r="M332" s="252"/>
      <c r="N332" s="251"/>
      <c r="O332" s="251"/>
      <c r="P332" s="252"/>
      <c r="Q332" s="251"/>
      <c r="R332" s="251"/>
      <c r="S332" s="252"/>
      <c r="T332" s="251"/>
      <c r="U332" s="251"/>
      <c r="V332" s="252"/>
      <c r="W332" s="251"/>
      <c r="X332" s="251"/>
      <c r="Y332" s="252"/>
      <c r="Z332" s="251"/>
      <c r="AA332" s="251"/>
      <c r="AB332" s="252"/>
      <c r="AC332" s="251"/>
      <c r="AD332" s="251"/>
      <c r="AE332" s="252"/>
      <c r="AF332" s="251"/>
      <c r="AG332" s="251"/>
      <c r="AH332" s="252"/>
      <c r="AI332" s="251"/>
      <c r="AJ332" s="251"/>
      <c r="AK332" s="252"/>
      <c r="AL332" s="251"/>
      <c r="AM332" s="251"/>
      <c r="AN332" s="252"/>
      <c r="AO332" s="251"/>
      <c r="AP332" s="251"/>
      <c r="AQ332" s="252"/>
      <c r="AR332" s="251"/>
      <c r="AS332" s="251"/>
      <c r="AT332" s="252"/>
      <c r="AU332" s="251"/>
      <c r="AV332" s="251"/>
      <c r="AW332" s="252"/>
      <c r="AX332" s="251"/>
      <c r="AY332" s="251"/>
      <c r="AZ332" s="252"/>
      <c r="BA332" s="251"/>
      <c r="BB332" s="251"/>
      <c r="BC332" s="252"/>
      <c r="BD332" s="251"/>
      <c r="BE332" s="251"/>
      <c r="BF332" s="252"/>
      <c r="BG332" s="251"/>
      <c r="BH332" s="251"/>
      <c r="BI332" s="252"/>
      <c r="BJ332" s="251"/>
      <c r="BK332" s="251"/>
      <c r="BL332" s="252"/>
      <c r="BM332" s="251"/>
      <c r="BN332" s="198"/>
      <c r="BO332" s="79"/>
      <c r="BP332" s="259"/>
      <c r="BQ332" s="259"/>
      <c r="BR332" s="260"/>
      <c r="BS332" s="259"/>
      <c r="BT332" s="259"/>
      <c r="BU332" s="261"/>
      <c r="BV332" s="259"/>
      <c r="BW332" s="259"/>
      <c r="BX332" s="260"/>
      <c r="BY332" s="259"/>
      <c r="BZ332" s="259"/>
      <c r="CA332" s="260"/>
      <c r="CB332" s="259"/>
      <c r="CC332" s="259"/>
      <c r="CD332" s="260"/>
      <c r="CE332" s="259"/>
      <c r="CF332" s="259"/>
      <c r="CG332" s="260"/>
      <c r="CH332" s="259"/>
      <c r="CI332" s="259"/>
      <c r="CJ332" s="260"/>
      <c r="CK332" s="259"/>
      <c r="CL332" s="259"/>
      <c r="CM332" s="260"/>
      <c r="CN332" s="259"/>
      <c r="CO332" s="259"/>
      <c r="CP332" s="260"/>
      <c r="CQ332" s="259"/>
      <c r="CR332" s="259"/>
      <c r="CS332" s="260"/>
      <c r="CT332" s="259"/>
      <c r="CU332" s="259"/>
      <c r="CV332" s="260"/>
      <c r="CW332" s="259"/>
      <c r="CX332" s="259"/>
      <c r="CY332" s="334"/>
      <c r="CZ332" s="333"/>
      <c r="DA332" s="333"/>
      <c r="DB332" s="334"/>
      <c r="DC332" s="494"/>
      <c r="DD332" s="333"/>
      <c r="DE332" s="788"/>
      <c r="DF332" s="333"/>
      <c r="DG332" s="333"/>
      <c r="DH332" s="788"/>
      <c r="DI332" s="333"/>
      <c r="DJ332" s="494"/>
      <c r="DK332" s="700"/>
      <c r="DL332" s="848"/>
      <c r="DM332" s="848"/>
      <c r="DN332" s="842"/>
      <c r="DO332" s="848"/>
      <c r="DP332" s="848"/>
      <c r="DQ332" s="842"/>
      <c r="DR332" s="848"/>
      <c r="DS332" s="848"/>
      <c r="DT332" s="842"/>
      <c r="DU332" s="853"/>
      <c r="DV332" s="848"/>
      <c r="DW332" s="842"/>
      <c r="DX332" s="848"/>
      <c r="DY332" s="848"/>
      <c r="DZ332" s="854"/>
      <c r="EA332" s="848"/>
      <c r="EB332" s="848"/>
      <c r="EC332" s="854"/>
      <c r="ED332" s="848"/>
      <c r="EE332" s="848"/>
      <c r="EF332" s="854"/>
      <c r="EG332" s="848"/>
      <c r="EH332" s="848"/>
      <c r="EI332" s="854"/>
      <c r="EJ332" s="848"/>
      <c r="EK332" s="848"/>
      <c r="EL332" s="854"/>
      <c r="EM332" s="848">
        <f>+EM316</f>
        <v>0.05</v>
      </c>
      <c r="EN332" s="848">
        <f>+EN316</f>
        <v>0.05</v>
      </c>
      <c r="EO332" s="854">
        <f>+EO331/EL331-1</f>
        <v>5.0000000000000044E-2</v>
      </c>
      <c r="EP332" s="848">
        <f>+EP316</f>
        <v>0.05</v>
      </c>
      <c r="EQ332" s="848">
        <f>+EQ316</f>
        <v>0.05</v>
      </c>
      <c r="ER332" s="854">
        <f>+ER331/EO331-1</f>
        <v>5.0000000000000044E-2</v>
      </c>
      <c r="ES332" s="848">
        <f>+ES316</f>
        <v>0.05</v>
      </c>
      <c r="ET332" s="848">
        <f>+ET316</f>
        <v>0.05</v>
      </c>
      <c r="EU332" s="854">
        <f>+EU331/ER331-1</f>
        <v>5.0000000000000044E-2</v>
      </c>
      <c r="EV332" s="848">
        <f>+EV316</f>
        <v>0.05</v>
      </c>
      <c r="EW332" s="848">
        <f>+EW316</f>
        <v>0.05</v>
      </c>
      <c r="EX332" s="854">
        <f>+EX331/EU331-1</f>
        <v>5.0000000000000044E-2</v>
      </c>
      <c r="EY332" s="848">
        <f>+EY316</f>
        <v>0.05</v>
      </c>
      <c r="EZ332" s="848">
        <f>+EZ316</f>
        <v>0.05</v>
      </c>
      <c r="FA332" s="848">
        <f>+FA331/EX331-1</f>
        <v>4.9999999999999822E-2</v>
      </c>
      <c r="FB332" s="177"/>
      <c r="FC332" s="177"/>
      <c r="FD332" s="177"/>
      <c r="FE332" s="177"/>
      <c r="FF332" s="177"/>
      <c r="FG332" s="1783"/>
      <c r="FH332" s="1783"/>
      <c r="FI332" s="1783"/>
      <c r="FJ332" s="177"/>
      <c r="FK332" s="177"/>
      <c r="FL332" s="177"/>
      <c r="FM332" s="177"/>
      <c r="FN332" s="177"/>
      <c r="FO332" s="177"/>
      <c r="FP332" s="177"/>
      <c r="FQ332" s="177"/>
      <c r="FR332" s="177"/>
      <c r="FS332" s="177"/>
      <c r="FT332" s="177"/>
      <c r="FU332" s="177"/>
      <c r="FV332" s="177"/>
      <c r="FW332" s="177"/>
      <c r="FX332" s="177"/>
      <c r="FY332" s="177"/>
      <c r="FZ332" s="177"/>
      <c r="GA332" s="177"/>
      <c r="GB332" s="177"/>
    </row>
    <row r="333" spans="1:184" ht="13.15" customHeight="1">
      <c r="A333" s="760"/>
      <c r="B333" s="4"/>
      <c r="E333" s="251"/>
      <c r="F333" s="251"/>
      <c r="G333" s="252"/>
      <c r="H333" s="251"/>
      <c r="I333" s="251"/>
      <c r="J333" s="252"/>
      <c r="K333" s="251"/>
      <c r="L333" s="251"/>
      <c r="M333" s="252"/>
      <c r="N333" s="251"/>
      <c r="O333" s="251"/>
      <c r="P333" s="252"/>
      <c r="Q333" s="251"/>
      <c r="R333" s="251"/>
      <c r="S333" s="252"/>
      <c r="T333" s="251"/>
      <c r="U333" s="251"/>
      <c r="V333" s="252"/>
      <c r="W333" s="251"/>
      <c r="X333" s="251"/>
      <c r="Y333" s="252"/>
      <c r="Z333" s="251"/>
      <c r="AA333" s="251"/>
      <c r="AB333" s="252"/>
      <c r="AC333" s="251"/>
      <c r="AD333" s="251"/>
      <c r="AE333" s="252"/>
      <c r="AF333" s="251"/>
      <c r="AG333" s="251"/>
      <c r="AH333" s="252"/>
      <c r="AI333" s="251"/>
      <c r="AJ333" s="251"/>
      <c r="AK333" s="252"/>
      <c r="AL333" s="251"/>
      <c r="AM333" s="251"/>
      <c r="AN333" s="252"/>
      <c r="AO333" s="251"/>
      <c r="AP333" s="251"/>
      <c r="AQ333" s="252"/>
      <c r="AR333" s="251"/>
      <c r="AS333" s="251"/>
      <c r="AT333" s="252"/>
      <c r="AU333" s="251"/>
      <c r="AV333" s="251"/>
      <c r="AW333" s="252"/>
      <c r="AX333" s="251"/>
      <c r="AY333" s="251"/>
      <c r="AZ333" s="252"/>
      <c r="BA333" s="251"/>
      <c r="BB333" s="251"/>
      <c r="BC333" s="252"/>
      <c r="BD333" s="251"/>
      <c r="BE333" s="251"/>
      <c r="BF333" s="252"/>
      <c r="BG333" s="251"/>
      <c r="BH333" s="251"/>
      <c r="BI333" s="252"/>
      <c r="BJ333" s="251"/>
      <c r="BK333" s="251"/>
      <c r="BL333" s="252"/>
      <c r="BM333" s="251"/>
      <c r="BN333" s="198"/>
      <c r="BO333" s="79"/>
      <c r="BP333" s="259"/>
      <c r="BQ333" s="259"/>
      <c r="BR333" s="260"/>
      <c r="BS333" s="259"/>
      <c r="BT333" s="259"/>
      <c r="BU333" s="261"/>
      <c r="BV333" s="259"/>
      <c r="BW333" s="259"/>
      <c r="BX333" s="260"/>
      <c r="BY333" s="259"/>
      <c r="BZ333" s="259"/>
      <c r="CA333" s="260"/>
      <c r="CB333" s="259"/>
      <c r="CC333" s="259"/>
      <c r="CD333" s="260"/>
      <c r="CE333" s="259"/>
      <c r="CF333" s="259"/>
      <c r="CG333" s="260"/>
      <c r="CH333" s="259"/>
      <c r="CI333" s="259"/>
      <c r="CJ333" s="260"/>
      <c r="CK333" s="259"/>
      <c r="CL333" s="259"/>
      <c r="CM333" s="260"/>
      <c r="CN333" s="259"/>
      <c r="CO333" s="259"/>
      <c r="CP333" s="260"/>
      <c r="CQ333" s="259"/>
      <c r="CR333" s="259"/>
      <c r="CS333" s="260"/>
      <c r="CT333" s="259"/>
      <c r="CU333" s="259"/>
      <c r="CV333" s="260"/>
      <c r="CW333" s="259"/>
      <c r="CX333" s="259"/>
      <c r="CY333" s="334"/>
      <c r="CZ333" s="333"/>
      <c r="DA333" s="333"/>
      <c r="DB333" s="334"/>
      <c r="DC333" s="333"/>
      <c r="DD333" s="333"/>
      <c r="DE333" s="788"/>
      <c r="DF333" s="333"/>
      <c r="DG333" s="333"/>
      <c r="DH333" s="717"/>
      <c r="DI333" s="333"/>
      <c r="DJ333" s="333"/>
      <c r="DK333" s="716"/>
      <c r="DL333" s="333"/>
      <c r="DM333" s="333"/>
      <c r="DN333" s="716"/>
      <c r="DO333" s="333"/>
      <c r="DP333" s="333"/>
      <c r="DQ333" s="716"/>
      <c r="DR333" s="333"/>
      <c r="DS333" s="333"/>
      <c r="DT333" s="716"/>
      <c r="DU333" s="333"/>
      <c r="DV333" s="333"/>
      <c r="DW333" s="1860"/>
      <c r="DX333" s="333"/>
      <c r="DY333" s="333"/>
      <c r="DZ333" s="716"/>
      <c r="EA333" s="333"/>
      <c r="EB333" s="333"/>
      <c r="EC333" s="716"/>
      <c r="ED333" s="333"/>
      <c r="EE333" s="333"/>
      <c r="EF333" s="716"/>
      <c r="EG333" s="333"/>
      <c r="EH333" s="333"/>
      <c r="EI333" s="716"/>
      <c r="EJ333" s="333"/>
      <c r="EK333" s="333"/>
      <c r="EL333" s="716"/>
      <c r="EM333" s="333"/>
      <c r="EN333" s="333"/>
      <c r="EO333" s="716"/>
      <c r="EP333" s="333"/>
      <c r="EQ333" s="333"/>
      <c r="ER333" s="716"/>
      <c r="ES333" s="333"/>
      <c r="ET333" s="333"/>
      <c r="EU333" s="716"/>
      <c r="EV333" s="333"/>
      <c r="EW333" s="333"/>
      <c r="EX333" s="716"/>
      <c r="EY333" s="333"/>
      <c r="EZ333" s="333"/>
      <c r="FA333" s="494"/>
      <c r="FG333" s="236"/>
      <c r="FH333" s="236"/>
      <c r="FI333" s="236"/>
    </row>
    <row r="334" spans="1:184" ht="12.75" customHeight="1">
      <c r="A334" s="760"/>
      <c r="B334" s="351" t="s">
        <v>784</v>
      </c>
      <c r="C334" s="436"/>
      <c r="D334" s="437"/>
      <c r="E334" s="251"/>
      <c r="F334" s="251"/>
      <c r="G334" s="252"/>
      <c r="H334" s="251"/>
      <c r="I334" s="251"/>
      <c r="J334" s="252"/>
      <c r="K334" s="251"/>
      <c r="L334" s="251"/>
      <c r="M334" s="252"/>
      <c r="N334" s="251"/>
      <c r="O334" s="251"/>
      <c r="P334" s="252"/>
      <c r="Q334" s="251"/>
      <c r="R334" s="251"/>
      <c r="S334" s="252"/>
      <c r="T334" s="251"/>
      <c r="U334" s="251"/>
      <c r="V334" s="252"/>
      <c r="W334" s="251"/>
      <c r="X334" s="251"/>
      <c r="Y334" s="252"/>
      <c r="Z334" s="251"/>
      <c r="AA334" s="251"/>
      <c r="AB334" s="252"/>
      <c r="AC334" s="251"/>
      <c r="AD334" s="251"/>
      <c r="AE334" s="252"/>
      <c r="AF334" s="251"/>
      <c r="AG334" s="251"/>
      <c r="AH334" s="252"/>
      <c r="AI334" s="251"/>
      <c r="AJ334" s="251"/>
      <c r="AK334" s="252"/>
      <c r="AL334" s="251"/>
      <c r="AM334" s="251"/>
      <c r="AN334" s="252"/>
      <c r="AO334" s="291"/>
      <c r="AP334" s="291"/>
      <c r="AQ334" s="252"/>
      <c r="AR334" s="251"/>
      <c r="AS334" s="251"/>
      <c r="AT334" s="252"/>
      <c r="AU334" s="251"/>
      <c r="AV334" s="251"/>
      <c r="AW334" s="252"/>
      <c r="AX334" s="251"/>
      <c r="AY334" s="251"/>
      <c r="AZ334" s="252"/>
      <c r="BA334" s="251"/>
      <c r="BB334" s="251"/>
      <c r="BC334" s="252"/>
      <c r="BD334" s="251"/>
      <c r="BE334" s="251"/>
      <c r="BF334" s="252"/>
      <c r="BG334" s="251"/>
      <c r="BH334" s="251"/>
      <c r="BI334" s="252"/>
      <c r="BJ334" s="251"/>
      <c r="BK334" s="251"/>
      <c r="BL334" s="252"/>
      <c r="BM334" s="280"/>
      <c r="BN334" s="280"/>
      <c r="BO334" s="280"/>
      <c r="BP334" s="280"/>
      <c r="BQ334" s="280"/>
      <c r="BR334" s="280"/>
      <c r="BS334" s="280"/>
      <c r="BT334" s="280"/>
      <c r="BU334" s="281"/>
      <c r="BV334" s="280"/>
      <c r="BW334" s="280"/>
      <c r="BX334" s="280"/>
      <c r="BY334" s="280"/>
      <c r="BZ334" s="280"/>
      <c r="CA334" s="280"/>
      <c r="CB334" s="280"/>
      <c r="CC334" s="280"/>
      <c r="CD334" s="280"/>
      <c r="CE334" s="280"/>
      <c r="CF334" s="280"/>
      <c r="CG334" s="280"/>
      <c r="CH334" s="280"/>
      <c r="CI334" s="280"/>
      <c r="CJ334" s="280"/>
      <c r="CK334" s="280"/>
      <c r="CL334" s="280"/>
      <c r="CM334" s="280"/>
      <c r="CN334" s="280"/>
      <c r="CO334" s="280"/>
      <c r="CP334" s="280"/>
      <c r="CQ334" s="280"/>
      <c r="CR334" s="280"/>
      <c r="CS334" s="280"/>
      <c r="CT334" s="280"/>
      <c r="CU334" s="280"/>
      <c r="CV334" s="280"/>
      <c r="CW334" s="280"/>
      <c r="CX334" s="280"/>
      <c r="CY334" s="280"/>
      <c r="CZ334" s="280"/>
      <c r="DA334" s="280"/>
      <c r="DB334" s="280"/>
      <c r="DC334" s="280"/>
      <c r="DD334" s="280"/>
      <c r="DE334" s="785"/>
      <c r="DF334" s="280"/>
      <c r="DG334" s="280"/>
      <c r="DH334" s="785"/>
      <c r="DI334" s="280" t="str">
        <f t="shared" ref="DI334:FA334" si="332">DI5</f>
        <v>1h21</v>
      </c>
      <c r="DJ334" s="280" t="str">
        <f t="shared" si="332"/>
        <v>2h21</v>
      </c>
      <c r="DK334" s="695" t="str">
        <f t="shared" si="332"/>
        <v>2021</v>
      </c>
      <c r="DL334" s="280" t="str">
        <f t="shared" si="332"/>
        <v>1h22</v>
      </c>
      <c r="DM334" s="280" t="str">
        <f t="shared" si="332"/>
        <v>2h22</v>
      </c>
      <c r="DN334" s="695" t="str">
        <f t="shared" si="332"/>
        <v>2022</v>
      </c>
      <c r="DO334" s="280" t="str">
        <f t="shared" si="332"/>
        <v>1h23</v>
      </c>
      <c r="DP334" s="280" t="str">
        <f t="shared" si="332"/>
        <v>2h23</v>
      </c>
      <c r="DQ334" s="695" t="str">
        <f t="shared" si="332"/>
        <v>2023</v>
      </c>
      <c r="DR334" s="280" t="str">
        <f t="shared" si="332"/>
        <v>1h24</v>
      </c>
      <c r="DS334" s="280" t="str">
        <f t="shared" si="332"/>
        <v>2h24</v>
      </c>
      <c r="DT334" s="695" t="str">
        <f t="shared" si="332"/>
        <v>2024</v>
      </c>
      <c r="DU334" s="280" t="str">
        <f t="shared" si="332"/>
        <v>1h25</v>
      </c>
      <c r="DV334" s="280" t="str">
        <f t="shared" si="332"/>
        <v>2h25</v>
      </c>
      <c r="DW334" s="695" t="str">
        <f t="shared" si="332"/>
        <v>2025</v>
      </c>
      <c r="DX334" s="280" t="str">
        <f t="shared" si="332"/>
        <v>1h26</v>
      </c>
      <c r="DY334" s="280" t="str">
        <f t="shared" si="332"/>
        <v>2h26E</v>
      </c>
      <c r="DZ334" s="695" t="str">
        <f t="shared" si="332"/>
        <v>2026E</v>
      </c>
      <c r="EA334" s="280" t="str">
        <f t="shared" si="332"/>
        <v>1h27E</v>
      </c>
      <c r="EB334" s="280" t="str">
        <f t="shared" si="332"/>
        <v>2h27E</v>
      </c>
      <c r="EC334" s="695" t="str">
        <f t="shared" si="332"/>
        <v>2027E</v>
      </c>
      <c r="ED334" s="280" t="str">
        <f t="shared" si="332"/>
        <v>1h28E</v>
      </c>
      <c r="EE334" s="280" t="str">
        <f t="shared" si="332"/>
        <v>2h28E</v>
      </c>
      <c r="EF334" s="695" t="str">
        <f t="shared" si="332"/>
        <v>2028E</v>
      </c>
      <c r="EG334" s="280" t="str">
        <f t="shared" si="332"/>
        <v>1h29E</v>
      </c>
      <c r="EH334" s="280" t="str">
        <f t="shared" si="332"/>
        <v>2h29E</v>
      </c>
      <c r="EI334" s="695" t="str">
        <f t="shared" si="332"/>
        <v>2029E</v>
      </c>
      <c r="EJ334" s="280" t="str">
        <f t="shared" si="332"/>
        <v>1h30E</v>
      </c>
      <c r="EK334" s="280" t="str">
        <f t="shared" si="332"/>
        <v>2h30E</v>
      </c>
      <c r="EL334" s="695" t="str">
        <f t="shared" si="332"/>
        <v>2030E</v>
      </c>
      <c r="EM334" s="280" t="str">
        <f t="shared" si="332"/>
        <v>1h31E</v>
      </c>
      <c r="EN334" s="280" t="str">
        <f t="shared" si="332"/>
        <v>2h31E</v>
      </c>
      <c r="EO334" s="695" t="str">
        <f t="shared" si="332"/>
        <v>2031E</v>
      </c>
      <c r="EP334" s="280" t="str">
        <f t="shared" si="332"/>
        <v>1h32E</v>
      </c>
      <c r="EQ334" s="280" t="str">
        <f t="shared" si="332"/>
        <v>2h32E</v>
      </c>
      <c r="ER334" s="695" t="str">
        <f t="shared" si="332"/>
        <v>2032E</v>
      </c>
      <c r="ES334" s="280" t="str">
        <f t="shared" si="332"/>
        <v>1h33E</v>
      </c>
      <c r="ET334" s="280" t="str">
        <f t="shared" si="332"/>
        <v>2h33E</v>
      </c>
      <c r="EU334" s="695" t="str">
        <f t="shared" si="332"/>
        <v>2033E</v>
      </c>
      <c r="EV334" s="280" t="str">
        <f t="shared" si="332"/>
        <v>1h34E</v>
      </c>
      <c r="EW334" s="280" t="str">
        <f t="shared" si="332"/>
        <v>2h34E</v>
      </c>
      <c r="EX334" s="695" t="str">
        <f t="shared" si="332"/>
        <v>2034E</v>
      </c>
      <c r="EY334" s="280" t="str">
        <f t="shared" si="332"/>
        <v>1h35E</v>
      </c>
      <c r="EZ334" s="280" t="str">
        <f t="shared" si="332"/>
        <v>2h35E</v>
      </c>
      <c r="FA334" s="540" t="str">
        <f t="shared" si="332"/>
        <v>2035E</v>
      </c>
      <c r="FG334" s="424"/>
      <c r="FH334" s="424"/>
      <c r="FI334" s="441"/>
    </row>
    <row r="335" spans="1:184" ht="13.35" customHeight="1">
      <c r="A335" s="760"/>
      <c r="B335" s="4"/>
      <c r="C335" s="177" t="s">
        <v>335</v>
      </c>
      <c r="D335" s="294" t="s">
        <v>357</v>
      </c>
      <c r="E335" s="251"/>
      <c r="F335" s="251"/>
      <c r="G335" s="252"/>
      <c r="H335" s="251"/>
      <c r="I335" s="251"/>
      <c r="J335" s="252"/>
      <c r="K335" s="251"/>
      <c r="L335" s="251"/>
      <c r="M335" s="252"/>
      <c r="N335" s="251"/>
      <c r="O335" s="251"/>
      <c r="P335" s="252"/>
      <c r="Q335" s="251"/>
      <c r="R335" s="251"/>
      <c r="S335" s="252"/>
      <c r="T335" s="251"/>
      <c r="U335" s="251"/>
      <c r="V335" s="252"/>
      <c r="W335" s="251"/>
      <c r="X335" s="251"/>
      <c r="Y335" s="252"/>
      <c r="Z335" s="251"/>
      <c r="AA335" s="251"/>
      <c r="AB335" s="252"/>
      <c r="AC335" s="251"/>
      <c r="AD335" s="251"/>
      <c r="AE335" s="252"/>
      <c r="AF335" s="251"/>
      <c r="AG335" s="251"/>
      <c r="AH335" s="252"/>
      <c r="AI335" s="251"/>
      <c r="AJ335" s="251"/>
      <c r="AK335" s="252"/>
      <c r="AL335" s="251"/>
      <c r="AM335" s="251"/>
      <c r="AN335" s="252"/>
      <c r="AO335" s="251"/>
      <c r="AP335" s="251"/>
      <c r="AQ335" s="252"/>
      <c r="AR335" s="251"/>
      <c r="AS335" s="251"/>
      <c r="AT335" s="252"/>
      <c r="AU335" s="251"/>
      <c r="AV335" s="251"/>
      <c r="AW335" s="252"/>
      <c r="AX335" s="251"/>
      <c r="AY335" s="251"/>
      <c r="AZ335" s="252"/>
      <c r="BA335" s="251"/>
      <c r="BB335" s="251"/>
      <c r="BC335" s="252"/>
      <c r="BD335" s="251"/>
      <c r="BE335" s="251"/>
      <c r="BF335" s="252"/>
      <c r="BG335" s="251"/>
      <c r="BH335" s="251"/>
      <c r="BI335" s="252"/>
      <c r="BJ335" s="251"/>
      <c r="BK335" s="251"/>
      <c r="BL335" s="252"/>
      <c r="BM335" s="251"/>
      <c r="BN335" s="198"/>
      <c r="BO335" s="79"/>
      <c r="BP335" s="259"/>
      <c r="BQ335" s="259"/>
      <c r="BR335" s="260"/>
      <c r="BS335" s="259"/>
      <c r="BT335" s="259"/>
      <c r="BU335" s="261"/>
      <c r="BV335" s="259"/>
      <c r="BW335" s="259"/>
      <c r="BX335" s="260"/>
      <c r="BY335" s="259"/>
      <c r="BZ335" s="259"/>
      <c r="CA335" s="260"/>
      <c r="CB335" s="259"/>
      <c r="CC335" s="259"/>
      <c r="CD335" s="260"/>
      <c r="CE335" s="259"/>
      <c r="CF335" s="259"/>
      <c r="CG335" s="260"/>
      <c r="CH335" s="259"/>
      <c r="CI335" s="259"/>
      <c r="CJ335" s="260"/>
      <c r="CK335" s="259"/>
      <c r="CL335" s="259"/>
      <c r="CM335" s="260"/>
      <c r="CN335" s="259"/>
      <c r="CO335" s="259"/>
      <c r="CP335" s="260"/>
      <c r="CQ335" s="259"/>
      <c r="CR335" s="259"/>
      <c r="CS335" s="260"/>
      <c r="CT335" s="259"/>
      <c r="CU335" s="198"/>
      <c r="CV335" s="253"/>
      <c r="CW335" s="198"/>
      <c r="CX335" s="198"/>
      <c r="CY335" s="521"/>
      <c r="CZ335" s="489"/>
      <c r="DA335" s="606"/>
      <c r="DB335" s="521"/>
      <c r="DC335" s="489"/>
      <c r="DD335" s="489"/>
      <c r="DE335" s="779"/>
      <c r="DF335" s="489"/>
      <c r="DG335" s="489"/>
      <c r="DH335" s="779"/>
      <c r="DI335" s="837">
        <f>+DI351-DI315</f>
        <v>68.649502838156934</v>
      </c>
      <c r="DJ335" s="837">
        <f>+DJ351-DJ315</f>
        <v>39.886639167333044</v>
      </c>
      <c r="DK335" s="828">
        <f>SUM(DI335:DJ335)</f>
        <v>108.53614200548998</v>
      </c>
      <c r="DL335" s="837">
        <f>+DL351-DL315</f>
        <v>56.227773859727392</v>
      </c>
      <c r="DM335" s="837">
        <f>+DM351-DM315</f>
        <v>57.895607452369347</v>
      </c>
      <c r="DN335" s="828">
        <f>SUM(DL335:DM335)</f>
        <v>114.12338131209674</v>
      </c>
      <c r="DO335" s="837">
        <f>+DO351-DO315</f>
        <v>56</v>
      </c>
      <c r="DP335" s="837">
        <f>+DP351-DP315</f>
        <v>55</v>
      </c>
      <c r="DQ335" s="828">
        <f>SUM(DO335:DP335)</f>
        <v>111</v>
      </c>
      <c r="DR335" s="837">
        <f>+DR351-DR315</f>
        <v>55</v>
      </c>
      <c r="DS335" s="837">
        <f>+DS351-DS315</f>
        <v>51</v>
      </c>
      <c r="DT335" s="828">
        <f>SUM(DR335:DS335)</f>
        <v>106</v>
      </c>
      <c r="DU335" s="851">
        <f>+DU351-DU315</f>
        <v>54</v>
      </c>
      <c r="DV335" s="837">
        <f>+DW335-DU335</f>
        <v>51</v>
      </c>
      <c r="DW335" s="838">
        <v>105</v>
      </c>
      <c r="DX335" s="1894">
        <v>49</v>
      </c>
      <c r="DY335" s="837">
        <f>DV335*(1+DY336)</f>
        <v>47.43</v>
      </c>
      <c r="DZ335" s="828">
        <f>SUM(DX335:DY335)</f>
        <v>96.43</v>
      </c>
      <c r="EA335" s="837">
        <f>DX335*(1+EA336)</f>
        <v>49.49</v>
      </c>
      <c r="EB335" s="837">
        <f>DY335*(1+EB336)</f>
        <v>47.904299999999999</v>
      </c>
      <c r="EC335" s="828">
        <f>SUM(EA335:EB335)</f>
        <v>97.394300000000001</v>
      </c>
      <c r="ED335" s="837">
        <f>EA335*(1+ED336)</f>
        <v>49.984900000000003</v>
      </c>
      <c r="EE335" s="837">
        <f>EB335*(1+EE336)</f>
        <v>48.383342999999996</v>
      </c>
      <c r="EF335" s="828">
        <f>SUM(ED335:EE335)</f>
        <v>98.368243000000007</v>
      </c>
      <c r="EG335" s="837">
        <f>ED335*(1+EG336)</f>
        <v>50.484749000000001</v>
      </c>
      <c r="EH335" s="837">
        <f>EE335*(1+EH336)</f>
        <v>48.867176429999994</v>
      </c>
      <c r="EI335" s="828">
        <f>SUM(EG335:EH335)</f>
        <v>99.351925429999994</v>
      </c>
      <c r="EJ335" s="837">
        <f>EG335*(1+EJ336)</f>
        <v>50.989596490000004</v>
      </c>
      <c r="EK335" s="837">
        <f>EH335*(1+EK336)</f>
        <v>49.355848194299995</v>
      </c>
      <c r="EL335" s="828">
        <f>SUM(EJ335:EK335)</f>
        <v>100.34544468429999</v>
      </c>
      <c r="EM335" s="837">
        <f>EJ335*(1+EM336)</f>
        <v>51.499492454900007</v>
      </c>
      <c r="EN335" s="837">
        <f>EK335*(1+EN336)</f>
        <v>49.849406676242992</v>
      </c>
      <c r="EO335" s="828">
        <f>SUM(EM335:EN335)</f>
        <v>101.348899131143</v>
      </c>
      <c r="EP335" s="837">
        <f>EM335*(1+EP336)</f>
        <v>52.014487379449008</v>
      </c>
      <c r="EQ335" s="837">
        <f>EN335*(1+EQ336)</f>
        <v>50.347900743005425</v>
      </c>
      <c r="ER335" s="828">
        <f>SUM(EP335:EQ335)</f>
        <v>102.36238812245443</v>
      </c>
      <c r="ES335" s="837">
        <f>EP335*(1+ES336)</f>
        <v>52.534632253243501</v>
      </c>
      <c r="ET335" s="837">
        <f>EQ335*(1+ET336)</f>
        <v>50.851379750435477</v>
      </c>
      <c r="EU335" s="828">
        <f>SUM(ES335:ET335)</f>
        <v>103.38601200367899</v>
      </c>
      <c r="EV335" s="837">
        <f>ES335*(1+EV336)</f>
        <v>53.059978575775936</v>
      </c>
      <c r="EW335" s="837">
        <f>ET335*(1+EW336)</f>
        <v>51.359893547939834</v>
      </c>
      <c r="EX335" s="828">
        <f>SUM(EV335:EW335)</f>
        <v>104.41987212371578</v>
      </c>
      <c r="EY335" s="837">
        <f>EV335*(1+EY336)</f>
        <v>53.590578361533694</v>
      </c>
      <c r="EZ335" s="837">
        <f>EW335*(1+EZ336)</f>
        <v>51.873492483419234</v>
      </c>
      <c r="FA335" s="840">
        <f>SUM(EY335:EZ335)</f>
        <v>105.46407084495293</v>
      </c>
      <c r="FG335" s="424"/>
      <c r="FH335" s="424"/>
      <c r="FI335" s="441"/>
    </row>
    <row r="336" spans="1:184" ht="13.35" customHeight="1">
      <c r="A336" s="760"/>
      <c r="B336" s="442"/>
      <c r="C336" s="177" t="s">
        <v>178</v>
      </c>
      <c r="D336" s="294" t="s">
        <v>507</v>
      </c>
      <c r="E336" s="251"/>
      <c r="F336" s="251"/>
      <c r="G336" s="252"/>
      <c r="H336" s="251"/>
      <c r="I336" s="251"/>
      <c r="J336" s="252"/>
      <c r="K336" s="251"/>
      <c r="L336" s="251"/>
      <c r="M336" s="252"/>
      <c r="N336" s="251"/>
      <c r="O336" s="251"/>
      <c r="P336" s="252"/>
      <c r="Q336" s="251"/>
      <c r="R336" s="251"/>
      <c r="S336" s="252"/>
      <c r="T336" s="251"/>
      <c r="U336" s="251"/>
      <c r="V336" s="252"/>
      <c r="W336" s="251"/>
      <c r="X336" s="251"/>
      <c r="Y336" s="252"/>
      <c r="Z336" s="251"/>
      <c r="AA336" s="251"/>
      <c r="AB336" s="252"/>
      <c r="AC336" s="251"/>
      <c r="AD336" s="251"/>
      <c r="AE336" s="252"/>
      <c r="AF336" s="251"/>
      <c r="AG336" s="251"/>
      <c r="AH336" s="252"/>
      <c r="AI336" s="251"/>
      <c r="AJ336" s="251"/>
      <c r="AK336" s="252"/>
      <c r="AL336" s="251"/>
      <c r="AM336" s="251"/>
      <c r="AN336" s="252"/>
      <c r="AO336" s="251"/>
      <c r="AP336" s="251"/>
      <c r="AQ336" s="252"/>
      <c r="AR336" s="251"/>
      <c r="AS336" s="251"/>
      <c r="AT336" s="252"/>
      <c r="AU336" s="251"/>
      <c r="AV336" s="251"/>
      <c r="AW336" s="252"/>
      <c r="AX336" s="251"/>
      <c r="AY336" s="251"/>
      <c r="AZ336" s="252"/>
      <c r="BA336" s="251"/>
      <c r="BB336" s="251"/>
      <c r="BC336" s="252"/>
      <c r="BD336" s="251"/>
      <c r="BE336" s="251"/>
      <c r="BF336" s="252"/>
      <c r="BG336" s="251"/>
      <c r="BH336" s="251"/>
      <c r="BI336" s="252"/>
      <c r="BJ336" s="251"/>
      <c r="BK336" s="251"/>
      <c r="BL336" s="252"/>
      <c r="BM336" s="251"/>
      <c r="BN336" s="198"/>
      <c r="BO336" s="79"/>
      <c r="BP336" s="259"/>
      <c r="BQ336" s="259"/>
      <c r="BR336" s="260"/>
      <c r="BS336" s="259"/>
      <c r="BT336" s="259"/>
      <c r="BU336" s="261"/>
      <c r="BV336" s="259"/>
      <c r="BW336" s="259"/>
      <c r="BX336" s="260"/>
      <c r="BY336" s="259"/>
      <c r="BZ336" s="259"/>
      <c r="CA336" s="260"/>
      <c r="CB336" s="259"/>
      <c r="CC336" s="259"/>
      <c r="CD336" s="260"/>
      <c r="CE336" s="259"/>
      <c r="CF336" s="259"/>
      <c r="CG336" s="260"/>
      <c r="CH336" s="259"/>
      <c r="CI336" s="259"/>
      <c r="CJ336" s="260"/>
      <c r="CK336" s="259"/>
      <c r="CL336" s="259"/>
      <c r="CM336" s="260"/>
      <c r="CN336" s="259"/>
      <c r="CO336" s="259"/>
      <c r="CP336" s="260"/>
      <c r="CQ336" s="259"/>
      <c r="CR336" s="259"/>
      <c r="CS336" s="260"/>
      <c r="CT336" s="259"/>
      <c r="CU336" s="259"/>
      <c r="CV336" s="260"/>
      <c r="CW336" s="259"/>
      <c r="CX336" s="259"/>
      <c r="CY336" s="334"/>
      <c r="CZ336" s="333"/>
      <c r="DA336" s="333"/>
      <c r="DB336" s="334"/>
      <c r="DC336" s="494"/>
      <c r="DD336" s="494"/>
      <c r="DE336" s="788"/>
      <c r="DF336" s="333"/>
      <c r="DG336" s="334"/>
      <c r="DH336" s="717"/>
      <c r="DI336" s="333"/>
      <c r="DJ336" s="494"/>
      <c r="DK336" s="717"/>
      <c r="DL336" s="848">
        <f t="shared" ref="DL336:DX336" si="333">DL335/DI335-1</f>
        <v>-0.18094419427499864</v>
      </c>
      <c r="DM336" s="848">
        <f t="shared" si="333"/>
        <v>0.45150377823222465</v>
      </c>
      <c r="DN336" s="842">
        <f t="shared" si="333"/>
        <v>5.1478145467195091E-2</v>
      </c>
      <c r="DO336" s="848">
        <f t="shared" si="333"/>
        <v>-4.0509137049534738E-3</v>
      </c>
      <c r="DP336" s="848">
        <f t="shared" si="333"/>
        <v>-5.0014285708143924E-2</v>
      </c>
      <c r="DQ336" s="842">
        <f t="shared" si="333"/>
        <v>-2.7368461012867606E-2</v>
      </c>
      <c r="DR336" s="848">
        <f t="shared" si="333"/>
        <v>-1.7857142857142905E-2</v>
      </c>
      <c r="DS336" s="848">
        <f t="shared" si="333"/>
        <v>-7.2727272727272751E-2</v>
      </c>
      <c r="DT336" s="842">
        <f t="shared" si="333"/>
        <v>-4.5045045045045029E-2</v>
      </c>
      <c r="DU336" s="848">
        <f t="shared" si="333"/>
        <v>-1.8181818181818188E-2</v>
      </c>
      <c r="DV336" s="848">
        <f t="shared" si="333"/>
        <v>0</v>
      </c>
      <c r="DW336" s="842">
        <f t="shared" si="333"/>
        <v>-9.4339622641509413E-3</v>
      </c>
      <c r="DX336" s="848">
        <f t="shared" si="333"/>
        <v>-9.259259259259256E-2</v>
      </c>
      <c r="DY336" s="1905">
        <f>-10%+DY3</f>
        <v>-7.0000000000000007E-2</v>
      </c>
      <c r="DZ336" s="854">
        <f>+DZ335/DW335-1</f>
        <v>-8.1619047619047591E-2</v>
      </c>
      <c r="EA336" s="853">
        <v>0.01</v>
      </c>
      <c r="EB336" s="848">
        <f>+EA336</f>
        <v>0.01</v>
      </c>
      <c r="EC336" s="854">
        <f>+EC335/DZ335-1</f>
        <v>1.0000000000000009E-2</v>
      </c>
      <c r="ED336" s="848">
        <f>+EB336</f>
        <v>0.01</v>
      </c>
      <c r="EE336" s="848">
        <f>+ED336</f>
        <v>0.01</v>
      </c>
      <c r="EF336" s="854">
        <f>+EF335/EC335-1</f>
        <v>1.0000000000000009E-2</v>
      </c>
      <c r="EG336" s="848">
        <f>+EE336</f>
        <v>0.01</v>
      </c>
      <c r="EH336" s="848">
        <f>+EG336</f>
        <v>0.01</v>
      </c>
      <c r="EI336" s="854">
        <f>+EI335/EF335-1</f>
        <v>9.9999999999997868E-3</v>
      </c>
      <c r="EJ336" s="848">
        <f>+EH336</f>
        <v>0.01</v>
      </c>
      <c r="EK336" s="848">
        <f>+EJ336</f>
        <v>0.01</v>
      </c>
      <c r="EL336" s="854">
        <f>+EL335/EI335-1</f>
        <v>1.0000000000000009E-2</v>
      </c>
      <c r="EM336" s="848">
        <f>+EK336</f>
        <v>0.01</v>
      </c>
      <c r="EN336" s="848">
        <f>+EM336</f>
        <v>0.01</v>
      </c>
      <c r="EO336" s="854">
        <f>+EO335/EL335-1</f>
        <v>1.0000000000000009E-2</v>
      </c>
      <c r="EP336" s="848">
        <f>+EN336</f>
        <v>0.01</v>
      </c>
      <c r="EQ336" s="848">
        <f>+EP336</f>
        <v>0.01</v>
      </c>
      <c r="ER336" s="854">
        <f>+ER335/EO335-1</f>
        <v>1.0000000000000009E-2</v>
      </c>
      <c r="ES336" s="848">
        <f>+EQ336</f>
        <v>0.01</v>
      </c>
      <c r="ET336" s="848">
        <f>+ES336</f>
        <v>0.01</v>
      </c>
      <c r="EU336" s="854">
        <f>+EU335/ER335-1</f>
        <v>1.0000000000000009E-2</v>
      </c>
      <c r="EV336" s="848">
        <f>+ET336</f>
        <v>0.01</v>
      </c>
      <c r="EW336" s="848">
        <f>+EV336</f>
        <v>0.01</v>
      </c>
      <c r="EX336" s="854">
        <f>+EX335/EU335-1</f>
        <v>1.0000000000000009E-2</v>
      </c>
      <c r="EY336" s="848">
        <f>+EW336</f>
        <v>0.01</v>
      </c>
      <c r="EZ336" s="848">
        <f>+EY336</f>
        <v>0.01</v>
      </c>
      <c r="FA336" s="848">
        <f>+FA335/EX335-1</f>
        <v>1.0000000000000009E-2</v>
      </c>
      <c r="FH336" s="441"/>
      <c r="GB336" s="177"/>
    </row>
    <row r="337" spans="1:157" ht="13.35" customHeight="1">
      <c r="A337" s="760"/>
      <c r="B337" s="4"/>
      <c r="E337" s="251"/>
      <c r="F337" s="251"/>
      <c r="G337" s="252"/>
      <c r="H337" s="251"/>
      <c r="I337" s="251"/>
      <c r="J337" s="252"/>
      <c r="K337" s="251"/>
      <c r="L337" s="251"/>
      <c r="M337" s="252"/>
      <c r="N337" s="251"/>
      <c r="O337" s="251"/>
      <c r="P337" s="252"/>
      <c r="Q337" s="251"/>
      <c r="R337" s="251"/>
      <c r="S337" s="252"/>
      <c r="T337" s="251"/>
      <c r="U337" s="251"/>
      <c r="V337" s="252"/>
      <c r="W337" s="251"/>
      <c r="X337" s="251"/>
      <c r="Y337" s="252"/>
      <c r="Z337" s="251"/>
      <c r="AA337" s="251"/>
      <c r="AB337" s="252"/>
      <c r="AC337" s="251"/>
      <c r="AD337" s="251"/>
      <c r="AE337" s="252"/>
      <c r="AF337" s="251"/>
      <c r="AG337" s="251"/>
      <c r="AH337" s="252"/>
      <c r="AI337" s="251"/>
      <c r="AJ337" s="251"/>
      <c r="AK337" s="252"/>
      <c r="AL337" s="251"/>
      <c r="AM337" s="251"/>
      <c r="AN337" s="252"/>
      <c r="AO337" s="251"/>
      <c r="AP337" s="251"/>
      <c r="AQ337" s="252"/>
      <c r="AR337" s="251"/>
      <c r="AS337" s="251"/>
      <c r="AT337" s="252"/>
      <c r="AU337" s="251"/>
      <c r="AV337" s="251"/>
      <c r="AW337" s="252"/>
      <c r="AX337" s="251"/>
      <c r="AY337" s="251"/>
      <c r="AZ337" s="252"/>
      <c r="BA337" s="251"/>
      <c r="BB337" s="251"/>
      <c r="BC337" s="252"/>
      <c r="BD337" s="251"/>
      <c r="BE337" s="251"/>
      <c r="BF337" s="252"/>
      <c r="BG337" s="251"/>
      <c r="BH337" s="251"/>
      <c r="BI337" s="252"/>
      <c r="BJ337" s="251"/>
      <c r="BK337" s="251"/>
      <c r="BL337" s="252"/>
      <c r="BM337" s="251"/>
      <c r="BN337" s="198"/>
      <c r="BO337" s="79"/>
      <c r="BP337" s="259"/>
      <c r="BQ337" s="259"/>
      <c r="BR337" s="260"/>
      <c r="BS337" s="259"/>
      <c r="BT337" s="259"/>
      <c r="BU337" s="261"/>
      <c r="BV337" s="259"/>
      <c r="BW337" s="259"/>
      <c r="BX337" s="260"/>
      <c r="BY337" s="259"/>
      <c r="BZ337" s="259"/>
      <c r="CA337" s="260"/>
      <c r="CB337" s="259"/>
      <c r="CC337" s="259"/>
      <c r="CD337" s="260"/>
      <c r="CE337" s="259"/>
      <c r="CF337" s="259"/>
      <c r="CG337" s="260"/>
      <c r="CH337" s="259"/>
      <c r="CI337" s="259"/>
      <c r="CJ337" s="260"/>
      <c r="CK337" s="259"/>
      <c r="CL337" s="259"/>
      <c r="CM337" s="260"/>
      <c r="CN337" s="259"/>
      <c r="CO337" s="259"/>
      <c r="CP337" s="260"/>
      <c r="CQ337" s="259"/>
      <c r="CR337" s="259"/>
      <c r="CS337" s="260"/>
      <c r="CT337" s="259"/>
      <c r="CU337" s="259"/>
      <c r="CV337" s="260"/>
      <c r="CW337" s="259"/>
      <c r="CX337" s="259"/>
      <c r="CY337" s="334"/>
      <c r="CZ337" s="333"/>
      <c r="DA337" s="333"/>
      <c r="DB337" s="334"/>
      <c r="DC337" s="333"/>
      <c r="DD337" s="333"/>
      <c r="DE337" s="788"/>
      <c r="DF337" s="333"/>
      <c r="DG337" s="333"/>
      <c r="DH337" s="788"/>
      <c r="DI337" s="333"/>
      <c r="DJ337" s="333"/>
      <c r="DK337" s="700"/>
      <c r="DL337" s="333"/>
      <c r="DM337" s="333"/>
      <c r="DN337" s="700"/>
      <c r="DO337" s="333"/>
      <c r="DP337" s="333"/>
      <c r="DQ337" s="700"/>
      <c r="DR337" s="333"/>
      <c r="DS337" s="333"/>
      <c r="DT337" s="700"/>
      <c r="DU337" s="333"/>
      <c r="DV337" s="333"/>
      <c r="DW337" s="700"/>
      <c r="DX337" s="333"/>
      <c r="DY337" s="333"/>
      <c r="DZ337" s="700"/>
      <c r="EA337" s="333"/>
      <c r="EB337" s="333"/>
      <c r="EC337" s="700"/>
      <c r="ED337" s="333"/>
      <c r="EE337" s="333"/>
      <c r="EF337" s="700"/>
      <c r="EG337" s="333"/>
      <c r="EH337" s="333"/>
      <c r="EI337" s="700"/>
      <c r="EJ337" s="333"/>
      <c r="EK337" s="333"/>
      <c r="EL337" s="700"/>
      <c r="EM337" s="333"/>
      <c r="EN337" s="333"/>
      <c r="EO337" s="700"/>
      <c r="EP337" s="333"/>
      <c r="EQ337" s="333"/>
      <c r="ER337" s="700"/>
      <c r="ES337" s="333"/>
      <c r="ET337" s="333"/>
      <c r="EU337" s="700"/>
      <c r="EV337" s="333"/>
      <c r="EW337" s="333"/>
      <c r="EX337" s="700"/>
      <c r="EY337" s="333"/>
      <c r="EZ337" s="333"/>
      <c r="FA337" s="523"/>
    </row>
    <row r="338" spans="1:157" ht="13.35" customHeight="1">
      <c r="A338" s="760"/>
      <c r="B338" s="4"/>
      <c r="C338" s="177" t="s">
        <v>481</v>
      </c>
      <c r="D338" s="294" t="s">
        <v>357</v>
      </c>
      <c r="E338" s="251"/>
      <c r="F338" s="251"/>
      <c r="G338" s="252"/>
      <c r="H338" s="251"/>
      <c r="I338" s="251"/>
      <c r="J338" s="252"/>
      <c r="K338" s="251"/>
      <c r="L338" s="251"/>
      <c r="M338" s="252"/>
      <c r="N338" s="251"/>
      <c r="O338" s="251"/>
      <c r="P338" s="252"/>
      <c r="Q338" s="251"/>
      <c r="R338" s="251"/>
      <c r="S338" s="252"/>
      <c r="T338" s="251"/>
      <c r="U338" s="251"/>
      <c r="V338" s="252"/>
      <c r="W338" s="251"/>
      <c r="X338" s="251"/>
      <c r="Y338" s="252"/>
      <c r="Z338" s="251"/>
      <c r="AA338" s="251"/>
      <c r="AB338" s="252"/>
      <c r="AC338" s="251"/>
      <c r="AD338" s="251"/>
      <c r="AE338" s="252"/>
      <c r="AF338" s="251"/>
      <c r="AG338" s="251"/>
      <c r="AH338" s="252"/>
      <c r="AI338" s="251"/>
      <c r="AJ338" s="251"/>
      <c r="AK338" s="252"/>
      <c r="AL338" s="251"/>
      <c r="AM338" s="251"/>
      <c r="AN338" s="252"/>
      <c r="AO338" s="251"/>
      <c r="AP338" s="251"/>
      <c r="AQ338" s="252"/>
      <c r="AR338" s="251"/>
      <c r="AS338" s="251"/>
      <c r="AT338" s="252"/>
      <c r="AU338" s="251"/>
      <c r="AV338" s="251"/>
      <c r="AW338" s="252"/>
      <c r="AX338" s="251"/>
      <c r="AY338" s="251"/>
      <c r="AZ338" s="252"/>
      <c r="BA338" s="251"/>
      <c r="BB338" s="251"/>
      <c r="BC338" s="252"/>
      <c r="BD338" s="251"/>
      <c r="BE338" s="251"/>
      <c r="BF338" s="252"/>
      <c r="BG338" s="251"/>
      <c r="BH338" s="251"/>
      <c r="BI338" s="252"/>
      <c r="BJ338" s="251"/>
      <c r="BK338" s="251"/>
      <c r="BL338" s="252"/>
      <c r="BM338" s="251"/>
      <c r="BN338" s="198"/>
      <c r="BO338" s="79"/>
      <c r="BP338" s="259"/>
      <c r="BQ338" s="259"/>
      <c r="BR338" s="260"/>
      <c r="BS338" s="259"/>
      <c r="BT338" s="259"/>
      <c r="BU338" s="261"/>
      <c r="BV338" s="259"/>
      <c r="BW338" s="259"/>
      <c r="BX338" s="260"/>
      <c r="BY338" s="259"/>
      <c r="BZ338" s="259"/>
      <c r="CA338" s="260"/>
      <c r="CB338" s="259"/>
      <c r="CC338" s="259"/>
      <c r="CD338" s="260"/>
      <c r="CE338" s="259"/>
      <c r="CF338" s="259"/>
      <c r="CG338" s="260"/>
      <c r="CH338" s="259"/>
      <c r="CI338" s="259"/>
      <c r="CJ338" s="260"/>
      <c r="CK338" s="259"/>
      <c r="CL338" s="259"/>
      <c r="CM338" s="260"/>
      <c r="CN338" s="259"/>
      <c r="CO338" s="259"/>
      <c r="CP338" s="260"/>
      <c r="CQ338" s="259"/>
      <c r="CR338" s="259"/>
      <c r="CS338" s="260"/>
      <c r="CT338" s="259"/>
      <c r="CU338" s="198"/>
      <c r="CV338" s="253"/>
      <c r="CW338" s="198"/>
      <c r="CX338" s="198"/>
      <c r="CY338" s="521"/>
      <c r="CZ338" s="489"/>
      <c r="DA338" s="489"/>
      <c r="DB338" s="521"/>
      <c r="DC338" s="489"/>
      <c r="DD338" s="489"/>
      <c r="DE338" s="779"/>
      <c r="DF338" s="489"/>
      <c r="DG338" s="489"/>
      <c r="DH338" s="779"/>
      <c r="DI338" s="837">
        <f>+DI335-DI341</f>
        <v>37.757226560986311</v>
      </c>
      <c r="DJ338" s="837">
        <f>+DJ335-DJ341</f>
        <v>21.937651542033173</v>
      </c>
      <c r="DK338" s="828">
        <f>+SUM(DI338:DJ338)</f>
        <v>59.694878103019484</v>
      </c>
      <c r="DL338" s="837">
        <f>+DL335-DL341</f>
        <v>30.925275622850066</v>
      </c>
      <c r="DM338" s="837">
        <f>+DM335-DM341</f>
        <v>31.84258409880314</v>
      </c>
      <c r="DN338" s="828">
        <f>+SUM(DL338:DM338)</f>
        <v>62.76785972165321</v>
      </c>
      <c r="DO338" s="837">
        <f>+DO335-DO341</f>
        <v>30.8</v>
      </c>
      <c r="DP338" s="837">
        <f>+DP335-DP341</f>
        <v>30.25</v>
      </c>
      <c r="DQ338" s="828">
        <f>+SUM(DO338:DP338)</f>
        <v>61.05</v>
      </c>
      <c r="DR338" s="837">
        <f>+DR335-DR341</f>
        <v>30.25</v>
      </c>
      <c r="DS338" s="837">
        <f>+DS335-DS341</f>
        <v>28.05</v>
      </c>
      <c r="DT338" s="828">
        <f>+SUM(DR338:DS338)</f>
        <v>58.3</v>
      </c>
      <c r="DU338" s="837">
        <f>+DU335-DU341</f>
        <v>29.7</v>
      </c>
      <c r="DV338" s="837">
        <f>+DV335-DV341</f>
        <v>28.05</v>
      </c>
      <c r="DW338" s="828">
        <f>+SUM(DU338:DV338)</f>
        <v>57.75</v>
      </c>
      <c r="DX338" s="837">
        <f>+DX335-DX341</f>
        <v>26.95</v>
      </c>
      <c r="DY338" s="837">
        <f>+DY335-DY341</f>
        <v>26.086500000000001</v>
      </c>
      <c r="DZ338" s="828">
        <f>+SUM(DX338:DY338)</f>
        <v>53.036500000000004</v>
      </c>
      <c r="EA338" s="837">
        <f>+EA335-EA341</f>
        <v>27.2195</v>
      </c>
      <c r="EB338" s="837">
        <f>+EB335-EB341</f>
        <v>26.347365</v>
      </c>
      <c r="EC338" s="828">
        <f>+SUM(EA338:EB338)</f>
        <v>53.566865</v>
      </c>
      <c r="ED338" s="837">
        <f>+ED335-ED341</f>
        <v>27.491695</v>
      </c>
      <c r="EE338" s="837">
        <f>+EE335-EE341</f>
        <v>26.610838649999998</v>
      </c>
      <c r="EF338" s="828">
        <f>+SUM(ED338:EE338)</f>
        <v>54.102533649999998</v>
      </c>
      <c r="EG338" s="837">
        <f>+EG335-EG341</f>
        <v>27.766611950000001</v>
      </c>
      <c r="EH338" s="837">
        <f>+EH335-EH341</f>
        <v>26.876947036499995</v>
      </c>
      <c r="EI338" s="828">
        <f>+SUM(EG338:EH338)</f>
        <v>54.643558986499997</v>
      </c>
      <c r="EJ338" s="837">
        <f>+EJ335-EJ341</f>
        <v>28.044278069500002</v>
      </c>
      <c r="EK338" s="837">
        <f>+EK335-EK341</f>
        <v>27.145716506864996</v>
      </c>
      <c r="EL338" s="828">
        <f>+SUM(EJ338:EK338)</f>
        <v>55.189994576364995</v>
      </c>
      <c r="EM338" s="837">
        <f>+EM335-EM341</f>
        <v>28.324720850195003</v>
      </c>
      <c r="EN338" s="837">
        <f>+EN335-EN341</f>
        <v>27.417173671933647</v>
      </c>
      <c r="EO338" s="828">
        <f>+SUM(EM338:EN338)</f>
        <v>55.741894522128646</v>
      </c>
      <c r="EP338" s="837">
        <f>+EP335-EP341</f>
        <v>28.607968058696954</v>
      </c>
      <c r="EQ338" s="837">
        <f>+EQ335-EQ341</f>
        <v>27.691345408652982</v>
      </c>
      <c r="ER338" s="828">
        <f>+SUM(EP338:EQ338)</f>
        <v>56.299313467349933</v>
      </c>
      <c r="ES338" s="837">
        <f>+ES335-ES341</f>
        <v>28.894047739283923</v>
      </c>
      <c r="ET338" s="837">
        <f>+ET335-ET341</f>
        <v>27.968258862739511</v>
      </c>
      <c r="EU338" s="828">
        <f>+SUM(ES338:ET338)</f>
        <v>56.862306602023438</v>
      </c>
      <c r="EV338" s="837">
        <f>+EV335-EV341</f>
        <v>29.182988216676765</v>
      </c>
      <c r="EW338" s="837">
        <f>+EW335-EW341</f>
        <v>28.247941451366909</v>
      </c>
      <c r="EX338" s="828">
        <f>+SUM(EV338:EW338)</f>
        <v>57.430929668043674</v>
      </c>
      <c r="EY338" s="837">
        <f>+EY335-EY341</f>
        <v>29.474818098843532</v>
      </c>
      <c r="EZ338" s="837">
        <f>+EZ335-EZ341</f>
        <v>28.530420865880579</v>
      </c>
      <c r="FA338" s="840">
        <f>+SUM(EY338:EZ338)</f>
        <v>58.005238964724114</v>
      </c>
    </row>
    <row r="339" spans="1:157" ht="13.35" customHeight="1">
      <c r="A339" s="760"/>
      <c r="B339" s="4"/>
      <c r="C339" s="177" t="s">
        <v>178</v>
      </c>
      <c r="D339" s="294" t="s">
        <v>507</v>
      </c>
      <c r="E339" s="251"/>
      <c r="F339" s="251"/>
      <c r="G339" s="252"/>
      <c r="H339" s="251"/>
      <c r="I339" s="251"/>
      <c r="J339" s="252"/>
      <c r="K339" s="251"/>
      <c r="L339" s="251"/>
      <c r="M339" s="252"/>
      <c r="N339" s="251"/>
      <c r="O339" s="251"/>
      <c r="P339" s="252"/>
      <c r="Q339" s="251"/>
      <c r="R339" s="251"/>
      <c r="S339" s="252"/>
      <c r="T339" s="251"/>
      <c r="U339" s="251"/>
      <c r="V339" s="252"/>
      <c r="W339" s="251"/>
      <c r="X339" s="251"/>
      <c r="Y339" s="252"/>
      <c r="Z339" s="251"/>
      <c r="AA339" s="251"/>
      <c r="AB339" s="252"/>
      <c r="AC339" s="251"/>
      <c r="AD339" s="251"/>
      <c r="AE339" s="252"/>
      <c r="AF339" s="251"/>
      <c r="AG339" s="251"/>
      <c r="AH339" s="252"/>
      <c r="AI339" s="251"/>
      <c r="AJ339" s="251"/>
      <c r="AK339" s="252"/>
      <c r="AL339" s="251"/>
      <c r="AM339" s="251"/>
      <c r="AN339" s="252"/>
      <c r="AO339" s="251"/>
      <c r="AP339" s="251"/>
      <c r="AQ339" s="252"/>
      <c r="AR339" s="251"/>
      <c r="AS339" s="251"/>
      <c r="AT339" s="252"/>
      <c r="AU339" s="251"/>
      <c r="AV339" s="251"/>
      <c r="AW339" s="252"/>
      <c r="AX339" s="251"/>
      <c r="AY339" s="251"/>
      <c r="AZ339" s="252"/>
      <c r="BA339" s="251"/>
      <c r="BB339" s="251"/>
      <c r="BC339" s="252"/>
      <c r="BD339" s="251"/>
      <c r="BE339" s="251"/>
      <c r="BF339" s="252"/>
      <c r="BG339" s="251"/>
      <c r="BH339" s="251"/>
      <c r="BI339" s="252"/>
      <c r="BJ339" s="251"/>
      <c r="BK339" s="251"/>
      <c r="BL339" s="252"/>
      <c r="BM339" s="251"/>
      <c r="BN339" s="198"/>
      <c r="BO339" s="79"/>
      <c r="BP339" s="259"/>
      <c r="BQ339" s="259"/>
      <c r="BR339" s="260"/>
      <c r="BS339" s="259"/>
      <c r="BT339" s="259"/>
      <c r="BU339" s="261"/>
      <c r="BV339" s="259"/>
      <c r="BW339" s="259"/>
      <c r="BX339" s="260"/>
      <c r="BY339" s="259"/>
      <c r="BZ339" s="259"/>
      <c r="CA339" s="260"/>
      <c r="CB339" s="259"/>
      <c r="CC339" s="259"/>
      <c r="CD339" s="260"/>
      <c r="CE339" s="259"/>
      <c r="CF339" s="259"/>
      <c r="CG339" s="260"/>
      <c r="CH339" s="259"/>
      <c r="CI339" s="259"/>
      <c r="CJ339" s="260"/>
      <c r="CK339" s="259"/>
      <c r="CL339" s="259"/>
      <c r="CM339" s="260"/>
      <c r="CN339" s="259"/>
      <c r="CO339" s="259"/>
      <c r="CP339" s="260"/>
      <c r="CQ339" s="259"/>
      <c r="CR339" s="259"/>
      <c r="CS339" s="260"/>
      <c r="CT339" s="259"/>
      <c r="CU339" s="259"/>
      <c r="CV339" s="260"/>
      <c r="CW339" s="259"/>
      <c r="CX339" s="259"/>
      <c r="CY339" s="334"/>
      <c r="CZ339" s="333"/>
      <c r="DA339" s="333"/>
      <c r="DB339" s="334"/>
      <c r="DC339" s="333"/>
      <c r="DD339" s="333"/>
      <c r="DE339" s="788"/>
      <c r="DF339" s="333"/>
      <c r="DG339" s="333"/>
      <c r="DH339" s="717"/>
      <c r="DI339" s="333"/>
      <c r="DJ339" s="333"/>
      <c r="DK339" s="716"/>
      <c r="DL339" s="848">
        <f t="shared" ref="DL339:DZ339" si="334">DL338/DI338-1</f>
        <v>-0.18094419427499864</v>
      </c>
      <c r="DM339" s="848">
        <f t="shared" si="334"/>
        <v>0.45150377823222465</v>
      </c>
      <c r="DN339" s="842">
        <f t="shared" si="334"/>
        <v>5.1478145467195313E-2</v>
      </c>
      <c r="DO339" s="848">
        <f t="shared" si="334"/>
        <v>-4.0509137049533628E-3</v>
      </c>
      <c r="DP339" s="848">
        <f t="shared" si="334"/>
        <v>-5.0014285708143924E-2</v>
      </c>
      <c r="DQ339" s="842">
        <f t="shared" si="334"/>
        <v>-2.7368461012867717E-2</v>
      </c>
      <c r="DR339" s="848">
        <f t="shared" si="334"/>
        <v>-1.7857142857142905E-2</v>
      </c>
      <c r="DS339" s="848">
        <f t="shared" si="334"/>
        <v>-7.2727272727272751E-2</v>
      </c>
      <c r="DT339" s="842">
        <f t="shared" si="334"/>
        <v>-4.5045045045045029E-2</v>
      </c>
      <c r="DU339" s="848">
        <f t="shared" si="334"/>
        <v>-1.8181818181818188E-2</v>
      </c>
      <c r="DV339" s="848">
        <f>DV338/DS338-1</f>
        <v>0</v>
      </c>
      <c r="DW339" s="842">
        <f>DW338/DT338-1</f>
        <v>-9.4339622641509413E-3</v>
      </c>
      <c r="DX339" s="848">
        <f t="shared" si="334"/>
        <v>-9.259259259259256E-2</v>
      </c>
      <c r="DY339" s="848">
        <f t="shared" si="334"/>
        <v>-6.9999999999999951E-2</v>
      </c>
      <c r="DZ339" s="842">
        <f t="shared" si="334"/>
        <v>-8.1619047619047591E-2</v>
      </c>
      <c r="EA339" s="848">
        <f t="shared" ref="EA339:EF339" si="335">EA338/DX338-1</f>
        <v>1.0000000000000009E-2</v>
      </c>
      <c r="EB339" s="848">
        <f t="shared" si="335"/>
        <v>1.0000000000000009E-2</v>
      </c>
      <c r="EC339" s="842">
        <f t="shared" si="335"/>
        <v>1.0000000000000009E-2</v>
      </c>
      <c r="ED339" s="848">
        <f t="shared" si="335"/>
        <v>1.0000000000000009E-2</v>
      </c>
      <c r="EE339" s="848">
        <f t="shared" si="335"/>
        <v>1.0000000000000009E-2</v>
      </c>
      <c r="EF339" s="842">
        <f t="shared" si="335"/>
        <v>1.0000000000000009E-2</v>
      </c>
      <c r="EG339" s="848">
        <f t="shared" ref="EG339:EL339" si="336">EG338/ED338-1</f>
        <v>1.0000000000000009E-2</v>
      </c>
      <c r="EH339" s="848">
        <f t="shared" si="336"/>
        <v>1.0000000000000009E-2</v>
      </c>
      <c r="EI339" s="842">
        <f t="shared" si="336"/>
        <v>1.0000000000000009E-2</v>
      </c>
      <c r="EJ339" s="848">
        <f t="shared" si="336"/>
        <v>1.0000000000000009E-2</v>
      </c>
      <c r="EK339" s="848">
        <f t="shared" si="336"/>
        <v>1.0000000000000009E-2</v>
      </c>
      <c r="EL339" s="842">
        <f t="shared" si="336"/>
        <v>1.0000000000000009E-2</v>
      </c>
      <c r="EM339" s="848">
        <f t="shared" ref="EM339:FA339" si="337">EM338/EJ338-1</f>
        <v>1.0000000000000009E-2</v>
      </c>
      <c r="EN339" s="848">
        <f t="shared" si="337"/>
        <v>1.0000000000000009E-2</v>
      </c>
      <c r="EO339" s="842">
        <f t="shared" si="337"/>
        <v>1.0000000000000009E-2</v>
      </c>
      <c r="EP339" s="848">
        <f t="shared" si="337"/>
        <v>1.0000000000000009E-2</v>
      </c>
      <c r="EQ339" s="848">
        <f t="shared" si="337"/>
        <v>1.0000000000000009E-2</v>
      </c>
      <c r="ER339" s="842">
        <f t="shared" si="337"/>
        <v>1.0000000000000009E-2</v>
      </c>
      <c r="ES339" s="848">
        <f t="shared" si="337"/>
        <v>1.0000000000000009E-2</v>
      </c>
      <c r="ET339" s="848">
        <f t="shared" si="337"/>
        <v>1.0000000000000009E-2</v>
      </c>
      <c r="EU339" s="842">
        <f t="shared" si="337"/>
        <v>1.0000000000000009E-2</v>
      </c>
      <c r="EV339" s="848">
        <f t="shared" si="337"/>
        <v>1.0000000000000009E-2</v>
      </c>
      <c r="EW339" s="848">
        <f t="shared" si="337"/>
        <v>1.0000000000000231E-2</v>
      </c>
      <c r="EX339" s="842">
        <f t="shared" si="337"/>
        <v>1.0000000000000009E-2</v>
      </c>
      <c r="EY339" s="848">
        <f t="shared" si="337"/>
        <v>1.0000000000000009E-2</v>
      </c>
      <c r="EZ339" s="848">
        <f t="shared" si="337"/>
        <v>1.0000000000000009E-2</v>
      </c>
      <c r="FA339" s="849">
        <f t="shared" si="337"/>
        <v>1.0000000000000009E-2</v>
      </c>
    </row>
    <row r="340" spans="1:157" ht="13.35" customHeight="1">
      <c r="A340" s="760"/>
      <c r="B340" s="4"/>
      <c r="E340" s="251"/>
      <c r="F340" s="251"/>
      <c r="G340" s="252"/>
      <c r="H340" s="251"/>
      <c r="I340" s="251"/>
      <c r="J340" s="252"/>
      <c r="K340" s="251"/>
      <c r="L340" s="251"/>
      <c r="M340" s="252"/>
      <c r="N340" s="251"/>
      <c r="O340" s="251"/>
      <c r="P340" s="252"/>
      <c r="Q340" s="251"/>
      <c r="R340" s="251"/>
      <c r="S340" s="252"/>
      <c r="T340" s="251"/>
      <c r="U340" s="251"/>
      <c r="V340" s="252"/>
      <c r="W340" s="251"/>
      <c r="X340" s="251"/>
      <c r="Y340" s="252"/>
      <c r="Z340" s="251"/>
      <c r="AA340" s="251"/>
      <c r="AB340" s="252"/>
      <c r="AC340" s="251"/>
      <c r="AD340" s="251"/>
      <c r="AE340" s="252"/>
      <c r="AF340" s="251"/>
      <c r="AG340" s="251"/>
      <c r="AH340" s="252"/>
      <c r="AI340" s="251"/>
      <c r="AJ340" s="251"/>
      <c r="AK340" s="252"/>
      <c r="AL340" s="251"/>
      <c r="AM340" s="251"/>
      <c r="AN340" s="252"/>
      <c r="AO340" s="251"/>
      <c r="AP340" s="251"/>
      <c r="AQ340" s="252"/>
      <c r="AR340" s="251"/>
      <c r="AS340" s="251"/>
      <c r="AT340" s="252"/>
      <c r="AU340" s="251"/>
      <c r="AV340" s="251"/>
      <c r="AW340" s="252"/>
      <c r="AX340" s="251"/>
      <c r="AY340" s="251"/>
      <c r="AZ340" s="252"/>
      <c r="BA340" s="251"/>
      <c r="BB340" s="251"/>
      <c r="BC340" s="252"/>
      <c r="BD340" s="251"/>
      <c r="BE340" s="251"/>
      <c r="BF340" s="252"/>
      <c r="BG340" s="251"/>
      <c r="BH340" s="251"/>
      <c r="BI340" s="252"/>
      <c r="BJ340" s="251"/>
      <c r="BK340" s="251"/>
      <c r="BL340" s="252"/>
      <c r="BM340" s="251"/>
      <c r="BN340" s="198"/>
      <c r="BO340" s="79"/>
      <c r="BP340" s="259"/>
      <c r="BQ340" s="259"/>
      <c r="BR340" s="260"/>
      <c r="BS340" s="259"/>
      <c r="BT340" s="259"/>
      <c r="BU340" s="261"/>
      <c r="BV340" s="259"/>
      <c r="BW340" s="259"/>
      <c r="BX340" s="260"/>
      <c r="BY340" s="259"/>
      <c r="BZ340" s="259"/>
      <c r="CA340" s="260"/>
      <c r="CB340" s="259"/>
      <c r="CC340" s="259"/>
      <c r="CD340" s="260"/>
      <c r="CE340" s="259"/>
      <c r="CF340" s="259"/>
      <c r="CG340" s="260"/>
      <c r="CH340" s="259"/>
      <c r="CI340" s="259"/>
      <c r="CJ340" s="260"/>
      <c r="CK340" s="259"/>
      <c r="CL340" s="259"/>
      <c r="CM340" s="260"/>
      <c r="CN340" s="259"/>
      <c r="CO340" s="259"/>
      <c r="CP340" s="260"/>
      <c r="CQ340" s="259"/>
      <c r="CR340" s="259"/>
      <c r="CS340" s="260"/>
      <c r="CT340" s="259"/>
      <c r="CU340" s="259"/>
      <c r="CV340" s="260"/>
      <c r="CW340" s="259"/>
      <c r="CX340" s="259"/>
      <c r="CY340" s="334"/>
      <c r="CZ340" s="333"/>
      <c r="DA340" s="333"/>
      <c r="DB340" s="334"/>
      <c r="DC340" s="333"/>
      <c r="DD340" s="333"/>
      <c r="DE340" s="788"/>
      <c r="DF340" s="333"/>
      <c r="DG340" s="333"/>
      <c r="DH340" s="788"/>
      <c r="DI340" s="333"/>
      <c r="DJ340" s="333"/>
      <c r="DK340" s="700"/>
      <c r="DL340" s="333"/>
      <c r="DM340" s="333"/>
      <c r="DN340" s="700"/>
      <c r="DO340" s="333"/>
      <c r="DP340" s="333"/>
      <c r="DQ340" s="700"/>
      <c r="DR340" s="333"/>
      <c r="DS340" s="333"/>
      <c r="DT340" s="700"/>
      <c r="DU340" s="333"/>
      <c r="DV340" s="333"/>
      <c r="DW340" s="700"/>
      <c r="DX340" s="333"/>
      <c r="DY340" s="333"/>
      <c r="DZ340" s="700"/>
      <c r="EA340" s="333"/>
      <c r="EB340" s="333"/>
      <c r="EC340" s="700"/>
      <c r="ED340" s="333"/>
      <c r="EE340" s="333"/>
      <c r="EF340" s="700"/>
      <c r="EG340" s="333"/>
      <c r="EH340" s="333"/>
      <c r="EI340" s="700"/>
      <c r="EJ340" s="333"/>
      <c r="EK340" s="333"/>
      <c r="EL340" s="700"/>
      <c r="EM340" s="333"/>
      <c r="EN340" s="333"/>
      <c r="EO340" s="700"/>
      <c r="EP340" s="333"/>
      <c r="EQ340" s="333"/>
      <c r="ER340" s="700"/>
      <c r="ES340" s="333"/>
      <c r="ET340" s="333"/>
      <c r="EU340" s="700"/>
      <c r="EV340" s="333"/>
      <c r="EW340" s="333"/>
      <c r="EX340" s="700"/>
      <c r="EY340" s="333"/>
      <c r="EZ340" s="333"/>
      <c r="FA340" s="523"/>
    </row>
    <row r="341" spans="1:157" ht="13.35" customHeight="1">
      <c r="A341" s="760"/>
      <c r="B341" s="4"/>
      <c r="C341" s="177" t="s">
        <v>38</v>
      </c>
      <c r="D341" s="294" t="s">
        <v>357</v>
      </c>
      <c r="E341" s="251"/>
      <c r="F341" s="251"/>
      <c r="G341" s="252"/>
      <c r="H341" s="251"/>
      <c r="I341" s="251"/>
      <c r="J341" s="252"/>
      <c r="K341" s="251"/>
      <c r="L341" s="251"/>
      <c r="M341" s="252"/>
      <c r="N341" s="251"/>
      <c r="O341" s="251"/>
      <c r="P341" s="252"/>
      <c r="Q341" s="251"/>
      <c r="R341" s="251"/>
      <c r="S341" s="252"/>
      <c r="T341" s="251"/>
      <c r="U341" s="251"/>
      <c r="V341" s="252"/>
      <c r="W341" s="251"/>
      <c r="X341" s="251"/>
      <c r="Y341" s="252"/>
      <c r="Z341" s="251"/>
      <c r="AA341" s="251"/>
      <c r="AB341" s="252"/>
      <c r="AC341" s="251"/>
      <c r="AD341" s="251"/>
      <c r="AE341" s="252"/>
      <c r="AF341" s="251"/>
      <c r="AG341" s="251"/>
      <c r="AH341" s="252"/>
      <c r="AI341" s="251"/>
      <c r="AJ341" s="251"/>
      <c r="AK341" s="252"/>
      <c r="AL341" s="251"/>
      <c r="AM341" s="251"/>
      <c r="AN341" s="252"/>
      <c r="AO341" s="251"/>
      <c r="AP341" s="251"/>
      <c r="AQ341" s="252"/>
      <c r="AR341" s="251"/>
      <c r="AS341" s="251"/>
      <c r="AT341" s="252"/>
      <c r="AU341" s="251"/>
      <c r="AV341" s="251"/>
      <c r="AW341" s="252"/>
      <c r="AX341" s="251"/>
      <c r="AY341" s="251"/>
      <c r="AZ341" s="252"/>
      <c r="BA341" s="251"/>
      <c r="BB341" s="251"/>
      <c r="BC341" s="252"/>
      <c r="BD341" s="251"/>
      <c r="BE341" s="251"/>
      <c r="BF341" s="252"/>
      <c r="BG341" s="251"/>
      <c r="BH341" s="251"/>
      <c r="BI341" s="252"/>
      <c r="BJ341" s="251"/>
      <c r="BK341" s="251"/>
      <c r="BL341" s="252"/>
      <c r="BM341" s="251"/>
      <c r="BN341" s="198"/>
      <c r="BO341" s="79"/>
      <c r="BP341" s="259"/>
      <c r="BQ341" s="259"/>
      <c r="BR341" s="260"/>
      <c r="BS341" s="259"/>
      <c r="BT341" s="259"/>
      <c r="BU341" s="261"/>
      <c r="BV341" s="259"/>
      <c r="BW341" s="259"/>
      <c r="BX341" s="260"/>
      <c r="BY341" s="259"/>
      <c r="BZ341" s="259"/>
      <c r="CA341" s="260"/>
      <c r="CB341" s="259"/>
      <c r="CC341" s="259"/>
      <c r="CD341" s="260"/>
      <c r="CE341" s="259"/>
      <c r="CF341" s="259"/>
      <c r="CG341" s="260"/>
      <c r="CH341" s="259"/>
      <c r="CI341" s="259"/>
      <c r="CJ341" s="260"/>
      <c r="CK341" s="259"/>
      <c r="CL341" s="259"/>
      <c r="CM341" s="260"/>
      <c r="CN341" s="259"/>
      <c r="CO341" s="259"/>
      <c r="CP341" s="260"/>
      <c r="CQ341" s="259"/>
      <c r="CR341" s="259"/>
      <c r="CS341" s="260"/>
      <c r="CT341" s="259"/>
      <c r="CU341" s="198"/>
      <c r="CV341" s="253"/>
      <c r="CW341" s="198"/>
      <c r="CX341" s="198"/>
      <c r="CY341" s="521"/>
      <c r="CZ341" s="489"/>
      <c r="DA341" s="489"/>
      <c r="DB341" s="521"/>
      <c r="DC341" s="489"/>
      <c r="DD341" s="489"/>
      <c r="DE341" s="779"/>
      <c r="DF341" s="489"/>
      <c r="DG341" s="489"/>
      <c r="DH341" s="779"/>
      <c r="DI341" s="837">
        <f>+DI335*DI342</f>
        <v>30.89227627717062</v>
      </c>
      <c r="DJ341" s="837">
        <f>+DJ335*DJ342</f>
        <v>17.948987625299871</v>
      </c>
      <c r="DK341" s="828">
        <f>+SUM(DI341:DJ341)</f>
        <v>48.841263902470487</v>
      </c>
      <c r="DL341" s="837">
        <f>+DL335*DL342</f>
        <v>25.302498236877327</v>
      </c>
      <c r="DM341" s="837">
        <f>+DM335*DM342</f>
        <v>26.053023353566207</v>
      </c>
      <c r="DN341" s="828">
        <f>+SUM(DL341:DM341)</f>
        <v>51.35552159044353</v>
      </c>
      <c r="DO341" s="837">
        <f>+DO335*DO342</f>
        <v>25.2</v>
      </c>
      <c r="DP341" s="837">
        <f>+DP335*DP342</f>
        <v>24.75</v>
      </c>
      <c r="DQ341" s="828">
        <f>+SUM(DO341:DP341)</f>
        <v>49.95</v>
      </c>
      <c r="DR341" s="837">
        <f>+DR335*DR342</f>
        <v>24.75</v>
      </c>
      <c r="DS341" s="837">
        <f>+DS335*DS342</f>
        <v>22.95</v>
      </c>
      <c r="DT341" s="828">
        <f>+SUM(DR341:DS341)</f>
        <v>47.7</v>
      </c>
      <c r="DU341" s="837">
        <f>+DU335*DU342</f>
        <v>24.3</v>
      </c>
      <c r="DV341" s="837">
        <f>+DV335*DV342</f>
        <v>22.95</v>
      </c>
      <c r="DW341" s="828">
        <f>+SUM(DU341:DV341)</f>
        <v>47.25</v>
      </c>
      <c r="DX341" s="837">
        <f>+DX335*DX342</f>
        <v>22.05</v>
      </c>
      <c r="DY341" s="837">
        <f>+DY335*DY342</f>
        <v>21.343499999999999</v>
      </c>
      <c r="DZ341" s="828">
        <f>+SUM(DX341:DY341)</f>
        <v>43.393500000000003</v>
      </c>
      <c r="EA341" s="837">
        <f>+EA335*EA342</f>
        <v>22.270500000000002</v>
      </c>
      <c r="EB341" s="837">
        <f>+EB335*EB342</f>
        <v>21.556934999999999</v>
      </c>
      <c r="EC341" s="828">
        <f>+SUM(EA341:EB341)</f>
        <v>43.827435000000001</v>
      </c>
      <c r="ED341" s="837">
        <f>+ED335*ED342</f>
        <v>22.493205000000003</v>
      </c>
      <c r="EE341" s="837">
        <f>+EE335*EE342</f>
        <v>21.772504349999998</v>
      </c>
      <c r="EF341" s="828">
        <f>+SUM(ED341:EE341)</f>
        <v>44.265709350000002</v>
      </c>
      <c r="EG341" s="837">
        <f>+EG335*EG342</f>
        <v>22.718137049999999</v>
      </c>
      <c r="EH341" s="837">
        <f>+EH335*EH342</f>
        <v>21.990229393499998</v>
      </c>
      <c r="EI341" s="828">
        <f>+SUM(EG341:EH341)</f>
        <v>44.708366443499997</v>
      </c>
      <c r="EJ341" s="837">
        <f>+EJ335*EJ342</f>
        <v>22.945318420500001</v>
      </c>
      <c r="EK341" s="837">
        <f>+EK335*EK342</f>
        <v>22.210131687434998</v>
      </c>
      <c r="EL341" s="828">
        <f>+SUM(EJ341:EK341)</f>
        <v>45.155450107934996</v>
      </c>
      <c r="EM341" s="837">
        <f>+EM335*EM342</f>
        <v>23.174771604705004</v>
      </c>
      <c r="EN341" s="837">
        <f>+EN335*EN342</f>
        <v>22.432233004309346</v>
      </c>
      <c r="EO341" s="828">
        <f>+SUM(EM341:EN341)</f>
        <v>45.607004609014353</v>
      </c>
      <c r="EP341" s="837">
        <f>+EP335*EP342</f>
        <v>23.406519320752054</v>
      </c>
      <c r="EQ341" s="837">
        <f>+EQ335*EQ342</f>
        <v>22.656555334352444</v>
      </c>
      <c r="ER341" s="828">
        <f>+SUM(EP341:EQ341)</f>
        <v>46.063074655104501</v>
      </c>
      <c r="ES341" s="837">
        <f>+ES335*ES342</f>
        <v>23.640584513959578</v>
      </c>
      <c r="ET341" s="837">
        <f>+ET335*ET342</f>
        <v>22.883120887695966</v>
      </c>
      <c r="EU341" s="828">
        <f>+SUM(ES341:ET341)</f>
        <v>46.523705401655548</v>
      </c>
      <c r="EV341" s="837">
        <f>+EV335*EV342</f>
        <v>23.876990359099171</v>
      </c>
      <c r="EW341" s="837">
        <f>+EW335*EW342</f>
        <v>23.111952096572924</v>
      </c>
      <c r="EX341" s="828">
        <f>+SUM(EV341:EW341)</f>
        <v>46.988942455672095</v>
      </c>
      <c r="EY341" s="837">
        <f>+EY335*EY342</f>
        <v>24.115760262690163</v>
      </c>
      <c r="EZ341" s="837">
        <f>+EZ335*EZ342</f>
        <v>23.343071617538655</v>
      </c>
      <c r="FA341" s="840">
        <f>+SUM(EY341:EZ341)</f>
        <v>47.458831880228814</v>
      </c>
    </row>
    <row r="342" spans="1:157" ht="13.35" customHeight="1">
      <c r="A342" s="760"/>
      <c r="B342" s="4"/>
      <c r="C342" s="177" t="s">
        <v>212</v>
      </c>
      <c r="D342" s="294" t="s">
        <v>507</v>
      </c>
      <c r="E342" s="251"/>
      <c r="F342" s="251"/>
      <c r="G342" s="252"/>
      <c r="H342" s="251"/>
      <c r="I342" s="251"/>
      <c r="J342" s="252"/>
      <c r="K342" s="251"/>
      <c r="L342" s="251"/>
      <c r="M342" s="252"/>
      <c r="N342" s="251"/>
      <c r="O342" s="251"/>
      <c r="P342" s="252"/>
      <c r="Q342" s="251"/>
      <c r="R342" s="251"/>
      <c r="S342" s="252"/>
      <c r="T342" s="251"/>
      <c r="U342" s="251"/>
      <c r="V342" s="252"/>
      <c r="W342" s="251"/>
      <c r="X342" s="251"/>
      <c r="Y342" s="252"/>
      <c r="Z342" s="251"/>
      <c r="AA342" s="251"/>
      <c r="AB342" s="252"/>
      <c r="AC342" s="251"/>
      <c r="AD342" s="251"/>
      <c r="AE342" s="252"/>
      <c r="AF342" s="251"/>
      <c r="AG342" s="251"/>
      <c r="AH342" s="252"/>
      <c r="AI342" s="251"/>
      <c r="AJ342" s="251"/>
      <c r="AK342" s="252"/>
      <c r="AL342" s="251"/>
      <c r="AM342" s="251"/>
      <c r="AN342" s="252"/>
      <c r="AO342" s="251"/>
      <c r="AP342" s="251"/>
      <c r="AQ342" s="252"/>
      <c r="AR342" s="251"/>
      <c r="AS342" s="251"/>
      <c r="AT342" s="252"/>
      <c r="AU342" s="251"/>
      <c r="AV342" s="251"/>
      <c r="AW342" s="252"/>
      <c r="AX342" s="251"/>
      <c r="AY342" s="251"/>
      <c r="AZ342" s="252"/>
      <c r="BA342" s="251"/>
      <c r="BB342" s="251"/>
      <c r="BC342" s="252"/>
      <c r="BD342" s="251"/>
      <c r="BE342" s="251"/>
      <c r="BF342" s="252"/>
      <c r="BG342" s="251"/>
      <c r="BH342" s="251"/>
      <c r="BI342" s="252"/>
      <c r="BJ342" s="251"/>
      <c r="BK342" s="251"/>
      <c r="BL342" s="252"/>
      <c r="BM342" s="251"/>
      <c r="BN342" s="198"/>
      <c r="BO342" s="79"/>
      <c r="BP342" s="259"/>
      <c r="BQ342" s="259"/>
      <c r="BR342" s="260"/>
      <c r="BS342" s="259"/>
      <c r="BT342" s="259"/>
      <c r="BU342" s="261"/>
      <c r="BV342" s="259"/>
      <c r="BW342" s="259"/>
      <c r="BX342" s="260"/>
      <c r="BY342" s="259"/>
      <c r="BZ342" s="259"/>
      <c r="CA342" s="260"/>
      <c r="CB342" s="259"/>
      <c r="CC342" s="259"/>
      <c r="CD342" s="260"/>
      <c r="CE342" s="259"/>
      <c r="CF342" s="259"/>
      <c r="CG342" s="260"/>
      <c r="CH342" s="259"/>
      <c r="CI342" s="259"/>
      <c r="CJ342" s="260"/>
      <c r="CK342" s="259"/>
      <c r="CL342" s="259"/>
      <c r="CM342" s="260"/>
      <c r="CN342" s="259"/>
      <c r="CO342" s="259"/>
      <c r="CP342" s="260"/>
      <c r="CQ342" s="259"/>
      <c r="CR342" s="259"/>
      <c r="CS342" s="260"/>
      <c r="CT342" s="259"/>
      <c r="CU342" s="259"/>
      <c r="CV342" s="260"/>
      <c r="CW342" s="259"/>
      <c r="CX342" s="259"/>
      <c r="CY342" s="334"/>
      <c r="CZ342" s="333"/>
      <c r="DA342" s="333"/>
      <c r="DB342" s="334"/>
      <c r="DC342" s="333"/>
      <c r="DD342" s="333"/>
      <c r="DE342" s="788"/>
      <c r="DF342" s="333"/>
      <c r="DG342" s="333"/>
      <c r="DH342" s="717"/>
      <c r="DI342" s="853">
        <v>0.45</v>
      </c>
      <c r="DJ342" s="848">
        <f>+DI342</f>
        <v>0.45</v>
      </c>
      <c r="DK342" s="842">
        <f>+DK341/DK335</f>
        <v>0.44999999999999996</v>
      </c>
      <c r="DL342" s="848">
        <f>+DJ342</f>
        <v>0.45</v>
      </c>
      <c r="DM342" s="848">
        <f>+DL342</f>
        <v>0.45</v>
      </c>
      <c r="DN342" s="842">
        <f>+DN341/DN335</f>
        <v>0.44999999999999996</v>
      </c>
      <c r="DO342" s="848">
        <f>+DM342</f>
        <v>0.45</v>
      </c>
      <c r="DP342" s="848">
        <f>+DO342</f>
        <v>0.45</v>
      </c>
      <c r="DQ342" s="842">
        <f>+DQ341/DQ335</f>
        <v>0.45</v>
      </c>
      <c r="DR342" s="848">
        <f>+DP342</f>
        <v>0.45</v>
      </c>
      <c r="DS342" s="848">
        <f>+DR342</f>
        <v>0.45</v>
      </c>
      <c r="DT342" s="842">
        <f>+DT341/DT335</f>
        <v>0.45</v>
      </c>
      <c r="DU342" s="848">
        <f>+DS342</f>
        <v>0.45</v>
      </c>
      <c r="DV342" s="848">
        <f>+DU342</f>
        <v>0.45</v>
      </c>
      <c r="DW342" s="842">
        <f>+DW341/DW335</f>
        <v>0.45</v>
      </c>
      <c r="DX342" s="848">
        <f>+DV342</f>
        <v>0.45</v>
      </c>
      <c r="DY342" s="848">
        <f>+DX342</f>
        <v>0.45</v>
      </c>
      <c r="DZ342" s="842">
        <f>+DZ341/DZ335</f>
        <v>0.45</v>
      </c>
      <c r="EA342" s="848">
        <f>+DY342</f>
        <v>0.45</v>
      </c>
      <c r="EB342" s="848">
        <f>+EA342</f>
        <v>0.45</v>
      </c>
      <c r="EC342" s="842">
        <f>+EC341/EC335</f>
        <v>0.45</v>
      </c>
      <c r="ED342" s="848">
        <f>+EB342</f>
        <v>0.45</v>
      </c>
      <c r="EE342" s="848">
        <f>+ED342</f>
        <v>0.45</v>
      </c>
      <c r="EF342" s="842">
        <f>+EF341/EF335</f>
        <v>0.45</v>
      </c>
      <c r="EG342" s="848">
        <f>+EE342</f>
        <v>0.45</v>
      </c>
      <c r="EH342" s="848">
        <f>+EG342</f>
        <v>0.45</v>
      </c>
      <c r="EI342" s="842">
        <f>+EI341/EI335</f>
        <v>0.45</v>
      </c>
      <c r="EJ342" s="848">
        <f>+EH342</f>
        <v>0.45</v>
      </c>
      <c r="EK342" s="848">
        <f>+EJ342</f>
        <v>0.45</v>
      </c>
      <c r="EL342" s="842">
        <f>+EL341/EL335</f>
        <v>0.45</v>
      </c>
      <c r="EM342" s="848">
        <f>+EK342</f>
        <v>0.45</v>
      </c>
      <c r="EN342" s="848">
        <f>+EM342</f>
        <v>0.45</v>
      </c>
      <c r="EO342" s="842">
        <f>+EO341/EO335</f>
        <v>0.45</v>
      </c>
      <c r="EP342" s="848">
        <f>+EN342</f>
        <v>0.45</v>
      </c>
      <c r="EQ342" s="848">
        <f>+EP342</f>
        <v>0.45</v>
      </c>
      <c r="ER342" s="842">
        <f>+ER341/ER335</f>
        <v>0.45000000000000007</v>
      </c>
      <c r="ES342" s="848">
        <f>+EQ342</f>
        <v>0.45</v>
      </c>
      <c r="ET342" s="848">
        <f>+ES342</f>
        <v>0.45</v>
      </c>
      <c r="EU342" s="842">
        <f>+EU341/EU335</f>
        <v>0.45000000000000007</v>
      </c>
      <c r="EV342" s="848">
        <f>+ET342</f>
        <v>0.45</v>
      </c>
      <c r="EW342" s="848">
        <f>+EV342</f>
        <v>0.45</v>
      </c>
      <c r="EX342" s="842">
        <f>+EX341/EX335</f>
        <v>0.44999999999999996</v>
      </c>
      <c r="EY342" s="848">
        <f>+EW342</f>
        <v>0.45</v>
      </c>
      <c r="EZ342" s="848">
        <f>+EY342</f>
        <v>0.45</v>
      </c>
      <c r="FA342" s="849">
        <f>+FA341/FA335</f>
        <v>0.44999999999999996</v>
      </c>
    </row>
    <row r="343" spans="1:157" ht="13.35" customHeight="1">
      <c r="A343" s="760"/>
      <c r="B343" s="4"/>
      <c r="E343" s="251"/>
      <c r="F343" s="251"/>
      <c r="G343" s="252"/>
      <c r="H343" s="251"/>
      <c r="I343" s="251"/>
      <c r="J343" s="252"/>
      <c r="K343" s="251"/>
      <c r="L343" s="251"/>
      <c r="M343" s="252"/>
      <c r="N343" s="251"/>
      <c r="O343" s="251"/>
      <c r="P343" s="252"/>
      <c r="Q343" s="251"/>
      <c r="R343" s="251"/>
      <c r="S343" s="252"/>
      <c r="T343" s="251"/>
      <c r="U343" s="251"/>
      <c r="V343" s="252"/>
      <c r="W343" s="251"/>
      <c r="X343" s="251"/>
      <c r="Y343" s="252"/>
      <c r="Z343" s="251"/>
      <c r="AA343" s="251"/>
      <c r="AB343" s="252"/>
      <c r="AC343" s="251"/>
      <c r="AD343" s="251"/>
      <c r="AE343" s="252"/>
      <c r="AF343" s="251"/>
      <c r="AG343" s="251"/>
      <c r="AH343" s="252"/>
      <c r="AI343" s="251"/>
      <c r="AJ343" s="251"/>
      <c r="AK343" s="252"/>
      <c r="AL343" s="251"/>
      <c r="AM343" s="251"/>
      <c r="AN343" s="252"/>
      <c r="AO343" s="251"/>
      <c r="AP343" s="251"/>
      <c r="AQ343" s="252"/>
      <c r="AR343" s="251"/>
      <c r="AS343" s="251"/>
      <c r="AT343" s="252"/>
      <c r="AU343" s="251"/>
      <c r="AV343" s="251"/>
      <c r="AW343" s="252"/>
      <c r="AX343" s="251"/>
      <c r="AY343" s="251"/>
      <c r="AZ343" s="252"/>
      <c r="BA343" s="251"/>
      <c r="BB343" s="251"/>
      <c r="BC343" s="252"/>
      <c r="BD343" s="251"/>
      <c r="BE343" s="251"/>
      <c r="BF343" s="252"/>
      <c r="BG343" s="251"/>
      <c r="BH343" s="251"/>
      <c r="BI343" s="252"/>
      <c r="BJ343" s="251"/>
      <c r="BK343" s="251"/>
      <c r="BL343" s="252"/>
      <c r="BM343" s="251"/>
      <c r="BN343" s="198"/>
      <c r="BO343" s="79"/>
      <c r="BP343" s="259"/>
      <c r="BQ343" s="259"/>
      <c r="BR343" s="260"/>
      <c r="BS343" s="259"/>
      <c r="BT343" s="259"/>
      <c r="BU343" s="261"/>
      <c r="BV343" s="259"/>
      <c r="BW343" s="259"/>
      <c r="BX343" s="260"/>
      <c r="BY343" s="259"/>
      <c r="BZ343" s="259"/>
      <c r="CA343" s="260"/>
      <c r="CB343" s="259"/>
      <c r="CC343" s="259"/>
      <c r="CD343" s="260"/>
      <c r="CE343" s="259"/>
      <c r="CF343" s="259"/>
      <c r="CG343" s="260"/>
      <c r="CH343" s="259"/>
      <c r="CI343" s="259"/>
      <c r="CJ343" s="260"/>
      <c r="CK343" s="259"/>
      <c r="CL343" s="259"/>
      <c r="CM343" s="260"/>
      <c r="CN343" s="259"/>
      <c r="CO343" s="259"/>
      <c r="CP343" s="260"/>
      <c r="CQ343" s="259"/>
      <c r="CR343" s="259"/>
      <c r="CS343" s="260"/>
      <c r="CT343" s="259"/>
      <c r="CU343" s="259"/>
      <c r="CV343" s="260"/>
      <c r="CW343" s="259"/>
      <c r="CX343" s="259"/>
      <c r="CY343" s="334"/>
      <c r="CZ343" s="333"/>
      <c r="DA343" s="333"/>
      <c r="DB343" s="334"/>
      <c r="DC343" s="333"/>
      <c r="DD343" s="333"/>
      <c r="DE343" s="788"/>
      <c r="DF343" s="333"/>
      <c r="DG343" s="333"/>
      <c r="DH343" s="788"/>
      <c r="DI343" s="333"/>
      <c r="DJ343" s="333"/>
      <c r="DK343" s="700"/>
      <c r="DL343" s="333"/>
      <c r="DM343" s="333"/>
      <c r="DN343" s="700"/>
      <c r="DO343" s="333"/>
      <c r="DP343" s="333"/>
      <c r="DQ343" s="700"/>
      <c r="DR343" s="333"/>
      <c r="DS343" s="333"/>
      <c r="DT343" s="700"/>
      <c r="DU343" s="333"/>
      <c r="DV343" s="333"/>
      <c r="DW343" s="700"/>
      <c r="DX343" s="333"/>
      <c r="DY343" s="333"/>
      <c r="DZ343" s="700"/>
      <c r="EA343" s="333"/>
      <c r="EB343" s="333"/>
      <c r="EC343" s="700"/>
      <c r="ED343" s="333"/>
      <c r="EE343" s="333"/>
      <c r="EF343" s="700"/>
      <c r="EG343" s="333"/>
      <c r="EH343" s="333"/>
      <c r="EI343" s="700"/>
      <c r="EJ343" s="333"/>
      <c r="EK343" s="333"/>
      <c r="EL343" s="700"/>
      <c r="EM343" s="333"/>
      <c r="EN343" s="333"/>
      <c r="EO343" s="700"/>
      <c r="EP343" s="333"/>
      <c r="EQ343" s="333"/>
      <c r="ER343" s="700"/>
      <c r="ES343" s="333"/>
      <c r="ET343" s="333"/>
      <c r="EU343" s="700"/>
      <c r="EV343" s="333"/>
      <c r="EW343" s="333"/>
      <c r="EX343" s="700"/>
      <c r="EY343" s="333"/>
      <c r="EZ343" s="333"/>
      <c r="FA343" s="523"/>
    </row>
    <row r="344" spans="1:157" ht="13.35" customHeight="1">
      <c r="A344" s="760"/>
      <c r="B344" s="4"/>
      <c r="C344" s="177" t="s">
        <v>328</v>
      </c>
      <c r="D344" s="294" t="s">
        <v>357</v>
      </c>
      <c r="E344" s="251"/>
      <c r="F344" s="251"/>
      <c r="G344" s="252"/>
      <c r="H344" s="251"/>
      <c r="I344" s="251"/>
      <c r="J344" s="252"/>
      <c r="K344" s="251"/>
      <c r="L344" s="251"/>
      <c r="M344" s="252"/>
      <c r="N344" s="251"/>
      <c r="O344" s="251"/>
      <c r="P344" s="252"/>
      <c r="Q344" s="251"/>
      <c r="R344" s="251"/>
      <c r="S344" s="252"/>
      <c r="T344" s="251"/>
      <c r="U344" s="251"/>
      <c r="V344" s="252"/>
      <c r="W344" s="251"/>
      <c r="X344" s="251"/>
      <c r="Y344" s="252"/>
      <c r="Z344" s="251"/>
      <c r="AA344" s="251"/>
      <c r="AB344" s="252"/>
      <c r="AC344" s="251"/>
      <c r="AD344" s="251"/>
      <c r="AE344" s="252"/>
      <c r="AF344" s="251"/>
      <c r="AG344" s="251"/>
      <c r="AH344" s="252"/>
      <c r="AI344" s="251"/>
      <c r="AJ344" s="251"/>
      <c r="AK344" s="252"/>
      <c r="AL344" s="251"/>
      <c r="AM344" s="251"/>
      <c r="AN344" s="252"/>
      <c r="AO344" s="251"/>
      <c r="AP344" s="251"/>
      <c r="AQ344" s="252"/>
      <c r="AR344" s="251"/>
      <c r="AS344" s="251"/>
      <c r="AT344" s="252"/>
      <c r="AU344" s="251"/>
      <c r="AV344" s="251"/>
      <c r="AW344" s="252"/>
      <c r="AX344" s="251"/>
      <c r="AY344" s="251"/>
      <c r="AZ344" s="252"/>
      <c r="BA344" s="251"/>
      <c r="BB344" s="251"/>
      <c r="BC344" s="252"/>
      <c r="BD344" s="251"/>
      <c r="BE344" s="251"/>
      <c r="BF344" s="252"/>
      <c r="BG344" s="251"/>
      <c r="BH344" s="251"/>
      <c r="BI344" s="252"/>
      <c r="BJ344" s="251"/>
      <c r="BK344" s="251"/>
      <c r="BL344" s="252"/>
      <c r="BM344" s="251"/>
      <c r="BN344" s="198"/>
      <c r="BO344" s="79"/>
      <c r="BP344" s="259"/>
      <c r="BQ344" s="259"/>
      <c r="BR344" s="260"/>
      <c r="BS344" s="259"/>
      <c r="BT344" s="259"/>
      <c r="BU344" s="261"/>
      <c r="BV344" s="259"/>
      <c r="BW344" s="259"/>
      <c r="BX344" s="260"/>
      <c r="BY344" s="259"/>
      <c r="BZ344" s="259"/>
      <c r="CA344" s="260"/>
      <c r="CB344" s="259"/>
      <c r="CC344" s="259"/>
      <c r="CD344" s="260"/>
      <c r="CE344" s="259"/>
      <c r="CF344" s="259"/>
      <c r="CG344" s="260"/>
      <c r="CH344" s="259"/>
      <c r="CI344" s="259"/>
      <c r="CJ344" s="260"/>
      <c r="CK344" s="259"/>
      <c r="CL344" s="259"/>
      <c r="CM344" s="260"/>
      <c r="CN344" s="259"/>
      <c r="CO344" s="259"/>
      <c r="CP344" s="260"/>
      <c r="CQ344" s="259"/>
      <c r="CR344" s="259"/>
      <c r="CS344" s="260"/>
      <c r="CT344" s="259"/>
      <c r="CU344" s="198"/>
      <c r="CV344" s="253"/>
      <c r="CW344" s="198"/>
      <c r="CX344" s="198"/>
      <c r="CY344" s="521"/>
      <c r="CZ344" s="489"/>
      <c r="DA344" s="489"/>
      <c r="DB344" s="521"/>
      <c r="DC344" s="489"/>
      <c r="DD344" s="489"/>
      <c r="DE344" s="779"/>
      <c r="DF344" s="489"/>
      <c r="DG344" s="489"/>
      <c r="DH344" s="779"/>
      <c r="DI344" s="837">
        <f>+DI335*DI345</f>
        <v>10.29742542572354</v>
      </c>
      <c r="DJ344" s="837">
        <f>+DJ335*DJ345</f>
        <v>5.9829958750999568</v>
      </c>
      <c r="DK344" s="828">
        <f>+SUM(DI344:DJ344)</f>
        <v>16.280421300823498</v>
      </c>
      <c r="DL344" s="837">
        <f>+DL335*DL345</f>
        <v>8.4341660789591089</v>
      </c>
      <c r="DM344" s="837">
        <f>+DM335*DM345</f>
        <v>8.6843411178554017</v>
      </c>
      <c r="DN344" s="828">
        <f>+SUM(DL344:DM344)</f>
        <v>17.118507196814512</v>
      </c>
      <c r="DO344" s="837">
        <f>+DO335*DO345</f>
        <v>8.4</v>
      </c>
      <c r="DP344" s="837">
        <f>+DP335*DP345</f>
        <v>8.25</v>
      </c>
      <c r="DQ344" s="828">
        <f>+SUM(DO344:DP344)</f>
        <v>16.649999999999999</v>
      </c>
      <c r="DR344" s="837">
        <f>+DR335*DR345</f>
        <v>8.25</v>
      </c>
      <c r="DS344" s="837">
        <f>+DS335*DS345</f>
        <v>7.6499999999999995</v>
      </c>
      <c r="DT344" s="828">
        <f>+SUM(DR344:DS344)</f>
        <v>15.899999999999999</v>
      </c>
      <c r="DU344" s="837">
        <f>+DU335*DU345</f>
        <v>8.1</v>
      </c>
      <c r="DV344" s="837">
        <f>+DV335*DV345</f>
        <v>7.6499999999999995</v>
      </c>
      <c r="DW344" s="828">
        <f>+SUM(DU344:DV344)</f>
        <v>15.75</v>
      </c>
      <c r="DX344" s="837">
        <f>+DX335*DX345</f>
        <v>7.35</v>
      </c>
      <c r="DY344" s="837">
        <f>+DY335*DY345</f>
        <v>7.1144999999999996</v>
      </c>
      <c r="DZ344" s="828">
        <f>+SUM(DX344:DY344)</f>
        <v>14.464499999999999</v>
      </c>
      <c r="EA344" s="837">
        <f>+EA335*EA345</f>
        <v>7.4234999999999998</v>
      </c>
      <c r="EB344" s="837">
        <f>+EB335*EB345</f>
        <v>7.1856450000000001</v>
      </c>
      <c r="EC344" s="828">
        <f>+SUM(EA344:EB344)</f>
        <v>14.609145</v>
      </c>
      <c r="ED344" s="837">
        <f>+ED335*ED345</f>
        <v>7.4977350000000005</v>
      </c>
      <c r="EE344" s="837">
        <f>+EE335*EE345</f>
        <v>7.2575014499999995</v>
      </c>
      <c r="EF344" s="828">
        <f>+SUM(ED344:EE344)</f>
        <v>14.75523645</v>
      </c>
      <c r="EG344" s="837">
        <f>+EG335*EG345</f>
        <v>7.5727123499999998</v>
      </c>
      <c r="EH344" s="837">
        <f>+EH335*EH345</f>
        <v>7.3300764644999985</v>
      </c>
      <c r="EI344" s="828">
        <f>+SUM(EG344:EH344)</f>
        <v>14.902788814499999</v>
      </c>
      <c r="EJ344" s="837">
        <f>+EJ335*EJ345</f>
        <v>7.6484394734999999</v>
      </c>
      <c r="EK344" s="837">
        <f>+EK335*EK345</f>
        <v>7.4033772291449989</v>
      </c>
      <c r="EL344" s="828">
        <f>+SUM(EJ344:EK344)</f>
        <v>15.051816702644999</v>
      </c>
      <c r="EM344" s="837">
        <f>+EM335*EM345</f>
        <v>7.7249238682350008</v>
      </c>
      <c r="EN344" s="837">
        <f>+EN335*EN345</f>
        <v>7.4774110014364483</v>
      </c>
      <c r="EO344" s="828">
        <f>+SUM(EM344:EN344)</f>
        <v>15.20233486967145</v>
      </c>
      <c r="EP344" s="837">
        <f>+EP335*EP345</f>
        <v>7.8021731069173512</v>
      </c>
      <c r="EQ344" s="837">
        <f>+EQ335*EQ345</f>
        <v>7.5521851114508136</v>
      </c>
      <c r="ER344" s="828">
        <f>+SUM(EP344:EQ344)</f>
        <v>15.354358218368166</v>
      </c>
      <c r="ES344" s="837">
        <f>+ES335*ES345</f>
        <v>7.880194837986525</v>
      </c>
      <c r="ET344" s="837">
        <f>+ET335*ET345</f>
        <v>7.6277069625653215</v>
      </c>
      <c r="EU344" s="828">
        <f>+SUM(ES344:ET344)</f>
        <v>15.507901800551846</v>
      </c>
      <c r="EV344" s="837">
        <f>+EV335*EV345</f>
        <v>7.9589967863663897</v>
      </c>
      <c r="EW344" s="837">
        <f>+EW335*EW345</f>
        <v>7.7039840321909745</v>
      </c>
      <c r="EX344" s="828">
        <f>+SUM(EV344:EW344)</f>
        <v>15.662980818557365</v>
      </c>
      <c r="EY344" s="837">
        <f>+EY335*EY345</f>
        <v>8.0385867542300531</v>
      </c>
      <c r="EZ344" s="837">
        <f>+EZ335*EZ345</f>
        <v>7.7810238725128844</v>
      </c>
      <c r="FA344" s="840">
        <f>+SUM(EY344:EZ344)</f>
        <v>15.819610626742937</v>
      </c>
    </row>
    <row r="345" spans="1:157" ht="13.35" customHeight="1">
      <c r="A345" s="760"/>
      <c r="B345" s="4"/>
      <c r="C345" s="177" t="s">
        <v>149</v>
      </c>
      <c r="D345" s="294" t="s">
        <v>507</v>
      </c>
      <c r="E345" s="251"/>
      <c r="F345" s="251"/>
      <c r="G345" s="252"/>
      <c r="H345" s="251"/>
      <c r="I345" s="251"/>
      <c r="J345" s="252"/>
      <c r="K345" s="251"/>
      <c r="L345" s="251"/>
      <c r="M345" s="252"/>
      <c r="N345" s="251"/>
      <c r="O345" s="251"/>
      <c r="P345" s="252"/>
      <c r="Q345" s="251"/>
      <c r="R345" s="251"/>
      <c r="S345" s="252"/>
      <c r="T345" s="251"/>
      <c r="U345" s="251"/>
      <c r="V345" s="252"/>
      <c r="W345" s="251"/>
      <c r="X345" s="251"/>
      <c r="Y345" s="252"/>
      <c r="Z345" s="251"/>
      <c r="AA345" s="251"/>
      <c r="AB345" s="252"/>
      <c r="AC345" s="251"/>
      <c r="AD345" s="251"/>
      <c r="AE345" s="252"/>
      <c r="AF345" s="251"/>
      <c r="AG345" s="251"/>
      <c r="AH345" s="252"/>
      <c r="AI345" s="251"/>
      <c r="AJ345" s="251"/>
      <c r="AK345" s="252"/>
      <c r="AL345" s="251"/>
      <c r="AM345" s="251"/>
      <c r="AN345" s="252"/>
      <c r="AO345" s="251"/>
      <c r="AP345" s="251"/>
      <c r="AQ345" s="252"/>
      <c r="AR345" s="251"/>
      <c r="AS345" s="251"/>
      <c r="AT345" s="252"/>
      <c r="AU345" s="251"/>
      <c r="AV345" s="251"/>
      <c r="AW345" s="252"/>
      <c r="AX345" s="251"/>
      <c r="AY345" s="251"/>
      <c r="AZ345" s="252"/>
      <c r="BA345" s="251"/>
      <c r="BB345" s="251"/>
      <c r="BC345" s="252"/>
      <c r="BD345" s="251"/>
      <c r="BE345" s="251"/>
      <c r="BF345" s="252"/>
      <c r="BG345" s="251"/>
      <c r="BH345" s="251"/>
      <c r="BI345" s="252"/>
      <c r="BJ345" s="251"/>
      <c r="BK345" s="251"/>
      <c r="BL345" s="252"/>
      <c r="BM345" s="251"/>
      <c r="BN345" s="198"/>
      <c r="BO345" s="79"/>
      <c r="BP345" s="259"/>
      <c r="BQ345" s="259"/>
      <c r="BR345" s="260"/>
      <c r="BS345" s="259"/>
      <c r="BT345" s="259"/>
      <c r="BU345" s="261"/>
      <c r="BV345" s="259"/>
      <c r="BW345" s="259"/>
      <c r="BX345" s="260"/>
      <c r="BY345" s="259"/>
      <c r="BZ345" s="259"/>
      <c r="CA345" s="260"/>
      <c r="CB345" s="259"/>
      <c r="CC345" s="259"/>
      <c r="CD345" s="260"/>
      <c r="CE345" s="259"/>
      <c r="CF345" s="259"/>
      <c r="CG345" s="260"/>
      <c r="CH345" s="259"/>
      <c r="CI345" s="259"/>
      <c r="CJ345" s="260"/>
      <c r="CK345" s="259"/>
      <c r="CL345" s="259"/>
      <c r="CM345" s="260"/>
      <c r="CN345" s="259"/>
      <c r="CO345" s="259"/>
      <c r="CP345" s="260"/>
      <c r="CQ345" s="259"/>
      <c r="CR345" s="259"/>
      <c r="CS345" s="260"/>
      <c r="CT345" s="259"/>
      <c r="CU345" s="259"/>
      <c r="CV345" s="260"/>
      <c r="CW345" s="259"/>
      <c r="CX345" s="259"/>
      <c r="CY345" s="334"/>
      <c r="CZ345" s="333"/>
      <c r="DA345" s="333"/>
      <c r="DB345" s="334"/>
      <c r="DC345" s="333"/>
      <c r="DD345" s="333"/>
      <c r="DE345" s="788"/>
      <c r="DF345" s="333"/>
      <c r="DG345" s="333"/>
      <c r="DH345" s="717"/>
      <c r="DI345" s="853">
        <v>0.15</v>
      </c>
      <c r="DJ345" s="848">
        <f>+DI345</f>
        <v>0.15</v>
      </c>
      <c r="DK345" s="842">
        <f>+DK344/DK335</f>
        <v>0.15000000000000002</v>
      </c>
      <c r="DL345" s="848">
        <f>+DJ345</f>
        <v>0.15</v>
      </c>
      <c r="DM345" s="848">
        <f>+DL345</f>
        <v>0.15</v>
      </c>
      <c r="DN345" s="842">
        <f>+DN344/DN335</f>
        <v>0.15000000000000002</v>
      </c>
      <c r="DO345" s="848">
        <f>+DM345</f>
        <v>0.15</v>
      </c>
      <c r="DP345" s="848">
        <f>+DO345</f>
        <v>0.15</v>
      </c>
      <c r="DQ345" s="842">
        <f>+DQ344/DQ335</f>
        <v>0.15</v>
      </c>
      <c r="DR345" s="848">
        <f>+DP345</f>
        <v>0.15</v>
      </c>
      <c r="DS345" s="848">
        <f>+DR345</f>
        <v>0.15</v>
      </c>
      <c r="DT345" s="842">
        <f>+DT344/DT335</f>
        <v>0.15</v>
      </c>
      <c r="DU345" s="848">
        <f>+DS345</f>
        <v>0.15</v>
      </c>
      <c r="DV345" s="848">
        <f>+DU345</f>
        <v>0.15</v>
      </c>
      <c r="DW345" s="842">
        <f>+DW344/DW335</f>
        <v>0.15</v>
      </c>
      <c r="DX345" s="848">
        <f>+DV345</f>
        <v>0.15</v>
      </c>
      <c r="DY345" s="848">
        <f>+DX345</f>
        <v>0.15</v>
      </c>
      <c r="DZ345" s="842">
        <f>+DZ344/DZ335</f>
        <v>0.15</v>
      </c>
      <c r="EA345" s="848">
        <f>+DY345</f>
        <v>0.15</v>
      </c>
      <c r="EB345" s="848">
        <f>+EA345</f>
        <v>0.15</v>
      </c>
      <c r="EC345" s="842">
        <f>+EC344/EC335</f>
        <v>0.15</v>
      </c>
      <c r="ED345" s="848">
        <f>+EB345</f>
        <v>0.15</v>
      </c>
      <c r="EE345" s="848">
        <f>+ED345</f>
        <v>0.15</v>
      </c>
      <c r="EF345" s="842">
        <f>+EF344/EF335</f>
        <v>0.15</v>
      </c>
      <c r="EG345" s="848">
        <f>+EE345</f>
        <v>0.15</v>
      </c>
      <c r="EH345" s="848">
        <f>+EG345</f>
        <v>0.15</v>
      </c>
      <c r="EI345" s="842">
        <f>+EI344/EI335</f>
        <v>0.15</v>
      </c>
      <c r="EJ345" s="848">
        <f>+EH345</f>
        <v>0.15</v>
      </c>
      <c r="EK345" s="848">
        <f>+EJ345</f>
        <v>0.15</v>
      </c>
      <c r="EL345" s="842">
        <f>+EL344/EL335</f>
        <v>0.15</v>
      </c>
      <c r="EM345" s="848">
        <f>+EK345</f>
        <v>0.15</v>
      </c>
      <c r="EN345" s="848">
        <f>+EM345</f>
        <v>0.15</v>
      </c>
      <c r="EO345" s="842">
        <f>+EO344/EO335</f>
        <v>0.15</v>
      </c>
      <c r="EP345" s="848">
        <f>+EN345</f>
        <v>0.15</v>
      </c>
      <c r="EQ345" s="848">
        <f>+EP345</f>
        <v>0.15</v>
      </c>
      <c r="ER345" s="842">
        <f>+ER344/ER335</f>
        <v>0.15</v>
      </c>
      <c r="ES345" s="848">
        <f>+EQ345</f>
        <v>0.15</v>
      </c>
      <c r="ET345" s="848">
        <f>+ES345</f>
        <v>0.15</v>
      </c>
      <c r="EU345" s="842">
        <f>+EU344/EU335</f>
        <v>0.14999999999999997</v>
      </c>
      <c r="EV345" s="848">
        <f>+ET345</f>
        <v>0.15</v>
      </c>
      <c r="EW345" s="848">
        <f>+EV345</f>
        <v>0.15</v>
      </c>
      <c r="EX345" s="842">
        <f>+EX344/EX335</f>
        <v>0.15</v>
      </c>
      <c r="EY345" s="848">
        <f>+EW345</f>
        <v>0.15</v>
      </c>
      <c r="EZ345" s="848">
        <f>+EY345</f>
        <v>0.15</v>
      </c>
      <c r="FA345" s="849">
        <f>+FA344/FA335</f>
        <v>0.15</v>
      </c>
    </row>
    <row r="346" spans="1:157" ht="13.35" customHeight="1">
      <c r="A346" s="760"/>
      <c r="B346" s="4"/>
      <c r="E346" s="251"/>
      <c r="F346" s="251"/>
      <c r="G346" s="252"/>
      <c r="H346" s="251"/>
      <c r="I346" s="251"/>
      <c r="J346" s="252"/>
      <c r="K346" s="251"/>
      <c r="L346" s="251"/>
      <c r="M346" s="252"/>
      <c r="N346" s="251"/>
      <c r="O346" s="251"/>
      <c r="P346" s="252"/>
      <c r="Q346" s="251"/>
      <c r="R346" s="251"/>
      <c r="S346" s="252"/>
      <c r="T346" s="251"/>
      <c r="U346" s="251"/>
      <c r="V346" s="252"/>
      <c r="W346" s="251"/>
      <c r="X346" s="251"/>
      <c r="Y346" s="252"/>
      <c r="Z346" s="251"/>
      <c r="AA346" s="251"/>
      <c r="AB346" s="252"/>
      <c r="AC346" s="251"/>
      <c r="AD346" s="251"/>
      <c r="AE346" s="252"/>
      <c r="AF346" s="251"/>
      <c r="AG346" s="251"/>
      <c r="AH346" s="252"/>
      <c r="AI346" s="251"/>
      <c r="AJ346" s="251"/>
      <c r="AK346" s="252"/>
      <c r="AL346" s="251"/>
      <c r="AM346" s="251"/>
      <c r="AN346" s="252"/>
      <c r="AO346" s="251"/>
      <c r="AP346" s="251"/>
      <c r="AQ346" s="252"/>
      <c r="AR346" s="251"/>
      <c r="AS346" s="251"/>
      <c r="AT346" s="252"/>
      <c r="AU346" s="251"/>
      <c r="AV346" s="251"/>
      <c r="AW346" s="252"/>
      <c r="AX346" s="251"/>
      <c r="AY346" s="251"/>
      <c r="AZ346" s="252"/>
      <c r="BA346" s="251"/>
      <c r="BB346" s="251"/>
      <c r="BC346" s="252"/>
      <c r="BD346" s="251"/>
      <c r="BE346" s="251"/>
      <c r="BF346" s="252"/>
      <c r="BG346" s="251"/>
      <c r="BH346" s="251"/>
      <c r="BI346" s="252"/>
      <c r="BJ346" s="251"/>
      <c r="BK346" s="251"/>
      <c r="BL346" s="252"/>
      <c r="BM346" s="251"/>
      <c r="BN346" s="198"/>
      <c r="BO346" s="79"/>
      <c r="BP346" s="259"/>
      <c r="BQ346" s="259"/>
      <c r="BR346" s="260"/>
      <c r="BS346" s="259"/>
      <c r="BT346" s="259"/>
      <c r="BU346" s="261"/>
      <c r="BV346" s="259"/>
      <c r="BW346" s="259"/>
      <c r="BX346" s="260"/>
      <c r="BY346" s="259"/>
      <c r="BZ346" s="259"/>
      <c r="CA346" s="260"/>
      <c r="CB346" s="259"/>
      <c r="CC346" s="259"/>
      <c r="CD346" s="260"/>
      <c r="CE346" s="259"/>
      <c r="CF346" s="259"/>
      <c r="CG346" s="260"/>
      <c r="CH346" s="259"/>
      <c r="CI346" s="259"/>
      <c r="CJ346" s="260"/>
      <c r="CK346" s="259"/>
      <c r="CL346" s="259"/>
      <c r="CM346" s="260"/>
      <c r="CN346" s="259"/>
      <c r="CO346" s="259"/>
      <c r="CP346" s="260"/>
      <c r="CQ346" s="259"/>
      <c r="CR346" s="259"/>
      <c r="CS346" s="260"/>
      <c r="CT346" s="259"/>
      <c r="CU346" s="259"/>
      <c r="CV346" s="260"/>
      <c r="CW346" s="259"/>
      <c r="CX346" s="259"/>
      <c r="CY346" s="334"/>
      <c r="CZ346" s="333"/>
      <c r="DA346" s="333"/>
      <c r="DB346" s="334"/>
      <c r="DC346" s="333"/>
      <c r="DD346" s="333"/>
      <c r="DE346" s="788"/>
      <c r="DF346" s="333"/>
      <c r="DG346" s="333"/>
      <c r="DH346" s="788"/>
      <c r="DI346" s="333"/>
      <c r="DJ346" s="333"/>
      <c r="DK346" s="700"/>
      <c r="DL346" s="333"/>
      <c r="DM346" s="333"/>
      <c r="DN346" s="700"/>
      <c r="DO346" s="333"/>
      <c r="DP346" s="333"/>
      <c r="DQ346" s="700"/>
      <c r="DR346" s="333"/>
      <c r="DS346" s="333"/>
      <c r="DT346" s="700"/>
      <c r="DU346" s="333"/>
      <c r="DV346" s="333"/>
      <c r="DW346" s="700"/>
      <c r="DX346" s="333"/>
      <c r="DY346" s="333"/>
      <c r="DZ346" s="700"/>
      <c r="EA346" s="333"/>
      <c r="EB346" s="333"/>
      <c r="EC346" s="700"/>
      <c r="ED346" s="333"/>
      <c r="EE346" s="333"/>
      <c r="EF346" s="700"/>
      <c r="EG346" s="333"/>
      <c r="EH346" s="333"/>
      <c r="EI346" s="700"/>
      <c r="EJ346" s="333"/>
      <c r="EK346" s="333"/>
      <c r="EL346" s="700"/>
      <c r="EM346" s="333"/>
      <c r="EN346" s="333"/>
      <c r="EO346" s="700"/>
      <c r="EP346" s="333"/>
      <c r="EQ346" s="333"/>
      <c r="ER346" s="700"/>
      <c r="ES346" s="333"/>
      <c r="ET346" s="333"/>
      <c r="EU346" s="700"/>
      <c r="EV346" s="333"/>
      <c r="EW346" s="333"/>
      <c r="EX346" s="700"/>
      <c r="EY346" s="333"/>
      <c r="EZ346" s="333"/>
      <c r="FA346" s="523"/>
    </row>
    <row r="347" spans="1:157" ht="13.35" customHeight="1">
      <c r="A347" s="760"/>
      <c r="B347" s="4"/>
      <c r="C347" s="177" t="s">
        <v>740</v>
      </c>
      <c r="D347" s="294" t="s">
        <v>357</v>
      </c>
      <c r="E347" s="251"/>
      <c r="F347" s="251"/>
      <c r="G347" s="252"/>
      <c r="H347" s="251"/>
      <c r="I347" s="251"/>
      <c r="J347" s="252"/>
      <c r="K347" s="251"/>
      <c r="L347" s="251"/>
      <c r="M347" s="252"/>
      <c r="N347" s="251"/>
      <c r="O347" s="251"/>
      <c r="P347" s="252"/>
      <c r="Q347" s="251"/>
      <c r="R347" s="251"/>
      <c r="S347" s="252"/>
      <c r="T347" s="251"/>
      <c r="U347" s="251"/>
      <c r="V347" s="252"/>
      <c r="W347" s="251"/>
      <c r="X347" s="251"/>
      <c r="Y347" s="252"/>
      <c r="Z347" s="251"/>
      <c r="AA347" s="251"/>
      <c r="AB347" s="252"/>
      <c r="AC347" s="251"/>
      <c r="AD347" s="251"/>
      <c r="AE347" s="252"/>
      <c r="AF347" s="251"/>
      <c r="AG347" s="251"/>
      <c r="AH347" s="252"/>
      <c r="AI347" s="251"/>
      <c r="AJ347" s="251"/>
      <c r="AK347" s="252"/>
      <c r="AL347" s="251"/>
      <c r="AM347" s="251"/>
      <c r="AN347" s="252"/>
      <c r="AO347" s="251"/>
      <c r="AP347" s="251"/>
      <c r="AQ347" s="252"/>
      <c r="AR347" s="251"/>
      <c r="AS347" s="251"/>
      <c r="AT347" s="252"/>
      <c r="AU347" s="251"/>
      <c r="AV347" s="251"/>
      <c r="AW347" s="252"/>
      <c r="AX347" s="251"/>
      <c r="AY347" s="251"/>
      <c r="AZ347" s="252"/>
      <c r="BA347" s="251"/>
      <c r="BB347" s="251"/>
      <c r="BC347" s="252"/>
      <c r="BD347" s="251"/>
      <c r="BE347" s="251"/>
      <c r="BF347" s="252"/>
      <c r="BG347" s="251"/>
      <c r="BH347" s="251"/>
      <c r="BI347" s="252"/>
      <c r="BJ347" s="251"/>
      <c r="BK347" s="251"/>
      <c r="BL347" s="252"/>
      <c r="BM347" s="251"/>
      <c r="BN347" s="198"/>
      <c r="BO347" s="79"/>
      <c r="BP347" s="259"/>
      <c r="BQ347" s="259"/>
      <c r="BR347" s="260"/>
      <c r="BS347" s="259"/>
      <c r="BT347" s="259"/>
      <c r="BU347" s="261"/>
      <c r="BV347" s="259"/>
      <c r="BW347" s="259"/>
      <c r="BX347" s="260"/>
      <c r="BY347" s="259"/>
      <c r="BZ347" s="259"/>
      <c r="CA347" s="260"/>
      <c r="CB347" s="259"/>
      <c r="CC347" s="259"/>
      <c r="CD347" s="260"/>
      <c r="CE347" s="259"/>
      <c r="CF347" s="259"/>
      <c r="CG347" s="260"/>
      <c r="CH347" s="259"/>
      <c r="CI347" s="259"/>
      <c r="CJ347" s="260"/>
      <c r="CK347" s="259"/>
      <c r="CL347" s="259"/>
      <c r="CM347" s="260"/>
      <c r="CN347" s="259"/>
      <c r="CO347" s="259"/>
      <c r="CP347" s="260"/>
      <c r="CQ347" s="259"/>
      <c r="CR347" s="259"/>
      <c r="CS347" s="260"/>
      <c r="CT347" s="259"/>
      <c r="CU347" s="198"/>
      <c r="CV347" s="253"/>
      <c r="CW347" s="198"/>
      <c r="CX347" s="198"/>
      <c r="CY347" s="521"/>
      <c r="CZ347" s="489"/>
      <c r="DA347" s="489"/>
      <c r="DB347" s="521"/>
      <c r="DC347" s="489"/>
      <c r="DD347" s="489"/>
      <c r="DE347" s="779"/>
      <c r="DF347" s="489"/>
      <c r="DG347" s="489"/>
      <c r="DH347" s="779"/>
      <c r="DI347" s="837">
        <f>+DI341-DI344</f>
        <v>20.594850851447077</v>
      </c>
      <c r="DJ347" s="837">
        <f>+DJ341-DJ344</f>
        <v>11.965991750199915</v>
      </c>
      <c r="DK347" s="828">
        <f>+SUM(DI347:DJ347)</f>
        <v>32.560842601646996</v>
      </c>
      <c r="DL347" s="837">
        <f>+DL341-DL344</f>
        <v>16.868332157918218</v>
      </c>
      <c r="DM347" s="837">
        <f>+DM341-DM344</f>
        <v>17.368682235710807</v>
      </c>
      <c r="DN347" s="828">
        <f>+SUM(DL347:DM347)</f>
        <v>34.237014393629025</v>
      </c>
      <c r="DO347" s="837">
        <f>+DO341-DO344</f>
        <v>16.799999999999997</v>
      </c>
      <c r="DP347" s="837">
        <f>+DP341-DP344</f>
        <v>16.5</v>
      </c>
      <c r="DQ347" s="828">
        <f>+SUM(DO347:DP347)</f>
        <v>33.299999999999997</v>
      </c>
      <c r="DR347" s="837">
        <f>+DR341-DR344</f>
        <v>16.5</v>
      </c>
      <c r="DS347" s="837">
        <f>+DS341-DS344</f>
        <v>15.3</v>
      </c>
      <c r="DT347" s="828">
        <f>+SUM(DR347:DS347)</f>
        <v>31.8</v>
      </c>
      <c r="DU347" s="837">
        <f>+DU341-DU344</f>
        <v>16.200000000000003</v>
      </c>
      <c r="DV347" s="837">
        <f>+DV341-DV344</f>
        <v>15.3</v>
      </c>
      <c r="DW347" s="828">
        <f>+SUM(DU347:DV347)</f>
        <v>31.500000000000004</v>
      </c>
      <c r="DX347" s="837">
        <f>+DX341-DX344</f>
        <v>14.700000000000001</v>
      </c>
      <c r="DY347" s="837">
        <f>+DY341-DY344</f>
        <v>14.228999999999999</v>
      </c>
      <c r="DZ347" s="828">
        <f>+SUM(DX347:DY347)</f>
        <v>28.929000000000002</v>
      </c>
      <c r="EA347" s="837">
        <f>+EA341-EA344</f>
        <v>14.847000000000001</v>
      </c>
      <c r="EB347" s="837">
        <f>+EB341-EB344</f>
        <v>14.371289999999998</v>
      </c>
      <c r="EC347" s="828">
        <f>+SUM(EA347:EB347)</f>
        <v>29.21829</v>
      </c>
      <c r="ED347" s="837">
        <f>+ED341-ED344</f>
        <v>14.995470000000003</v>
      </c>
      <c r="EE347" s="837">
        <f>+EE341-EE344</f>
        <v>14.515002899999999</v>
      </c>
      <c r="EF347" s="828">
        <f>+SUM(ED347:EE347)</f>
        <v>29.510472900000003</v>
      </c>
      <c r="EG347" s="837">
        <f>+EG341-EG344</f>
        <v>15.1454247</v>
      </c>
      <c r="EH347" s="837">
        <f>+EH341-EH344</f>
        <v>14.660152928999999</v>
      </c>
      <c r="EI347" s="828">
        <f>+SUM(EG347:EH347)</f>
        <v>29.805577628999998</v>
      </c>
      <c r="EJ347" s="837">
        <f>+EJ341-EJ344</f>
        <v>15.296878947000002</v>
      </c>
      <c r="EK347" s="837">
        <f>+EK341-EK344</f>
        <v>14.806754458289999</v>
      </c>
      <c r="EL347" s="828">
        <f>+SUM(EJ347:EK347)</f>
        <v>30.103633405290001</v>
      </c>
      <c r="EM347" s="837">
        <f>+EM341-EM344</f>
        <v>15.449847736470003</v>
      </c>
      <c r="EN347" s="837">
        <f>+EN341-EN344</f>
        <v>14.954822002872898</v>
      </c>
      <c r="EO347" s="828">
        <f>+SUM(EM347:EN347)</f>
        <v>30.4046697393429</v>
      </c>
      <c r="EP347" s="837">
        <f>+EP341-EP344</f>
        <v>15.604346213834702</v>
      </c>
      <c r="EQ347" s="837">
        <f>+EQ341-EQ344</f>
        <v>15.104370222901629</v>
      </c>
      <c r="ER347" s="828">
        <f>+SUM(EP347:EQ347)</f>
        <v>30.708716436736331</v>
      </c>
      <c r="ES347" s="837">
        <f>+ES341-ES344</f>
        <v>15.760389675973052</v>
      </c>
      <c r="ET347" s="837">
        <f>+ET341-ET344</f>
        <v>15.255413925130645</v>
      </c>
      <c r="EU347" s="828">
        <f>+SUM(ES347:ET347)</f>
        <v>31.015803601103698</v>
      </c>
      <c r="EV347" s="837">
        <f>+EV341-EV344</f>
        <v>15.917993572732781</v>
      </c>
      <c r="EW347" s="837">
        <f>+EW341-EW344</f>
        <v>15.407968064381951</v>
      </c>
      <c r="EX347" s="828">
        <f>+SUM(EV347:EW347)</f>
        <v>31.32596163711473</v>
      </c>
      <c r="EY347" s="837">
        <f>+EY341-EY344</f>
        <v>16.07717350846011</v>
      </c>
      <c r="EZ347" s="837">
        <f>+EZ341-EZ344</f>
        <v>15.562047745025771</v>
      </c>
      <c r="FA347" s="840">
        <f>+SUM(EY347:EZ347)</f>
        <v>31.639221253485879</v>
      </c>
    </row>
    <row r="348" spans="1:157" ht="12.75" customHeight="1">
      <c r="A348" s="760"/>
      <c r="B348" s="4"/>
      <c r="C348" s="177" t="s">
        <v>212</v>
      </c>
      <c r="D348" s="294" t="s">
        <v>507</v>
      </c>
      <c r="E348" s="251"/>
      <c r="F348" s="251"/>
      <c r="G348" s="252"/>
      <c r="H348" s="251"/>
      <c r="I348" s="251"/>
      <c r="J348" s="252"/>
      <c r="K348" s="251"/>
      <c r="L348" s="251"/>
      <c r="M348" s="252"/>
      <c r="N348" s="251"/>
      <c r="O348" s="251"/>
      <c r="P348" s="252"/>
      <c r="Q348" s="251"/>
      <c r="R348" s="251"/>
      <c r="S348" s="252"/>
      <c r="T348" s="251"/>
      <c r="U348" s="251"/>
      <c r="V348" s="252"/>
      <c r="W348" s="251"/>
      <c r="X348" s="251"/>
      <c r="Y348" s="252"/>
      <c r="Z348" s="251"/>
      <c r="AA348" s="251"/>
      <c r="AB348" s="252"/>
      <c r="AC348" s="251"/>
      <c r="AD348" s="251"/>
      <c r="AE348" s="252"/>
      <c r="AF348" s="251"/>
      <c r="AG348" s="251"/>
      <c r="AH348" s="252"/>
      <c r="AI348" s="251"/>
      <c r="AJ348" s="251"/>
      <c r="AK348" s="252"/>
      <c r="AL348" s="251"/>
      <c r="AM348" s="251"/>
      <c r="AN348" s="252"/>
      <c r="AO348" s="251"/>
      <c r="AP348" s="251"/>
      <c r="AQ348" s="252"/>
      <c r="AR348" s="251"/>
      <c r="AS348" s="251"/>
      <c r="AT348" s="252"/>
      <c r="AU348" s="251"/>
      <c r="AV348" s="251"/>
      <c r="AW348" s="252"/>
      <c r="AX348" s="251"/>
      <c r="AY348" s="251"/>
      <c r="AZ348" s="252"/>
      <c r="BA348" s="251"/>
      <c r="BB348" s="251"/>
      <c r="BC348" s="252"/>
      <c r="BD348" s="251"/>
      <c r="BE348" s="251"/>
      <c r="BF348" s="252"/>
      <c r="BG348" s="251"/>
      <c r="BH348" s="251"/>
      <c r="BI348" s="252"/>
      <c r="BJ348" s="251"/>
      <c r="BK348" s="251"/>
      <c r="BL348" s="252"/>
      <c r="BM348" s="251"/>
      <c r="BN348" s="198"/>
      <c r="BO348" s="79"/>
      <c r="BP348" s="259"/>
      <c r="BQ348" s="259"/>
      <c r="BR348" s="260"/>
      <c r="BS348" s="259"/>
      <c r="BT348" s="259"/>
      <c r="BU348" s="261"/>
      <c r="BV348" s="259"/>
      <c r="BW348" s="259"/>
      <c r="BX348" s="260"/>
      <c r="BY348" s="259"/>
      <c r="BZ348" s="259"/>
      <c r="CA348" s="260"/>
      <c r="CB348" s="259"/>
      <c r="CC348" s="259"/>
      <c r="CD348" s="260"/>
      <c r="CE348" s="259"/>
      <c r="CF348" s="259"/>
      <c r="CG348" s="260"/>
      <c r="CH348" s="259"/>
      <c r="CI348" s="259"/>
      <c r="CJ348" s="260"/>
      <c r="CK348" s="259"/>
      <c r="CL348" s="259"/>
      <c r="CM348" s="260"/>
      <c r="CN348" s="259"/>
      <c r="CO348" s="259"/>
      <c r="CP348" s="260"/>
      <c r="CQ348" s="259"/>
      <c r="CR348" s="259"/>
      <c r="CS348" s="260"/>
      <c r="CT348" s="259"/>
      <c r="CU348" s="259"/>
      <c r="CV348" s="260"/>
      <c r="CW348" s="259"/>
      <c r="CX348" s="259"/>
      <c r="CY348" s="334"/>
      <c r="CZ348" s="333"/>
      <c r="DA348" s="333"/>
      <c r="DB348" s="334"/>
      <c r="DC348" s="333"/>
      <c r="DD348" s="333"/>
      <c r="DE348" s="788"/>
      <c r="DF348" s="333"/>
      <c r="DG348" s="333"/>
      <c r="DH348" s="717"/>
      <c r="DI348" s="848">
        <f>+DI347/DI335</f>
        <v>0.29999999999999993</v>
      </c>
      <c r="DJ348" s="848">
        <f t="shared" ref="DJ348:EU348" si="338">+DJ347/DJ335</f>
        <v>0.30000000000000004</v>
      </c>
      <c r="DK348" s="842">
        <f t="shared" si="338"/>
        <v>0.30000000000000004</v>
      </c>
      <c r="DL348" s="848">
        <f t="shared" si="338"/>
        <v>0.3</v>
      </c>
      <c r="DM348" s="848">
        <f t="shared" si="338"/>
        <v>0.30000000000000004</v>
      </c>
      <c r="DN348" s="842">
        <f t="shared" si="338"/>
        <v>0.30000000000000004</v>
      </c>
      <c r="DO348" s="848">
        <f t="shared" si="338"/>
        <v>0.29999999999999993</v>
      </c>
      <c r="DP348" s="848">
        <f t="shared" si="338"/>
        <v>0.3</v>
      </c>
      <c r="DQ348" s="842">
        <f t="shared" si="338"/>
        <v>0.3</v>
      </c>
      <c r="DR348" s="848">
        <f t="shared" si="338"/>
        <v>0.3</v>
      </c>
      <c r="DS348" s="848">
        <f t="shared" si="338"/>
        <v>0.3</v>
      </c>
      <c r="DT348" s="842">
        <f t="shared" si="338"/>
        <v>0.3</v>
      </c>
      <c r="DU348" s="848">
        <f t="shared" si="338"/>
        <v>0.30000000000000004</v>
      </c>
      <c r="DV348" s="848">
        <f>+DV347/DV335</f>
        <v>0.3</v>
      </c>
      <c r="DW348" s="842">
        <f>+DW347/DW335</f>
        <v>0.30000000000000004</v>
      </c>
      <c r="DX348" s="848">
        <f t="shared" ref="DX348" si="339">+DX347/DX335</f>
        <v>0.30000000000000004</v>
      </c>
      <c r="DY348" s="848">
        <f t="shared" si="338"/>
        <v>0.3</v>
      </c>
      <c r="DZ348" s="842">
        <f t="shared" si="338"/>
        <v>0.3</v>
      </c>
      <c r="EA348" s="848">
        <f t="shared" si="338"/>
        <v>0.3</v>
      </c>
      <c r="EB348" s="848">
        <f t="shared" si="338"/>
        <v>0.3</v>
      </c>
      <c r="EC348" s="842">
        <f t="shared" si="338"/>
        <v>0.3</v>
      </c>
      <c r="ED348" s="848">
        <f t="shared" si="338"/>
        <v>0.30000000000000004</v>
      </c>
      <c r="EE348" s="848">
        <f t="shared" si="338"/>
        <v>0.3</v>
      </c>
      <c r="EF348" s="842">
        <f t="shared" si="338"/>
        <v>0.3</v>
      </c>
      <c r="EG348" s="848">
        <f t="shared" si="338"/>
        <v>0.3</v>
      </c>
      <c r="EH348" s="848">
        <f t="shared" si="338"/>
        <v>0.3</v>
      </c>
      <c r="EI348" s="842">
        <f t="shared" si="338"/>
        <v>0.3</v>
      </c>
      <c r="EJ348" s="848">
        <f t="shared" si="338"/>
        <v>0.3</v>
      </c>
      <c r="EK348" s="848">
        <f t="shared" si="338"/>
        <v>0.30000000000000004</v>
      </c>
      <c r="EL348" s="842">
        <f t="shared" si="338"/>
        <v>0.30000000000000004</v>
      </c>
      <c r="EM348" s="848">
        <f t="shared" si="338"/>
        <v>0.30000000000000004</v>
      </c>
      <c r="EN348" s="848">
        <f t="shared" si="338"/>
        <v>0.3</v>
      </c>
      <c r="EO348" s="842">
        <f t="shared" si="338"/>
        <v>0.3</v>
      </c>
      <c r="EP348" s="848">
        <f t="shared" si="338"/>
        <v>0.3</v>
      </c>
      <c r="EQ348" s="848">
        <f t="shared" si="338"/>
        <v>0.30000000000000004</v>
      </c>
      <c r="ER348" s="842">
        <f t="shared" si="338"/>
        <v>0.3</v>
      </c>
      <c r="ES348" s="848">
        <f t="shared" si="338"/>
        <v>0.30000000000000004</v>
      </c>
      <c r="ET348" s="848">
        <f t="shared" si="338"/>
        <v>0.30000000000000004</v>
      </c>
      <c r="EU348" s="842">
        <f t="shared" si="338"/>
        <v>0.30000000000000004</v>
      </c>
      <c r="EV348" s="848">
        <f t="shared" ref="EV348:FA348" si="340">+EV347/EV335</f>
        <v>0.3</v>
      </c>
      <c r="EW348" s="848">
        <f t="shared" si="340"/>
        <v>0.3</v>
      </c>
      <c r="EX348" s="842">
        <f t="shared" si="340"/>
        <v>0.3</v>
      </c>
      <c r="EY348" s="848">
        <f t="shared" si="340"/>
        <v>0.30000000000000004</v>
      </c>
      <c r="EZ348" s="848">
        <f t="shared" si="340"/>
        <v>0.3</v>
      </c>
      <c r="FA348" s="849">
        <f t="shared" si="340"/>
        <v>0.3</v>
      </c>
    </row>
    <row r="349" spans="1:157" ht="12.75" customHeight="1">
      <c r="A349" s="760"/>
      <c r="B349" s="4"/>
      <c r="E349" s="251"/>
      <c r="F349" s="251"/>
      <c r="G349" s="252"/>
      <c r="H349" s="251"/>
      <c r="I349" s="251"/>
      <c r="J349" s="252"/>
      <c r="K349" s="251"/>
      <c r="L349" s="251"/>
      <c r="M349" s="252"/>
      <c r="N349" s="251"/>
      <c r="O349" s="251"/>
      <c r="P349" s="252"/>
      <c r="Q349" s="251"/>
      <c r="R349" s="251"/>
      <c r="S349" s="252"/>
      <c r="T349" s="251"/>
      <c r="U349" s="251"/>
      <c r="V349" s="252"/>
      <c r="W349" s="251"/>
      <c r="X349" s="251"/>
      <c r="Y349" s="252"/>
      <c r="Z349" s="251"/>
      <c r="AA349" s="251"/>
      <c r="AB349" s="252"/>
      <c r="AC349" s="251"/>
      <c r="AD349" s="251"/>
      <c r="AE349" s="252"/>
      <c r="AF349" s="251"/>
      <c r="AG349" s="251"/>
      <c r="AH349" s="252"/>
      <c r="AI349" s="251"/>
      <c r="AJ349" s="251"/>
      <c r="AK349" s="252"/>
      <c r="AL349" s="251"/>
      <c r="AM349" s="251"/>
      <c r="AN349" s="252"/>
      <c r="AO349" s="251"/>
      <c r="AP349" s="251"/>
      <c r="AQ349" s="252"/>
      <c r="AR349" s="251"/>
      <c r="AS349" s="251"/>
      <c r="AT349" s="252"/>
      <c r="AU349" s="251"/>
      <c r="AV349" s="251"/>
      <c r="AW349" s="252"/>
      <c r="AX349" s="251"/>
      <c r="AY349" s="251"/>
      <c r="AZ349" s="252"/>
      <c r="BA349" s="251"/>
      <c r="BB349" s="251"/>
      <c r="BC349" s="252"/>
      <c r="BD349" s="251"/>
      <c r="BE349" s="251"/>
      <c r="BF349" s="252"/>
      <c r="BG349" s="251"/>
      <c r="BH349" s="251"/>
      <c r="BI349" s="252"/>
      <c r="BJ349" s="251"/>
      <c r="BK349" s="251"/>
      <c r="BL349" s="252"/>
      <c r="BM349" s="251"/>
      <c r="BN349" s="198"/>
      <c r="BO349" s="79"/>
      <c r="BP349" s="259"/>
      <c r="BQ349" s="259"/>
      <c r="BR349" s="260"/>
      <c r="BS349" s="259"/>
      <c r="BT349" s="259"/>
      <c r="BU349" s="261"/>
      <c r="BV349" s="259"/>
      <c r="BW349" s="259"/>
      <c r="BX349" s="260"/>
      <c r="BY349" s="259"/>
      <c r="BZ349" s="259"/>
      <c r="CA349" s="260"/>
      <c r="CB349" s="259"/>
      <c r="CC349" s="259"/>
      <c r="CD349" s="260"/>
      <c r="CE349" s="259"/>
      <c r="CF349" s="259"/>
      <c r="CG349" s="260"/>
      <c r="CH349" s="259"/>
      <c r="CI349" s="259"/>
      <c r="CJ349" s="260"/>
      <c r="CK349" s="259"/>
      <c r="CL349" s="259"/>
      <c r="CM349" s="260"/>
      <c r="CN349" s="259"/>
      <c r="CO349" s="259"/>
      <c r="CP349" s="260"/>
      <c r="CQ349" s="259"/>
      <c r="CR349" s="259"/>
      <c r="CS349" s="260"/>
      <c r="CT349" s="259"/>
      <c r="CU349" s="259"/>
      <c r="CV349" s="260"/>
      <c r="CW349" s="259"/>
      <c r="CX349" s="259"/>
      <c r="CY349" s="334"/>
      <c r="CZ349" s="333"/>
      <c r="DA349" s="333"/>
      <c r="DB349" s="334"/>
      <c r="DC349" s="333"/>
      <c r="DD349" s="333"/>
      <c r="DE349" s="788"/>
      <c r="DF349" s="333"/>
      <c r="DG349" s="333"/>
      <c r="DH349" s="717"/>
      <c r="DI349" s="333"/>
      <c r="DJ349" s="333"/>
      <c r="DK349" s="716"/>
      <c r="DL349" s="333"/>
      <c r="DM349" s="333"/>
      <c r="DN349" s="716"/>
      <c r="DO349" s="333"/>
      <c r="DP349" s="333"/>
      <c r="DQ349" s="716"/>
      <c r="DR349" s="333"/>
      <c r="DS349" s="333"/>
      <c r="DT349" s="716"/>
      <c r="DU349" s="333"/>
      <c r="DV349" s="333"/>
      <c r="DW349" s="716"/>
      <c r="DX349" s="333"/>
      <c r="DY349" s="333"/>
      <c r="DZ349" s="716"/>
      <c r="EA349" s="333"/>
      <c r="EB349" s="333"/>
      <c r="EC349" s="716"/>
      <c r="ED349" s="333"/>
      <c r="EE349" s="333"/>
      <c r="EF349" s="716"/>
      <c r="EG349" s="333"/>
      <c r="EH349" s="333"/>
      <c r="EI349" s="716"/>
      <c r="EJ349" s="333"/>
      <c r="EK349" s="333"/>
      <c r="EL349" s="716"/>
      <c r="EM349" s="333"/>
      <c r="EN349" s="333"/>
      <c r="EO349" s="716"/>
      <c r="EP349" s="333"/>
      <c r="EQ349" s="333"/>
      <c r="ER349" s="716"/>
      <c r="ES349" s="333"/>
      <c r="ET349" s="333"/>
      <c r="EU349" s="716"/>
      <c r="EV349" s="333"/>
      <c r="EW349" s="333"/>
      <c r="EX349" s="716"/>
      <c r="EY349" s="333"/>
      <c r="EZ349" s="333"/>
      <c r="FA349" s="494"/>
    </row>
    <row r="350" spans="1:157" ht="12.75" customHeight="1">
      <c r="A350" s="989"/>
      <c r="B350" s="277" t="s">
        <v>827</v>
      </c>
      <c r="C350" s="436"/>
      <c r="D350" s="437"/>
      <c r="E350" s="251"/>
      <c r="F350" s="251"/>
      <c r="G350" s="252"/>
      <c r="H350" s="251"/>
      <c r="I350" s="251"/>
      <c r="J350" s="252"/>
      <c r="K350" s="251"/>
      <c r="L350" s="251"/>
      <c r="M350" s="252"/>
      <c r="N350" s="251"/>
      <c r="O350" s="251"/>
      <c r="P350" s="252"/>
      <c r="Q350" s="251"/>
      <c r="R350" s="251"/>
      <c r="S350" s="252"/>
      <c r="T350" s="251"/>
      <c r="U350" s="251"/>
      <c r="V350" s="252"/>
      <c r="W350" s="251"/>
      <c r="X350" s="251"/>
      <c r="Y350" s="252"/>
      <c r="Z350" s="251"/>
      <c r="AA350" s="251"/>
      <c r="AB350" s="252"/>
      <c r="AC350" s="251"/>
      <c r="AD350" s="251"/>
      <c r="AE350" s="252"/>
      <c r="AF350" s="251"/>
      <c r="AG350" s="251"/>
      <c r="AH350" s="252"/>
      <c r="AI350" s="251"/>
      <c r="AJ350" s="251"/>
      <c r="AK350" s="252"/>
      <c r="AL350" s="251"/>
      <c r="AM350" s="251"/>
      <c r="AN350" s="252"/>
      <c r="AO350" s="291"/>
      <c r="AP350" s="291"/>
      <c r="AQ350" s="252"/>
      <c r="AR350" s="251"/>
      <c r="AS350" s="251"/>
      <c r="AT350" s="252"/>
      <c r="AU350" s="251"/>
      <c r="AV350" s="251"/>
      <c r="AW350" s="252"/>
      <c r="AX350" s="251"/>
      <c r="AY350" s="251"/>
      <c r="AZ350" s="252"/>
      <c r="BA350" s="251"/>
      <c r="BB350" s="251"/>
      <c r="BC350" s="252"/>
      <c r="BD350" s="251"/>
      <c r="BE350" s="251"/>
      <c r="BF350" s="252"/>
      <c r="BG350" s="251"/>
      <c r="BH350" s="251"/>
      <c r="BI350" s="252"/>
      <c r="BJ350" s="251"/>
      <c r="BK350" s="251"/>
      <c r="BL350" s="252"/>
      <c r="BM350" s="280"/>
      <c r="BN350" s="280"/>
      <c r="BO350" s="280"/>
      <c r="BP350" s="280"/>
      <c r="BQ350" s="280"/>
      <c r="BR350" s="280"/>
      <c r="BS350" s="280"/>
      <c r="BT350" s="280"/>
      <c r="BU350" s="281"/>
      <c r="BV350" s="280"/>
      <c r="BW350" s="280"/>
      <c r="BX350" s="280"/>
      <c r="BY350" s="280"/>
      <c r="BZ350" s="280"/>
      <c r="CA350" s="280"/>
      <c r="CB350" s="280"/>
      <c r="CC350" s="280"/>
      <c r="CD350" s="280"/>
      <c r="CE350" s="280"/>
      <c r="CF350" s="280"/>
      <c r="CG350" s="280"/>
      <c r="CH350" s="280"/>
      <c r="CI350" s="280"/>
      <c r="CJ350" s="280"/>
      <c r="CK350" s="280"/>
      <c r="CL350" s="280"/>
      <c r="CM350" s="280"/>
      <c r="CN350" s="280"/>
      <c r="CO350" s="280"/>
      <c r="CP350" s="280"/>
      <c r="CQ350" s="280"/>
      <c r="CR350" s="280"/>
      <c r="CS350" s="280"/>
      <c r="CT350" s="280"/>
      <c r="CU350" s="280"/>
      <c r="CV350" s="280"/>
      <c r="CW350" s="280"/>
      <c r="CX350" s="280"/>
      <c r="CY350" s="280"/>
      <c r="CZ350" s="280"/>
      <c r="DA350" s="280"/>
      <c r="DB350" s="280"/>
      <c r="DC350" s="280"/>
      <c r="DD350" s="280"/>
      <c r="DE350" s="785"/>
      <c r="DF350" s="280"/>
      <c r="DG350" s="280"/>
      <c r="DH350" s="785"/>
      <c r="DI350" s="280" t="str">
        <f t="shared" ref="DI350:EC350" si="341">DI334</f>
        <v>1h21</v>
      </c>
      <c r="DJ350" s="280" t="str">
        <f t="shared" si="341"/>
        <v>2h21</v>
      </c>
      <c r="DK350" s="695" t="str">
        <f t="shared" si="341"/>
        <v>2021</v>
      </c>
      <c r="DL350" s="280" t="str">
        <f t="shared" si="341"/>
        <v>1h22</v>
      </c>
      <c r="DM350" s="280" t="str">
        <f t="shared" si="341"/>
        <v>2h22</v>
      </c>
      <c r="DN350" s="695" t="str">
        <f t="shared" si="341"/>
        <v>2022</v>
      </c>
      <c r="DO350" s="280" t="str">
        <f t="shared" si="341"/>
        <v>1h23</v>
      </c>
      <c r="DP350" s="280" t="str">
        <f t="shared" si="341"/>
        <v>2h23</v>
      </c>
      <c r="DQ350" s="695" t="str">
        <f t="shared" si="341"/>
        <v>2023</v>
      </c>
      <c r="DR350" s="280" t="str">
        <f t="shared" si="341"/>
        <v>1h24</v>
      </c>
      <c r="DS350" s="280" t="str">
        <f t="shared" si="341"/>
        <v>2h24</v>
      </c>
      <c r="DT350" s="695" t="str">
        <f t="shared" si="341"/>
        <v>2024</v>
      </c>
      <c r="DU350" s="280" t="str">
        <f t="shared" si="341"/>
        <v>1h25</v>
      </c>
      <c r="DV350" s="280" t="str">
        <f>DV334</f>
        <v>2h25</v>
      </c>
      <c r="DW350" s="695" t="str">
        <f>DW334</f>
        <v>2025</v>
      </c>
      <c r="DX350" s="280" t="str">
        <f t="shared" ref="DX350" si="342">DX334</f>
        <v>1h26</v>
      </c>
      <c r="DY350" s="280" t="str">
        <f t="shared" si="341"/>
        <v>2h26E</v>
      </c>
      <c r="DZ350" s="695" t="str">
        <f t="shared" si="341"/>
        <v>2026E</v>
      </c>
      <c r="EA350" s="280" t="str">
        <f t="shared" si="341"/>
        <v>1h27E</v>
      </c>
      <c r="EB350" s="280" t="str">
        <f t="shared" si="341"/>
        <v>2h27E</v>
      </c>
      <c r="EC350" s="695" t="str">
        <f t="shared" si="341"/>
        <v>2027E</v>
      </c>
      <c r="ED350" s="280" t="str">
        <f t="shared" ref="ED350:EL350" si="343">ED334</f>
        <v>1h28E</v>
      </c>
      <c r="EE350" s="280" t="str">
        <f t="shared" si="343"/>
        <v>2h28E</v>
      </c>
      <c r="EF350" s="695" t="str">
        <f t="shared" si="343"/>
        <v>2028E</v>
      </c>
      <c r="EG350" s="280" t="str">
        <f t="shared" si="343"/>
        <v>1h29E</v>
      </c>
      <c r="EH350" s="280" t="str">
        <f t="shared" si="343"/>
        <v>2h29E</v>
      </c>
      <c r="EI350" s="695" t="str">
        <f t="shared" si="343"/>
        <v>2029E</v>
      </c>
      <c r="EJ350" s="280" t="str">
        <f t="shared" si="343"/>
        <v>1h30E</v>
      </c>
      <c r="EK350" s="280" t="str">
        <f t="shared" si="343"/>
        <v>2h30E</v>
      </c>
      <c r="EL350" s="695" t="str">
        <f t="shared" si="343"/>
        <v>2030E</v>
      </c>
      <c r="EM350" s="280" t="str">
        <f t="shared" ref="EM350:ER350" si="344">EM334</f>
        <v>1h31E</v>
      </c>
      <c r="EN350" s="280" t="str">
        <f t="shared" si="344"/>
        <v>2h31E</v>
      </c>
      <c r="EO350" s="695" t="str">
        <f t="shared" si="344"/>
        <v>2031E</v>
      </c>
      <c r="EP350" s="280" t="str">
        <f t="shared" si="344"/>
        <v>1h32E</v>
      </c>
      <c r="EQ350" s="280" t="str">
        <f t="shared" si="344"/>
        <v>2h32E</v>
      </c>
      <c r="ER350" s="695" t="str">
        <f t="shared" si="344"/>
        <v>2032E</v>
      </c>
      <c r="ES350" s="280" t="str">
        <f t="shared" ref="ES350:FA350" si="345">ES334</f>
        <v>1h33E</v>
      </c>
      <c r="ET350" s="280" t="str">
        <f t="shared" si="345"/>
        <v>2h33E</v>
      </c>
      <c r="EU350" s="695" t="str">
        <f t="shared" si="345"/>
        <v>2033E</v>
      </c>
      <c r="EV350" s="280" t="str">
        <f t="shared" si="345"/>
        <v>1h34E</v>
      </c>
      <c r="EW350" s="280" t="str">
        <f t="shared" si="345"/>
        <v>2h34E</v>
      </c>
      <c r="EX350" s="695" t="str">
        <f t="shared" si="345"/>
        <v>2034E</v>
      </c>
      <c r="EY350" s="280" t="str">
        <f t="shared" si="345"/>
        <v>1h35E</v>
      </c>
      <c r="EZ350" s="280" t="str">
        <f t="shared" si="345"/>
        <v>2h35E</v>
      </c>
      <c r="FA350" s="540" t="str">
        <f t="shared" si="345"/>
        <v>2035E</v>
      </c>
    </row>
    <row r="351" spans="1:157" ht="12.75" customHeight="1">
      <c r="A351" s="760" t="s">
        <v>981</v>
      </c>
      <c r="B351" s="4" t="s">
        <v>827</v>
      </c>
      <c r="D351" s="294" t="str">
        <f>D335</f>
        <v>US$mn</v>
      </c>
      <c r="E351" s="251"/>
      <c r="F351" s="251"/>
      <c r="G351" s="252"/>
      <c r="H351" s="251"/>
      <c r="I351" s="251"/>
      <c r="J351" s="252"/>
      <c r="K351" s="251"/>
      <c r="L351" s="251"/>
      <c r="M351" s="252"/>
      <c r="N351" s="251"/>
      <c r="O351" s="251"/>
      <c r="P351" s="252"/>
      <c r="Q351" s="251"/>
      <c r="R351" s="251"/>
      <c r="S351" s="252"/>
      <c r="T351" s="251"/>
      <c r="U351" s="251"/>
      <c r="V351" s="252"/>
      <c r="W351" s="251"/>
      <c r="X351" s="251"/>
      <c r="Y351" s="252"/>
      <c r="Z351" s="251"/>
      <c r="AA351" s="251"/>
      <c r="AB351" s="252"/>
      <c r="AC351" s="251"/>
      <c r="AD351" s="251"/>
      <c r="AE351" s="252"/>
      <c r="AF351" s="251"/>
      <c r="AG351" s="251"/>
      <c r="AH351" s="252"/>
      <c r="AI351" s="251"/>
      <c r="AJ351" s="251"/>
      <c r="AK351" s="252"/>
      <c r="AL351" s="251"/>
      <c r="AM351" s="251"/>
      <c r="AN351" s="252"/>
      <c r="AO351" s="251"/>
      <c r="AP351" s="251"/>
      <c r="AQ351" s="252"/>
      <c r="AR351" s="251"/>
      <c r="AS351" s="251"/>
      <c r="AT351" s="252"/>
      <c r="AU351" s="251"/>
      <c r="AV351" s="251"/>
      <c r="AW351" s="252"/>
      <c r="AX351" s="251"/>
      <c r="AY351" s="251"/>
      <c r="AZ351" s="252"/>
      <c r="BA351" s="251"/>
      <c r="BB351" s="251"/>
      <c r="BC351" s="252"/>
      <c r="BD351" s="251"/>
      <c r="BE351" s="251"/>
      <c r="BF351" s="252"/>
      <c r="BG351" s="251"/>
      <c r="BH351" s="251"/>
      <c r="BI351" s="252"/>
      <c r="BJ351" s="251"/>
      <c r="BK351" s="251"/>
      <c r="BL351" s="252"/>
      <c r="BM351" s="251"/>
      <c r="BN351" s="198"/>
      <c r="BO351" s="79"/>
      <c r="BP351" s="259"/>
      <c r="BQ351" s="259"/>
      <c r="BR351" s="260"/>
      <c r="BS351" s="259"/>
      <c r="BT351" s="259"/>
      <c r="BU351" s="261"/>
      <c r="BV351" s="259"/>
      <c r="BW351" s="259"/>
      <c r="BX351" s="260"/>
      <c r="BY351" s="259"/>
      <c r="BZ351" s="259"/>
      <c r="CA351" s="260"/>
      <c r="CB351" s="259"/>
      <c r="CC351" s="259"/>
      <c r="CD351" s="260"/>
      <c r="CE351" s="259"/>
      <c r="CF351" s="259"/>
      <c r="CG351" s="260"/>
      <c r="CH351" s="259"/>
      <c r="CI351" s="259"/>
      <c r="CJ351" s="260"/>
      <c r="CK351" s="198"/>
      <c r="CL351" s="198"/>
      <c r="CM351" s="253"/>
      <c r="CN351" s="198"/>
      <c r="CO351" s="198"/>
      <c r="CP351" s="253"/>
      <c r="CQ351" s="198"/>
      <c r="CR351" s="198"/>
      <c r="CS351" s="253"/>
      <c r="CT351" s="198"/>
      <c r="CU351" s="198"/>
      <c r="CV351" s="253"/>
      <c r="CW351" s="198"/>
      <c r="CX351" s="198"/>
      <c r="CY351" s="521"/>
      <c r="CZ351" s="489"/>
      <c r="DA351" s="489"/>
      <c r="DB351" s="521"/>
      <c r="DC351" s="489"/>
      <c r="DD351" s="489"/>
      <c r="DE351" s="779"/>
      <c r="DF351" s="489"/>
      <c r="DG351" s="489"/>
      <c r="DH351" s="779"/>
      <c r="DI351" s="666">
        <v>336</v>
      </c>
      <c r="DJ351" s="837">
        <f>+DK351-DI351</f>
        <v>338</v>
      </c>
      <c r="DK351" s="834">
        <v>674</v>
      </c>
      <c r="DL351" s="666">
        <v>372</v>
      </c>
      <c r="DM351" s="837">
        <f>+DN351-DL351</f>
        <v>387</v>
      </c>
      <c r="DN351" s="834">
        <v>759</v>
      </c>
      <c r="DO351" s="666">
        <v>419</v>
      </c>
      <c r="DP351" s="837">
        <f>+DQ351-DO351</f>
        <v>395</v>
      </c>
      <c r="DQ351" s="834">
        <v>814</v>
      </c>
      <c r="DR351" s="666">
        <v>445</v>
      </c>
      <c r="DS351" s="837">
        <f>+DT351-DR351</f>
        <v>438</v>
      </c>
      <c r="DT351" s="834">
        <v>883</v>
      </c>
      <c r="DU351" s="831">
        <v>467</v>
      </c>
      <c r="DV351" s="837">
        <f>+DW351-DU351</f>
        <v>491</v>
      </c>
      <c r="DW351" s="1845">
        <f>+DW315+DW335</f>
        <v>958</v>
      </c>
      <c r="DX351" s="1893">
        <f>DX315+DX335</f>
        <v>475</v>
      </c>
      <c r="DY351" s="646">
        <f t="shared" ref="DY351:EW351" si="346">DY315+DY335</f>
        <v>496.23</v>
      </c>
      <c r="DZ351" s="674">
        <f>SUM(DX351:DY351)</f>
        <v>971.23</v>
      </c>
      <c r="EA351" s="646">
        <f t="shared" si="346"/>
        <v>492.53000000000003</v>
      </c>
      <c r="EB351" s="646">
        <f t="shared" si="346"/>
        <v>514.65629999999999</v>
      </c>
      <c r="EC351" s="674">
        <f>SUM(EA351:EB351)</f>
        <v>1007.1863000000001</v>
      </c>
      <c r="ED351" s="646">
        <f t="shared" si="346"/>
        <v>510.74650000000003</v>
      </c>
      <c r="EE351" s="646">
        <f t="shared" si="346"/>
        <v>533.80542300000002</v>
      </c>
      <c r="EF351" s="674">
        <f>SUM(ED351:EE351)</f>
        <v>1044.551923</v>
      </c>
      <c r="EG351" s="646">
        <f t="shared" si="346"/>
        <v>529.67681300000004</v>
      </c>
      <c r="EH351" s="646">
        <f t="shared" si="346"/>
        <v>553.70613963000005</v>
      </c>
      <c r="EI351" s="674">
        <f>SUM(EG351:EH351)</f>
        <v>1083.3829526300001</v>
      </c>
      <c r="EJ351" s="646">
        <f t="shared" si="346"/>
        <v>554.14126369000007</v>
      </c>
      <c r="EK351" s="646">
        <f t="shared" si="346"/>
        <v>579.43675955430012</v>
      </c>
      <c r="EL351" s="674">
        <f>SUM(EJ351:EK351)</f>
        <v>1133.5780232443003</v>
      </c>
      <c r="EM351" s="646">
        <f t="shared" si="346"/>
        <v>579.80874301490007</v>
      </c>
      <c r="EN351" s="646">
        <f t="shared" si="346"/>
        <v>606.43436360424312</v>
      </c>
      <c r="EO351" s="674">
        <f>SUM(EM351:EN351)</f>
        <v>1186.2431066191432</v>
      </c>
      <c r="EP351" s="646">
        <f t="shared" si="346"/>
        <v>606.73920046744911</v>
      </c>
      <c r="EQ351" s="646">
        <f t="shared" si="346"/>
        <v>634.76210551740553</v>
      </c>
      <c r="ER351" s="674">
        <f>SUM(EP351:EQ351)</f>
        <v>1241.5013059848548</v>
      </c>
      <c r="ES351" s="646">
        <f t="shared" si="346"/>
        <v>634.99558099564365</v>
      </c>
      <c r="ET351" s="646">
        <f t="shared" si="346"/>
        <v>664.48629476355563</v>
      </c>
      <c r="EU351" s="674">
        <f>SUM(ES351:ET351)</f>
        <v>1299.4818757591993</v>
      </c>
      <c r="EV351" s="646">
        <f t="shared" si="346"/>
        <v>664.6439747552962</v>
      </c>
      <c r="EW351" s="646">
        <f t="shared" si="346"/>
        <v>695.6765543117159</v>
      </c>
      <c r="EX351" s="674">
        <f>SUM(EV351:EW351)</f>
        <v>1360.3205290670121</v>
      </c>
      <c r="EY351" s="646">
        <f>EY315+EY335</f>
        <v>695.75377435002997</v>
      </c>
      <c r="EZ351" s="646">
        <f>EZ315+EZ335</f>
        <v>728.40598628538419</v>
      </c>
      <c r="FA351" s="776">
        <f>SUM(EY351:EZ351)</f>
        <v>1424.1597606354142</v>
      </c>
    </row>
    <row r="352" spans="1:157" ht="12.75" customHeight="1">
      <c r="A352" s="760"/>
      <c r="B352" s="4" t="s">
        <v>690</v>
      </c>
      <c r="D352" s="294" t="s">
        <v>507</v>
      </c>
      <c r="E352" s="251"/>
      <c r="F352" s="251"/>
      <c r="G352" s="252"/>
      <c r="H352" s="251"/>
      <c r="I352" s="251"/>
      <c r="J352" s="252"/>
      <c r="K352" s="251"/>
      <c r="L352" s="251"/>
      <c r="M352" s="252"/>
      <c r="N352" s="251"/>
      <c r="O352" s="251"/>
      <c r="P352" s="252"/>
      <c r="Q352" s="251"/>
      <c r="R352" s="251"/>
      <c r="S352" s="252"/>
      <c r="T352" s="251"/>
      <c r="U352" s="251"/>
      <c r="V352" s="252"/>
      <c r="W352" s="251"/>
      <c r="X352" s="251"/>
      <c r="Y352" s="252"/>
      <c r="Z352" s="251"/>
      <c r="AA352" s="251"/>
      <c r="AB352" s="252"/>
      <c r="AC352" s="251"/>
      <c r="AD352" s="251"/>
      <c r="AE352" s="252"/>
      <c r="AF352" s="251"/>
      <c r="AG352" s="251"/>
      <c r="AH352" s="252"/>
      <c r="AI352" s="251"/>
      <c r="AJ352" s="251"/>
      <c r="AK352" s="252"/>
      <c r="AL352" s="251"/>
      <c r="AM352" s="251"/>
      <c r="AN352" s="252"/>
      <c r="AO352" s="251"/>
      <c r="AP352" s="251"/>
      <c r="AQ352" s="252"/>
      <c r="AR352" s="251"/>
      <c r="AS352" s="251"/>
      <c r="AT352" s="252"/>
      <c r="AU352" s="251"/>
      <c r="AV352" s="251"/>
      <c r="AW352" s="252"/>
      <c r="AX352" s="251"/>
      <c r="AY352" s="251"/>
      <c r="AZ352" s="252"/>
      <c r="BA352" s="251"/>
      <c r="BB352" s="251"/>
      <c r="BC352" s="252"/>
      <c r="BD352" s="251"/>
      <c r="BE352" s="251"/>
      <c r="BF352" s="252"/>
      <c r="BG352" s="251"/>
      <c r="BH352" s="251"/>
      <c r="BI352" s="252"/>
      <c r="BJ352" s="251"/>
      <c r="BK352" s="251"/>
      <c r="BL352" s="252"/>
      <c r="BM352" s="251"/>
      <c r="BN352" s="198"/>
      <c r="BO352" s="79"/>
      <c r="BP352" s="259"/>
      <c r="BQ352" s="259"/>
      <c r="BR352" s="260"/>
      <c r="BS352" s="259"/>
      <c r="BT352" s="259"/>
      <c r="BU352" s="261"/>
      <c r="BV352" s="259"/>
      <c r="BW352" s="259"/>
      <c r="BX352" s="260"/>
      <c r="BY352" s="259"/>
      <c r="BZ352" s="259"/>
      <c r="CA352" s="260"/>
      <c r="CB352" s="259"/>
      <c r="CC352" s="259"/>
      <c r="CD352" s="260"/>
      <c r="CE352" s="259"/>
      <c r="CF352" s="259"/>
      <c r="CG352" s="260"/>
      <c r="CH352" s="259"/>
      <c r="CI352" s="259"/>
      <c r="CJ352" s="260"/>
      <c r="CK352" s="259"/>
      <c r="CL352" s="259"/>
      <c r="CM352" s="260"/>
      <c r="CN352" s="259"/>
      <c r="CO352" s="259"/>
      <c r="CP352" s="260"/>
      <c r="CQ352" s="259"/>
      <c r="CR352" s="259"/>
      <c r="CS352" s="260"/>
      <c r="CT352" s="259"/>
      <c r="CU352" s="259"/>
      <c r="CV352" s="260"/>
      <c r="CW352" s="259"/>
      <c r="CX352" s="259"/>
      <c r="CY352" s="334"/>
      <c r="CZ352" s="333"/>
      <c r="DA352" s="333"/>
      <c r="DB352" s="334"/>
      <c r="DC352" s="333"/>
      <c r="DD352" s="333"/>
      <c r="DE352" s="788"/>
      <c r="DF352" s="333"/>
      <c r="DG352" s="333"/>
      <c r="DH352" s="788"/>
      <c r="DI352" s="333"/>
      <c r="DJ352" s="333"/>
      <c r="DK352" s="700"/>
      <c r="DL352" s="848">
        <f t="shared" ref="DL352:EC352" si="347">DL351/DI351-1</f>
        <v>0.10714285714285721</v>
      </c>
      <c r="DM352" s="848">
        <f t="shared" si="347"/>
        <v>0.1449704142011834</v>
      </c>
      <c r="DN352" s="842">
        <f t="shared" si="347"/>
        <v>0.12611275964391688</v>
      </c>
      <c r="DO352" s="848">
        <f t="shared" si="347"/>
        <v>0.12634408602150549</v>
      </c>
      <c r="DP352" s="848">
        <f t="shared" si="347"/>
        <v>2.067183462532296E-2</v>
      </c>
      <c r="DQ352" s="842">
        <f t="shared" si="347"/>
        <v>7.2463768115942129E-2</v>
      </c>
      <c r="DR352" s="848">
        <f t="shared" si="347"/>
        <v>6.2052505966587068E-2</v>
      </c>
      <c r="DS352" s="848">
        <f t="shared" si="347"/>
        <v>0.1088607594936708</v>
      </c>
      <c r="DT352" s="842">
        <f t="shared" si="347"/>
        <v>8.4766584766584829E-2</v>
      </c>
      <c r="DU352" s="848">
        <f t="shared" si="347"/>
        <v>4.9438202247191088E-2</v>
      </c>
      <c r="DV352" s="848">
        <f>DV351/DS351-1</f>
        <v>0.12100456621004563</v>
      </c>
      <c r="DW352" s="842">
        <f>DW351/DT351-1</f>
        <v>8.4937712344280936E-2</v>
      </c>
      <c r="DX352" s="848">
        <f t="shared" si="347"/>
        <v>1.7130620985010614E-2</v>
      </c>
      <c r="DY352" s="848">
        <f t="shared" si="347"/>
        <v>1.0651731160896238E-2</v>
      </c>
      <c r="DZ352" s="842">
        <f t="shared" si="347"/>
        <v>1.3810020876826812E-2</v>
      </c>
      <c r="EA352" s="848">
        <f t="shared" si="347"/>
        <v>3.6905263157894774E-2</v>
      </c>
      <c r="EB352" s="848">
        <f t="shared" si="347"/>
        <v>3.7132579650565267E-2</v>
      </c>
      <c r="EC352" s="842">
        <f t="shared" si="347"/>
        <v>3.7021405846195066E-2</v>
      </c>
      <c r="ED352" s="848">
        <f t="shared" ref="ED352:EL352" si="348">ED351/EA351-1</f>
        <v>3.6985564331106779E-2</v>
      </c>
      <c r="EE352" s="848">
        <f t="shared" si="348"/>
        <v>3.7207594660747523E-2</v>
      </c>
      <c r="EF352" s="842">
        <f t="shared" si="348"/>
        <v>3.7099018324613819E-2</v>
      </c>
      <c r="EG352" s="848">
        <f t="shared" si="348"/>
        <v>3.706400924920672E-2</v>
      </c>
      <c r="EH352" s="848">
        <f t="shared" si="348"/>
        <v>3.7280843866586366E-2</v>
      </c>
      <c r="EI352" s="842">
        <f t="shared" si="348"/>
        <v>3.7174819915582136E-2</v>
      </c>
      <c r="EJ352" s="848">
        <f t="shared" si="348"/>
        <v>4.6187505455331346E-2</v>
      </c>
      <c r="EK352" s="848">
        <f t="shared" si="348"/>
        <v>4.646981148067808E-2</v>
      </c>
      <c r="EL352" s="842">
        <f t="shared" si="348"/>
        <v>4.6331789227851194E-2</v>
      </c>
      <c r="EM352" s="848">
        <f t="shared" ref="EM352:FA352" si="349">EM351/EJ351-1</f>
        <v>4.6319379203023869E-2</v>
      </c>
      <c r="EN352" s="848">
        <f t="shared" si="349"/>
        <v>4.65928396926516E-2</v>
      </c>
      <c r="EO352" s="842">
        <f t="shared" si="349"/>
        <v>4.6459160547339673E-2</v>
      </c>
      <c r="EP352" s="848">
        <f t="shared" si="349"/>
        <v>4.6447139297202567E-2</v>
      </c>
      <c r="EQ352" s="848">
        <f t="shared" si="349"/>
        <v>4.6711966889213086E-2</v>
      </c>
      <c r="ER352" s="842">
        <f t="shared" si="349"/>
        <v>4.6582525164846178E-2</v>
      </c>
      <c r="ES352" s="848">
        <f t="shared" si="349"/>
        <v>4.6570883348933112E-2</v>
      </c>
      <c r="ET352" s="848">
        <f t="shared" si="349"/>
        <v>4.6827290078889305E-2</v>
      </c>
      <c r="EU352" s="842">
        <f t="shared" si="349"/>
        <v>4.6701980493165873E-2</v>
      </c>
      <c r="EV352" s="848">
        <f t="shared" si="349"/>
        <v>4.6690708797004987E-2</v>
      </c>
      <c r="EW352" s="848">
        <f t="shared" si="349"/>
        <v>4.6938905729062119E-2</v>
      </c>
      <c r="EX352" s="842">
        <f t="shared" si="349"/>
        <v>4.6817623579604728E-2</v>
      </c>
      <c r="EY352" s="848">
        <f t="shared" si="349"/>
        <v>4.6806712730958822E-2</v>
      </c>
      <c r="EZ352" s="848">
        <f t="shared" si="349"/>
        <v>4.7046909617429744E-2</v>
      </c>
      <c r="FA352" s="849">
        <f t="shared" si="349"/>
        <v>4.6929550943546117E-2</v>
      </c>
    </row>
    <row r="353" spans="1:184" ht="12.75" customHeight="1">
      <c r="A353" s="760"/>
      <c r="B353" s="4"/>
      <c r="E353" s="251"/>
      <c r="F353" s="251"/>
      <c r="G353" s="252"/>
      <c r="H353" s="251"/>
      <c r="I353" s="251"/>
      <c r="J353" s="252"/>
      <c r="K353" s="251"/>
      <c r="L353" s="251"/>
      <c r="M353" s="252"/>
      <c r="N353" s="251"/>
      <c r="O353" s="251"/>
      <c r="P353" s="252"/>
      <c r="Q353" s="251"/>
      <c r="R353" s="251"/>
      <c r="S353" s="252"/>
      <c r="T353" s="251"/>
      <c r="U353" s="251"/>
      <c r="V353" s="252"/>
      <c r="W353" s="251"/>
      <c r="X353" s="251"/>
      <c r="Y353" s="252"/>
      <c r="Z353" s="251"/>
      <c r="AA353" s="251"/>
      <c r="AB353" s="252"/>
      <c r="AC353" s="251"/>
      <c r="AD353" s="251"/>
      <c r="AE353" s="252"/>
      <c r="AF353" s="251"/>
      <c r="AG353" s="251"/>
      <c r="AH353" s="252"/>
      <c r="AI353" s="251"/>
      <c r="AJ353" s="251"/>
      <c r="AK353" s="252"/>
      <c r="AL353" s="251"/>
      <c r="AM353" s="251"/>
      <c r="AN353" s="252"/>
      <c r="AO353" s="251"/>
      <c r="AP353" s="251"/>
      <c r="AQ353" s="252"/>
      <c r="AR353" s="251"/>
      <c r="AS353" s="251"/>
      <c r="AT353" s="252"/>
      <c r="AU353" s="251"/>
      <c r="AV353" s="251"/>
      <c r="AW353" s="252"/>
      <c r="AX353" s="251"/>
      <c r="AY353" s="251"/>
      <c r="AZ353" s="252"/>
      <c r="BA353" s="251"/>
      <c r="BB353" s="251"/>
      <c r="BC353" s="252"/>
      <c r="BD353" s="251"/>
      <c r="BE353" s="251"/>
      <c r="BF353" s="252"/>
      <c r="BG353" s="251"/>
      <c r="BH353" s="251"/>
      <c r="BI353" s="252"/>
      <c r="BJ353" s="251"/>
      <c r="BK353" s="251"/>
      <c r="BL353" s="252"/>
      <c r="BM353" s="251"/>
      <c r="BN353" s="198"/>
      <c r="BO353" s="79"/>
      <c r="BP353" s="259"/>
      <c r="BQ353" s="259"/>
      <c r="BR353" s="260"/>
      <c r="BS353" s="259"/>
      <c r="BT353" s="259"/>
      <c r="BU353" s="261"/>
      <c r="BV353" s="259"/>
      <c r="BW353" s="259"/>
      <c r="BX353" s="260"/>
      <c r="BY353" s="259"/>
      <c r="BZ353" s="259"/>
      <c r="CA353" s="260"/>
      <c r="CB353" s="259"/>
      <c r="CC353" s="259"/>
      <c r="CD353" s="260"/>
      <c r="CE353" s="259"/>
      <c r="CF353" s="259"/>
      <c r="CG353" s="260"/>
      <c r="CH353" s="259"/>
      <c r="CI353" s="259"/>
      <c r="CJ353" s="260"/>
      <c r="CK353" s="259"/>
      <c r="CL353" s="259"/>
      <c r="CM353" s="260"/>
      <c r="CN353" s="259"/>
      <c r="CO353" s="259"/>
      <c r="CP353" s="260"/>
      <c r="CQ353" s="259"/>
      <c r="CR353" s="259"/>
      <c r="CS353" s="260"/>
      <c r="CT353" s="259"/>
      <c r="CU353" s="259"/>
      <c r="CV353" s="260"/>
      <c r="CW353" s="259"/>
      <c r="CX353" s="259"/>
      <c r="CY353" s="334"/>
      <c r="CZ353" s="333"/>
      <c r="DA353" s="333"/>
      <c r="DB353" s="334"/>
      <c r="DC353" s="333"/>
      <c r="DD353" s="333"/>
      <c r="DE353" s="788"/>
      <c r="DF353" s="333"/>
      <c r="DG353" s="333"/>
      <c r="DH353" s="788"/>
      <c r="DI353" s="333"/>
      <c r="DJ353" s="333"/>
      <c r="DK353" s="700"/>
      <c r="DL353" s="333"/>
      <c r="DM353" s="333"/>
      <c r="DN353" s="700"/>
      <c r="DO353" s="333"/>
      <c r="DP353" s="333"/>
      <c r="DQ353" s="700"/>
      <c r="DR353" s="333"/>
      <c r="DS353" s="333"/>
      <c r="DT353" s="700"/>
      <c r="DU353" s="333"/>
      <c r="DV353" s="333"/>
      <c r="DW353" s="700"/>
      <c r="DX353" s="333"/>
      <c r="DY353" s="333"/>
      <c r="DZ353" s="700"/>
      <c r="EA353" s="333"/>
      <c r="EB353" s="333"/>
      <c r="EC353" s="700"/>
      <c r="ED353" s="333"/>
      <c r="EE353" s="333"/>
      <c r="EF353" s="700"/>
      <c r="EG353" s="333"/>
      <c r="EH353" s="333"/>
      <c r="EI353" s="700"/>
      <c r="EJ353" s="333"/>
      <c r="EK353" s="333"/>
      <c r="EL353" s="700"/>
      <c r="EM353" s="333"/>
      <c r="EN353" s="333"/>
      <c r="EO353" s="700"/>
      <c r="EP353" s="333"/>
      <c r="EQ353" s="333"/>
      <c r="ER353" s="700"/>
      <c r="ES353" s="333"/>
      <c r="ET353" s="333"/>
      <c r="EU353" s="700"/>
      <c r="EV353" s="333"/>
      <c r="EW353" s="333"/>
      <c r="EX353" s="700"/>
      <c r="EY353" s="333"/>
      <c r="EZ353" s="333"/>
      <c r="FA353" s="523"/>
    </row>
    <row r="354" spans="1:184" ht="12.75" customHeight="1">
      <c r="A354" s="760" t="s">
        <v>983</v>
      </c>
      <c r="B354" s="4" t="s">
        <v>982</v>
      </c>
      <c r="D354" s="294" t="str">
        <f>D338</f>
        <v>US$mn</v>
      </c>
      <c r="E354" s="251"/>
      <c r="F354" s="251"/>
      <c r="G354" s="252"/>
      <c r="H354" s="251"/>
      <c r="I354" s="251"/>
      <c r="J354" s="252"/>
      <c r="K354" s="251"/>
      <c r="L354" s="251"/>
      <c r="M354" s="252"/>
      <c r="N354" s="251"/>
      <c r="O354" s="251"/>
      <c r="P354" s="252"/>
      <c r="Q354" s="251"/>
      <c r="R354" s="251"/>
      <c r="S354" s="252"/>
      <c r="T354" s="251"/>
      <c r="U354" s="251"/>
      <c r="V354" s="252"/>
      <c r="W354" s="251"/>
      <c r="X354" s="251"/>
      <c r="Y354" s="252"/>
      <c r="Z354" s="251"/>
      <c r="AA354" s="251"/>
      <c r="AB354" s="252"/>
      <c r="AC354" s="251"/>
      <c r="AD354" s="251"/>
      <c r="AE354" s="252"/>
      <c r="AF354" s="251"/>
      <c r="AG354" s="251"/>
      <c r="AH354" s="252"/>
      <c r="AI354" s="251"/>
      <c r="AJ354" s="251"/>
      <c r="AK354" s="252"/>
      <c r="AL354" s="251"/>
      <c r="AM354" s="251"/>
      <c r="AN354" s="252"/>
      <c r="AO354" s="251"/>
      <c r="AP354" s="251"/>
      <c r="AQ354" s="252"/>
      <c r="AR354" s="251"/>
      <c r="AS354" s="251"/>
      <c r="AT354" s="252"/>
      <c r="AU354" s="251"/>
      <c r="AV354" s="251"/>
      <c r="AW354" s="252"/>
      <c r="AX354" s="251"/>
      <c r="AY354" s="251"/>
      <c r="AZ354" s="252"/>
      <c r="BA354" s="251"/>
      <c r="BB354" s="251"/>
      <c r="BC354" s="252"/>
      <c r="BD354" s="251"/>
      <c r="BE354" s="251"/>
      <c r="BF354" s="252"/>
      <c r="BG354" s="251"/>
      <c r="BH354" s="251"/>
      <c r="BI354" s="252"/>
      <c r="BJ354" s="251"/>
      <c r="BK354" s="251"/>
      <c r="BL354" s="252"/>
      <c r="BM354" s="251"/>
      <c r="BN354" s="198"/>
      <c r="BO354" s="79"/>
      <c r="BP354" s="259"/>
      <c r="BQ354" s="259"/>
      <c r="BR354" s="260"/>
      <c r="BS354" s="259"/>
      <c r="BT354" s="259"/>
      <c r="BU354" s="261"/>
      <c r="BV354" s="259"/>
      <c r="BW354" s="259"/>
      <c r="BX354" s="260"/>
      <c r="BY354" s="259"/>
      <c r="BZ354" s="259"/>
      <c r="CA354" s="260"/>
      <c r="CB354" s="259"/>
      <c r="CC354" s="259"/>
      <c r="CD354" s="260"/>
      <c r="CE354" s="259"/>
      <c r="CF354" s="259"/>
      <c r="CG354" s="260"/>
      <c r="CH354" s="259"/>
      <c r="CI354" s="259"/>
      <c r="CJ354" s="260"/>
      <c r="CK354" s="259"/>
      <c r="CL354" s="259"/>
      <c r="CM354" s="260"/>
      <c r="CN354" s="259"/>
      <c r="CO354" s="259"/>
      <c r="CP354" s="260"/>
      <c r="CQ354" s="259"/>
      <c r="CR354" s="259"/>
      <c r="CS354" s="260"/>
      <c r="CT354" s="259"/>
      <c r="CU354" s="259"/>
      <c r="CV354" s="260"/>
      <c r="CW354" s="259"/>
      <c r="CX354" s="259"/>
      <c r="CY354" s="334"/>
      <c r="CZ354" s="333"/>
      <c r="DA354" s="333"/>
      <c r="DB354" s="334"/>
      <c r="DC354" s="333"/>
      <c r="DD354" s="333"/>
      <c r="DE354" s="788"/>
      <c r="DF354" s="333"/>
      <c r="DG354" s="333"/>
      <c r="DH354" s="788"/>
      <c r="DI354" s="646">
        <f t="shared" ref="DI354:DQ354" si="350">+DI296+DI351</f>
        <v>563</v>
      </c>
      <c r="DJ354" s="646">
        <f t="shared" si="350"/>
        <v>544</v>
      </c>
      <c r="DK354" s="674">
        <f t="shared" si="350"/>
        <v>1107</v>
      </c>
      <c r="DL354" s="646">
        <f t="shared" si="350"/>
        <v>587</v>
      </c>
      <c r="DM354" s="646">
        <f t="shared" si="350"/>
        <v>579</v>
      </c>
      <c r="DN354" s="674">
        <f t="shared" si="350"/>
        <v>1166</v>
      </c>
      <c r="DO354" s="646">
        <f t="shared" si="350"/>
        <v>611</v>
      </c>
      <c r="DP354" s="646">
        <f t="shared" si="350"/>
        <v>582</v>
      </c>
      <c r="DQ354" s="674">
        <f t="shared" si="350"/>
        <v>1193</v>
      </c>
      <c r="DR354" s="831">
        <v>662</v>
      </c>
      <c r="DS354" s="646">
        <f>+DS296+DS351</f>
        <v>663</v>
      </c>
      <c r="DT354" s="674">
        <f>+DT296+DT351</f>
        <v>1313</v>
      </c>
      <c r="DU354" s="831">
        <v>731</v>
      </c>
      <c r="DV354" s="646">
        <f>+DW354-DU354</f>
        <v>757</v>
      </c>
      <c r="DW354" s="685">
        <v>1488</v>
      </c>
      <c r="DX354" s="831">
        <v>746</v>
      </c>
      <c r="DY354" s="646">
        <f>+DY296+DY331+DY351</f>
        <v>779.86184330484343</v>
      </c>
      <c r="DZ354" s="674">
        <f>+SUM(DX354:DY354)</f>
        <v>1525.8618433048434</v>
      </c>
      <c r="EA354" s="646">
        <f>+EA296+EA331+EA351</f>
        <v>810.71640000000002</v>
      </c>
      <c r="EB354" s="646">
        <f>+EB296+EB331+EB351</f>
        <v>851.79021904615388</v>
      </c>
      <c r="EC354" s="674">
        <f>+SUM(EA354:EB354)</f>
        <v>1662.5066190461539</v>
      </c>
      <c r="ED354" s="646">
        <f>+ED296+ED331+ED351</f>
        <v>870.15417264000007</v>
      </c>
      <c r="EE354" s="646">
        <f>+EE296+EE331+EE351</f>
        <v>916.39131659275085</v>
      </c>
      <c r="EF354" s="674">
        <f>+SUM(ED354:EE354)</f>
        <v>1786.5454892327509</v>
      </c>
      <c r="EG354" s="646">
        <f>+EG296+EG331+EG351</f>
        <v>935.51371085766402</v>
      </c>
      <c r="EH354" s="646">
        <f>+EH296+EH331+EH351</f>
        <v>987.56770175776592</v>
      </c>
      <c r="EI354" s="674">
        <f>+SUM(EG354:EH354)</f>
        <v>1923.0814126154301</v>
      </c>
      <c r="EJ354" s="646">
        <f>+EJ296+EJ331+EJ351</f>
        <v>992.83951788568891</v>
      </c>
      <c r="EK354" s="646">
        <f>+EK296+EK331+EK351</f>
        <v>1049.2226120393475</v>
      </c>
      <c r="EL354" s="674">
        <f>+SUM(EJ354:EK354)</f>
        <v>2042.0621299250365</v>
      </c>
      <c r="EM354" s="646">
        <f>+EM296+EM331+EM351</f>
        <v>1039.8233141103037</v>
      </c>
      <c r="EN354" s="646">
        <f>+EN296+EN331+EN351</f>
        <v>1099.0717426675787</v>
      </c>
      <c r="EO354" s="674">
        <f>+SUM(EM354:EN354)</f>
        <v>2138.8950567778825</v>
      </c>
      <c r="EP354" s="646">
        <f>+EP296+EP331+EP351</f>
        <v>1089.106459146994</v>
      </c>
      <c r="EQ354" s="646">
        <f>+EQ296+EQ331+EQ351</f>
        <v>1151.363229824156</v>
      </c>
      <c r="ER354" s="674">
        <f>+SUM(EP354:EQ354)</f>
        <v>2240.4696889711499</v>
      </c>
      <c r="ES354" s="646">
        <f>+ES296+ES331+ES351</f>
        <v>1140.8023148883349</v>
      </c>
      <c r="ET354" s="646">
        <f>+ET296+ET331+ET351</f>
        <v>1206.2175488873077</v>
      </c>
      <c r="EU354" s="674">
        <f>+SUM(ES354:ET354)</f>
        <v>2347.0198637756425</v>
      </c>
      <c r="EV354" s="646">
        <f>+EV296+EV331+EV351</f>
        <v>1195.0298425662795</v>
      </c>
      <c r="EW354" s="646">
        <f>+EW296+EW331+EW351</f>
        <v>1263.7611282467585</v>
      </c>
      <c r="EX354" s="674">
        <f>+SUM(EV354:EW354)</f>
        <v>2458.7909708130383</v>
      </c>
      <c r="EY354" s="646">
        <f>+EY296+EY331+EY351</f>
        <v>1251.913879523066</v>
      </c>
      <c r="EZ354" s="646">
        <f>+EZ296+EZ331+EZ351</f>
        <v>1324.1266436604847</v>
      </c>
      <c r="FA354" s="776">
        <f>+SUM(EY354:EZ354)</f>
        <v>2576.0405231835507</v>
      </c>
    </row>
    <row r="355" spans="1:184" ht="12.75" customHeight="1">
      <c r="A355" s="760"/>
      <c r="B355" s="4"/>
      <c r="E355" s="251"/>
      <c r="F355" s="251"/>
      <c r="G355" s="252"/>
      <c r="H355" s="251"/>
      <c r="I355" s="251"/>
      <c r="J355" s="252"/>
      <c r="K355" s="251"/>
      <c r="L355" s="251"/>
      <c r="M355" s="252"/>
      <c r="N355" s="251"/>
      <c r="O355" s="251"/>
      <c r="P355" s="252"/>
      <c r="Q355" s="251"/>
      <c r="R355" s="251"/>
      <c r="S355" s="252"/>
      <c r="T355" s="251"/>
      <c r="U355" s="251"/>
      <c r="V355" s="252"/>
      <c r="W355" s="251"/>
      <c r="X355" s="251"/>
      <c r="Y355" s="252"/>
      <c r="Z355" s="251"/>
      <c r="AA355" s="251"/>
      <c r="AB355" s="252"/>
      <c r="AC355" s="251"/>
      <c r="AD355" s="251"/>
      <c r="AE355" s="252"/>
      <c r="AF355" s="251"/>
      <c r="AG355" s="251"/>
      <c r="AH355" s="252"/>
      <c r="AI355" s="251"/>
      <c r="AJ355" s="251"/>
      <c r="AK355" s="252"/>
      <c r="AL355" s="251"/>
      <c r="AM355" s="251"/>
      <c r="AN355" s="252"/>
      <c r="AO355" s="251"/>
      <c r="AP355" s="251"/>
      <c r="AQ355" s="252"/>
      <c r="AR355" s="251"/>
      <c r="AS355" s="251"/>
      <c r="AT355" s="252"/>
      <c r="AU355" s="251"/>
      <c r="AV355" s="251"/>
      <c r="AW355" s="252"/>
      <c r="AX355" s="251"/>
      <c r="AY355" s="251"/>
      <c r="AZ355" s="252"/>
      <c r="BA355" s="251"/>
      <c r="BB355" s="251"/>
      <c r="BC355" s="252"/>
      <c r="BD355" s="251"/>
      <c r="BE355" s="251"/>
      <c r="BF355" s="252"/>
      <c r="BG355" s="251"/>
      <c r="BH355" s="251"/>
      <c r="BI355" s="252"/>
      <c r="BJ355" s="251"/>
      <c r="BK355" s="251"/>
      <c r="BL355" s="252"/>
      <c r="BM355" s="251"/>
      <c r="BN355" s="198"/>
      <c r="BO355" s="79"/>
      <c r="BP355" s="259"/>
      <c r="BQ355" s="259"/>
      <c r="BR355" s="260"/>
      <c r="BS355" s="259"/>
      <c r="BT355" s="259"/>
      <c r="BU355" s="261"/>
      <c r="BV355" s="259"/>
      <c r="BW355" s="259"/>
      <c r="BX355" s="260"/>
      <c r="BY355" s="259"/>
      <c r="BZ355" s="259"/>
      <c r="CA355" s="260"/>
      <c r="CB355" s="259"/>
      <c r="CC355" s="259"/>
      <c r="CD355" s="260"/>
      <c r="CE355" s="259"/>
      <c r="CF355" s="259"/>
      <c r="CG355" s="260"/>
      <c r="CH355" s="259"/>
      <c r="CI355" s="259"/>
      <c r="CJ355" s="260"/>
      <c r="CK355" s="259"/>
      <c r="CL355" s="259"/>
      <c r="CM355" s="260"/>
      <c r="CN355" s="259"/>
      <c r="CO355" s="259"/>
      <c r="CP355" s="260"/>
      <c r="CQ355" s="259"/>
      <c r="CR355" s="259"/>
      <c r="CS355" s="260"/>
      <c r="CT355" s="259"/>
      <c r="CU355" s="259"/>
      <c r="CV355" s="260"/>
      <c r="CW355" s="259"/>
      <c r="CX355" s="259"/>
      <c r="CY355" s="334"/>
      <c r="CZ355" s="333"/>
      <c r="DA355" s="333"/>
      <c r="DB355" s="334"/>
      <c r="DC355" s="333"/>
      <c r="DD355" s="333"/>
      <c r="DE355" s="788"/>
      <c r="DF355" s="333"/>
      <c r="DG355" s="333"/>
      <c r="DH355" s="788"/>
      <c r="DI355" s="333"/>
      <c r="DJ355" s="333"/>
      <c r="DK355" s="700"/>
      <c r="DL355" s="333"/>
      <c r="DM355" s="333"/>
      <c r="DN355" s="700"/>
      <c r="DO355" s="333"/>
      <c r="DP355" s="333"/>
      <c r="DQ355" s="700"/>
      <c r="DR355" s="333"/>
      <c r="DS355" s="333"/>
      <c r="DT355" s="700"/>
      <c r="DU355" s="333"/>
      <c r="DV355" s="333"/>
      <c r="DW355" s="700"/>
      <c r="DX355" s="333"/>
      <c r="DY355" s="333"/>
      <c r="DZ355" s="700"/>
      <c r="EA355" s="333"/>
      <c r="EB355" s="333"/>
      <c r="EC355" s="700"/>
      <c r="ED355" s="333"/>
      <c r="EE355" s="333"/>
      <c r="EF355" s="700"/>
      <c r="EG355" s="333"/>
      <c r="EH355" s="333"/>
      <c r="EI355" s="700"/>
      <c r="EJ355" s="333"/>
      <c r="EK355" s="333"/>
      <c r="EL355" s="700"/>
      <c r="EM355" s="333"/>
      <c r="EN355" s="333"/>
      <c r="EO355" s="700"/>
      <c r="EP355" s="333"/>
      <c r="EQ355" s="333"/>
      <c r="ER355" s="700"/>
      <c r="ES355" s="333"/>
      <c r="ET355" s="333"/>
      <c r="EU355" s="700"/>
      <c r="EV355" s="333"/>
      <c r="EW355" s="333"/>
      <c r="EX355" s="700"/>
      <c r="EY355" s="333"/>
      <c r="EZ355" s="333"/>
      <c r="FA355" s="523"/>
    </row>
    <row r="356" spans="1:184" ht="13.35" customHeight="1">
      <c r="A356" s="760"/>
      <c r="B356" s="245" t="s">
        <v>361</v>
      </c>
      <c r="C356" s="289"/>
      <c r="D356" s="290"/>
      <c r="E356" s="251"/>
      <c r="F356" s="251"/>
      <c r="G356" s="252"/>
      <c r="H356" s="251"/>
      <c r="I356" s="251"/>
      <c r="J356" s="252"/>
      <c r="K356" s="251"/>
      <c r="L356" s="251"/>
      <c r="M356" s="252"/>
      <c r="N356" s="251"/>
      <c r="O356" s="251"/>
      <c r="P356" s="252"/>
      <c r="Q356" s="251"/>
      <c r="R356" s="251"/>
      <c r="S356" s="252"/>
      <c r="T356" s="251"/>
      <c r="U356" s="251"/>
      <c r="V356" s="252"/>
      <c r="W356" s="251"/>
      <c r="X356" s="251"/>
      <c r="Y356" s="252"/>
      <c r="Z356" s="251"/>
      <c r="AA356" s="251"/>
      <c r="AB356" s="252"/>
      <c r="AC356" s="251"/>
      <c r="AD356" s="251"/>
      <c r="AE356" s="252"/>
      <c r="AF356" s="251"/>
      <c r="AG356" s="251"/>
      <c r="AH356" s="252"/>
      <c r="AI356" s="251"/>
      <c r="AJ356" s="251"/>
      <c r="AK356" s="252"/>
      <c r="AL356" s="251"/>
      <c r="AM356" s="251"/>
      <c r="AN356" s="252"/>
      <c r="AO356" s="291"/>
      <c r="AP356" s="291"/>
      <c r="AQ356" s="252"/>
      <c r="AR356" s="251"/>
      <c r="AS356" s="251"/>
      <c r="AT356" s="252"/>
      <c r="AU356" s="251"/>
      <c r="AV356" s="251"/>
      <c r="AW356" s="252"/>
      <c r="AX356" s="251"/>
      <c r="AY356" s="251"/>
      <c r="AZ356" s="252"/>
      <c r="BA356" s="251"/>
      <c r="BB356" s="251"/>
      <c r="BC356" s="252"/>
      <c r="BD356" s="251"/>
      <c r="BE356" s="251"/>
      <c r="BF356" s="252"/>
      <c r="BG356" s="251"/>
      <c r="BH356" s="251"/>
      <c r="BI356" s="252"/>
      <c r="BJ356" s="251"/>
      <c r="BK356" s="251"/>
      <c r="BL356" s="252"/>
      <c r="BM356" s="280"/>
      <c r="BN356" s="280"/>
      <c r="BO356" s="280"/>
      <c r="BP356" s="280"/>
      <c r="BQ356" s="280"/>
      <c r="BR356" s="280"/>
      <c r="BS356" s="280"/>
      <c r="BT356" s="280"/>
      <c r="BU356" s="281"/>
      <c r="BV356" s="280"/>
      <c r="BW356" s="280"/>
      <c r="BX356" s="280"/>
      <c r="BY356" s="280"/>
      <c r="BZ356" s="280"/>
      <c r="CA356" s="280"/>
      <c r="CB356" s="280"/>
      <c r="CC356" s="280"/>
      <c r="CD356" s="280"/>
      <c r="CE356" s="280"/>
      <c r="CF356" s="280"/>
      <c r="CG356" s="280"/>
      <c r="CH356" s="280"/>
      <c r="CI356" s="280"/>
      <c r="CJ356" s="280"/>
      <c r="CK356" s="280"/>
      <c r="CL356" s="280"/>
      <c r="CM356" s="280"/>
      <c r="CN356" s="280"/>
      <c r="CO356" s="280"/>
      <c r="CP356" s="280"/>
      <c r="CQ356" s="280"/>
      <c r="CR356" s="280"/>
      <c r="CS356" s="280"/>
      <c r="CT356" s="280"/>
      <c r="CU356" s="280"/>
      <c r="CV356" s="280"/>
      <c r="CW356" s="280"/>
      <c r="CX356" s="280"/>
      <c r="CY356" s="280"/>
      <c r="CZ356" s="280"/>
      <c r="DA356" s="280"/>
      <c r="DB356" s="280"/>
      <c r="DC356" s="280"/>
      <c r="DD356" s="280"/>
      <c r="DE356" s="785"/>
      <c r="DF356" s="280"/>
      <c r="DG356" s="280"/>
      <c r="DH356" s="785"/>
      <c r="DI356" s="280" t="s">
        <v>930</v>
      </c>
      <c r="DJ356" s="280" t="s">
        <v>931</v>
      </c>
      <c r="DK356" s="695" t="s">
        <v>932</v>
      </c>
      <c r="DL356" s="280" t="str">
        <f t="shared" ref="DL356:EX356" si="351">DL102</f>
        <v>1h22</v>
      </c>
      <c r="DM356" s="280" t="str">
        <f t="shared" si="351"/>
        <v>2h22</v>
      </c>
      <c r="DN356" s="695" t="str">
        <f t="shared" si="351"/>
        <v>2022</v>
      </c>
      <c r="DO356" s="280" t="str">
        <f t="shared" si="351"/>
        <v>1h23</v>
      </c>
      <c r="DP356" s="280" t="str">
        <f t="shared" si="351"/>
        <v>2h23</v>
      </c>
      <c r="DQ356" s="695" t="str">
        <f t="shared" si="351"/>
        <v>2023</v>
      </c>
      <c r="DR356" s="280" t="str">
        <f t="shared" si="351"/>
        <v>1h24</v>
      </c>
      <c r="DS356" s="280" t="str">
        <f t="shared" si="351"/>
        <v>2h24</v>
      </c>
      <c r="DT356" s="695" t="str">
        <f t="shared" si="351"/>
        <v>2024</v>
      </c>
      <c r="DU356" s="280" t="str">
        <f t="shared" si="351"/>
        <v>1h25</v>
      </c>
      <c r="DV356" s="280" t="str">
        <f>DV102</f>
        <v>2h25</v>
      </c>
      <c r="DW356" s="695" t="str">
        <f>DW102</f>
        <v>2025</v>
      </c>
      <c r="DX356" s="280" t="str">
        <f t="shared" si="351"/>
        <v>1h26</v>
      </c>
      <c r="DY356" s="280" t="str">
        <f t="shared" si="351"/>
        <v>2h26E</v>
      </c>
      <c r="DZ356" s="695" t="str">
        <f t="shared" si="351"/>
        <v>2026E</v>
      </c>
      <c r="EA356" s="280" t="str">
        <f t="shared" si="351"/>
        <v>1h27E</v>
      </c>
      <c r="EB356" s="280" t="str">
        <f t="shared" si="351"/>
        <v>2h27E</v>
      </c>
      <c r="EC356" s="695" t="str">
        <f t="shared" si="351"/>
        <v>2027E</v>
      </c>
      <c r="ED356" s="280" t="str">
        <f t="shared" si="351"/>
        <v>1h28E</v>
      </c>
      <c r="EE356" s="280" t="str">
        <f t="shared" si="351"/>
        <v>2h28E</v>
      </c>
      <c r="EF356" s="695" t="str">
        <f t="shared" si="351"/>
        <v>2028E</v>
      </c>
      <c r="EG356" s="280" t="str">
        <f t="shared" si="351"/>
        <v>1h29E</v>
      </c>
      <c r="EH356" s="280" t="str">
        <f t="shared" si="351"/>
        <v>2h29E</v>
      </c>
      <c r="EI356" s="695" t="str">
        <f t="shared" si="351"/>
        <v>2029E</v>
      </c>
      <c r="EJ356" s="280" t="str">
        <f t="shared" si="351"/>
        <v>1h30E</v>
      </c>
      <c r="EK356" s="280" t="str">
        <f t="shared" si="351"/>
        <v>2h30E</v>
      </c>
      <c r="EL356" s="695" t="str">
        <f t="shared" si="351"/>
        <v>2030E</v>
      </c>
      <c r="EM356" s="280" t="str">
        <f t="shared" si="351"/>
        <v>1h31E</v>
      </c>
      <c r="EN356" s="280" t="str">
        <f t="shared" si="351"/>
        <v>2h31E</v>
      </c>
      <c r="EO356" s="695" t="str">
        <f t="shared" si="351"/>
        <v>2031E</v>
      </c>
      <c r="EP356" s="280" t="str">
        <f t="shared" si="351"/>
        <v>1h32E</v>
      </c>
      <c r="EQ356" s="280" t="str">
        <f t="shared" si="351"/>
        <v>2h32E</v>
      </c>
      <c r="ER356" s="695" t="str">
        <f t="shared" si="351"/>
        <v>2032E</v>
      </c>
      <c r="ES356" s="280" t="str">
        <f t="shared" si="351"/>
        <v>1h33E</v>
      </c>
      <c r="ET356" s="280" t="str">
        <f t="shared" si="351"/>
        <v>2h33E</v>
      </c>
      <c r="EU356" s="695" t="str">
        <f t="shared" si="351"/>
        <v>2033E</v>
      </c>
      <c r="EV356" s="280" t="str">
        <f t="shared" si="351"/>
        <v>1h34E</v>
      </c>
      <c r="EW356" s="280" t="str">
        <f t="shared" si="351"/>
        <v>2h34E</v>
      </c>
      <c r="EX356" s="695" t="str">
        <f t="shared" si="351"/>
        <v>2034E</v>
      </c>
      <c r="EY356" s="280" t="str">
        <f>EY102</f>
        <v>1h35E</v>
      </c>
      <c r="EZ356" s="280" t="str">
        <f>EZ102</f>
        <v>2h35E</v>
      </c>
      <c r="FA356" s="540" t="str">
        <f>FA102</f>
        <v>2035E</v>
      </c>
    </row>
    <row r="357" spans="1:184" ht="13.35" customHeight="1">
      <c r="B357" s="4"/>
      <c r="C357" s="4" t="s">
        <v>434</v>
      </c>
      <c r="D357" s="250" t="s">
        <v>357</v>
      </c>
      <c r="E357" s="251"/>
      <c r="F357" s="251"/>
      <c r="G357" s="252"/>
      <c r="H357" s="251"/>
      <c r="I357" s="251"/>
      <c r="J357" s="252"/>
      <c r="K357" s="251"/>
      <c r="L357" s="251"/>
      <c r="M357" s="252"/>
      <c r="N357" s="251"/>
      <c r="O357" s="251"/>
      <c r="P357" s="252"/>
      <c r="Q357" s="251"/>
      <c r="R357" s="251"/>
      <c r="S357" s="252"/>
      <c r="T357" s="251"/>
      <c r="U357" s="251"/>
      <c r="V357" s="252"/>
      <c r="W357" s="251"/>
      <c r="X357" s="251"/>
      <c r="Y357" s="252"/>
      <c r="Z357" s="251"/>
      <c r="AA357" s="251"/>
      <c r="AB357" s="252"/>
      <c r="AC357" s="251"/>
      <c r="AD357" s="251"/>
      <c r="AE357" s="252"/>
      <c r="AF357" s="251"/>
      <c r="AG357" s="251"/>
      <c r="AH357" s="252"/>
      <c r="AI357" s="251"/>
      <c r="AJ357" s="251"/>
      <c r="AK357" s="252"/>
      <c r="AL357" s="251"/>
      <c r="AM357" s="251"/>
      <c r="AN357" s="252"/>
      <c r="AO357" s="251"/>
      <c r="AP357" s="251"/>
      <c r="AQ357" s="252"/>
      <c r="AR357" s="251"/>
      <c r="AS357" s="251"/>
      <c r="AT357" s="252"/>
      <c r="AU357" s="251"/>
      <c r="AV357" s="251"/>
      <c r="AW357" s="252"/>
      <c r="AX357" s="251"/>
      <c r="AY357" s="251"/>
      <c r="AZ357" s="252"/>
      <c r="BA357" s="251"/>
      <c r="BB357" s="251"/>
      <c r="BC357" s="252"/>
      <c r="BD357" s="251"/>
      <c r="BE357" s="251"/>
      <c r="BF357" s="252"/>
      <c r="BG357" s="251"/>
      <c r="BH357" s="251"/>
      <c r="BI357" s="252"/>
      <c r="BJ357" s="251"/>
      <c r="BK357" s="251"/>
      <c r="BL357" s="252"/>
      <c r="BM357" s="198"/>
      <c r="BN357" s="198"/>
      <c r="BO357" s="79"/>
      <c r="BP357" s="198"/>
      <c r="BQ357" s="198"/>
      <c r="BR357" s="79"/>
      <c r="BS357" s="198"/>
      <c r="BT357" s="198"/>
      <c r="BU357" s="254"/>
      <c r="BV357" s="198"/>
      <c r="BW357" s="198"/>
      <c r="BX357" s="79"/>
      <c r="BY357" s="198"/>
      <c r="BZ357" s="198"/>
      <c r="CA357" s="79"/>
      <c r="CB357" s="198"/>
      <c r="CC357" s="198"/>
      <c r="CD357" s="79"/>
      <c r="CE357" s="198"/>
      <c r="CF357" s="198"/>
      <c r="CG357" s="79"/>
      <c r="CH357" s="198"/>
      <c r="CI357" s="198"/>
      <c r="CJ357" s="79"/>
      <c r="CK357" s="198"/>
      <c r="CL357" s="198"/>
      <c r="CM357" s="79"/>
      <c r="CN357" s="198"/>
      <c r="CO357" s="198"/>
      <c r="CP357" s="79"/>
      <c r="CQ357" s="198"/>
      <c r="CR357" s="198"/>
      <c r="CS357" s="79"/>
      <c r="CT357" s="198"/>
      <c r="CU357" s="198"/>
      <c r="CV357" s="79"/>
      <c r="CW357" s="198"/>
      <c r="CX357" s="198"/>
      <c r="CY357" s="488"/>
      <c r="CZ357" s="489"/>
      <c r="DA357" s="489"/>
      <c r="DB357" s="488"/>
      <c r="DC357" s="489"/>
      <c r="DD357" s="489"/>
      <c r="DE357" s="783"/>
      <c r="DF357" s="489"/>
      <c r="DG357" s="489"/>
      <c r="DH357" s="783"/>
      <c r="DI357" s="646">
        <f>DI129</f>
        <v>4256.0256347644754</v>
      </c>
      <c r="DJ357" s="646">
        <f>DJ129</f>
        <v>4171.1237854531682</v>
      </c>
      <c r="DK357" s="674">
        <f>SUM(DI357:DJ357)</f>
        <v>8427.1494202176436</v>
      </c>
      <c r="DL357" s="646">
        <f>DL129</f>
        <v>4135.749925876089</v>
      </c>
      <c r="DM357" s="646">
        <f>DM129</f>
        <v>4063.2780358459813</v>
      </c>
      <c r="DN357" s="674">
        <f>SUM(DL357:DM357)</f>
        <v>8199.0279617220694</v>
      </c>
      <c r="DO357" s="646">
        <f>DO129</f>
        <v>4336</v>
      </c>
      <c r="DP357" s="646">
        <f>DP129</f>
        <v>4472</v>
      </c>
      <c r="DQ357" s="674">
        <f>SUM(DO357:DP357)</f>
        <v>8808</v>
      </c>
      <c r="DR357" s="646">
        <f>DR129</f>
        <v>4996</v>
      </c>
      <c r="DS357" s="646">
        <f>DS129</f>
        <v>5132</v>
      </c>
      <c r="DT357" s="674">
        <f>SUM(DR357:DS357)</f>
        <v>10128</v>
      </c>
      <c r="DU357" s="646">
        <f>DU129</f>
        <v>5498</v>
      </c>
      <c r="DV357" s="646">
        <f>DV129</f>
        <v>5224.8</v>
      </c>
      <c r="DW357" s="674">
        <f>SUM(DU357:DV357)</f>
        <v>10722.8</v>
      </c>
      <c r="DX357" s="646">
        <f>DX129</f>
        <v>5214</v>
      </c>
      <c r="DY357" s="646">
        <f>DY129</f>
        <v>5914.2196661696617</v>
      </c>
      <c r="DZ357" s="674">
        <f>SUM(DX357:DY357)</f>
        <v>11128.219666169662</v>
      </c>
      <c r="EA357" s="646">
        <f>EA129</f>
        <v>5752.3418499384252</v>
      </c>
      <c r="EB357" s="646">
        <f>EB129</f>
        <v>6250.5930183309383</v>
      </c>
      <c r="EC357" s="674">
        <f>SUM(EA357:EB357)</f>
        <v>12002.934868269364</v>
      </c>
      <c r="ED357" s="646">
        <f>ED129</f>
        <v>6161.2334348241147</v>
      </c>
      <c r="EE357" s="646">
        <f>EE129</f>
        <v>6696.2800588974715</v>
      </c>
      <c r="EF357" s="674">
        <f>SUM(ED357:EE357)</f>
        <v>12857.513493721586</v>
      </c>
      <c r="EG357" s="646">
        <f>EG129</f>
        <v>6605.2874648056022</v>
      </c>
      <c r="EH357" s="646">
        <f>EH129</f>
        <v>7190.5317641992915</v>
      </c>
      <c r="EI357" s="674">
        <f>SUM(EG357:EH357)</f>
        <v>13795.819229004894</v>
      </c>
      <c r="EJ357" s="646">
        <f>EJ129</f>
        <v>7069.9231156922588</v>
      </c>
      <c r="EK357" s="646">
        <f>EK129</f>
        <v>7729.736432899329</v>
      </c>
      <c r="EL357" s="674">
        <f>SUM(EJ357:EK357)</f>
        <v>14799.659548591588</v>
      </c>
      <c r="EM357" s="646">
        <f>EM129</f>
        <v>7519.8707740288301</v>
      </c>
      <c r="EN357" s="646">
        <f>EN129</f>
        <v>8194.9074774398414</v>
      </c>
      <c r="EO357" s="674">
        <f>SUM(EM357:EN357)</f>
        <v>15714.778251468671</v>
      </c>
      <c r="EP357" s="646">
        <f>EP129</f>
        <v>7988.1590534283869</v>
      </c>
      <c r="EQ357" s="646">
        <f>EQ129</f>
        <v>8717.7443858708939</v>
      </c>
      <c r="ER357" s="674">
        <f>SUM(EP357:EQ357)</f>
        <v>16705.90343929928</v>
      </c>
      <c r="ES357" s="646">
        <f>ES129</f>
        <v>8499.249301007927</v>
      </c>
      <c r="ET357" s="646">
        <f>ET129</f>
        <v>9275.408565486232</v>
      </c>
      <c r="EU357" s="674">
        <f>SUM(ES357:ET357)</f>
        <v>17774.657866494159</v>
      </c>
      <c r="EV357" s="646">
        <f>EV129</f>
        <v>9044.4563873061015</v>
      </c>
      <c r="EW357" s="646">
        <f>EW129</f>
        <v>9870.2677989835192</v>
      </c>
      <c r="EX357" s="674">
        <f>SUM(EV357:EW357)</f>
        <v>18914.724186289619</v>
      </c>
      <c r="EY357" s="646">
        <f>EY129</f>
        <v>9626.1042941540036</v>
      </c>
      <c r="EZ357" s="646">
        <f>EZ129</f>
        <v>10504.853398986514</v>
      </c>
      <c r="FA357" s="776">
        <f>SUM(EY357:EZ357)</f>
        <v>20130.957693140517</v>
      </c>
      <c r="FP357" s="349"/>
      <c r="FQ357" s="349"/>
      <c r="FR357" s="349"/>
    </row>
    <row r="358" spans="1:184" ht="13.35" customHeight="1">
      <c r="A358" s="760"/>
      <c r="B358" s="4"/>
      <c r="C358" s="4" t="s">
        <v>178</v>
      </c>
      <c r="D358" s="250" t="s">
        <v>507</v>
      </c>
      <c r="E358" s="251"/>
      <c r="F358" s="251"/>
      <c r="G358" s="252"/>
      <c r="H358" s="251"/>
      <c r="I358" s="251"/>
      <c r="J358" s="252"/>
      <c r="K358" s="251"/>
      <c r="L358" s="251"/>
      <c r="M358" s="252"/>
      <c r="N358" s="251"/>
      <c r="O358" s="251"/>
      <c r="P358" s="252"/>
      <c r="Q358" s="251"/>
      <c r="R358" s="251"/>
      <c r="S358" s="252"/>
      <c r="T358" s="251"/>
      <c r="U358" s="251"/>
      <c r="V358" s="252"/>
      <c r="W358" s="251"/>
      <c r="X358" s="251"/>
      <c r="Y358" s="252"/>
      <c r="Z358" s="251"/>
      <c r="AA358" s="251"/>
      <c r="AB358" s="252"/>
      <c r="AC358" s="251"/>
      <c r="AD358" s="251"/>
      <c r="AE358" s="252"/>
      <c r="AF358" s="251"/>
      <c r="AG358" s="251"/>
      <c r="AH358" s="252"/>
      <c r="AI358" s="251"/>
      <c r="AJ358" s="251"/>
      <c r="AK358" s="252"/>
      <c r="AL358" s="251"/>
      <c r="AM358" s="251"/>
      <c r="AN358" s="252"/>
      <c r="AO358" s="251"/>
      <c r="AP358" s="251"/>
      <c r="AQ358" s="252"/>
      <c r="AR358" s="251"/>
      <c r="AS358" s="251"/>
      <c r="AT358" s="252"/>
      <c r="AU358" s="251"/>
      <c r="AV358" s="251"/>
      <c r="AW358" s="252"/>
      <c r="AX358" s="251"/>
      <c r="AY358" s="251"/>
      <c r="AZ358" s="252"/>
      <c r="BA358" s="251"/>
      <c r="BB358" s="251"/>
      <c r="BC358" s="252"/>
      <c r="BD358" s="251"/>
      <c r="BE358" s="251"/>
      <c r="BF358" s="252"/>
      <c r="BG358" s="251"/>
      <c r="BH358" s="251"/>
      <c r="BI358" s="252"/>
      <c r="BJ358" s="251"/>
      <c r="BK358" s="251"/>
      <c r="BL358" s="252"/>
      <c r="BM358" s="251"/>
      <c r="BN358" s="251"/>
      <c r="BO358" s="79"/>
      <c r="BP358" s="259"/>
      <c r="BQ358" s="259"/>
      <c r="BR358" s="260"/>
      <c r="BS358" s="259"/>
      <c r="BT358" s="259"/>
      <c r="BU358" s="261"/>
      <c r="BV358" s="259"/>
      <c r="BW358" s="259"/>
      <c r="BX358" s="260"/>
      <c r="BY358" s="259"/>
      <c r="BZ358" s="259"/>
      <c r="CA358" s="260"/>
      <c r="CB358" s="259"/>
      <c r="CC358" s="259"/>
      <c r="CD358" s="260"/>
      <c r="CE358" s="259"/>
      <c r="CF358" s="259"/>
      <c r="CG358" s="260"/>
      <c r="CH358" s="259"/>
      <c r="CI358" s="259"/>
      <c r="CJ358" s="260"/>
      <c r="CK358" s="259"/>
      <c r="CL358" s="259"/>
      <c r="CM358" s="260"/>
      <c r="CN358" s="259"/>
      <c r="CO358" s="259"/>
      <c r="CP358" s="260"/>
      <c r="CQ358" s="259"/>
      <c r="CR358" s="259"/>
      <c r="CS358" s="260"/>
      <c r="CT358" s="259"/>
      <c r="CU358" s="259"/>
      <c r="CV358" s="260"/>
      <c r="CW358" s="259"/>
      <c r="CX358" s="259"/>
      <c r="CY358" s="334"/>
      <c r="CZ358" s="333"/>
      <c r="DA358" s="333"/>
      <c r="DB358" s="334"/>
      <c r="DC358" s="333"/>
      <c r="DD358" s="333"/>
      <c r="DE358" s="788"/>
      <c r="DF358" s="333"/>
      <c r="DG358" s="333"/>
      <c r="DH358" s="788"/>
      <c r="DI358" s="333"/>
      <c r="DJ358" s="333"/>
      <c r="DK358" s="700"/>
      <c r="DL358" s="848">
        <f t="shared" ref="DL358:EL358" si="352">DL357/DI357-1</f>
        <v>-2.8260099729178978E-2</v>
      </c>
      <c r="DM358" s="848">
        <f t="shared" si="352"/>
        <v>-2.5855322247519963E-2</v>
      </c>
      <c r="DN358" s="842">
        <f t="shared" si="352"/>
        <v>-2.7069824815053822E-2</v>
      </c>
      <c r="DO358" s="848">
        <f t="shared" si="352"/>
        <v>4.8419289781282293E-2</v>
      </c>
      <c r="DP358" s="848">
        <f t="shared" si="352"/>
        <v>0.10058921898730522</v>
      </c>
      <c r="DQ358" s="842">
        <f t="shared" si="352"/>
        <v>7.4273687212798034E-2</v>
      </c>
      <c r="DR358" s="848">
        <f t="shared" si="352"/>
        <v>0.15221402214022151</v>
      </c>
      <c r="DS358" s="848">
        <f t="shared" si="352"/>
        <v>0.14758497316636854</v>
      </c>
      <c r="DT358" s="842">
        <f t="shared" si="352"/>
        <v>0.14986376021798375</v>
      </c>
      <c r="DU358" s="848">
        <f t="shared" si="352"/>
        <v>0.10048038430744599</v>
      </c>
      <c r="DV358" s="848">
        <f>DV357/DS357-1</f>
        <v>1.808261886204221E-2</v>
      </c>
      <c r="DW358" s="842">
        <f>DW357/DT357-1</f>
        <v>5.8728278041074278E-2</v>
      </c>
      <c r="DX358" s="848">
        <f t="shared" si="352"/>
        <v>-5.1655147326300499E-2</v>
      </c>
      <c r="DY358" s="848">
        <f t="shared" si="352"/>
        <v>0.131951398363509</v>
      </c>
      <c r="DZ358" s="842">
        <f t="shared" si="352"/>
        <v>3.7809123192604766E-2</v>
      </c>
      <c r="EA358" s="848">
        <f t="shared" si="352"/>
        <v>0.10324929994983223</v>
      </c>
      <c r="EB358" s="848">
        <f t="shared" si="352"/>
        <v>5.6875356538646837E-2</v>
      </c>
      <c r="EC358" s="842">
        <f t="shared" si="352"/>
        <v>7.8603337132073348E-2</v>
      </c>
      <c r="ED358" s="848">
        <f t="shared" si="352"/>
        <v>7.1082629571131317E-2</v>
      </c>
      <c r="EE358" s="848">
        <f t="shared" si="352"/>
        <v>7.1303161037597373E-2</v>
      </c>
      <c r="EF358" s="842">
        <f t="shared" si="352"/>
        <v>7.1197472520771798E-2</v>
      </c>
      <c r="EG358" s="848">
        <f t="shared" si="352"/>
        <v>7.2072261938922022E-2</v>
      </c>
      <c r="EH358" s="848">
        <f t="shared" si="352"/>
        <v>7.3809891604682543E-2</v>
      </c>
      <c r="EI358" s="842">
        <f t="shared" si="352"/>
        <v>7.2977231230711093E-2</v>
      </c>
      <c r="EJ358" s="848">
        <f t="shared" si="352"/>
        <v>7.0342987093648279E-2</v>
      </c>
      <c r="EK358" s="848">
        <f t="shared" si="352"/>
        <v>7.4988149191505649E-2</v>
      </c>
      <c r="EL358" s="842">
        <f t="shared" si="352"/>
        <v>7.2764096348564733E-2</v>
      </c>
      <c r="EM358" s="848">
        <f t="shared" ref="EM358:FA358" si="353">EM357/EJ357-1</f>
        <v>6.3642510812865316E-2</v>
      </c>
      <c r="EN358" s="848">
        <f t="shared" si="353"/>
        <v>6.0179418610012414E-2</v>
      </c>
      <c r="EO358" s="842">
        <f t="shared" si="353"/>
        <v>6.1833767180419441E-2</v>
      </c>
      <c r="EP358" s="848">
        <f t="shared" si="353"/>
        <v>6.2273447705627039E-2</v>
      </c>
      <c r="EQ358" s="848">
        <f t="shared" si="353"/>
        <v>6.3800221036100169E-2</v>
      </c>
      <c r="ER358" s="842">
        <f t="shared" si="353"/>
        <v>6.3069626053296579E-2</v>
      </c>
      <c r="ES358" s="848">
        <f t="shared" si="353"/>
        <v>6.3980980368710583E-2</v>
      </c>
      <c r="ET358" s="848">
        <f t="shared" si="353"/>
        <v>6.3968861087411621E-2</v>
      </c>
      <c r="EU358" s="842">
        <f t="shared" si="353"/>
        <v>6.3974656089578641E-2</v>
      </c>
      <c r="EV358" s="848">
        <f t="shared" si="353"/>
        <v>6.4147675516885716E-2</v>
      </c>
      <c r="EW358" s="848">
        <f t="shared" si="353"/>
        <v>6.4132941346730199E-2</v>
      </c>
      <c r="EX358" s="842">
        <f t="shared" si="353"/>
        <v>6.4139986736089227E-2</v>
      </c>
      <c r="EY358" s="848">
        <f t="shared" si="353"/>
        <v>6.430988021173345E-2</v>
      </c>
      <c r="EZ358" s="848">
        <f t="shared" si="353"/>
        <v>6.4292642603714034E-2</v>
      </c>
      <c r="FA358" s="849">
        <f t="shared" si="353"/>
        <v>6.4300885113222517E-2</v>
      </c>
      <c r="FP358" s="349"/>
      <c r="FQ358" s="349"/>
      <c r="FR358" s="349"/>
    </row>
    <row r="359" spans="1:184" ht="13.35" customHeight="1">
      <c r="A359" s="760"/>
      <c r="B359" s="4"/>
      <c r="C359" s="4"/>
      <c r="D359" s="250"/>
      <c r="E359" s="251"/>
      <c r="F359" s="251"/>
      <c r="G359" s="252"/>
      <c r="H359" s="251"/>
      <c r="I359" s="251"/>
      <c r="J359" s="252"/>
      <c r="K359" s="251"/>
      <c r="L359" s="251"/>
      <c r="M359" s="252"/>
      <c r="N359" s="251"/>
      <c r="O359" s="251"/>
      <c r="P359" s="252"/>
      <c r="Q359" s="251"/>
      <c r="R359" s="251"/>
      <c r="S359" s="252"/>
      <c r="T359" s="251"/>
      <c r="U359" s="251"/>
      <c r="V359" s="252"/>
      <c r="W359" s="251"/>
      <c r="X359" s="251"/>
      <c r="Y359" s="252"/>
      <c r="Z359" s="251"/>
      <c r="AA359" s="251"/>
      <c r="AB359" s="252"/>
      <c r="AC359" s="251"/>
      <c r="AD359" s="251"/>
      <c r="AE359" s="252"/>
      <c r="AF359" s="251"/>
      <c r="AG359" s="251"/>
      <c r="AH359" s="252"/>
      <c r="AI359" s="251"/>
      <c r="AJ359" s="251"/>
      <c r="AK359" s="252"/>
      <c r="AL359" s="251"/>
      <c r="AM359" s="251"/>
      <c r="AN359" s="252"/>
      <c r="AO359" s="251"/>
      <c r="AP359" s="251"/>
      <c r="AQ359" s="252"/>
      <c r="AR359" s="251"/>
      <c r="AS359" s="251"/>
      <c r="AT359" s="252"/>
      <c r="AU359" s="251"/>
      <c r="AV359" s="251"/>
      <c r="AW359" s="252"/>
      <c r="AX359" s="251"/>
      <c r="AY359" s="251"/>
      <c r="AZ359" s="252"/>
      <c r="BA359" s="251"/>
      <c r="BB359" s="251"/>
      <c r="BC359" s="252"/>
      <c r="BD359" s="251"/>
      <c r="BE359" s="251"/>
      <c r="BF359" s="252"/>
      <c r="BG359" s="251"/>
      <c r="BH359" s="251"/>
      <c r="BI359" s="252"/>
      <c r="BJ359" s="251"/>
      <c r="BK359" s="251"/>
      <c r="BL359" s="252"/>
      <c r="BM359" s="251"/>
      <c r="BN359" s="251"/>
      <c r="BO359" s="79"/>
      <c r="BP359" s="259"/>
      <c r="BQ359" s="259"/>
      <c r="BR359" s="260"/>
      <c r="BS359" s="259"/>
      <c r="BT359" s="259"/>
      <c r="BU359" s="261"/>
      <c r="BV359" s="259"/>
      <c r="BW359" s="259"/>
      <c r="BX359" s="260"/>
      <c r="BY359" s="259"/>
      <c r="BZ359" s="259"/>
      <c r="CA359" s="260"/>
      <c r="CB359" s="259"/>
      <c r="CC359" s="259"/>
      <c r="CD359" s="260"/>
      <c r="CE359" s="259"/>
      <c r="CF359" s="259"/>
      <c r="CG359" s="260"/>
      <c r="CH359" s="259"/>
      <c r="CI359" s="259"/>
      <c r="CJ359" s="260"/>
      <c r="CK359" s="259"/>
      <c r="CL359" s="259"/>
      <c r="CM359" s="260"/>
      <c r="CN359" s="259"/>
      <c r="CO359" s="259"/>
      <c r="CP359" s="260"/>
      <c r="CQ359" s="259"/>
      <c r="CR359" s="259"/>
      <c r="CS359" s="260"/>
      <c r="CT359" s="259"/>
      <c r="CU359" s="259"/>
      <c r="CV359" s="260"/>
      <c r="CW359" s="259"/>
      <c r="CX359" s="259"/>
      <c r="CY359" s="334"/>
      <c r="CZ359" s="333"/>
      <c r="DA359" s="333"/>
      <c r="DB359" s="334"/>
      <c r="DC359" s="607"/>
      <c r="DD359" s="333"/>
      <c r="DE359" s="788"/>
      <c r="DF359" s="333"/>
      <c r="DG359" s="333"/>
      <c r="DH359" s="788"/>
      <c r="DI359" s="333"/>
      <c r="DJ359" s="333"/>
      <c r="DK359" s="700"/>
      <c r="DL359" s="333"/>
      <c r="DM359" s="333"/>
      <c r="DN359" s="700"/>
      <c r="DO359" s="333"/>
      <c r="DP359" s="333"/>
      <c r="DQ359" s="700"/>
      <c r="DR359" s="333"/>
      <c r="DS359" s="333"/>
      <c r="DT359" s="700"/>
      <c r="DU359" s="333"/>
      <c r="DV359" s="333"/>
      <c r="DW359" s="700"/>
      <c r="DX359" s="333"/>
      <c r="DY359" s="333"/>
      <c r="DZ359" s="700"/>
      <c r="EA359" s="333"/>
      <c r="EB359" s="333"/>
      <c r="EC359" s="700"/>
      <c r="ED359" s="333"/>
      <c r="EE359" s="333"/>
      <c r="EF359" s="700"/>
      <c r="EG359" s="333"/>
      <c r="EH359" s="333"/>
      <c r="EI359" s="700"/>
      <c r="EJ359" s="333"/>
      <c r="EK359" s="333"/>
      <c r="EL359" s="700"/>
      <c r="EM359" s="333"/>
      <c r="EN359" s="333"/>
      <c r="EO359" s="700"/>
      <c r="EP359" s="333"/>
      <c r="EQ359" s="333"/>
      <c r="ER359" s="700"/>
      <c r="ES359" s="333"/>
      <c r="ET359" s="333"/>
      <c r="EU359" s="700"/>
      <c r="EV359" s="333"/>
      <c r="EW359" s="333"/>
      <c r="EX359" s="700"/>
      <c r="EY359" s="333"/>
      <c r="EZ359" s="333"/>
      <c r="FA359" s="523"/>
      <c r="FB359" s="349"/>
      <c r="FC359" s="349"/>
      <c r="FD359" s="349"/>
      <c r="FE359" s="349"/>
      <c r="FF359" s="349"/>
      <c r="FG359" s="349"/>
      <c r="FH359" s="349"/>
      <c r="FI359" s="349"/>
      <c r="FJ359" s="349"/>
      <c r="FK359" s="349"/>
      <c r="FL359" s="349"/>
      <c r="FM359" s="349"/>
      <c r="FN359" s="349"/>
      <c r="FO359" s="349"/>
    </row>
    <row r="360" spans="1:184" ht="13.35" customHeight="1">
      <c r="A360" s="760"/>
      <c r="B360" s="4"/>
      <c r="C360" s="4" t="s">
        <v>476</v>
      </c>
      <c r="D360" s="250" t="s">
        <v>357</v>
      </c>
      <c r="E360" s="251"/>
      <c r="F360" s="251"/>
      <c r="G360" s="252"/>
      <c r="H360" s="251"/>
      <c r="I360" s="251"/>
      <c r="J360" s="252"/>
      <c r="K360" s="251"/>
      <c r="L360" s="251"/>
      <c r="M360" s="252"/>
      <c r="N360" s="251"/>
      <c r="O360" s="251"/>
      <c r="P360" s="252"/>
      <c r="Q360" s="251"/>
      <c r="R360" s="251"/>
      <c r="S360" s="252"/>
      <c r="T360" s="251"/>
      <c r="U360" s="251"/>
      <c r="V360" s="252"/>
      <c r="W360" s="251"/>
      <c r="X360" s="251"/>
      <c r="Y360" s="252"/>
      <c r="Z360" s="251"/>
      <c r="AA360" s="251"/>
      <c r="AB360" s="252"/>
      <c r="AC360" s="251"/>
      <c r="AD360" s="251"/>
      <c r="AE360" s="252"/>
      <c r="AF360" s="251"/>
      <c r="AG360" s="251"/>
      <c r="AH360" s="252"/>
      <c r="AI360" s="251"/>
      <c r="AJ360" s="251"/>
      <c r="AK360" s="252"/>
      <c r="AL360" s="251"/>
      <c r="AM360" s="251"/>
      <c r="AN360" s="252"/>
      <c r="AO360" s="251"/>
      <c r="AP360" s="251"/>
      <c r="AQ360" s="252"/>
      <c r="AR360" s="251"/>
      <c r="AS360" s="251"/>
      <c r="AT360" s="252"/>
      <c r="AU360" s="251"/>
      <c r="AV360" s="251"/>
      <c r="AW360" s="252"/>
      <c r="AX360" s="251"/>
      <c r="AY360" s="251"/>
      <c r="AZ360" s="252"/>
      <c r="BA360" s="251"/>
      <c r="BB360" s="251"/>
      <c r="BC360" s="252"/>
      <c r="BD360" s="251"/>
      <c r="BE360" s="251"/>
      <c r="BF360" s="252"/>
      <c r="BG360" s="251"/>
      <c r="BH360" s="251"/>
      <c r="BI360" s="252"/>
      <c r="BJ360" s="251"/>
      <c r="BK360" s="251"/>
      <c r="BL360" s="252"/>
      <c r="BM360" s="251"/>
      <c r="BN360" s="251"/>
      <c r="BO360" s="79"/>
      <c r="BP360" s="198"/>
      <c r="BQ360" s="198"/>
      <c r="BR360" s="79"/>
      <c r="BS360" s="198"/>
      <c r="BT360" s="198"/>
      <c r="BU360" s="254"/>
      <c r="BV360" s="198"/>
      <c r="BW360" s="198"/>
      <c r="BX360" s="79"/>
      <c r="BY360" s="198"/>
      <c r="BZ360" s="198"/>
      <c r="CA360" s="79"/>
      <c r="CB360" s="198"/>
      <c r="CC360" s="198"/>
      <c r="CD360" s="79"/>
      <c r="CE360" s="198"/>
      <c r="CF360" s="198"/>
      <c r="CG360" s="79"/>
      <c r="CH360" s="198"/>
      <c r="CI360" s="198"/>
      <c r="CJ360" s="79"/>
      <c r="CK360" s="198"/>
      <c r="CL360" s="198"/>
      <c r="CM360" s="79"/>
      <c r="CN360" s="444"/>
      <c r="CO360" s="198"/>
      <c r="CP360" s="79"/>
      <c r="CQ360" s="198"/>
      <c r="CR360" s="198"/>
      <c r="CS360" s="79"/>
      <c r="CT360" s="198"/>
      <c r="CU360" s="198"/>
      <c r="CV360" s="79"/>
      <c r="CW360" s="198"/>
      <c r="CX360" s="198"/>
      <c r="CY360" s="488"/>
      <c r="CZ360" s="489"/>
      <c r="DA360" s="489"/>
      <c r="DB360" s="488"/>
      <c r="DC360" s="514"/>
      <c r="DD360" s="514"/>
      <c r="DE360" s="783"/>
      <c r="DF360" s="489"/>
      <c r="DG360" s="489"/>
      <c r="DH360" s="783"/>
      <c r="DI360" s="489"/>
      <c r="DJ360" s="489"/>
      <c r="DK360" s="696"/>
      <c r="DL360" s="489"/>
      <c r="DM360" s="489"/>
      <c r="DN360" s="696"/>
      <c r="DO360" s="489"/>
      <c r="DP360" s="489"/>
      <c r="DQ360" s="696"/>
      <c r="DR360" s="489"/>
      <c r="DS360" s="489"/>
      <c r="DT360" s="696"/>
      <c r="DU360" s="489"/>
      <c r="DV360" s="489"/>
      <c r="DW360" s="696"/>
      <c r="DX360" s="489"/>
      <c r="DY360" s="489"/>
      <c r="DZ360" s="696"/>
      <c r="EA360" s="489"/>
      <c r="EB360" s="489"/>
      <c r="EC360" s="696"/>
      <c r="ED360" s="489"/>
      <c r="EE360" s="489"/>
      <c r="EF360" s="696"/>
      <c r="EG360" s="489"/>
      <c r="EH360" s="489"/>
      <c r="EI360" s="696"/>
      <c r="EJ360" s="489"/>
      <c r="EK360" s="489"/>
      <c r="EL360" s="696"/>
      <c r="EM360" s="489"/>
      <c r="EN360" s="489"/>
      <c r="EO360" s="696"/>
      <c r="EP360" s="489"/>
      <c r="EQ360" s="489"/>
      <c r="ER360" s="696"/>
      <c r="ES360" s="489"/>
      <c r="ET360" s="489"/>
      <c r="EU360" s="696"/>
      <c r="EV360" s="489"/>
      <c r="EW360" s="489"/>
      <c r="EX360" s="696"/>
      <c r="EY360" s="489"/>
      <c r="EZ360" s="489"/>
      <c r="FA360" s="536"/>
      <c r="FB360" s="349"/>
      <c r="FC360" s="349"/>
      <c r="FD360" s="349"/>
      <c r="FE360" s="349"/>
      <c r="FF360" s="349"/>
      <c r="FG360" s="349"/>
      <c r="FH360" s="349"/>
      <c r="FI360" s="349"/>
      <c r="FJ360" s="349"/>
      <c r="FK360" s="349"/>
      <c r="FL360" s="349"/>
      <c r="FM360" s="349"/>
      <c r="FN360" s="349"/>
      <c r="FO360" s="349"/>
    </row>
    <row r="361" spans="1:184" ht="13.35" customHeight="1">
      <c r="A361" s="760"/>
      <c r="B361" s="4"/>
      <c r="C361" s="4" t="s">
        <v>178</v>
      </c>
      <c r="D361" s="250" t="s">
        <v>507</v>
      </c>
      <c r="E361" s="251"/>
      <c r="F361" s="251"/>
      <c r="G361" s="252"/>
      <c r="H361" s="251"/>
      <c r="I361" s="251"/>
      <c r="J361" s="252"/>
      <c r="K361" s="251"/>
      <c r="L361" s="251"/>
      <c r="M361" s="252"/>
      <c r="N361" s="251"/>
      <c r="O361" s="251"/>
      <c r="P361" s="252"/>
      <c r="Q361" s="251"/>
      <c r="R361" s="251"/>
      <c r="S361" s="252"/>
      <c r="T361" s="251"/>
      <c r="U361" s="251"/>
      <c r="V361" s="252"/>
      <c r="W361" s="251"/>
      <c r="X361" s="251"/>
      <c r="Y361" s="252"/>
      <c r="Z361" s="251"/>
      <c r="AA361" s="251"/>
      <c r="AB361" s="252"/>
      <c r="AC361" s="251"/>
      <c r="AD361" s="251"/>
      <c r="AE361" s="252"/>
      <c r="AF361" s="251"/>
      <c r="AG361" s="251"/>
      <c r="AH361" s="252"/>
      <c r="AI361" s="251"/>
      <c r="AJ361" s="251"/>
      <c r="AK361" s="252"/>
      <c r="AL361" s="251"/>
      <c r="AM361" s="251"/>
      <c r="AN361" s="252"/>
      <c r="AO361" s="251"/>
      <c r="AP361" s="251"/>
      <c r="AQ361" s="252"/>
      <c r="AR361" s="251"/>
      <c r="AS361" s="251"/>
      <c r="AT361" s="252"/>
      <c r="AU361" s="251"/>
      <c r="AV361" s="251"/>
      <c r="AW361" s="252"/>
      <c r="AX361" s="251"/>
      <c r="AY361" s="251"/>
      <c r="AZ361" s="252"/>
      <c r="BA361" s="251"/>
      <c r="BB361" s="251"/>
      <c r="BC361" s="252"/>
      <c r="BD361" s="251"/>
      <c r="BE361" s="251"/>
      <c r="BF361" s="252"/>
      <c r="BG361" s="251"/>
      <c r="BH361" s="251"/>
      <c r="BI361" s="252"/>
      <c r="BJ361" s="251"/>
      <c r="BK361" s="251"/>
      <c r="BL361" s="252"/>
      <c r="BM361" s="251"/>
      <c r="BN361" s="251"/>
      <c r="BO361" s="79"/>
      <c r="BP361" s="259"/>
      <c r="BQ361" s="259"/>
      <c r="BR361" s="260"/>
      <c r="BS361" s="259"/>
      <c r="BT361" s="259"/>
      <c r="BU361" s="261"/>
      <c r="BV361" s="259"/>
      <c r="BW361" s="259"/>
      <c r="BX361" s="260"/>
      <c r="BY361" s="259"/>
      <c r="BZ361" s="259"/>
      <c r="CA361" s="260"/>
      <c r="CB361" s="259"/>
      <c r="CC361" s="259"/>
      <c r="CD361" s="260"/>
      <c r="CE361" s="259"/>
      <c r="CF361" s="259"/>
      <c r="CG361" s="260"/>
      <c r="CH361" s="259"/>
      <c r="CI361" s="259"/>
      <c r="CJ361" s="260"/>
      <c r="CK361" s="259"/>
      <c r="CL361" s="259"/>
      <c r="CM361" s="260"/>
      <c r="CN361" s="259"/>
      <c r="CO361" s="259"/>
      <c r="CP361" s="260"/>
      <c r="CQ361" s="259"/>
      <c r="CR361" s="259"/>
      <c r="CS361" s="260"/>
      <c r="CT361" s="259"/>
      <c r="CU361" s="259"/>
      <c r="CV361" s="260"/>
      <c r="CW361" s="259"/>
      <c r="CX361" s="259"/>
      <c r="CY361" s="334"/>
      <c r="CZ361" s="333"/>
      <c r="DA361" s="333"/>
      <c r="DB361" s="334"/>
      <c r="DC361" s="333"/>
      <c r="DD361" s="333"/>
      <c r="DE361" s="788"/>
      <c r="DF361" s="525"/>
      <c r="DG361" s="525"/>
      <c r="DH361" s="788"/>
      <c r="DI361" s="925">
        <f>+DI363-DI357</f>
        <v>0.1743652355244194</v>
      </c>
      <c r="DJ361" s="925">
        <f>+DJ363-DJ357</f>
        <v>0.47621454683121556</v>
      </c>
      <c r="DK361" s="828">
        <f>SUM(DI361:DJ361)</f>
        <v>0.65057978235563496</v>
      </c>
      <c r="DL361" s="925">
        <f>+DL363-DL357</f>
        <v>80.350074123911327</v>
      </c>
      <c r="DM361" s="925">
        <f>+DM363-DM357</f>
        <v>80.221964154018679</v>
      </c>
      <c r="DN361" s="828">
        <f>SUM(DL361:DM361)</f>
        <v>160.57203827793001</v>
      </c>
      <c r="DO361" s="925">
        <f>+DO363-DO357</f>
        <v>78</v>
      </c>
      <c r="DP361" s="925">
        <f>+DP363-DP357</f>
        <v>82</v>
      </c>
      <c r="DQ361" s="828">
        <f>SUM(DO361:DP361)</f>
        <v>160</v>
      </c>
      <c r="DR361" s="925">
        <f>+DR363-DR357</f>
        <v>97</v>
      </c>
      <c r="DS361" s="925">
        <f>+DS363-DS357</f>
        <v>109</v>
      </c>
      <c r="DT361" s="828">
        <f>SUM(DR361:DS361)</f>
        <v>206</v>
      </c>
      <c r="DU361" s="925">
        <f>+DU363-DU357</f>
        <v>113</v>
      </c>
      <c r="DV361" s="925">
        <f>+DV363-DV357</f>
        <v>94.199999999999818</v>
      </c>
      <c r="DW361" s="828">
        <f>SUM(DU361:DV361)</f>
        <v>207.19999999999982</v>
      </c>
      <c r="DX361" s="925">
        <f>+DX363-DX357</f>
        <v>121</v>
      </c>
      <c r="DY361" s="608">
        <v>110</v>
      </c>
      <c r="DZ361" s="696">
        <f>DX361+DY361</f>
        <v>231</v>
      </c>
      <c r="EA361" s="608">
        <f>+DX361*1.05</f>
        <v>127.05000000000001</v>
      </c>
      <c r="EB361" s="608">
        <f>+DY361*1.05</f>
        <v>115.5</v>
      </c>
      <c r="EC361" s="696">
        <f>EA361+EB361</f>
        <v>242.55</v>
      </c>
      <c r="ED361" s="608">
        <f>+EA361*1.05</f>
        <v>133.4025</v>
      </c>
      <c r="EE361" s="608">
        <f>+EB361*1.05</f>
        <v>121.27500000000001</v>
      </c>
      <c r="EF361" s="696">
        <f>ED361+EE361</f>
        <v>254.67750000000001</v>
      </c>
      <c r="EG361" s="608">
        <f>+ED361*1.05</f>
        <v>140.07262500000002</v>
      </c>
      <c r="EH361" s="608">
        <f>+EE361*1.05</f>
        <v>127.33875</v>
      </c>
      <c r="EI361" s="696">
        <f>EG361+EH361</f>
        <v>267.41137500000002</v>
      </c>
      <c r="EJ361" s="608">
        <f>+EG361*1.05</f>
        <v>147.07625625000003</v>
      </c>
      <c r="EK361" s="608">
        <f>+EH361*1.05</f>
        <v>133.70568750000001</v>
      </c>
      <c r="EL361" s="696">
        <f>EJ361+EK361</f>
        <v>280.78194375000004</v>
      </c>
      <c r="EM361" s="608">
        <f>+EJ361*1.05</f>
        <v>154.43006906250002</v>
      </c>
      <c r="EN361" s="608">
        <f>+EK361*1.05</f>
        <v>140.39097187500002</v>
      </c>
      <c r="EO361" s="696">
        <f>EM361+EN361</f>
        <v>294.82104093750002</v>
      </c>
      <c r="EP361" s="608">
        <f>+EM361*1.05</f>
        <v>162.15157251562502</v>
      </c>
      <c r="EQ361" s="608">
        <f>+EN361*1.05</f>
        <v>147.41052046875004</v>
      </c>
      <c r="ER361" s="696">
        <f>EP361+EQ361</f>
        <v>309.56209298437506</v>
      </c>
      <c r="ES361" s="608">
        <f>+EP361*1.05</f>
        <v>170.25915114140628</v>
      </c>
      <c r="ET361" s="608">
        <f>+EQ361*1.05</f>
        <v>154.78104649218756</v>
      </c>
      <c r="EU361" s="696">
        <f>ES361+ET361</f>
        <v>325.04019763359383</v>
      </c>
      <c r="EV361" s="608">
        <f>+ES361*1.05</f>
        <v>178.77210869847659</v>
      </c>
      <c r="EW361" s="608">
        <f>+ET361*1.05</f>
        <v>162.52009881679695</v>
      </c>
      <c r="EX361" s="696">
        <f>EV361+EW361</f>
        <v>341.2922075152735</v>
      </c>
      <c r="EY361" s="608">
        <f>+EV361*1.05</f>
        <v>187.71071413340042</v>
      </c>
      <c r="EZ361" s="608">
        <f>+EW361*1.05</f>
        <v>170.64610375763681</v>
      </c>
      <c r="FA361" s="536">
        <f>EY361+EZ361</f>
        <v>358.35681789103722</v>
      </c>
    </row>
    <row r="362" spans="1:184" ht="13.35" customHeight="1">
      <c r="A362" s="760"/>
      <c r="B362" s="4"/>
      <c r="C362" s="4"/>
      <c r="D362" s="250"/>
      <c r="E362" s="251"/>
      <c r="F362" s="251"/>
      <c r="G362" s="252"/>
      <c r="H362" s="251"/>
      <c r="I362" s="251"/>
      <c r="J362" s="252"/>
      <c r="K362" s="251"/>
      <c r="L362" s="251"/>
      <c r="M362" s="252"/>
      <c r="N362" s="251"/>
      <c r="O362" s="251"/>
      <c r="P362" s="252"/>
      <c r="Q362" s="251"/>
      <c r="R362" s="251"/>
      <c r="S362" s="252"/>
      <c r="T362" s="251"/>
      <c r="U362" s="251"/>
      <c r="V362" s="252"/>
      <c r="W362" s="251"/>
      <c r="X362" s="251"/>
      <c r="Y362" s="252"/>
      <c r="Z362" s="251"/>
      <c r="AA362" s="251"/>
      <c r="AB362" s="252"/>
      <c r="AC362" s="251"/>
      <c r="AD362" s="251"/>
      <c r="AE362" s="252"/>
      <c r="AF362" s="251"/>
      <c r="AG362" s="251"/>
      <c r="AH362" s="252"/>
      <c r="AI362" s="251"/>
      <c r="AJ362" s="251"/>
      <c r="AK362" s="252"/>
      <c r="AL362" s="251"/>
      <c r="AM362" s="251"/>
      <c r="AN362" s="252"/>
      <c r="AO362" s="251"/>
      <c r="AP362" s="251"/>
      <c r="AQ362" s="252"/>
      <c r="AR362" s="251"/>
      <c r="AS362" s="251"/>
      <c r="AT362" s="252"/>
      <c r="AU362" s="251"/>
      <c r="AV362" s="251"/>
      <c r="AW362" s="252"/>
      <c r="AX362" s="251"/>
      <c r="AY362" s="251"/>
      <c r="AZ362" s="252"/>
      <c r="BA362" s="251"/>
      <c r="BB362" s="251"/>
      <c r="BC362" s="252"/>
      <c r="BD362" s="251"/>
      <c r="BE362" s="251"/>
      <c r="BF362" s="252"/>
      <c r="BG362" s="251"/>
      <c r="BH362" s="251"/>
      <c r="BI362" s="252"/>
      <c r="BJ362" s="251"/>
      <c r="BK362" s="251"/>
      <c r="BL362" s="252"/>
      <c r="BM362" s="251"/>
      <c r="BN362" s="251"/>
      <c r="BO362" s="79"/>
      <c r="BP362" s="259"/>
      <c r="BQ362" s="259"/>
      <c r="BR362" s="260"/>
      <c r="BS362" s="259"/>
      <c r="BT362" s="259"/>
      <c r="BU362" s="261"/>
      <c r="BV362" s="259"/>
      <c r="BW362" s="259"/>
      <c r="BX362" s="260"/>
      <c r="BY362" s="259"/>
      <c r="BZ362" s="259"/>
      <c r="CA362" s="260"/>
      <c r="CB362" s="259"/>
      <c r="CC362" s="259"/>
      <c r="CD362" s="260"/>
      <c r="CE362" s="259"/>
      <c r="CF362" s="259"/>
      <c r="CG362" s="260"/>
      <c r="CH362" s="259"/>
      <c r="CI362" s="259"/>
      <c r="CJ362" s="260"/>
      <c r="CK362" s="259"/>
      <c r="CL362" s="259"/>
      <c r="CM362" s="260"/>
      <c r="CN362" s="259"/>
      <c r="CO362" s="259"/>
      <c r="CP362" s="260"/>
      <c r="CQ362" s="259"/>
      <c r="CR362" s="259"/>
      <c r="CS362" s="260"/>
      <c r="CT362" s="259"/>
      <c r="CU362" s="259"/>
      <c r="CV362" s="260"/>
      <c r="CW362" s="259"/>
      <c r="CX362" s="259"/>
      <c r="CY362" s="334"/>
      <c r="CZ362" s="333"/>
      <c r="DA362" s="333"/>
      <c r="DB362" s="334"/>
      <c r="DC362" s="333"/>
      <c r="DD362" s="333"/>
      <c r="DE362" s="788"/>
      <c r="DF362" s="333"/>
      <c r="DG362" s="333"/>
      <c r="DH362" s="788"/>
      <c r="DI362" s="333"/>
      <c r="DJ362" s="333"/>
      <c r="DK362" s="700"/>
      <c r="DL362" s="333"/>
      <c r="DM362" s="333"/>
      <c r="DN362" s="700"/>
      <c r="DO362" s="333"/>
      <c r="DP362" s="333"/>
      <c r="DQ362" s="700"/>
      <c r="DR362" s="333"/>
      <c r="DS362" s="333"/>
      <c r="DT362" s="700"/>
      <c r="DU362" s="333"/>
      <c r="DV362" s="333"/>
      <c r="DW362" s="700"/>
      <c r="DX362" s="333"/>
      <c r="DY362" s="333"/>
      <c r="DZ362" s="700"/>
      <c r="EA362" s="333"/>
      <c r="EB362" s="333"/>
      <c r="EC362" s="700"/>
      <c r="ED362" s="333"/>
      <c r="EE362" s="333"/>
      <c r="EF362" s="700"/>
      <c r="EG362" s="333"/>
      <c r="EH362" s="333"/>
      <c r="EI362" s="700"/>
      <c r="EJ362" s="333"/>
      <c r="EK362" s="333"/>
      <c r="EL362" s="700"/>
      <c r="EM362" s="333"/>
      <c r="EN362" s="333"/>
      <c r="EO362" s="700"/>
      <c r="EP362" s="333"/>
      <c r="EQ362" s="333"/>
      <c r="ER362" s="700"/>
      <c r="ES362" s="333"/>
      <c r="ET362" s="333"/>
      <c r="EU362" s="700"/>
      <c r="EV362" s="333"/>
      <c r="EW362" s="333"/>
      <c r="EX362" s="700"/>
      <c r="EY362" s="333"/>
      <c r="EZ362" s="333"/>
      <c r="FA362" s="523"/>
    </row>
    <row r="363" spans="1:184" ht="13.35" customHeight="1">
      <c r="B363" s="4"/>
      <c r="C363" s="445" t="s">
        <v>786</v>
      </c>
      <c r="D363" s="250" t="s">
        <v>357</v>
      </c>
      <c r="E363" s="251"/>
      <c r="F363" s="251"/>
      <c r="G363" s="252"/>
      <c r="H363" s="251"/>
      <c r="I363" s="251"/>
      <c r="J363" s="252"/>
      <c r="K363" s="251"/>
      <c r="L363" s="251"/>
      <c r="M363" s="252"/>
      <c r="N363" s="251"/>
      <c r="O363" s="251"/>
      <c r="P363" s="252"/>
      <c r="Q363" s="251"/>
      <c r="R363" s="251"/>
      <c r="S363" s="252"/>
      <c r="T363" s="251"/>
      <c r="U363" s="251"/>
      <c r="V363" s="252"/>
      <c r="W363" s="251"/>
      <c r="X363" s="251"/>
      <c r="Y363" s="252"/>
      <c r="Z363" s="251"/>
      <c r="AA363" s="251"/>
      <c r="AB363" s="252"/>
      <c r="AC363" s="251"/>
      <c r="AD363" s="251"/>
      <c r="AE363" s="252"/>
      <c r="AF363" s="251"/>
      <c r="AG363" s="251"/>
      <c r="AH363" s="252"/>
      <c r="AI363" s="251"/>
      <c r="AJ363" s="251"/>
      <c r="AK363" s="252"/>
      <c r="AL363" s="251"/>
      <c r="AM363" s="251"/>
      <c r="AN363" s="252"/>
      <c r="AO363" s="251"/>
      <c r="AP363" s="251"/>
      <c r="AQ363" s="252"/>
      <c r="AR363" s="251"/>
      <c r="AS363" s="251"/>
      <c r="AT363" s="252"/>
      <c r="AU363" s="251"/>
      <c r="AV363" s="251"/>
      <c r="AW363" s="252"/>
      <c r="AX363" s="251"/>
      <c r="AY363" s="251"/>
      <c r="AZ363" s="252"/>
      <c r="BA363" s="251"/>
      <c r="BB363" s="251"/>
      <c r="BC363" s="252"/>
      <c r="BD363" s="251"/>
      <c r="BE363" s="251"/>
      <c r="BF363" s="252"/>
      <c r="BG363" s="251"/>
      <c r="BH363" s="251"/>
      <c r="BI363" s="252"/>
      <c r="BJ363" s="251"/>
      <c r="BK363" s="251"/>
      <c r="BL363" s="252"/>
      <c r="BM363" s="198"/>
      <c r="BN363" s="198"/>
      <c r="BO363" s="79"/>
      <c r="BP363" s="198"/>
      <c r="BQ363" s="198"/>
      <c r="BR363" s="79"/>
      <c r="BS363" s="198"/>
      <c r="BT363" s="198"/>
      <c r="BU363" s="254"/>
      <c r="BV363" s="198"/>
      <c r="BW363" s="198"/>
      <c r="BX363" s="79"/>
      <c r="BY363" s="198"/>
      <c r="BZ363" s="198"/>
      <c r="CA363" s="79"/>
      <c r="CB363" s="198"/>
      <c r="CC363" s="198"/>
      <c r="CD363" s="79"/>
      <c r="CE363" s="198"/>
      <c r="CF363" s="198"/>
      <c r="CG363" s="79"/>
      <c r="CH363" s="446"/>
      <c r="CI363" s="446"/>
      <c r="CJ363" s="447"/>
      <c r="CK363" s="446"/>
      <c r="CL363" s="446"/>
      <c r="CM363" s="447"/>
      <c r="CN363" s="446"/>
      <c r="CO363" s="446"/>
      <c r="CP363" s="447"/>
      <c r="CQ363" s="446"/>
      <c r="CR363" s="446"/>
      <c r="CS363" s="447"/>
      <c r="CT363" s="446"/>
      <c r="CU363" s="446"/>
      <c r="CV363" s="447"/>
      <c r="CW363" s="446"/>
      <c r="CX363" s="446"/>
      <c r="CY363" s="322"/>
      <c r="CZ363" s="321"/>
      <c r="DA363" s="321"/>
      <c r="DB363" s="488"/>
      <c r="DC363" s="321"/>
      <c r="DD363" s="321"/>
      <c r="DE363" s="783"/>
      <c r="DF363" s="321"/>
      <c r="DG363" s="321"/>
      <c r="DH363" s="783"/>
      <c r="DI363" s="924">
        <v>4256.2</v>
      </c>
      <c r="DJ363" s="646">
        <f>+DK363-DI363</f>
        <v>4171.5999999999995</v>
      </c>
      <c r="DK363" s="685">
        <v>8427.7999999999993</v>
      </c>
      <c r="DL363" s="924">
        <v>4216.1000000000004</v>
      </c>
      <c r="DM363" s="646">
        <f>+DN363-DL363</f>
        <v>4143.5</v>
      </c>
      <c r="DN363" s="685">
        <v>8359.6</v>
      </c>
      <c r="DO363" s="924">
        <v>4414</v>
      </c>
      <c r="DP363" s="646">
        <f>+DQ363-DO363</f>
        <v>4554</v>
      </c>
      <c r="DQ363" s="685">
        <v>8968</v>
      </c>
      <c r="DR363" s="924">
        <v>5093</v>
      </c>
      <c r="DS363" s="646">
        <f>+DT363-DR363</f>
        <v>5241</v>
      </c>
      <c r="DT363" s="685">
        <v>10334</v>
      </c>
      <c r="DU363" s="924">
        <v>5611</v>
      </c>
      <c r="DV363" s="646">
        <f>+DW363-DU363</f>
        <v>5319</v>
      </c>
      <c r="DW363" s="685">
        <v>10930</v>
      </c>
      <c r="DX363" s="924">
        <v>5335</v>
      </c>
      <c r="DY363" s="607">
        <f>DY357+DY361</f>
        <v>6024.2196661696617</v>
      </c>
      <c r="DZ363" s="674">
        <f>SUM(DX363:DY363)</f>
        <v>11359.219666169662</v>
      </c>
      <c r="EA363" s="607">
        <f>EA357+EA361</f>
        <v>5879.3918499384254</v>
      </c>
      <c r="EB363" s="607">
        <f>EB357+EB361</f>
        <v>6366.0930183309383</v>
      </c>
      <c r="EC363" s="674">
        <f>SUM(EA363:EB363)</f>
        <v>12245.484868269363</v>
      </c>
      <c r="ED363" s="607">
        <f>ED357+ED361</f>
        <v>6294.6359348241149</v>
      </c>
      <c r="EE363" s="607">
        <f>EE357+EE361</f>
        <v>6817.5550588974711</v>
      </c>
      <c r="EF363" s="674">
        <f>SUM(ED363:EE363)</f>
        <v>13112.190993721586</v>
      </c>
      <c r="EG363" s="607">
        <f>EG357+EG361</f>
        <v>6745.360089805602</v>
      </c>
      <c r="EH363" s="607">
        <f>EH357+EH361</f>
        <v>7317.8705141992914</v>
      </c>
      <c r="EI363" s="674">
        <f>SUM(EG363:EH363)</f>
        <v>14063.230604004893</v>
      </c>
      <c r="EJ363" s="607">
        <f>EJ357+EJ361</f>
        <v>7216.9993719422591</v>
      </c>
      <c r="EK363" s="607">
        <f>EK357+EK361</f>
        <v>7863.4421203993288</v>
      </c>
      <c r="EL363" s="674">
        <f>SUM(EJ363:EK363)</f>
        <v>15080.441492341588</v>
      </c>
      <c r="EM363" s="607">
        <f>EM357+EM361</f>
        <v>7674.3008430913305</v>
      </c>
      <c r="EN363" s="607">
        <f>EN357+EN361</f>
        <v>8335.2984493148415</v>
      </c>
      <c r="EO363" s="674">
        <f>SUM(EM363:EN363)</f>
        <v>16009.599292406172</v>
      </c>
      <c r="EP363" s="607">
        <f>EP357+EP361</f>
        <v>8150.3106259440119</v>
      </c>
      <c r="EQ363" s="607">
        <f>EQ357+EQ361</f>
        <v>8865.1549063396433</v>
      </c>
      <c r="ER363" s="674">
        <f>SUM(EP363:EQ363)</f>
        <v>17015.465532283655</v>
      </c>
      <c r="ES363" s="607">
        <f>ES357+ES361</f>
        <v>8669.5084521493336</v>
      </c>
      <c r="ET363" s="607">
        <f>ET357+ET361</f>
        <v>9430.1896119784196</v>
      </c>
      <c r="EU363" s="674">
        <f>SUM(ES363:ET363)</f>
        <v>18099.698064127755</v>
      </c>
      <c r="EV363" s="607">
        <f>EV357+EV361</f>
        <v>9223.2284960045781</v>
      </c>
      <c r="EW363" s="607">
        <f>EW357+EW361</f>
        <v>10032.787897800315</v>
      </c>
      <c r="EX363" s="674">
        <f>SUM(EV363:EW363)</f>
        <v>19256.016393804894</v>
      </c>
      <c r="EY363" s="607">
        <f>EY357+EY361</f>
        <v>9813.8150082874035</v>
      </c>
      <c r="EZ363" s="607">
        <f>EZ357+EZ361</f>
        <v>10675.499502744151</v>
      </c>
      <c r="FA363" s="776">
        <f>SUM(EY363:EZ363)</f>
        <v>20489.314511031553</v>
      </c>
    </row>
    <row r="364" spans="1:184" ht="13.35" customHeight="1">
      <c r="A364" s="760"/>
      <c r="B364" s="4"/>
      <c r="C364" s="4" t="s">
        <v>690</v>
      </c>
      <c r="D364" s="250" t="s">
        <v>507</v>
      </c>
      <c r="E364" s="251"/>
      <c r="F364" s="251"/>
      <c r="G364" s="252"/>
      <c r="H364" s="251"/>
      <c r="I364" s="251"/>
      <c r="J364" s="252"/>
      <c r="K364" s="251"/>
      <c r="L364" s="251"/>
      <c r="M364" s="252"/>
      <c r="N364" s="251"/>
      <c r="O364" s="251"/>
      <c r="P364" s="252"/>
      <c r="Q364" s="251"/>
      <c r="R364" s="251"/>
      <c r="S364" s="252"/>
      <c r="T364" s="251"/>
      <c r="U364" s="251"/>
      <c r="V364" s="252"/>
      <c r="W364" s="251"/>
      <c r="X364" s="251"/>
      <c r="Y364" s="252"/>
      <c r="Z364" s="251"/>
      <c r="AA364" s="251"/>
      <c r="AB364" s="252"/>
      <c r="AC364" s="251"/>
      <c r="AD364" s="251"/>
      <c r="AE364" s="252"/>
      <c r="AF364" s="251"/>
      <c r="AG364" s="251"/>
      <c r="AH364" s="252"/>
      <c r="AI364" s="251"/>
      <c r="AJ364" s="251"/>
      <c r="AK364" s="252"/>
      <c r="AL364" s="251"/>
      <c r="AM364" s="251"/>
      <c r="AN364" s="252"/>
      <c r="AO364" s="251"/>
      <c r="AP364" s="251"/>
      <c r="AQ364" s="252"/>
      <c r="AR364" s="251"/>
      <c r="AS364" s="251"/>
      <c r="AT364" s="252"/>
      <c r="AU364" s="251"/>
      <c r="AV364" s="251"/>
      <c r="AW364" s="252"/>
      <c r="AX364" s="251"/>
      <c r="AY364" s="251"/>
      <c r="AZ364" s="252"/>
      <c r="BA364" s="251"/>
      <c r="BB364" s="251"/>
      <c r="BC364" s="252"/>
      <c r="BD364" s="251"/>
      <c r="BE364" s="251"/>
      <c r="BF364" s="252"/>
      <c r="BG364" s="251"/>
      <c r="BH364" s="251"/>
      <c r="BI364" s="252"/>
      <c r="BJ364" s="251"/>
      <c r="BK364" s="251"/>
      <c r="BL364" s="252"/>
      <c r="BM364" s="251"/>
      <c r="BN364" s="251"/>
      <c r="BO364" s="79"/>
      <c r="BP364" s="259"/>
      <c r="BQ364" s="259"/>
      <c r="BR364" s="260"/>
      <c r="BS364" s="259"/>
      <c r="BT364" s="259"/>
      <c r="BU364" s="261"/>
      <c r="BV364" s="259"/>
      <c r="BW364" s="259"/>
      <c r="BX364" s="260"/>
      <c r="BY364" s="259"/>
      <c r="BZ364" s="259"/>
      <c r="CA364" s="260"/>
      <c r="CB364" s="259"/>
      <c r="CC364" s="259"/>
      <c r="CD364" s="260"/>
      <c r="CE364" s="259"/>
      <c r="CF364" s="259"/>
      <c r="CG364" s="260"/>
      <c r="CH364" s="259"/>
      <c r="CI364" s="259"/>
      <c r="CJ364" s="260"/>
      <c r="CK364" s="259"/>
      <c r="CL364" s="259"/>
      <c r="CM364" s="260"/>
      <c r="CN364" s="259"/>
      <c r="CO364" s="259"/>
      <c r="CP364" s="260"/>
      <c r="CQ364" s="259"/>
      <c r="CR364" s="259"/>
      <c r="CS364" s="260"/>
      <c r="CT364" s="259"/>
      <c r="CU364" s="259"/>
      <c r="CV364" s="260"/>
      <c r="CW364" s="259"/>
      <c r="CX364" s="259"/>
      <c r="CY364" s="334"/>
      <c r="CZ364" s="333"/>
      <c r="DA364" s="333"/>
      <c r="DB364" s="334"/>
      <c r="DC364" s="333"/>
      <c r="DD364" s="333"/>
      <c r="DE364" s="788"/>
      <c r="DF364" s="333"/>
      <c r="DG364" s="333"/>
      <c r="DH364" s="788"/>
      <c r="DI364" s="333"/>
      <c r="DJ364" s="333"/>
      <c r="DK364" s="700"/>
      <c r="DL364" s="480">
        <f t="shared" ref="DL364:EL364" si="354">DL363/DI363-1</f>
        <v>-9.4215497392038383E-3</v>
      </c>
      <c r="DM364" s="480">
        <f t="shared" si="354"/>
        <v>-6.7360245469363367E-3</v>
      </c>
      <c r="DN364" s="712">
        <f t="shared" si="354"/>
        <v>-8.092266071809795E-3</v>
      </c>
      <c r="DO364" s="480">
        <f t="shared" si="354"/>
        <v>4.6939114347382516E-2</v>
      </c>
      <c r="DP364" s="480">
        <f t="shared" si="354"/>
        <v>9.9070833836128802E-2</v>
      </c>
      <c r="DQ364" s="712">
        <f t="shared" si="354"/>
        <v>7.2778601846978264E-2</v>
      </c>
      <c r="DR364" s="480">
        <f t="shared" si="354"/>
        <v>0.15382872677843218</v>
      </c>
      <c r="DS364" s="480">
        <f t="shared" si="354"/>
        <v>0.15085638998682471</v>
      </c>
      <c r="DT364" s="712">
        <f t="shared" si="354"/>
        <v>0.15231935771632465</v>
      </c>
      <c r="DU364" s="480">
        <f t="shared" si="354"/>
        <v>0.10170822697820547</v>
      </c>
      <c r="DV364" s="480">
        <f>DV363/DS363-1</f>
        <v>1.4882655981682813E-2</v>
      </c>
      <c r="DW364" s="712">
        <f>DW363/DT363-1</f>
        <v>5.7673698471066404E-2</v>
      </c>
      <c r="DX364" s="480">
        <f t="shared" si="354"/>
        <v>-4.9189092853323846E-2</v>
      </c>
      <c r="DY364" s="480">
        <f t="shared" si="354"/>
        <v>0.13258500962016573</v>
      </c>
      <c r="DZ364" s="712">
        <f t="shared" si="354"/>
        <v>3.9269868816986353E-2</v>
      </c>
      <c r="EA364" s="480">
        <f t="shared" si="354"/>
        <v>0.10204158386849582</v>
      </c>
      <c r="EB364" s="480">
        <f t="shared" si="354"/>
        <v>5.6749815097404621E-2</v>
      </c>
      <c r="EC364" s="712">
        <f t="shared" si="354"/>
        <v>7.8021662415702853E-2</v>
      </c>
      <c r="ED364" s="480">
        <f t="shared" si="354"/>
        <v>7.0627047062705728E-2</v>
      </c>
      <c r="EE364" s="480">
        <f t="shared" si="354"/>
        <v>7.0916657872664324E-2</v>
      </c>
      <c r="EF364" s="712">
        <f t="shared" si="354"/>
        <v>7.0777607810209364E-2</v>
      </c>
      <c r="EG364" s="480">
        <f t="shared" si="354"/>
        <v>7.16044835076044E-2</v>
      </c>
      <c r="EH364" s="480">
        <f t="shared" si="354"/>
        <v>7.3386346128421431E-2</v>
      </c>
      <c r="EI364" s="712">
        <f t="shared" si="354"/>
        <v>7.2530945494821308E-2</v>
      </c>
      <c r="EJ364" s="480">
        <f t="shared" si="354"/>
        <v>6.992054921566826E-2</v>
      </c>
      <c r="EK364" s="480">
        <f t="shared" si="354"/>
        <v>7.45533287506841E-2</v>
      </c>
      <c r="EL364" s="712">
        <f t="shared" si="354"/>
        <v>7.233123860224655E-2</v>
      </c>
      <c r="EM364" s="480">
        <f t="shared" ref="EM364:FA364" si="355">EM363/EJ363-1</f>
        <v>6.3364488145438269E-2</v>
      </c>
      <c r="EN364" s="480">
        <f t="shared" si="355"/>
        <v>6.0006333319529759E-2</v>
      </c>
      <c r="EO364" s="712">
        <f t="shared" si="355"/>
        <v>6.1613434894226771E-2</v>
      </c>
      <c r="EP364" s="480">
        <f t="shared" si="355"/>
        <v>6.2026468936411616E-2</v>
      </c>
      <c r="EQ364" s="480">
        <f t="shared" si="355"/>
        <v>6.3567784674627426E-2</v>
      </c>
      <c r="ER364" s="712">
        <f t="shared" si="355"/>
        <v>6.2828945403686332E-2</v>
      </c>
      <c r="ES364" s="480">
        <f t="shared" si="355"/>
        <v>6.3702826804246548E-2</v>
      </c>
      <c r="ET364" s="480">
        <f t="shared" si="355"/>
        <v>6.3736585723359385E-2</v>
      </c>
      <c r="EU364" s="712">
        <f t="shared" si="355"/>
        <v>6.3720415394276086E-2</v>
      </c>
      <c r="EV364" s="480">
        <f t="shared" si="355"/>
        <v>6.3869831480234174E-2</v>
      </c>
      <c r="EW364" s="480">
        <f t="shared" si="355"/>
        <v>6.3900972368197584E-2</v>
      </c>
      <c r="EX364" s="712">
        <f t="shared" si="355"/>
        <v>6.3886056307694616E-2</v>
      </c>
      <c r="EY364" s="480">
        <f t="shared" si="355"/>
        <v>6.4032514486512149E-2</v>
      </c>
      <c r="EZ364" s="480">
        <f t="shared" si="355"/>
        <v>6.4061117556840852E-2</v>
      </c>
      <c r="FA364" s="597">
        <f t="shared" si="355"/>
        <v>6.4047417285303165E-2</v>
      </c>
    </row>
    <row r="365" spans="1:184" s="350" customFormat="1" ht="13.35" customHeight="1">
      <c r="A365" s="760"/>
      <c r="B365" s="342"/>
      <c r="C365" s="342"/>
      <c r="D365" s="343"/>
      <c r="E365" s="342"/>
      <c r="F365" s="342"/>
      <c r="G365" s="342"/>
      <c r="H365" s="342"/>
      <c r="I365" s="342"/>
      <c r="J365" s="342"/>
      <c r="K365" s="342"/>
      <c r="L365" s="342"/>
      <c r="M365" s="342"/>
      <c r="N365" s="342"/>
      <c r="O365" s="342"/>
      <c r="P365" s="342"/>
      <c r="Q365" s="342"/>
      <c r="R365" s="342"/>
      <c r="S365" s="342"/>
      <c r="T365" s="342"/>
      <c r="U365" s="342"/>
      <c r="V365" s="342"/>
      <c r="W365" s="342"/>
      <c r="X365" s="342"/>
      <c r="Y365" s="342"/>
      <c r="Z365" s="342"/>
      <c r="AA365" s="342"/>
      <c r="AB365" s="342"/>
      <c r="AC365" s="342"/>
      <c r="AD365" s="342"/>
      <c r="AE365" s="342"/>
      <c r="AF365" s="342"/>
      <c r="AG365" s="342"/>
      <c r="AH365" s="342"/>
      <c r="AI365" s="342"/>
      <c r="AJ365" s="342"/>
      <c r="AK365" s="342"/>
      <c r="AL365" s="342"/>
      <c r="AM365" s="342"/>
      <c r="AN365" s="342"/>
      <c r="AO365" s="342"/>
      <c r="AP365" s="342"/>
      <c r="AQ365" s="342"/>
      <c r="AR365" s="342"/>
      <c r="AS365" s="342"/>
      <c r="AT365" s="342"/>
      <c r="AU365" s="342"/>
      <c r="AV365" s="342"/>
      <c r="AW365" s="342"/>
      <c r="AX365" s="342"/>
      <c r="AY365" s="342"/>
      <c r="AZ365" s="342"/>
      <c r="BA365" s="342"/>
      <c r="BB365" s="342"/>
      <c r="BC365" s="342"/>
      <c r="BD365" s="342"/>
      <c r="BE365" s="342"/>
      <c r="BF365" s="342"/>
      <c r="BG365" s="342"/>
      <c r="BH365" s="342"/>
      <c r="BI365" s="342"/>
      <c r="BJ365" s="342"/>
      <c r="BK365" s="342"/>
      <c r="BL365" s="342"/>
      <c r="BM365" s="344"/>
      <c r="BN365" s="344"/>
      <c r="BO365" s="342"/>
      <c r="BP365" s="345"/>
      <c r="BQ365" s="345"/>
      <c r="BR365" s="345"/>
      <c r="BS365" s="346"/>
      <c r="BT365" s="345"/>
      <c r="BU365" s="346"/>
      <c r="BV365" s="346"/>
      <c r="BW365" s="346"/>
      <c r="BX365" s="346"/>
      <c r="BY365" s="346"/>
      <c r="BZ365" s="346"/>
      <c r="CA365" s="346"/>
      <c r="CB365" s="346"/>
      <c r="CC365" s="346"/>
      <c r="CD365" s="346"/>
      <c r="CE365" s="347"/>
      <c r="CF365" s="346"/>
      <c r="CG365" s="346"/>
      <c r="CH365" s="346"/>
      <c r="CI365" s="346"/>
      <c r="CJ365" s="346"/>
      <c r="CK365" s="346"/>
      <c r="CL365" s="346"/>
      <c r="CM365" s="346"/>
      <c r="CN365" s="346"/>
      <c r="CO365" s="346"/>
      <c r="CP365" s="346"/>
      <c r="CQ365" s="346"/>
      <c r="CS365" s="346"/>
      <c r="CT365" s="346"/>
      <c r="CU365" s="346"/>
      <c r="CV365" s="346"/>
      <c r="CW365" s="346"/>
      <c r="CX365" s="346"/>
      <c r="CY365" s="556"/>
      <c r="CZ365" s="556"/>
      <c r="DA365" s="556"/>
      <c r="DB365" s="556"/>
      <c r="DC365" s="556"/>
      <c r="DD365" s="556"/>
      <c r="DE365" s="793"/>
      <c r="DF365" s="556"/>
      <c r="DG365" s="556"/>
      <c r="DH365" s="793"/>
      <c r="DI365" s="556"/>
      <c r="DJ365" s="556"/>
      <c r="DK365" s="704"/>
      <c r="DL365" s="556"/>
      <c r="DM365" s="556"/>
      <c r="DN365" s="704"/>
      <c r="DO365" s="556"/>
      <c r="DP365" s="556"/>
      <c r="DQ365" s="704"/>
      <c r="DR365" s="556"/>
      <c r="DS365" s="556"/>
      <c r="DT365" s="704"/>
      <c r="DU365" s="556"/>
      <c r="DV365" s="556"/>
      <c r="DW365" s="704"/>
      <c r="DX365" s="556"/>
      <c r="DY365" s="556"/>
      <c r="DZ365" s="704"/>
      <c r="EA365" s="556"/>
      <c r="EB365" s="556"/>
      <c r="EC365" s="704"/>
      <c r="ED365" s="556"/>
      <c r="EE365" s="556"/>
      <c r="EF365" s="704"/>
      <c r="EG365" s="556"/>
      <c r="EH365" s="556"/>
      <c r="EI365" s="704"/>
      <c r="EJ365" s="556"/>
      <c r="EK365" s="556"/>
      <c r="EL365" s="704"/>
      <c r="EM365" s="556"/>
      <c r="EN365" s="556"/>
      <c r="EO365" s="704"/>
      <c r="EP365" s="556"/>
      <c r="EQ365" s="556"/>
      <c r="ER365" s="704"/>
      <c r="ES365" s="556"/>
      <c r="ET365" s="556"/>
      <c r="EU365" s="704"/>
      <c r="EV365" s="556"/>
      <c r="EW365" s="556"/>
      <c r="EX365" s="704"/>
      <c r="EY365" s="556"/>
      <c r="EZ365" s="556"/>
      <c r="FA365" s="557"/>
      <c r="FB365" s="176"/>
      <c r="FC365" s="176"/>
      <c r="FD365" s="176"/>
      <c r="FE365" s="176"/>
      <c r="FF365" s="176"/>
      <c r="FG365" s="176"/>
      <c r="FH365" s="176"/>
      <c r="FI365" s="176"/>
      <c r="FJ365" s="176"/>
      <c r="FK365" s="176"/>
      <c r="FL365" s="176"/>
      <c r="FM365" s="176"/>
      <c r="FN365" s="176"/>
      <c r="FO365" s="176"/>
      <c r="FP365" s="176"/>
      <c r="FQ365" s="176"/>
      <c r="FR365" s="176"/>
      <c r="FS365" s="349"/>
      <c r="FT365" s="349"/>
      <c r="FU365" s="349"/>
      <c r="FV365" s="349"/>
      <c r="FW365" s="349"/>
      <c r="FX365" s="349"/>
      <c r="FY365" s="349"/>
      <c r="FZ365" s="349"/>
      <c r="GA365" s="349"/>
      <c r="GB365" s="349"/>
    </row>
    <row r="366" spans="1:184" ht="13.35" customHeight="1">
      <c r="A366" s="760"/>
      <c r="B366" s="4"/>
      <c r="C366" s="4" t="s">
        <v>695</v>
      </c>
      <c r="D366" s="250" t="s">
        <v>357</v>
      </c>
      <c r="E366" s="251"/>
      <c r="F366" s="251"/>
      <c r="G366" s="252"/>
      <c r="H366" s="251"/>
      <c r="I366" s="251"/>
      <c r="J366" s="252"/>
      <c r="K366" s="251"/>
      <c r="L366" s="251"/>
      <c r="M366" s="252"/>
      <c r="N366" s="251"/>
      <c r="O366" s="251"/>
      <c r="P366" s="252"/>
      <c r="Q366" s="251"/>
      <c r="R366" s="251"/>
      <c r="S366" s="252"/>
      <c r="T366" s="251"/>
      <c r="U366" s="251"/>
      <c r="V366" s="252"/>
      <c r="W366" s="251"/>
      <c r="X366" s="251"/>
      <c r="Y366" s="252"/>
      <c r="Z366" s="251"/>
      <c r="AA366" s="251"/>
      <c r="AB366" s="252"/>
      <c r="AC366" s="251"/>
      <c r="AD366" s="251"/>
      <c r="AE366" s="252"/>
      <c r="AF366" s="251"/>
      <c r="AG366" s="251"/>
      <c r="AH366" s="252"/>
      <c r="AI366" s="251"/>
      <c r="AJ366" s="251"/>
      <c r="AK366" s="252"/>
      <c r="AL366" s="251"/>
      <c r="AM366" s="251"/>
      <c r="AN366" s="252"/>
      <c r="AO366" s="251"/>
      <c r="AP366" s="251"/>
      <c r="AQ366" s="252"/>
      <c r="AR366" s="251"/>
      <c r="AS366" s="251"/>
      <c r="AT366" s="252"/>
      <c r="AU366" s="251"/>
      <c r="AV366" s="251"/>
      <c r="AW366" s="252"/>
      <c r="AX366" s="251"/>
      <c r="AY366" s="251"/>
      <c r="AZ366" s="252"/>
      <c r="BA366" s="251"/>
      <c r="BB366" s="251"/>
      <c r="BC366" s="252"/>
      <c r="BD366" s="251"/>
      <c r="BE366" s="251"/>
      <c r="BF366" s="252"/>
      <c r="BG366" s="251"/>
      <c r="BH366" s="251"/>
      <c r="BI366" s="252"/>
      <c r="BJ366" s="251"/>
      <c r="BK366" s="251"/>
      <c r="BL366" s="252"/>
      <c r="BM366" s="251"/>
      <c r="BN366" s="251"/>
      <c r="BO366" s="79"/>
      <c r="BP366" s="259"/>
      <c r="BQ366" s="259"/>
      <c r="BR366" s="260"/>
      <c r="BS366" s="198"/>
      <c r="BT366" s="259"/>
      <c r="BU366" s="254"/>
      <c r="BV366" s="198"/>
      <c r="BW366" s="198"/>
      <c r="BX366" s="79"/>
      <c r="BY366" s="198"/>
      <c r="BZ366" s="198"/>
      <c r="CA366" s="79"/>
      <c r="CB366" s="198"/>
      <c r="CC366" s="198"/>
      <c r="CD366" s="79"/>
      <c r="CE366" s="198"/>
      <c r="CF366" s="198"/>
      <c r="CG366" s="79"/>
      <c r="CH366" s="198"/>
      <c r="CI366" s="198"/>
      <c r="CJ366" s="79"/>
      <c r="CK366" s="198"/>
      <c r="CL366" s="198"/>
      <c r="CM366" s="79"/>
      <c r="CN366" s="198"/>
      <c r="CO366" s="198"/>
      <c r="CP366" s="79"/>
      <c r="CQ366" s="198"/>
      <c r="CR366" s="198"/>
      <c r="CS366" s="79"/>
      <c r="CT366" s="198"/>
      <c r="CU366" s="198"/>
      <c r="CV366" s="79"/>
      <c r="CW366" s="198"/>
      <c r="CX366" s="198"/>
      <c r="CY366" s="488"/>
      <c r="CZ366" s="489"/>
      <c r="DA366" s="489"/>
      <c r="DB366" s="488"/>
      <c r="DC366" s="489"/>
      <c r="DD366" s="489"/>
      <c r="DE366" s="783"/>
      <c r="DF366" s="489"/>
      <c r="DG366" s="489"/>
      <c r="DH366" s="783"/>
      <c r="DI366" s="646">
        <v>4256.5448291452831</v>
      </c>
      <c r="DJ366" s="646">
        <v>4171.2558953579228</v>
      </c>
      <c r="DK366" s="674">
        <v>8427.8007245032059</v>
      </c>
      <c r="DL366" s="646">
        <f>DL363</f>
        <v>4216.1000000000004</v>
      </c>
      <c r="DM366" s="646">
        <f>DM363</f>
        <v>4143.5</v>
      </c>
      <c r="DN366" s="674">
        <f>SUM(DL366:DM366)</f>
        <v>8359.6</v>
      </c>
      <c r="DO366" s="646">
        <f>DO363</f>
        <v>4414</v>
      </c>
      <c r="DP366" s="646">
        <f>DP363</f>
        <v>4554</v>
      </c>
      <c r="DQ366" s="674">
        <f>SUM(DO366:DP366)</f>
        <v>8968</v>
      </c>
      <c r="DR366" s="646">
        <f>DR363</f>
        <v>5093</v>
      </c>
      <c r="DS366" s="646">
        <f>DS363</f>
        <v>5241</v>
      </c>
      <c r="DT366" s="674">
        <f>SUM(DR366:DS366)</f>
        <v>10334</v>
      </c>
      <c r="DU366" s="646">
        <f>DU363</f>
        <v>5611</v>
      </c>
      <c r="DV366" s="646">
        <f>DV363</f>
        <v>5319</v>
      </c>
      <c r="DW366" s="674">
        <f>SUM(DU366:DV366)</f>
        <v>10930</v>
      </c>
      <c r="DX366" s="646">
        <f>DX363</f>
        <v>5335</v>
      </c>
      <c r="DY366" s="646">
        <f>DY363</f>
        <v>6024.2196661696617</v>
      </c>
      <c r="DZ366" s="674">
        <f>SUM(DX366:DY366)</f>
        <v>11359.219666169662</v>
      </c>
      <c r="EA366" s="646">
        <f>EA363</f>
        <v>5879.3918499384254</v>
      </c>
      <c r="EB366" s="646">
        <f>EB363</f>
        <v>6366.0930183309383</v>
      </c>
      <c r="EC366" s="674">
        <f>SUM(EA366:EB366)</f>
        <v>12245.484868269363</v>
      </c>
      <c r="ED366" s="646">
        <f>ED363</f>
        <v>6294.6359348241149</v>
      </c>
      <c r="EE366" s="646">
        <f>EE363</f>
        <v>6817.5550588974711</v>
      </c>
      <c r="EF366" s="674">
        <f>SUM(ED366:EE366)</f>
        <v>13112.190993721586</v>
      </c>
      <c r="EG366" s="646">
        <f>EG363</f>
        <v>6745.360089805602</v>
      </c>
      <c r="EH366" s="646">
        <f>EH363</f>
        <v>7317.8705141992914</v>
      </c>
      <c r="EI366" s="674">
        <f>SUM(EG366:EH366)</f>
        <v>14063.230604004893</v>
      </c>
      <c r="EJ366" s="646">
        <f>EJ363</f>
        <v>7216.9993719422591</v>
      </c>
      <c r="EK366" s="646">
        <f>EK363</f>
        <v>7863.4421203993288</v>
      </c>
      <c r="EL366" s="674">
        <f>SUM(EJ366:EK366)</f>
        <v>15080.441492341588</v>
      </c>
      <c r="EM366" s="646">
        <f>EM363</f>
        <v>7674.3008430913305</v>
      </c>
      <c r="EN366" s="646">
        <f>EN363</f>
        <v>8335.2984493148415</v>
      </c>
      <c r="EO366" s="674">
        <f>SUM(EM366:EN366)</f>
        <v>16009.599292406172</v>
      </c>
      <c r="EP366" s="646">
        <f>EP363</f>
        <v>8150.3106259440119</v>
      </c>
      <c r="EQ366" s="646">
        <f>EQ363</f>
        <v>8865.1549063396433</v>
      </c>
      <c r="ER366" s="674">
        <f>SUM(EP366:EQ366)</f>
        <v>17015.465532283655</v>
      </c>
      <c r="ES366" s="646">
        <f>ES363</f>
        <v>8669.5084521493336</v>
      </c>
      <c r="ET366" s="646">
        <f>ET363</f>
        <v>9430.1896119784196</v>
      </c>
      <c r="EU366" s="674">
        <f>SUM(ES366:ET366)</f>
        <v>18099.698064127755</v>
      </c>
      <c r="EV366" s="646">
        <f>EV363</f>
        <v>9223.2284960045781</v>
      </c>
      <c r="EW366" s="646">
        <f>EW363</f>
        <v>10032.787897800315</v>
      </c>
      <c r="EX366" s="674">
        <f>SUM(EV366:EW366)</f>
        <v>19256.016393804894</v>
      </c>
      <c r="EY366" s="646">
        <f>EY363</f>
        <v>9813.8150082874035</v>
      </c>
      <c r="EZ366" s="646">
        <f>EZ363</f>
        <v>10675.499502744151</v>
      </c>
      <c r="FA366" s="776">
        <f>SUM(EY366:EZ366)</f>
        <v>20489.314511031553</v>
      </c>
    </row>
    <row r="367" spans="1:184" ht="13.35" customHeight="1">
      <c r="A367" s="760"/>
      <c r="B367" s="4"/>
      <c r="C367" s="4" t="s">
        <v>178</v>
      </c>
      <c r="D367" s="250" t="s">
        <v>507</v>
      </c>
      <c r="E367" s="251"/>
      <c r="F367" s="251"/>
      <c r="G367" s="252"/>
      <c r="H367" s="251"/>
      <c r="I367" s="251"/>
      <c r="J367" s="252"/>
      <c r="K367" s="251"/>
      <c r="L367" s="251"/>
      <c r="M367" s="252"/>
      <c r="N367" s="251"/>
      <c r="O367" s="251"/>
      <c r="P367" s="252"/>
      <c r="Q367" s="251"/>
      <c r="R367" s="251"/>
      <c r="S367" s="252"/>
      <c r="T367" s="251"/>
      <c r="U367" s="251"/>
      <c r="V367" s="252"/>
      <c r="W367" s="251"/>
      <c r="X367" s="251"/>
      <c r="Y367" s="252"/>
      <c r="Z367" s="251"/>
      <c r="AA367" s="251"/>
      <c r="AB367" s="252"/>
      <c r="AC367" s="251"/>
      <c r="AD367" s="251"/>
      <c r="AE367" s="252"/>
      <c r="AF367" s="251"/>
      <c r="AG367" s="251"/>
      <c r="AH367" s="252"/>
      <c r="AI367" s="251"/>
      <c r="AJ367" s="251"/>
      <c r="AK367" s="252"/>
      <c r="AL367" s="251"/>
      <c r="AM367" s="251"/>
      <c r="AN367" s="252"/>
      <c r="AO367" s="251"/>
      <c r="AP367" s="251"/>
      <c r="AQ367" s="252"/>
      <c r="AR367" s="251"/>
      <c r="AS367" s="251"/>
      <c r="AT367" s="252"/>
      <c r="AU367" s="251"/>
      <c r="AV367" s="251"/>
      <c r="AW367" s="252"/>
      <c r="AX367" s="251"/>
      <c r="AY367" s="251"/>
      <c r="AZ367" s="252"/>
      <c r="BA367" s="251"/>
      <c r="BB367" s="251"/>
      <c r="BC367" s="252"/>
      <c r="BD367" s="251"/>
      <c r="BE367" s="251"/>
      <c r="BF367" s="252"/>
      <c r="BG367" s="251"/>
      <c r="BH367" s="251"/>
      <c r="BI367" s="252"/>
      <c r="BJ367" s="251"/>
      <c r="BK367" s="251"/>
      <c r="BL367" s="252"/>
      <c r="BM367" s="251"/>
      <c r="BN367" s="251"/>
      <c r="BO367" s="79"/>
      <c r="BP367" s="259"/>
      <c r="BQ367" s="259"/>
      <c r="BR367" s="260"/>
      <c r="BS367" s="259"/>
      <c r="BT367" s="259"/>
      <c r="BU367" s="261"/>
      <c r="BV367" s="259"/>
      <c r="BW367" s="259"/>
      <c r="BX367" s="260"/>
      <c r="BY367" s="259"/>
      <c r="BZ367" s="259"/>
      <c r="CA367" s="260"/>
      <c r="CB367" s="259"/>
      <c r="CC367" s="259"/>
      <c r="CD367" s="260"/>
      <c r="CE367" s="259"/>
      <c r="CF367" s="259"/>
      <c r="CG367" s="260"/>
      <c r="CH367" s="259"/>
      <c r="CI367" s="259"/>
      <c r="CJ367" s="260"/>
      <c r="CK367" s="259"/>
      <c r="CL367" s="259"/>
      <c r="CM367" s="260"/>
      <c r="CN367" s="259"/>
      <c r="CO367" s="259"/>
      <c r="CP367" s="260"/>
      <c r="CQ367" s="259"/>
      <c r="CR367" s="259"/>
      <c r="CS367" s="260"/>
      <c r="CT367" s="259"/>
      <c r="CU367" s="259"/>
      <c r="CV367" s="260"/>
      <c r="CW367" s="259"/>
      <c r="CX367" s="259"/>
      <c r="CY367" s="334"/>
      <c r="CZ367" s="333"/>
      <c r="DA367" s="333"/>
      <c r="DB367" s="334"/>
      <c r="DC367" s="333"/>
      <c r="DD367" s="333"/>
      <c r="DE367" s="788"/>
      <c r="DF367" s="333"/>
      <c r="DG367" s="333"/>
      <c r="DH367" s="788"/>
      <c r="DI367" s="333"/>
      <c r="DJ367" s="333"/>
      <c r="DK367" s="700"/>
      <c r="DL367" s="848">
        <f t="shared" ref="DL367:EL367" si="356">DL366/DI366-1</f>
        <v>-9.501798000187911E-3</v>
      </c>
      <c r="DM367" s="848">
        <f t="shared" si="356"/>
        <v>-6.6540859765548133E-3</v>
      </c>
      <c r="DN367" s="842">
        <f t="shared" si="356"/>
        <v>-8.0923513420193549E-3</v>
      </c>
      <c r="DO367" s="848">
        <f t="shared" si="356"/>
        <v>4.6939114347382516E-2</v>
      </c>
      <c r="DP367" s="848">
        <f t="shared" si="356"/>
        <v>9.9070833836128802E-2</v>
      </c>
      <c r="DQ367" s="842">
        <f t="shared" si="356"/>
        <v>7.2778601846978264E-2</v>
      </c>
      <c r="DR367" s="848">
        <f t="shared" si="356"/>
        <v>0.15382872677843218</v>
      </c>
      <c r="DS367" s="848">
        <f t="shared" si="356"/>
        <v>0.15085638998682471</v>
      </c>
      <c r="DT367" s="842">
        <f t="shared" si="356"/>
        <v>0.15231935771632465</v>
      </c>
      <c r="DU367" s="848">
        <f t="shared" si="356"/>
        <v>0.10170822697820547</v>
      </c>
      <c r="DV367" s="848">
        <f>DV366/DS366-1</f>
        <v>1.4882655981682813E-2</v>
      </c>
      <c r="DW367" s="842">
        <f>DW366/DT366-1</f>
        <v>5.7673698471066404E-2</v>
      </c>
      <c r="DX367" s="848">
        <f t="shared" si="356"/>
        <v>-4.9189092853323846E-2</v>
      </c>
      <c r="DY367" s="848">
        <f t="shared" si="356"/>
        <v>0.13258500962016573</v>
      </c>
      <c r="DZ367" s="842">
        <f t="shared" si="356"/>
        <v>3.9269868816986353E-2</v>
      </c>
      <c r="EA367" s="848">
        <f t="shared" si="356"/>
        <v>0.10204158386849582</v>
      </c>
      <c r="EB367" s="848">
        <f t="shared" si="356"/>
        <v>5.6749815097404621E-2</v>
      </c>
      <c r="EC367" s="842">
        <f t="shared" si="356"/>
        <v>7.8021662415702853E-2</v>
      </c>
      <c r="ED367" s="848">
        <f t="shared" si="356"/>
        <v>7.0627047062705728E-2</v>
      </c>
      <c r="EE367" s="848">
        <f t="shared" si="356"/>
        <v>7.0916657872664324E-2</v>
      </c>
      <c r="EF367" s="842">
        <f t="shared" si="356"/>
        <v>7.0777607810209364E-2</v>
      </c>
      <c r="EG367" s="848">
        <f t="shared" si="356"/>
        <v>7.16044835076044E-2</v>
      </c>
      <c r="EH367" s="848">
        <f t="shared" si="356"/>
        <v>7.3386346128421431E-2</v>
      </c>
      <c r="EI367" s="842">
        <f t="shared" si="356"/>
        <v>7.2530945494821308E-2</v>
      </c>
      <c r="EJ367" s="848">
        <f t="shared" si="356"/>
        <v>6.992054921566826E-2</v>
      </c>
      <c r="EK367" s="848">
        <f t="shared" si="356"/>
        <v>7.45533287506841E-2</v>
      </c>
      <c r="EL367" s="842">
        <f t="shared" si="356"/>
        <v>7.233123860224655E-2</v>
      </c>
      <c r="EM367" s="848">
        <f t="shared" ref="EM367:FA367" si="357">EM366/EJ366-1</f>
        <v>6.3364488145438269E-2</v>
      </c>
      <c r="EN367" s="848">
        <f t="shared" si="357"/>
        <v>6.0006333319529759E-2</v>
      </c>
      <c r="EO367" s="842">
        <f t="shared" si="357"/>
        <v>6.1613434894226771E-2</v>
      </c>
      <c r="EP367" s="848">
        <f t="shared" si="357"/>
        <v>6.2026468936411616E-2</v>
      </c>
      <c r="EQ367" s="848">
        <f t="shared" si="357"/>
        <v>6.3567784674627426E-2</v>
      </c>
      <c r="ER367" s="842">
        <f t="shared" si="357"/>
        <v>6.2828945403686332E-2</v>
      </c>
      <c r="ES367" s="848">
        <f t="shared" si="357"/>
        <v>6.3702826804246548E-2</v>
      </c>
      <c r="ET367" s="848">
        <f t="shared" si="357"/>
        <v>6.3736585723359385E-2</v>
      </c>
      <c r="EU367" s="842">
        <f t="shared" si="357"/>
        <v>6.3720415394276086E-2</v>
      </c>
      <c r="EV367" s="848">
        <f t="shared" si="357"/>
        <v>6.3869831480234174E-2</v>
      </c>
      <c r="EW367" s="848">
        <f t="shared" si="357"/>
        <v>6.3900972368197584E-2</v>
      </c>
      <c r="EX367" s="842">
        <f t="shared" si="357"/>
        <v>6.3886056307694616E-2</v>
      </c>
      <c r="EY367" s="848">
        <f t="shared" si="357"/>
        <v>6.4032514486512149E-2</v>
      </c>
      <c r="EZ367" s="848">
        <f t="shared" si="357"/>
        <v>6.4061117556840852E-2</v>
      </c>
      <c r="FA367" s="849">
        <f t="shared" si="357"/>
        <v>6.4047417285303165E-2</v>
      </c>
    </row>
    <row r="368" spans="1:184" ht="13.35" customHeight="1">
      <c r="A368" s="760"/>
      <c r="B368" s="4"/>
      <c r="C368" s="4"/>
      <c r="D368" s="250"/>
      <c r="E368" s="251"/>
      <c r="F368" s="251"/>
      <c r="G368" s="252"/>
      <c r="H368" s="251"/>
      <c r="I368" s="251"/>
      <c r="J368" s="252"/>
      <c r="K368" s="251"/>
      <c r="L368" s="251"/>
      <c r="M368" s="252"/>
      <c r="N368" s="251"/>
      <c r="O368" s="251"/>
      <c r="P368" s="252"/>
      <c r="Q368" s="251"/>
      <c r="R368" s="251"/>
      <c r="S368" s="252"/>
      <c r="T368" s="251"/>
      <c r="U368" s="251"/>
      <c r="V368" s="252"/>
      <c r="W368" s="251"/>
      <c r="X368" s="251"/>
      <c r="Y368" s="252"/>
      <c r="Z368" s="251"/>
      <c r="AA368" s="251"/>
      <c r="AB368" s="252"/>
      <c r="AC368" s="251"/>
      <c r="AD368" s="251"/>
      <c r="AE368" s="252"/>
      <c r="AF368" s="251"/>
      <c r="AG368" s="251"/>
      <c r="AH368" s="252"/>
      <c r="AI368" s="251"/>
      <c r="AJ368" s="251"/>
      <c r="AK368" s="252"/>
      <c r="AL368" s="251"/>
      <c r="AM368" s="251"/>
      <c r="AN368" s="252"/>
      <c r="AO368" s="251"/>
      <c r="AP368" s="251"/>
      <c r="AQ368" s="252"/>
      <c r="AR368" s="251"/>
      <c r="AS368" s="251"/>
      <c r="AT368" s="252"/>
      <c r="AU368" s="251"/>
      <c r="AV368" s="251"/>
      <c r="AW368" s="252"/>
      <c r="AX368" s="251"/>
      <c r="AY368" s="251"/>
      <c r="AZ368" s="252"/>
      <c r="BA368" s="251"/>
      <c r="BB368" s="251"/>
      <c r="BC368" s="252"/>
      <c r="BD368" s="251"/>
      <c r="BE368" s="251"/>
      <c r="BF368" s="252"/>
      <c r="BG368" s="251"/>
      <c r="BH368" s="251"/>
      <c r="BI368" s="252"/>
      <c r="BJ368" s="251"/>
      <c r="BK368" s="251"/>
      <c r="BL368" s="252"/>
      <c r="BM368" s="251"/>
      <c r="BN368" s="251"/>
      <c r="BO368" s="79"/>
      <c r="BP368" s="259"/>
      <c r="BQ368" s="259"/>
      <c r="BR368" s="260"/>
      <c r="BS368" s="259"/>
      <c r="BT368" s="259"/>
      <c r="BU368" s="261"/>
      <c r="BV368" s="259"/>
      <c r="BW368" s="259"/>
      <c r="BX368" s="260"/>
      <c r="BY368" s="259"/>
      <c r="BZ368" s="259"/>
      <c r="CA368" s="260"/>
      <c r="CB368" s="259"/>
      <c r="CC368" s="259"/>
      <c r="CD368" s="260"/>
      <c r="CE368" s="259"/>
      <c r="CF368" s="259"/>
      <c r="CG368" s="260"/>
      <c r="CH368" s="259"/>
      <c r="CI368" s="259"/>
      <c r="CJ368" s="260"/>
      <c r="CK368" s="259"/>
      <c r="CL368" s="259"/>
      <c r="CM368" s="260"/>
      <c r="CN368" s="259"/>
      <c r="CO368" s="259"/>
      <c r="CP368" s="260"/>
      <c r="CQ368" s="259"/>
      <c r="CR368" s="259"/>
      <c r="CS368" s="260"/>
      <c r="CT368" s="259"/>
      <c r="CU368" s="259"/>
      <c r="CV368" s="260"/>
      <c r="CW368" s="259"/>
      <c r="CX368" s="259"/>
      <c r="CY368" s="334"/>
      <c r="CZ368" s="333"/>
      <c r="DA368" s="333"/>
      <c r="DB368" s="334"/>
      <c r="DC368" s="333"/>
      <c r="DD368" s="333"/>
      <c r="DE368" s="806"/>
      <c r="DF368" s="333"/>
      <c r="DG368" s="333"/>
      <c r="DH368" s="788"/>
      <c r="DI368" s="333"/>
      <c r="DJ368" s="333"/>
      <c r="DK368" s="700"/>
      <c r="DL368" s="333"/>
      <c r="DM368" s="333"/>
      <c r="DN368" s="700"/>
      <c r="DO368" s="333"/>
      <c r="DP368" s="333"/>
      <c r="DQ368" s="700"/>
      <c r="DR368" s="333"/>
      <c r="DS368" s="333"/>
      <c r="DT368" s="700"/>
      <c r="DU368" s="333"/>
      <c r="DV368" s="333"/>
      <c r="DW368" s="700"/>
      <c r="DX368" s="333"/>
      <c r="DY368" s="333"/>
      <c r="DZ368" s="700"/>
      <c r="EA368" s="333"/>
      <c r="EB368" s="333"/>
      <c r="EC368" s="700"/>
      <c r="ED368" s="333"/>
      <c r="EE368" s="333"/>
      <c r="EF368" s="700"/>
      <c r="EG368" s="333"/>
      <c r="EH368" s="333"/>
      <c r="EI368" s="700"/>
      <c r="EJ368" s="333"/>
      <c r="EK368" s="333"/>
      <c r="EL368" s="700"/>
      <c r="EM368" s="333"/>
      <c r="EN368" s="333"/>
      <c r="EO368" s="700"/>
      <c r="EP368" s="333"/>
      <c r="EQ368" s="333"/>
      <c r="ER368" s="700"/>
      <c r="ES368" s="333"/>
      <c r="ET368" s="333"/>
      <c r="EU368" s="700"/>
      <c r="EV368" s="333"/>
      <c r="EW368" s="333"/>
      <c r="EX368" s="700"/>
      <c r="EY368" s="333"/>
      <c r="EZ368" s="333"/>
      <c r="FA368" s="523"/>
      <c r="FP368" s="349"/>
      <c r="FQ368" s="349"/>
      <c r="FR368" s="349"/>
    </row>
    <row r="369" spans="1:184" ht="13.35" customHeight="1">
      <c r="A369" s="760"/>
      <c r="B369" s="4"/>
      <c r="C369" s="445" t="s">
        <v>792</v>
      </c>
      <c r="D369" s="250" t="s">
        <v>357</v>
      </c>
      <c r="E369" s="251"/>
      <c r="F369" s="251"/>
      <c r="G369" s="252"/>
      <c r="H369" s="251"/>
      <c r="I369" s="251"/>
      <c r="J369" s="252"/>
      <c r="K369" s="251"/>
      <c r="L369" s="251"/>
      <c r="M369" s="252"/>
      <c r="N369" s="251"/>
      <c r="O369" s="251"/>
      <c r="P369" s="252"/>
      <c r="Q369" s="251"/>
      <c r="R369" s="251"/>
      <c r="S369" s="252"/>
      <c r="T369" s="251"/>
      <c r="U369" s="251"/>
      <c r="V369" s="252"/>
      <c r="W369" s="251"/>
      <c r="X369" s="251"/>
      <c r="Y369" s="252"/>
      <c r="Z369" s="251"/>
      <c r="AA369" s="251"/>
      <c r="AB369" s="252"/>
      <c r="AC369" s="251"/>
      <c r="AD369" s="251"/>
      <c r="AE369" s="252"/>
      <c r="AF369" s="251"/>
      <c r="AG369" s="251"/>
      <c r="AH369" s="252"/>
      <c r="AI369" s="251"/>
      <c r="AJ369" s="251"/>
      <c r="AK369" s="252"/>
      <c r="AL369" s="251"/>
      <c r="AM369" s="251"/>
      <c r="AN369" s="252"/>
      <c r="AO369" s="251"/>
      <c r="AP369" s="251"/>
      <c r="AQ369" s="252"/>
      <c r="AR369" s="251"/>
      <c r="AS369" s="251"/>
      <c r="AT369" s="252"/>
      <c r="AU369" s="251"/>
      <c r="AV369" s="251"/>
      <c r="AW369" s="252"/>
      <c r="AX369" s="251"/>
      <c r="AY369" s="251"/>
      <c r="AZ369" s="252"/>
      <c r="BA369" s="251"/>
      <c r="BB369" s="251"/>
      <c r="BC369" s="252"/>
      <c r="BD369" s="251"/>
      <c r="BE369" s="251"/>
      <c r="BF369" s="252"/>
      <c r="BG369" s="251"/>
      <c r="BH369" s="251"/>
      <c r="BI369" s="252"/>
      <c r="BJ369" s="251"/>
      <c r="BK369" s="251"/>
      <c r="BL369" s="252"/>
      <c r="BM369" s="251"/>
      <c r="BN369" s="251"/>
      <c r="BO369" s="79"/>
      <c r="BP369" s="259"/>
      <c r="BQ369" s="259"/>
      <c r="BR369" s="260"/>
      <c r="BS369" s="259"/>
      <c r="BT369" s="259"/>
      <c r="BU369" s="261"/>
      <c r="BV369" s="446"/>
      <c r="BW369" s="446"/>
      <c r="BX369" s="254"/>
      <c r="BY369" s="254"/>
      <c r="BZ369" s="254"/>
      <c r="CA369" s="254"/>
      <c r="CB369" s="254"/>
      <c r="CC369" s="254"/>
      <c r="CD369" s="254"/>
      <c r="CE369" s="254"/>
      <c r="CF369" s="254"/>
      <c r="CG369" s="254"/>
      <c r="CH369" s="254"/>
      <c r="CI369" s="254"/>
      <c r="CJ369" s="254"/>
      <c r="CK369" s="254"/>
      <c r="CL369" s="254"/>
      <c r="CM369" s="254"/>
      <c r="CN369" s="254"/>
      <c r="CO369" s="254"/>
      <c r="CP369" s="254"/>
      <c r="CQ369" s="254"/>
      <c r="CR369" s="254"/>
      <c r="CS369" s="254"/>
      <c r="CT369" s="198"/>
      <c r="CU369" s="198"/>
      <c r="CV369" s="79"/>
      <c r="CW369" s="198"/>
      <c r="CX369" s="198"/>
      <c r="CY369" s="488"/>
      <c r="CZ369" s="489"/>
      <c r="DA369" s="489"/>
      <c r="DB369" s="488"/>
      <c r="DC369" s="489"/>
      <c r="DD369" s="489"/>
      <c r="DE369" s="783"/>
      <c r="DF369" s="10"/>
      <c r="DG369" s="489"/>
      <c r="DH369" s="783"/>
      <c r="DI369" s="924">
        <v>7.8</v>
      </c>
      <c r="DJ369" s="646">
        <f>+DK369-DI369</f>
        <v>12.5</v>
      </c>
      <c r="DK369" s="685">
        <v>20.3</v>
      </c>
      <c r="DL369" s="924">
        <v>19.5</v>
      </c>
      <c r="DM369" s="646">
        <f>+DN369-DL369</f>
        <v>24.700000000000003</v>
      </c>
      <c r="DN369" s="685">
        <v>44.2</v>
      </c>
      <c r="DO369" s="924">
        <v>20</v>
      </c>
      <c r="DP369" s="646">
        <f>+DQ369-DO369</f>
        <v>87</v>
      </c>
      <c r="DQ369" s="685">
        <v>107</v>
      </c>
      <c r="DR369" s="924">
        <v>20</v>
      </c>
      <c r="DS369" s="646">
        <f>+DT369-DR369</f>
        <v>19</v>
      </c>
      <c r="DT369" s="685">
        <v>39</v>
      </c>
      <c r="DU369" s="836">
        <v>20</v>
      </c>
      <c r="DV369" s="646">
        <f>+DW369-DU369</f>
        <v>18</v>
      </c>
      <c r="DW369" s="685">
        <v>38</v>
      </c>
      <c r="DX369" s="836">
        <v>19</v>
      </c>
      <c r="DY369" s="489">
        <f>DX369</f>
        <v>19</v>
      </c>
      <c r="DZ369" s="696">
        <f>SUM(DX369:DY369)</f>
        <v>38</v>
      </c>
      <c r="EA369" s="489">
        <f>DY369</f>
        <v>19</v>
      </c>
      <c r="EB369" s="489">
        <f>EA369</f>
        <v>19</v>
      </c>
      <c r="EC369" s="696">
        <f>SUM(EA369:EB369)</f>
        <v>38</v>
      </c>
      <c r="ED369" s="489">
        <f>EB369</f>
        <v>19</v>
      </c>
      <c r="EE369" s="489">
        <f>ED369</f>
        <v>19</v>
      </c>
      <c r="EF369" s="696">
        <f>SUM(ED369:EE369)</f>
        <v>38</v>
      </c>
      <c r="EG369" s="489">
        <f>EE369</f>
        <v>19</v>
      </c>
      <c r="EH369" s="489">
        <f>EG369</f>
        <v>19</v>
      </c>
      <c r="EI369" s="696">
        <f>SUM(EG369:EH369)</f>
        <v>38</v>
      </c>
      <c r="EJ369" s="489">
        <f>EH369</f>
        <v>19</v>
      </c>
      <c r="EK369" s="489">
        <f>EJ369</f>
        <v>19</v>
      </c>
      <c r="EL369" s="696">
        <f>SUM(EJ369:EK369)</f>
        <v>38</v>
      </c>
      <c r="EM369" s="489">
        <f>EK369</f>
        <v>19</v>
      </c>
      <c r="EN369" s="489">
        <f>EM369</f>
        <v>19</v>
      </c>
      <c r="EO369" s="696">
        <f>SUM(EM369:EN369)</f>
        <v>38</v>
      </c>
      <c r="EP369" s="489">
        <f>EN369</f>
        <v>19</v>
      </c>
      <c r="EQ369" s="489">
        <f>EP369</f>
        <v>19</v>
      </c>
      <c r="ER369" s="696">
        <f>SUM(EP369:EQ369)</f>
        <v>38</v>
      </c>
      <c r="ES369" s="489">
        <f>EQ369</f>
        <v>19</v>
      </c>
      <c r="ET369" s="489">
        <f>ES369</f>
        <v>19</v>
      </c>
      <c r="EU369" s="696">
        <f>SUM(ES369:ET369)</f>
        <v>38</v>
      </c>
      <c r="EV369" s="489">
        <f>ET369</f>
        <v>19</v>
      </c>
      <c r="EW369" s="489">
        <f>EV369</f>
        <v>19</v>
      </c>
      <c r="EX369" s="696">
        <f>SUM(EV369:EW369)</f>
        <v>38</v>
      </c>
      <c r="EY369" s="489">
        <f>EW369</f>
        <v>19</v>
      </c>
      <c r="EZ369" s="489">
        <f>EY369</f>
        <v>19</v>
      </c>
      <c r="FA369" s="536">
        <f>SUM(EY369:EZ369)</f>
        <v>38</v>
      </c>
    </row>
    <row r="370" spans="1:184" ht="13.35" customHeight="1">
      <c r="A370" s="760"/>
      <c r="B370" s="4"/>
      <c r="C370" s="4" t="s">
        <v>178</v>
      </c>
      <c r="D370" s="250" t="s">
        <v>507</v>
      </c>
      <c r="E370" s="251"/>
      <c r="F370" s="251"/>
      <c r="G370" s="252"/>
      <c r="H370" s="251"/>
      <c r="I370" s="251"/>
      <c r="J370" s="252"/>
      <c r="K370" s="251"/>
      <c r="L370" s="251"/>
      <c r="M370" s="252"/>
      <c r="N370" s="251"/>
      <c r="O370" s="251"/>
      <c r="P370" s="252"/>
      <c r="Q370" s="251"/>
      <c r="R370" s="251"/>
      <c r="S370" s="252"/>
      <c r="T370" s="251"/>
      <c r="U370" s="251"/>
      <c r="V370" s="252"/>
      <c r="W370" s="251"/>
      <c r="X370" s="251"/>
      <c r="Y370" s="252"/>
      <c r="Z370" s="251"/>
      <c r="AA370" s="251"/>
      <c r="AB370" s="252"/>
      <c r="AC370" s="251"/>
      <c r="AD370" s="251"/>
      <c r="AE370" s="252"/>
      <c r="AF370" s="251"/>
      <c r="AG370" s="251"/>
      <c r="AH370" s="252"/>
      <c r="AI370" s="251"/>
      <c r="AJ370" s="251"/>
      <c r="AK370" s="252"/>
      <c r="AL370" s="251"/>
      <c r="AM370" s="251"/>
      <c r="AN370" s="252"/>
      <c r="AO370" s="251"/>
      <c r="AP370" s="251"/>
      <c r="AQ370" s="252"/>
      <c r="AR370" s="251"/>
      <c r="AS370" s="251"/>
      <c r="AT370" s="252"/>
      <c r="AU370" s="251"/>
      <c r="AV370" s="251"/>
      <c r="AW370" s="252"/>
      <c r="AX370" s="251"/>
      <c r="AY370" s="251"/>
      <c r="AZ370" s="252"/>
      <c r="BA370" s="251"/>
      <c r="BB370" s="251"/>
      <c r="BC370" s="252"/>
      <c r="BD370" s="251"/>
      <c r="BE370" s="251"/>
      <c r="BF370" s="252"/>
      <c r="BG370" s="251"/>
      <c r="BH370" s="251"/>
      <c r="BI370" s="252"/>
      <c r="BJ370" s="251"/>
      <c r="BK370" s="251"/>
      <c r="BL370" s="252"/>
      <c r="BM370" s="251"/>
      <c r="BN370" s="251"/>
      <c r="BO370" s="79"/>
      <c r="BP370" s="259"/>
      <c r="BQ370" s="259"/>
      <c r="BR370" s="260"/>
      <c r="BS370" s="259"/>
      <c r="BT370" s="259"/>
      <c r="BU370" s="261"/>
      <c r="BV370" s="259"/>
      <c r="BW370" s="259"/>
      <c r="BX370" s="261"/>
      <c r="BY370" s="261"/>
      <c r="BZ370" s="261"/>
      <c r="CA370" s="261"/>
      <c r="CB370" s="261"/>
      <c r="CC370" s="261"/>
      <c r="CD370" s="261"/>
      <c r="CE370" s="261"/>
      <c r="CF370" s="261"/>
      <c r="CG370" s="261"/>
      <c r="CH370" s="261"/>
      <c r="CI370" s="261"/>
      <c r="CJ370" s="261"/>
      <c r="CK370" s="261"/>
      <c r="CL370" s="261"/>
      <c r="CM370" s="261"/>
      <c r="CN370" s="261"/>
      <c r="CO370" s="261"/>
      <c r="CP370" s="261"/>
      <c r="CQ370" s="261"/>
      <c r="CR370" s="261"/>
      <c r="CS370" s="261"/>
      <c r="CT370" s="259"/>
      <c r="CU370" s="259"/>
      <c r="CV370" s="260"/>
      <c r="CW370" s="259"/>
      <c r="CX370" s="259"/>
      <c r="CY370" s="334"/>
      <c r="CZ370" s="333"/>
      <c r="DA370" s="333"/>
      <c r="DB370" s="334"/>
      <c r="DC370" s="333"/>
      <c r="DD370" s="333"/>
      <c r="DE370" s="788"/>
      <c r="DF370" s="333"/>
      <c r="DG370" s="333"/>
      <c r="DH370" s="788"/>
      <c r="DI370" s="333"/>
      <c r="DJ370" s="333"/>
      <c r="DK370" s="700"/>
      <c r="DL370" s="848">
        <f>DL369/DI369-1</f>
        <v>1.5</v>
      </c>
      <c r="DM370" s="848">
        <f>DM369/DJ369-1</f>
        <v>0.9760000000000002</v>
      </c>
      <c r="DN370" s="842">
        <f>DN369/DK369-1</f>
        <v>1.1773399014778327</v>
      </c>
      <c r="DO370" s="848">
        <f t="shared" ref="DO370:EL370" si="358">DO369/DL369-1</f>
        <v>2.564102564102555E-2</v>
      </c>
      <c r="DP370" s="848">
        <f t="shared" si="358"/>
        <v>2.5222672064777325</v>
      </c>
      <c r="DQ370" s="842">
        <f t="shared" si="358"/>
        <v>1.4208144796380089</v>
      </c>
      <c r="DR370" s="848">
        <f t="shared" si="358"/>
        <v>0</v>
      </c>
      <c r="DS370" s="848">
        <f t="shared" si="358"/>
        <v>-0.78160919540229878</v>
      </c>
      <c r="DT370" s="842">
        <f t="shared" si="358"/>
        <v>-0.63551401869158886</v>
      </c>
      <c r="DU370" s="848">
        <f t="shared" si="358"/>
        <v>0</v>
      </c>
      <c r="DV370" s="848">
        <f>DV369/DS369-1</f>
        <v>-5.2631578947368474E-2</v>
      </c>
      <c r="DW370" s="842">
        <f>DW369/DT369-1</f>
        <v>-2.5641025641025661E-2</v>
      </c>
      <c r="DX370" s="848">
        <f t="shared" si="358"/>
        <v>-5.0000000000000044E-2</v>
      </c>
      <c r="DY370" s="848">
        <f t="shared" si="358"/>
        <v>5.555555555555558E-2</v>
      </c>
      <c r="DZ370" s="842">
        <f t="shared" si="358"/>
        <v>0</v>
      </c>
      <c r="EA370" s="848">
        <f t="shared" si="358"/>
        <v>0</v>
      </c>
      <c r="EB370" s="848">
        <f t="shared" si="358"/>
        <v>0</v>
      </c>
      <c r="EC370" s="842">
        <f t="shared" si="358"/>
        <v>0</v>
      </c>
      <c r="ED370" s="848">
        <f t="shared" si="358"/>
        <v>0</v>
      </c>
      <c r="EE370" s="848">
        <f t="shared" si="358"/>
        <v>0</v>
      </c>
      <c r="EF370" s="842">
        <f t="shared" si="358"/>
        <v>0</v>
      </c>
      <c r="EG370" s="848">
        <f t="shared" si="358"/>
        <v>0</v>
      </c>
      <c r="EH370" s="848">
        <f t="shared" si="358"/>
        <v>0</v>
      </c>
      <c r="EI370" s="842">
        <f t="shared" si="358"/>
        <v>0</v>
      </c>
      <c r="EJ370" s="848">
        <f t="shared" si="358"/>
        <v>0</v>
      </c>
      <c r="EK370" s="848">
        <f t="shared" si="358"/>
        <v>0</v>
      </c>
      <c r="EL370" s="842">
        <f t="shared" si="358"/>
        <v>0</v>
      </c>
      <c r="EM370" s="848">
        <f t="shared" ref="EM370:FA370" si="359">EM369/EJ369-1</f>
        <v>0</v>
      </c>
      <c r="EN370" s="848">
        <f t="shared" si="359"/>
        <v>0</v>
      </c>
      <c r="EO370" s="842">
        <f t="shared" si="359"/>
        <v>0</v>
      </c>
      <c r="EP370" s="848">
        <f t="shared" si="359"/>
        <v>0</v>
      </c>
      <c r="EQ370" s="848">
        <f t="shared" si="359"/>
        <v>0</v>
      </c>
      <c r="ER370" s="842">
        <f t="shared" si="359"/>
        <v>0</v>
      </c>
      <c r="ES370" s="848">
        <f t="shared" si="359"/>
        <v>0</v>
      </c>
      <c r="ET370" s="848">
        <f t="shared" si="359"/>
        <v>0</v>
      </c>
      <c r="EU370" s="842">
        <f t="shared" si="359"/>
        <v>0</v>
      </c>
      <c r="EV370" s="848">
        <f t="shared" si="359"/>
        <v>0</v>
      </c>
      <c r="EW370" s="848">
        <f t="shared" si="359"/>
        <v>0</v>
      </c>
      <c r="EX370" s="842">
        <f t="shared" si="359"/>
        <v>0</v>
      </c>
      <c r="EY370" s="848">
        <f t="shared" si="359"/>
        <v>0</v>
      </c>
      <c r="EZ370" s="848">
        <f t="shared" si="359"/>
        <v>0</v>
      </c>
      <c r="FA370" s="849">
        <f t="shared" si="359"/>
        <v>0</v>
      </c>
      <c r="FB370" s="349"/>
      <c r="FC370" s="349"/>
      <c r="FD370" s="349"/>
      <c r="FE370" s="349"/>
      <c r="FF370" s="349"/>
      <c r="FG370" s="349"/>
      <c r="FH370" s="349"/>
      <c r="FI370" s="349"/>
      <c r="FJ370" s="349"/>
      <c r="FK370" s="349"/>
      <c r="FL370" s="349"/>
      <c r="FM370" s="349"/>
      <c r="FN370" s="349"/>
      <c r="FO370" s="349"/>
    </row>
    <row r="371" spans="1:184" ht="13.35" customHeight="1">
      <c r="A371" s="760"/>
      <c r="B371" s="4"/>
      <c r="BU371" s="177"/>
      <c r="DE371" s="795"/>
      <c r="DH371" s="795"/>
      <c r="DK371" s="703"/>
      <c r="DN371" s="703"/>
      <c r="DQ371" s="703"/>
      <c r="DT371" s="703"/>
      <c r="DW371" s="703"/>
      <c r="DZ371" s="703"/>
      <c r="EC371" s="703"/>
      <c r="EF371" s="703"/>
      <c r="EI371" s="703"/>
      <c r="EL371" s="703"/>
      <c r="EO371" s="703"/>
      <c r="ER371" s="703"/>
      <c r="EU371" s="703"/>
      <c r="EX371" s="703"/>
    </row>
    <row r="372" spans="1:184" ht="13.35" customHeight="1">
      <c r="A372" s="760"/>
      <c r="B372" s="4"/>
      <c r="C372" s="445" t="s">
        <v>791</v>
      </c>
      <c r="D372" s="250" t="s">
        <v>357</v>
      </c>
      <c r="E372" s="251"/>
      <c r="F372" s="251"/>
      <c r="G372" s="252"/>
      <c r="H372" s="251"/>
      <c r="I372" s="251"/>
      <c r="J372" s="252"/>
      <c r="K372" s="251"/>
      <c r="L372" s="251"/>
      <c r="M372" s="252"/>
      <c r="N372" s="251"/>
      <c r="O372" s="251"/>
      <c r="P372" s="252"/>
      <c r="Q372" s="251"/>
      <c r="R372" s="251"/>
      <c r="S372" s="252"/>
      <c r="T372" s="251"/>
      <c r="U372" s="251"/>
      <c r="V372" s="252"/>
      <c r="W372" s="251"/>
      <c r="X372" s="251"/>
      <c r="Y372" s="252"/>
      <c r="Z372" s="251"/>
      <c r="AA372" s="251"/>
      <c r="AB372" s="252"/>
      <c r="AC372" s="251"/>
      <c r="AD372" s="251"/>
      <c r="AE372" s="252"/>
      <c r="AF372" s="251"/>
      <c r="AG372" s="251"/>
      <c r="AH372" s="252"/>
      <c r="AI372" s="251"/>
      <c r="AJ372" s="251"/>
      <c r="AK372" s="252"/>
      <c r="AL372" s="251"/>
      <c r="AM372" s="251"/>
      <c r="AN372" s="252"/>
      <c r="AO372" s="251"/>
      <c r="AP372" s="251"/>
      <c r="AQ372" s="252"/>
      <c r="AR372" s="251"/>
      <c r="AS372" s="251"/>
      <c r="AT372" s="252"/>
      <c r="AU372" s="251"/>
      <c r="AV372" s="251"/>
      <c r="AW372" s="252"/>
      <c r="AX372" s="251"/>
      <c r="AY372" s="251"/>
      <c r="AZ372" s="252"/>
      <c r="BA372" s="251"/>
      <c r="BB372" s="251"/>
      <c r="BC372" s="252"/>
      <c r="BD372" s="251"/>
      <c r="BE372" s="251"/>
      <c r="BF372" s="252"/>
      <c r="BG372" s="251"/>
      <c r="BH372" s="251"/>
      <c r="BI372" s="252"/>
      <c r="BJ372" s="251"/>
      <c r="BK372" s="251"/>
      <c r="BL372" s="252"/>
      <c r="BM372" s="251"/>
      <c r="BN372" s="251"/>
      <c r="BO372" s="79"/>
      <c r="BP372" s="259"/>
      <c r="BQ372" s="259"/>
      <c r="BR372" s="260"/>
      <c r="BS372" s="259"/>
      <c r="BT372" s="259"/>
      <c r="BU372" s="261"/>
      <c r="BV372" s="198"/>
      <c r="BW372" s="198"/>
      <c r="BX372" s="254"/>
      <c r="BY372" s="254"/>
      <c r="BZ372" s="254"/>
      <c r="CA372" s="254"/>
      <c r="CB372" s="254"/>
      <c r="CC372" s="254"/>
      <c r="CD372" s="254"/>
      <c r="CE372" s="254"/>
      <c r="CF372" s="254"/>
      <c r="CG372" s="254"/>
      <c r="CH372" s="254"/>
      <c r="CI372" s="254"/>
      <c r="CJ372" s="254"/>
      <c r="CK372" s="254"/>
      <c r="CL372" s="254"/>
      <c r="CM372" s="254"/>
      <c r="CN372" s="254"/>
      <c r="CO372" s="254"/>
      <c r="CP372" s="254"/>
      <c r="CQ372" s="254"/>
      <c r="CR372" s="254"/>
      <c r="CS372" s="254"/>
      <c r="CT372" s="198"/>
      <c r="CU372" s="198"/>
      <c r="CV372" s="79"/>
      <c r="CW372" s="198"/>
      <c r="CX372" s="198"/>
      <c r="CY372" s="488"/>
      <c r="CZ372" s="489"/>
      <c r="DA372" s="489"/>
      <c r="DB372" s="488"/>
      <c r="DC372" s="489"/>
      <c r="DD372" s="489"/>
      <c r="DE372" s="783"/>
      <c r="DF372" s="489"/>
      <c r="DG372" s="489"/>
      <c r="DH372" s="783"/>
      <c r="DI372" s="924">
        <v>50.6</v>
      </c>
      <c r="DJ372" s="646">
        <f>+DK372-DI372</f>
        <v>75.099999999999994</v>
      </c>
      <c r="DK372" s="685">
        <v>125.7</v>
      </c>
      <c r="DL372" s="924">
        <v>120.6</v>
      </c>
      <c r="DM372" s="646">
        <f>+DN372-DL372</f>
        <v>74</v>
      </c>
      <c r="DN372" s="685">
        <v>194.6</v>
      </c>
      <c r="DO372" s="924">
        <v>123</v>
      </c>
      <c r="DP372" s="646">
        <f>+DQ372-DO372</f>
        <v>92</v>
      </c>
      <c r="DQ372" s="685">
        <v>215</v>
      </c>
      <c r="DR372" s="924">
        <v>125</v>
      </c>
      <c r="DS372" s="646">
        <f>+DT372-DR372</f>
        <v>110</v>
      </c>
      <c r="DT372" s="685">
        <v>235</v>
      </c>
      <c r="DU372" s="836">
        <v>112</v>
      </c>
      <c r="DV372" s="646">
        <f>+DW372-DU372</f>
        <v>78</v>
      </c>
      <c r="DW372" s="685">
        <v>190</v>
      </c>
      <c r="DX372" s="836">
        <v>96</v>
      </c>
      <c r="DY372" s="489">
        <v>75</v>
      </c>
      <c r="DZ372" s="696">
        <f>SUM(DX372:DY372)</f>
        <v>171</v>
      </c>
      <c r="EA372" s="489">
        <f>+DX372*(1+EA373)</f>
        <v>96.960000000000008</v>
      </c>
      <c r="EB372" s="489">
        <f>+DY372*(1+EB373)</f>
        <v>75.75</v>
      </c>
      <c r="EC372" s="696">
        <f>SUM(EA372:EB372)</f>
        <v>172.71</v>
      </c>
      <c r="ED372" s="489">
        <f>+EA372*(1+ED373)</f>
        <v>97.929600000000008</v>
      </c>
      <c r="EE372" s="489">
        <f>+EB372*(1+EE373)</f>
        <v>76.507500000000007</v>
      </c>
      <c r="EF372" s="696">
        <f>SUM(ED372:EE372)</f>
        <v>174.43710000000002</v>
      </c>
      <c r="EG372" s="489">
        <f>+ED372*(1+EG373)</f>
        <v>98.908896000000013</v>
      </c>
      <c r="EH372" s="489">
        <f>+EE372*(1+EH373)</f>
        <v>77.272575000000003</v>
      </c>
      <c r="EI372" s="696">
        <f>SUM(EG372:EH372)</f>
        <v>176.18147100000002</v>
      </c>
      <c r="EJ372" s="489">
        <f>+EG372*(1+EJ373)</f>
        <v>99.897984960000016</v>
      </c>
      <c r="EK372" s="489">
        <f>+EH372*(1+EK373)</f>
        <v>78.04530075000001</v>
      </c>
      <c r="EL372" s="696">
        <f>SUM(EJ372:EK372)</f>
        <v>177.94328571000003</v>
      </c>
      <c r="EM372" s="489">
        <f>+EJ372*(1+EM373)</f>
        <v>100.89696480960002</v>
      </c>
      <c r="EN372" s="489">
        <f>+EK372*(1+EN373)</f>
        <v>78.82575375750001</v>
      </c>
      <c r="EO372" s="696">
        <f>SUM(EM372:EN372)</f>
        <v>179.72271856710003</v>
      </c>
      <c r="EP372" s="489">
        <f>+EM372*(1+EP373)</f>
        <v>101.90593445769602</v>
      </c>
      <c r="EQ372" s="489">
        <f>+EN372*(1+EQ373)</f>
        <v>79.614011295075017</v>
      </c>
      <c r="ER372" s="696">
        <f>SUM(EP372:EQ372)</f>
        <v>181.51994575277104</v>
      </c>
      <c r="ES372" s="489">
        <f>+EP372*(1+ES373)</f>
        <v>102.92499380227298</v>
      </c>
      <c r="ET372" s="489">
        <f>+EQ372*(1+ET373)</f>
        <v>80.410151408025769</v>
      </c>
      <c r="EU372" s="696">
        <f>SUM(ES372:ET372)</f>
        <v>183.33514521029875</v>
      </c>
      <c r="EV372" s="489">
        <f>+ES372*(1+EV373)</f>
        <v>103.95424374029571</v>
      </c>
      <c r="EW372" s="489">
        <f>+ET372*(1+EW373)</f>
        <v>81.214252922106027</v>
      </c>
      <c r="EX372" s="696">
        <f>SUM(EV372:EW372)</f>
        <v>185.16849666240174</v>
      </c>
      <c r="EY372" s="489">
        <f>+EV372*(1+EY373)</f>
        <v>104.99378617769867</v>
      </c>
      <c r="EZ372" s="489">
        <f>+EW372*(1+EZ373)</f>
        <v>82.02639545132709</v>
      </c>
      <c r="FA372" s="536">
        <f>SUM(EY372:EZ372)</f>
        <v>187.02018162902576</v>
      </c>
    </row>
    <row r="373" spans="1:184" ht="13.35" customHeight="1">
      <c r="A373" s="760"/>
      <c r="B373" s="442"/>
      <c r="C373" s="4" t="s">
        <v>690</v>
      </c>
      <c r="D373" s="250" t="s">
        <v>507</v>
      </c>
      <c r="E373" s="251"/>
      <c r="F373" s="251"/>
      <c r="G373" s="252"/>
      <c r="H373" s="251"/>
      <c r="I373" s="251"/>
      <c r="J373" s="252"/>
      <c r="K373" s="251"/>
      <c r="L373" s="251"/>
      <c r="M373" s="252"/>
      <c r="N373" s="251"/>
      <c r="O373" s="251"/>
      <c r="P373" s="252"/>
      <c r="Q373" s="251"/>
      <c r="R373" s="251"/>
      <c r="S373" s="252"/>
      <c r="T373" s="251"/>
      <c r="U373" s="251"/>
      <c r="V373" s="252"/>
      <c r="W373" s="251"/>
      <c r="X373" s="251"/>
      <c r="Y373" s="252"/>
      <c r="Z373" s="251"/>
      <c r="AA373" s="251"/>
      <c r="AB373" s="252"/>
      <c r="AC373" s="251"/>
      <c r="AD373" s="251"/>
      <c r="AE373" s="252"/>
      <c r="AF373" s="251"/>
      <c r="AG373" s="251"/>
      <c r="AH373" s="252"/>
      <c r="AI373" s="251"/>
      <c r="AJ373" s="251"/>
      <c r="AK373" s="252"/>
      <c r="AL373" s="251"/>
      <c r="AM373" s="251"/>
      <c r="AN373" s="252"/>
      <c r="AO373" s="251"/>
      <c r="AP373" s="251"/>
      <c r="AQ373" s="252"/>
      <c r="AR373" s="251"/>
      <c r="AS373" s="251"/>
      <c r="AT373" s="252"/>
      <c r="AU373" s="251"/>
      <c r="AV373" s="251"/>
      <c r="AW373" s="252"/>
      <c r="AX373" s="251"/>
      <c r="AY373" s="251"/>
      <c r="AZ373" s="252"/>
      <c r="BA373" s="251"/>
      <c r="BB373" s="251"/>
      <c r="BC373" s="252"/>
      <c r="BD373" s="251"/>
      <c r="BE373" s="251"/>
      <c r="BF373" s="252"/>
      <c r="BG373" s="251"/>
      <c r="BH373" s="251"/>
      <c r="BI373" s="252"/>
      <c r="BJ373" s="251"/>
      <c r="BK373" s="251"/>
      <c r="BL373" s="252"/>
      <c r="BM373" s="251"/>
      <c r="BN373" s="251"/>
      <c r="BO373" s="79"/>
      <c r="BP373" s="259"/>
      <c r="BQ373" s="259"/>
      <c r="BR373" s="260"/>
      <c r="BS373" s="259"/>
      <c r="BT373" s="259"/>
      <c r="BU373" s="261"/>
      <c r="BV373" s="259"/>
      <c r="BW373" s="259"/>
      <c r="BX373" s="261"/>
      <c r="BY373" s="261"/>
      <c r="BZ373" s="261"/>
      <c r="CA373" s="261"/>
      <c r="CB373" s="261"/>
      <c r="CC373" s="261"/>
      <c r="CD373" s="261"/>
      <c r="CE373" s="261"/>
      <c r="CF373" s="261"/>
      <c r="CG373" s="261"/>
      <c r="CH373" s="261"/>
      <c r="CI373" s="261"/>
      <c r="CJ373" s="261"/>
      <c r="CK373" s="261"/>
      <c r="CL373" s="261"/>
      <c r="CM373" s="261"/>
      <c r="CN373" s="261"/>
      <c r="CO373" s="261"/>
      <c r="CP373" s="261"/>
      <c r="CQ373" s="261"/>
      <c r="CR373" s="261"/>
      <c r="CS373" s="261"/>
      <c r="CT373" s="259"/>
      <c r="CU373" s="259"/>
      <c r="CV373" s="260"/>
      <c r="CW373" s="259"/>
      <c r="CX373" s="259"/>
      <c r="CY373" s="334"/>
      <c r="CZ373" s="333"/>
      <c r="DA373" s="333"/>
      <c r="DB373" s="334"/>
      <c r="DC373" s="333"/>
      <c r="DD373" s="333"/>
      <c r="DE373" s="788"/>
      <c r="DF373" s="333"/>
      <c r="DG373" s="333"/>
      <c r="DH373" s="788"/>
      <c r="DI373" s="333"/>
      <c r="DJ373" s="333"/>
      <c r="DK373" s="700"/>
      <c r="DL373" s="848">
        <f t="shared" ref="DL373:EF373" si="360">DL372/DI372-1</f>
        <v>1.383399209486166</v>
      </c>
      <c r="DM373" s="848">
        <f t="shared" si="360"/>
        <v>-1.464713715046595E-2</v>
      </c>
      <c r="DN373" s="842">
        <f t="shared" si="360"/>
        <v>0.54813046937151944</v>
      </c>
      <c r="DO373" s="848">
        <v>1.8664454583160572E-2</v>
      </c>
      <c r="DP373" s="848">
        <f t="shared" si="360"/>
        <v>0.2432432432432432</v>
      </c>
      <c r="DQ373" s="842">
        <f t="shared" si="360"/>
        <v>0.10483042137718401</v>
      </c>
      <c r="DR373" s="848">
        <f>DR372/DO372-1</f>
        <v>1.6260162601626105E-2</v>
      </c>
      <c r="DS373" s="848">
        <f t="shared" si="360"/>
        <v>0.19565217391304346</v>
      </c>
      <c r="DT373" s="842">
        <f t="shared" si="360"/>
        <v>9.3023255813953432E-2</v>
      </c>
      <c r="DU373" s="848">
        <f t="shared" si="360"/>
        <v>-0.10399999999999998</v>
      </c>
      <c r="DV373" s="848">
        <f>DV372/DS372-1</f>
        <v>-0.29090909090909089</v>
      </c>
      <c r="DW373" s="842">
        <f>DW372/DT372-1</f>
        <v>-0.19148936170212771</v>
      </c>
      <c r="DX373" s="848">
        <f t="shared" si="360"/>
        <v>-0.1428571428571429</v>
      </c>
      <c r="DY373" s="848">
        <f t="shared" si="360"/>
        <v>-3.8461538461538436E-2</v>
      </c>
      <c r="DZ373" s="842">
        <f t="shared" si="360"/>
        <v>-9.9999999999999978E-2</v>
      </c>
      <c r="EA373" s="848">
        <v>0.01</v>
      </c>
      <c r="EB373" s="848">
        <f>+EA373</f>
        <v>0.01</v>
      </c>
      <c r="EC373" s="842">
        <f t="shared" si="360"/>
        <v>1.0000000000000009E-2</v>
      </c>
      <c r="ED373" s="848">
        <f>+EB373</f>
        <v>0.01</v>
      </c>
      <c r="EE373" s="848">
        <f>+ED373</f>
        <v>0.01</v>
      </c>
      <c r="EF373" s="842">
        <f t="shared" si="360"/>
        <v>1.0000000000000009E-2</v>
      </c>
      <c r="EG373" s="848">
        <f>+EE373</f>
        <v>0.01</v>
      </c>
      <c r="EH373" s="848">
        <f>+EG373</f>
        <v>0.01</v>
      </c>
      <c r="EI373" s="842">
        <f>EI372/EF372-1</f>
        <v>1.0000000000000009E-2</v>
      </c>
      <c r="EJ373" s="848">
        <f>+EH373</f>
        <v>0.01</v>
      </c>
      <c r="EK373" s="848">
        <f>+EJ373</f>
        <v>0.01</v>
      </c>
      <c r="EL373" s="842">
        <f>EL372/EI372-1</f>
        <v>1.0000000000000009E-2</v>
      </c>
      <c r="EM373" s="848">
        <f>+EK373</f>
        <v>0.01</v>
      </c>
      <c r="EN373" s="848">
        <f>+EM373</f>
        <v>0.01</v>
      </c>
      <c r="EO373" s="842">
        <f>EO372/EL372-1</f>
        <v>1.0000000000000009E-2</v>
      </c>
      <c r="EP373" s="848">
        <f>+EN373</f>
        <v>0.01</v>
      </c>
      <c r="EQ373" s="848">
        <f>+EP373</f>
        <v>0.01</v>
      </c>
      <c r="ER373" s="842">
        <f>ER372/EO372-1</f>
        <v>1.0000000000000009E-2</v>
      </c>
      <c r="ES373" s="848">
        <f>+EQ373</f>
        <v>0.01</v>
      </c>
      <c r="ET373" s="848">
        <f>+ES373</f>
        <v>0.01</v>
      </c>
      <c r="EU373" s="842">
        <f>EU372/ER372-1</f>
        <v>1.0000000000000009E-2</v>
      </c>
      <c r="EV373" s="848">
        <f>+ET373</f>
        <v>0.01</v>
      </c>
      <c r="EW373" s="848">
        <f>+EV373</f>
        <v>0.01</v>
      </c>
      <c r="EX373" s="842">
        <f>EX372/EU372-1</f>
        <v>1.0000000000000009E-2</v>
      </c>
      <c r="EY373" s="848">
        <f>+EW373</f>
        <v>0.01</v>
      </c>
      <c r="EZ373" s="848">
        <f>+EY373</f>
        <v>0.01</v>
      </c>
      <c r="FA373" s="849">
        <f>FA372/EX372-1</f>
        <v>1.0000000000000009E-2</v>
      </c>
    </row>
    <row r="374" spans="1:184" s="350" customFormat="1" ht="13.35" customHeight="1">
      <c r="A374" s="760"/>
      <c r="B374" s="342"/>
      <c r="C374" s="342" t="s">
        <v>29</v>
      </c>
      <c r="D374" s="343"/>
      <c r="E374" s="342"/>
      <c r="F374" s="342"/>
      <c r="G374" s="342"/>
      <c r="H374" s="342"/>
      <c r="I374" s="342"/>
      <c r="J374" s="342"/>
      <c r="K374" s="342"/>
      <c r="L374" s="342"/>
      <c r="M374" s="342"/>
      <c r="N374" s="342"/>
      <c r="O374" s="342"/>
      <c r="P374" s="342"/>
      <c r="Q374" s="342"/>
      <c r="R374" s="342"/>
      <c r="S374" s="342"/>
      <c r="T374" s="342"/>
      <c r="U374" s="342"/>
      <c r="V374" s="342"/>
      <c r="W374" s="342"/>
      <c r="X374" s="342"/>
      <c r="Y374" s="342"/>
      <c r="Z374" s="342"/>
      <c r="AA374" s="342"/>
      <c r="AB374" s="342"/>
      <c r="AC374" s="342"/>
      <c r="AD374" s="342"/>
      <c r="AE374" s="342"/>
      <c r="AF374" s="342"/>
      <c r="AG374" s="342"/>
      <c r="AH374" s="342"/>
      <c r="AI374" s="342"/>
      <c r="AJ374" s="342"/>
      <c r="AK374" s="342"/>
      <c r="AL374" s="342"/>
      <c r="AM374" s="342"/>
      <c r="AN374" s="342"/>
      <c r="AO374" s="342"/>
      <c r="AP374" s="342"/>
      <c r="AQ374" s="342"/>
      <c r="AR374" s="342"/>
      <c r="AS374" s="342"/>
      <c r="AT374" s="342"/>
      <c r="AU374" s="342"/>
      <c r="AV374" s="342"/>
      <c r="AW374" s="342"/>
      <c r="AX374" s="342"/>
      <c r="AY374" s="342"/>
      <c r="AZ374" s="342"/>
      <c r="BA374" s="342"/>
      <c r="BB374" s="342"/>
      <c r="BC374" s="342"/>
      <c r="BD374" s="342"/>
      <c r="BE374" s="342"/>
      <c r="BF374" s="342"/>
      <c r="BG374" s="342"/>
      <c r="BH374" s="342"/>
      <c r="BI374" s="342"/>
      <c r="BJ374" s="342"/>
      <c r="BK374" s="342"/>
      <c r="BL374" s="342"/>
      <c r="BM374" s="344"/>
      <c r="BN374" s="344"/>
      <c r="BO374" s="342"/>
      <c r="BP374" s="345"/>
      <c r="BQ374" s="345"/>
      <c r="BR374" s="345"/>
      <c r="BS374" s="346"/>
      <c r="BT374" s="345"/>
      <c r="BU374" s="346"/>
      <c r="BV374" s="346"/>
      <c r="BW374" s="346"/>
      <c r="BX374" s="346"/>
      <c r="BY374" s="346"/>
      <c r="BZ374" s="346"/>
      <c r="CA374" s="346"/>
      <c r="CB374" s="346"/>
      <c r="CC374" s="346"/>
      <c r="CD374" s="346"/>
      <c r="CE374" s="347"/>
      <c r="CF374" s="346"/>
      <c r="CG374" s="346"/>
      <c r="CH374" s="346"/>
      <c r="CI374" s="346"/>
      <c r="CJ374" s="346"/>
      <c r="CK374" s="346"/>
      <c r="CL374" s="346"/>
      <c r="CM374" s="346"/>
      <c r="CN374" s="346"/>
      <c r="CO374" s="346"/>
      <c r="CP374" s="346"/>
      <c r="CQ374" s="346"/>
      <c r="CR374" s="346"/>
      <c r="CS374" s="346"/>
      <c r="CT374" s="346"/>
      <c r="CU374" s="346"/>
      <c r="CV374" s="346"/>
      <c r="CW374" s="346"/>
      <c r="CX374" s="346"/>
      <c r="CY374" s="556"/>
      <c r="CZ374" s="556"/>
      <c r="DA374" s="556"/>
      <c r="DB374" s="556"/>
      <c r="DC374" s="556"/>
      <c r="DD374" s="556"/>
      <c r="DE374" s="793"/>
      <c r="DF374" s="556"/>
      <c r="DG374" s="556"/>
      <c r="DH374" s="793"/>
      <c r="DI374" s="556"/>
      <c r="DJ374" s="556"/>
      <c r="DK374" s="704"/>
      <c r="DL374" s="556"/>
      <c r="DM374" s="556"/>
      <c r="DN374" s="704"/>
      <c r="DO374" s="556"/>
      <c r="DP374" s="556"/>
      <c r="DQ374" s="704"/>
      <c r="DR374" s="556"/>
      <c r="DS374" s="556"/>
      <c r="DT374" s="704"/>
      <c r="DU374" s="556"/>
      <c r="DV374" s="556"/>
      <c r="DW374" s="704"/>
      <c r="DX374" s="556"/>
      <c r="DY374" s="556"/>
      <c r="DZ374" s="704"/>
      <c r="EA374" s="556"/>
      <c r="EB374" s="556"/>
      <c r="EC374" s="704"/>
      <c r="ED374" s="556"/>
      <c r="EE374" s="556"/>
      <c r="EF374" s="704"/>
      <c r="EG374" s="556"/>
      <c r="EH374" s="556"/>
      <c r="EI374" s="704"/>
      <c r="EJ374" s="556"/>
      <c r="EK374" s="556"/>
      <c r="EL374" s="704"/>
      <c r="EM374" s="556"/>
      <c r="EN374" s="556"/>
      <c r="EO374" s="704"/>
      <c r="EP374" s="556"/>
      <c r="EQ374" s="556"/>
      <c r="ER374" s="704"/>
      <c r="ES374" s="556"/>
      <c r="ET374" s="556"/>
      <c r="EU374" s="704"/>
      <c r="EV374" s="556"/>
      <c r="EW374" s="556"/>
      <c r="EX374" s="704"/>
      <c r="EY374" s="556"/>
      <c r="EZ374" s="556"/>
      <c r="FA374" s="557"/>
      <c r="FB374" s="176"/>
      <c r="FC374" s="176"/>
      <c r="FD374" s="176"/>
      <c r="FE374" s="176"/>
      <c r="FF374" s="176"/>
      <c r="FG374" s="176"/>
      <c r="FH374" s="176"/>
      <c r="FI374" s="176"/>
      <c r="FJ374" s="176"/>
      <c r="FK374" s="176"/>
      <c r="FL374" s="176"/>
      <c r="FM374" s="176"/>
      <c r="FN374" s="176"/>
      <c r="FO374" s="176"/>
      <c r="FP374" s="176"/>
      <c r="FQ374" s="176"/>
      <c r="FR374" s="176"/>
      <c r="FS374" s="349"/>
      <c r="FT374" s="349"/>
      <c r="FU374" s="349"/>
      <c r="FV374" s="349"/>
      <c r="FW374" s="349"/>
      <c r="FX374" s="349"/>
      <c r="FY374" s="349"/>
      <c r="FZ374" s="349"/>
      <c r="GA374" s="349"/>
      <c r="GB374" s="349"/>
    </row>
    <row r="375" spans="1:184" s="218" customFormat="1" ht="13.35" customHeight="1">
      <c r="A375" s="989" t="s">
        <v>635</v>
      </c>
      <c r="B375" s="5"/>
      <c r="C375" s="1909" t="s">
        <v>788</v>
      </c>
      <c r="D375" s="317" t="s">
        <v>357</v>
      </c>
      <c r="E375" s="278"/>
      <c r="F375" s="278"/>
      <c r="G375" s="279"/>
      <c r="H375" s="278"/>
      <c r="I375" s="278"/>
      <c r="J375" s="279"/>
      <c r="K375" s="278"/>
      <c r="L375" s="278"/>
      <c r="M375" s="279"/>
      <c r="N375" s="278"/>
      <c r="O375" s="278"/>
      <c r="P375" s="279"/>
      <c r="Q375" s="278"/>
      <c r="R375" s="278"/>
      <c r="S375" s="279"/>
      <c r="T375" s="278"/>
      <c r="U375" s="278"/>
      <c r="V375" s="279"/>
      <c r="W375" s="278"/>
      <c r="X375" s="278"/>
      <c r="Y375" s="279"/>
      <c r="Z375" s="278"/>
      <c r="AA375" s="278"/>
      <c r="AB375" s="279"/>
      <c r="AC375" s="278"/>
      <c r="AD375" s="278"/>
      <c r="AE375" s="279"/>
      <c r="AF375" s="278"/>
      <c r="AG375" s="278"/>
      <c r="AH375" s="279"/>
      <c r="AI375" s="278"/>
      <c r="AJ375" s="278"/>
      <c r="AK375" s="279"/>
      <c r="AL375" s="278"/>
      <c r="AM375" s="278"/>
      <c r="AN375" s="279"/>
      <c r="AO375" s="278"/>
      <c r="AP375" s="278"/>
      <c r="AQ375" s="279"/>
      <c r="AR375" s="278"/>
      <c r="AS375" s="278"/>
      <c r="AT375" s="279"/>
      <c r="AU375" s="278"/>
      <c r="AV375" s="278"/>
      <c r="AW375" s="279"/>
      <c r="AX375" s="278"/>
      <c r="AY375" s="278"/>
      <c r="AZ375" s="279"/>
      <c r="BA375" s="278"/>
      <c r="BB375" s="278"/>
      <c r="BC375" s="279"/>
      <c r="BD375" s="278"/>
      <c r="BE375" s="278"/>
      <c r="BF375" s="279"/>
      <c r="BG375" s="278"/>
      <c r="BH375" s="278"/>
      <c r="BI375" s="279"/>
      <c r="BJ375" s="278"/>
      <c r="BK375" s="278"/>
      <c r="BL375" s="279"/>
      <c r="BM375" s="278"/>
      <c r="BN375" s="278"/>
      <c r="BO375" s="89"/>
      <c r="BP375" s="1910"/>
      <c r="BQ375" s="1910"/>
      <c r="BR375" s="1911"/>
      <c r="BS375" s="1910"/>
      <c r="BT375" s="1910"/>
      <c r="BU375" s="1912"/>
      <c r="BV375" s="226"/>
      <c r="BW375" s="226"/>
      <c r="BX375" s="89"/>
      <c r="BY375" s="226"/>
      <c r="BZ375" s="226"/>
      <c r="CA375" s="89"/>
      <c r="CB375" s="226"/>
      <c r="CC375" s="226"/>
      <c r="CD375" s="89"/>
      <c r="CE375" s="226"/>
      <c r="CF375" s="226"/>
      <c r="CG375" s="89"/>
      <c r="CH375" s="226"/>
      <c r="CI375" s="226"/>
      <c r="CJ375" s="89"/>
      <c r="CK375" s="226"/>
      <c r="CL375" s="226"/>
      <c r="CM375" s="89"/>
      <c r="CN375" s="226"/>
      <c r="CO375" s="226"/>
      <c r="CP375" s="89"/>
      <c r="CQ375" s="226"/>
      <c r="CR375" s="226"/>
      <c r="CS375" s="89"/>
      <c r="CT375" s="226"/>
      <c r="CU375" s="226"/>
      <c r="CV375" s="89"/>
      <c r="CW375" s="226"/>
      <c r="CX375" s="226"/>
      <c r="CY375" s="536"/>
      <c r="CZ375" s="514"/>
      <c r="DA375" s="514"/>
      <c r="DB375" s="536"/>
      <c r="DC375" s="514"/>
      <c r="DD375" s="514"/>
      <c r="DE375" s="696"/>
      <c r="DF375" s="514"/>
      <c r="DG375" s="514"/>
      <c r="DH375" s="696"/>
      <c r="DI375" s="776">
        <f>DI366+DI369+DI372</f>
        <v>4314.9448291452836</v>
      </c>
      <c r="DJ375" s="776">
        <f>DJ366+DJ369+DJ372</f>
        <v>4258.8558953579231</v>
      </c>
      <c r="DK375" s="674">
        <f>SUM(DI375:DJ375)</f>
        <v>8573.8007245032059</v>
      </c>
      <c r="DL375" s="776">
        <f>DL366+DL369+DL372</f>
        <v>4356.2000000000007</v>
      </c>
      <c r="DM375" s="776">
        <f>DM366+DM369+DM372</f>
        <v>4242.2</v>
      </c>
      <c r="DN375" s="674">
        <f>SUM(DL375:DM375)</f>
        <v>8598.4000000000015</v>
      </c>
      <c r="DO375" s="776">
        <f>DO366+DO369+DO372</f>
        <v>4557</v>
      </c>
      <c r="DP375" s="776">
        <f>DP366+DP369+DP372</f>
        <v>4733</v>
      </c>
      <c r="DQ375" s="674">
        <f>SUM(DO375:DP375)</f>
        <v>9290</v>
      </c>
      <c r="DR375" s="776">
        <f>DR366+DR369+DR372</f>
        <v>5238</v>
      </c>
      <c r="DS375" s="776">
        <f>DS366+DS369+DS372</f>
        <v>5370</v>
      </c>
      <c r="DT375" s="674">
        <f>SUM(DR375:DS375)</f>
        <v>10608</v>
      </c>
      <c r="DU375" s="776">
        <f>DU366+DU369+DU372</f>
        <v>5743</v>
      </c>
      <c r="DV375" s="776">
        <f>DV366+DV369+DV372</f>
        <v>5415</v>
      </c>
      <c r="DW375" s="674">
        <f>SUM(DU375:DV375)</f>
        <v>11158</v>
      </c>
      <c r="DX375" s="776">
        <f>DX366+DX369+DX372</f>
        <v>5450</v>
      </c>
      <c r="DY375" s="776">
        <f>DY366+DY369+DY372</f>
        <v>6118.2196661696617</v>
      </c>
      <c r="DZ375" s="674">
        <f>SUM(DX375:DY375)</f>
        <v>11568.219666169662</v>
      </c>
      <c r="EA375" s="776">
        <f>EA366+EA369+EA372</f>
        <v>5995.3518499384254</v>
      </c>
      <c r="EB375" s="776">
        <f>EB366+EB369+EB372</f>
        <v>6460.8430183309383</v>
      </c>
      <c r="EC375" s="674">
        <f>SUM(EA375:EB375)</f>
        <v>12456.194868269364</v>
      </c>
      <c r="ED375" s="776">
        <f>ED366+ED369+ED372</f>
        <v>6411.5655348241153</v>
      </c>
      <c r="EE375" s="776">
        <f>EE366+EE369+EE372</f>
        <v>6913.0625588974708</v>
      </c>
      <c r="EF375" s="674">
        <f>SUM(ED375:EE375)</f>
        <v>13324.628093721585</v>
      </c>
      <c r="EG375" s="776">
        <f>EG366+EG369+EG372</f>
        <v>6863.2689858056019</v>
      </c>
      <c r="EH375" s="776">
        <f>EH366+EH369+EH372</f>
        <v>7414.1430891992914</v>
      </c>
      <c r="EI375" s="674">
        <f>SUM(EG375:EH375)</f>
        <v>14277.412075004893</v>
      </c>
      <c r="EJ375" s="776">
        <f>EJ366+EJ369+EJ372</f>
        <v>7335.8973569022592</v>
      </c>
      <c r="EK375" s="776">
        <f>EK366+EK369+EK372</f>
        <v>7960.4874211493288</v>
      </c>
      <c r="EL375" s="674">
        <f>SUM(EJ375:EK375)</f>
        <v>15296.384778051588</v>
      </c>
      <c r="EM375" s="776">
        <f>EM366+EM369+EM372</f>
        <v>7794.1978079009305</v>
      </c>
      <c r="EN375" s="776">
        <f>EN366+EN369+EN372</f>
        <v>8433.1242030723406</v>
      </c>
      <c r="EO375" s="674">
        <f>SUM(EM375:EN375)</f>
        <v>16227.322010973272</v>
      </c>
      <c r="EP375" s="776">
        <f>EP366+EP369+EP372</f>
        <v>8271.2165604017082</v>
      </c>
      <c r="EQ375" s="776">
        <f>EQ366+EQ369+EQ372</f>
        <v>8963.7689176347176</v>
      </c>
      <c r="ER375" s="674">
        <f>SUM(EP375:EQ375)</f>
        <v>17234.985478036426</v>
      </c>
      <c r="ES375" s="776">
        <f>ES366+ES369+ES372</f>
        <v>8791.4334459516067</v>
      </c>
      <c r="ET375" s="776">
        <f>ET366+ET369+ET372</f>
        <v>9529.5997633864463</v>
      </c>
      <c r="EU375" s="674">
        <f>SUM(ES375:ET375)</f>
        <v>18321.033209338053</v>
      </c>
      <c r="EV375" s="776">
        <f>EV366+EV369+EV372</f>
        <v>9346.1827397448742</v>
      </c>
      <c r="EW375" s="776">
        <f>EW366+EW369+EW372</f>
        <v>10133.002150722421</v>
      </c>
      <c r="EX375" s="674">
        <f>SUM(EV375:EW375)</f>
        <v>19479.184890467295</v>
      </c>
      <c r="EY375" s="776">
        <f>EY366+EY369+EY372</f>
        <v>9937.8087944651015</v>
      </c>
      <c r="EZ375" s="776">
        <f>EZ366+EZ369+EZ372</f>
        <v>10776.525898195478</v>
      </c>
      <c r="FA375" s="776">
        <f>SUM(EY375:EZ375)</f>
        <v>20714.334692660581</v>
      </c>
      <c r="FB375" s="217"/>
      <c r="FC375" s="217"/>
      <c r="FD375" s="217"/>
      <c r="FE375" s="217"/>
      <c r="FF375" s="217"/>
      <c r="FG375" s="217"/>
      <c r="FH375" s="217"/>
      <c r="FI375" s="217"/>
      <c r="FJ375" s="217"/>
      <c r="FK375" s="217"/>
      <c r="FL375" s="217"/>
      <c r="FM375" s="217"/>
      <c r="FN375" s="217"/>
      <c r="FO375" s="217"/>
      <c r="FP375" s="217"/>
      <c r="FQ375" s="217"/>
      <c r="FR375" s="217"/>
      <c r="FS375" s="217"/>
      <c r="FT375" s="217"/>
      <c r="FU375" s="217"/>
      <c r="FV375" s="217"/>
      <c r="FW375" s="217"/>
      <c r="FX375" s="217"/>
      <c r="FY375" s="217"/>
      <c r="FZ375" s="217"/>
      <c r="GA375" s="217"/>
      <c r="GB375" s="217"/>
    </row>
    <row r="376" spans="1:184" ht="13.35" customHeight="1">
      <c r="A376" s="760"/>
      <c r="B376" s="4"/>
      <c r="C376" s="4" t="s">
        <v>178</v>
      </c>
      <c r="D376" s="250" t="s">
        <v>507</v>
      </c>
      <c r="E376" s="251"/>
      <c r="F376" s="251"/>
      <c r="G376" s="252"/>
      <c r="H376" s="251"/>
      <c r="I376" s="251"/>
      <c r="J376" s="252"/>
      <c r="K376" s="251"/>
      <c r="L376" s="251"/>
      <c r="M376" s="252"/>
      <c r="N376" s="251"/>
      <c r="O376" s="251"/>
      <c r="P376" s="252"/>
      <c r="Q376" s="251"/>
      <c r="R376" s="251"/>
      <c r="S376" s="252"/>
      <c r="T376" s="251"/>
      <c r="U376" s="251"/>
      <c r="V376" s="252"/>
      <c r="W376" s="251"/>
      <c r="X376" s="251"/>
      <c r="Y376" s="252"/>
      <c r="Z376" s="251"/>
      <c r="AA376" s="251"/>
      <c r="AB376" s="252"/>
      <c r="AC376" s="251"/>
      <c r="AD376" s="251"/>
      <c r="AE376" s="252"/>
      <c r="AF376" s="251"/>
      <c r="AG376" s="251"/>
      <c r="AH376" s="252"/>
      <c r="AI376" s="251"/>
      <c r="AJ376" s="251"/>
      <c r="AK376" s="252"/>
      <c r="AL376" s="251"/>
      <c r="AM376" s="251"/>
      <c r="AN376" s="252"/>
      <c r="AO376" s="251"/>
      <c r="AP376" s="251"/>
      <c r="AQ376" s="252"/>
      <c r="AR376" s="251"/>
      <c r="AS376" s="251"/>
      <c r="AT376" s="252"/>
      <c r="AU376" s="251"/>
      <c r="AV376" s="251"/>
      <c r="AW376" s="252"/>
      <c r="AX376" s="251"/>
      <c r="AY376" s="251"/>
      <c r="AZ376" s="252"/>
      <c r="BA376" s="251"/>
      <c r="BB376" s="251"/>
      <c r="BC376" s="252"/>
      <c r="BD376" s="251"/>
      <c r="BE376" s="251"/>
      <c r="BF376" s="252"/>
      <c r="BG376" s="251"/>
      <c r="BH376" s="251"/>
      <c r="BI376" s="252"/>
      <c r="BJ376" s="251"/>
      <c r="BK376" s="251"/>
      <c r="BL376" s="252"/>
      <c r="BM376" s="251"/>
      <c r="BN376" s="251"/>
      <c r="BO376" s="79"/>
      <c r="BP376" s="259"/>
      <c r="BQ376" s="259"/>
      <c r="BR376" s="260"/>
      <c r="BS376" s="259"/>
      <c r="BT376" s="259"/>
      <c r="BU376" s="261"/>
      <c r="BV376" s="259"/>
      <c r="BW376" s="259"/>
      <c r="BX376" s="260"/>
      <c r="BY376" s="259"/>
      <c r="BZ376" s="259"/>
      <c r="CA376" s="260"/>
      <c r="CB376" s="259"/>
      <c r="CC376" s="259"/>
      <c r="CD376" s="260"/>
      <c r="CE376" s="259"/>
      <c r="CF376" s="259"/>
      <c r="CG376" s="260"/>
      <c r="CH376" s="259"/>
      <c r="CI376" s="259"/>
      <c r="CJ376" s="260"/>
      <c r="CK376" s="259"/>
      <c r="CL376" s="259"/>
      <c r="CM376" s="260"/>
      <c r="CN376" s="259"/>
      <c r="CO376" s="259"/>
      <c r="CP376" s="260"/>
      <c r="CQ376" s="259"/>
      <c r="CR376" s="259"/>
      <c r="CS376" s="260"/>
      <c r="CT376" s="259"/>
      <c r="CU376" s="259"/>
      <c r="CV376" s="260"/>
      <c r="CW376" s="259"/>
      <c r="CX376" s="259"/>
      <c r="CY376" s="334"/>
      <c r="CZ376" s="333"/>
      <c r="DA376" s="333"/>
      <c r="DB376" s="334"/>
      <c r="DC376" s="333"/>
      <c r="DD376" s="333"/>
      <c r="DE376" s="788"/>
      <c r="DF376" s="333"/>
      <c r="DG376" s="333"/>
      <c r="DH376" s="788"/>
      <c r="DI376" s="333"/>
      <c r="DJ376" s="333"/>
      <c r="DK376" s="700"/>
      <c r="DL376" s="848">
        <f t="shared" ref="DL376:EL376" si="361">DL375/DI375-1</f>
        <v>9.5609961397558063E-3</v>
      </c>
      <c r="DM376" s="848">
        <f t="shared" si="361"/>
        <v>-3.9108849341622509E-3</v>
      </c>
      <c r="DN376" s="842">
        <f t="shared" si="361"/>
        <v>2.8691214418470334E-3</v>
      </c>
      <c r="DO376" s="848">
        <f t="shared" si="361"/>
        <v>4.6095220605114395E-2</v>
      </c>
      <c r="DP376" s="848">
        <f t="shared" si="361"/>
        <v>0.11569468671915528</v>
      </c>
      <c r="DQ376" s="842">
        <f t="shared" si="361"/>
        <v>8.043356903609955E-2</v>
      </c>
      <c r="DR376" s="848">
        <f t="shared" si="361"/>
        <v>0.14944042132982216</v>
      </c>
      <c r="DS376" s="848">
        <f t="shared" si="361"/>
        <v>0.13458694274244665</v>
      </c>
      <c r="DT376" s="842">
        <f t="shared" si="361"/>
        <v>0.14187298170075358</v>
      </c>
      <c r="DU376" s="848">
        <f t="shared" si="361"/>
        <v>9.6410843833524273E-2</v>
      </c>
      <c r="DV376" s="848">
        <f>DV375/DS375-1</f>
        <v>8.379888268156499E-3</v>
      </c>
      <c r="DW376" s="842">
        <f>DW375/DT375-1</f>
        <v>5.1847662141779827E-2</v>
      </c>
      <c r="DX376" s="848">
        <f t="shared" si="361"/>
        <v>-5.1018631377328871E-2</v>
      </c>
      <c r="DY376" s="848">
        <f t="shared" si="361"/>
        <v>0.12986512763982661</v>
      </c>
      <c r="DZ376" s="842">
        <f t="shared" si="361"/>
        <v>3.6764623245174821E-2</v>
      </c>
      <c r="EA376" s="848">
        <f t="shared" si="361"/>
        <v>0.10006455962172933</v>
      </c>
      <c r="EB376" s="848">
        <f t="shared" si="361"/>
        <v>5.6000498650905284E-2</v>
      </c>
      <c r="EC376" s="842">
        <f t="shared" si="361"/>
        <v>7.6759884210749751E-2</v>
      </c>
      <c r="ED376" s="848">
        <f t="shared" si="361"/>
        <v>6.9422728691054925E-2</v>
      </c>
      <c r="EE376" s="848">
        <f t="shared" si="361"/>
        <v>6.9993890779187495E-2</v>
      </c>
      <c r="EF376" s="842">
        <f t="shared" si="361"/>
        <v>6.9718981971328198E-2</v>
      </c>
      <c r="EG376" s="848">
        <f t="shared" si="361"/>
        <v>7.0451350536476776E-2</v>
      </c>
      <c r="EH376" s="848">
        <f t="shared" si="361"/>
        <v>7.2483147090417033E-2</v>
      </c>
      <c r="EI376" s="842">
        <f t="shared" si="361"/>
        <v>7.1505484024146915E-2</v>
      </c>
      <c r="EJ376" s="848">
        <f t="shared" si="361"/>
        <v>6.8863448609421063E-2</v>
      </c>
      <c r="EK376" s="848">
        <f t="shared" si="361"/>
        <v>7.3689477715359386E-2</v>
      </c>
      <c r="EL376" s="842">
        <f t="shared" si="361"/>
        <v>7.1369565975516247E-2</v>
      </c>
      <c r="EM376" s="848">
        <f t="shared" ref="EM376:FA376" si="362">EM375/EJ375-1</f>
        <v>6.2473672776713896E-2</v>
      </c>
      <c r="EN376" s="848">
        <f t="shared" si="362"/>
        <v>5.937284451543956E-2</v>
      </c>
      <c r="EO376" s="842">
        <f t="shared" si="362"/>
        <v>6.0859951317219885E-2</v>
      </c>
      <c r="EP376" s="848">
        <f t="shared" si="362"/>
        <v>6.1201776533978514E-2</v>
      </c>
      <c r="EQ376" s="848">
        <f t="shared" si="362"/>
        <v>6.2923858558735946E-2</v>
      </c>
      <c r="ER376" s="842">
        <f t="shared" si="362"/>
        <v>6.2096719741048467E-2</v>
      </c>
      <c r="ES376" s="848">
        <f t="shared" si="362"/>
        <v>6.2894845244462205E-2</v>
      </c>
      <c r="ET376" s="848">
        <f t="shared" si="362"/>
        <v>6.3124211584543621E-2</v>
      </c>
      <c r="EU376" s="842">
        <f t="shared" si="362"/>
        <v>6.3014136721243119E-2</v>
      </c>
      <c r="EV376" s="848">
        <f t="shared" si="362"/>
        <v>6.3101119652873683E-2</v>
      </c>
      <c r="EW376" s="848">
        <f t="shared" si="362"/>
        <v>6.3318754440695235E-2</v>
      </c>
      <c r="EX376" s="842">
        <f t="shared" si="362"/>
        <v>6.3214321370202109E-2</v>
      </c>
      <c r="EY376" s="848">
        <f t="shared" si="362"/>
        <v>6.3301357484090603E-2</v>
      </c>
      <c r="EZ376" s="848">
        <f t="shared" si="362"/>
        <v>6.3507708564650489E-2</v>
      </c>
      <c r="FA376" s="849">
        <f t="shared" si="362"/>
        <v>6.3408700576467192E-2</v>
      </c>
      <c r="FP376" s="349"/>
      <c r="FQ376" s="349"/>
      <c r="FR376" s="349"/>
    </row>
    <row r="377" spans="1:184" s="350" customFormat="1" ht="12.75" customHeight="1">
      <c r="A377" s="760"/>
      <c r="B377" s="342"/>
      <c r="C377" s="342" t="s">
        <v>30</v>
      </c>
      <c r="D377" s="343"/>
      <c r="E377" s="342"/>
      <c r="F377" s="342"/>
      <c r="G377" s="342"/>
      <c r="H377" s="342"/>
      <c r="I377" s="342"/>
      <c r="J377" s="342"/>
      <c r="K377" s="342"/>
      <c r="L377" s="342"/>
      <c r="M377" s="342"/>
      <c r="N377" s="342"/>
      <c r="O377" s="342"/>
      <c r="P377" s="342"/>
      <c r="Q377" s="342"/>
      <c r="R377" s="342"/>
      <c r="S377" s="342"/>
      <c r="T377" s="342"/>
      <c r="U377" s="342"/>
      <c r="V377" s="342"/>
      <c r="W377" s="342"/>
      <c r="X377" s="342"/>
      <c r="Y377" s="342"/>
      <c r="Z377" s="342"/>
      <c r="AA377" s="342"/>
      <c r="AB377" s="342"/>
      <c r="AC377" s="342"/>
      <c r="AD377" s="342"/>
      <c r="AE377" s="342"/>
      <c r="AF377" s="342"/>
      <c r="AG377" s="342"/>
      <c r="AH377" s="342"/>
      <c r="AI377" s="342"/>
      <c r="AJ377" s="342"/>
      <c r="AK377" s="342"/>
      <c r="AL377" s="342"/>
      <c r="AM377" s="342"/>
      <c r="AN377" s="342"/>
      <c r="AO377" s="342"/>
      <c r="AP377" s="342"/>
      <c r="AQ377" s="342"/>
      <c r="AR377" s="342"/>
      <c r="AS377" s="342"/>
      <c r="AT377" s="342"/>
      <c r="AU377" s="342"/>
      <c r="AV377" s="342"/>
      <c r="AW377" s="342"/>
      <c r="AX377" s="342"/>
      <c r="AY377" s="342"/>
      <c r="AZ377" s="342"/>
      <c r="BA377" s="342"/>
      <c r="BB377" s="342"/>
      <c r="BC377" s="342"/>
      <c r="BD377" s="342"/>
      <c r="BE377" s="342"/>
      <c r="BF377" s="342"/>
      <c r="BG377" s="342"/>
      <c r="BH377" s="342"/>
      <c r="BI377" s="342"/>
      <c r="BJ377" s="342"/>
      <c r="BK377" s="342"/>
      <c r="BL377" s="342"/>
      <c r="BM377" s="344"/>
      <c r="BN377" s="344"/>
      <c r="BO377" s="342"/>
      <c r="BP377" s="345"/>
      <c r="BQ377" s="345"/>
      <c r="BR377" s="345"/>
      <c r="BS377" s="346"/>
      <c r="BT377" s="345"/>
      <c r="BU377" s="346"/>
      <c r="BV377" s="346"/>
      <c r="BW377" s="346"/>
      <c r="BX377" s="346"/>
      <c r="BY377" s="346"/>
      <c r="BZ377" s="346"/>
      <c r="CA377" s="346"/>
      <c r="CB377" s="346"/>
      <c r="CC377" s="346"/>
      <c r="CD377" s="346"/>
      <c r="CE377" s="347"/>
      <c r="CF377" s="346"/>
      <c r="CG377" s="346"/>
      <c r="CH377" s="346"/>
      <c r="CI377" s="346"/>
      <c r="CJ377" s="346"/>
      <c r="CK377" s="346"/>
      <c r="CL377" s="346"/>
      <c r="CM377" s="346"/>
      <c r="CN377" s="346"/>
      <c r="CO377" s="346"/>
      <c r="CP377" s="346"/>
      <c r="CQ377" s="346"/>
      <c r="CR377" s="346"/>
      <c r="CS377" s="346"/>
      <c r="CT377" s="346"/>
      <c r="CU377" s="346"/>
      <c r="CV377" s="346"/>
      <c r="CW377" s="346"/>
      <c r="CX377" s="346"/>
      <c r="CY377" s="556"/>
      <c r="CZ377" s="333"/>
      <c r="DA377" s="333"/>
      <c r="DB377" s="334"/>
      <c r="DC377" s="556"/>
      <c r="DD377" s="556"/>
      <c r="DE377" s="793"/>
      <c r="DF377" s="556"/>
      <c r="DG377" s="556"/>
      <c r="DH377" s="793"/>
      <c r="DI377" s="556"/>
      <c r="DJ377" s="556"/>
      <c r="DK377" s="704"/>
      <c r="DL377" s="556"/>
      <c r="DM377" s="556"/>
      <c r="DN377" s="704"/>
      <c r="DO377" s="556"/>
      <c r="DP377" s="556"/>
      <c r="DQ377" s="704"/>
      <c r="DR377" s="556"/>
      <c r="DS377" s="556"/>
      <c r="DT377" s="704"/>
      <c r="DU377" s="556"/>
      <c r="DV377" s="556"/>
      <c r="DW377" s="704"/>
      <c r="DX377" s="556"/>
      <c r="DY377" s="556"/>
      <c r="DZ377" s="704"/>
      <c r="EA377" s="556"/>
      <c r="EB377" s="556"/>
      <c r="EC377" s="704"/>
      <c r="ED377" s="556"/>
      <c r="EE377" s="556"/>
      <c r="EF377" s="704"/>
      <c r="EG377" s="556"/>
      <c r="EH377" s="556"/>
      <c r="EI377" s="704"/>
      <c r="EJ377" s="556"/>
      <c r="EK377" s="556"/>
      <c r="EL377" s="704"/>
      <c r="EM377" s="556"/>
      <c r="EN377" s="556"/>
      <c r="EO377" s="704"/>
      <c r="EP377" s="556"/>
      <c r="EQ377" s="556"/>
      <c r="ER377" s="704"/>
      <c r="ES377" s="556"/>
      <c r="ET377" s="556"/>
      <c r="EU377" s="704"/>
      <c r="EV377" s="556"/>
      <c r="EW377" s="556"/>
      <c r="EX377" s="704"/>
      <c r="EY377" s="556"/>
      <c r="EZ377" s="556"/>
      <c r="FA377" s="557"/>
      <c r="FB377" s="176"/>
      <c r="FC377" s="176"/>
      <c r="FD377" s="176"/>
      <c r="FE377" s="176"/>
      <c r="FF377" s="176"/>
      <c r="FG377" s="176"/>
      <c r="FH377" s="176"/>
      <c r="FI377" s="176"/>
      <c r="FJ377" s="176"/>
      <c r="FK377" s="176"/>
      <c r="FL377" s="176"/>
      <c r="FM377" s="176"/>
      <c r="FN377" s="176"/>
      <c r="FO377" s="176"/>
      <c r="FP377" s="176"/>
      <c r="FQ377" s="176"/>
      <c r="FR377" s="176"/>
      <c r="FS377" s="349"/>
      <c r="FT377" s="349"/>
      <c r="FU377" s="349"/>
      <c r="FV377" s="349"/>
      <c r="FW377" s="349"/>
      <c r="FX377" s="349"/>
      <c r="FY377" s="349"/>
      <c r="FZ377" s="349"/>
      <c r="GA377" s="349"/>
      <c r="GB377" s="349"/>
    </row>
    <row r="378" spans="1:184" s="218" customFormat="1" ht="13.35" customHeight="1">
      <c r="A378" s="989"/>
      <c r="B378" s="245" t="s">
        <v>547</v>
      </c>
      <c r="C378" s="245"/>
      <c r="D378" s="246"/>
      <c r="E378" s="245"/>
      <c r="F378" s="245"/>
      <c r="G378" s="245"/>
      <c r="H378" s="245"/>
      <c r="I378" s="245"/>
      <c r="J378" s="245"/>
      <c r="K378" s="245"/>
      <c r="L378" s="245"/>
      <c r="M378" s="245"/>
      <c r="N378" s="245"/>
      <c r="O378" s="245"/>
      <c r="P378" s="245"/>
      <c r="Q378" s="245"/>
      <c r="R378" s="245"/>
      <c r="S378" s="245"/>
      <c r="T378" s="245"/>
      <c r="U378" s="245"/>
      <c r="V378" s="245"/>
      <c r="W378" s="245"/>
      <c r="X378" s="245"/>
      <c r="Y378" s="245"/>
      <c r="Z378" s="245"/>
      <c r="AA378" s="245"/>
      <c r="AB378" s="245"/>
      <c r="AC378" s="245"/>
      <c r="AD378" s="245"/>
      <c r="AE378" s="245"/>
      <c r="AF378" s="245"/>
      <c r="AG378" s="245"/>
      <c r="AH378" s="245"/>
      <c r="AI378" s="245"/>
      <c r="AJ378" s="245"/>
      <c r="AK378" s="245"/>
      <c r="AL378" s="245"/>
      <c r="AM378" s="245"/>
      <c r="AN378" s="245"/>
      <c r="AO378" s="245"/>
      <c r="AP378" s="245"/>
      <c r="AQ378" s="5"/>
      <c r="AR378" s="5"/>
      <c r="AS378" s="5"/>
      <c r="AT378" s="5"/>
      <c r="AU378" s="5"/>
      <c r="AV378" s="5"/>
      <c r="AW378" s="5"/>
      <c r="AX378" s="5"/>
      <c r="AY378" s="5"/>
      <c r="AZ378" s="5"/>
      <c r="BA378" s="5"/>
      <c r="BB378" s="5"/>
      <c r="BC378" s="5"/>
      <c r="BD378" s="5"/>
      <c r="BE378" s="5"/>
      <c r="BF378" s="5"/>
      <c r="BG378" s="5"/>
      <c r="BH378" s="5"/>
      <c r="BI378" s="5"/>
      <c r="BJ378" s="5"/>
      <c r="BK378" s="5"/>
      <c r="BL378" s="5"/>
      <c r="BM378" s="249"/>
      <c r="BN378" s="249"/>
      <c r="BO378" s="249"/>
      <c r="BP378" s="249"/>
      <c r="BQ378" s="249"/>
      <c r="BR378" s="249"/>
      <c r="BS378" s="249"/>
      <c r="BT378" s="249"/>
      <c r="BU378" s="448"/>
      <c r="BV378" s="249"/>
      <c r="BW378" s="249"/>
      <c r="BX378" s="249"/>
      <c r="BY378" s="249"/>
      <c r="BZ378" s="249"/>
      <c r="CA378" s="249"/>
      <c r="CB378" s="249"/>
      <c r="CC378" s="249"/>
      <c r="CD378" s="249"/>
      <c r="CE378" s="249"/>
      <c r="CF378" s="249"/>
      <c r="CG378" s="249"/>
      <c r="CH378" s="249"/>
      <c r="CI378" s="249"/>
      <c r="CJ378" s="249"/>
      <c r="CK378" s="249"/>
      <c r="CL378" s="249"/>
      <c r="CM378" s="249"/>
      <c r="CN378" s="249"/>
      <c r="CO378" s="249"/>
      <c r="CP378" s="249"/>
      <c r="CQ378" s="249"/>
      <c r="CR378" s="249"/>
      <c r="CS378" s="249"/>
      <c r="CT378" s="249"/>
      <c r="CU378" s="249"/>
      <c r="CV378" s="249"/>
      <c r="CW378" s="249"/>
      <c r="CX378" s="249"/>
      <c r="CY378" s="249"/>
      <c r="CZ378" s="249"/>
      <c r="DA378" s="249"/>
      <c r="DB378" s="249"/>
      <c r="DC378" s="249"/>
      <c r="DD378" s="249"/>
      <c r="DE378" s="807"/>
      <c r="DF378" s="249"/>
      <c r="DG378" s="249"/>
      <c r="DH378" s="807"/>
      <c r="DI378" s="249" t="s">
        <v>930</v>
      </c>
      <c r="DJ378" s="249" t="s">
        <v>931</v>
      </c>
      <c r="DK378" s="718" t="s">
        <v>932</v>
      </c>
      <c r="DL378" s="249" t="str">
        <f t="shared" ref="DL378:FA378" si="363">DL5</f>
        <v>1h22</v>
      </c>
      <c r="DM378" s="249" t="str">
        <f t="shared" si="363"/>
        <v>2h22</v>
      </c>
      <c r="DN378" s="718" t="str">
        <f t="shared" si="363"/>
        <v>2022</v>
      </c>
      <c r="DO378" s="249" t="str">
        <f t="shared" si="363"/>
        <v>1h23</v>
      </c>
      <c r="DP378" s="249" t="str">
        <f t="shared" si="363"/>
        <v>2h23</v>
      </c>
      <c r="DQ378" s="718" t="str">
        <f t="shared" si="363"/>
        <v>2023</v>
      </c>
      <c r="DR378" s="249" t="str">
        <f t="shared" si="363"/>
        <v>1h24</v>
      </c>
      <c r="DS378" s="249" t="str">
        <f t="shared" si="363"/>
        <v>2h24</v>
      </c>
      <c r="DT378" s="718" t="str">
        <f t="shared" si="363"/>
        <v>2024</v>
      </c>
      <c r="DU378" s="249" t="str">
        <f t="shared" si="363"/>
        <v>1h25</v>
      </c>
      <c r="DV378" s="249" t="str">
        <f t="shared" si="363"/>
        <v>2h25</v>
      </c>
      <c r="DW378" s="718" t="str">
        <f t="shared" si="363"/>
        <v>2025</v>
      </c>
      <c r="DX378" s="249" t="str">
        <f t="shared" si="363"/>
        <v>1h26</v>
      </c>
      <c r="DY378" s="249" t="str">
        <f t="shared" si="363"/>
        <v>2h26E</v>
      </c>
      <c r="DZ378" s="718" t="str">
        <f t="shared" si="363"/>
        <v>2026E</v>
      </c>
      <c r="EA378" s="249" t="str">
        <f t="shared" si="363"/>
        <v>1h27E</v>
      </c>
      <c r="EB378" s="249" t="str">
        <f t="shared" si="363"/>
        <v>2h27E</v>
      </c>
      <c r="EC378" s="718" t="str">
        <f t="shared" si="363"/>
        <v>2027E</v>
      </c>
      <c r="ED378" s="249" t="str">
        <f t="shared" si="363"/>
        <v>1h28E</v>
      </c>
      <c r="EE378" s="249" t="str">
        <f t="shared" si="363"/>
        <v>2h28E</v>
      </c>
      <c r="EF378" s="718" t="str">
        <f t="shared" si="363"/>
        <v>2028E</v>
      </c>
      <c r="EG378" s="249" t="str">
        <f t="shared" si="363"/>
        <v>1h29E</v>
      </c>
      <c r="EH378" s="249" t="str">
        <f t="shared" si="363"/>
        <v>2h29E</v>
      </c>
      <c r="EI378" s="718" t="str">
        <f t="shared" si="363"/>
        <v>2029E</v>
      </c>
      <c r="EJ378" s="249" t="str">
        <f t="shared" si="363"/>
        <v>1h30E</v>
      </c>
      <c r="EK378" s="249" t="str">
        <f t="shared" si="363"/>
        <v>2h30E</v>
      </c>
      <c r="EL378" s="718" t="str">
        <f t="shared" si="363"/>
        <v>2030E</v>
      </c>
      <c r="EM378" s="249" t="str">
        <f t="shared" si="363"/>
        <v>1h31E</v>
      </c>
      <c r="EN378" s="249" t="str">
        <f t="shared" si="363"/>
        <v>2h31E</v>
      </c>
      <c r="EO378" s="718" t="str">
        <f t="shared" si="363"/>
        <v>2031E</v>
      </c>
      <c r="EP378" s="249" t="str">
        <f t="shared" si="363"/>
        <v>1h32E</v>
      </c>
      <c r="EQ378" s="249" t="str">
        <f t="shared" si="363"/>
        <v>2h32E</v>
      </c>
      <c r="ER378" s="718" t="str">
        <f t="shared" si="363"/>
        <v>2032E</v>
      </c>
      <c r="ES378" s="249" t="str">
        <f t="shared" si="363"/>
        <v>1h33E</v>
      </c>
      <c r="ET378" s="249" t="str">
        <f t="shared" si="363"/>
        <v>2h33E</v>
      </c>
      <c r="EU378" s="718" t="str">
        <f t="shared" si="363"/>
        <v>2033E</v>
      </c>
      <c r="EV378" s="249" t="str">
        <f t="shared" si="363"/>
        <v>1h34E</v>
      </c>
      <c r="EW378" s="249" t="str">
        <f t="shared" si="363"/>
        <v>2h34E</v>
      </c>
      <c r="EX378" s="718" t="str">
        <f t="shared" si="363"/>
        <v>2034E</v>
      </c>
      <c r="EY378" s="249" t="str">
        <f t="shared" si="363"/>
        <v>1h35E</v>
      </c>
      <c r="EZ378" s="249" t="str">
        <f t="shared" si="363"/>
        <v>2h35E</v>
      </c>
      <c r="FA378" s="520" t="str">
        <f t="shared" si="363"/>
        <v>2035E</v>
      </c>
      <c r="FB378" s="349"/>
      <c r="FC378" s="349"/>
      <c r="FD378" s="349"/>
      <c r="FE378" s="349"/>
      <c r="FF378" s="349"/>
      <c r="FG378" s="349"/>
      <c r="FH378" s="349"/>
      <c r="FI378" s="349"/>
      <c r="FJ378" s="349"/>
      <c r="FK378" s="349"/>
      <c r="FL378" s="349"/>
      <c r="FM378" s="349"/>
      <c r="FN378" s="349"/>
      <c r="FO378" s="349"/>
      <c r="FP378" s="176"/>
      <c r="FQ378" s="176"/>
      <c r="FR378" s="176"/>
      <c r="FS378" s="217"/>
      <c r="FT378" s="217"/>
      <c r="FU378" s="217"/>
      <c r="FV378" s="217"/>
      <c r="FW378" s="217"/>
      <c r="FX378" s="217"/>
      <c r="FY378" s="217"/>
      <c r="FZ378" s="217"/>
      <c r="GA378" s="217"/>
      <c r="GB378" s="217"/>
    </row>
    <row r="379" spans="1:184" ht="13.35" hidden="1" customHeight="1" outlineLevel="1">
      <c r="A379" s="760"/>
      <c r="B379" s="5"/>
      <c r="C379" s="449" t="s">
        <v>641</v>
      </c>
      <c r="D379" s="250" t="s">
        <v>210</v>
      </c>
      <c r="E379" s="251"/>
      <c r="F379" s="251"/>
      <c r="G379" s="252"/>
      <c r="H379" s="251"/>
      <c r="I379" s="251"/>
      <c r="J379" s="252"/>
      <c r="K379" s="251"/>
      <c r="L379" s="251"/>
      <c r="M379" s="252"/>
      <c r="N379" s="251"/>
      <c r="O379" s="251"/>
      <c r="P379" s="252"/>
      <c r="Q379" s="251"/>
      <c r="R379" s="251"/>
      <c r="S379" s="252"/>
      <c r="T379" s="251"/>
      <c r="U379" s="251"/>
      <c r="V379" s="252"/>
      <c r="W379" s="251"/>
      <c r="X379" s="251"/>
      <c r="Y379" s="252"/>
      <c r="Z379" s="251"/>
      <c r="AA379" s="251"/>
      <c r="AB379" s="252"/>
      <c r="AC379" s="251"/>
      <c r="AD379" s="251"/>
      <c r="AE379" s="252"/>
      <c r="AF379" s="251"/>
      <c r="AG379" s="251"/>
      <c r="AH379" s="252"/>
      <c r="AI379" s="251"/>
      <c r="AJ379" s="251"/>
      <c r="AK379" s="252"/>
      <c r="AL379" s="251"/>
      <c r="AM379" s="251"/>
      <c r="AN379" s="252"/>
      <c r="AO379" s="251"/>
      <c r="AP379" s="251"/>
      <c r="AQ379" s="252"/>
      <c r="AR379" s="251"/>
      <c r="AS379" s="251"/>
      <c r="AT379" s="252"/>
      <c r="AU379" s="251"/>
      <c r="AV379" s="251"/>
      <c r="AW379" s="252"/>
      <c r="AX379" s="251"/>
      <c r="AY379" s="251"/>
      <c r="AZ379" s="252"/>
      <c r="BA379" s="251"/>
      <c r="BB379" s="251"/>
      <c r="BC379" s="252"/>
      <c r="BD379" s="251"/>
      <c r="BE379" s="251"/>
      <c r="BF379" s="252"/>
      <c r="BG379" s="251"/>
      <c r="BH379" s="251"/>
      <c r="BI379" s="252"/>
      <c r="BJ379" s="251"/>
      <c r="BK379" s="251"/>
      <c r="BL379" s="252"/>
      <c r="BM379" s="198"/>
      <c r="BN379" s="198"/>
      <c r="BO379" s="79"/>
      <c r="BP379" s="198"/>
      <c r="BQ379" s="198"/>
      <c r="BR379" s="79"/>
      <c r="BS379" s="198"/>
      <c r="BT379" s="198"/>
      <c r="BU379" s="254"/>
      <c r="BV379" s="198"/>
      <c r="BW379" s="198"/>
      <c r="BX379" s="79"/>
      <c r="BY379" s="198"/>
      <c r="BZ379" s="198"/>
      <c r="CA379" s="79"/>
      <c r="CB379" s="198"/>
      <c r="CC379" s="198"/>
      <c r="CD379" s="79"/>
      <c r="CE379" s="198"/>
      <c r="CF379" s="198"/>
      <c r="CG379" s="79"/>
      <c r="CH379" s="198"/>
      <c r="CI379" s="198"/>
      <c r="CJ379" s="79"/>
      <c r="CK379" s="198"/>
      <c r="CL379" s="198"/>
      <c r="CM379" s="79"/>
      <c r="CN379" s="198"/>
      <c r="CO379" s="198"/>
      <c r="CP379" s="79"/>
      <c r="CQ379" s="198"/>
      <c r="CR379" s="198"/>
      <c r="CS379" s="79"/>
      <c r="CT379" s="198"/>
      <c r="CU379" s="198"/>
      <c r="CV379" s="79"/>
      <c r="CW379" s="198"/>
      <c r="CX379" s="198"/>
      <c r="CY379" s="488"/>
      <c r="CZ379" s="489"/>
      <c r="DA379" s="489"/>
      <c r="DB379" s="488"/>
      <c r="DC379" s="489"/>
      <c r="DD379" s="489"/>
      <c r="DE379" s="783"/>
      <c r="DF379" s="489"/>
      <c r="DG379" s="489"/>
      <c r="DH379" s="783"/>
      <c r="DI379" s="489">
        <v>8.221896624578795</v>
      </c>
      <c r="DJ379" s="489">
        <v>7.5974050448674273</v>
      </c>
      <c r="DK379" s="696">
        <v>15.819301669446222</v>
      </c>
      <c r="DL379" s="489">
        <f t="shared" ref="DL379:EX379" si="364">DL133</f>
        <v>6.7246184675386917</v>
      </c>
      <c r="DM379" s="489">
        <f t="shared" si="364"/>
        <v>6.454920644434627</v>
      </c>
      <c r="DN379" s="696">
        <f t="shared" si="364"/>
        <v>13.17953911197332</v>
      </c>
      <c r="DO379" s="489">
        <f t="shared" si="364"/>
        <v>7.5850930546580289</v>
      </c>
      <c r="DP379" s="489">
        <f t="shared" si="364"/>
        <v>8.3306458500969338</v>
      </c>
      <c r="DQ379" s="696">
        <f t="shared" si="364"/>
        <v>15.915738904754964</v>
      </c>
      <c r="DR379" s="489">
        <f t="shared" si="364"/>
        <v>8.8087504476907128</v>
      </c>
      <c r="DS379" s="489">
        <f t="shared" si="364"/>
        <v>9.8658005014135988</v>
      </c>
      <c r="DT379" s="696">
        <f t="shared" si="364"/>
        <v>18.674550949104312</v>
      </c>
      <c r="DU379" s="489">
        <f t="shared" si="364"/>
        <v>10.642206893880619</v>
      </c>
      <c r="DV379" s="489">
        <f>DV133</f>
        <v>11.919271721146295</v>
      </c>
      <c r="DW379" s="696">
        <f>DW133</f>
        <v>22.561478615026914</v>
      </c>
      <c r="DX379" s="489">
        <f t="shared" si="364"/>
        <v>10.642206893880619</v>
      </c>
      <c r="DY379" s="489">
        <f t="shared" si="364"/>
        <v>12.753620741626536</v>
      </c>
      <c r="DZ379" s="696">
        <f t="shared" si="364"/>
        <v>23.395827635507153</v>
      </c>
      <c r="EA379" s="489">
        <f t="shared" si="364"/>
        <v>11.387161376452264</v>
      </c>
      <c r="EB379" s="489">
        <f t="shared" si="364"/>
        <v>13.646374193540394</v>
      </c>
      <c r="EC379" s="696">
        <f t="shared" si="364"/>
        <v>25.033535569992658</v>
      </c>
      <c r="ED379" s="489">
        <f t="shared" si="364"/>
        <v>12.184262672803923</v>
      </c>
      <c r="EE379" s="489">
        <f t="shared" si="364"/>
        <v>14.601620387088223</v>
      </c>
      <c r="EF379" s="696">
        <f t="shared" si="364"/>
        <v>26.785883059892146</v>
      </c>
      <c r="EG379" s="489">
        <f t="shared" si="364"/>
        <v>13.037161059900198</v>
      </c>
      <c r="EH379" s="489">
        <f t="shared" si="364"/>
        <v>15.6237338141844</v>
      </c>
      <c r="EI379" s="696">
        <f t="shared" si="364"/>
        <v>28.660894874084597</v>
      </c>
      <c r="EJ379" s="489">
        <f t="shared" si="364"/>
        <v>13.949762334093213</v>
      </c>
      <c r="EK379" s="489">
        <f t="shared" si="364"/>
        <v>16.717395181177309</v>
      </c>
      <c r="EL379" s="696">
        <f t="shared" si="364"/>
        <v>30.667157515270524</v>
      </c>
      <c r="EM379" s="489">
        <f t="shared" si="364"/>
        <v>14.92624569747974</v>
      </c>
      <c r="EN379" s="489">
        <f t="shared" si="364"/>
        <v>17.887612843859721</v>
      </c>
      <c r="EO379" s="696">
        <f t="shared" si="364"/>
        <v>32.813858541339457</v>
      </c>
      <c r="EP379" s="489">
        <f t="shared" si="364"/>
        <v>15.971082896303322</v>
      </c>
      <c r="EQ379" s="489">
        <f t="shared" si="364"/>
        <v>19.139745742929904</v>
      </c>
      <c r="ER379" s="696">
        <f t="shared" si="364"/>
        <v>35.110828639233226</v>
      </c>
      <c r="ES379" s="489">
        <f t="shared" si="364"/>
        <v>17.089058699044557</v>
      </c>
      <c r="ET379" s="489">
        <f t="shared" si="364"/>
        <v>20.479527944934997</v>
      </c>
      <c r="EU379" s="696">
        <f t="shared" si="364"/>
        <v>37.568586643979557</v>
      </c>
      <c r="EV379" s="489">
        <f t="shared" si="364"/>
        <v>18.285292807977676</v>
      </c>
      <c r="EW379" s="489">
        <f t="shared" si="364"/>
        <v>21.913094901080449</v>
      </c>
      <c r="EX379" s="696">
        <f t="shared" si="364"/>
        <v>40.198387709058125</v>
      </c>
      <c r="EY379" s="489">
        <f>EY133</f>
        <v>19.565263304536114</v>
      </c>
      <c r="EZ379" s="489">
        <f>EZ133</f>
        <v>23.44701154415608</v>
      </c>
      <c r="FA379" s="536">
        <f>FA133</f>
        <v>43.012274848692194</v>
      </c>
    </row>
    <row r="380" spans="1:184" ht="13.35" hidden="1" customHeight="1" outlineLevel="1">
      <c r="A380" s="760"/>
      <c r="B380" s="4"/>
      <c r="C380" s="4" t="s">
        <v>178</v>
      </c>
      <c r="D380" s="250" t="s">
        <v>507</v>
      </c>
      <c r="E380" s="251"/>
      <c r="F380" s="251"/>
      <c r="G380" s="252"/>
      <c r="H380" s="251"/>
      <c r="I380" s="251"/>
      <c r="J380" s="252"/>
      <c r="K380" s="251"/>
      <c r="L380" s="251"/>
      <c r="M380" s="252"/>
      <c r="N380" s="251"/>
      <c r="O380" s="251"/>
      <c r="P380" s="252"/>
      <c r="Q380" s="251"/>
      <c r="R380" s="251"/>
      <c r="S380" s="252"/>
      <c r="T380" s="251"/>
      <c r="U380" s="251"/>
      <c r="V380" s="252"/>
      <c r="W380" s="251"/>
      <c r="X380" s="251"/>
      <c r="Y380" s="252"/>
      <c r="Z380" s="251"/>
      <c r="AA380" s="251"/>
      <c r="AB380" s="252"/>
      <c r="AC380" s="251"/>
      <c r="AD380" s="251"/>
      <c r="AE380" s="252"/>
      <c r="AF380" s="251"/>
      <c r="AG380" s="251"/>
      <c r="AH380" s="252"/>
      <c r="AI380" s="251"/>
      <c r="AJ380" s="251"/>
      <c r="AK380" s="252"/>
      <c r="AL380" s="251"/>
      <c r="AM380" s="251"/>
      <c r="AN380" s="252"/>
      <c r="AO380" s="251"/>
      <c r="AP380" s="251"/>
      <c r="AQ380" s="252"/>
      <c r="AR380" s="251"/>
      <c r="AS380" s="251"/>
      <c r="AT380" s="252"/>
      <c r="AU380" s="251"/>
      <c r="AV380" s="251"/>
      <c r="AW380" s="252"/>
      <c r="AX380" s="251"/>
      <c r="AY380" s="251"/>
      <c r="AZ380" s="252"/>
      <c r="BA380" s="251"/>
      <c r="BB380" s="251"/>
      <c r="BC380" s="252"/>
      <c r="BD380" s="251"/>
      <c r="BE380" s="251"/>
      <c r="BF380" s="252"/>
      <c r="BG380" s="251"/>
      <c r="BH380" s="251"/>
      <c r="BI380" s="252"/>
      <c r="BJ380" s="251"/>
      <c r="BK380" s="251"/>
      <c r="BL380" s="252"/>
      <c r="BM380" s="251"/>
      <c r="BN380" s="198"/>
      <c r="BO380" s="79"/>
      <c r="BP380" s="259"/>
      <c r="BQ380" s="259"/>
      <c r="BR380" s="260"/>
      <c r="BS380" s="259"/>
      <c r="BT380" s="259"/>
      <c r="BU380" s="261"/>
      <c r="BV380" s="259"/>
      <c r="BW380" s="259"/>
      <c r="BX380" s="260"/>
      <c r="BY380" s="259"/>
      <c r="BZ380" s="259"/>
      <c r="CA380" s="260"/>
      <c r="CB380" s="259"/>
      <c r="CC380" s="259"/>
      <c r="CD380" s="260"/>
      <c r="CE380" s="259"/>
      <c r="CF380" s="259"/>
      <c r="CG380" s="260"/>
      <c r="CH380" s="259"/>
      <c r="CI380" s="259"/>
      <c r="CJ380" s="260"/>
      <c r="CK380" s="259"/>
      <c r="CL380" s="259"/>
      <c r="CM380" s="260"/>
      <c r="CN380" s="259"/>
      <c r="CO380" s="259"/>
      <c r="CP380" s="260"/>
      <c r="CQ380" s="259"/>
      <c r="CR380" s="259"/>
      <c r="CS380" s="260"/>
      <c r="CT380" s="259"/>
      <c r="CU380" s="259"/>
      <c r="CV380" s="260"/>
      <c r="CW380" s="259"/>
      <c r="CX380" s="259"/>
      <c r="CY380" s="334"/>
      <c r="CZ380" s="333"/>
      <c r="DA380" s="333"/>
      <c r="DB380" s="334"/>
      <c r="DC380" s="333"/>
      <c r="DD380" s="333"/>
      <c r="DE380" s="788"/>
      <c r="DF380" s="333"/>
      <c r="DG380" s="333"/>
      <c r="DH380" s="788"/>
      <c r="DI380" s="333"/>
      <c r="DJ380" s="333"/>
      <c r="DK380" s="700"/>
      <c r="DL380" s="333">
        <f t="shared" ref="DL380:EL380" si="365">DL379/DI379-1</f>
        <v>-0.18210860892656966</v>
      </c>
      <c r="DM380" s="333">
        <f t="shared" si="365"/>
        <v>-0.15037824016038581</v>
      </c>
      <c r="DN380" s="700">
        <f t="shared" si="365"/>
        <v>-0.166869727414795</v>
      </c>
      <c r="DO380" s="333">
        <f t="shared" si="365"/>
        <v>0.12795887101596159</v>
      </c>
      <c r="DP380" s="333">
        <f t="shared" si="365"/>
        <v>0.29058842222631198</v>
      </c>
      <c r="DQ380" s="700">
        <f t="shared" si="365"/>
        <v>0.20760967204808156</v>
      </c>
      <c r="DR380" s="333">
        <f t="shared" si="365"/>
        <v>0.16132397904877815</v>
      </c>
      <c r="DS380" s="333">
        <f t="shared" si="365"/>
        <v>0.18427798743824919</v>
      </c>
      <c r="DT380" s="700">
        <f t="shared" si="365"/>
        <v>0.17333860908745669</v>
      </c>
      <c r="DU380" s="333">
        <f t="shared" si="365"/>
        <v>0.208140355102302</v>
      </c>
      <c r="DV380" s="333">
        <f>DV379/DS379-1</f>
        <v>0.208140355102302</v>
      </c>
      <c r="DW380" s="700">
        <f>DW379/DT379-1</f>
        <v>0.208140355102302</v>
      </c>
      <c r="DX380" s="333">
        <f t="shared" si="365"/>
        <v>0</v>
      </c>
      <c r="DY380" s="333">
        <f t="shared" si="365"/>
        <v>7.0000000000000062E-2</v>
      </c>
      <c r="DZ380" s="700">
        <f t="shared" si="365"/>
        <v>3.6981132075471601E-2</v>
      </c>
      <c r="EA380" s="333">
        <f t="shared" si="365"/>
        <v>7.0000000000000062E-2</v>
      </c>
      <c r="EB380" s="333">
        <f t="shared" si="365"/>
        <v>7.0000000000000062E-2</v>
      </c>
      <c r="EC380" s="700">
        <f t="shared" si="365"/>
        <v>7.0000000000000062E-2</v>
      </c>
      <c r="ED380" s="333">
        <f t="shared" si="365"/>
        <v>7.0000000000000062E-2</v>
      </c>
      <c r="EE380" s="333">
        <f t="shared" si="365"/>
        <v>7.0000000000000062E-2</v>
      </c>
      <c r="EF380" s="700">
        <f t="shared" si="365"/>
        <v>7.0000000000000062E-2</v>
      </c>
      <c r="EG380" s="333">
        <f t="shared" si="365"/>
        <v>7.0000000000000062E-2</v>
      </c>
      <c r="EH380" s="333">
        <f t="shared" si="365"/>
        <v>7.0000000000000062E-2</v>
      </c>
      <c r="EI380" s="700">
        <f t="shared" si="365"/>
        <v>7.0000000000000062E-2</v>
      </c>
      <c r="EJ380" s="333">
        <f t="shared" si="365"/>
        <v>7.0000000000000062E-2</v>
      </c>
      <c r="EK380" s="333">
        <f t="shared" si="365"/>
        <v>7.0000000000000062E-2</v>
      </c>
      <c r="EL380" s="700">
        <f t="shared" si="365"/>
        <v>7.0000000000000284E-2</v>
      </c>
      <c r="EM380" s="333">
        <f t="shared" ref="EM380:FA380" si="366">EM379/EJ379-1</f>
        <v>7.0000000000000062E-2</v>
      </c>
      <c r="EN380" s="333">
        <f t="shared" si="366"/>
        <v>7.0000000000000062E-2</v>
      </c>
      <c r="EO380" s="700">
        <f t="shared" si="366"/>
        <v>6.999999999999984E-2</v>
      </c>
      <c r="EP380" s="333">
        <f t="shared" si="366"/>
        <v>7.0000000000000062E-2</v>
      </c>
      <c r="EQ380" s="333">
        <f t="shared" si="366"/>
        <v>7.0000000000000062E-2</v>
      </c>
      <c r="ER380" s="700">
        <f t="shared" si="366"/>
        <v>7.0000000000000284E-2</v>
      </c>
      <c r="ES380" s="333">
        <f t="shared" si="366"/>
        <v>7.0000000000000062E-2</v>
      </c>
      <c r="ET380" s="333">
        <f t="shared" si="366"/>
        <v>7.0000000000000062E-2</v>
      </c>
      <c r="EU380" s="700">
        <f t="shared" si="366"/>
        <v>7.0000000000000062E-2</v>
      </c>
      <c r="EV380" s="333">
        <f t="shared" si="366"/>
        <v>7.0000000000000062E-2</v>
      </c>
      <c r="EW380" s="333">
        <f t="shared" si="366"/>
        <v>7.0000000000000062E-2</v>
      </c>
      <c r="EX380" s="700">
        <f t="shared" si="366"/>
        <v>6.999999999999984E-2</v>
      </c>
      <c r="EY380" s="333">
        <f t="shared" si="366"/>
        <v>7.0000000000000062E-2</v>
      </c>
      <c r="EZ380" s="333">
        <f t="shared" si="366"/>
        <v>7.0000000000000062E-2</v>
      </c>
      <c r="FA380" s="523">
        <f t="shared" si="366"/>
        <v>7.0000000000000062E-2</v>
      </c>
      <c r="FP380" s="349"/>
      <c r="FQ380" s="349"/>
      <c r="FR380" s="349"/>
    </row>
    <row r="381" spans="1:184" ht="13.35" hidden="1" customHeight="1" outlineLevel="1">
      <c r="A381" s="760"/>
      <c r="B381" s="5"/>
      <c r="E381" s="251"/>
      <c r="F381" s="251"/>
      <c r="G381" s="252"/>
      <c r="H381" s="251"/>
      <c r="I381" s="251"/>
      <c r="J381" s="252"/>
      <c r="K381" s="251"/>
      <c r="L381" s="251"/>
      <c r="M381" s="252"/>
      <c r="N381" s="251"/>
      <c r="O381" s="251"/>
      <c r="P381" s="252"/>
      <c r="Q381" s="251"/>
      <c r="R381" s="251"/>
      <c r="S381" s="252"/>
      <c r="T381" s="251"/>
      <c r="U381" s="251"/>
      <c r="V381" s="252"/>
      <c r="W381" s="251"/>
      <c r="X381" s="251"/>
      <c r="Y381" s="252"/>
      <c r="Z381" s="251"/>
      <c r="AA381" s="251"/>
      <c r="AB381" s="252"/>
      <c r="AC381" s="251"/>
      <c r="AD381" s="251"/>
      <c r="AE381" s="252"/>
      <c r="AF381" s="251"/>
      <c r="AG381" s="251"/>
      <c r="AH381" s="252"/>
      <c r="AI381" s="251"/>
      <c r="AJ381" s="251"/>
      <c r="AK381" s="252"/>
      <c r="AL381" s="251"/>
      <c r="AM381" s="251"/>
      <c r="AN381" s="252"/>
      <c r="AO381" s="251"/>
      <c r="AP381" s="251"/>
      <c r="AQ381" s="252"/>
      <c r="AR381" s="251"/>
      <c r="AS381" s="251"/>
      <c r="AT381" s="252"/>
      <c r="AU381" s="251"/>
      <c r="AV381" s="251"/>
      <c r="AW381" s="252"/>
      <c r="AX381" s="251"/>
      <c r="AY381" s="251"/>
      <c r="AZ381" s="252"/>
      <c r="BA381" s="251"/>
      <c r="BB381" s="251"/>
      <c r="BC381" s="252"/>
      <c r="BD381" s="251"/>
      <c r="BE381" s="251"/>
      <c r="BF381" s="252"/>
      <c r="BG381" s="251"/>
      <c r="BH381" s="251"/>
      <c r="BI381" s="252"/>
      <c r="BJ381" s="251"/>
      <c r="BK381" s="251"/>
      <c r="BL381" s="252"/>
      <c r="BM381" s="450"/>
      <c r="BN381" s="450"/>
      <c r="BO381" s="450"/>
      <c r="BP381" s="198"/>
      <c r="BQ381" s="198"/>
      <c r="BR381" s="79"/>
      <c r="BS381" s="198"/>
      <c r="BT381" s="198"/>
      <c r="BU381" s="254"/>
      <c r="BV381" s="264"/>
      <c r="BW381" s="198"/>
      <c r="BX381" s="79"/>
      <c r="BY381" s="450"/>
      <c r="BZ381" s="450"/>
      <c r="CA381" s="450"/>
      <c r="CB381" s="450"/>
      <c r="CC381" s="450"/>
      <c r="CD381" s="450"/>
      <c r="CE381" s="450"/>
      <c r="CF381" s="450"/>
      <c r="CG381" s="450"/>
      <c r="CH381" s="450"/>
      <c r="CI381" s="450"/>
      <c r="CJ381" s="450"/>
      <c r="CK381" s="450"/>
      <c r="CL381" s="450"/>
      <c r="CM381" s="450"/>
      <c r="CN381" s="450"/>
      <c r="CO381" s="450"/>
      <c r="CP381" s="450"/>
      <c r="CQ381" s="450"/>
      <c r="CR381" s="450"/>
      <c r="CS381" s="450"/>
      <c r="CT381" s="450"/>
      <c r="CU381" s="450"/>
      <c r="CV381" s="450"/>
      <c r="CW381" s="451"/>
      <c r="CX381" s="451"/>
      <c r="CY381" s="451"/>
      <c r="CZ381" s="451"/>
      <c r="DA381" s="451"/>
      <c r="DB381" s="451"/>
      <c r="DC381" s="451"/>
      <c r="DD381" s="451"/>
      <c r="DE381" s="808"/>
      <c r="DF381" s="451"/>
      <c r="DG381" s="451"/>
      <c r="DH381" s="808"/>
      <c r="DI381" s="451"/>
      <c r="DJ381" s="10"/>
      <c r="DK381" s="719"/>
      <c r="DL381" s="10"/>
      <c r="DM381" s="10"/>
      <c r="DN381" s="736"/>
      <c r="DO381" s="10"/>
      <c r="DP381" s="10"/>
      <c r="DQ381" s="736"/>
      <c r="DR381" s="450"/>
      <c r="DS381" s="450"/>
      <c r="DT381" s="736"/>
      <c r="DU381" s="450"/>
      <c r="DV381" s="450"/>
      <c r="DW381" s="736"/>
      <c r="DX381" s="450"/>
      <c r="DY381" s="450"/>
      <c r="DZ381" s="736"/>
      <c r="EA381" s="450"/>
      <c r="EB381" s="450"/>
      <c r="EC381" s="736"/>
      <c r="ED381" s="450"/>
      <c r="EE381" s="450"/>
      <c r="EF381" s="736"/>
      <c r="EG381" s="450"/>
      <c r="EH381" s="450"/>
      <c r="EI381" s="736"/>
      <c r="EJ381" s="450"/>
      <c r="EK381" s="450"/>
      <c r="EL381" s="736"/>
      <c r="EM381" s="450"/>
      <c r="EN381" s="450"/>
      <c r="EO381" s="736"/>
      <c r="EP381" s="450"/>
      <c r="EQ381" s="450"/>
      <c r="ER381" s="736"/>
      <c r="ES381" s="450"/>
      <c r="ET381" s="450"/>
      <c r="EU381" s="736"/>
      <c r="EV381" s="450"/>
      <c r="EW381" s="450"/>
      <c r="EX381" s="736"/>
      <c r="EY381" s="450"/>
      <c r="EZ381" s="450"/>
      <c r="FA381" s="609"/>
      <c r="FP381" s="217"/>
      <c r="FQ381" s="217"/>
      <c r="FR381" s="217"/>
    </row>
    <row r="382" spans="1:184" s="452" customFormat="1" ht="13.35" hidden="1" customHeight="1" outlineLevel="1">
      <c r="A382" s="992"/>
      <c r="B382" s="11"/>
      <c r="C382" s="452" t="s">
        <v>642</v>
      </c>
      <c r="D382" s="16" t="s">
        <v>406</v>
      </c>
      <c r="E382" s="267"/>
      <c r="F382" s="267"/>
      <c r="G382" s="419"/>
      <c r="H382" s="267"/>
      <c r="I382" s="267"/>
      <c r="J382" s="419"/>
      <c r="K382" s="267"/>
      <c r="L382" s="267"/>
      <c r="M382" s="419"/>
      <c r="N382" s="267"/>
      <c r="O382" s="267"/>
      <c r="P382" s="419"/>
      <c r="Q382" s="267"/>
      <c r="R382" s="267"/>
      <c r="S382" s="419"/>
      <c r="T382" s="267"/>
      <c r="U382" s="267"/>
      <c r="V382" s="419"/>
      <c r="W382" s="267"/>
      <c r="X382" s="267"/>
      <c r="Y382" s="419"/>
      <c r="Z382" s="267"/>
      <c r="AA382" s="267"/>
      <c r="AB382" s="419"/>
      <c r="AC382" s="267"/>
      <c r="AD382" s="267"/>
      <c r="AE382" s="419"/>
      <c r="AF382" s="267"/>
      <c r="AG382" s="267"/>
      <c r="AH382" s="419"/>
      <c r="AI382" s="267"/>
      <c r="AJ382" s="267"/>
      <c r="AK382" s="419"/>
      <c r="AL382" s="267"/>
      <c r="AM382" s="267"/>
      <c r="AN382" s="419"/>
      <c r="AO382" s="267"/>
      <c r="AP382" s="267"/>
      <c r="AQ382" s="419"/>
      <c r="AR382" s="267"/>
      <c r="AS382" s="267"/>
      <c r="AT382" s="419"/>
      <c r="AU382" s="267"/>
      <c r="AV382" s="267"/>
      <c r="AW382" s="419"/>
      <c r="AX382" s="267"/>
      <c r="AY382" s="267"/>
      <c r="AZ382" s="419"/>
      <c r="BA382" s="267"/>
      <c r="BB382" s="267"/>
      <c r="BC382" s="419"/>
      <c r="BD382" s="267"/>
      <c r="BE382" s="267"/>
      <c r="BF382" s="419"/>
      <c r="BG382" s="267"/>
      <c r="BH382" s="267"/>
      <c r="BI382" s="419"/>
      <c r="BJ382" s="267"/>
      <c r="BK382" s="267"/>
      <c r="BL382" s="419"/>
      <c r="BM382" s="267"/>
      <c r="BN382" s="267"/>
      <c r="BO382" s="114"/>
      <c r="BP382" s="267"/>
      <c r="BQ382" s="267"/>
      <c r="BR382" s="114"/>
      <c r="BS382" s="267"/>
      <c r="BT382" s="267"/>
      <c r="BU382" s="453"/>
      <c r="BV382" s="267"/>
      <c r="BW382" s="267"/>
      <c r="BX382" s="114"/>
      <c r="BY382" s="267"/>
      <c r="BZ382" s="267"/>
      <c r="CA382" s="114"/>
      <c r="CB382" s="267"/>
      <c r="CC382" s="267"/>
      <c r="CD382" s="114"/>
      <c r="CE382" s="267"/>
      <c r="CF382" s="267"/>
      <c r="CG382" s="114"/>
      <c r="CH382" s="267"/>
      <c r="CI382" s="267"/>
      <c r="CJ382" s="114"/>
      <c r="CK382" s="267"/>
      <c r="CL382" s="267"/>
      <c r="CM382" s="114"/>
      <c r="CN382" s="267"/>
      <c r="CO382" s="267"/>
      <c r="CP382" s="114"/>
      <c r="CQ382" s="267"/>
      <c r="CR382" s="267"/>
      <c r="CS382" s="114"/>
      <c r="CT382" s="267"/>
      <c r="CU382" s="267"/>
      <c r="CV382" s="114"/>
      <c r="CW382" s="267"/>
      <c r="CX382" s="267"/>
      <c r="CY382" s="530"/>
      <c r="CZ382" s="524"/>
      <c r="DA382" s="524"/>
      <c r="DB382" s="530"/>
      <c r="DC382" s="524"/>
      <c r="DD382" s="524"/>
      <c r="DE382" s="809"/>
      <c r="DF382" s="524"/>
      <c r="DG382" s="524"/>
      <c r="DH382" s="809"/>
      <c r="DI382" s="610">
        <f>DI385/DI379</f>
        <v>141.37519592198157</v>
      </c>
      <c r="DJ382" s="610">
        <f>DJ385/DJ379</f>
        <v>163.97770177979984</v>
      </c>
      <c r="DK382" s="720">
        <f>DK385/DK379</f>
        <v>152.2303142842857</v>
      </c>
      <c r="DL382" s="610">
        <v>187.34371429266471</v>
      </c>
      <c r="DM382" s="610">
        <v>202.32626734552062</v>
      </c>
      <c r="DN382" s="737">
        <f>DN385/DN379</f>
        <v>194.68169403425952</v>
      </c>
      <c r="DO382" s="610">
        <f>DO385/DO379</f>
        <v>201.7297243583084</v>
      </c>
      <c r="DP382" s="610">
        <f>DP385/DP379</f>
        <v>206.09522507084</v>
      </c>
      <c r="DQ382" s="720">
        <f t="shared" ref="DQ382:DY382" si="367">DQ385/DQ379</f>
        <v>204.01472291301459</v>
      </c>
      <c r="DR382" s="610">
        <f t="shared" si="367"/>
        <v>177.17393673983202</v>
      </c>
      <c r="DS382" s="610">
        <f t="shared" si="367"/>
        <v>181.20553554726305</v>
      </c>
      <c r="DT382" s="720">
        <f t="shared" si="367"/>
        <v>179.30383799658804</v>
      </c>
      <c r="DU382" s="610">
        <f t="shared" si="367"/>
        <v>145.34181249380109</v>
      </c>
      <c r="DV382" s="610">
        <f>DV385/DV379</f>
        <v>149.98715569923914</v>
      </c>
      <c r="DW382" s="720">
        <f>DW385/DW379</f>
        <v>147.79595607403252</v>
      </c>
      <c r="DX382" s="610">
        <f t="shared" si="367"/>
        <v>178.32079328821405</v>
      </c>
      <c r="DY382" s="610">
        <f t="shared" si="367"/>
        <v>141.2956619127568</v>
      </c>
      <c r="DZ382" s="720">
        <f>DZ385/DZ379</f>
        <v>158.13751570435855</v>
      </c>
      <c r="EA382" s="524">
        <f>(1+EA383)*DX382</f>
        <v>218.78291438187603</v>
      </c>
      <c r="EB382" s="524">
        <f>(1+EB383)*DY382</f>
        <v>173.35654543004068</v>
      </c>
      <c r="EC382" s="720">
        <f>EC385/EC379</f>
        <v>136.72983916294046</v>
      </c>
      <c r="ED382" s="524">
        <f>(1+ED383)*EA382</f>
        <v>229.72206010096983</v>
      </c>
      <c r="EE382" s="524">
        <f>(1+EE383)*EB382</f>
        <v>182.02437270154272</v>
      </c>
      <c r="EF382" s="720">
        <f>EF385/EF379</f>
        <v>203.72091900768677</v>
      </c>
      <c r="EG382" s="524">
        <f>(1+EG383)*ED382</f>
        <v>241.20816310601833</v>
      </c>
      <c r="EH382" s="524">
        <f>(1+EH383)*EE382</f>
        <v>191.12559133661986</v>
      </c>
      <c r="EI382" s="720">
        <f>EI385/EI379</f>
        <v>213.90696495807111</v>
      </c>
      <c r="EJ382" s="524">
        <f>(1+EJ383)*EG382</f>
        <v>253.26857126131927</v>
      </c>
      <c r="EK382" s="524">
        <f>(1+EK383)*EH382</f>
        <v>200.68187090345086</v>
      </c>
      <c r="EL382" s="720">
        <f>EL385/EL379</f>
        <v>224.60231320597467</v>
      </c>
      <c r="EM382" s="524">
        <f>(1+EM383)*EJ382</f>
        <v>265.93199982438523</v>
      </c>
      <c r="EN382" s="524">
        <f>(1+EN383)*EK382</f>
        <v>210.7159644486234</v>
      </c>
      <c r="EO382" s="720">
        <f>EO385/EO379</f>
        <v>235.83242886627346</v>
      </c>
      <c r="EP382" s="524">
        <f>(1+EP383)*EM382</f>
        <v>279.22859981560453</v>
      </c>
      <c r="EQ382" s="524">
        <f>(1+EQ383)*EN382</f>
        <v>221.25176267105456</v>
      </c>
      <c r="ER382" s="720">
        <f>ER385/ER379</f>
        <v>247.62405030958709</v>
      </c>
      <c r="ES382" s="524">
        <f>(1+ES383)*EP382</f>
        <v>293.19002980638476</v>
      </c>
      <c r="ET382" s="524">
        <f>(1+ET383)*EQ382</f>
        <v>232.3143508046073</v>
      </c>
      <c r="EU382" s="720">
        <f>EU385/EU379</f>
        <v>260.00525282506641</v>
      </c>
      <c r="EV382" s="524">
        <f>(1+EV383)*ES382</f>
        <v>307.84953129670401</v>
      </c>
      <c r="EW382" s="524">
        <f>(1+EW383)*ET382</f>
        <v>243.93006834483768</v>
      </c>
      <c r="EX382" s="720">
        <f>EX385/EX379</f>
        <v>273.00551546631982</v>
      </c>
      <c r="EY382" s="524">
        <f>(1+EY383)*EV382</f>
        <v>323.24200786153921</v>
      </c>
      <c r="EZ382" s="524">
        <f>(1+EZ383)*EW382</f>
        <v>256.12657176207955</v>
      </c>
      <c r="FA382" s="612">
        <f>FA385/FA379</f>
        <v>286.65579123963579</v>
      </c>
      <c r="FB382" s="11"/>
      <c r="FC382" s="11"/>
      <c r="FD382" s="11"/>
      <c r="FE382" s="11"/>
      <c r="FF382" s="11"/>
      <c r="FG382" s="11"/>
      <c r="FH382" s="11"/>
      <c r="FI382" s="11"/>
      <c r="FJ382" s="11"/>
      <c r="FK382" s="11"/>
      <c r="FL382" s="11"/>
      <c r="FM382" s="11"/>
      <c r="FN382" s="11"/>
      <c r="FO382" s="11"/>
      <c r="FP382" s="423"/>
      <c r="FQ382" s="423"/>
      <c r="FR382" s="423"/>
      <c r="FS382" s="423"/>
      <c r="FT382" s="423"/>
      <c r="FU382" s="423"/>
      <c r="FV382" s="423"/>
      <c r="FW382" s="423"/>
      <c r="FX382" s="423"/>
      <c r="FY382" s="423"/>
      <c r="FZ382" s="423"/>
      <c r="GA382" s="423"/>
      <c r="GB382" s="423"/>
    </row>
    <row r="383" spans="1:184" ht="13.35" hidden="1" customHeight="1" outlineLevel="1">
      <c r="A383" s="760"/>
      <c r="B383" s="442"/>
      <c r="C383" s="4" t="s">
        <v>178</v>
      </c>
      <c r="D383" s="250" t="s">
        <v>507</v>
      </c>
      <c r="E383" s="251"/>
      <c r="F383" s="251"/>
      <c r="G383" s="252"/>
      <c r="H383" s="251"/>
      <c r="I383" s="251"/>
      <c r="J383" s="252"/>
      <c r="K383" s="251"/>
      <c r="L383" s="251"/>
      <c r="M383" s="252"/>
      <c r="N383" s="251"/>
      <c r="O383" s="251"/>
      <c r="P383" s="252"/>
      <c r="Q383" s="251"/>
      <c r="R383" s="251"/>
      <c r="S383" s="252"/>
      <c r="T383" s="251"/>
      <c r="U383" s="251"/>
      <c r="V383" s="252"/>
      <c r="W383" s="251"/>
      <c r="X383" s="251"/>
      <c r="Y383" s="252"/>
      <c r="Z383" s="251"/>
      <c r="AA383" s="251"/>
      <c r="AB383" s="252"/>
      <c r="AC383" s="251"/>
      <c r="AD383" s="251"/>
      <c r="AE383" s="252"/>
      <c r="AF383" s="251"/>
      <c r="AG383" s="251"/>
      <c r="AH383" s="252"/>
      <c r="AI383" s="251"/>
      <c r="AJ383" s="251"/>
      <c r="AK383" s="252"/>
      <c r="AL383" s="251"/>
      <c r="AM383" s="251"/>
      <c r="AN383" s="252"/>
      <c r="AO383" s="251"/>
      <c r="AP383" s="251"/>
      <c r="AQ383" s="252"/>
      <c r="AR383" s="251"/>
      <c r="AS383" s="251"/>
      <c r="AT383" s="252"/>
      <c r="AU383" s="251"/>
      <c r="AV383" s="251"/>
      <c r="AW383" s="252"/>
      <c r="AX383" s="251"/>
      <c r="AY383" s="251"/>
      <c r="AZ383" s="252"/>
      <c r="BA383" s="251"/>
      <c r="BB383" s="251"/>
      <c r="BC383" s="252"/>
      <c r="BD383" s="251"/>
      <c r="BE383" s="251"/>
      <c r="BF383" s="252"/>
      <c r="BG383" s="251"/>
      <c r="BH383" s="251"/>
      <c r="BI383" s="252"/>
      <c r="BJ383" s="251"/>
      <c r="BK383" s="251"/>
      <c r="BL383" s="252"/>
      <c r="BM383" s="251"/>
      <c r="BN383" s="198"/>
      <c r="BO383" s="79"/>
      <c r="BP383" s="259"/>
      <c r="BQ383" s="259"/>
      <c r="BR383" s="260"/>
      <c r="BS383" s="259"/>
      <c r="BT383" s="259"/>
      <c r="BU383" s="261"/>
      <c r="BV383" s="259"/>
      <c r="BW383" s="259"/>
      <c r="BX383" s="260"/>
      <c r="BY383" s="259"/>
      <c r="BZ383" s="259"/>
      <c r="CA383" s="260"/>
      <c r="CB383" s="259"/>
      <c r="CC383" s="259"/>
      <c r="CD383" s="260"/>
      <c r="CE383" s="259"/>
      <c r="CF383" s="259"/>
      <c r="CG383" s="260"/>
      <c r="CH383" s="259"/>
      <c r="CI383" s="259"/>
      <c r="CJ383" s="260"/>
      <c r="CK383" s="259"/>
      <c r="CL383" s="259"/>
      <c r="CM383" s="260"/>
      <c r="CN383" s="259"/>
      <c r="CO383" s="259"/>
      <c r="CP383" s="260"/>
      <c r="CQ383" s="259"/>
      <c r="CR383" s="259"/>
      <c r="CS383" s="260"/>
      <c r="CT383" s="259"/>
      <c r="CU383" s="259"/>
      <c r="CV383" s="260"/>
      <c r="CW383" s="259"/>
      <c r="CX383" s="259"/>
      <c r="CY383" s="334"/>
      <c r="CZ383" s="333"/>
      <c r="DA383" s="333"/>
      <c r="DB383" s="334"/>
      <c r="DC383" s="333"/>
      <c r="DD383" s="333"/>
      <c r="DE383" s="788"/>
      <c r="DF383" s="333"/>
      <c r="DG383" s="333"/>
      <c r="DH383" s="788"/>
      <c r="DI383" s="334"/>
      <c r="DJ383" s="334"/>
      <c r="DK383" s="700"/>
      <c r="DL383" s="334">
        <f t="shared" ref="DL383:DQ383" si="368">DL382/DI382-1</f>
        <v>0.32515264131659305</v>
      </c>
      <c r="DM383" s="334">
        <f t="shared" si="368"/>
        <v>0.23386451419606913</v>
      </c>
      <c r="DN383" s="700">
        <f t="shared" si="368"/>
        <v>0.27886285297090763</v>
      </c>
      <c r="DO383" s="334">
        <f t="shared" si="368"/>
        <v>7.6789392801138501E-2</v>
      </c>
      <c r="DP383" s="334">
        <f t="shared" si="368"/>
        <v>1.862811870533343E-2</v>
      </c>
      <c r="DQ383" s="700">
        <f t="shared" si="368"/>
        <v>4.7939940758439548E-2</v>
      </c>
      <c r="DR383" s="333">
        <v>5.0000000000000001E-3</v>
      </c>
      <c r="DS383" s="333">
        <f>DR383</f>
        <v>5.0000000000000001E-3</v>
      </c>
      <c r="DT383" s="700">
        <f>DT382/DQ382-1</f>
        <v>-0.12112304721734468</v>
      </c>
      <c r="DU383" s="333">
        <f>DR383</f>
        <v>5.0000000000000001E-3</v>
      </c>
      <c r="DV383" s="333">
        <f>DU383</f>
        <v>5.0000000000000001E-3</v>
      </c>
      <c r="DW383" s="700">
        <f>DW382/DT382-1</f>
        <v>-0.17572341046684725</v>
      </c>
      <c r="DX383" s="333">
        <f>DX382/DU382-1</f>
        <v>0.22690635425933969</v>
      </c>
      <c r="DY383" s="333">
        <f>DX383</f>
        <v>0.22690635425933969</v>
      </c>
      <c r="DZ383" s="700">
        <f>DZ382/DW382-1</f>
        <v>6.9971871389673534E-2</v>
      </c>
      <c r="EA383" s="333">
        <f>DY383</f>
        <v>0.22690635425933969</v>
      </c>
      <c r="EB383" s="333">
        <f>EA383</f>
        <v>0.22690635425933969</v>
      </c>
      <c r="EC383" s="700">
        <f>EC382/DZ382-1</f>
        <v>-0.1353738007459292</v>
      </c>
      <c r="ED383" s="333">
        <v>0.05</v>
      </c>
      <c r="EE383" s="333">
        <f>ED383</f>
        <v>0.05</v>
      </c>
      <c r="EF383" s="700">
        <f>EF382/EC382-1</f>
        <v>0.48995215861340458</v>
      </c>
      <c r="EG383" s="333">
        <f>ED383</f>
        <v>0.05</v>
      </c>
      <c r="EH383" s="333">
        <f>EG383</f>
        <v>0.05</v>
      </c>
      <c r="EI383" s="700">
        <f>EI382/EF382-1</f>
        <v>5.0000000000000044E-2</v>
      </c>
      <c r="EJ383" s="333">
        <f>EG383</f>
        <v>0.05</v>
      </c>
      <c r="EK383" s="333">
        <f>EH383</f>
        <v>0.05</v>
      </c>
      <c r="EL383" s="700">
        <f>EL382/EI382-1</f>
        <v>5.0000000000000044E-2</v>
      </c>
      <c r="EM383" s="333">
        <f>EJ383</f>
        <v>0.05</v>
      </c>
      <c r="EN383" s="333">
        <f>EK383</f>
        <v>0.05</v>
      </c>
      <c r="EO383" s="700">
        <f>EO382/EL382-1</f>
        <v>5.0000000000000266E-2</v>
      </c>
      <c r="EP383" s="333">
        <f>EM383</f>
        <v>0.05</v>
      </c>
      <c r="EQ383" s="333">
        <f>EN383</f>
        <v>0.05</v>
      </c>
      <c r="ER383" s="700">
        <f>ER382/EO382-1</f>
        <v>4.9999999999999822E-2</v>
      </c>
      <c r="ES383" s="333">
        <f>EP383</f>
        <v>0.05</v>
      </c>
      <c r="ET383" s="333">
        <f>EQ383</f>
        <v>0.05</v>
      </c>
      <c r="EU383" s="700">
        <f>EU382/ER382-1</f>
        <v>4.9999999999999822E-2</v>
      </c>
      <c r="EV383" s="333">
        <f>ES383</f>
        <v>0.05</v>
      </c>
      <c r="EW383" s="333">
        <f>ET383</f>
        <v>0.05</v>
      </c>
      <c r="EX383" s="700">
        <f>EX382/EU382-1</f>
        <v>5.0000000000000266E-2</v>
      </c>
      <c r="EY383" s="333">
        <f>EV383</f>
        <v>0.05</v>
      </c>
      <c r="EZ383" s="333">
        <f>EW383</f>
        <v>0.05</v>
      </c>
      <c r="FA383" s="523">
        <f>FA382/EX382-1</f>
        <v>4.9999999999999822E-2</v>
      </c>
      <c r="FB383" s="217"/>
      <c r="FC383" s="217"/>
      <c r="FD383" s="217"/>
      <c r="FE383" s="217"/>
      <c r="FF383" s="217"/>
      <c r="FG383" s="217"/>
      <c r="FH383" s="217"/>
      <c r="FI383" s="217"/>
      <c r="FJ383" s="217"/>
      <c r="FK383" s="217"/>
      <c r="FL383" s="217"/>
      <c r="FM383" s="217"/>
      <c r="FN383" s="217"/>
      <c r="FO383" s="217"/>
    </row>
    <row r="384" spans="1:184" ht="13.35" hidden="1" customHeight="1" outlineLevel="1">
      <c r="A384" s="760"/>
      <c r="B384" s="4"/>
      <c r="C384" s="4"/>
      <c r="D384" s="250"/>
      <c r="E384" s="251"/>
      <c r="F384" s="251"/>
      <c r="G384" s="252"/>
      <c r="H384" s="251"/>
      <c r="I384" s="251"/>
      <c r="J384" s="252"/>
      <c r="K384" s="251"/>
      <c r="L384" s="251"/>
      <c r="M384" s="252"/>
      <c r="N384" s="251"/>
      <c r="O384" s="251"/>
      <c r="P384" s="252"/>
      <c r="Q384" s="251"/>
      <c r="R384" s="251"/>
      <c r="S384" s="252"/>
      <c r="T384" s="251"/>
      <c r="U384" s="251"/>
      <c r="V384" s="252"/>
      <c r="W384" s="251"/>
      <c r="X384" s="251"/>
      <c r="Y384" s="252"/>
      <c r="Z384" s="251"/>
      <c r="AA384" s="251"/>
      <c r="AB384" s="252"/>
      <c r="AC384" s="251"/>
      <c r="AD384" s="251"/>
      <c r="AE384" s="252"/>
      <c r="AF384" s="251"/>
      <c r="AG384" s="251"/>
      <c r="AH384" s="252"/>
      <c r="AI384" s="251"/>
      <c r="AJ384" s="251"/>
      <c r="AK384" s="252"/>
      <c r="AL384" s="251"/>
      <c r="AM384" s="251"/>
      <c r="AN384" s="252"/>
      <c r="AO384" s="251"/>
      <c r="AP384" s="251"/>
      <c r="AQ384" s="252"/>
      <c r="AR384" s="251"/>
      <c r="AS384" s="251"/>
      <c r="AT384" s="252"/>
      <c r="AU384" s="251"/>
      <c r="AV384" s="251"/>
      <c r="AW384" s="252"/>
      <c r="AX384" s="251"/>
      <c r="AY384" s="251"/>
      <c r="AZ384" s="252"/>
      <c r="BA384" s="251"/>
      <c r="BB384" s="251"/>
      <c r="BC384" s="252"/>
      <c r="BD384" s="251"/>
      <c r="BE384" s="251"/>
      <c r="BF384" s="252"/>
      <c r="BG384" s="251"/>
      <c r="BH384" s="251"/>
      <c r="BI384" s="252"/>
      <c r="BJ384" s="251"/>
      <c r="BK384" s="251"/>
      <c r="BL384" s="252"/>
      <c r="BM384" s="251"/>
      <c r="BN384" s="198"/>
      <c r="BO384" s="79"/>
      <c r="BP384" s="198"/>
      <c r="BQ384" s="198"/>
      <c r="BR384" s="79"/>
      <c r="BS384" s="198"/>
      <c r="BT384" s="198"/>
      <c r="BU384" s="254"/>
      <c r="BV384" s="198"/>
      <c r="BW384" s="198"/>
      <c r="BX384" s="79"/>
      <c r="BY384" s="198"/>
      <c r="BZ384" s="198"/>
      <c r="CA384" s="79"/>
      <c r="CB384" s="198"/>
      <c r="CC384" s="198"/>
      <c r="CD384" s="79"/>
      <c r="CE384" s="198"/>
      <c r="CF384" s="198"/>
      <c r="CG384" s="79"/>
      <c r="CH384" s="198"/>
      <c r="CI384" s="198"/>
      <c r="CJ384" s="79"/>
      <c r="CK384" s="198"/>
      <c r="CL384" s="198"/>
      <c r="CM384" s="79"/>
      <c r="CN384" s="198"/>
      <c r="CO384" s="198"/>
      <c r="CP384" s="79"/>
      <c r="CQ384" s="198"/>
      <c r="CR384" s="198"/>
      <c r="CS384" s="79"/>
      <c r="CT384" s="198"/>
      <c r="CU384" s="198"/>
      <c r="CV384" s="79"/>
      <c r="CW384" s="198"/>
      <c r="CX384" s="198"/>
      <c r="CY384" s="488"/>
      <c r="CZ384" s="531"/>
      <c r="DA384" s="531"/>
      <c r="DB384" s="488"/>
      <c r="DC384" s="531"/>
      <c r="DD384" s="531"/>
      <c r="DE384" s="783"/>
      <c r="DF384" s="489"/>
      <c r="DG384" s="489"/>
      <c r="DH384" s="783"/>
      <c r="DI384" s="489"/>
      <c r="DJ384" s="489"/>
      <c r="DK384" s="696"/>
      <c r="DL384" s="489"/>
      <c r="DM384" s="489"/>
      <c r="DN384" s="696"/>
      <c r="DO384" s="489"/>
      <c r="DP384" s="489"/>
      <c r="DQ384" s="696"/>
      <c r="DR384" s="489"/>
      <c r="DS384" s="489"/>
      <c r="DT384" s="696"/>
      <c r="DU384" s="489"/>
      <c r="DV384" s="489"/>
      <c r="DW384" s="696"/>
      <c r="DX384" s="489"/>
      <c r="DY384" s="489"/>
      <c r="DZ384" s="696"/>
      <c r="EA384" s="489"/>
      <c r="EB384" s="489"/>
      <c r="EC384" s="696"/>
      <c r="ED384" s="489"/>
      <c r="EE384" s="489"/>
      <c r="EF384" s="696"/>
      <c r="EG384" s="489"/>
      <c r="EH384" s="489"/>
      <c r="EI384" s="696"/>
      <c r="EJ384" s="489"/>
      <c r="EK384" s="489"/>
      <c r="EL384" s="696"/>
      <c r="EM384" s="489"/>
      <c r="EN384" s="489"/>
      <c r="EO384" s="696"/>
      <c r="EP384" s="489"/>
      <c r="EQ384" s="489"/>
      <c r="ER384" s="696"/>
      <c r="ES384" s="489"/>
      <c r="ET384" s="489"/>
      <c r="EU384" s="696"/>
      <c r="EV384" s="489"/>
      <c r="EW384" s="489"/>
      <c r="EX384" s="696"/>
      <c r="EY384" s="489"/>
      <c r="EZ384" s="489"/>
      <c r="FA384" s="536"/>
    </row>
    <row r="385" spans="1:157" ht="13.35" hidden="1" customHeight="1" outlineLevel="1">
      <c r="A385" s="760"/>
      <c r="B385" s="4"/>
      <c r="C385" s="4" t="s">
        <v>643</v>
      </c>
      <c r="D385" s="250" t="s">
        <v>357</v>
      </c>
      <c r="E385" s="251"/>
      <c r="F385" s="251"/>
      <c r="G385" s="252"/>
      <c r="H385" s="251"/>
      <c r="I385" s="251"/>
      <c r="J385" s="252"/>
      <c r="K385" s="251"/>
      <c r="L385" s="251"/>
      <c r="M385" s="252"/>
      <c r="N385" s="251"/>
      <c r="O385" s="251"/>
      <c r="P385" s="252"/>
      <c r="Q385" s="251"/>
      <c r="R385" s="251"/>
      <c r="S385" s="252"/>
      <c r="T385" s="251"/>
      <c r="U385" s="251"/>
      <c r="V385" s="252"/>
      <c r="W385" s="251"/>
      <c r="X385" s="251"/>
      <c r="Y385" s="252"/>
      <c r="Z385" s="251"/>
      <c r="AA385" s="251"/>
      <c r="AB385" s="252"/>
      <c r="AC385" s="251"/>
      <c r="AD385" s="251"/>
      <c r="AE385" s="252"/>
      <c r="AF385" s="251"/>
      <c r="AG385" s="251"/>
      <c r="AH385" s="252"/>
      <c r="AI385" s="251"/>
      <c r="AJ385" s="251"/>
      <c r="AK385" s="252"/>
      <c r="AL385" s="251"/>
      <c r="AM385" s="251"/>
      <c r="AN385" s="252"/>
      <c r="AO385" s="251"/>
      <c r="AP385" s="251"/>
      <c r="AQ385" s="252"/>
      <c r="AR385" s="251"/>
      <c r="AS385" s="251"/>
      <c r="AT385" s="252"/>
      <c r="AU385" s="251"/>
      <c r="AV385" s="251"/>
      <c r="AW385" s="252"/>
      <c r="AX385" s="251"/>
      <c r="AY385" s="251"/>
      <c r="AZ385" s="252"/>
      <c r="BA385" s="251"/>
      <c r="BB385" s="251"/>
      <c r="BC385" s="252"/>
      <c r="BD385" s="251"/>
      <c r="BE385" s="251"/>
      <c r="BF385" s="252"/>
      <c r="BG385" s="251"/>
      <c r="BH385" s="251"/>
      <c r="BI385" s="252"/>
      <c r="BJ385" s="251"/>
      <c r="BK385" s="251"/>
      <c r="BL385" s="252"/>
      <c r="BM385" s="198"/>
      <c r="BN385" s="198"/>
      <c r="BO385" s="79"/>
      <c r="BP385" s="198"/>
      <c r="BQ385" s="198"/>
      <c r="BR385" s="79"/>
      <c r="BS385" s="198"/>
      <c r="BT385" s="198"/>
      <c r="BU385" s="254"/>
      <c r="BV385" s="198"/>
      <c r="BW385" s="198"/>
      <c r="BX385" s="79"/>
      <c r="BY385" s="198"/>
      <c r="BZ385" s="198"/>
      <c r="CA385" s="79"/>
      <c r="CB385" s="198"/>
      <c r="CC385" s="198"/>
      <c r="CD385" s="79"/>
      <c r="CE385" s="198"/>
      <c r="CF385" s="198"/>
      <c r="CG385" s="79"/>
      <c r="CH385" s="198"/>
      <c r="CI385" s="198"/>
      <c r="CJ385" s="79"/>
      <c r="CK385" s="198"/>
      <c r="CL385" s="198"/>
      <c r="CM385" s="79"/>
      <c r="CN385" s="198"/>
      <c r="CO385" s="198"/>
      <c r="CP385" s="79"/>
      <c r="CQ385" s="198"/>
      <c r="CR385" s="198"/>
      <c r="CS385" s="79"/>
      <c r="CT385" s="198"/>
      <c r="CU385" s="198"/>
      <c r="CV385" s="79"/>
      <c r="CW385" s="198"/>
      <c r="CX385" s="198"/>
      <c r="CY385" s="488"/>
      <c r="CZ385" s="489"/>
      <c r="DA385" s="489"/>
      <c r="DB385" s="488"/>
      <c r="DC385" s="489"/>
      <c r="DD385" s="489"/>
      <c r="DE385" s="783"/>
      <c r="DF385" s="489"/>
      <c r="DG385" s="489"/>
      <c r="DH385" s="783"/>
      <c r="DI385" s="489">
        <v>1162.3722461501061</v>
      </c>
      <c r="DJ385" s="489">
        <v>1245.8050187476179</v>
      </c>
      <c r="DK385" s="696">
        <v>2408.1772648977239</v>
      </c>
      <c r="DL385" s="489">
        <f>DL382*DL379</f>
        <v>1259.8150009097455</v>
      </c>
      <c r="DM385" s="489">
        <f>DM382*DM379</f>
        <v>1306.0000000000007</v>
      </c>
      <c r="DN385" s="696">
        <f>SUM(DL385:DM385)</f>
        <v>2565.8150009097462</v>
      </c>
      <c r="DO385" s="489">
        <v>1530.1387311482836</v>
      </c>
      <c r="DP385" s="489">
        <v>1716.9063314611867</v>
      </c>
      <c r="DQ385" s="696">
        <f>SUM(DO385:DP385)</f>
        <v>3247.0450626094703</v>
      </c>
      <c r="DR385" s="489">
        <v>1560.6809945761213</v>
      </c>
      <c r="DS385" s="489">
        <v>1787.7376634611076</v>
      </c>
      <c r="DT385" s="696">
        <f>SUM(DR385:DS385)</f>
        <v>3348.4186580372289</v>
      </c>
      <c r="DU385" s="489">
        <v>1546.7576388906341</v>
      </c>
      <c r="DV385" s="489">
        <v>1787.7376634611076</v>
      </c>
      <c r="DW385" s="696">
        <f>SUM(DU385:DV385)</f>
        <v>3334.4953023517419</v>
      </c>
      <c r="DX385" s="489">
        <v>1897.7267756540923</v>
      </c>
      <c r="DY385" s="489">
        <v>1802.0312844723856</v>
      </c>
      <c r="DZ385" s="696">
        <f>SUM(DX385:DY385)</f>
        <v>3699.7580601264781</v>
      </c>
      <c r="EA385" s="489">
        <v>1557.0643258175742</v>
      </c>
      <c r="EB385" s="489">
        <v>1865.7669663472711</v>
      </c>
      <c r="EC385" s="696">
        <f>SUM(EA385:EB385)</f>
        <v>3422.8312921648453</v>
      </c>
      <c r="ED385" s="489">
        <f>ED382*ED379</f>
        <v>2798.9939220078659</v>
      </c>
      <c r="EE385" s="489">
        <f>EE382*EE379</f>
        <v>2657.8507913857911</v>
      </c>
      <c r="EF385" s="696">
        <f>SUM(ED385:EE385)</f>
        <v>5456.844713393657</v>
      </c>
      <c r="EG385" s="489">
        <f>EG382*EG379</f>
        <v>3144.6696713758379</v>
      </c>
      <c r="EH385" s="489">
        <f>EH382*EH379</f>
        <v>2986.0953641219367</v>
      </c>
      <c r="EI385" s="696">
        <f>SUM(EG385:EH385)</f>
        <v>6130.7650354977741</v>
      </c>
      <c r="EJ385" s="489">
        <f>EJ382*EJ379</f>
        <v>3533.0363757907544</v>
      </c>
      <c r="EK385" s="489">
        <f>EK382*EK379</f>
        <v>3354.8781415909962</v>
      </c>
      <c r="EL385" s="696">
        <f>SUM(EJ385:EK385)</f>
        <v>6887.9145173817506</v>
      </c>
      <c r="EM385" s="489">
        <f>EM382*EM379</f>
        <v>3969.3663682009128</v>
      </c>
      <c r="EN385" s="489">
        <f>EN382*EN379</f>
        <v>3769.2055920774842</v>
      </c>
      <c r="EO385" s="696">
        <f>SUM(EM385:EN385)</f>
        <v>7738.5719602783975</v>
      </c>
      <c r="EP385" s="489">
        <f>EP382*EP379</f>
        <v>4459.5831146737264</v>
      </c>
      <c r="EQ385" s="489">
        <f>EQ382*EQ379</f>
        <v>4234.7024826990537</v>
      </c>
      <c r="ER385" s="696">
        <f>SUM(EP385:EQ385)</f>
        <v>8694.2855973727801</v>
      </c>
      <c r="ES385" s="489">
        <f>ES382*ES379</f>
        <v>5010.3416293359323</v>
      </c>
      <c r="ET385" s="489">
        <f>ET382*ET379</f>
        <v>4757.6882393123869</v>
      </c>
      <c r="EU385" s="696">
        <f>SUM(ES385:ET385)</f>
        <v>9768.0298686483184</v>
      </c>
      <c r="EV385" s="489">
        <f>EV382*EV379</f>
        <v>5629.1188205589206</v>
      </c>
      <c r="EW385" s="489">
        <f>EW382*EW379</f>
        <v>5345.2627368674675</v>
      </c>
      <c r="EX385" s="696">
        <f>SUM(EV385:EW385)</f>
        <v>10974.381557426388</v>
      </c>
      <c r="EY385" s="489">
        <f>EY382*EY379</f>
        <v>6324.3149948979471</v>
      </c>
      <c r="EZ385" s="489">
        <f>EZ382*EZ379</f>
        <v>6005.4026848705998</v>
      </c>
      <c r="FA385" s="536">
        <f>SUM(EY385:EZ385)</f>
        <v>12329.717679768546</v>
      </c>
    </row>
    <row r="386" spans="1:157" ht="13.35" hidden="1" customHeight="1" outlineLevel="1">
      <c r="A386" s="760"/>
      <c r="B386" s="4"/>
      <c r="C386" s="4" t="s">
        <v>178</v>
      </c>
      <c r="D386" s="250" t="s">
        <v>507</v>
      </c>
      <c r="E386" s="251"/>
      <c r="F386" s="251"/>
      <c r="G386" s="252"/>
      <c r="H386" s="251"/>
      <c r="I386" s="251"/>
      <c r="J386" s="252"/>
      <c r="K386" s="251"/>
      <c r="L386" s="251"/>
      <c r="M386" s="252"/>
      <c r="N386" s="251"/>
      <c r="O386" s="251"/>
      <c r="P386" s="252"/>
      <c r="Q386" s="251"/>
      <c r="R386" s="251"/>
      <c r="S386" s="252"/>
      <c r="T386" s="251"/>
      <c r="U386" s="251"/>
      <c r="V386" s="252"/>
      <c r="W386" s="251"/>
      <c r="X386" s="251"/>
      <c r="Y386" s="252"/>
      <c r="Z386" s="251"/>
      <c r="AA386" s="251"/>
      <c r="AB386" s="252"/>
      <c r="AC386" s="251"/>
      <c r="AD386" s="251"/>
      <c r="AE386" s="252"/>
      <c r="AF386" s="251"/>
      <c r="AG386" s="251"/>
      <c r="AH386" s="252"/>
      <c r="AI386" s="251"/>
      <c r="AJ386" s="251"/>
      <c r="AK386" s="252"/>
      <c r="AL386" s="251"/>
      <c r="AM386" s="251"/>
      <c r="AN386" s="252"/>
      <c r="AO386" s="251"/>
      <c r="AP386" s="251"/>
      <c r="AQ386" s="252"/>
      <c r="AR386" s="251"/>
      <c r="AS386" s="251"/>
      <c r="AT386" s="252"/>
      <c r="AU386" s="251"/>
      <c r="AV386" s="251"/>
      <c r="AW386" s="252"/>
      <c r="AX386" s="251"/>
      <c r="AY386" s="251"/>
      <c r="AZ386" s="252"/>
      <c r="BA386" s="251"/>
      <c r="BB386" s="251"/>
      <c r="BC386" s="252"/>
      <c r="BD386" s="251"/>
      <c r="BE386" s="251"/>
      <c r="BF386" s="252"/>
      <c r="BG386" s="251"/>
      <c r="BH386" s="251"/>
      <c r="BI386" s="252"/>
      <c r="BJ386" s="251"/>
      <c r="BK386" s="251"/>
      <c r="BL386" s="252"/>
      <c r="BM386" s="198"/>
      <c r="BN386" s="198"/>
      <c r="BO386" s="79"/>
      <c r="BP386" s="259"/>
      <c r="BQ386" s="259"/>
      <c r="BR386" s="260"/>
      <c r="BS386" s="259"/>
      <c r="BT386" s="259"/>
      <c r="BU386" s="261"/>
      <c r="BV386" s="259"/>
      <c r="BW386" s="259"/>
      <c r="BX386" s="260"/>
      <c r="BY386" s="259"/>
      <c r="BZ386" s="259"/>
      <c r="CA386" s="260"/>
      <c r="CB386" s="259"/>
      <c r="CC386" s="259"/>
      <c r="CD386" s="260"/>
      <c r="CE386" s="259"/>
      <c r="CF386" s="259"/>
      <c r="CG386" s="260"/>
      <c r="CH386" s="259"/>
      <c r="CI386" s="259"/>
      <c r="CJ386" s="260"/>
      <c r="CK386" s="259"/>
      <c r="CL386" s="259"/>
      <c r="CM386" s="260"/>
      <c r="CN386" s="259"/>
      <c r="CO386" s="259"/>
      <c r="CP386" s="260"/>
      <c r="CQ386" s="259"/>
      <c r="CR386" s="259"/>
      <c r="CS386" s="260"/>
      <c r="CT386" s="259"/>
      <c r="CU386" s="259"/>
      <c r="CV386" s="260"/>
      <c r="CW386" s="259"/>
      <c r="CX386" s="259"/>
      <c r="CY386" s="334"/>
      <c r="CZ386" s="333"/>
      <c r="DA386" s="333"/>
      <c r="DB386" s="334"/>
      <c r="DC386" s="333"/>
      <c r="DD386" s="333"/>
      <c r="DE386" s="788"/>
      <c r="DF386" s="333"/>
      <c r="DG386" s="333"/>
      <c r="DH386" s="788"/>
      <c r="DI386" s="334"/>
      <c r="DJ386" s="334"/>
      <c r="DK386" s="700"/>
      <c r="DL386" s="334">
        <f t="shared" ref="DL386:EL386" si="369">DL385/DI385-1</f>
        <v>8.383093719105883E-2</v>
      </c>
      <c r="DM386" s="334">
        <f t="shared" si="369"/>
        <v>4.8318139954914852E-2</v>
      </c>
      <c r="DN386" s="700">
        <f t="shared" si="369"/>
        <v>6.5459357294745057E-2</v>
      </c>
      <c r="DO386" s="334">
        <f t="shared" si="369"/>
        <v>0.21457414782593487</v>
      </c>
      <c r="DP386" s="334">
        <f t="shared" si="369"/>
        <v>0.31462965655527242</v>
      </c>
      <c r="DQ386" s="700">
        <f t="shared" si="369"/>
        <v>0.26550240818538517</v>
      </c>
      <c r="DR386" s="334">
        <f t="shared" si="369"/>
        <v>1.9960453785074384E-2</v>
      </c>
      <c r="DS386" s="334">
        <f t="shared" si="369"/>
        <v>4.1255210434013145E-2</v>
      </c>
      <c r="DT386" s="700">
        <f t="shared" si="369"/>
        <v>3.1220261337023159E-2</v>
      </c>
      <c r="DU386" s="334">
        <f t="shared" si="369"/>
        <v>-8.9213335293217844E-3</v>
      </c>
      <c r="DV386" s="334">
        <f>DV385/DS385-1</f>
        <v>0</v>
      </c>
      <c r="DW386" s="700">
        <f>DW385/DT385-1</f>
        <v>-4.1581884189023643E-3</v>
      </c>
      <c r="DX386" s="334">
        <f t="shared" si="369"/>
        <v>0.22690635425933969</v>
      </c>
      <c r="DY386" s="334">
        <f t="shared" si="369"/>
        <v>7.9953682821702898E-3</v>
      </c>
      <c r="DZ386" s="700">
        <f t="shared" si="369"/>
        <v>0.10954064248257445</v>
      </c>
      <c r="EA386" s="334">
        <f t="shared" si="369"/>
        <v>-0.17951079902906542</v>
      </c>
      <c r="EB386" s="334">
        <f t="shared" si="369"/>
        <v>3.5368798768411258E-2</v>
      </c>
      <c r="EC386" s="700">
        <f t="shared" si="369"/>
        <v>-7.4849966798144041E-2</v>
      </c>
      <c r="ED386" s="334">
        <f t="shared" si="369"/>
        <v>0.7976096912619115</v>
      </c>
      <c r="EE386" s="334">
        <f t="shared" si="369"/>
        <v>0.42453523903321755</v>
      </c>
      <c r="EF386" s="700">
        <f t="shared" si="369"/>
        <v>0.59424880971634297</v>
      </c>
      <c r="EG386" s="334">
        <f t="shared" si="369"/>
        <v>0.12350000000000017</v>
      </c>
      <c r="EH386" s="334">
        <f t="shared" si="369"/>
        <v>0.12350000000000017</v>
      </c>
      <c r="EI386" s="700">
        <f t="shared" si="369"/>
        <v>0.12350000000000017</v>
      </c>
      <c r="EJ386" s="334">
        <f t="shared" si="369"/>
        <v>0.12350000000000017</v>
      </c>
      <c r="EK386" s="334">
        <f t="shared" si="369"/>
        <v>0.12350000000000017</v>
      </c>
      <c r="EL386" s="700">
        <f t="shared" si="369"/>
        <v>0.12350000000000017</v>
      </c>
      <c r="EM386" s="334">
        <f t="shared" ref="EM386:FA386" si="370">EM385/EJ385-1</f>
        <v>0.12350000000000017</v>
      </c>
      <c r="EN386" s="334">
        <f t="shared" si="370"/>
        <v>0.12349999999999994</v>
      </c>
      <c r="EO386" s="700">
        <f t="shared" si="370"/>
        <v>0.12350000000000017</v>
      </c>
      <c r="EP386" s="334">
        <f t="shared" si="370"/>
        <v>0.12350000000000017</v>
      </c>
      <c r="EQ386" s="334">
        <f t="shared" si="370"/>
        <v>0.12349999999999994</v>
      </c>
      <c r="ER386" s="700">
        <f t="shared" si="370"/>
        <v>0.12350000000000017</v>
      </c>
      <c r="ES386" s="334">
        <f t="shared" si="370"/>
        <v>0.12350000000000017</v>
      </c>
      <c r="ET386" s="334">
        <f t="shared" si="370"/>
        <v>0.12349999999999994</v>
      </c>
      <c r="EU386" s="700">
        <f t="shared" si="370"/>
        <v>0.12349999999999994</v>
      </c>
      <c r="EV386" s="334">
        <f t="shared" si="370"/>
        <v>0.12350000000000017</v>
      </c>
      <c r="EW386" s="334">
        <f t="shared" si="370"/>
        <v>0.12350000000000017</v>
      </c>
      <c r="EX386" s="700">
        <f t="shared" si="370"/>
        <v>0.12350000000000017</v>
      </c>
      <c r="EY386" s="334">
        <f t="shared" si="370"/>
        <v>0.12349999999999994</v>
      </c>
      <c r="EZ386" s="334">
        <f t="shared" si="370"/>
        <v>0.12349999999999994</v>
      </c>
      <c r="FA386" s="523">
        <f t="shared" si="370"/>
        <v>0.12349999999999994</v>
      </c>
    </row>
    <row r="387" spans="1:157" ht="13.35" hidden="1" customHeight="1" outlineLevel="1">
      <c r="A387" s="760"/>
      <c r="C387" s="4"/>
      <c r="D387" s="250"/>
      <c r="E387" s="251"/>
      <c r="F387" s="251"/>
      <c r="G387" s="252"/>
      <c r="H387" s="251"/>
      <c r="I387" s="251"/>
      <c r="J387" s="252"/>
      <c r="K387" s="251"/>
      <c r="L387" s="251"/>
      <c r="M387" s="252"/>
      <c r="N387" s="251"/>
      <c r="O387" s="251"/>
      <c r="P387" s="252"/>
      <c r="Q387" s="251"/>
      <c r="R387" s="251"/>
      <c r="S387" s="252"/>
      <c r="T387" s="251"/>
      <c r="U387" s="251"/>
      <c r="V387" s="252"/>
      <c r="W387" s="251"/>
      <c r="X387" s="251"/>
      <c r="Y387" s="252"/>
      <c r="Z387" s="251"/>
      <c r="AA387" s="251"/>
      <c r="AB387" s="252"/>
      <c r="AC387" s="251"/>
      <c r="AD387" s="251"/>
      <c r="AE387" s="252"/>
      <c r="AF387" s="251"/>
      <c r="AG387" s="251"/>
      <c r="AH387" s="252"/>
      <c r="AI387" s="251"/>
      <c r="AJ387" s="251"/>
      <c r="AK387" s="252"/>
      <c r="AL387" s="251"/>
      <c r="AM387" s="251"/>
      <c r="AN387" s="252"/>
      <c r="AO387" s="251"/>
      <c r="AP387" s="251"/>
      <c r="AQ387" s="252"/>
      <c r="AR387" s="251"/>
      <c r="AS387" s="251"/>
      <c r="AT387" s="252"/>
      <c r="AU387" s="251"/>
      <c r="AV387" s="251"/>
      <c r="AW387" s="252"/>
      <c r="AX387" s="251"/>
      <c r="AY387" s="251"/>
      <c r="AZ387" s="252"/>
      <c r="BA387" s="251"/>
      <c r="BB387" s="251"/>
      <c r="BC387" s="252"/>
      <c r="BD387" s="251"/>
      <c r="BE387" s="251"/>
      <c r="BF387" s="252"/>
      <c r="BG387" s="251"/>
      <c r="BH387" s="251"/>
      <c r="BI387" s="252"/>
      <c r="BJ387" s="251"/>
      <c r="BK387" s="251"/>
      <c r="BL387" s="252"/>
      <c r="BM387" s="251"/>
      <c r="BN387" s="198"/>
      <c r="BO387" s="79"/>
      <c r="BP387" s="264"/>
      <c r="BQ387" s="264"/>
      <c r="BR387" s="82"/>
      <c r="BS387" s="264"/>
      <c r="BT387" s="264"/>
      <c r="BU387" s="266"/>
      <c r="BV387" s="198"/>
      <c r="BW387" s="264"/>
      <c r="BX387" s="82"/>
      <c r="BY387" s="198"/>
      <c r="BZ387" s="198"/>
      <c r="CA387" s="79"/>
      <c r="CB387" s="198"/>
      <c r="CC387" s="198"/>
      <c r="CD387" s="79"/>
      <c r="CE387" s="198"/>
      <c r="CF387" s="198"/>
      <c r="CG387" s="79"/>
      <c r="CH387" s="198"/>
      <c r="CI387" s="198"/>
      <c r="CJ387" s="79"/>
      <c r="CK387" s="198"/>
      <c r="CL387" s="198"/>
      <c r="CM387" s="79"/>
      <c r="CN387" s="198"/>
      <c r="CO387" s="198"/>
      <c r="CP387" s="79"/>
      <c r="CQ387" s="198"/>
      <c r="CR387" s="198"/>
      <c r="CS387" s="198"/>
      <c r="CT387" s="198"/>
      <c r="CU387" s="198"/>
      <c r="CV387" s="198"/>
      <c r="CW387" s="454"/>
      <c r="CX387" s="454"/>
      <c r="CY387" s="451"/>
      <c r="CZ387" s="451"/>
      <c r="DA387" s="451"/>
      <c r="DB387" s="451"/>
      <c r="DC387" s="451"/>
      <c r="DD387" s="480"/>
      <c r="DE387" s="783"/>
      <c r="DF387" s="489"/>
      <c r="DG387" s="489"/>
      <c r="DH387" s="783"/>
      <c r="DI387" s="489"/>
      <c r="DJ387" s="489"/>
      <c r="DK387" s="696"/>
      <c r="DL387" s="489"/>
      <c r="DM387" s="489"/>
      <c r="DN387" s="696"/>
      <c r="DO387" s="489"/>
      <c r="DP387" s="489"/>
      <c r="DQ387" s="696"/>
      <c r="DR387" s="489"/>
      <c r="DS387" s="489"/>
      <c r="DT387" s="696"/>
      <c r="DU387" s="489"/>
      <c r="DV387" s="489"/>
      <c r="DW387" s="696"/>
      <c r="DX387" s="489"/>
      <c r="DY387" s="489"/>
      <c r="DZ387" s="696"/>
      <c r="EA387" s="489"/>
      <c r="EB387" s="489"/>
      <c r="EC387" s="696"/>
      <c r="ED387" s="489"/>
      <c r="EE387" s="489"/>
      <c r="EF387" s="696"/>
      <c r="EG387" s="489"/>
      <c r="EH387" s="489"/>
      <c r="EI387" s="696"/>
      <c r="EJ387" s="489"/>
      <c r="EK387" s="489"/>
      <c r="EL387" s="696"/>
      <c r="EM387" s="489"/>
      <c r="EN387" s="489"/>
      <c r="EO387" s="696"/>
      <c r="EP387" s="489"/>
      <c r="EQ387" s="489"/>
      <c r="ER387" s="696"/>
      <c r="ES387" s="489"/>
      <c r="ET387" s="489"/>
      <c r="EU387" s="696"/>
      <c r="EV387" s="489"/>
      <c r="EW387" s="489"/>
      <c r="EX387" s="696"/>
      <c r="EY387" s="489"/>
      <c r="EZ387" s="489"/>
      <c r="FA387" s="536"/>
    </row>
    <row r="388" spans="1:157" ht="13.35" hidden="1" customHeight="1" outlineLevel="1">
      <c r="A388" s="760"/>
      <c r="C388" s="449" t="s">
        <v>250</v>
      </c>
      <c r="D388" s="250" t="s">
        <v>357</v>
      </c>
      <c r="E388" s="251"/>
      <c r="F388" s="251"/>
      <c r="G388" s="252"/>
      <c r="H388" s="251"/>
      <c r="I388" s="251"/>
      <c r="J388" s="252"/>
      <c r="K388" s="251"/>
      <c r="L388" s="251"/>
      <c r="M388" s="252"/>
      <c r="N388" s="251"/>
      <c r="O388" s="251"/>
      <c r="P388" s="252"/>
      <c r="Q388" s="251"/>
      <c r="R388" s="251"/>
      <c r="S388" s="252"/>
      <c r="T388" s="251"/>
      <c r="U388" s="251"/>
      <c r="V388" s="252"/>
      <c r="W388" s="251"/>
      <c r="X388" s="251"/>
      <c r="Y388" s="252"/>
      <c r="Z388" s="251"/>
      <c r="AA388" s="251"/>
      <c r="AB388" s="252"/>
      <c r="AC388" s="251"/>
      <c r="AD388" s="251"/>
      <c r="AE388" s="252"/>
      <c r="AF388" s="251"/>
      <c r="AG388" s="251"/>
      <c r="AH388" s="252"/>
      <c r="AI388" s="251"/>
      <c r="AJ388" s="251"/>
      <c r="AK388" s="252"/>
      <c r="AL388" s="251"/>
      <c r="AM388" s="251"/>
      <c r="AN388" s="252"/>
      <c r="AO388" s="251"/>
      <c r="AP388" s="251"/>
      <c r="AQ388" s="252"/>
      <c r="AR388" s="251"/>
      <c r="AS388" s="251"/>
      <c r="AT388" s="252"/>
      <c r="AU388" s="251"/>
      <c r="AV388" s="251"/>
      <c r="AW388" s="252"/>
      <c r="AX388" s="251"/>
      <c r="AY388" s="251"/>
      <c r="AZ388" s="252"/>
      <c r="BA388" s="251"/>
      <c r="BB388" s="251"/>
      <c r="BC388" s="252"/>
      <c r="BD388" s="251"/>
      <c r="BE388" s="251"/>
      <c r="BF388" s="252"/>
      <c r="BG388" s="251"/>
      <c r="BH388" s="251"/>
      <c r="BI388" s="252"/>
      <c r="BJ388" s="251"/>
      <c r="BK388" s="251"/>
      <c r="BL388" s="252"/>
      <c r="BM388" s="198"/>
      <c r="BN388" s="198"/>
      <c r="BO388" s="79"/>
      <c r="BP388" s="198"/>
      <c r="BQ388" s="198"/>
      <c r="BR388" s="79"/>
      <c r="BS388" s="198"/>
      <c r="BT388" s="198"/>
      <c r="BU388" s="254"/>
      <c r="BV388" s="198"/>
      <c r="BW388" s="198"/>
      <c r="BX388" s="79"/>
      <c r="BY388" s="198"/>
      <c r="BZ388" s="198"/>
      <c r="CA388" s="79"/>
      <c r="CB388" s="198"/>
      <c r="CC388" s="198"/>
      <c r="CD388" s="79"/>
      <c r="CE388" s="198"/>
      <c r="CF388" s="198"/>
      <c r="CG388" s="79"/>
      <c r="CH388" s="198"/>
      <c r="CI388" s="198"/>
      <c r="CJ388" s="79"/>
      <c r="CK388" s="198"/>
      <c r="CL388" s="198"/>
      <c r="CM388" s="79"/>
      <c r="CN388" s="198"/>
      <c r="CO388" s="198"/>
      <c r="CP388" s="79"/>
      <c r="CQ388" s="198"/>
      <c r="CR388" s="198"/>
      <c r="CS388" s="79"/>
      <c r="CT388" s="455"/>
      <c r="CU388" s="455"/>
      <c r="CV388" s="93"/>
      <c r="CW388" s="455"/>
      <c r="CX388" s="455"/>
      <c r="CY388" s="613"/>
      <c r="CZ388" s="614"/>
      <c r="DA388" s="614"/>
      <c r="DB388" s="613"/>
      <c r="DC388" s="614"/>
      <c r="DD388" s="614"/>
      <c r="DE388" s="810"/>
      <c r="DF388" s="614"/>
      <c r="DG388" s="614"/>
      <c r="DH388" s="810"/>
      <c r="DI388" s="615">
        <v>613.18362193599728</v>
      </c>
      <c r="DJ388" s="615">
        <v>704.83983766948529</v>
      </c>
      <c r="DK388" s="720">
        <v>1318.0234596054825</v>
      </c>
      <c r="DL388" s="615">
        <v>743.92976846824058</v>
      </c>
      <c r="DM388" s="615">
        <v>707.18703175793144</v>
      </c>
      <c r="DN388" s="720">
        <f>SUM(DL388:DM388)</f>
        <v>1451.116800226172</v>
      </c>
      <c r="DO388" s="615">
        <v>787.8553164671373</v>
      </c>
      <c r="DP388" s="615">
        <v>646.91193861804004</v>
      </c>
      <c r="DQ388" s="720">
        <f>SUM(DO388:DP388)</f>
        <v>1434.7672550851773</v>
      </c>
      <c r="DR388" s="615">
        <v>825.45220683204764</v>
      </c>
      <c r="DS388" s="615">
        <v>683.20865061793018</v>
      </c>
      <c r="DT388" s="720">
        <f>SUM(DR388:DS388)</f>
        <v>1508.6608574499778</v>
      </c>
      <c r="DU388" s="615">
        <v>858.80619443700562</v>
      </c>
      <c r="DV388" s="615">
        <v>683.20865061793018</v>
      </c>
      <c r="DW388" s="720">
        <f>SUM(DU388:DV388)</f>
        <v>1542.0148450549359</v>
      </c>
      <c r="DX388" s="615">
        <v>955.75214989402434</v>
      </c>
      <c r="DY388" s="615">
        <v>734.25157612274529</v>
      </c>
      <c r="DZ388" s="720">
        <f>SUM(DX388:DY388)</f>
        <v>1690.0037260167696</v>
      </c>
      <c r="EA388" s="615">
        <v>920.80356342554774</v>
      </c>
      <c r="EB388" s="615">
        <v>762.67309855126382</v>
      </c>
      <c r="EC388" s="720">
        <f>SUM(EA388:EB388)</f>
        <v>1683.4766619768116</v>
      </c>
      <c r="ED388" s="614">
        <f>(1+ED389)*EA388</f>
        <v>939.21963469405875</v>
      </c>
      <c r="EE388" s="614">
        <f>(1+EE389)*EB388</f>
        <v>777.92656052228915</v>
      </c>
      <c r="EF388" s="720">
        <f>SUM(ED388:EE388)</f>
        <v>1717.1461952163479</v>
      </c>
      <c r="EG388" s="614">
        <f>(1+EG389)*ED388</f>
        <v>958.00402738793991</v>
      </c>
      <c r="EH388" s="614">
        <f>(1+EH389)*EE388</f>
        <v>793.48509173273499</v>
      </c>
      <c r="EI388" s="720">
        <f>SUM(EG388:EH388)</f>
        <v>1751.4891191206748</v>
      </c>
      <c r="EJ388" s="614">
        <f>(1+EJ389)*EG388</f>
        <v>977.16410793569878</v>
      </c>
      <c r="EK388" s="614">
        <f>(1+EK389)*EH388</f>
        <v>809.35479356738972</v>
      </c>
      <c r="EL388" s="720">
        <f>SUM(EJ388:EK388)</f>
        <v>1786.5189015030885</v>
      </c>
      <c r="EM388" s="614">
        <f>(1+EM389)*EJ388</f>
        <v>996.70739009441274</v>
      </c>
      <c r="EN388" s="614">
        <f>(1+EN389)*EK388</f>
        <v>825.54188943873748</v>
      </c>
      <c r="EO388" s="720">
        <f>SUM(EM388:EN388)</f>
        <v>1822.2492795331502</v>
      </c>
      <c r="EP388" s="614">
        <f>(1+EP389)*EM388</f>
        <v>1016.641537896301</v>
      </c>
      <c r="EQ388" s="614">
        <f>(1+EQ389)*EN388</f>
        <v>842.05272722751226</v>
      </c>
      <c r="ER388" s="720">
        <f>SUM(EP388:EQ388)</f>
        <v>1858.6942651238132</v>
      </c>
      <c r="ES388" s="614">
        <f>(1+ES389)*EP388</f>
        <v>1036.974368654227</v>
      </c>
      <c r="ET388" s="614">
        <f>(1+ET389)*EQ388</f>
        <v>858.89378177206254</v>
      </c>
      <c r="EU388" s="720">
        <f>SUM(ES388:ET388)</f>
        <v>1895.8681504262895</v>
      </c>
      <c r="EV388" s="614">
        <f>(1+EV389)*ES388</f>
        <v>1057.7138560273115</v>
      </c>
      <c r="EW388" s="614">
        <f>(1+EW389)*ET388</f>
        <v>876.07165740750384</v>
      </c>
      <c r="EX388" s="720">
        <f>SUM(EV388:EW388)</f>
        <v>1933.7855134348154</v>
      </c>
      <c r="EY388" s="614">
        <f>(1+EY389)*EV388</f>
        <v>1078.8681331478579</v>
      </c>
      <c r="EZ388" s="614">
        <f>(1+EZ389)*EW388</f>
        <v>893.59309055565393</v>
      </c>
      <c r="FA388" s="611">
        <f>SUM(EY388:EZ388)</f>
        <v>1972.4612237035117</v>
      </c>
    </row>
    <row r="389" spans="1:157" ht="13.35" hidden="1" customHeight="1" outlineLevel="1">
      <c r="A389" s="760"/>
      <c r="B389" s="442"/>
      <c r="C389" s="177" t="s">
        <v>178</v>
      </c>
      <c r="D389" s="250" t="s">
        <v>507</v>
      </c>
      <c r="E389" s="251"/>
      <c r="F389" s="251"/>
      <c r="G389" s="252"/>
      <c r="H389" s="251"/>
      <c r="I389" s="251"/>
      <c r="J389" s="252"/>
      <c r="K389" s="251"/>
      <c r="L389" s="251"/>
      <c r="M389" s="252"/>
      <c r="N389" s="251"/>
      <c r="O389" s="251"/>
      <c r="P389" s="252"/>
      <c r="Q389" s="251"/>
      <c r="R389" s="251"/>
      <c r="S389" s="252"/>
      <c r="T389" s="251"/>
      <c r="U389" s="251"/>
      <c r="V389" s="252"/>
      <c r="W389" s="251"/>
      <c r="X389" s="251"/>
      <c r="Y389" s="252"/>
      <c r="Z389" s="251"/>
      <c r="AA389" s="251"/>
      <c r="AB389" s="252"/>
      <c r="AC389" s="251"/>
      <c r="AD389" s="251"/>
      <c r="AE389" s="252"/>
      <c r="AF389" s="251"/>
      <c r="AG389" s="251"/>
      <c r="AH389" s="252"/>
      <c r="AI389" s="251"/>
      <c r="AJ389" s="251"/>
      <c r="AK389" s="252"/>
      <c r="AL389" s="251"/>
      <c r="AM389" s="251"/>
      <c r="AN389" s="252"/>
      <c r="AO389" s="251"/>
      <c r="AP389" s="251"/>
      <c r="AQ389" s="252"/>
      <c r="AR389" s="251"/>
      <c r="AS389" s="251"/>
      <c r="AT389" s="252"/>
      <c r="AU389" s="251"/>
      <c r="AV389" s="251"/>
      <c r="AW389" s="252"/>
      <c r="AX389" s="251"/>
      <c r="AY389" s="251"/>
      <c r="AZ389" s="252"/>
      <c r="BA389" s="251"/>
      <c r="BB389" s="251"/>
      <c r="BC389" s="252"/>
      <c r="BD389" s="251"/>
      <c r="BE389" s="251"/>
      <c r="BF389" s="252"/>
      <c r="BG389" s="251"/>
      <c r="BH389" s="251"/>
      <c r="BI389" s="252"/>
      <c r="BJ389" s="251"/>
      <c r="BK389" s="251"/>
      <c r="BL389" s="252"/>
      <c r="BM389" s="259"/>
      <c r="BN389" s="259"/>
      <c r="BO389" s="260"/>
      <c r="BP389" s="259"/>
      <c r="BQ389" s="259"/>
      <c r="BR389" s="260"/>
      <c r="BS389" s="259"/>
      <c r="BT389" s="259"/>
      <c r="BU389" s="261"/>
      <c r="BV389" s="259"/>
      <c r="BW389" s="259"/>
      <c r="BX389" s="260"/>
      <c r="BY389" s="259"/>
      <c r="BZ389" s="259"/>
      <c r="CA389" s="260"/>
      <c r="CB389" s="259"/>
      <c r="CC389" s="259"/>
      <c r="CD389" s="260"/>
      <c r="CE389" s="259"/>
      <c r="CF389" s="259"/>
      <c r="CG389" s="260"/>
      <c r="CH389" s="259"/>
      <c r="CI389" s="259"/>
      <c r="CJ389" s="260"/>
      <c r="CK389" s="259"/>
      <c r="CL389" s="259"/>
      <c r="CM389" s="260"/>
      <c r="CN389" s="259"/>
      <c r="CO389" s="259"/>
      <c r="CP389" s="260"/>
      <c r="CQ389" s="259"/>
      <c r="CR389" s="259"/>
      <c r="CS389" s="260"/>
      <c r="CT389" s="260"/>
      <c r="CU389" s="260"/>
      <c r="CV389" s="260"/>
      <c r="CW389" s="259"/>
      <c r="CX389" s="259"/>
      <c r="CY389" s="334"/>
      <c r="CZ389" s="333"/>
      <c r="DA389" s="333"/>
      <c r="DB389" s="334"/>
      <c r="DC389" s="333"/>
      <c r="DD389" s="333"/>
      <c r="DE389" s="788"/>
      <c r="DF389" s="333"/>
      <c r="DG389" s="333"/>
      <c r="DH389" s="788"/>
      <c r="DI389" s="334"/>
      <c r="DJ389" s="334"/>
      <c r="DK389" s="700"/>
      <c r="DL389" s="334">
        <f t="shared" ref="DL389:DU389" si="371">DL388/DI388-1</f>
        <v>0.21322511211150763</v>
      </c>
      <c r="DM389" s="334">
        <f t="shared" si="371"/>
        <v>3.3301098533349283E-3</v>
      </c>
      <c r="DN389" s="700">
        <f t="shared" si="371"/>
        <v>0.10097949292991171</v>
      </c>
      <c r="DO389" s="334">
        <f t="shared" si="371"/>
        <v>5.9045288763400094E-2</v>
      </c>
      <c r="DP389" s="334">
        <f t="shared" si="371"/>
        <v>-8.5232181068223278E-2</v>
      </c>
      <c r="DQ389" s="700">
        <f t="shared" si="371"/>
        <v>-1.1266870549942243E-2</v>
      </c>
      <c r="DR389" s="334">
        <f t="shared" si="371"/>
        <v>4.772055170421452E-2</v>
      </c>
      <c r="DS389" s="334">
        <f t="shared" si="371"/>
        <v>5.6107655204862494E-2</v>
      </c>
      <c r="DT389" s="700">
        <f t="shared" si="371"/>
        <v>5.1502152772795018E-2</v>
      </c>
      <c r="DU389" s="334">
        <f t="shared" si="371"/>
        <v>4.0406927656011948E-2</v>
      </c>
      <c r="DV389" s="334">
        <f>DV388/DS388-1</f>
        <v>0</v>
      </c>
      <c r="DW389" s="700">
        <f>DW388/DT388-1</f>
        <v>2.2108340280886596E-2</v>
      </c>
      <c r="DX389" s="531">
        <f>DX376-2%</f>
        <v>-7.1018631377328875E-2</v>
      </c>
      <c r="DY389" s="531">
        <f>DY376-2%</f>
        <v>0.1098651276398266</v>
      </c>
      <c r="DZ389" s="700">
        <f>DZ388/DW388-1</f>
        <v>9.5971113012573772E-2</v>
      </c>
      <c r="EA389" s="531">
        <v>0.05</v>
      </c>
      <c r="EB389" s="531">
        <f>EA389</f>
        <v>0.05</v>
      </c>
      <c r="EC389" s="700">
        <f>EC388/DZ388-1</f>
        <v>-3.8621595559094057E-3</v>
      </c>
      <c r="ED389" s="531">
        <v>0.02</v>
      </c>
      <c r="EE389" s="531">
        <f>ED389</f>
        <v>0.02</v>
      </c>
      <c r="EF389" s="700">
        <f>EF388/EC388-1</f>
        <v>2.0000000000000018E-2</v>
      </c>
      <c r="EG389" s="531">
        <f>EE389</f>
        <v>0.02</v>
      </c>
      <c r="EH389" s="531">
        <f>EG389</f>
        <v>0.02</v>
      </c>
      <c r="EI389" s="700">
        <f>EI388/EF388-1</f>
        <v>2.0000000000000018E-2</v>
      </c>
      <c r="EJ389" s="531">
        <f>EH389</f>
        <v>0.02</v>
      </c>
      <c r="EK389" s="531">
        <f>EJ389</f>
        <v>0.02</v>
      </c>
      <c r="EL389" s="700">
        <f>EL388/EI388-1</f>
        <v>2.0000000000000018E-2</v>
      </c>
      <c r="EM389" s="531">
        <f>EK389</f>
        <v>0.02</v>
      </c>
      <c r="EN389" s="531">
        <f>EM389</f>
        <v>0.02</v>
      </c>
      <c r="EO389" s="700">
        <f>EO388/EL388-1</f>
        <v>2.0000000000000018E-2</v>
      </c>
      <c r="EP389" s="531">
        <f>EN389</f>
        <v>0.02</v>
      </c>
      <c r="EQ389" s="531">
        <f>EP389</f>
        <v>0.02</v>
      </c>
      <c r="ER389" s="700">
        <f>ER388/EO388-1</f>
        <v>2.0000000000000018E-2</v>
      </c>
      <c r="ES389" s="531">
        <f>EQ389</f>
        <v>0.02</v>
      </c>
      <c r="ET389" s="531">
        <f>ES389</f>
        <v>0.02</v>
      </c>
      <c r="EU389" s="700">
        <f>EU388/ER388-1</f>
        <v>2.0000000000000018E-2</v>
      </c>
      <c r="EV389" s="531">
        <f>ET389</f>
        <v>0.02</v>
      </c>
      <c r="EW389" s="531">
        <f>EV389</f>
        <v>0.02</v>
      </c>
      <c r="EX389" s="700">
        <f>EX388/EU388-1</f>
        <v>2.0000000000000018E-2</v>
      </c>
      <c r="EY389" s="531">
        <f>EW389</f>
        <v>0.02</v>
      </c>
      <c r="EZ389" s="531">
        <f>EY389</f>
        <v>0.02</v>
      </c>
      <c r="FA389" s="532">
        <f>FA388/EX388-1</f>
        <v>2.0000000000000018E-2</v>
      </c>
    </row>
    <row r="390" spans="1:157" ht="13.35" hidden="1" customHeight="1" outlineLevel="1">
      <c r="A390" s="760"/>
      <c r="C390" s="4"/>
      <c r="D390" s="250"/>
      <c r="E390" s="251"/>
      <c r="F390" s="251"/>
      <c r="G390" s="252"/>
      <c r="H390" s="251"/>
      <c r="I390" s="251"/>
      <c r="J390" s="252"/>
      <c r="K390" s="251"/>
      <c r="L390" s="251"/>
      <c r="M390" s="252"/>
      <c r="N390" s="251"/>
      <c r="O390" s="251"/>
      <c r="P390" s="252"/>
      <c r="Q390" s="251"/>
      <c r="R390" s="251"/>
      <c r="S390" s="252"/>
      <c r="T390" s="251"/>
      <c r="U390" s="251"/>
      <c r="V390" s="252"/>
      <c r="W390" s="251"/>
      <c r="X390" s="251"/>
      <c r="Y390" s="252"/>
      <c r="Z390" s="251"/>
      <c r="AA390" s="251"/>
      <c r="AB390" s="252"/>
      <c r="AC390" s="251"/>
      <c r="AD390" s="251"/>
      <c r="AE390" s="252"/>
      <c r="AF390" s="251"/>
      <c r="AG390" s="251"/>
      <c r="AH390" s="252"/>
      <c r="AI390" s="251"/>
      <c r="AJ390" s="251"/>
      <c r="AK390" s="252"/>
      <c r="AL390" s="251"/>
      <c r="AM390" s="251"/>
      <c r="AN390" s="252"/>
      <c r="AO390" s="251"/>
      <c r="AP390" s="251"/>
      <c r="AQ390" s="252"/>
      <c r="AR390" s="251"/>
      <c r="AS390" s="251"/>
      <c r="AT390" s="252"/>
      <c r="AU390" s="251"/>
      <c r="AV390" s="251"/>
      <c r="AW390" s="252"/>
      <c r="AX390" s="251"/>
      <c r="AY390" s="251"/>
      <c r="AZ390" s="252"/>
      <c r="BA390" s="251"/>
      <c r="BB390" s="251"/>
      <c r="BC390" s="252"/>
      <c r="BD390" s="251"/>
      <c r="BE390" s="251"/>
      <c r="BF390" s="252"/>
      <c r="BG390" s="251"/>
      <c r="BH390" s="251"/>
      <c r="BI390" s="252"/>
      <c r="BJ390" s="251"/>
      <c r="BK390" s="251"/>
      <c r="BL390" s="252"/>
      <c r="BM390" s="251"/>
      <c r="BN390" s="198"/>
      <c r="BO390" s="79"/>
      <c r="BP390" s="198"/>
      <c r="BQ390" s="198"/>
      <c r="BR390" s="79"/>
      <c r="BS390" s="198"/>
      <c r="BT390" s="198"/>
      <c r="BU390" s="254"/>
      <c r="BV390" s="198"/>
      <c r="BW390" s="198"/>
      <c r="BX390" s="79"/>
      <c r="BY390" s="202"/>
      <c r="BZ390" s="282"/>
      <c r="CA390" s="456"/>
      <c r="CB390" s="202"/>
      <c r="CC390" s="202"/>
      <c r="CD390" s="456"/>
      <c r="CE390" s="264"/>
      <c r="CF390" s="264"/>
      <c r="CG390" s="82"/>
      <c r="CH390" s="264"/>
      <c r="CI390" s="264"/>
      <c r="CJ390" s="82"/>
      <c r="CK390" s="264"/>
      <c r="CL390" s="264"/>
      <c r="CM390" s="82"/>
      <c r="CN390" s="264"/>
      <c r="CO390" s="264"/>
      <c r="CP390" s="82"/>
      <c r="CQ390" s="264"/>
      <c r="CR390" s="264"/>
      <c r="CS390" s="82"/>
      <c r="CT390" s="374"/>
      <c r="CU390" s="374"/>
      <c r="CV390" s="365"/>
      <c r="CW390" s="457"/>
      <c r="CX390" s="457"/>
      <c r="CY390" s="616"/>
      <c r="CZ390" s="616"/>
      <c r="DA390" s="616"/>
      <c r="DB390" s="616"/>
      <c r="DC390" s="616"/>
      <c r="DD390" s="616"/>
      <c r="DE390" s="811"/>
      <c r="DF390" s="616"/>
      <c r="DG390" s="572"/>
      <c r="DH390" s="820"/>
      <c r="DI390" s="572"/>
      <c r="DJ390" s="572"/>
      <c r="DK390" s="721"/>
      <c r="DL390" s="572"/>
      <c r="DM390" s="572"/>
      <c r="DN390" s="721"/>
      <c r="DO390" s="572"/>
      <c r="DP390" s="572"/>
      <c r="DQ390" s="705"/>
      <c r="DR390" s="572"/>
      <c r="DS390" s="572"/>
      <c r="DT390" s="705"/>
      <c r="DU390" s="572"/>
      <c r="DV390" s="572"/>
      <c r="DW390" s="705"/>
      <c r="DX390" s="572"/>
      <c r="DY390" s="572"/>
      <c r="DZ390" s="705"/>
      <c r="EA390" s="572"/>
      <c r="EB390" s="572"/>
      <c r="EC390" s="705"/>
      <c r="ED390" s="572"/>
      <c r="EE390" s="572"/>
      <c r="EF390" s="705"/>
      <c r="EG390" s="572"/>
      <c r="EH390" s="572"/>
      <c r="EI390" s="705"/>
      <c r="EJ390" s="572"/>
      <c r="EK390" s="572"/>
      <c r="EL390" s="705"/>
      <c r="EM390" s="572"/>
      <c r="EN390" s="572"/>
      <c r="EO390" s="705"/>
      <c r="EP390" s="572"/>
      <c r="EQ390" s="572"/>
      <c r="ER390" s="705"/>
      <c r="ES390" s="572"/>
      <c r="ET390" s="572"/>
      <c r="EU390" s="705"/>
      <c r="EV390" s="572"/>
      <c r="EW390" s="572"/>
      <c r="EX390" s="705"/>
      <c r="EY390" s="572"/>
      <c r="EZ390" s="572"/>
      <c r="FA390" s="566"/>
    </row>
    <row r="391" spans="1:157" ht="12.75" customHeight="1" collapsed="1">
      <c r="A391" s="760"/>
      <c r="B391" s="458" t="s">
        <v>481</v>
      </c>
      <c r="C391" s="449"/>
      <c r="D391" s="250" t="s">
        <v>357</v>
      </c>
      <c r="E391" s="251"/>
      <c r="F391" s="251"/>
      <c r="G391" s="252"/>
      <c r="H391" s="251"/>
      <c r="I391" s="251"/>
      <c r="J391" s="252"/>
      <c r="K391" s="251"/>
      <c r="L391" s="251"/>
      <c r="M391" s="252"/>
      <c r="N391" s="251"/>
      <c r="O391" s="251"/>
      <c r="P391" s="252"/>
      <c r="Q391" s="251"/>
      <c r="R391" s="251"/>
      <c r="S391" s="252"/>
      <c r="T391" s="251"/>
      <c r="U391" s="251"/>
      <c r="V391" s="252"/>
      <c r="W391" s="251"/>
      <c r="X391" s="251"/>
      <c r="Y391" s="252"/>
      <c r="Z391" s="251"/>
      <c r="AA391" s="251"/>
      <c r="AB391" s="252"/>
      <c r="AC391" s="251"/>
      <c r="AD391" s="251"/>
      <c r="AE391" s="252"/>
      <c r="AF391" s="251"/>
      <c r="AG391" s="251"/>
      <c r="AH391" s="252"/>
      <c r="AI391" s="251"/>
      <c r="AJ391" s="251"/>
      <c r="AK391" s="252"/>
      <c r="AL391" s="251"/>
      <c r="AM391" s="251"/>
      <c r="AN391" s="252"/>
      <c r="AO391" s="251"/>
      <c r="AP391" s="251"/>
      <c r="AQ391" s="252"/>
      <c r="AR391" s="251"/>
      <c r="AS391" s="251"/>
      <c r="AT391" s="252"/>
      <c r="AU391" s="251"/>
      <c r="AV391" s="251"/>
      <c r="AW391" s="252"/>
      <c r="AX391" s="251"/>
      <c r="AY391" s="251"/>
      <c r="AZ391" s="252"/>
      <c r="BA391" s="251"/>
      <c r="BB391" s="251"/>
      <c r="BC391" s="252"/>
      <c r="BD391" s="251"/>
      <c r="BE391" s="251"/>
      <c r="BF391" s="252"/>
      <c r="BG391" s="251"/>
      <c r="BH391" s="251"/>
      <c r="BI391" s="252"/>
      <c r="BJ391" s="251"/>
      <c r="BK391" s="251"/>
      <c r="BL391" s="252"/>
      <c r="BM391" s="435"/>
      <c r="BN391" s="435"/>
      <c r="BO391" s="79"/>
      <c r="BP391" s="435"/>
      <c r="BQ391" s="435"/>
      <c r="BR391" s="79"/>
      <c r="BS391" s="435"/>
      <c r="BT391" s="435"/>
      <c r="BU391" s="254"/>
      <c r="BV391" s="198"/>
      <c r="BW391" s="435"/>
      <c r="BX391" s="79"/>
      <c r="BY391" s="435"/>
      <c r="BZ391" s="435"/>
      <c r="CA391" s="79"/>
      <c r="CB391" s="435"/>
      <c r="CC391" s="435"/>
      <c r="CD391" s="79"/>
      <c r="CE391" s="435"/>
      <c r="CF391" s="435"/>
      <c r="CG391" s="79"/>
      <c r="CH391" s="435"/>
      <c r="CI391" s="435"/>
      <c r="CJ391" s="79"/>
      <c r="CK391" s="435"/>
      <c r="CL391" s="435"/>
      <c r="CM391" s="79"/>
      <c r="CN391" s="435"/>
      <c r="CO391" s="435"/>
      <c r="CP391" s="79"/>
      <c r="CQ391" s="435"/>
      <c r="CR391" s="435"/>
      <c r="CS391" s="79"/>
      <c r="CT391" s="435"/>
      <c r="CU391" s="435"/>
      <c r="CV391" s="93"/>
      <c r="CW391" s="435"/>
      <c r="CX391" s="435"/>
      <c r="CY391" s="613"/>
      <c r="CZ391" s="605"/>
      <c r="DA391" s="605"/>
      <c r="DB391" s="613"/>
      <c r="DC391" s="605"/>
      <c r="DD391" s="605"/>
      <c r="DE391" s="810"/>
      <c r="DF391" s="605"/>
      <c r="DG391" s="605"/>
      <c r="DH391" s="810"/>
      <c r="DI391" s="646">
        <f>+DI375-DI394</f>
        <v>1775.8448291452837</v>
      </c>
      <c r="DJ391" s="646">
        <f>+DJ375-DJ394</f>
        <v>1950.3558953579227</v>
      </c>
      <c r="DK391" s="674">
        <f>SUM(DI391:DJ391)</f>
        <v>3726.2007245032064</v>
      </c>
      <c r="DL391" s="646">
        <f>+DL375-DL394</f>
        <v>2004.0000000000009</v>
      </c>
      <c r="DM391" s="646">
        <f>+DM375-DM394</f>
        <v>2014.5</v>
      </c>
      <c r="DN391" s="674">
        <f>SUM(DL391:DM391)</f>
        <v>4018.5000000000009</v>
      </c>
      <c r="DO391" s="646">
        <f>+DO375-DO394</f>
        <v>2326</v>
      </c>
      <c r="DP391" s="646">
        <f>+DP375-DP394</f>
        <v>2403</v>
      </c>
      <c r="DQ391" s="674">
        <f>SUM(DO391:DP391)</f>
        <v>4729</v>
      </c>
      <c r="DR391" s="646">
        <f>+DR375-DR394</f>
        <v>2621</v>
      </c>
      <c r="DS391" s="646">
        <f>+DS375-DS394</f>
        <v>2712</v>
      </c>
      <c r="DT391" s="674">
        <f>SUM(DR391:DS391)</f>
        <v>5333</v>
      </c>
      <c r="DU391" s="646">
        <f>+DU375-DU394</f>
        <v>2806</v>
      </c>
      <c r="DV391" s="646">
        <f>+DV375-DV394</f>
        <v>2711</v>
      </c>
      <c r="DW391" s="674">
        <f>SUM(DU391:DV391)</f>
        <v>5517</v>
      </c>
      <c r="DX391" s="646">
        <f>+DX375-DX394</f>
        <v>2662</v>
      </c>
      <c r="DY391" s="646">
        <f>+DY375-DY394</f>
        <v>3046.8733937524917</v>
      </c>
      <c r="DZ391" s="674">
        <f>SUM(DX391:DY391)</f>
        <v>5708.8733937524921</v>
      </c>
      <c r="EA391" s="646">
        <f>+EA375-EA394</f>
        <v>2907.7456472201361</v>
      </c>
      <c r="EB391" s="646">
        <f>+EB375-EB394</f>
        <v>3036.5962186155407</v>
      </c>
      <c r="EC391" s="674">
        <f>SUM(EA391:EB391)</f>
        <v>5944.3418658356768</v>
      </c>
      <c r="ED391" s="646">
        <f>+ED375-ED394</f>
        <v>2981.3779736932133</v>
      </c>
      <c r="EE391" s="646">
        <f>+EE375-EE394</f>
        <v>3180.0087770928362</v>
      </c>
      <c r="EF391" s="674">
        <f>SUM(ED391:EE391)</f>
        <v>6161.3867507860496</v>
      </c>
      <c r="EG391" s="646">
        <f>+EG375-EG394</f>
        <v>3122.7873885415488</v>
      </c>
      <c r="EH391" s="646">
        <f>+EH375-EH394</f>
        <v>3336.3643901396808</v>
      </c>
      <c r="EI391" s="674">
        <f>SUM(EG391:EH391)</f>
        <v>6459.1517786812292</v>
      </c>
      <c r="EJ391" s="646">
        <f>+EJ375-EJ394</f>
        <v>3264.4743238215051</v>
      </c>
      <c r="EK391" s="646">
        <f>+EK375-EK394</f>
        <v>3502.6144653057045</v>
      </c>
      <c r="EL391" s="674">
        <f>SUM(EJ391:EK391)</f>
        <v>6767.0887891272096</v>
      </c>
      <c r="EM391" s="646">
        <f>+EM375-EM394</f>
        <v>3351.5050573974004</v>
      </c>
      <c r="EN391" s="646">
        <f>+EN375-EN394</f>
        <v>3626.243407321107</v>
      </c>
      <c r="EO391" s="674">
        <f>SUM(EM391:EN391)</f>
        <v>6977.7484647185074</v>
      </c>
      <c r="EP391" s="646">
        <f>+EP375-EP394</f>
        <v>3473.9109553687176</v>
      </c>
      <c r="EQ391" s="646">
        <f>+EQ375-EQ394</f>
        <v>3764.7829454065813</v>
      </c>
      <c r="ER391" s="674">
        <f>SUM(EP391:EQ391)</f>
        <v>7238.693900775299</v>
      </c>
      <c r="ES391" s="646">
        <f>+ES375-ES394</f>
        <v>3648.4448800699174</v>
      </c>
      <c r="ET391" s="646">
        <f>+ET375-ET394</f>
        <v>3954.7839018053755</v>
      </c>
      <c r="EU391" s="674">
        <f>SUM(ES391:ET391)</f>
        <v>7603.228781875293</v>
      </c>
      <c r="EV391" s="646">
        <f>+EV375-EV394</f>
        <v>3878.6658369941233</v>
      </c>
      <c r="EW391" s="646">
        <f>+EW375-EW394</f>
        <v>4205.1958925498047</v>
      </c>
      <c r="EX391" s="674">
        <f>SUM(EV391:EW391)</f>
        <v>8083.861729543928</v>
      </c>
      <c r="EY391" s="646">
        <f>+EY375-EY394</f>
        <v>4124.1906497030177</v>
      </c>
      <c r="EZ391" s="646">
        <f>+EZ375-EZ394</f>
        <v>4472.2582477511232</v>
      </c>
      <c r="FA391" s="776">
        <f>SUM(EY391:EZ391)</f>
        <v>8596.4488974541418</v>
      </c>
    </row>
    <row r="392" spans="1:157" ht="13.35" customHeight="1">
      <c r="A392" s="760"/>
      <c r="C392" s="4" t="s">
        <v>690</v>
      </c>
      <c r="D392" s="250" t="s">
        <v>507</v>
      </c>
      <c r="E392" s="251"/>
      <c r="F392" s="251"/>
      <c r="G392" s="252"/>
      <c r="H392" s="251"/>
      <c r="I392" s="251"/>
      <c r="J392" s="252"/>
      <c r="K392" s="251"/>
      <c r="L392" s="251"/>
      <c r="M392" s="252"/>
      <c r="N392" s="251"/>
      <c r="O392" s="251"/>
      <c r="P392" s="252"/>
      <c r="Q392" s="251"/>
      <c r="R392" s="251"/>
      <c r="S392" s="252"/>
      <c r="T392" s="251"/>
      <c r="U392" s="251"/>
      <c r="V392" s="252"/>
      <c r="W392" s="251"/>
      <c r="X392" s="251"/>
      <c r="Y392" s="252"/>
      <c r="Z392" s="251"/>
      <c r="AA392" s="251"/>
      <c r="AB392" s="252"/>
      <c r="AC392" s="251"/>
      <c r="AD392" s="251"/>
      <c r="AE392" s="252"/>
      <c r="AF392" s="251"/>
      <c r="AG392" s="251"/>
      <c r="AH392" s="252"/>
      <c r="AI392" s="251"/>
      <c r="AJ392" s="251"/>
      <c r="AK392" s="252"/>
      <c r="AL392" s="251"/>
      <c r="AM392" s="251"/>
      <c r="AN392" s="252"/>
      <c r="AO392" s="251"/>
      <c r="AP392" s="251"/>
      <c r="AQ392" s="252"/>
      <c r="AR392" s="251"/>
      <c r="AS392" s="251"/>
      <c r="AT392" s="252"/>
      <c r="AU392" s="251"/>
      <c r="AV392" s="251"/>
      <c r="AW392" s="252"/>
      <c r="AX392" s="251"/>
      <c r="AY392" s="251"/>
      <c r="AZ392" s="252"/>
      <c r="BA392" s="251"/>
      <c r="BB392" s="251"/>
      <c r="BC392" s="252"/>
      <c r="BD392" s="251"/>
      <c r="BE392" s="251"/>
      <c r="BF392" s="252"/>
      <c r="BG392" s="251"/>
      <c r="BH392" s="251"/>
      <c r="BI392" s="252"/>
      <c r="BJ392" s="251"/>
      <c r="BK392" s="251"/>
      <c r="BL392" s="252"/>
      <c r="BM392" s="259"/>
      <c r="BN392" s="259"/>
      <c r="BO392" s="260"/>
      <c r="BP392" s="259"/>
      <c r="BQ392" s="259"/>
      <c r="BR392" s="260"/>
      <c r="BS392" s="259"/>
      <c r="BT392" s="259"/>
      <c r="BU392" s="261"/>
      <c r="BV392" s="259"/>
      <c r="BW392" s="259"/>
      <c r="BX392" s="260"/>
      <c r="BY392" s="259"/>
      <c r="BZ392" s="259"/>
      <c r="CA392" s="260"/>
      <c r="CB392" s="259"/>
      <c r="CC392" s="259"/>
      <c r="CD392" s="260"/>
      <c r="CE392" s="259"/>
      <c r="CF392" s="259"/>
      <c r="CG392" s="260"/>
      <c r="CH392" s="259"/>
      <c r="CI392" s="259"/>
      <c r="CJ392" s="260"/>
      <c r="CK392" s="259"/>
      <c r="CL392" s="259"/>
      <c r="CM392" s="260"/>
      <c r="CN392" s="259"/>
      <c r="CO392" s="259"/>
      <c r="CP392" s="260"/>
      <c r="CQ392" s="259"/>
      <c r="CR392" s="259"/>
      <c r="CS392" s="260"/>
      <c r="CT392" s="259"/>
      <c r="CU392" s="259"/>
      <c r="CV392" s="260"/>
      <c r="CW392" s="259"/>
      <c r="CX392" s="259"/>
      <c r="CY392" s="334"/>
      <c r="CZ392" s="333"/>
      <c r="DA392" s="333"/>
      <c r="DB392" s="334"/>
      <c r="DC392" s="333"/>
      <c r="DD392" s="333"/>
      <c r="DE392" s="788"/>
      <c r="DF392" s="333"/>
      <c r="DG392" s="333"/>
      <c r="DH392" s="788"/>
      <c r="DI392" s="334"/>
      <c r="DJ392" s="334"/>
      <c r="DK392" s="700"/>
      <c r="DL392" s="334">
        <f t="shared" ref="DL392:FA392" si="372">+DL391/DI391-1</f>
        <v>0.1284769745138874</v>
      </c>
      <c r="DM392" s="334">
        <f t="shared" si="372"/>
        <v>3.2888410158754988E-2</v>
      </c>
      <c r="DN392" s="700">
        <f t="shared" si="372"/>
        <v>7.8444318250129985E-2</v>
      </c>
      <c r="DO392" s="334">
        <f t="shared" si="372"/>
        <v>0.16067864271457033</v>
      </c>
      <c r="DP392" s="334">
        <f t="shared" si="372"/>
        <v>0.19285182427401337</v>
      </c>
      <c r="DQ392" s="700">
        <f t="shared" si="372"/>
        <v>0.17680726639293232</v>
      </c>
      <c r="DR392" s="334">
        <f t="shared" si="372"/>
        <v>0.12682717110920039</v>
      </c>
      <c r="DS392" s="334">
        <f t="shared" si="372"/>
        <v>0.12858926342072419</v>
      </c>
      <c r="DT392" s="700">
        <f t="shared" si="372"/>
        <v>0.12772256290970607</v>
      </c>
      <c r="DU392" s="334">
        <f t="shared" si="372"/>
        <v>7.0583746661579516E-2</v>
      </c>
      <c r="DV392" s="334">
        <f t="shared" si="372"/>
        <v>-3.6873156342187574E-4</v>
      </c>
      <c r="DW392" s="700">
        <f t="shared" si="372"/>
        <v>3.4502156384774052E-2</v>
      </c>
      <c r="DX392" s="334">
        <f t="shared" si="372"/>
        <v>-5.131860299358515E-2</v>
      </c>
      <c r="DY392" s="334">
        <f t="shared" si="372"/>
        <v>0.12389280477775411</v>
      </c>
      <c r="DZ392" s="700">
        <f t="shared" si="372"/>
        <v>3.4778574180259536E-2</v>
      </c>
      <c r="EA392" s="334">
        <f t="shared" si="372"/>
        <v>9.2316171006812997E-2</v>
      </c>
      <c r="EB392" s="334">
        <f t="shared" si="372"/>
        <v>-3.3730233615955063E-3</v>
      </c>
      <c r="EC392" s="700">
        <f t="shared" si="372"/>
        <v>4.1246049061250734E-2</v>
      </c>
      <c r="ED392" s="334">
        <f t="shared" si="372"/>
        <v>2.5322822353279539E-2</v>
      </c>
      <c r="EE392" s="334">
        <f t="shared" si="372"/>
        <v>4.722806331580065E-2</v>
      </c>
      <c r="EF392" s="700">
        <f t="shared" si="372"/>
        <v>3.6512853710149118E-2</v>
      </c>
      <c r="EG392" s="334">
        <f t="shared" si="372"/>
        <v>4.7430891385154661E-2</v>
      </c>
      <c r="EH392" s="334">
        <f t="shared" si="372"/>
        <v>4.9168296066712358E-2</v>
      </c>
      <c r="EI392" s="700">
        <f t="shared" si="372"/>
        <v>4.83275989544385E-2</v>
      </c>
      <c r="EJ392" s="334">
        <f t="shared" si="372"/>
        <v>4.5371944244378737E-2</v>
      </c>
      <c r="EK392" s="334">
        <f t="shared" si="372"/>
        <v>4.9829711543907029E-2</v>
      </c>
      <c r="EL392" s="700">
        <f t="shared" si="372"/>
        <v>4.7674527708474468E-2</v>
      </c>
      <c r="EM392" s="334">
        <f t="shared" si="372"/>
        <v>2.6659953469633679E-2</v>
      </c>
      <c r="EN392" s="334">
        <f t="shared" si="372"/>
        <v>3.5296188958270802E-2</v>
      </c>
      <c r="EO392" s="700">
        <f t="shared" si="372"/>
        <v>3.1130029789141922E-2</v>
      </c>
      <c r="EP392" s="334">
        <f t="shared" si="372"/>
        <v>3.6522665451792946E-2</v>
      </c>
      <c r="EQ392" s="334">
        <f t="shared" si="372"/>
        <v>3.8204699057369895E-2</v>
      </c>
      <c r="ER392" s="700">
        <f t="shared" si="372"/>
        <v>3.7396796026140322E-2</v>
      </c>
      <c r="ES392" s="334">
        <f t="shared" si="372"/>
        <v>5.0241335182028335E-2</v>
      </c>
      <c r="ET392" s="334">
        <f t="shared" si="372"/>
        <v>5.0467970970441867E-2</v>
      </c>
      <c r="EU392" s="700">
        <f t="shared" si="372"/>
        <v>5.0359206522180733E-2</v>
      </c>
      <c r="EV392" s="334">
        <f t="shared" si="372"/>
        <v>6.3101119652873683E-2</v>
      </c>
      <c r="EW392" s="334">
        <f t="shared" si="372"/>
        <v>6.3318754440695235E-2</v>
      </c>
      <c r="EX392" s="700">
        <f t="shared" si="372"/>
        <v>6.3214321370202109E-2</v>
      </c>
      <c r="EY392" s="334">
        <f t="shared" si="372"/>
        <v>6.3301357484090603E-2</v>
      </c>
      <c r="EZ392" s="334">
        <f t="shared" si="372"/>
        <v>6.3507708564650489E-2</v>
      </c>
      <c r="FA392" s="523">
        <f t="shared" si="372"/>
        <v>6.3408700576467192E-2</v>
      </c>
    </row>
    <row r="393" spans="1:157" ht="13.35" customHeight="1">
      <c r="A393" s="760"/>
      <c r="B393" s="4"/>
      <c r="C393" s="4"/>
      <c r="D393" s="250"/>
      <c r="E393" s="251"/>
      <c r="F393" s="251"/>
      <c r="G393" s="252"/>
      <c r="H393" s="251"/>
      <c r="I393" s="251"/>
      <c r="J393" s="252"/>
      <c r="K393" s="251"/>
      <c r="L393" s="251"/>
      <c r="M393" s="252"/>
      <c r="N393" s="251"/>
      <c r="O393" s="251"/>
      <c r="P393" s="252"/>
      <c r="Q393" s="251"/>
      <c r="R393" s="251"/>
      <c r="S393" s="252"/>
      <c r="T393" s="251"/>
      <c r="U393" s="251"/>
      <c r="V393" s="252"/>
      <c r="W393" s="251"/>
      <c r="X393" s="251"/>
      <c r="Y393" s="252"/>
      <c r="Z393" s="251"/>
      <c r="AA393" s="251"/>
      <c r="AB393" s="252"/>
      <c r="AC393" s="251"/>
      <c r="AD393" s="251"/>
      <c r="AE393" s="252"/>
      <c r="AF393" s="251"/>
      <c r="AG393" s="251"/>
      <c r="AH393" s="252"/>
      <c r="AI393" s="251"/>
      <c r="AJ393" s="251"/>
      <c r="AK393" s="252"/>
      <c r="AL393" s="251"/>
      <c r="AM393" s="251"/>
      <c r="AN393" s="252"/>
      <c r="AO393" s="251"/>
      <c r="AP393" s="251"/>
      <c r="AQ393" s="252"/>
      <c r="AR393" s="251"/>
      <c r="AS393" s="251"/>
      <c r="AT393" s="252"/>
      <c r="AU393" s="251"/>
      <c r="AV393" s="251"/>
      <c r="AW393" s="252"/>
      <c r="AX393" s="251"/>
      <c r="AY393" s="251"/>
      <c r="AZ393" s="252"/>
      <c r="BA393" s="251"/>
      <c r="BB393" s="251"/>
      <c r="BC393" s="252"/>
      <c r="BD393" s="251"/>
      <c r="BE393" s="251"/>
      <c r="BF393" s="252"/>
      <c r="BG393" s="251"/>
      <c r="BH393" s="251"/>
      <c r="BI393" s="252"/>
      <c r="BJ393" s="251"/>
      <c r="BK393" s="251"/>
      <c r="BL393" s="252"/>
      <c r="BM393" s="259"/>
      <c r="BN393" s="259"/>
      <c r="BO393" s="260"/>
      <c r="BP393" s="259"/>
      <c r="BQ393" s="259"/>
      <c r="BR393" s="260"/>
      <c r="BS393" s="259"/>
      <c r="BT393" s="259"/>
      <c r="BU393" s="261"/>
      <c r="BV393" s="259"/>
      <c r="BW393" s="259"/>
      <c r="BX393" s="260"/>
      <c r="BY393" s="259"/>
      <c r="BZ393" s="259"/>
      <c r="CA393" s="260"/>
      <c r="CB393" s="259"/>
      <c r="CC393" s="259"/>
      <c r="CD393" s="260"/>
      <c r="CE393" s="259"/>
      <c r="CF393" s="259"/>
      <c r="CG393" s="260"/>
      <c r="CH393" s="259"/>
      <c r="CI393" s="259"/>
      <c r="CJ393" s="260"/>
      <c r="CK393" s="259"/>
      <c r="CL393" s="259"/>
      <c r="CM393" s="260"/>
      <c r="CN393" s="259"/>
      <c r="CO393" s="259"/>
      <c r="CP393" s="260"/>
      <c r="CQ393" s="259"/>
      <c r="CR393" s="259"/>
      <c r="CS393" s="260"/>
      <c r="CT393" s="259"/>
      <c r="CU393" s="259"/>
      <c r="CV393" s="260"/>
      <c r="CW393" s="259"/>
      <c r="CX393" s="259"/>
      <c r="CY393" s="556"/>
      <c r="CZ393" s="617"/>
      <c r="DA393" s="617"/>
      <c r="DB393" s="334"/>
      <c r="DC393" s="617"/>
      <c r="DD393" s="617"/>
      <c r="DE393" s="812"/>
      <c r="DF393" s="617"/>
      <c r="DG393" s="617"/>
      <c r="DH393" s="812"/>
      <c r="DI393" s="10"/>
      <c r="DJ393" s="9"/>
      <c r="DK393" s="722"/>
      <c r="DL393" s="18"/>
      <c r="DM393" s="617"/>
      <c r="DN393" s="700"/>
      <c r="DO393" s="489"/>
      <c r="DP393" s="489"/>
      <c r="DQ393" s="696"/>
      <c r="DR393" s="489"/>
      <c r="DS393" s="489"/>
      <c r="DT393" s="696"/>
      <c r="DU393" s="489"/>
      <c r="DV393" s="489"/>
      <c r="DW393" s="696"/>
      <c r="DX393" s="489"/>
      <c r="DY393" s="489"/>
      <c r="DZ393" s="696"/>
      <c r="EA393" s="489"/>
      <c r="EB393" s="489"/>
      <c r="EC393" s="696"/>
      <c r="ED393" s="617"/>
      <c r="EE393" s="617"/>
      <c r="EF393" s="696"/>
      <c r="EG393" s="617"/>
      <c r="EH393" s="617"/>
      <c r="EI393" s="696"/>
      <c r="EJ393" s="617"/>
      <c r="EK393" s="617"/>
      <c r="EL393" s="696"/>
      <c r="EM393" s="617"/>
      <c r="EN393" s="617"/>
      <c r="EO393" s="696"/>
      <c r="EP393" s="617"/>
      <c r="EQ393" s="617"/>
      <c r="ER393" s="696"/>
      <c r="ES393" s="617"/>
      <c r="ET393" s="617"/>
      <c r="EU393" s="696"/>
      <c r="EV393" s="617"/>
      <c r="EW393" s="617"/>
      <c r="EX393" s="696"/>
      <c r="EY393" s="617"/>
      <c r="EZ393" s="617"/>
      <c r="FA393" s="523"/>
    </row>
    <row r="394" spans="1:157" ht="13.35" customHeight="1">
      <c r="A394" s="760" t="s">
        <v>1067</v>
      </c>
      <c r="B394" s="459" t="s">
        <v>38</v>
      </c>
      <c r="C394" s="4"/>
      <c r="D394" s="250" t="s">
        <v>357</v>
      </c>
      <c r="E394" s="251"/>
      <c r="F394" s="251"/>
      <c r="G394" s="252"/>
      <c r="H394" s="251"/>
      <c r="I394" s="251"/>
      <c r="J394" s="252"/>
      <c r="K394" s="251"/>
      <c r="L394" s="251"/>
      <c r="M394" s="252"/>
      <c r="N394" s="251"/>
      <c r="O394" s="251"/>
      <c r="P394" s="252"/>
      <c r="Q394" s="251"/>
      <c r="R394" s="251"/>
      <c r="S394" s="252"/>
      <c r="T394" s="251"/>
      <c r="U394" s="251"/>
      <c r="V394" s="252"/>
      <c r="W394" s="251"/>
      <c r="X394" s="251"/>
      <c r="Y394" s="252"/>
      <c r="Z394" s="251"/>
      <c r="AA394" s="251"/>
      <c r="AB394" s="252"/>
      <c r="AC394" s="251"/>
      <c r="AD394" s="251"/>
      <c r="AE394" s="252"/>
      <c r="AF394" s="251"/>
      <c r="AG394" s="251"/>
      <c r="AH394" s="252"/>
      <c r="AI394" s="251"/>
      <c r="AJ394" s="251"/>
      <c r="AK394" s="252"/>
      <c r="AL394" s="251"/>
      <c r="AM394" s="251"/>
      <c r="AN394" s="252"/>
      <c r="AO394" s="251"/>
      <c r="AP394" s="251"/>
      <c r="AQ394" s="252"/>
      <c r="AR394" s="251"/>
      <c r="AS394" s="251"/>
      <c r="AT394" s="252"/>
      <c r="AU394" s="251"/>
      <c r="AV394" s="251"/>
      <c r="AW394" s="252"/>
      <c r="AX394" s="251"/>
      <c r="AY394" s="251"/>
      <c r="AZ394" s="252"/>
      <c r="BA394" s="251"/>
      <c r="BB394" s="251"/>
      <c r="BC394" s="252"/>
      <c r="BD394" s="251"/>
      <c r="BE394" s="251"/>
      <c r="BF394" s="252"/>
      <c r="BG394" s="251"/>
      <c r="BH394" s="251"/>
      <c r="BI394" s="252"/>
      <c r="BJ394" s="251"/>
      <c r="BK394" s="251"/>
      <c r="BL394" s="252"/>
      <c r="BM394" s="198"/>
      <c r="BN394" s="198"/>
      <c r="BO394" s="79"/>
      <c r="BP394" s="198"/>
      <c r="BQ394" s="198"/>
      <c r="BR394" s="79"/>
      <c r="BS394" s="198"/>
      <c r="BT394" s="198"/>
      <c r="BU394" s="254"/>
      <c r="BV394" s="198"/>
      <c r="BW394" s="198"/>
      <c r="BX394" s="79"/>
      <c r="BY394" s="198"/>
      <c r="BZ394" s="198"/>
      <c r="CA394" s="79"/>
      <c r="CB394" s="198"/>
      <c r="CC394" s="198"/>
      <c r="CD394" s="79"/>
      <c r="CE394" s="198"/>
      <c r="CF394" s="198"/>
      <c r="CG394" s="79"/>
      <c r="CH394" s="198"/>
      <c r="CI394" s="198"/>
      <c r="CJ394" s="79"/>
      <c r="CK394" s="198"/>
      <c r="CL394" s="198"/>
      <c r="CM394" s="79"/>
      <c r="CN394" s="198"/>
      <c r="CO394" s="198"/>
      <c r="CP394" s="79"/>
      <c r="CQ394" s="198"/>
      <c r="CR394" s="198"/>
      <c r="CS394" s="79"/>
      <c r="CT394" s="198"/>
      <c r="CU394" s="198"/>
      <c r="CV394" s="79"/>
      <c r="CW394" s="198"/>
      <c r="CX394" s="198"/>
      <c r="CY394" s="488"/>
      <c r="CZ394" s="489"/>
      <c r="DA394" s="489"/>
      <c r="DB394" s="488"/>
      <c r="DC394" s="489"/>
      <c r="DD394" s="489"/>
      <c r="DE394" s="783"/>
      <c r="DF394" s="489"/>
      <c r="DG394" s="489"/>
      <c r="DH394" s="783"/>
      <c r="DI394" s="924">
        <v>2539.1</v>
      </c>
      <c r="DJ394" s="646">
        <f>+DK394-DI394</f>
        <v>2308.5000000000005</v>
      </c>
      <c r="DK394" s="685">
        <v>4847.6000000000004</v>
      </c>
      <c r="DL394" s="924">
        <v>2352.1999999999998</v>
      </c>
      <c r="DM394" s="646">
        <f>+DN394-DL394</f>
        <v>2227.6999999999998</v>
      </c>
      <c r="DN394" s="685">
        <v>4579.8999999999996</v>
      </c>
      <c r="DO394" s="924">
        <v>2231</v>
      </c>
      <c r="DP394" s="646">
        <f>+DQ394-DO394</f>
        <v>2330</v>
      </c>
      <c r="DQ394" s="685">
        <v>4561</v>
      </c>
      <c r="DR394" s="924">
        <v>2617</v>
      </c>
      <c r="DS394" s="646">
        <f>+DT394-DR394</f>
        <v>2658</v>
      </c>
      <c r="DT394" s="685">
        <v>5275</v>
      </c>
      <c r="DU394" s="924">
        <v>2937</v>
      </c>
      <c r="DV394" s="646">
        <f>+DW394-DU394</f>
        <v>2704</v>
      </c>
      <c r="DW394" s="685">
        <v>5641</v>
      </c>
      <c r="DX394" s="924">
        <v>2788</v>
      </c>
      <c r="DY394" s="646">
        <f>+DY375*DY395</f>
        <v>3071.34627241717</v>
      </c>
      <c r="DZ394" s="674">
        <f>SUM(DX394:DY394)</f>
        <v>5859.3462724171695</v>
      </c>
      <c r="EA394" s="646">
        <f>+EA375*EA395</f>
        <v>3087.6062027182893</v>
      </c>
      <c r="EB394" s="646">
        <f>+EB375*EB395</f>
        <v>3424.2467997153976</v>
      </c>
      <c r="EC394" s="674">
        <f>SUM(EA394:EB394)</f>
        <v>6511.8530024336869</v>
      </c>
      <c r="ED394" s="646">
        <f>+ED375*ED395</f>
        <v>3430.1875611309019</v>
      </c>
      <c r="EE394" s="646">
        <f>+EE375*EE395</f>
        <v>3733.0537818046346</v>
      </c>
      <c r="EF394" s="674">
        <f>SUM(ED394:EE394)</f>
        <v>7163.2413429355365</v>
      </c>
      <c r="EG394" s="646">
        <f>+EG375*EG395</f>
        <v>3740.4815972640531</v>
      </c>
      <c r="EH394" s="646">
        <f>+EH375*EH395</f>
        <v>4077.7786990596105</v>
      </c>
      <c r="EI394" s="674">
        <f>SUM(EG394:EH394)</f>
        <v>7818.2602963236641</v>
      </c>
      <c r="EJ394" s="646">
        <f>+EJ375*EJ395</f>
        <v>4071.4230330807541</v>
      </c>
      <c r="EK394" s="646">
        <f>+EK375*EK395</f>
        <v>4457.8729558436244</v>
      </c>
      <c r="EL394" s="674">
        <f>SUM(EJ394:EK394)</f>
        <v>8529.2959889243793</v>
      </c>
      <c r="EM394" s="646">
        <f>+EM375*EM395</f>
        <v>4442.6927505035301</v>
      </c>
      <c r="EN394" s="646">
        <f>+EN375*EN395</f>
        <v>4806.8807957512336</v>
      </c>
      <c r="EO394" s="674">
        <f>SUM(EM394:EN394)</f>
        <v>9249.5735462547636</v>
      </c>
      <c r="EP394" s="646">
        <f>+EP375*EP395</f>
        <v>4797.3056050329906</v>
      </c>
      <c r="EQ394" s="646">
        <f>+EQ375*EQ395</f>
        <v>5198.9859722281362</v>
      </c>
      <c r="ER394" s="674">
        <f>SUM(EP394:EQ394)</f>
        <v>9996.2915772611268</v>
      </c>
      <c r="ES394" s="646">
        <f>+ES375*ES395</f>
        <v>5142.9885658816893</v>
      </c>
      <c r="ET394" s="646">
        <f>+ET375*ET395</f>
        <v>5574.8158615810707</v>
      </c>
      <c r="EU394" s="674">
        <f>SUM(ES394:ET394)</f>
        <v>10717.804427462761</v>
      </c>
      <c r="EV394" s="646">
        <f>+EV375*EV395</f>
        <v>5467.5169027507509</v>
      </c>
      <c r="EW394" s="646">
        <f>+EW375*EW395</f>
        <v>5927.8062581726163</v>
      </c>
      <c r="EX394" s="674">
        <f>SUM(EV394:EW394)</f>
        <v>11395.323160923366</v>
      </c>
      <c r="EY394" s="646">
        <f>+EY375*EY395</f>
        <v>5813.6181447620838</v>
      </c>
      <c r="EZ394" s="646">
        <f>+EZ375*EZ395</f>
        <v>6304.2676504443543</v>
      </c>
      <c r="FA394" s="776">
        <f>SUM(EY394:EZ394)</f>
        <v>12117.885795206439</v>
      </c>
    </row>
    <row r="395" spans="1:157" ht="13.35" customHeight="1">
      <c r="A395" s="760"/>
      <c r="B395" s="4"/>
      <c r="C395" s="4" t="s">
        <v>179</v>
      </c>
      <c r="D395" s="250" t="s">
        <v>507</v>
      </c>
      <c r="E395" s="251"/>
      <c r="F395" s="251"/>
      <c r="G395" s="252"/>
      <c r="H395" s="251"/>
      <c r="I395" s="251"/>
      <c r="J395" s="252"/>
      <c r="K395" s="251"/>
      <c r="L395" s="251"/>
      <c r="M395" s="252"/>
      <c r="N395" s="251"/>
      <c r="O395" s="251"/>
      <c r="P395" s="252"/>
      <c r="Q395" s="251"/>
      <c r="R395" s="251"/>
      <c r="S395" s="252"/>
      <c r="T395" s="251"/>
      <c r="U395" s="251"/>
      <c r="V395" s="252"/>
      <c r="W395" s="251"/>
      <c r="X395" s="251"/>
      <c r="Y395" s="252"/>
      <c r="Z395" s="251"/>
      <c r="AA395" s="251"/>
      <c r="AB395" s="252"/>
      <c r="AC395" s="251"/>
      <c r="AD395" s="251"/>
      <c r="AE395" s="252"/>
      <c r="AF395" s="251"/>
      <c r="AG395" s="251"/>
      <c r="AH395" s="252"/>
      <c r="AI395" s="251"/>
      <c r="AJ395" s="251"/>
      <c r="AK395" s="252"/>
      <c r="AL395" s="251"/>
      <c r="AM395" s="251"/>
      <c r="AN395" s="252"/>
      <c r="AO395" s="251"/>
      <c r="AP395" s="251"/>
      <c r="AQ395" s="252"/>
      <c r="AR395" s="251"/>
      <c r="AS395" s="251"/>
      <c r="AT395" s="252"/>
      <c r="AU395" s="251"/>
      <c r="AV395" s="251"/>
      <c r="AW395" s="252"/>
      <c r="AX395" s="251"/>
      <c r="AY395" s="251"/>
      <c r="AZ395" s="252"/>
      <c r="BA395" s="251"/>
      <c r="BB395" s="251"/>
      <c r="BC395" s="252"/>
      <c r="BD395" s="251"/>
      <c r="BE395" s="251"/>
      <c r="BF395" s="252"/>
      <c r="BG395" s="251"/>
      <c r="BH395" s="251"/>
      <c r="BI395" s="252"/>
      <c r="BJ395" s="251"/>
      <c r="BK395" s="251"/>
      <c r="BL395" s="252"/>
      <c r="BM395" s="259"/>
      <c r="BN395" s="259"/>
      <c r="BO395" s="260"/>
      <c r="BP395" s="259"/>
      <c r="BQ395" s="259"/>
      <c r="BR395" s="260"/>
      <c r="BS395" s="259"/>
      <c r="BT395" s="259"/>
      <c r="BU395" s="261"/>
      <c r="BV395" s="259"/>
      <c r="BW395" s="259"/>
      <c r="BX395" s="260"/>
      <c r="BY395" s="259"/>
      <c r="BZ395" s="259"/>
      <c r="CA395" s="260"/>
      <c r="CB395" s="259"/>
      <c r="CC395" s="259"/>
      <c r="CD395" s="260"/>
      <c r="CE395" s="259"/>
      <c r="CF395" s="259"/>
      <c r="CG395" s="260"/>
      <c r="CH395" s="259"/>
      <c r="CI395" s="259"/>
      <c r="CJ395" s="260"/>
      <c r="CK395" s="259"/>
      <c r="CL395" s="259"/>
      <c r="CM395" s="260"/>
      <c r="CN395" s="259"/>
      <c r="CO395" s="259"/>
      <c r="CP395" s="260"/>
      <c r="CQ395" s="259"/>
      <c r="CR395" s="259"/>
      <c r="CS395" s="260"/>
      <c r="CT395" s="259"/>
      <c r="CU395" s="259"/>
      <c r="CV395" s="260"/>
      <c r="CW395" s="259"/>
      <c r="CX395" s="259"/>
      <c r="CY395" s="334"/>
      <c r="CZ395" s="333"/>
      <c r="DA395" s="333"/>
      <c r="DB395" s="334"/>
      <c r="DC395" s="333"/>
      <c r="DD395" s="333"/>
      <c r="DE395" s="788"/>
      <c r="DF395" s="333"/>
      <c r="DG395" s="333"/>
      <c r="DH395" s="788"/>
      <c r="DI395" s="334">
        <f t="shared" ref="DI395:DW395" si="373">DI394/DI375</f>
        <v>0.58844321319004023</v>
      </c>
      <c r="DJ395" s="334">
        <f t="shared" si="373"/>
        <v>0.54204698555690134</v>
      </c>
      <c r="DK395" s="700">
        <f t="shared" si="373"/>
        <v>0.56539685907860726</v>
      </c>
      <c r="DL395" s="334">
        <f t="shared" si="373"/>
        <v>0.53996602543501204</v>
      </c>
      <c r="DM395" s="334">
        <f t="shared" si="373"/>
        <v>0.52512847107632832</v>
      </c>
      <c r="DN395" s="700">
        <f t="shared" si="373"/>
        <v>0.5326456084852994</v>
      </c>
      <c r="DO395" s="334">
        <f t="shared" si="373"/>
        <v>0.48957647575159097</v>
      </c>
      <c r="DP395" s="334">
        <f t="shared" si="373"/>
        <v>0.49228818930910628</v>
      </c>
      <c r="DQ395" s="700">
        <f t="shared" si="373"/>
        <v>0.49095801937567279</v>
      </c>
      <c r="DR395" s="334">
        <f t="shared" si="373"/>
        <v>0.49961817487590682</v>
      </c>
      <c r="DS395" s="334">
        <f t="shared" si="373"/>
        <v>0.49497206703910612</v>
      </c>
      <c r="DT395" s="700">
        <f t="shared" si="373"/>
        <v>0.49726621417797889</v>
      </c>
      <c r="DU395" s="334">
        <f t="shared" si="373"/>
        <v>0.51140518892564857</v>
      </c>
      <c r="DV395" s="334">
        <f t="shared" si="373"/>
        <v>0.49935364727608494</v>
      </c>
      <c r="DW395" s="700">
        <f t="shared" si="373"/>
        <v>0.50555655135328914</v>
      </c>
      <c r="DX395" s="334">
        <f t="shared" ref="DX395" si="374">DX394/DX375</f>
        <v>0.51155963302752294</v>
      </c>
      <c r="DY395" s="749">
        <v>0.502</v>
      </c>
      <c r="DZ395" s="700">
        <f>DZ394/DZ375</f>
        <v>0.5065037180744727</v>
      </c>
      <c r="EA395" s="749">
        <v>0.51500000000000001</v>
      </c>
      <c r="EB395" s="749">
        <v>0.53</v>
      </c>
      <c r="EC395" s="700">
        <f>EC394/EC375</f>
        <v>0.52278027690637996</v>
      </c>
      <c r="ED395" s="749">
        <v>0.53500000000000003</v>
      </c>
      <c r="EE395" s="749">
        <v>0.54</v>
      </c>
      <c r="EF395" s="700">
        <f>EF394/EF375</f>
        <v>0.53759409212410025</v>
      </c>
      <c r="EG395" s="749">
        <f>+ED395+1%</f>
        <v>0.54500000000000004</v>
      </c>
      <c r="EH395" s="749">
        <f>+EE395+1%</f>
        <v>0.55000000000000004</v>
      </c>
      <c r="EI395" s="700">
        <f>EI394/EI375</f>
        <v>0.54759645902571485</v>
      </c>
      <c r="EJ395" s="749">
        <f>+EG395+1%</f>
        <v>0.55500000000000005</v>
      </c>
      <c r="EK395" s="749">
        <v>0.56000000000000005</v>
      </c>
      <c r="EL395" s="700">
        <f>EL394/EL375</f>
        <v>0.5576020813207353</v>
      </c>
      <c r="EM395" s="749">
        <v>0.56999999999999995</v>
      </c>
      <c r="EN395" s="749">
        <v>0.56999999999999995</v>
      </c>
      <c r="EO395" s="700">
        <f>EO394/EO375</f>
        <v>0.56999999999999995</v>
      </c>
      <c r="EP395" s="334">
        <v>0.57999999999999996</v>
      </c>
      <c r="EQ395" s="334">
        <f>+EP395</f>
        <v>0.57999999999999996</v>
      </c>
      <c r="ER395" s="700">
        <f>ER394/ER375</f>
        <v>0.57999999999999996</v>
      </c>
      <c r="ES395" s="334">
        <v>0.58499999999999996</v>
      </c>
      <c r="ET395" s="334">
        <f>+ES395</f>
        <v>0.58499999999999996</v>
      </c>
      <c r="EU395" s="700">
        <f>EU394/EU375</f>
        <v>0.58499999999999996</v>
      </c>
      <c r="EV395" s="334">
        <f>+ET395</f>
        <v>0.58499999999999996</v>
      </c>
      <c r="EW395" s="334">
        <f>+EV395</f>
        <v>0.58499999999999996</v>
      </c>
      <c r="EX395" s="700">
        <f>EX394/EX375</f>
        <v>0.58499999999999996</v>
      </c>
      <c r="EY395" s="334">
        <f>+EW395</f>
        <v>0.58499999999999996</v>
      </c>
      <c r="EZ395" s="334">
        <f>+EY395</f>
        <v>0.58499999999999996</v>
      </c>
      <c r="FA395" s="523">
        <f>FA394/FA375</f>
        <v>0.58499999999999996</v>
      </c>
    </row>
    <row r="396" spans="1:157" ht="13.35" customHeight="1">
      <c r="A396" s="760"/>
      <c r="B396" s="4"/>
      <c r="C396" s="4"/>
      <c r="D396" s="250"/>
      <c r="E396" s="251"/>
      <c r="F396" s="251"/>
      <c r="G396" s="252"/>
      <c r="H396" s="251"/>
      <c r="I396" s="251"/>
      <c r="J396" s="252"/>
      <c r="K396" s="251"/>
      <c r="L396" s="251"/>
      <c r="M396" s="252"/>
      <c r="N396" s="251"/>
      <c r="O396" s="251"/>
      <c r="P396" s="252"/>
      <c r="Q396" s="251"/>
      <c r="R396" s="251"/>
      <c r="S396" s="252"/>
      <c r="T396" s="251"/>
      <c r="U396" s="251"/>
      <c r="V396" s="252"/>
      <c r="W396" s="251"/>
      <c r="X396" s="251"/>
      <c r="Y396" s="252"/>
      <c r="Z396" s="251"/>
      <c r="AA396" s="251"/>
      <c r="AB396" s="252"/>
      <c r="AC396" s="251"/>
      <c r="AD396" s="251"/>
      <c r="AE396" s="252"/>
      <c r="AF396" s="251"/>
      <c r="AG396" s="251"/>
      <c r="AH396" s="252"/>
      <c r="AI396" s="251"/>
      <c r="AJ396" s="251"/>
      <c r="AK396" s="252"/>
      <c r="AL396" s="251"/>
      <c r="AM396" s="251"/>
      <c r="AN396" s="252"/>
      <c r="AO396" s="251"/>
      <c r="AP396" s="251"/>
      <c r="AQ396" s="252"/>
      <c r="AR396" s="251"/>
      <c r="AS396" s="251"/>
      <c r="AT396" s="252"/>
      <c r="AU396" s="251"/>
      <c r="AV396" s="251"/>
      <c r="AW396" s="252"/>
      <c r="AX396" s="251"/>
      <c r="AY396" s="251"/>
      <c r="AZ396" s="252"/>
      <c r="BA396" s="251"/>
      <c r="BB396" s="251"/>
      <c r="BC396" s="252"/>
      <c r="BD396" s="251"/>
      <c r="BE396" s="251"/>
      <c r="BF396" s="252"/>
      <c r="BG396" s="251"/>
      <c r="BH396" s="251"/>
      <c r="BI396" s="252"/>
      <c r="BJ396" s="251"/>
      <c r="BK396" s="251"/>
      <c r="BL396" s="252"/>
      <c r="BM396" s="259"/>
      <c r="BN396" s="259"/>
      <c r="BO396" s="260"/>
      <c r="BP396" s="259"/>
      <c r="BQ396" s="259"/>
      <c r="BR396" s="260"/>
      <c r="BS396" s="259"/>
      <c r="BT396" s="259"/>
      <c r="BU396" s="261"/>
      <c r="BV396" s="259"/>
      <c r="BW396" s="259"/>
      <c r="BX396" s="260"/>
      <c r="BY396" s="259"/>
      <c r="BZ396" s="259"/>
      <c r="CA396" s="260"/>
      <c r="CB396" s="259"/>
      <c r="CC396" s="259"/>
      <c r="CD396" s="260"/>
      <c r="CE396" s="259"/>
      <c r="CF396" s="259"/>
      <c r="CG396" s="260"/>
      <c r="CH396" s="259"/>
      <c r="CI396" s="259"/>
      <c r="CJ396" s="260"/>
      <c r="CK396" s="259"/>
      <c r="CL396" s="259"/>
      <c r="CM396" s="260"/>
      <c r="CN396" s="259"/>
      <c r="CO396" s="259"/>
      <c r="CP396" s="260"/>
      <c r="CQ396" s="259"/>
      <c r="CR396" s="259"/>
      <c r="CS396" s="260"/>
      <c r="CT396" s="259"/>
      <c r="CU396" s="259"/>
      <c r="CV396" s="260"/>
      <c r="CW396" s="259"/>
      <c r="CX396" s="259"/>
      <c r="CY396" s="334"/>
      <c r="CZ396" s="333"/>
      <c r="DA396" s="333"/>
      <c r="DB396" s="334"/>
      <c r="DC396" s="333"/>
      <c r="DD396" s="333"/>
      <c r="DE396" s="788"/>
      <c r="DF396" s="333"/>
      <c r="DG396" s="333"/>
      <c r="DH396" s="788"/>
      <c r="DI396" s="333"/>
      <c r="DJ396" s="333"/>
      <c r="DK396" s="700"/>
      <c r="DL396" s="333"/>
      <c r="DM396" s="333"/>
      <c r="DN396" s="700"/>
      <c r="DO396" s="333"/>
      <c r="DP396" s="333"/>
      <c r="DQ396" s="700"/>
      <c r="DR396" s="333"/>
      <c r="DS396" s="333"/>
      <c r="DT396" s="700"/>
      <c r="DU396" s="333"/>
      <c r="DV396" s="333"/>
      <c r="DW396" s="700"/>
      <c r="DX396" s="333"/>
      <c r="DY396" s="333"/>
      <c r="DZ396" s="700"/>
      <c r="EA396" s="333"/>
      <c r="EB396" s="333"/>
      <c r="EC396" s="700">
        <f>+EC395-DZ395</f>
        <v>1.6276558831907262E-2</v>
      </c>
      <c r="ED396" s="333"/>
      <c r="EE396" s="333"/>
      <c r="EF396" s="700">
        <f>+EF395-EC395</f>
        <v>1.4813815217720294E-2</v>
      </c>
      <c r="EG396" s="333"/>
      <c r="EH396" s="333"/>
      <c r="EI396" s="700">
        <f>+EI395-EF395</f>
        <v>1.0002366901614601E-2</v>
      </c>
      <c r="EJ396" s="333"/>
      <c r="EK396" s="333"/>
      <c r="EL396" s="700">
        <f>+EL395-EI395</f>
        <v>1.0005622295020444E-2</v>
      </c>
      <c r="EM396" s="333"/>
      <c r="EN396" s="523"/>
      <c r="EO396" s="700">
        <f>+EO395-EL395</f>
        <v>1.2397918679264652E-2</v>
      </c>
      <c r="EP396" s="333"/>
      <c r="EQ396" s="333"/>
      <c r="ER396" s="700"/>
      <c r="ES396" s="333"/>
      <c r="ET396" s="333"/>
      <c r="EU396" s="700"/>
      <c r="EV396" s="333"/>
      <c r="EW396" s="333"/>
      <c r="EX396" s="700"/>
      <c r="EY396" s="333"/>
      <c r="EZ396" s="333"/>
      <c r="FA396" s="523"/>
    </row>
    <row r="397" spans="1:157" ht="13.35" customHeight="1">
      <c r="A397" s="760"/>
      <c r="B397" s="458" t="s">
        <v>909</v>
      </c>
      <c r="C397" s="449"/>
      <c r="D397" s="250" t="s">
        <v>357</v>
      </c>
      <c r="E397" s="251"/>
      <c r="F397" s="251"/>
      <c r="G397" s="252"/>
      <c r="H397" s="251"/>
      <c r="I397" s="251"/>
      <c r="J397" s="252"/>
      <c r="K397" s="251"/>
      <c r="L397" s="251"/>
      <c r="M397" s="252"/>
      <c r="N397" s="251"/>
      <c r="O397" s="251"/>
      <c r="P397" s="252"/>
      <c r="Q397" s="251"/>
      <c r="R397" s="251"/>
      <c r="S397" s="252"/>
      <c r="T397" s="251"/>
      <c r="U397" s="251"/>
      <c r="V397" s="252"/>
      <c r="W397" s="251"/>
      <c r="X397" s="251"/>
      <c r="Y397" s="252"/>
      <c r="Z397" s="251"/>
      <c r="AA397" s="251"/>
      <c r="AB397" s="252"/>
      <c r="AC397" s="251"/>
      <c r="AD397" s="251"/>
      <c r="AE397" s="252"/>
      <c r="AF397" s="251"/>
      <c r="AG397" s="251"/>
      <c r="AH397" s="252"/>
      <c r="AI397" s="251"/>
      <c r="AJ397" s="251"/>
      <c r="AK397" s="252"/>
      <c r="AL397" s="251"/>
      <c r="AM397" s="251"/>
      <c r="AN397" s="252"/>
      <c r="AO397" s="251"/>
      <c r="AP397" s="251"/>
      <c r="AQ397" s="252"/>
      <c r="AR397" s="251"/>
      <c r="AS397" s="251"/>
      <c r="AT397" s="252"/>
      <c r="AU397" s="251"/>
      <c r="AV397" s="251"/>
      <c r="AW397" s="252"/>
      <c r="AX397" s="251"/>
      <c r="AY397" s="251"/>
      <c r="AZ397" s="252"/>
      <c r="BA397" s="251"/>
      <c r="BB397" s="251"/>
      <c r="BC397" s="252"/>
      <c r="BD397" s="251"/>
      <c r="BE397" s="251"/>
      <c r="BF397" s="252"/>
      <c r="BG397" s="251"/>
      <c r="BH397" s="251"/>
      <c r="BI397" s="252"/>
      <c r="BJ397" s="251"/>
      <c r="BK397" s="251"/>
      <c r="BL397" s="252"/>
      <c r="BM397" s="259"/>
      <c r="BN397" s="259"/>
      <c r="BO397" s="260"/>
      <c r="BP397" s="259"/>
      <c r="BQ397" s="259"/>
      <c r="BR397" s="260"/>
      <c r="BS397" s="259"/>
      <c r="BT397" s="259"/>
      <c r="BU397" s="261"/>
      <c r="BV397" s="259"/>
      <c r="BW397" s="259"/>
      <c r="BX397" s="260"/>
      <c r="BY397" s="259"/>
      <c r="BZ397" s="259"/>
      <c r="CA397" s="260"/>
      <c r="CB397" s="259"/>
      <c r="CC397" s="259"/>
      <c r="CD397" s="260"/>
      <c r="CE397" s="259"/>
      <c r="CF397" s="259"/>
      <c r="CG397" s="260"/>
      <c r="CH397" s="259"/>
      <c r="CI397" s="259"/>
      <c r="CJ397" s="260"/>
      <c r="CK397" s="259"/>
      <c r="CL397" s="259"/>
      <c r="CM397" s="260"/>
      <c r="CN397" s="259"/>
      <c r="CO397" s="259"/>
      <c r="CP397" s="260"/>
      <c r="CQ397" s="259"/>
      <c r="CR397" s="259"/>
      <c r="CS397" s="260"/>
      <c r="CT397" s="259"/>
      <c r="CU397" s="259"/>
      <c r="CV397" s="260"/>
      <c r="CW397" s="259"/>
      <c r="CX397" s="259"/>
      <c r="CY397" s="334"/>
      <c r="CZ397" s="333"/>
      <c r="DA397" s="333"/>
      <c r="DB397" s="334"/>
      <c r="DC397" s="333"/>
      <c r="DD397" s="333"/>
      <c r="DE397" s="788"/>
      <c r="DF397" s="333"/>
      <c r="DG397" s="333"/>
      <c r="DH397" s="788"/>
      <c r="DI397" s="646">
        <v>406.66497839956878</v>
      </c>
      <c r="DJ397" s="646">
        <v>401.43502160043124</v>
      </c>
      <c r="DK397" s="674">
        <v>808.1</v>
      </c>
      <c r="DL397" s="924">
        <v>352.1</v>
      </c>
      <c r="DM397" s="646">
        <f>+DN397-DL397</f>
        <v>421.9</v>
      </c>
      <c r="DN397" s="674">
        <v>774</v>
      </c>
      <c r="DO397" s="924">
        <v>374</v>
      </c>
      <c r="DP397" s="646">
        <f>+DQ397-DO397</f>
        <v>430</v>
      </c>
      <c r="DQ397" s="685">
        <v>804</v>
      </c>
      <c r="DR397" s="924">
        <v>396</v>
      </c>
      <c r="DS397" s="646">
        <f>+DT397-DR397</f>
        <v>507</v>
      </c>
      <c r="DT397" s="685">
        <v>903</v>
      </c>
      <c r="DU397" s="831">
        <v>434</v>
      </c>
      <c r="DV397" s="646">
        <f>+DW397-DU397</f>
        <v>503</v>
      </c>
      <c r="DW397" s="685">
        <v>937</v>
      </c>
      <c r="DX397" s="831">
        <v>455</v>
      </c>
      <c r="DY397" s="646">
        <f>DY398*DY375</f>
        <v>532.28511095676049</v>
      </c>
      <c r="DZ397" s="674">
        <f>SUM(DX397:DY397)</f>
        <v>987.28511095676049</v>
      </c>
      <c r="EA397" s="646">
        <f>EA398*EA375</f>
        <v>449.65138874538189</v>
      </c>
      <c r="EB397" s="646">
        <f>EB398*EB375</f>
        <v>484.56322637482037</v>
      </c>
      <c r="EC397" s="674">
        <f>SUM(EA397:EB397)</f>
        <v>934.21461512020232</v>
      </c>
      <c r="ED397" s="646">
        <f>ED398*ED375</f>
        <v>496.89632894886893</v>
      </c>
      <c r="EE397" s="646">
        <f>EE398*EE375</f>
        <v>535.76234831455395</v>
      </c>
      <c r="EF397" s="674">
        <f>SUM(ED397:EE397)</f>
        <v>1032.6586772634228</v>
      </c>
      <c r="EG397" s="646">
        <f>EG398*EG375</f>
        <v>531.90334639993409</v>
      </c>
      <c r="EH397" s="646">
        <f>EH398*EH375</f>
        <v>574.59608941294505</v>
      </c>
      <c r="EI397" s="674">
        <f>SUM(EG397:EH397)</f>
        <v>1106.4994358128793</v>
      </c>
      <c r="EJ397" s="646">
        <f>EJ398*EJ375</f>
        <v>568.53204515992513</v>
      </c>
      <c r="EK397" s="646">
        <f>EK398*EK375</f>
        <v>616.93777513907298</v>
      </c>
      <c r="EL397" s="674">
        <f>SUM(EJ397:EK397)</f>
        <v>1185.469820298998</v>
      </c>
      <c r="EM397" s="646">
        <f>EM398*EM375</f>
        <v>604.05033011232206</v>
      </c>
      <c r="EN397" s="646">
        <f>EN398*EN375</f>
        <v>653.56712573810637</v>
      </c>
      <c r="EO397" s="674">
        <f>SUM(EM397:EN397)</f>
        <v>1257.6174558504285</v>
      </c>
      <c r="EP397" s="646">
        <f>EP398*EP375</f>
        <v>641.01928343113241</v>
      </c>
      <c r="EQ397" s="646">
        <f>EQ398*EQ375</f>
        <v>694.69209111669056</v>
      </c>
      <c r="ER397" s="674">
        <f>SUM(EP397:EQ397)</f>
        <v>1335.711374547823</v>
      </c>
      <c r="ES397" s="646">
        <f>ES398*ES375</f>
        <v>681.33609206124947</v>
      </c>
      <c r="ET397" s="646">
        <f>ET398*ET375</f>
        <v>738.5439816624496</v>
      </c>
      <c r="EU397" s="674">
        <f>SUM(ES397:ET397)</f>
        <v>1419.8800737236991</v>
      </c>
      <c r="EV397" s="646">
        <f>EV398*EV375</f>
        <v>724.32916233022775</v>
      </c>
      <c r="EW397" s="646">
        <f>EW398*EW375</f>
        <v>785.30766668098761</v>
      </c>
      <c r="EX397" s="674">
        <f>SUM(EV397:EW397)</f>
        <v>1509.6368290112155</v>
      </c>
      <c r="EY397" s="646">
        <f>EY398*EY375</f>
        <v>770.18018157104541</v>
      </c>
      <c r="EZ397" s="646">
        <f>EZ398*EZ375</f>
        <v>835.18075711014956</v>
      </c>
      <c r="FA397" s="776">
        <f>SUM(EY397:EZ397)</f>
        <v>1605.360938681195</v>
      </c>
    </row>
    <row r="398" spans="1:157" ht="13.35" customHeight="1">
      <c r="A398" s="760"/>
      <c r="B398" s="177" t="s">
        <v>120</v>
      </c>
      <c r="C398" s="4"/>
      <c r="D398" s="250" t="s">
        <v>507</v>
      </c>
      <c r="E398" s="251"/>
      <c r="F398" s="251"/>
      <c r="G398" s="252"/>
      <c r="H398" s="251"/>
      <c r="I398" s="251"/>
      <c r="J398" s="252"/>
      <c r="K398" s="251"/>
      <c r="L398" s="251"/>
      <c r="M398" s="252"/>
      <c r="N398" s="251"/>
      <c r="O398" s="251"/>
      <c r="P398" s="252"/>
      <c r="Q398" s="251"/>
      <c r="R398" s="251"/>
      <c r="S398" s="252"/>
      <c r="T398" s="251"/>
      <c r="U398" s="251"/>
      <c r="V398" s="252"/>
      <c r="W398" s="251"/>
      <c r="X398" s="251"/>
      <c r="Y398" s="252"/>
      <c r="Z398" s="251"/>
      <c r="AA398" s="251"/>
      <c r="AB398" s="252"/>
      <c r="AC398" s="251"/>
      <c r="AD398" s="251"/>
      <c r="AE398" s="252"/>
      <c r="AF398" s="251"/>
      <c r="AG398" s="251"/>
      <c r="AH398" s="252"/>
      <c r="AI398" s="251"/>
      <c r="AJ398" s="251"/>
      <c r="AK398" s="252"/>
      <c r="AL398" s="251"/>
      <c r="AM398" s="251"/>
      <c r="AN398" s="252"/>
      <c r="AO398" s="251"/>
      <c r="AP398" s="251"/>
      <c r="AQ398" s="252"/>
      <c r="AR398" s="251"/>
      <c r="AS398" s="251"/>
      <c r="AT398" s="252"/>
      <c r="AU398" s="251"/>
      <c r="AV398" s="251"/>
      <c r="AW398" s="252"/>
      <c r="AX398" s="251"/>
      <c r="AY398" s="251"/>
      <c r="AZ398" s="252"/>
      <c r="BA398" s="251"/>
      <c r="BB398" s="251"/>
      <c r="BC398" s="252"/>
      <c r="BD398" s="251"/>
      <c r="BE398" s="251"/>
      <c r="BF398" s="252"/>
      <c r="BG398" s="251"/>
      <c r="BH398" s="251"/>
      <c r="BI398" s="252"/>
      <c r="BJ398" s="251"/>
      <c r="BK398" s="251"/>
      <c r="BL398" s="252"/>
      <c r="BM398" s="259"/>
      <c r="BN398" s="259"/>
      <c r="BO398" s="260"/>
      <c r="BP398" s="259"/>
      <c r="BQ398" s="259"/>
      <c r="BR398" s="260"/>
      <c r="BS398" s="259"/>
      <c r="BT398" s="259"/>
      <c r="BU398" s="261"/>
      <c r="BV398" s="259"/>
      <c r="BW398" s="259"/>
      <c r="BX398" s="260"/>
      <c r="BY398" s="259"/>
      <c r="BZ398" s="259"/>
      <c r="CA398" s="260"/>
      <c r="CB398" s="259"/>
      <c r="CC398" s="259"/>
      <c r="CD398" s="260"/>
      <c r="CE398" s="259"/>
      <c r="CF398" s="259"/>
      <c r="CG398" s="260"/>
      <c r="CH398" s="259"/>
      <c r="CI398" s="259"/>
      <c r="CJ398" s="260"/>
      <c r="CK398" s="259"/>
      <c r="CL398" s="259"/>
      <c r="CM398" s="260"/>
      <c r="CN398" s="259"/>
      <c r="CO398" s="259"/>
      <c r="CP398" s="260"/>
      <c r="CQ398" s="259"/>
      <c r="CR398" s="259"/>
      <c r="CS398" s="260"/>
      <c r="CT398" s="259"/>
      <c r="CU398" s="259"/>
      <c r="CV398" s="260"/>
      <c r="CW398" s="259"/>
      <c r="CX398" s="259"/>
      <c r="CY398" s="334"/>
      <c r="CZ398" s="333"/>
      <c r="DA398" s="333"/>
      <c r="DB398" s="334"/>
      <c r="DC398" s="333"/>
      <c r="DD398" s="333"/>
      <c r="DE398" s="788"/>
      <c r="DF398" s="333"/>
      <c r="DG398" s="333"/>
      <c r="DH398" s="788"/>
      <c r="DI398" s="334">
        <f t="shared" ref="DI398:DW398" si="375">DI397/DI375</f>
        <v>9.4245695947895156E-2</v>
      </c>
      <c r="DJ398" s="334">
        <f t="shared" si="375"/>
        <v>9.4258888176514316E-2</v>
      </c>
      <c r="DK398" s="700">
        <f t="shared" si="375"/>
        <v>9.4252248911094669E-2</v>
      </c>
      <c r="DL398" s="334">
        <f t="shared" si="375"/>
        <v>8.0827326569028038E-2</v>
      </c>
      <c r="DM398" s="334">
        <f t="shared" si="375"/>
        <v>9.94531139503088E-2</v>
      </c>
      <c r="DN398" s="700">
        <f t="shared" si="375"/>
        <v>9.0016747301823574E-2</v>
      </c>
      <c r="DO398" s="334">
        <f t="shared" si="375"/>
        <v>8.2071538292736446E-2</v>
      </c>
      <c r="DP398" s="334">
        <f t="shared" si="375"/>
        <v>9.0851468413268535E-2</v>
      </c>
      <c r="DQ398" s="700">
        <f t="shared" si="375"/>
        <v>8.6544671689989236E-2</v>
      </c>
      <c r="DR398" s="334">
        <f t="shared" si="375"/>
        <v>7.560137457044673E-2</v>
      </c>
      <c r="DS398" s="334">
        <f t="shared" si="375"/>
        <v>9.4413407821229048E-2</v>
      </c>
      <c r="DT398" s="700">
        <f t="shared" si="375"/>
        <v>8.5124434389140274E-2</v>
      </c>
      <c r="DU398" s="334">
        <f t="shared" si="375"/>
        <v>7.5570259446282428E-2</v>
      </c>
      <c r="DV398" s="334">
        <f t="shared" si="375"/>
        <v>9.2890120036934448E-2</v>
      </c>
      <c r="DW398" s="700">
        <f t="shared" si="375"/>
        <v>8.3975622871482344E-2</v>
      </c>
      <c r="DX398" s="334">
        <f t="shared" ref="DX398" si="376">DX397/DX375</f>
        <v>8.3486238532110096E-2</v>
      </c>
      <c r="DY398" s="749">
        <v>8.6999999999999994E-2</v>
      </c>
      <c r="DZ398" s="700">
        <f>DZ397/DZ375</f>
        <v>8.5344602665524863E-2</v>
      </c>
      <c r="EA398" s="334">
        <v>7.4999999999999997E-2</v>
      </c>
      <c r="EB398" s="334">
        <f>+EA398</f>
        <v>7.4999999999999997E-2</v>
      </c>
      <c r="EC398" s="700">
        <f>EC397/EC375</f>
        <v>7.4999999999999997E-2</v>
      </c>
      <c r="ED398" s="334">
        <v>7.7499999999999999E-2</v>
      </c>
      <c r="EE398" s="334">
        <f>+ED398</f>
        <v>7.7499999999999999E-2</v>
      </c>
      <c r="EF398" s="700">
        <f>EF397/EF375</f>
        <v>7.7499999999999999E-2</v>
      </c>
      <c r="EG398" s="334">
        <f t="shared" ref="EG398" si="377">+EE398</f>
        <v>7.7499999999999999E-2</v>
      </c>
      <c r="EH398" s="334">
        <f t="shared" ref="EH398" si="378">+EG398</f>
        <v>7.7499999999999999E-2</v>
      </c>
      <c r="EI398" s="700">
        <f t="shared" ref="EI398" si="379">EI397/EI375</f>
        <v>7.7499999999999999E-2</v>
      </c>
      <c r="EJ398" s="334">
        <f t="shared" ref="EJ398" si="380">+EH398</f>
        <v>7.7499999999999999E-2</v>
      </c>
      <c r="EK398" s="334">
        <f t="shared" ref="EK398" si="381">+EJ398</f>
        <v>7.7499999999999999E-2</v>
      </c>
      <c r="EL398" s="700">
        <f t="shared" ref="EL398" si="382">EL397/EL375</f>
        <v>7.7499999999999999E-2</v>
      </c>
      <c r="EM398" s="334">
        <f t="shared" ref="EM398" si="383">+EK398</f>
        <v>7.7499999999999999E-2</v>
      </c>
      <c r="EN398" s="334">
        <f t="shared" ref="EN398" si="384">+EM398</f>
        <v>7.7499999999999999E-2</v>
      </c>
      <c r="EO398" s="700">
        <f t="shared" ref="EO398" si="385">EO397/EO375</f>
        <v>7.7499999999999999E-2</v>
      </c>
      <c r="EP398" s="334">
        <f t="shared" ref="EP398" si="386">+EN398</f>
        <v>7.7499999999999999E-2</v>
      </c>
      <c r="EQ398" s="334">
        <f t="shared" ref="EQ398" si="387">+EP398</f>
        <v>7.7499999999999999E-2</v>
      </c>
      <c r="ER398" s="700">
        <f t="shared" ref="ER398" si="388">ER397/ER375</f>
        <v>7.7499999999999999E-2</v>
      </c>
      <c r="ES398" s="334">
        <f t="shared" ref="ES398" si="389">+EQ398</f>
        <v>7.7499999999999999E-2</v>
      </c>
      <c r="ET398" s="334">
        <f t="shared" ref="ET398" si="390">+ES398</f>
        <v>7.7499999999999999E-2</v>
      </c>
      <c r="EU398" s="700">
        <f t="shared" ref="EU398" si="391">EU397/EU375</f>
        <v>7.7499999999999999E-2</v>
      </c>
      <c r="EV398" s="334">
        <f t="shared" ref="EV398" si="392">+ET398</f>
        <v>7.7499999999999999E-2</v>
      </c>
      <c r="EW398" s="334">
        <f t="shared" ref="EW398" si="393">+EV398</f>
        <v>7.7499999999999999E-2</v>
      </c>
      <c r="EX398" s="700">
        <f t="shared" ref="EX398" si="394">EX397/EX375</f>
        <v>7.7499999999999999E-2</v>
      </c>
      <c r="EY398" s="334">
        <f t="shared" ref="EY398" si="395">+EW398</f>
        <v>7.7499999999999999E-2</v>
      </c>
      <c r="EZ398" s="334">
        <f t="shared" ref="EZ398" si="396">+EY398</f>
        <v>7.7499999999999999E-2</v>
      </c>
      <c r="FA398" s="523">
        <f t="shared" ref="FA398" si="397">FA397/FA375</f>
        <v>7.7499999999999999E-2</v>
      </c>
    </row>
    <row r="399" spans="1:157" ht="13.35" customHeight="1">
      <c r="A399" s="760"/>
      <c r="B399" s="4"/>
      <c r="C399" s="4"/>
      <c r="D399" s="250"/>
      <c r="E399" s="251"/>
      <c r="F399" s="251"/>
      <c r="G399" s="252"/>
      <c r="H399" s="251"/>
      <c r="I399" s="251"/>
      <c r="J399" s="252"/>
      <c r="K399" s="251"/>
      <c r="L399" s="251"/>
      <c r="M399" s="252"/>
      <c r="N399" s="251"/>
      <c r="O399" s="251"/>
      <c r="P399" s="252"/>
      <c r="Q399" s="251"/>
      <c r="R399" s="251"/>
      <c r="S399" s="252"/>
      <c r="T399" s="251"/>
      <c r="U399" s="251"/>
      <c r="V399" s="252"/>
      <c r="W399" s="251"/>
      <c r="X399" s="251"/>
      <c r="Y399" s="252"/>
      <c r="Z399" s="251"/>
      <c r="AA399" s="251"/>
      <c r="AB399" s="252"/>
      <c r="AC399" s="251"/>
      <c r="AD399" s="251"/>
      <c r="AE399" s="252"/>
      <c r="AF399" s="251"/>
      <c r="AG399" s="251"/>
      <c r="AH399" s="252"/>
      <c r="AI399" s="251"/>
      <c r="AJ399" s="251"/>
      <c r="AK399" s="252"/>
      <c r="AL399" s="251"/>
      <c r="AM399" s="251"/>
      <c r="AN399" s="252"/>
      <c r="AO399" s="251"/>
      <c r="AP399" s="251"/>
      <c r="AQ399" s="252"/>
      <c r="AR399" s="251"/>
      <c r="AS399" s="251"/>
      <c r="AT399" s="252"/>
      <c r="AU399" s="251"/>
      <c r="AV399" s="251"/>
      <c r="AW399" s="252"/>
      <c r="AX399" s="251"/>
      <c r="AY399" s="251"/>
      <c r="AZ399" s="252"/>
      <c r="BA399" s="251"/>
      <c r="BB399" s="251"/>
      <c r="BC399" s="252"/>
      <c r="BD399" s="251"/>
      <c r="BE399" s="251"/>
      <c r="BF399" s="252"/>
      <c r="BG399" s="251"/>
      <c r="BH399" s="251"/>
      <c r="BI399" s="252"/>
      <c r="BJ399" s="251"/>
      <c r="BK399" s="251"/>
      <c r="BL399" s="252"/>
      <c r="BM399" s="264"/>
      <c r="BN399" s="264"/>
      <c r="BO399" s="82"/>
      <c r="BP399" s="264"/>
      <c r="BQ399" s="264"/>
      <c r="BR399" s="82"/>
      <c r="BS399" s="264"/>
      <c r="BT399" s="264"/>
      <c r="BU399" s="266"/>
      <c r="BV399" s="264"/>
      <c r="BW399" s="264"/>
      <c r="BX399" s="82"/>
      <c r="BY399" s="264"/>
      <c r="BZ399" s="264"/>
      <c r="CA399" s="82"/>
      <c r="CB399" s="264"/>
      <c r="CC399" s="264"/>
      <c r="CD399" s="82"/>
      <c r="CE399" s="264"/>
      <c r="CF399" s="264"/>
      <c r="CG399" s="82"/>
      <c r="CH399" s="264"/>
      <c r="CI399" s="264"/>
      <c r="CJ399" s="82"/>
      <c r="CK399" s="264"/>
      <c r="CL399" s="264"/>
      <c r="CM399" s="82"/>
      <c r="CN399" s="264"/>
      <c r="CO399" s="264"/>
      <c r="CP399" s="460"/>
      <c r="CQ399" s="264"/>
      <c r="CR399" s="264"/>
      <c r="CS399" s="460"/>
      <c r="CT399" s="358"/>
      <c r="CU399" s="358"/>
      <c r="CV399" s="460"/>
      <c r="CW399" s="358"/>
      <c r="CX399" s="390"/>
      <c r="CY399" s="593"/>
      <c r="CZ399" s="593"/>
      <c r="DA399" s="593"/>
      <c r="DB399" s="593"/>
      <c r="DC399" s="593"/>
      <c r="DD399" s="593"/>
      <c r="DE399" s="813"/>
      <c r="DF399" s="590"/>
      <c r="DG399" s="590"/>
      <c r="DH399" s="813"/>
      <c r="DI399" s="618"/>
      <c r="DJ399" s="619"/>
      <c r="DK399" s="723"/>
      <c r="DM399" s="620"/>
      <c r="DN399" s="738"/>
      <c r="DO399" s="621"/>
      <c r="DP399" s="621"/>
      <c r="DQ399" s="740"/>
      <c r="DR399" s="621"/>
      <c r="DS399" s="621"/>
      <c r="DT399" s="740"/>
      <c r="DU399" s="621"/>
      <c r="DV399" s="621"/>
      <c r="DW399" s="740"/>
      <c r="DX399" s="621"/>
      <c r="DY399" s="621"/>
      <c r="DZ399" s="740"/>
      <c r="EA399" s="621"/>
      <c r="EB399" s="621"/>
      <c r="EC399" s="740"/>
      <c r="ED399" s="622"/>
      <c r="EE399" s="622"/>
      <c r="EF399" s="740"/>
      <c r="EG399" s="622"/>
      <c r="EH399" s="622"/>
      <c r="EI399" s="740"/>
      <c r="EJ399" s="622"/>
      <c r="EK399" s="622"/>
      <c r="EL399" s="740"/>
      <c r="EM399" s="622"/>
      <c r="EN399" s="622"/>
      <c r="EO399" s="740"/>
      <c r="EP399" s="622"/>
      <c r="EQ399" s="622"/>
      <c r="ER399" s="740"/>
      <c r="ES399" s="622"/>
      <c r="ET399" s="622"/>
      <c r="EU399" s="740"/>
      <c r="EV399" s="622"/>
      <c r="EW399" s="622"/>
      <c r="EX399" s="740"/>
      <c r="EY399" s="622"/>
      <c r="EZ399" s="622"/>
      <c r="FA399" s="623"/>
    </row>
    <row r="400" spans="1:157" ht="13.35" customHeight="1">
      <c r="A400" s="760"/>
      <c r="B400" s="458" t="s">
        <v>910</v>
      </c>
      <c r="C400" s="449"/>
      <c r="D400" s="250" t="s">
        <v>357</v>
      </c>
      <c r="E400" s="251"/>
      <c r="F400" s="251"/>
      <c r="G400" s="252"/>
      <c r="H400" s="251"/>
      <c r="I400" s="251"/>
      <c r="J400" s="252"/>
      <c r="K400" s="251"/>
      <c r="L400" s="251"/>
      <c r="M400" s="252"/>
      <c r="N400" s="251"/>
      <c r="O400" s="251"/>
      <c r="P400" s="252"/>
      <c r="Q400" s="251"/>
      <c r="R400" s="251"/>
      <c r="S400" s="252"/>
      <c r="T400" s="251"/>
      <c r="U400" s="251"/>
      <c r="V400" s="252"/>
      <c r="W400" s="251"/>
      <c r="X400" s="251"/>
      <c r="Y400" s="252"/>
      <c r="Z400" s="251"/>
      <c r="AA400" s="251"/>
      <c r="AB400" s="252"/>
      <c r="AC400" s="251"/>
      <c r="AD400" s="251"/>
      <c r="AE400" s="252"/>
      <c r="AF400" s="251"/>
      <c r="AG400" s="251"/>
      <c r="AH400" s="252"/>
      <c r="AI400" s="251"/>
      <c r="AJ400" s="251"/>
      <c r="AK400" s="252"/>
      <c r="AL400" s="251"/>
      <c r="AM400" s="251"/>
      <c r="AN400" s="252"/>
      <c r="AO400" s="251"/>
      <c r="AP400" s="251"/>
      <c r="AQ400" s="252"/>
      <c r="AR400" s="251"/>
      <c r="AS400" s="251"/>
      <c r="AT400" s="252"/>
      <c r="AU400" s="251"/>
      <c r="AV400" s="251"/>
      <c r="AW400" s="252"/>
      <c r="AX400" s="251"/>
      <c r="AY400" s="251"/>
      <c r="AZ400" s="252"/>
      <c r="BA400" s="251"/>
      <c r="BB400" s="251"/>
      <c r="BC400" s="252"/>
      <c r="BD400" s="251"/>
      <c r="BE400" s="251"/>
      <c r="BF400" s="252"/>
      <c r="BG400" s="251"/>
      <c r="BH400" s="251"/>
      <c r="BI400" s="252"/>
      <c r="BJ400" s="251"/>
      <c r="BK400" s="251"/>
      <c r="BL400" s="252"/>
      <c r="BM400" s="264"/>
      <c r="BN400" s="264"/>
      <c r="BO400" s="82"/>
      <c r="BP400" s="264"/>
      <c r="BQ400" s="264"/>
      <c r="BR400" s="82"/>
      <c r="BS400" s="264"/>
      <c r="BT400" s="264"/>
      <c r="BU400" s="266"/>
      <c r="BV400" s="264"/>
      <c r="BW400" s="264"/>
      <c r="BX400" s="82"/>
      <c r="BY400" s="264"/>
      <c r="BZ400" s="264"/>
      <c r="CA400" s="82"/>
      <c r="CB400" s="264"/>
      <c r="CC400" s="264"/>
      <c r="CD400" s="82"/>
      <c r="CE400" s="264"/>
      <c r="CF400" s="264"/>
      <c r="CG400" s="82"/>
      <c r="CH400" s="264"/>
      <c r="CI400" s="264"/>
      <c r="CJ400" s="82"/>
      <c r="CK400" s="264"/>
      <c r="CL400" s="264"/>
      <c r="CM400" s="82"/>
      <c r="CN400" s="264"/>
      <c r="CO400" s="264"/>
      <c r="CP400" s="460"/>
      <c r="CQ400" s="264"/>
      <c r="CR400" s="264"/>
      <c r="CS400" s="460"/>
      <c r="CT400" s="358"/>
      <c r="CU400" s="358"/>
      <c r="CV400" s="460"/>
      <c r="CW400" s="358"/>
      <c r="CX400" s="390"/>
      <c r="CY400" s="593"/>
      <c r="CZ400" s="593"/>
      <c r="DA400" s="593"/>
      <c r="DB400" s="593"/>
      <c r="DC400" s="593"/>
      <c r="DD400" s="593"/>
      <c r="DE400" s="813"/>
      <c r="DF400" s="590"/>
      <c r="DG400" s="590"/>
      <c r="DH400" s="813"/>
      <c r="DI400" s="646">
        <v>2132.4239826596113</v>
      </c>
      <c r="DJ400" s="646">
        <v>1907.0760173403887</v>
      </c>
      <c r="DK400" s="674">
        <v>4039.5</v>
      </c>
      <c r="DL400" s="646">
        <f>DL394-DL397</f>
        <v>2000.1</v>
      </c>
      <c r="DM400" s="646">
        <f>DM394-DM397</f>
        <v>1805.7999999999997</v>
      </c>
      <c r="DN400" s="674">
        <f>SUM(DL400:DM400)</f>
        <v>3805.8999999999996</v>
      </c>
      <c r="DO400" s="646">
        <f>DO394-DO397</f>
        <v>1857</v>
      </c>
      <c r="DP400" s="646">
        <f>DP394-DP397</f>
        <v>1900</v>
      </c>
      <c r="DQ400" s="674">
        <f>SUM(DO400:DP400)</f>
        <v>3757</v>
      </c>
      <c r="DR400" s="646">
        <f>DR394-DR397</f>
        <v>2221</v>
      </c>
      <c r="DS400" s="646">
        <f>DS394-DS397</f>
        <v>2151</v>
      </c>
      <c r="DT400" s="674">
        <f>SUM(DR400:DS400)</f>
        <v>4372</v>
      </c>
      <c r="DU400" s="646">
        <f>DU394-DU397</f>
        <v>2503</v>
      </c>
      <c r="DV400" s="646">
        <f>DV394-DV397</f>
        <v>2201</v>
      </c>
      <c r="DW400" s="674">
        <f>SUM(DU400:DV400)</f>
        <v>4704</v>
      </c>
      <c r="DX400" s="646">
        <f>DX394-DX397</f>
        <v>2333</v>
      </c>
      <c r="DY400" s="646">
        <f>DY394-DY397</f>
        <v>2539.0611614604095</v>
      </c>
      <c r="DZ400" s="674">
        <f>SUM(DX400:DY400)</f>
        <v>4872.0611614604095</v>
      </c>
      <c r="EA400" s="646">
        <f>EA394-EA397</f>
        <v>2637.9548139729072</v>
      </c>
      <c r="EB400" s="646">
        <f>EB394-EB397</f>
        <v>2939.6835733405774</v>
      </c>
      <c r="EC400" s="674">
        <f>SUM(EA400:EB400)</f>
        <v>5577.6383873134846</v>
      </c>
      <c r="ED400" s="646">
        <f>ED394-ED397</f>
        <v>2933.2912321820331</v>
      </c>
      <c r="EE400" s="646">
        <f>EE394-EE397</f>
        <v>3197.2914334900806</v>
      </c>
      <c r="EF400" s="674">
        <f>SUM(ED400:EE400)</f>
        <v>6130.5826656721138</v>
      </c>
      <c r="EG400" s="646">
        <f>EG394-EG397</f>
        <v>3208.5782508641191</v>
      </c>
      <c r="EH400" s="646">
        <f>EH394-EH397</f>
        <v>3503.1826096466657</v>
      </c>
      <c r="EI400" s="674">
        <f>SUM(EG400:EH400)</f>
        <v>6711.7608605107853</v>
      </c>
      <c r="EJ400" s="646">
        <f>EJ394-EJ397</f>
        <v>3502.890987920829</v>
      </c>
      <c r="EK400" s="646">
        <f>EK394-EK397</f>
        <v>3840.9351807045514</v>
      </c>
      <c r="EL400" s="674">
        <f>SUM(EJ400:EK400)</f>
        <v>7343.8261686253809</v>
      </c>
      <c r="EM400" s="646">
        <f>EM394-EM397</f>
        <v>3838.6424203912079</v>
      </c>
      <c r="EN400" s="646">
        <f>EN394-EN397</f>
        <v>4153.3136700131272</v>
      </c>
      <c r="EO400" s="674">
        <f>SUM(EM400:EN400)</f>
        <v>7991.9560904043356</v>
      </c>
      <c r="EP400" s="646">
        <f>EP394-EP397</f>
        <v>4156.2863216018577</v>
      </c>
      <c r="EQ400" s="646">
        <f>EQ394-EQ397</f>
        <v>4504.2938811114454</v>
      </c>
      <c r="ER400" s="674">
        <f>SUM(EP400:EQ400)</f>
        <v>8660.5802027133032</v>
      </c>
      <c r="ES400" s="646">
        <f>ES394-ES397</f>
        <v>4461.6524738204398</v>
      </c>
      <c r="ET400" s="646">
        <f>ET394-ET397</f>
        <v>4836.2718799186214</v>
      </c>
      <c r="EU400" s="674">
        <f>SUM(ES400:ET400)</f>
        <v>9297.9243537390612</v>
      </c>
      <c r="EV400" s="646">
        <f>EV394-EV397</f>
        <v>4743.1877404205234</v>
      </c>
      <c r="EW400" s="646">
        <f>EW394-EW397</f>
        <v>5142.4985914916288</v>
      </c>
      <c r="EX400" s="674">
        <f>SUM(EV400:EW400)</f>
        <v>9885.6863319121512</v>
      </c>
      <c r="EY400" s="646">
        <f>EY394-EY397</f>
        <v>5043.4379631910388</v>
      </c>
      <c r="EZ400" s="646">
        <f>EZ394-EZ397</f>
        <v>5469.0868933342044</v>
      </c>
      <c r="FA400" s="776">
        <f>SUM(EY400:EZ400)</f>
        <v>10512.524856525244</v>
      </c>
    </row>
    <row r="401" spans="1:200" ht="13.15" customHeight="1">
      <c r="A401" s="760"/>
      <c r="B401" s="177" t="s">
        <v>212</v>
      </c>
      <c r="C401" s="4"/>
      <c r="D401" s="250" t="s">
        <v>507</v>
      </c>
      <c r="E401" s="251"/>
      <c r="F401" s="251"/>
      <c r="G401" s="252"/>
      <c r="H401" s="251"/>
      <c r="I401" s="251"/>
      <c r="J401" s="252"/>
      <c r="K401" s="251"/>
      <c r="L401" s="251"/>
      <c r="M401" s="252"/>
      <c r="N401" s="251"/>
      <c r="O401" s="251"/>
      <c r="P401" s="252"/>
      <c r="Q401" s="251"/>
      <c r="R401" s="251"/>
      <c r="S401" s="252"/>
      <c r="T401" s="251"/>
      <c r="U401" s="251"/>
      <c r="V401" s="252"/>
      <c r="W401" s="251"/>
      <c r="X401" s="251"/>
      <c r="Y401" s="252"/>
      <c r="Z401" s="251"/>
      <c r="AA401" s="251"/>
      <c r="AB401" s="252"/>
      <c r="AC401" s="251"/>
      <c r="AD401" s="251"/>
      <c r="AE401" s="252"/>
      <c r="AF401" s="251"/>
      <c r="AG401" s="251"/>
      <c r="AH401" s="252"/>
      <c r="AI401" s="251"/>
      <c r="AJ401" s="251"/>
      <c r="AK401" s="252"/>
      <c r="AL401" s="251"/>
      <c r="AM401" s="251"/>
      <c r="AN401" s="252"/>
      <c r="AO401" s="251"/>
      <c r="AP401" s="251"/>
      <c r="AQ401" s="252"/>
      <c r="AR401" s="251"/>
      <c r="AS401" s="251"/>
      <c r="AT401" s="252"/>
      <c r="AU401" s="251"/>
      <c r="AV401" s="251"/>
      <c r="AW401" s="252"/>
      <c r="AX401" s="251"/>
      <c r="AY401" s="251"/>
      <c r="AZ401" s="252"/>
      <c r="BA401" s="251"/>
      <c r="BB401" s="251"/>
      <c r="BC401" s="252"/>
      <c r="BD401" s="251"/>
      <c r="BE401" s="251"/>
      <c r="BF401" s="252"/>
      <c r="BG401" s="251"/>
      <c r="BH401" s="251"/>
      <c r="BI401" s="252"/>
      <c r="BJ401" s="251"/>
      <c r="BK401" s="251"/>
      <c r="BL401" s="252"/>
      <c r="BM401" s="264"/>
      <c r="BN401" s="264"/>
      <c r="BO401" s="82"/>
      <c r="BP401" s="264"/>
      <c r="BQ401" s="264"/>
      <c r="BR401" s="82"/>
      <c r="BS401" s="264"/>
      <c r="BT401" s="264"/>
      <c r="BU401" s="266"/>
      <c r="BV401" s="264"/>
      <c r="BW401" s="264"/>
      <c r="BX401" s="82"/>
      <c r="BY401" s="264"/>
      <c r="BZ401" s="264"/>
      <c r="CA401" s="82"/>
      <c r="CB401" s="264"/>
      <c r="CC401" s="264"/>
      <c r="CD401" s="82"/>
      <c r="CE401" s="264"/>
      <c r="CF401" s="264"/>
      <c r="CG401" s="82"/>
      <c r="CH401" s="264"/>
      <c r="CI401" s="264"/>
      <c r="CJ401" s="82"/>
      <c r="CK401" s="264"/>
      <c r="CL401" s="264"/>
      <c r="CM401" s="82"/>
      <c r="CN401" s="264"/>
      <c r="CO401" s="264"/>
      <c r="CP401" s="460"/>
      <c r="CQ401" s="264"/>
      <c r="CR401" s="264"/>
      <c r="CS401" s="460"/>
      <c r="CT401" s="358"/>
      <c r="CU401" s="358"/>
      <c r="CV401" s="460"/>
      <c r="CW401" s="358"/>
      <c r="CX401" s="390"/>
      <c r="CY401" s="593"/>
      <c r="CZ401" s="593"/>
      <c r="DA401" s="593"/>
      <c r="DB401" s="593"/>
      <c r="DC401" s="593"/>
      <c r="DD401" s="593"/>
      <c r="DE401" s="813"/>
      <c r="DF401" s="590"/>
      <c r="DG401" s="590"/>
      <c r="DH401" s="813"/>
      <c r="DI401" s="334">
        <f t="shared" ref="DI401:DN401" si="398">DI400/DI375</f>
        <v>0.49419495893809789</v>
      </c>
      <c r="DJ401" s="334">
        <f t="shared" si="398"/>
        <v>0.44779068937717931</v>
      </c>
      <c r="DK401" s="700">
        <f t="shared" si="398"/>
        <v>0.47114461016751258</v>
      </c>
      <c r="DL401" s="334">
        <f t="shared" si="398"/>
        <v>0.45913869886598402</v>
      </c>
      <c r="DM401" s="334">
        <f t="shared" si="398"/>
        <v>0.42567535712601945</v>
      </c>
      <c r="DN401" s="700">
        <f t="shared" si="398"/>
        <v>0.44262886118347589</v>
      </c>
      <c r="DO401" s="334">
        <f t="shared" ref="DO401:ER401" si="399">DO400/DO375</f>
        <v>0.40750493745885452</v>
      </c>
      <c r="DP401" s="334">
        <f t="shared" si="399"/>
        <v>0.40143672089583776</v>
      </c>
      <c r="DQ401" s="700">
        <f t="shared" si="399"/>
        <v>0.40441334768568354</v>
      </c>
      <c r="DR401" s="334">
        <f t="shared" si="399"/>
        <v>0.42401680030546007</v>
      </c>
      <c r="DS401" s="334">
        <f t="shared" si="399"/>
        <v>0.40055865921787709</v>
      </c>
      <c r="DT401" s="700">
        <f t="shared" si="399"/>
        <v>0.41214177978883859</v>
      </c>
      <c r="DU401" s="334">
        <f t="shared" si="399"/>
        <v>0.4358349294793662</v>
      </c>
      <c r="DV401" s="334">
        <f>DV400/DV375</f>
        <v>0.40646352723915052</v>
      </c>
      <c r="DW401" s="700">
        <f>DW400/DW375</f>
        <v>0.42158092848180678</v>
      </c>
      <c r="DX401" s="334">
        <f t="shared" ref="DX401" si="400">DX400/DX375</f>
        <v>0.42807339449541282</v>
      </c>
      <c r="DY401" s="334">
        <f t="shared" si="399"/>
        <v>0.41499999999999998</v>
      </c>
      <c r="DZ401" s="700">
        <f t="shared" si="399"/>
        <v>0.4211591154089479</v>
      </c>
      <c r="EA401" s="334">
        <f t="shared" si="399"/>
        <v>0.44</v>
      </c>
      <c r="EB401" s="334">
        <f t="shared" si="399"/>
        <v>0.45500000000000007</v>
      </c>
      <c r="EC401" s="700">
        <f t="shared" si="399"/>
        <v>0.44778027690637995</v>
      </c>
      <c r="ED401" s="334">
        <f t="shared" si="399"/>
        <v>0.45750000000000007</v>
      </c>
      <c r="EE401" s="334">
        <f t="shared" si="399"/>
        <v>0.46250000000000008</v>
      </c>
      <c r="EF401" s="700">
        <f t="shared" si="399"/>
        <v>0.4600940921241003</v>
      </c>
      <c r="EG401" s="334">
        <f t="shared" si="399"/>
        <v>0.46750000000000003</v>
      </c>
      <c r="EH401" s="334">
        <f t="shared" si="399"/>
        <v>0.47250000000000009</v>
      </c>
      <c r="EI401" s="700">
        <f t="shared" si="399"/>
        <v>0.4700964590257149</v>
      </c>
      <c r="EJ401" s="334">
        <f t="shared" si="399"/>
        <v>0.47750000000000004</v>
      </c>
      <c r="EK401" s="334">
        <f t="shared" si="399"/>
        <v>0.48250000000000004</v>
      </c>
      <c r="EL401" s="700">
        <f t="shared" si="399"/>
        <v>0.48010208132073529</v>
      </c>
      <c r="EM401" s="334">
        <f t="shared" si="399"/>
        <v>0.49249999999999994</v>
      </c>
      <c r="EN401" s="334">
        <f t="shared" si="399"/>
        <v>0.49249999999999994</v>
      </c>
      <c r="EO401" s="700">
        <f t="shared" si="399"/>
        <v>0.49249999999999994</v>
      </c>
      <c r="EP401" s="334">
        <f t="shared" si="399"/>
        <v>0.50249999999999995</v>
      </c>
      <c r="EQ401" s="334">
        <f t="shared" si="399"/>
        <v>0.50249999999999995</v>
      </c>
      <c r="ER401" s="700">
        <f t="shared" si="399"/>
        <v>0.50249999999999995</v>
      </c>
      <c r="ES401" s="334">
        <f t="shared" ref="ES401:FA401" si="401">ES400/ES375</f>
        <v>0.50749999999999995</v>
      </c>
      <c r="ET401" s="334">
        <f t="shared" si="401"/>
        <v>0.50749999999999995</v>
      </c>
      <c r="EU401" s="700">
        <f t="shared" si="401"/>
        <v>0.50749999999999995</v>
      </c>
      <c r="EV401" s="334">
        <f t="shared" si="401"/>
        <v>0.50749999999999995</v>
      </c>
      <c r="EW401" s="334">
        <f t="shared" si="401"/>
        <v>0.50750000000000006</v>
      </c>
      <c r="EX401" s="700">
        <f t="shared" si="401"/>
        <v>0.50749999999999995</v>
      </c>
      <c r="EY401" s="334">
        <f t="shared" si="401"/>
        <v>0.50749999999999995</v>
      </c>
      <c r="EZ401" s="334">
        <f t="shared" si="401"/>
        <v>0.50749999999999995</v>
      </c>
      <c r="FA401" s="523">
        <f t="shared" si="401"/>
        <v>0.50749999999999995</v>
      </c>
    </row>
    <row r="402" spans="1:200" ht="13.35" customHeight="1">
      <c r="A402" s="760"/>
      <c r="B402" s="4"/>
      <c r="C402" s="4"/>
      <c r="D402" s="250"/>
      <c r="E402" s="251"/>
      <c r="F402" s="251"/>
      <c r="G402" s="252"/>
      <c r="H402" s="251"/>
      <c r="I402" s="251"/>
      <c r="J402" s="252"/>
      <c r="K402" s="251"/>
      <c r="L402" s="251"/>
      <c r="M402" s="252"/>
      <c r="N402" s="251"/>
      <c r="O402" s="251"/>
      <c r="P402" s="252"/>
      <c r="Q402" s="251"/>
      <c r="R402" s="251"/>
      <c r="S402" s="252"/>
      <c r="T402" s="251"/>
      <c r="U402" s="251"/>
      <c r="V402" s="252"/>
      <c r="W402" s="251"/>
      <c r="X402" s="251"/>
      <c r="Y402" s="252"/>
      <c r="Z402" s="251"/>
      <c r="AA402" s="251"/>
      <c r="AB402" s="252"/>
      <c r="AC402" s="251"/>
      <c r="AD402" s="251"/>
      <c r="AE402" s="252"/>
      <c r="AF402" s="251"/>
      <c r="AG402" s="251"/>
      <c r="AH402" s="252"/>
      <c r="AI402" s="251"/>
      <c r="AJ402" s="251"/>
      <c r="AK402" s="252"/>
      <c r="AL402" s="251"/>
      <c r="AM402" s="251"/>
      <c r="AN402" s="252"/>
      <c r="AO402" s="251"/>
      <c r="AP402" s="251"/>
      <c r="AQ402" s="252"/>
      <c r="AR402" s="251"/>
      <c r="AS402" s="251"/>
      <c r="AT402" s="252"/>
      <c r="AU402" s="251"/>
      <c r="AV402" s="251"/>
      <c r="AW402" s="252"/>
      <c r="AX402" s="251"/>
      <c r="AY402" s="251"/>
      <c r="AZ402" s="252"/>
      <c r="BA402" s="251"/>
      <c r="BB402" s="251"/>
      <c r="BC402" s="252"/>
      <c r="BD402" s="251"/>
      <c r="BE402" s="251"/>
      <c r="BF402" s="252"/>
      <c r="BG402" s="251"/>
      <c r="BH402" s="251"/>
      <c r="BI402" s="252"/>
      <c r="BJ402" s="251"/>
      <c r="BK402" s="251"/>
      <c r="BL402" s="252"/>
      <c r="BM402" s="259"/>
      <c r="BN402" s="259"/>
      <c r="BO402" s="260"/>
      <c r="BP402" s="259"/>
      <c r="BQ402" s="259"/>
      <c r="BR402" s="260"/>
      <c r="BS402" s="259"/>
      <c r="BT402" s="259"/>
      <c r="BU402" s="261"/>
      <c r="BV402" s="259"/>
      <c r="BW402" s="259"/>
      <c r="BX402" s="260"/>
      <c r="BY402" s="259"/>
      <c r="BZ402" s="259"/>
      <c r="CA402" s="260"/>
      <c r="CB402" s="259"/>
      <c r="CC402" s="259"/>
      <c r="CD402" s="260"/>
      <c r="CE402" s="259"/>
      <c r="CF402" s="259"/>
      <c r="CG402" s="260"/>
      <c r="CH402" s="259"/>
      <c r="CI402" s="259"/>
      <c r="CJ402" s="260"/>
      <c r="CK402" s="259"/>
      <c r="CL402" s="259"/>
      <c r="CM402" s="260"/>
      <c r="CN402" s="259"/>
      <c r="CO402" s="259"/>
      <c r="CP402" s="260"/>
      <c r="CQ402" s="259"/>
      <c r="CR402" s="259"/>
      <c r="CS402" s="260"/>
      <c r="CT402" s="259"/>
      <c r="CU402" s="259"/>
      <c r="CV402" s="260"/>
      <c r="CW402" s="259"/>
      <c r="CX402" s="259"/>
      <c r="CY402" s="334"/>
      <c r="CZ402" s="333"/>
      <c r="DA402" s="333"/>
      <c r="DB402" s="334"/>
      <c r="DC402" s="333"/>
      <c r="DD402" s="333"/>
      <c r="DE402" s="788"/>
      <c r="DF402" s="494"/>
      <c r="DG402" s="334"/>
      <c r="DH402" s="788"/>
      <c r="DI402" s="334"/>
      <c r="DJ402" s="334"/>
      <c r="DK402" s="700"/>
      <c r="DL402" s="333"/>
      <c r="DM402" s="333"/>
      <c r="DN402" s="700"/>
      <c r="DO402" s="624"/>
      <c r="DP402" s="333"/>
      <c r="DQ402" s="700"/>
      <c r="DR402" s="625"/>
      <c r="DS402" s="333"/>
      <c r="DT402" s="700"/>
      <c r="DU402" s="333"/>
      <c r="DV402" s="333"/>
      <c r="DW402" s="700"/>
      <c r="DX402" s="333"/>
      <c r="DY402" s="333"/>
      <c r="DZ402" s="700"/>
      <c r="EA402" s="333"/>
      <c r="EB402" s="333"/>
      <c r="EC402" s="700"/>
      <c r="ED402" s="333"/>
      <c r="EE402" s="333"/>
      <c r="EF402" s="700"/>
      <c r="EG402" s="333"/>
      <c r="EH402" s="333"/>
      <c r="EI402" s="700"/>
      <c r="EJ402" s="333"/>
      <c r="EK402" s="333"/>
      <c r="EL402" s="700"/>
      <c r="EM402" s="333"/>
      <c r="EN402" s="333"/>
      <c r="EO402" s="700"/>
      <c r="EP402" s="333"/>
      <c r="EQ402" s="333"/>
      <c r="ER402" s="700"/>
      <c r="ES402" s="333"/>
      <c r="ET402" s="333"/>
      <c r="EU402" s="700"/>
      <c r="EV402" s="333"/>
      <c r="EW402" s="333"/>
      <c r="EX402" s="700"/>
      <c r="EY402" s="333"/>
      <c r="EZ402" s="333"/>
      <c r="FA402" s="523"/>
      <c r="FB402" s="349"/>
      <c r="FC402" s="349"/>
      <c r="FD402" s="349"/>
      <c r="FE402" s="349"/>
      <c r="FF402" s="349"/>
      <c r="FG402" s="349"/>
      <c r="FH402" s="349"/>
      <c r="FI402" s="349"/>
      <c r="FJ402" s="349"/>
      <c r="FK402" s="349"/>
      <c r="FL402" s="349"/>
      <c r="FM402" s="349"/>
      <c r="FN402" s="349"/>
      <c r="FO402" s="349"/>
    </row>
    <row r="403" spans="1:200" s="277" customFormat="1" ht="13.35" customHeight="1">
      <c r="A403" s="989"/>
      <c r="B403" s="245" t="s">
        <v>848</v>
      </c>
      <c r="C403" s="245"/>
      <c r="D403" s="461"/>
      <c r="E403" s="278"/>
      <c r="F403" s="278"/>
      <c r="G403" s="279"/>
      <c r="H403" s="278"/>
      <c r="I403" s="278"/>
      <c r="J403" s="279"/>
      <c r="K403" s="278"/>
      <c r="L403" s="278"/>
      <c r="M403" s="279"/>
      <c r="N403" s="278"/>
      <c r="O403" s="278"/>
      <c r="P403" s="279"/>
      <c r="Q403" s="278"/>
      <c r="R403" s="278"/>
      <c r="S403" s="279"/>
      <c r="T403" s="278"/>
      <c r="U403" s="278"/>
      <c r="V403" s="279"/>
      <c r="W403" s="278"/>
      <c r="X403" s="278"/>
      <c r="Y403" s="279"/>
      <c r="Z403" s="278"/>
      <c r="AA403" s="278"/>
      <c r="AB403" s="279"/>
      <c r="AC403" s="278"/>
      <c r="AD403" s="278"/>
      <c r="AE403" s="279"/>
      <c r="AF403" s="278"/>
      <c r="AG403" s="278"/>
      <c r="AH403" s="279"/>
      <c r="AI403" s="278"/>
      <c r="AJ403" s="278"/>
      <c r="AK403" s="279"/>
      <c r="AL403" s="278"/>
      <c r="AM403" s="278"/>
      <c r="AN403" s="248"/>
      <c r="AO403" s="247"/>
      <c r="AP403" s="247"/>
      <c r="AQ403" s="279"/>
      <c r="AR403" s="278"/>
      <c r="AS403" s="278"/>
      <c r="AT403" s="279"/>
      <c r="AU403" s="278"/>
      <c r="AV403" s="278"/>
      <c r="AW403" s="279"/>
      <c r="AX403" s="278"/>
      <c r="AY403" s="278"/>
      <c r="AZ403" s="279"/>
      <c r="BA403" s="278"/>
      <c r="BB403" s="278"/>
      <c r="BC403" s="279"/>
      <c r="BD403" s="278"/>
      <c r="BE403" s="278"/>
      <c r="BF403" s="279"/>
      <c r="BG403" s="278"/>
      <c r="BH403" s="278"/>
      <c r="BI403" s="279"/>
      <c r="BJ403" s="278"/>
      <c r="BK403" s="278"/>
      <c r="BL403" s="462"/>
      <c r="BM403" s="463"/>
      <c r="BN403" s="463"/>
      <c r="BO403" s="464"/>
      <c r="BP403" s="464"/>
      <c r="BQ403" s="464"/>
      <c r="BR403" s="464"/>
      <c r="BS403" s="464"/>
      <c r="BT403" s="464"/>
      <c r="BU403" s="465" t="str">
        <f t="shared" ref="BU403:CZ403" si="402">BU5</f>
        <v>2007</v>
      </c>
      <c r="BV403" s="464" t="str">
        <f t="shared" si="402"/>
        <v>1h08</v>
      </c>
      <c r="BW403" s="464" t="str">
        <f t="shared" si="402"/>
        <v>2h08</v>
      </c>
      <c r="BX403" s="464" t="str">
        <f t="shared" si="402"/>
        <v>2008</v>
      </c>
      <c r="BY403" s="464" t="str">
        <f t="shared" si="402"/>
        <v>1h09</v>
      </c>
      <c r="BZ403" s="464" t="str">
        <f t="shared" si="402"/>
        <v>2h09</v>
      </c>
      <c r="CA403" s="464" t="str">
        <f t="shared" si="402"/>
        <v>2009</v>
      </c>
      <c r="CB403" s="464" t="str">
        <f t="shared" si="402"/>
        <v>1h10</v>
      </c>
      <c r="CC403" s="464" t="str">
        <f t="shared" si="402"/>
        <v>2h10</v>
      </c>
      <c r="CD403" s="464" t="str">
        <f t="shared" si="402"/>
        <v>2010</v>
      </c>
      <c r="CE403" s="464" t="str">
        <f t="shared" si="402"/>
        <v>1h11</v>
      </c>
      <c r="CF403" s="464" t="str">
        <f t="shared" si="402"/>
        <v>2h11</v>
      </c>
      <c r="CG403" s="464" t="str">
        <f t="shared" si="402"/>
        <v>2011</v>
      </c>
      <c r="CH403" s="464" t="str">
        <f t="shared" si="402"/>
        <v>1h12</v>
      </c>
      <c r="CI403" s="464" t="str">
        <f t="shared" si="402"/>
        <v>2h12</v>
      </c>
      <c r="CJ403" s="464" t="str">
        <f t="shared" si="402"/>
        <v>2012</v>
      </c>
      <c r="CK403" s="464" t="str">
        <f t="shared" si="402"/>
        <v>1h13</v>
      </c>
      <c r="CL403" s="464" t="str">
        <f t="shared" si="402"/>
        <v>2h13</v>
      </c>
      <c r="CM403" s="464" t="str">
        <f t="shared" si="402"/>
        <v>2013</v>
      </c>
      <c r="CN403" s="464" t="str">
        <f t="shared" si="402"/>
        <v>1h14</v>
      </c>
      <c r="CO403" s="464" t="str">
        <f t="shared" si="402"/>
        <v>2h14</v>
      </c>
      <c r="CP403" s="464" t="str">
        <f t="shared" si="402"/>
        <v>2014</v>
      </c>
      <c r="CQ403" s="464" t="str">
        <f t="shared" si="402"/>
        <v>1h15</v>
      </c>
      <c r="CR403" s="464" t="str">
        <f t="shared" si="402"/>
        <v>2h15</v>
      </c>
      <c r="CS403" s="464" t="str">
        <f t="shared" si="402"/>
        <v>2015</v>
      </c>
      <c r="CT403" s="464" t="str">
        <f t="shared" si="402"/>
        <v>1h16</v>
      </c>
      <c r="CU403" s="464" t="str">
        <f t="shared" si="402"/>
        <v>2h16</v>
      </c>
      <c r="CV403" s="464" t="str">
        <f t="shared" si="402"/>
        <v>2016</v>
      </c>
      <c r="CW403" s="464" t="str">
        <f t="shared" si="402"/>
        <v>1h17</v>
      </c>
      <c r="CX403" s="464" t="str">
        <f t="shared" si="402"/>
        <v>2h17</v>
      </c>
      <c r="CY403" s="464" t="str">
        <f t="shared" si="402"/>
        <v>2017</v>
      </c>
      <c r="CZ403" s="464" t="str">
        <f t="shared" si="402"/>
        <v>1h18</v>
      </c>
      <c r="DA403" s="464" t="str">
        <f t="shared" ref="DA403:EF403" si="403">DA5</f>
        <v>2h18</v>
      </c>
      <c r="DB403" s="464" t="str">
        <f t="shared" si="403"/>
        <v>2018</v>
      </c>
      <c r="DC403" s="464" t="str">
        <f t="shared" si="403"/>
        <v>1h19</v>
      </c>
      <c r="DD403" s="464" t="str">
        <f t="shared" si="403"/>
        <v>2h19</v>
      </c>
      <c r="DE403" s="724" t="str">
        <f t="shared" si="403"/>
        <v>2019</v>
      </c>
      <c r="DF403" s="464" t="str">
        <f t="shared" si="403"/>
        <v>1h20</v>
      </c>
      <c r="DG403" s="464" t="str">
        <f t="shared" si="403"/>
        <v>2h20</v>
      </c>
      <c r="DH403" s="724" t="str">
        <f t="shared" si="403"/>
        <v>2020</v>
      </c>
      <c r="DI403" s="626" t="str">
        <f t="shared" si="403"/>
        <v>1h21</v>
      </c>
      <c r="DJ403" s="626" t="str">
        <f t="shared" si="403"/>
        <v>2h21</v>
      </c>
      <c r="DK403" s="724" t="str">
        <f t="shared" si="403"/>
        <v>2021</v>
      </c>
      <c r="DL403" s="626" t="str">
        <f t="shared" si="403"/>
        <v>1h22</v>
      </c>
      <c r="DM403" s="626" t="str">
        <f t="shared" si="403"/>
        <v>2h22</v>
      </c>
      <c r="DN403" s="724" t="str">
        <f t="shared" si="403"/>
        <v>2022</v>
      </c>
      <c r="DO403" s="626" t="str">
        <f t="shared" si="403"/>
        <v>1h23</v>
      </c>
      <c r="DP403" s="626" t="str">
        <f t="shared" si="403"/>
        <v>2h23</v>
      </c>
      <c r="DQ403" s="724" t="str">
        <f t="shared" si="403"/>
        <v>2023</v>
      </c>
      <c r="DR403" s="626" t="str">
        <f t="shared" si="403"/>
        <v>1h24</v>
      </c>
      <c r="DS403" s="626" t="str">
        <f t="shared" si="403"/>
        <v>2h24</v>
      </c>
      <c r="DT403" s="724" t="str">
        <f t="shared" si="403"/>
        <v>2024</v>
      </c>
      <c r="DU403" s="626" t="str">
        <f t="shared" si="403"/>
        <v>1h25</v>
      </c>
      <c r="DV403" s="626" t="str">
        <f t="shared" si="403"/>
        <v>2h25</v>
      </c>
      <c r="DW403" s="724" t="str">
        <f t="shared" si="403"/>
        <v>2025</v>
      </c>
      <c r="DX403" s="626" t="str">
        <f t="shared" ref="DX403" si="404">DX5</f>
        <v>1h26</v>
      </c>
      <c r="DY403" s="626" t="str">
        <f t="shared" si="403"/>
        <v>2h26E</v>
      </c>
      <c r="DZ403" s="724" t="str">
        <f t="shared" si="403"/>
        <v>2026E</v>
      </c>
      <c r="EA403" s="626" t="str">
        <f t="shared" si="403"/>
        <v>1h27E</v>
      </c>
      <c r="EB403" s="626" t="str">
        <f t="shared" si="403"/>
        <v>2h27E</v>
      </c>
      <c r="EC403" s="724" t="str">
        <f t="shared" si="403"/>
        <v>2027E</v>
      </c>
      <c r="ED403" s="626" t="str">
        <f t="shared" si="403"/>
        <v>1h28E</v>
      </c>
      <c r="EE403" s="626" t="str">
        <f t="shared" si="403"/>
        <v>2h28E</v>
      </c>
      <c r="EF403" s="724" t="str">
        <f t="shared" si="403"/>
        <v>2028E</v>
      </c>
      <c r="EG403" s="626" t="str">
        <f t="shared" ref="EG403:FA403" si="405">EG5</f>
        <v>1h29E</v>
      </c>
      <c r="EH403" s="626" t="str">
        <f t="shared" si="405"/>
        <v>2h29E</v>
      </c>
      <c r="EI403" s="724" t="str">
        <f t="shared" si="405"/>
        <v>2029E</v>
      </c>
      <c r="EJ403" s="626" t="str">
        <f t="shared" si="405"/>
        <v>1h30E</v>
      </c>
      <c r="EK403" s="626" t="str">
        <f t="shared" si="405"/>
        <v>2h30E</v>
      </c>
      <c r="EL403" s="724" t="str">
        <f t="shared" si="405"/>
        <v>2030E</v>
      </c>
      <c r="EM403" s="626" t="str">
        <f t="shared" si="405"/>
        <v>1h31E</v>
      </c>
      <c r="EN403" s="626" t="str">
        <f t="shared" si="405"/>
        <v>2h31E</v>
      </c>
      <c r="EO403" s="724" t="str">
        <f t="shared" si="405"/>
        <v>2031E</v>
      </c>
      <c r="EP403" s="626" t="str">
        <f t="shared" si="405"/>
        <v>1h32E</v>
      </c>
      <c r="EQ403" s="626" t="str">
        <f t="shared" si="405"/>
        <v>2h32E</v>
      </c>
      <c r="ER403" s="724" t="str">
        <f t="shared" si="405"/>
        <v>2032E</v>
      </c>
      <c r="ES403" s="626" t="str">
        <f t="shared" si="405"/>
        <v>1h33E</v>
      </c>
      <c r="ET403" s="626" t="str">
        <f t="shared" si="405"/>
        <v>2h33E</v>
      </c>
      <c r="EU403" s="724" t="str">
        <f t="shared" si="405"/>
        <v>2033E</v>
      </c>
      <c r="EV403" s="626" t="str">
        <f t="shared" si="405"/>
        <v>1h34E</v>
      </c>
      <c r="EW403" s="626" t="str">
        <f t="shared" si="405"/>
        <v>2h34E</v>
      </c>
      <c r="EX403" s="724" t="str">
        <f t="shared" si="405"/>
        <v>2034E</v>
      </c>
      <c r="EY403" s="626" t="str">
        <f t="shared" si="405"/>
        <v>1h35E</v>
      </c>
      <c r="EZ403" s="626" t="str">
        <f t="shared" si="405"/>
        <v>2h35E</v>
      </c>
      <c r="FA403" s="626" t="str">
        <f t="shared" si="405"/>
        <v>2035E</v>
      </c>
      <c r="FB403" s="349"/>
      <c r="FC403" s="349"/>
      <c r="FD403" s="349"/>
      <c r="FE403" s="349"/>
      <c r="FF403" s="349"/>
      <c r="FG403" s="349"/>
      <c r="FH403" s="349"/>
      <c r="FI403" s="349"/>
      <c r="FJ403" s="349"/>
      <c r="FK403" s="349"/>
      <c r="FL403" s="349"/>
      <c r="FM403" s="349"/>
      <c r="FN403" s="349"/>
      <c r="FO403" s="349"/>
      <c r="FP403" s="176"/>
      <c r="FQ403" s="176"/>
      <c r="FR403" s="176"/>
      <c r="FS403" s="217"/>
      <c r="FT403" s="217"/>
      <c r="FU403" s="217"/>
      <c r="FV403" s="217"/>
      <c r="FW403" s="217"/>
      <c r="FX403" s="217"/>
      <c r="FY403" s="217"/>
      <c r="FZ403" s="217"/>
      <c r="GA403" s="217"/>
      <c r="GB403" s="217"/>
    </row>
    <row r="404" spans="1:200" s="11" customFormat="1" ht="12.75">
      <c r="A404" s="22" t="s">
        <v>1053</v>
      </c>
      <c r="B404" s="11" t="s">
        <v>956</v>
      </c>
      <c r="C404" s="177"/>
      <c r="D404" s="16" t="s">
        <v>357</v>
      </c>
      <c r="CW404" s="466"/>
      <c r="CX404" s="10"/>
      <c r="CY404" s="466"/>
      <c r="CZ404" s="466"/>
      <c r="DA404" s="10"/>
      <c r="DB404" s="466"/>
      <c r="DC404" s="467"/>
      <c r="DD404" s="468"/>
      <c r="DE404" s="814"/>
      <c r="DF404" s="467"/>
      <c r="DG404" s="467"/>
      <c r="DH404" s="818"/>
      <c r="DI404" s="469">
        <f>+DI407-SUM(DI405:DI406)</f>
        <v>690.90000000000009</v>
      </c>
      <c r="DJ404" s="469">
        <f>+DK404-DI404</f>
        <v>55.799999999999955</v>
      </c>
      <c r="DK404" s="725">
        <f>+DK407-SUM(DK405:DK406)</f>
        <v>746.7</v>
      </c>
      <c r="DL404" s="469">
        <f>+DL407-SUM(DL405:DL406)</f>
        <v>673.7</v>
      </c>
      <c r="DM404" s="469">
        <f>+DN404-DL404</f>
        <v>43.299999999999955</v>
      </c>
      <c r="DN404" s="725">
        <f>+DN407-SUM(DN405:DN406)</f>
        <v>717</v>
      </c>
      <c r="DO404" s="469">
        <f>+DO407-SUM(DO405:DO406)</f>
        <v>722.2</v>
      </c>
      <c r="DP404" s="469">
        <f>+DQ404-DO404</f>
        <v>24.799999999999955</v>
      </c>
      <c r="DQ404" s="725">
        <f>+DQ407-SUM(DQ405:DQ406)</f>
        <v>747</v>
      </c>
      <c r="DR404" s="469">
        <f>+DR407-SUM(DR405:DR406)</f>
        <v>652</v>
      </c>
      <c r="DS404" s="469">
        <f>+DT404-DR404</f>
        <v>23</v>
      </c>
      <c r="DT404" s="725">
        <f>+DT407-SUM(DT405:DT406)</f>
        <v>675</v>
      </c>
      <c r="DU404" s="469">
        <f>+DU407-SUM(DU405:DU406)</f>
        <v>572</v>
      </c>
      <c r="DV404" s="469">
        <f>+DW404-DU404</f>
        <v>18</v>
      </c>
      <c r="DW404" s="725">
        <f>116+474</f>
        <v>590</v>
      </c>
      <c r="DX404" s="469">
        <f>+DX407-SUM(DX405:DX406)</f>
        <v>540</v>
      </c>
      <c r="DY404" s="469">
        <f>DY424*DY428</f>
        <v>25.050250588054471</v>
      </c>
      <c r="DZ404" s="725">
        <f>SUM(DX404:DY404)</f>
        <v>565.0502505880545</v>
      </c>
      <c r="EA404" s="469">
        <f>EA424*EA428</f>
        <v>529.25400000000002</v>
      </c>
      <c r="EB404" s="469">
        <f>EB424*EB428</f>
        <v>24.551750601352186</v>
      </c>
      <c r="EC404" s="725">
        <f>SUM(EA404:EB404)</f>
        <v>553.8057506013522</v>
      </c>
      <c r="ED404" s="469">
        <f>ED424*ED428</f>
        <v>518.72184540000001</v>
      </c>
      <c r="EE404" s="469">
        <f>EE424*EE428</f>
        <v>24.06317076438528</v>
      </c>
      <c r="EF404" s="725">
        <f>SUM(ED404:EE404)</f>
        <v>542.7850161643853</v>
      </c>
      <c r="EG404" s="469">
        <f>EG424*EG428</f>
        <v>529.0962823079999</v>
      </c>
      <c r="EH404" s="469">
        <f>EH424*EH428</f>
        <v>24.544434179672983</v>
      </c>
      <c r="EI404" s="725">
        <f>SUM(EG404:EH404)</f>
        <v>553.64071648767288</v>
      </c>
      <c r="EJ404" s="469">
        <f>EJ424*EJ428</f>
        <v>544.96917077724004</v>
      </c>
      <c r="EK404" s="469">
        <f>EK424*EK428</f>
        <v>25.280767205063174</v>
      </c>
      <c r="EL404" s="725">
        <f>SUM(EJ404:EK404)</f>
        <v>570.24993798230321</v>
      </c>
      <c r="EM404" s="469">
        <f>EM424*EM428</f>
        <v>561.31824590055726</v>
      </c>
      <c r="EN404" s="469">
        <f>EN424*EN428</f>
        <v>26.039190221215073</v>
      </c>
      <c r="EO404" s="725">
        <f>SUM(EM404:EN404)</f>
        <v>587.35743612177237</v>
      </c>
      <c r="EP404" s="469">
        <f>EP424*EP428</f>
        <v>578.157793277574</v>
      </c>
      <c r="EQ404" s="469">
        <f>EQ424*EQ428</f>
        <v>26.820365927851526</v>
      </c>
      <c r="ER404" s="725">
        <f>SUM(EP404:EQ404)</f>
        <v>604.97815920542553</v>
      </c>
      <c r="ES404" s="469">
        <f>ES424*ES428</f>
        <v>595.50252707590118</v>
      </c>
      <c r="ET404" s="469">
        <f>ET424*ET428</f>
        <v>27.62497690568707</v>
      </c>
      <c r="EU404" s="725">
        <f>SUM(ES404:ET404)</f>
        <v>623.12750398158823</v>
      </c>
      <c r="EV404" s="469">
        <f>EV424*EV428</f>
        <v>613.36760288817823</v>
      </c>
      <c r="EW404" s="469">
        <f>EW424*EW428</f>
        <v>28.453726212857685</v>
      </c>
      <c r="EX404" s="725">
        <f>SUM(EV404:EW404)</f>
        <v>641.82132910103587</v>
      </c>
      <c r="EY404" s="469">
        <f>EY424*EY428</f>
        <v>631.76863097482362</v>
      </c>
      <c r="EZ404" s="469">
        <f>EZ424*EZ428</f>
        <v>29.307337999243419</v>
      </c>
      <c r="FA404" s="24">
        <f>SUM(EY404:EZ404)</f>
        <v>661.075968974067</v>
      </c>
      <c r="FB404" s="176"/>
      <c r="FC404" s="176"/>
      <c r="FD404" s="176"/>
      <c r="FE404" s="176"/>
      <c r="FF404" s="176"/>
      <c r="FG404" s="176"/>
      <c r="FH404" s="176"/>
      <c r="FI404" s="176"/>
      <c r="FJ404" s="176"/>
      <c r="FK404" s="176"/>
      <c r="FL404" s="176"/>
      <c r="FM404" s="176"/>
      <c r="FN404" s="176"/>
      <c r="FO404" s="176"/>
      <c r="FP404" s="217"/>
      <c r="FQ404" s="217"/>
      <c r="FR404" s="217"/>
    </row>
    <row r="405" spans="1:200" s="11" customFormat="1" ht="12.75">
      <c r="A405" s="22" t="s">
        <v>834</v>
      </c>
      <c r="B405" s="11" t="s">
        <v>834</v>
      </c>
      <c r="C405" s="177"/>
      <c r="D405" s="16" t="s">
        <v>357</v>
      </c>
      <c r="CW405" s="466"/>
      <c r="CX405" s="10"/>
      <c r="CY405" s="466"/>
      <c r="CZ405" s="466"/>
      <c r="DA405" s="10"/>
      <c r="DB405" s="466"/>
      <c r="DC405" s="467"/>
      <c r="DD405" s="468"/>
      <c r="DE405" s="814"/>
      <c r="DF405" s="467"/>
      <c r="DG405" s="467"/>
      <c r="DH405" s="818"/>
      <c r="DI405" s="930">
        <v>563</v>
      </c>
      <c r="DJ405" s="469">
        <f>+DK405-DI405</f>
        <v>66</v>
      </c>
      <c r="DK405" s="929">
        <v>629</v>
      </c>
      <c r="DL405" s="930">
        <v>838</v>
      </c>
      <c r="DM405" s="469">
        <f>+DN405-DL405</f>
        <v>47</v>
      </c>
      <c r="DN405" s="929">
        <v>885</v>
      </c>
      <c r="DO405" s="930">
        <v>845</v>
      </c>
      <c r="DP405" s="469">
        <f>+DQ405-DO405</f>
        <v>48</v>
      </c>
      <c r="DQ405" s="929">
        <v>893</v>
      </c>
      <c r="DR405" s="930">
        <v>988</v>
      </c>
      <c r="DS405" s="469">
        <f>+DT405-DR405</f>
        <v>52</v>
      </c>
      <c r="DT405" s="929">
        <v>1040</v>
      </c>
      <c r="DU405" s="930">
        <v>829</v>
      </c>
      <c r="DV405" s="469">
        <f>+DW405-DU405</f>
        <v>72</v>
      </c>
      <c r="DW405" s="929">
        <v>901</v>
      </c>
      <c r="DX405" s="930">
        <v>895</v>
      </c>
      <c r="DY405" s="469">
        <f>DY425*DY429</f>
        <v>78.27607700079659</v>
      </c>
      <c r="DZ405" s="725">
        <f>SUM(DX405:DY405)</f>
        <v>973.27607700079659</v>
      </c>
      <c r="EA405" s="469">
        <f>EA425*EA429</f>
        <v>877.18949999999995</v>
      </c>
      <c r="EB405" s="469">
        <f>EB425*EB429</f>
        <v>76.718383068480748</v>
      </c>
      <c r="EC405" s="725">
        <f>SUM(EA405:EB405)</f>
        <v>953.90788306848071</v>
      </c>
      <c r="ED405" s="469">
        <f>ED425*ED429</f>
        <v>877.10178105</v>
      </c>
      <c r="EE405" s="469">
        <f>EE425*EE429</f>
        <v>76.710711230173899</v>
      </c>
      <c r="EF405" s="725">
        <f>SUM(ED405:EE405)</f>
        <v>953.81249228017396</v>
      </c>
      <c r="EG405" s="469">
        <f>EG425*EG429</f>
        <v>894.64381667099997</v>
      </c>
      <c r="EH405" s="469">
        <f>EH425*EH429</f>
        <v>78.244925454777373</v>
      </c>
      <c r="EI405" s="725">
        <f>SUM(EG405:EH405)</f>
        <v>972.8887421257773</v>
      </c>
      <c r="EJ405" s="469">
        <f>EJ425*EJ429</f>
        <v>921.48313117113003</v>
      </c>
      <c r="EK405" s="469">
        <f>EK425*EK429</f>
        <v>80.592273218420701</v>
      </c>
      <c r="EL405" s="725">
        <f>SUM(EJ405:EK405)</f>
        <v>1002.0754043895507</v>
      </c>
      <c r="EM405" s="469">
        <f>EM425*EM429</f>
        <v>949.12762510626396</v>
      </c>
      <c r="EN405" s="469">
        <f>EN425*EN429</f>
        <v>83.010041414973315</v>
      </c>
      <c r="EO405" s="725">
        <f>SUM(EM405:EN405)</f>
        <v>1032.1376665212372</v>
      </c>
      <c r="EP405" s="469">
        <f>EP425*EP429</f>
        <v>977.60145385945179</v>
      </c>
      <c r="EQ405" s="469">
        <f>EQ425*EQ429</f>
        <v>85.500342657422522</v>
      </c>
      <c r="ER405" s="725">
        <f>SUM(EP405:EQ405)</f>
        <v>1063.1017965168744</v>
      </c>
      <c r="ES405" s="469">
        <f>ES425*ES429</f>
        <v>1006.9294974752354</v>
      </c>
      <c r="ET405" s="469">
        <f>ET425*ET429</f>
        <v>88.065352937145192</v>
      </c>
      <c r="EU405" s="725">
        <f>SUM(ES405:ET405)</f>
        <v>1094.9948504123806</v>
      </c>
      <c r="EV405" s="469">
        <f>EV425*EV429</f>
        <v>1037.1373823994925</v>
      </c>
      <c r="EW405" s="469">
        <f>EW425*EW429</f>
        <v>90.707313525259551</v>
      </c>
      <c r="EX405" s="725">
        <f>SUM(EV405:EW405)</f>
        <v>1127.8446959247519</v>
      </c>
      <c r="EY405" s="469">
        <f>EY425*EY429</f>
        <v>1068.2515038714773</v>
      </c>
      <c r="EZ405" s="469">
        <f>EZ425*EZ429</f>
        <v>93.42853293101733</v>
      </c>
      <c r="FA405" s="24">
        <f>SUM(EY405:EZ405)</f>
        <v>1161.6800368024947</v>
      </c>
      <c r="FB405" s="217"/>
      <c r="FC405" s="217"/>
      <c r="FD405" s="217"/>
      <c r="FE405" s="217"/>
      <c r="FF405" s="217"/>
      <c r="FG405" s="217"/>
      <c r="FH405" s="217"/>
      <c r="FI405" s="217"/>
      <c r="FJ405" s="217"/>
      <c r="FK405" s="217"/>
      <c r="FL405" s="217"/>
      <c r="FM405" s="217"/>
      <c r="FN405" s="217"/>
      <c r="FO405" s="217"/>
    </row>
    <row r="406" spans="1:200" s="11" customFormat="1" ht="12.75">
      <c r="A406" s="22" t="s">
        <v>1054</v>
      </c>
      <c r="B406" s="11" t="s">
        <v>835</v>
      </c>
      <c r="C406" s="177"/>
      <c r="D406" s="16" t="s">
        <v>357</v>
      </c>
      <c r="CW406" s="466"/>
      <c r="CX406" s="10"/>
      <c r="CY406" s="466"/>
      <c r="CZ406" s="466"/>
      <c r="DA406" s="10"/>
      <c r="DB406" s="466"/>
      <c r="DC406" s="467"/>
      <c r="DD406" s="468"/>
      <c r="DE406" s="814"/>
      <c r="DF406" s="761"/>
      <c r="DG406" s="761"/>
      <c r="DH406" s="818"/>
      <c r="DI406" s="930">
        <v>86</v>
      </c>
      <c r="DJ406" s="10">
        <f>+DK406-DI406</f>
        <v>90</v>
      </c>
      <c r="DK406" s="929">
        <v>176</v>
      </c>
      <c r="DL406" s="881">
        <v>80</v>
      </c>
      <c r="DM406" s="10">
        <f>+DN406-DL406</f>
        <v>95</v>
      </c>
      <c r="DN406" s="929">
        <v>175</v>
      </c>
      <c r="DO406" s="881">
        <v>86</v>
      </c>
      <c r="DP406" s="10">
        <f>+DQ406-DO406</f>
        <v>125</v>
      </c>
      <c r="DQ406" s="929">
        <v>211</v>
      </c>
      <c r="DR406" s="881">
        <v>65</v>
      </c>
      <c r="DS406" s="10">
        <f>+DT406-DR406</f>
        <v>116</v>
      </c>
      <c r="DT406" s="929">
        <v>181</v>
      </c>
      <c r="DU406" s="881">
        <v>143</v>
      </c>
      <c r="DV406" s="469">
        <f>+DW406-DU406</f>
        <v>272</v>
      </c>
      <c r="DW406" s="1846">
        <f>+DW407-DW404-DW405</f>
        <v>415</v>
      </c>
      <c r="DX406" s="881">
        <v>99</v>
      </c>
      <c r="DY406" s="882">
        <v>150</v>
      </c>
      <c r="DZ406" s="725">
        <f>SUM(DX406:DY406)</f>
        <v>249</v>
      </c>
      <c r="EA406" s="762">
        <f>DX406</f>
        <v>99</v>
      </c>
      <c r="EB406" s="762">
        <f>DY406</f>
        <v>150</v>
      </c>
      <c r="EC406" s="725">
        <f>SUM(EA406:EB406)</f>
        <v>249</v>
      </c>
      <c r="ED406" s="762">
        <f>EA406</f>
        <v>99</v>
      </c>
      <c r="EE406" s="762">
        <f>EB406</f>
        <v>150</v>
      </c>
      <c r="EF406" s="725">
        <f>SUM(ED406:EE406)</f>
        <v>249</v>
      </c>
      <c r="EG406" s="762">
        <f>ED406</f>
        <v>99</v>
      </c>
      <c r="EH406" s="762">
        <f>EE406</f>
        <v>150</v>
      </c>
      <c r="EI406" s="725">
        <f>SUM(EG406:EH406)</f>
        <v>249</v>
      </c>
      <c r="EJ406" s="762">
        <f>EG406</f>
        <v>99</v>
      </c>
      <c r="EK406" s="763">
        <f>EH406</f>
        <v>150</v>
      </c>
      <c r="EL406" s="725">
        <f>SUM(EJ406:EK406)</f>
        <v>249</v>
      </c>
      <c r="EM406" s="762">
        <f>EJ406</f>
        <v>99</v>
      </c>
      <c r="EN406" s="763">
        <f>EK406</f>
        <v>150</v>
      </c>
      <c r="EO406" s="725">
        <f>SUM(EM406:EN406)</f>
        <v>249</v>
      </c>
      <c r="EP406" s="762">
        <f>EM406</f>
        <v>99</v>
      </c>
      <c r="EQ406" s="763">
        <f>EN406</f>
        <v>150</v>
      </c>
      <c r="ER406" s="725">
        <f>SUM(EP406:EQ406)</f>
        <v>249</v>
      </c>
      <c r="ES406" s="762">
        <f>EP406</f>
        <v>99</v>
      </c>
      <c r="ET406" s="763">
        <f>EQ406</f>
        <v>150</v>
      </c>
      <c r="EU406" s="725">
        <f>SUM(ES406:ET406)</f>
        <v>249</v>
      </c>
      <c r="EV406" s="762">
        <f>ES406</f>
        <v>99</v>
      </c>
      <c r="EW406" s="763">
        <f>ET406</f>
        <v>150</v>
      </c>
      <c r="EX406" s="725">
        <f>SUM(EV406:EW406)</f>
        <v>249</v>
      </c>
      <c r="EY406" s="762">
        <f>EV406</f>
        <v>99</v>
      </c>
      <c r="EZ406" s="763">
        <f>EW406</f>
        <v>150</v>
      </c>
      <c r="FA406" s="24">
        <f>SUM(EY406:EZ406)</f>
        <v>249</v>
      </c>
    </row>
    <row r="407" spans="1:200" s="470" customFormat="1" ht="13.5" thickBot="1">
      <c r="A407" s="22"/>
      <c r="B407" s="470" t="s">
        <v>836</v>
      </c>
      <c r="D407" s="471" t="s">
        <v>357</v>
      </c>
      <c r="E407" s="11"/>
      <c r="F407" s="11"/>
      <c r="G407" s="11"/>
      <c r="H407" s="11"/>
      <c r="I407" s="11"/>
      <c r="J407" s="11"/>
      <c r="K407" s="11"/>
      <c r="L407" s="11"/>
      <c r="M407" s="11"/>
      <c r="N407" s="11"/>
      <c r="O407" s="11"/>
      <c r="P407" s="11"/>
      <c r="Q407" s="11"/>
      <c r="R407" s="11"/>
      <c r="S407" s="11"/>
      <c r="T407" s="11"/>
      <c r="U407" s="11"/>
      <c r="V407" s="11"/>
      <c r="W407" s="11"/>
      <c r="X407" s="11"/>
      <c r="Y407" s="11"/>
      <c r="Z407" s="11"/>
      <c r="AA407" s="11"/>
      <c r="AB407" s="11"/>
      <c r="AC407" s="11"/>
      <c r="AD407" s="11"/>
      <c r="AE407" s="11"/>
      <c r="AF407" s="11"/>
      <c r="AG407" s="11"/>
      <c r="AH407" s="11"/>
      <c r="AI407" s="11"/>
      <c r="AJ407" s="11"/>
      <c r="AK407" s="11"/>
      <c r="AL407" s="11"/>
      <c r="AM407" s="11"/>
      <c r="AN407" s="11"/>
      <c r="AO407" s="11"/>
      <c r="AP407" s="11"/>
      <c r="AQ407" s="11"/>
      <c r="AR407" s="11"/>
      <c r="AS407" s="11"/>
      <c r="AT407" s="11"/>
      <c r="AU407" s="11"/>
      <c r="AV407" s="11"/>
      <c r="AW407" s="11"/>
      <c r="AX407" s="11"/>
      <c r="AY407" s="11"/>
      <c r="AZ407" s="11"/>
      <c r="BA407" s="11"/>
      <c r="BB407" s="11"/>
      <c r="BC407" s="11"/>
      <c r="BD407" s="11"/>
      <c r="BE407" s="11"/>
      <c r="BF407" s="11"/>
      <c r="BG407" s="11"/>
      <c r="BH407" s="11"/>
      <c r="BI407" s="11"/>
      <c r="BJ407" s="11"/>
      <c r="BK407" s="11"/>
      <c r="BL407" s="11"/>
      <c r="BM407" s="11"/>
      <c r="BN407" s="11"/>
      <c r="BO407" s="11"/>
      <c r="BP407" s="11"/>
      <c r="BQ407" s="11"/>
      <c r="BR407" s="11"/>
      <c r="BS407" s="11"/>
      <c r="BT407" s="11"/>
      <c r="BU407" s="11"/>
      <c r="BV407" s="11"/>
      <c r="BW407" s="11"/>
      <c r="BX407" s="11"/>
      <c r="BY407" s="11"/>
      <c r="BZ407" s="11"/>
      <c r="CA407" s="11"/>
      <c r="CB407" s="11"/>
      <c r="CC407" s="11"/>
      <c r="CD407" s="11"/>
      <c r="CE407" s="11"/>
      <c r="CF407" s="11"/>
      <c r="CG407" s="11"/>
      <c r="CH407" s="11"/>
      <c r="CI407" s="11"/>
      <c r="CJ407" s="11"/>
      <c r="CK407" s="11"/>
      <c r="CL407" s="11"/>
      <c r="CM407" s="11"/>
      <c r="CN407" s="11"/>
      <c r="CO407" s="11"/>
      <c r="CP407" s="11"/>
      <c r="CQ407" s="11"/>
      <c r="CR407" s="11"/>
      <c r="CS407" s="11"/>
      <c r="CT407" s="11"/>
      <c r="CW407" s="472"/>
      <c r="CX407" s="472"/>
      <c r="CY407" s="472"/>
      <c r="CZ407" s="472"/>
      <c r="DA407" s="472"/>
      <c r="DB407" s="472"/>
      <c r="DC407" s="473"/>
      <c r="DD407" s="474"/>
      <c r="DE407" s="815"/>
      <c r="DF407" s="473"/>
      <c r="DG407" s="473"/>
      <c r="DH407" s="815"/>
      <c r="DI407" s="932">
        <v>1339.9</v>
      </c>
      <c r="DJ407" s="473">
        <f>SUM(DJ404:DJ406)</f>
        <v>211.79999999999995</v>
      </c>
      <c r="DK407" s="931">
        <v>1551.7</v>
      </c>
      <c r="DL407" s="932">
        <v>1591.7</v>
      </c>
      <c r="DM407" s="473">
        <f>SUM(DM404:DM406)</f>
        <v>185.29999999999995</v>
      </c>
      <c r="DN407" s="931">
        <v>1777</v>
      </c>
      <c r="DO407" s="932">
        <v>1653.2</v>
      </c>
      <c r="DP407" s="473">
        <f>SUM(DP404:DP406)</f>
        <v>197.79999999999995</v>
      </c>
      <c r="DQ407" s="931">
        <v>1851</v>
      </c>
      <c r="DR407" s="932">
        <v>1705</v>
      </c>
      <c r="DS407" s="473">
        <f>SUM(DS404:DS406)</f>
        <v>191</v>
      </c>
      <c r="DT407" s="931">
        <v>1896</v>
      </c>
      <c r="DU407" s="932">
        <v>1544</v>
      </c>
      <c r="DV407" s="473">
        <f>SUM(DV404:DV406)</f>
        <v>362</v>
      </c>
      <c r="DW407" s="931">
        <v>1906</v>
      </c>
      <c r="DX407" s="932">
        <v>1534</v>
      </c>
      <c r="DY407" s="473">
        <f t="shared" ref="DY407:EU407" si="406">SUM(DY404:DY406)</f>
        <v>253.32632758885106</v>
      </c>
      <c r="DZ407" s="726">
        <f t="shared" si="406"/>
        <v>1787.3263275888512</v>
      </c>
      <c r="EA407" s="473">
        <f t="shared" si="406"/>
        <v>1505.4434999999999</v>
      </c>
      <c r="EB407" s="473">
        <f t="shared" si="406"/>
        <v>251.27013366983294</v>
      </c>
      <c r="EC407" s="726">
        <f t="shared" si="406"/>
        <v>1756.7136336698329</v>
      </c>
      <c r="ED407" s="473">
        <f t="shared" si="406"/>
        <v>1494.8236264500001</v>
      </c>
      <c r="EE407" s="473">
        <f t="shared" si="406"/>
        <v>250.77388199455919</v>
      </c>
      <c r="EF407" s="726">
        <f t="shared" si="406"/>
        <v>1745.5975084445593</v>
      </c>
      <c r="EG407" s="473">
        <f t="shared" si="406"/>
        <v>1522.7400989789999</v>
      </c>
      <c r="EH407" s="473">
        <f t="shared" si="406"/>
        <v>252.78935963445036</v>
      </c>
      <c r="EI407" s="726">
        <f t="shared" si="406"/>
        <v>1775.5294586134501</v>
      </c>
      <c r="EJ407" s="473">
        <f t="shared" si="406"/>
        <v>1565.4523019483699</v>
      </c>
      <c r="EK407" s="473">
        <f t="shared" si="406"/>
        <v>255.87304042348387</v>
      </c>
      <c r="EL407" s="726">
        <f t="shared" si="406"/>
        <v>1821.3253423718538</v>
      </c>
      <c r="EM407" s="473">
        <f t="shared" si="406"/>
        <v>1609.4458710068211</v>
      </c>
      <c r="EN407" s="473">
        <f t="shared" si="406"/>
        <v>259.04923163618838</v>
      </c>
      <c r="EO407" s="726">
        <f t="shared" si="406"/>
        <v>1868.4951026430094</v>
      </c>
      <c r="EP407" s="473">
        <f t="shared" si="406"/>
        <v>1654.7592471370258</v>
      </c>
      <c r="EQ407" s="473">
        <f t="shared" si="406"/>
        <v>262.32070858527402</v>
      </c>
      <c r="ER407" s="726">
        <f t="shared" si="406"/>
        <v>1917.0799557222999</v>
      </c>
      <c r="ES407" s="473">
        <f t="shared" si="406"/>
        <v>1701.4320245511367</v>
      </c>
      <c r="ET407" s="473">
        <f t="shared" si="406"/>
        <v>265.69032984283228</v>
      </c>
      <c r="EU407" s="726">
        <f t="shared" si="406"/>
        <v>1967.1223543939689</v>
      </c>
      <c r="EV407" s="473">
        <f t="shared" ref="EV407:FA407" si="407">SUM(EV404:EV406)</f>
        <v>1749.5049852876707</v>
      </c>
      <c r="EW407" s="473">
        <f t="shared" si="407"/>
        <v>269.16103973811721</v>
      </c>
      <c r="EX407" s="726">
        <f t="shared" si="407"/>
        <v>2018.6660250257878</v>
      </c>
      <c r="EY407" s="473">
        <f t="shared" si="407"/>
        <v>1799.0201348463011</v>
      </c>
      <c r="EZ407" s="473">
        <f t="shared" si="407"/>
        <v>272.73587093026072</v>
      </c>
      <c r="FA407" s="627">
        <f t="shared" si="407"/>
        <v>2071.7560057765618</v>
      </c>
      <c r="FB407" s="11"/>
      <c r="FC407" s="11"/>
      <c r="FD407" s="11"/>
      <c r="FE407" s="11"/>
      <c r="FF407" s="11"/>
      <c r="FG407" s="11"/>
      <c r="FH407" s="11"/>
      <c r="FI407" s="11"/>
      <c r="FJ407" s="11"/>
      <c r="FK407" s="11"/>
      <c r="FL407" s="11"/>
      <c r="FM407" s="11"/>
      <c r="FN407" s="11"/>
      <c r="FO407" s="11"/>
      <c r="FP407" s="11"/>
      <c r="FQ407" s="11"/>
      <c r="FR407" s="11"/>
      <c r="FS407" s="11"/>
      <c r="FT407" s="11"/>
      <c r="FU407" s="11"/>
      <c r="FV407" s="11"/>
      <c r="FW407" s="11"/>
      <c r="FX407" s="11"/>
      <c r="FY407" s="11"/>
      <c r="FZ407" s="11"/>
      <c r="GA407" s="11"/>
      <c r="GB407" s="11"/>
      <c r="GC407" s="11"/>
      <c r="GD407" s="11"/>
      <c r="GE407" s="11"/>
      <c r="GF407" s="11"/>
      <c r="GG407" s="11"/>
      <c r="GH407" s="11"/>
      <c r="GI407" s="11"/>
      <c r="GJ407" s="11"/>
      <c r="GK407" s="11"/>
      <c r="GL407" s="11"/>
      <c r="GM407" s="11"/>
      <c r="GN407" s="11"/>
      <c r="GO407" s="11"/>
      <c r="GP407" s="11"/>
      <c r="GQ407" s="11"/>
      <c r="GR407" s="11"/>
    </row>
    <row r="408" spans="1:200" s="11" customFormat="1" ht="13.5" thickTop="1">
      <c r="A408" s="22" t="s">
        <v>837</v>
      </c>
      <c r="B408" s="11" t="s">
        <v>837</v>
      </c>
      <c r="C408" s="177"/>
      <c r="D408" s="16" t="s">
        <v>357</v>
      </c>
      <c r="CW408" s="466"/>
      <c r="CX408" s="10"/>
      <c r="CY408" s="466"/>
      <c r="CZ408" s="466"/>
      <c r="DA408" s="10"/>
      <c r="DB408" s="466"/>
      <c r="DC408" s="467"/>
      <c r="DD408" s="764"/>
      <c r="DE408" s="814"/>
      <c r="DF408" s="467"/>
      <c r="DG408" s="467"/>
      <c r="DH408" s="818"/>
      <c r="DI408" s="933">
        <v>77.400000000000006</v>
      </c>
      <c r="DJ408" s="477">
        <f>+DK408-DI408</f>
        <v>84.799999999999983</v>
      </c>
      <c r="DK408" s="929">
        <v>162.19999999999999</v>
      </c>
      <c r="DL408" s="933">
        <v>82.2</v>
      </c>
      <c r="DM408" s="477">
        <f>+DN408-DL408</f>
        <v>79.8</v>
      </c>
      <c r="DN408" s="929">
        <v>162</v>
      </c>
      <c r="DO408" s="933">
        <v>75.7</v>
      </c>
      <c r="DP408" s="477">
        <f>+DQ408-DO408</f>
        <v>80.3</v>
      </c>
      <c r="DQ408" s="929">
        <v>156</v>
      </c>
      <c r="DR408" s="881">
        <v>85</v>
      </c>
      <c r="DS408" s="477">
        <f>+DT408-DR408</f>
        <v>87</v>
      </c>
      <c r="DT408" s="929">
        <v>172</v>
      </c>
      <c r="DU408" s="881">
        <v>89</v>
      </c>
      <c r="DV408" s="477">
        <f>+DW408-DU408</f>
        <v>90</v>
      </c>
      <c r="DW408" s="929">
        <v>179</v>
      </c>
      <c r="DX408" s="881">
        <v>94</v>
      </c>
      <c r="DY408" s="882">
        <v>90</v>
      </c>
      <c r="DZ408" s="725">
        <f>SUM(DX408:DY408)</f>
        <v>184</v>
      </c>
      <c r="EA408" s="762">
        <f t="shared" ref="EA408:EB410" si="408">DX408</f>
        <v>94</v>
      </c>
      <c r="EB408" s="762">
        <f t="shared" si="408"/>
        <v>90</v>
      </c>
      <c r="EC408" s="725">
        <f>SUM(EA408:EB408)</f>
        <v>184</v>
      </c>
      <c r="ED408" s="762">
        <f t="shared" ref="ED408:EE410" si="409">EA408</f>
        <v>94</v>
      </c>
      <c r="EE408" s="762">
        <f t="shared" si="409"/>
        <v>90</v>
      </c>
      <c r="EF408" s="725">
        <f>SUM(ED408:EE408)</f>
        <v>184</v>
      </c>
      <c r="EG408" s="762">
        <f t="shared" ref="EG408:EH410" si="410">ED408</f>
        <v>94</v>
      </c>
      <c r="EH408" s="762">
        <f t="shared" si="410"/>
        <v>90</v>
      </c>
      <c r="EI408" s="725">
        <f>SUM(EG408:EH408)</f>
        <v>184</v>
      </c>
      <c r="EJ408" s="762">
        <f t="shared" ref="EJ408:EK410" si="411">EG408</f>
        <v>94</v>
      </c>
      <c r="EK408" s="762">
        <f t="shared" si="411"/>
        <v>90</v>
      </c>
      <c r="EL408" s="725">
        <f>SUM(EJ408:EK408)</f>
        <v>184</v>
      </c>
      <c r="EM408" s="762">
        <f t="shared" ref="EM408:EN410" si="412">EJ408</f>
        <v>94</v>
      </c>
      <c r="EN408" s="762">
        <f t="shared" si="412"/>
        <v>90</v>
      </c>
      <c r="EO408" s="725">
        <f>SUM(EM408:EN408)</f>
        <v>184</v>
      </c>
      <c r="EP408" s="762">
        <f t="shared" ref="EP408:EQ410" si="413">EM408</f>
        <v>94</v>
      </c>
      <c r="EQ408" s="762">
        <f t="shared" si="413"/>
        <v>90</v>
      </c>
      <c r="ER408" s="725">
        <f>SUM(EP408:EQ408)</f>
        <v>184</v>
      </c>
      <c r="ES408" s="762">
        <f t="shared" ref="ES408:ET410" si="414">EP408</f>
        <v>94</v>
      </c>
      <c r="ET408" s="762">
        <f t="shared" si="414"/>
        <v>90</v>
      </c>
      <c r="EU408" s="725">
        <f>SUM(ES408:ET408)</f>
        <v>184</v>
      </c>
      <c r="EV408" s="762">
        <f t="shared" ref="EV408:EW410" si="415">ES408</f>
        <v>94</v>
      </c>
      <c r="EW408" s="762">
        <f t="shared" si="415"/>
        <v>90</v>
      </c>
      <c r="EX408" s="725">
        <f>SUM(EV408:EW408)</f>
        <v>184</v>
      </c>
      <c r="EY408" s="762">
        <f t="shared" ref="EY408:EZ410" si="416">EV408</f>
        <v>94</v>
      </c>
      <c r="EZ408" s="762">
        <f t="shared" si="416"/>
        <v>90</v>
      </c>
      <c r="FA408" s="24">
        <f>SUM(EY408:EZ408)</f>
        <v>184</v>
      </c>
    </row>
    <row r="409" spans="1:200" s="11" customFormat="1" ht="12.75">
      <c r="A409" s="22"/>
      <c r="B409" s="11" t="s">
        <v>838</v>
      </c>
      <c r="C409" s="177"/>
      <c r="D409" s="16" t="s">
        <v>357</v>
      </c>
      <c r="CW409" s="466"/>
      <c r="CX409" s="10"/>
      <c r="CY409" s="466"/>
      <c r="CZ409" s="466"/>
      <c r="DA409" s="10"/>
      <c r="DB409" s="466"/>
      <c r="DC409" s="467"/>
      <c r="DD409" s="764"/>
      <c r="DE409" s="814"/>
      <c r="DF409" s="466"/>
      <c r="DG409" s="466"/>
      <c r="DH409" s="818"/>
      <c r="DI409" s="933">
        <v>0</v>
      </c>
      <c r="DJ409" s="10">
        <f>+DK409-DI409</f>
        <v>0</v>
      </c>
      <c r="DK409" s="929">
        <v>0</v>
      </c>
      <c r="DL409" s="933">
        <v>0</v>
      </c>
      <c r="DM409" s="10">
        <f>+DN409-DL409</f>
        <v>0</v>
      </c>
      <c r="DN409" s="929">
        <v>0</v>
      </c>
      <c r="DO409" s="933">
        <v>0</v>
      </c>
      <c r="DP409" s="10">
        <f>+DQ409-DO409</f>
        <v>0</v>
      </c>
      <c r="DQ409" s="929">
        <v>0</v>
      </c>
      <c r="DR409" s="881">
        <v>0</v>
      </c>
      <c r="DS409" s="10">
        <f>+DT409-DR409</f>
        <v>0</v>
      </c>
      <c r="DT409" s="929">
        <v>0</v>
      </c>
      <c r="DU409" s="881">
        <v>0</v>
      </c>
      <c r="DV409" s="10">
        <f>+DW409-DU409</f>
        <v>0</v>
      </c>
      <c r="DW409" s="929">
        <v>0</v>
      </c>
      <c r="DX409" s="881">
        <v>0</v>
      </c>
      <c r="DY409" s="762">
        <f>DV409</f>
        <v>0</v>
      </c>
      <c r="DZ409" s="725">
        <f>SUM(DX409:DY409)</f>
        <v>0</v>
      </c>
      <c r="EA409" s="762">
        <f t="shared" si="408"/>
        <v>0</v>
      </c>
      <c r="EB409" s="762">
        <f t="shared" si="408"/>
        <v>0</v>
      </c>
      <c r="EC409" s="725">
        <f>SUM(EA409:EB409)</f>
        <v>0</v>
      </c>
      <c r="ED409" s="762">
        <f t="shared" si="409"/>
        <v>0</v>
      </c>
      <c r="EE409" s="762">
        <f t="shared" si="409"/>
        <v>0</v>
      </c>
      <c r="EF409" s="725">
        <f>SUM(ED409:EE409)</f>
        <v>0</v>
      </c>
      <c r="EG409" s="762">
        <f t="shared" si="410"/>
        <v>0</v>
      </c>
      <c r="EH409" s="762">
        <f t="shared" si="410"/>
        <v>0</v>
      </c>
      <c r="EI409" s="725">
        <f>SUM(EG409:EH409)</f>
        <v>0</v>
      </c>
      <c r="EJ409" s="762">
        <f t="shared" si="411"/>
        <v>0</v>
      </c>
      <c r="EK409" s="762">
        <f t="shared" si="411"/>
        <v>0</v>
      </c>
      <c r="EL409" s="725">
        <f>SUM(EJ409:EK409)</f>
        <v>0</v>
      </c>
      <c r="EM409" s="762">
        <f t="shared" si="412"/>
        <v>0</v>
      </c>
      <c r="EN409" s="762">
        <f t="shared" si="412"/>
        <v>0</v>
      </c>
      <c r="EO409" s="725">
        <f>SUM(EM409:EN409)</f>
        <v>0</v>
      </c>
      <c r="EP409" s="762">
        <f t="shared" si="413"/>
        <v>0</v>
      </c>
      <c r="EQ409" s="762">
        <f t="shared" si="413"/>
        <v>0</v>
      </c>
      <c r="ER409" s="725">
        <f>SUM(EP409:EQ409)</f>
        <v>0</v>
      </c>
      <c r="ES409" s="762">
        <f t="shared" si="414"/>
        <v>0</v>
      </c>
      <c r="ET409" s="762">
        <f t="shared" si="414"/>
        <v>0</v>
      </c>
      <c r="EU409" s="725">
        <f>SUM(ES409:ET409)</f>
        <v>0</v>
      </c>
      <c r="EV409" s="762">
        <f t="shared" si="415"/>
        <v>0</v>
      </c>
      <c r="EW409" s="762">
        <f t="shared" si="415"/>
        <v>0</v>
      </c>
      <c r="EX409" s="725">
        <f>SUM(EV409:EW409)</f>
        <v>0</v>
      </c>
      <c r="EY409" s="762">
        <f t="shared" si="416"/>
        <v>0</v>
      </c>
      <c r="EZ409" s="762">
        <f t="shared" si="416"/>
        <v>0</v>
      </c>
      <c r="FA409" s="24">
        <f>SUM(EY409:EZ409)</f>
        <v>0</v>
      </c>
    </row>
    <row r="410" spans="1:200" s="11" customFormat="1" ht="12.75">
      <c r="A410" s="22"/>
      <c r="B410" s="11" t="s">
        <v>792</v>
      </c>
      <c r="C410" s="177"/>
      <c r="D410" s="16" t="s">
        <v>357</v>
      </c>
      <c r="CW410" s="466"/>
      <c r="CX410" s="10"/>
      <c r="CY410" s="466"/>
      <c r="CZ410" s="466"/>
      <c r="DA410" s="10"/>
      <c r="DB410" s="466"/>
      <c r="DC410" s="467"/>
      <c r="DD410" s="764"/>
      <c r="DE410" s="814"/>
      <c r="DF410" s="466"/>
      <c r="DG410" s="466"/>
      <c r="DH410" s="818"/>
      <c r="DI410" s="933">
        <v>7.5</v>
      </c>
      <c r="DJ410" s="477">
        <f>+DK410-DI410</f>
        <v>17.100000000000001</v>
      </c>
      <c r="DK410" s="929">
        <v>24.6</v>
      </c>
      <c r="DL410" s="933">
        <v>11.1</v>
      </c>
      <c r="DM410" s="477">
        <f>+DN410-DL410</f>
        <v>13.9</v>
      </c>
      <c r="DN410" s="929">
        <v>25</v>
      </c>
      <c r="DO410" s="933">
        <v>9.1</v>
      </c>
      <c r="DP410" s="477">
        <f>+DQ410-DO410</f>
        <v>14.9</v>
      </c>
      <c r="DQ410" s="929">
        <v>24</v>
      </c>
      <c r="DR410" s="881">
        <v>14</v>
      </c>
      <c r="DS410" s="10">
        <f>+DT410-DR410</f>
        <v>46</v>
      </c>
      <c r="DT410" s="929">
        <v>60</v>
      </c>
      <c r="DU410" s="881">
        <v>28</v>
      </c>
      <c r="DV410" s="10">
        <f>+DW410-DU410</f>
        <v>53</v>
      </c>
      <c r="DW410" s="929">
        <f>2166-SUM(DW407:DW409)</f>
        <v>81</v>
      </c>
      <c r="DX410" s="1896">
        <f>DX411-DX407-DX408</f>
        <v>18</v>
      </c>
      <c r="DY410" s="882">
        <f>+DX410</f>
        <v>18</v>
      </c>
      <c r="DZ410" s="725">
        <f>SUM(DX410:DY410)</f>
        <v>36</v>
      </c>
      <c r="EA410" s="762">
        <f t="shared" si="408"/>
        <v>18</v>
      </c>
      <c r="EB410" s="762">
        <f t="shared" si="408"/>
        <v>18</v>
      </c>
      <c r="EC410" s="725">
        <f>SUM(EA410:EB410)</f>
        <v>36</v>
      </c>
      <c r="ED410" s="762">
        <f t="shared" si="409"/>
        <v>18</v>
      </c>
      <c r="EE410" s="762">
        <f t="shared" si="409"/>
        <v>18</v>
      </c>
      <c r="EF410" s="725">
        <f>SUM(ED410:EE410)</f>
        <v>36</v>
      </c>
      <c r="EG410" s="762">
        <f t="shared" si="410"/>
        <v>18</v>
      </c>
      <c r="EH410" s="762">
        <f t="shared" si="410"/>
        <v>18</v>
      </c>
      <c r="EI410" s="725">
        <f>SUM(EG410:EH410)</f>
        <v>36</v>
      </c>
      <c r="EJ410" s="762">
        <f t="shared" si="411"/>
        <v>18</v>
      </c>
      <c r="EK410" s="762">
        <f t="shared" si="411"/>
        <v>18</v>
      </c>
      <c r="EL410" s="725">
        <f>SUM(EJ410:EK410)</f>
        <v>36</v>
      </c>
      <c r="EM410" s="762">
        <f t="shared" si="412"/>
        <v>18</v>
      </c>
      <c r="EN410" s="762">
        <f t="shared" si="412"/>
        <v>18</v>
      </c>
      <c r="EO410" s="725">
        <f>SUM(EM410:EN410)</f>
        <v>36</v>
      </c>
      <c r="EP410" s="762">
        <f t="shared" si="413"/>
        <v>18</v>
      </c>
      <c r="EQ410" s="762">
        <f t="shared" si="413"/>
        <v>18</v>
      </c>
      <c r="ER410" s="725">
        <f>SUM(EP410:EQ410)</f>
        <v>36</v>
      </c>
      <c r="ES410" s="762">
        <f t="shared" si="414"/>
        <v>18</v>
      </c>
      <c r="ET410" s="762">
        <f t="shared" si="414"/>
        <v>18</v>
      </c>
      <c r="EU410" s="725">
        <f>SUM(ES410:ET410)</f>
        <v>36</v>
      </c>
      <c r="EV410" s="762">
        <f t="shared" si="415"/>
        <v>18</v>
      </c>
      <c r="EW410" s="762">
        <f t="shared" si="415"/>
        <v>18</v>
      </c>
      <c r="EX410" s="725">
        <f>SUM(EV410:EW410)</f>
        <v>36</v>
      </c>
      <c r="EY410" s="762">
        <f t="shared" si="416"/>
        <v>18</v>
      </c>
      <c r="EZ410" s="762">
        <f t="shared" si="416"/>
        <v>18</v>
      </c>
      <c r="FA410" s="24">
        <f>SUM(EY410:EZ410)</f>
        <v>36</v>
      </c>
    </row>
    <row r="411" spans="1:200" s="470" customFormat="1" ht="13.5" thickBot="1">
      <c r="A411" s="22"/>
      <c r="B411" s="470" t="s">
        <v>742</v>
      </c>
      <c r="D411" s="471" t="s">
        <v>357</v>
      </c>
      <c r="E411" s="11"/>
      <c r="F411" s="11"/>
      <c r="G411" s="11"/>
      <c r="H411" s="11"/>
      <c r="I411" s="11"/>
      <c r="J411" s="11"/>
      <c r="K411" s="11"/>
      <c r="L411" s="11"/>
      <c r="M411" s="11"/>
      <c r="N411" s="11"/>
      <c r="O411" s="11"/>
      <c r="P411" s="11"/>
      <c r="Q411" s="11"/>
      <c r="R411" s="11"/>
      <c r="S411" s="11"/>
      <c r="T411" s="11"/>
      <c r="U411" s="11"/>
      <c r="V411" s="11"/>
      <c r="W411" s="11"/>
      <c r="X411" s="11"/>
      <c r="Y411" s="11"/>
      <c r="Z411" s="11"/>
      <c r="AA411" s="11"/>
      <c r="AB411" s="11"/>
      <c r="AC411" s="11"/>
      <c r="AD411" s="11"/>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c r="BC411" s="11"/>
      <c r="BD411" s="11"/>
      <c r="BE411" s="11"/>
      <c r="BF411" s="11"/>
      <c r="BG411" s="11"/>
      <c r="BH411" s="11"/>
      <c r="BI411" s="11"/>
      <c r="BJ411" s="11"/>
      <c r="BK411" s="11"/>
      <c r="BL411" s="11"/>
      <c r="BM411" s="11"/>
      <c r="BN411" s="11"/>
      <c r="BO411" s="11"/>
      <c r="BP411" s="11"/>
      <c r="BQ411" s="11"/>
      <c r="BR411" s="11"/>
      <c r="BS411" s="11"/>
      <c r="BT411" s="11"/>
      <c r="BU411" s="11"/>
      <c r="BV411" s="11"/>
      <c r="BW411" s="11"/>
      <c r="BX411" s="11"/>
      <c r="BY411" s="11"/>
      <c r="BZ411" s="11"/>
      <c r="CA411" s="11"/>
      <c r="CB411" s="11"/>
      <c r="CC411" s="11"/>
      <c r="CD411" s="11"/>
      <c r="CE411" s="11"/>
      <c r="CF411" s="11"/>
      <c r="CG411" s="11"/>
      <c r="CH411" s="11"/>
      <c r="CI411" s="11"/>
      <c r="CJ411" s="11"/>
      <c r="CK411" s="11"/>
      <c r="CL411" s="11"/>
      <c r="CM411" s="11"/>
      <c r="CN411" s="11"/>
      <c r="CO411" s="11"/>
      <c r="CP411" s="11"/>
      <c r="CQ411" s="11"/>
      <c r="CR411" s="11"/>
      <c r="CS411" s="11"/>
      <c r="CT411" s="11"/>
      <c r="CW411" s="472"/>
      <c r="CX411" s="472"/>
      <c r="CY411" s="472"/>
      <c r="CZ411" s="472"/>
      <c r="DA411" s="472"/>
      <c r="DB411" s="472"/>
      <c r="DC411" s="473"/>
      <c r="DD411" s="475"/>
      <c r="DE411" s="816"/>
      <c r="DF411" s="476"/>
      <c r="DG411" s="475"/>
      <c r="DH411" s="816"/>
      <c r="DI411" s="473">
        <f>SUM(DI407:DI410)</f>
        <v>1424.8000000000002</v>
      </c>
      <c r="DJ411" s="473">
        <f>SUM(DJ407:DJ410)</f>
        <v>313.69999999999993</v>
      </c>
      <c r="DK411" s="726">
        <f>SUM(DK407:DK410)</f>
        <v>1738.5</v>
      </c>
      <c r="DL411" s="473">
        <f t="shared" ref="DL411:EF411" si="417">SUM(DL407:DL410)</f>
        <v>1685</v>
      </c>
      <c r="DM411" s="473">
        <f t="shared" si="417"/>
        <v>278.99999999999994</v>
      </c>
      <c r="DN411" s="726">
        <f t="shared" si="417"/>
        <v>1964</v>
      </c>
      <c r="DO411" s="473">
        <f t="shared" si="417"/>
        <v>1738</v>
      </c>
      <c r="DP411" s="473">
        <f>SUM(DP407:DP410)</f>
        <v>292.99999999999994</v>
      </c>
      <c r="DQ411" s="726">
        <f t="shared" si="417"/>
        <v>2031</v>
      </c>
      <c r="DR411" s="473">
        <f t="shared" si="417"/>
        <v>1804</v>
      </c>
      <c r="DS411" s="473">
        <f t="shared" si="417"/>
        <v>324</v>
      </c>
      <c r="DT411" s="726">
        <f t="shared" si="417"/>
        <v>2128</v>
      </c>
      <c r="DU411" s="473">
        <f t="shared" si="417"/>
        <v>1661</v>
      </c>
      <c r="DV411" s="473">
        <f>SUM(DV407:DV410)</f>
        <v>505</v>
      </c>
      <c r="DW411" s="726">
        <f>SUM(DW407:DW410)</f>
        <v>2166</v>
      </c>
      <c r="DX411" s="932">
        <v>1646</v>
      </c>
      <c r="DY411" s="473">
        <f t="shared" si="417"/>
        <v>361.32632758885109</v>
      </c>
      <c r="DZ411" s="726">
        <f t="shared" si="417"/>
        <v>2007.3263275888512</v>
      </c>
      <c r="EA411" s="473">
        <f t="shared" si="417"/>
        <v>1617.4434999999999</v>
      </c>
      <c r="EB411" s="473">
        <f t="shared" si="417"/>
        <v>359.27013366983294</v>
      </c>
      <c r="EC411" s="726">
        <f t="shared" si="417"/>
        <v>1976.7136336698329</v>
      </c>
      <c r="ED411" s="473">
        <f t="shared" si="417"/>
        <v>1606.8236264500001</v>
      </c>
      <c r="EE411" s="473">
        <f t="shared" si="417"/>
        <v>358.77388199455919</v>
      </c>
      <c r="EF411" s="726">
        <f t="shared" si="417"/>
        <v>1965.5975084445593</v>
      </c>
      <c r="EG411" s="473">
        <f t="shared" ref="EG411:EL411" si="418">SUM(EG407:EG410)</f>
        <v>1634.7400989789999</v>
      </c>
      <c r="EH411" s="473">
        <f t="shared" si="418"/>
        <v>360.78935963445036</v>
      </c>
      <c r="EI411" s="726">
        <f t="shared" si="418"/>
        <v>1995.5294586134501</v>
      </c>
      <c r="EJ411" s="473">
        <f t="shared" si="418"/>
        <v>1677.4523019483699</v>
      </c>
      <c r="EK411" s="473">
        <f t="shared" si="418"/>
        <v>363.87304042348387</v>
      </c>
      <c r="EL411" s="726">
        <f t="shared" si="418"/>
        <v>2041.3253423718538</v>
      </c>
      <c r="EM411" s="473">
        <f t="shared" ref="EM411:ER411" si="419">SUM(EM407:EM410)</f>
        <v>1721.4458710068211</v>
      </c>
      <c r="EN411" s="473">
        <f t="shared" si="419"/>
        <v>367.04923163618838</v>
      </c>
      <c r="EO411" s="726">
        <f t="shared" si="419"/>
        <v>2088.4951026430094</v>
      </c>
      <c r="EP411" s="473">
        <f t="shared" si="419"/>
        <v>1766.7592471370258</v>
      </c>
      <c r="EQ411" s="473">
        <f t="shared" si="419"/>
        <v>370.32070858527402</v>
      </c>
      <c r="ER411" s="726">
        <f t="shared" si="419"/>
        <v>2137.0799557222999</v>
      </c>
      <c r="ES411" s="473">
        <f t="shared" ref="ES411:FA411" si="420">SUM(ES407:ES410)</f>
        <v>1813.4320245511367</v>
      </c>
      <c r="ET411" s="473">
        <f t="shared" si="420"/>
        <v>373.69032984283228</v>
      </c>
      <c r="EU411" s="726">
        <f t="shared" si="420"/>
        <v>2187.1223543939686</v>
      </c>
      <c r="EV411" s="473">
        <f t="shared" si="420"/>
        <v>1861.5049852876707</v>
      </c>
      <c r="EW411" s="473">
        <f t="shared" si="420"/>
        <v>377.16103973811721</v>
      </c>
      <c r="EX411" s="726">
        <f t="shared" si="420"/>
        <v>2238.6660250257878</v>
      </c>
      <c r="EY411" s="473">
        <f t="shared" si="420"/>
        <v>1911.0201348463011</v>
      </c>
      <c r="EZ411" s="473">
        <f t="shared" si="420"/>
        <v>380.73587093026072</v>
      </c>
      <c r="FA411" s="627">
        <f t="shared" si="420"/>
        <v>2291.7560057765618</v>
      </c>
      <c r="FB411" s="11"/>
      <c r="FC411" s="11"/>
      <c r="FD411" s="11"/>
      <c r="FE411" s="11"/>
      <c r="FF411" s="11"/>
      <c r="FG411" s="11"/>
      <c r="FH411" s="11"/>
      <c r="FI411" s="11"/>
      <c r="FJ411" s="11"/>
      <c r="FK411" s="11"/>
      <c r="FL411" s="11"/>
      <c r="FM411" s="11"/>
      <c r="FN411" s="11"/>
      <c r="FO411" s="11"/>
      <c r="FP411" s="11"/>
      <c r="FQ411" s="11"/>
      <c r="FR411" s="11"/>
      <c r="FS411" s="11"/>
      <c r="FT411" s="11"/>
      <c r="FU411" s="11"/>
      <c r="FV411" s="11"/>
      <c r="FW411" s="11"/>
      <c r="FX411" s="11"/>
      <c r="FY411" s="11"/>
      <c r="FZ411" s="11"/>
      <c r="GA411" s="11"/>
      <c r="GB411" s="11"/>
      <c r="GC411" s="11"/>
      <c r="GD411" s="11"/>
      <c r="GE411" s="11"/>
      <c r="GF411" s="11"/>
      <c r="GG411" s="11"/>
      <c r="GH411" s="11"/>
      <c r="GI411" s="11"/>
      <c r="GJ411" s="11"/>
      <c r="GK411" s="11"/>
      <c r="GL411" s="11"/>
      <c r="GM411" s="11"/>
      <c r="GN411" s="11"/>
      <c r="GO411" s="11"/>
      <c r="GP411" s="11"/>
      <c r="GQ411" s="11"/>
      <c r="GR411" s="11"/>
    </row>
    <row r="412" spans="1:200" s="11" customFormat="1" ht="13.5" thickTop="1">
      <c r="A412" s="22"/>
      <c r="B412" s="11" t="s">
        <v>847</v>
      </c>
      <c r="D412" s="16" t="s">
        <v>507</v>
      </c>
      <c r="CW412" s="10"/>
      <c r="CX412" s="10"/>
      <c r="CY412" s="10"/>
      <c r="CZ412" s="596"/>
      <c r="DA412" s="596"/>
      <c r="DB412" s="596"/>
      <c r="DC412" s="596"/>
      <c r="DD412" s="596"/>
      <c r="DE412" s="817"/>
      <c r="DF412" s="596"/>
      <c r="DG412" s="596"/>
      <c r="DH412" s="817"/>
      <c r="DI412" s="596"/>
      <c r="DJ412" s="596"/>
      <c r="DK412" s="765"/>
      <c r="DL412" s="596">
        <f t="shared" ref="DL412:EF412" si="421">DL411/DI411-1</f>
        <v>0.18262212240314413</v>
      </c>
      <c r="DM412" s="596">
        <f t="shared" si="421"/>
        <v>-0.11061523748804591</v>
      </c>
      <c r="DN412" s="765">
        <f t="shared" si="421"/>
        <v>0.12970951970089151</v>
      </c>
      <c r="DO412" s="596">
        <f t="shared" si="421"/>
        <v>3.1454005934718143E-2</v>
      </c>
      <c r="DP412" s="596">
        <f t="shared" si="421"/>
        <v>5.017921146953408E-2</v>
      </c>
      <c r="DQ412" s="765">
        <f t="shared" si="421"/>
        <v>3.4114052953156726E-2</v>
      </c>
      <c r="DR412" s="596">
        <f t="shared" si="421"/>
        <v>3.7974683544303778E-2</v>
      </c>
      <c r="DS412" s="596">
        <f t="shared" si="421"/>
        <v>0.10580204778157021</v>
      </c>
      <c r="DT412" s="765">
        <f t="shared" si="421"/>
        <v>4.7759724273756854E-2</v>
      </c>
      <c r="DU412" s="596">
        <f t="shared" si="421"/>
        <v>-7.9268292682926789E-2</v>
      </c>
      <c r="DV412" s="596">
        <f>DV411/DS411-1</f>
        <v>0.55864197530864201</v>
      </c>
      <c r="DW412" s="765">
        <f>DW411/DT411-1</f>
        <v>1.7857142857142794E-2</v>
      </c>
      <c r="DX412" s="596">
        <f t="shared" si="421"/>
        <v>-9.0307043949428012E-3</v>
      </c>
      <c r="DY412" s="596">
        <f t="shared" si="421"/>
        <v>-0.28450232160623545</v>
      </c>
      <c r="DZ412" s="765">
        <f t="shared" si="421"/>
        <v>-7.3256543126107521E-2</v>
      </c>
      <c r="EA412" s="596">
        <f t="shared" si="421"/>
        <v>-1.7349027946537143E-2</v>
      </c>
      <c r="EB412" s="596">
        <f t="shared" si="421"/>
        <v>-5.6906839109654994E-3</v>
      </c>
      <c r="EC412" s="765">
        <f t="shared" si="421"/>
        <v>-1.525048194619627E-2</v>
      </c>
      <c r="ED412" s="596">
        <f t="shared" si="421"/>
        <v>-6.5658389612989199E-3</v>
      </c>
      <c r="EE412" s="596">
        <f t="shared" si="421"/>
        <v>-1.381277286271243E-3</v>
      </c>
      <c r="EF412" s="765">
        <f t="shared" si="421"/>
        <v>-5.6235385014450356E-3</v>
      </c>
      <c r="EG412" s="596">
        <f t="shared" ref="EG412:EL412" si="422">EG411/ED411-1</f>
        <v>1.7373700553978244E-2</v>
      </c>
      <c r="EH412" s="596">
        <f t="shared" si="422"/>
        <v>5.617682169856808E-3</v>
      </c>
      <c r="EI412" s="765">
        <f t="shared" si="422"/>
        <v>1.5227914178919111E-2</v>
      </c>
      <c r="EJ412" s="596">
        <f t="shared" si="422"/>
        <v>2.6127824842644198E-2</v>
      </c>
      <c r="EK412" s="596">
        <f t="shared" si="422"/>
        <v>8.5470391703288406E-3</v>
      </c>
      <c r="EL412" s="765">
        <f t="shared" si="422"/>
        <v>2.2949239642006569E-2</v>
      </c>
      <c r="EM412" s="596">
        <f t="shared" ref="EM412:FA412" si="423">EM411/EJ411-1</f>
        <v>2.6226420272786433E-2</v>
      </c>
      <c r="EN412" s="596">
        <f t="shared" si="423"/>
        <v>8.7288445689956973E-3</v>
      </c>
      <c r="EO412" s="765">
        <f t="shared" si="423"/>
        <v>2.3107419132095908E-2</v>
      </c>
      <c r="EP412" s="596">
        <f t="shared" si="423"/>
        <v>2.6322858530371418E-2</v>
      </c>
      <c r="EQ412" s="596">
        <f t="shared" si="423"/>
        <v>8.9129104956913174E-3</v>
      </c>
      <c r="ER412" s="765">
        <f t="shared" si="423"/>
        <v>2.3263091695932658E-2</v>
      </c>
      <c r="ES412" s="596">
        <f t="shared" si="423"/>
        <v>2.6417168886899933E-2</v>
      </c>
      <c r="ET412" s="596">
        <f t="shared" si="423"/>
        <v>9.0991974778595885E-3</v>
      </c>
      <c r="EU412" s="765">
        <f t="shared" si="423"/>
        <v>2.341625007416015E-2</v>
      </c>
      <c r="EV412" s="596">
        <f t="shared" si="423"/>
        <v>2.6509381154462108E-2</v>
      </c>
      <c r="EW412" s="596">
        <f t="shared" si="423"/>
        <v>9.2876631213461014E-3</v>
      </c>
      <c r="EX412" s="765">
        <f t="shared" si="423"/>
        <v>2.3566889400708169E-2</v>
      </c>
      <c r="EY412" s="596">
        <f t="shared" si="423"/>
        <v>2.6599525625755183E-2</v>
      </c>
      <c r="EZ412" s="596">
        <f t="shared" si="423"/>
        <v>9.4782621095372832E-3</v>
      </c>
      <c r="FA412" s="766">
        <f t="shared" si="423"/>
        <v>2.3715007132500965E-2</v>
      </c>
    </row>
    <row r="413" spans="1:200" s="11" customFormat="1" ht="12.75">
      <c r="A413" s="22"/>
      <c r="B413" s="767" t="s">
        <v>850</v>
      </c>
      <c r="C413" s="177"/>
      <c r="D413" s="16"/>
      <c r="CW413" s="10"/>
      <c r="CX413" s="10"/>
      <c r="CY413" s="10"/>
      <c r="CZ413" s="10"/>
      <c r="DA413" s="10"/>
      <c r="DB413" s="10"/>
      <c r="DC413" s="10"/>
      <c r="DD413" s="10"/>
      <c r="DE413" s="67"/>
      <c r="DF413" s="10"/>
      <c r="DG413" s="10"/>
      <c r="DH413" s="67"/>
      <c r="DI413" s="10"/>
      <c r="DJ413" s="10"/>
      <c r="DK413" s="691"/>
      <c r="DL413" s="10"/>
      <c r="DM413" s="10"/>
      <c r="DN413" s="691"/>
      <c r="DO413" s="10"/>
      <c r="DP413" s="10"/>
      <c r="DQ413" s="691"/>
      <c r="DR413" s="10"/>
      <c r="DS413" s="10"/>
      <c r="DT413" s="691"/>
      <c r="DU413" s="10"/>
      <c r="DV413" s="10"/>
      <c r="DW413" s="691"/>
      <c r="DX413" s="10"/>
      <c r="DY413" s="469"/>
      <c r="DZ413" s="691"/>
      <c r="EA413" s="10"/>
      <c r="EB413" s="10"/>
      <c r="EC413" s="691"/>
      <c r="ED413" s="10"/>
      <c r="EE413" s="10"/>
      <c r="EF413" s="691"/>
      <c r="EG413" s="10"/>
      <c r="EH413" s="10"/>
      <c r="EI413" s="691"/>
      <c r="EJ413" s="10"/>
      <c r="EK413" s="10"/>
      <c r="EL413" s="691"/>
      <c r="EM413" s="10"/>
      <c r="EN413" s="10"/>
      <c r="EO413" s="691"/>
      <c r="EP413" s="10"/>
      <c r="EQ413" s="10"/>
      <c r="ER413" s="691"/>
      <c r="ES413" s="10"/>
      <c r="ET413" s="10"/>
      <c r="EU413" s="691"/>
      <c r="EV413" s="10"/>
      <c r="EW413" s="10"/>
      <c r="EX413" s="691"/>
      <c r="EY413" s="10"/>
      <c r="EZ413" s="10"/>
      <c r="FA413" s="14"/>
    </row>
    <row r="414" spans="1:200" s="11" customFormat="1" ht="12.75">
      <c r="A414" s="22"/>
      <c r="B414" s="11" t="s">
        <v>829</v>
      </c>
      <c r="C414" s="177"/>
      <c r="D414" s="16" t="s">
        <v>8</v>
      </c>
      <c r="CW414" s="477"/>
      <c r="CX414" s="477"/>
      <c r="CY414" s="469"/>
      <c r="CZ414" s="477"/>
      <c r="DA414" s="477"/>
      <c r="DB414" s="469"/>
      <c r="DC414" s="469"/>
      <c r="DD414" s="469"/>
      <c r="DE414" s="818"/>
      <c r="DF414" s="469"/>
      <c r="DG414" s="469"/>
      <c r="DH414" s="818"/>
      <c r="DI414" s="469">
        <v>56.304088650502166</v>
      </c>
      <c r="DJ414" s="469">
        <v>4.0035389944244866</v>
      </c>
      <c r="DK414" s="725">
        <v>60.307627644926654</v>
      </c>
      <c r="DL414" s="469"/>
      <c r="DM414" s="469"/>
      <c r="DN414" s="725"/>
      <c r="DO414" s="628"/>
      <c r="DP414" s="469"/>
      <c r="DQ414" s="725"/>
      <c r="DR414" s="628"/>
      <c r="DS414" s="469"/>
      <c r="DT414" s="725"/>
      <c r="DU414" s="469"/>
      <c r="DV414" s="469"/>
      <c r="DW414" s="725"/>
      <c r="DX414" s="469"/>
      <c r="DY414" s="469"/>
      <c r="DZ414" s="725"/>
      <c r="EA414" s="469"/>
      <c r="EB414" s="469"/>
      <c r="EC414" s="725"/>
      <c r="ED414" s="469"/>
      <c r="EE414" s="469"/>
      <c r="EF414" s="725"/>
      <c r="EG414" s="469"/>
      <c r="EH414" s="469"/>
      <c r="EI414" s="725"/>
      <c r="EJ414" s="469"/>
      <c r="EK414" s="469"/>
      <c r="EL414" s="725"/>
      <c r="EM414" s="469"/>
      <c r="EN414" s="469"/>
      <c r="EO414" s="725"/>
      <c r="EP414" s="469"/>
      <c r="EQ414" s="469"/>
      <c r="ER414" s="725"/>
      <c r="ES414" s="469"/>
      <c r="ET414" s="469"/>
      <c r="EU414" s="725"/>
      <c r="EV414" s="469"/>
      <c r="EW414" s="469"/>
      <c r="EX414" s="725"/>
      <c r="EY414" s="469"/>
      <c r="EZ414" s="469"/>
      <c r="FA414" s="24"/>
    </row>
    <row r="415" spans="1:200" s="11" customFormat="1" ht="12.75">
      <c r="A415" s="22"/>
      <c r="B415" s="11" t="s">
        <v>830</v>
      </c>
      <c r="C415" s="177"/>
      <c r="D415" s="16" t="s">
        <v>8</v>
      </c>
      <c r="CW415" s="477"/>
      <c r="CX415" s="477"/>
      <c r="CY415" s="469"/>
      <c r="CZ415" s="477"/>
      <c r="DA415" s="477"/>
      <c r="DB415" s="469"/>
      <c r="DC415" s="469"/>
      <c r="DD415" s="469"/>
      <c r="DE415" s="818"/>
      <c r="DF415" s="469"/>
      <c r="DG415" s="469"/>
      <c r="DH415" s="818"/>
      <c r="DI415" s="469">
        <v>2.4319018219396771</v>
      </c>
      <c r="DJ415" s="469">
        <v>0.37538593947531596</v>
      </c>
      <c r="DK415" s="725">
        <v>2.8072877614149929</v>
      </c>
      <c r="DL415" s="469"/>
      <c r="DM415" s="469"/>
      <c r="DN415" s="725"/>
      <c r="DO415" s="469"/>
      <c r="DP415" s="469"/>
      <c r="DQ415" s="725"/>
      <c r="DR415" s="469"/>
      <c r="DS415" s="469"/>
      <c r="DT415" s="725"/>
      <c r="DU415" s="469"/>
      <c r="DV415" s="469"/>
      <c r="DW415" s="743"/>
      <c r="DX415" s="469"/>
      <c r="DY415" s="469"/>
      <c r="DZ415" s="725"/>
      <c r="EA415" s="469"/>
      <c r="EB415" s="469"/>
      <c r="EC415" s="725"/>
      <c r="ED415" s="469"/>
      <c r="EE415" s="469"/>
      <c r="EF415" s="725"/>
      <c r="EG415" s="469"/>
      <c r="EH415" s="469"/>
      <c r="EI415" s="725"/>
      <c r="EJ415" s="469"/>
      <c r="EK415" s="469"/>
      <c r="EL415" s="725"/>
      <c r="EM415" s="469"/>
      <c r="EN415" s="469"/>
      <c r="EO415" s="725"/>
      <c r="EP415" s="469"/>
      <c r="EQ415" s="469"/>
      <c r="ER415" s="725"/>
      <c r="ES415" s="469"/>
      <c r="ET415" s="469"/>
      <c r="EU415" s="725"/>
      <c r="EV415" s="469"/>
      <c r="EW415" s="469"/>
      <c r="EX415" s="725"/>
      <c r="EY415" s="469"/>
      <c r="EZ415" s="469"/>
      <c r="FA415" s="24"/>
    </row>
    <row r="416" spans="1:200" s="11" customFormat="1" ht="12.75">
      <c r="A416" s="22"/>
      <c r="B416" s="11" t="s">
        <v>831</v>
      </c>
      <c r="C416" s="177"/>
      <c r="D416" s="16" t="s">
        <v>8</v>
      </c>
      <c r="CW416" s="477"/>
      <c r="CX416" s="477"/>
      <c r="CY416" s="469"/>
      <c r="CZ416" s="477"/>
      <c r="DA416" s="477"/>
      <c r="DB416" s="469"/>
      <c r="DC416" s="469"/>
      <c r="DD416" s="469"/>
      <c r="DE416" s="818"/>
      <c r="DF416" s="469"/>
      <c r="DG416" s="469"/>
      <c r="DH416" s="818"/>
      <c r="DI416" s="469">
        <v>30.062221894050872</v>
      </c>
      <c r="DJ416" s="469">
        <v>3.0922183643836072</v>
      </c>
      <c r="DK416" s="725">
        <v>33.154440258434477</v>
      </c>
      <c r="DL416" s="469"/>
      <c r="DM416" s="469"/>
      <c r="DN416" s="725"/>
      <c r="DO416" s="469"/>
      <c r="DP416" s="469"/>
      <c r="DQ416" s="725"/>
      <c r="DR416" s="469"/>
      <c r="DS416" s="469"/>
      <c r="DT416" s="725"/>
      <c r="DU416" s="469"/>
      <c r="DV416" s="469"/>
      <c r="DW416" s="725"/>
      <c r="DX416" s="469"/>
      <c r="DY416" s="469"/>
      <c r="DZ416" s="725"/>
      <c r="EA416" s="469"/>
      <c r="EB416" s="469"/>
      <c r="EC416" s="725"/>
      <c r="ED416" s="469"/>
      <c r="EE416" s="469"/>
      <c r="EF416" s="725"/>
      <c r="EG416" s="469"/>
      <c r="EH416" s="469"/>
      <c r="EI416" s="725"/>
      <c r="EJ416" s="469"/>
      <c r="EK416" s="469"/>
      <c r="EL416" s="725"/>
      <c r="EM416" s="469"/>
      <c r="EN416" s="469"/>
      <c r="EO416" s="725"/>
      <c r="EP416" s="469"/>
      <c r="EQ416" s="469"/>
      <c r="ER416" s="725"/>
      <c r="ES416" s="469"/>
      <c r="ET416" s="469"/>
      <c r="EU416" s="725"/>
      <c r="EV416" s="469"/>
      <c r="EW416" s="469"/>
      <c r="EX416" s="725"/>
      <c r="EY416" s="469"/>
      <c r="EZ416" s="469"/>
      <c r="FA416" s="24"/>
    </row>
    <row r="417" spans="1:184" s="1" customFormat="1" ht="12.75">
      <c r="A417" s="1018"/>
      <c r="B417" s="1" t="s">
        <v>487</v>
      </c>
      <c r="C417" s="218"/>
      <c r="D417" s="478" t="s">
        <v>8</v>
      </c>
      <c r="CW417" s="23"/>
      <c r="CX417" s="23"/>
      <c r="CY417" s="24"/>
      <c r="CZ417" s="23"/>
      <c r="DA417" s="23"/>
      <c r="DB417" s="24"/>
      <c r="DC417" s="469"/>
      <c r="DD417" s="469"/>
      <c r="DE417" s="818"/>
      <c r="DF417" s="469"/>
      <c r="DG417" s="469"/>
      <c r="DH417" s="818"/>
      <c r="DI417" s="469">
        <v>88.79821236649272</v>
      </c>
      <c r="DJ417" s="469">
        <v>7.4711432982834101</v>
      </c>
      <c r="DK417" s="725">
        <v>96.269355664776128</v>
      </c>
      <c r="DL417" s="23"/>
      <c r="DM417" s="23"/>
      <c r="DN417" s="725"/>
      <c r="DO417" s="23"/>
      <c r="DP417" s="23"/>
      <c r="DQ417" s="725"/>
      <c r="DR417" s="23"/>
      <c r="DS417" s="23"/>
      <c r="DT417" s="725"/>
      <c r="DU417" s="23"/>
      <c r="DV417" s="23"/>
      <c r="DW417" s="743"/>
      <c r="DX417" s="23"/>
      <c r="DY417" s="23"/>
      <c r="DZ417" s="725"/>
      <c r="EA417" s="23"/>
      <c r="EB417" s="23"/>
      <c r="EC417" s="725"/>
      <c r="ED417" s="23"/>
      <c r="EE417" s="23"/>
      <c r="EF417" s="725"/>
      <c r="EG417" s="23"/>
      <c r="EH417" s="23"/>
      <c r="EI417" s="725"/>
      <c r="EJ417" s="23"/>
      <c r="EK417" s="23"/>
      <c r="EL417" s="725"/>
      <c r="EM417" s="23"/>
      <c r="EN417" s="23"/>
      <c r="EO417" s="725"/>
      <c r="EP417" s="23"/>
      <c r="EQ417" s="23"/>
      <c r="ER417" s="725"/>
      <c r="ES417" s="23"/>
      <c r="ET417" s="23"/>
      <c r="EU417" s="725"/>
      <c r="EV417" s="23"/>
      <c r="EW417" s="23"/>
      <c r="EX417" s="725"/>
      <c r="EY417" s="23"/>
      <c r="EZ417" s="23"/>
      <c r="FA417" s="24"/>
      <c r="FB417" s="11"/>
      <c r="FC417" s="11"/>
      <c r="FD417" s="11"/>
      <c r="FE417" s="11"/>
      <c r="FF417" s="11"/>
      <c r="FG417" s="11"/>
      <c r="FH417" s="11"/>
      <c r="FI417" s="11"/>
      <c r="FJ417" s="11"/>
      <c r="FK417" s="11"/>
      <c r="FL417" s="11"/>
      <c r="FM417" s="11"/>
      <c r="FN417" s="11"/>
      <c r="FO417" s="11"/>
      <c r="FP417" s="11"/>
      <c r="FQ417" s="11"/>
      <c r="FR417" s="11"/>
      <c r="FS417" s="11"/>
      <c r="FT417" s="11"/>
      <c r="FU417" s="11"/>
      <c r="FV417" s="11"/>
      <c r="FW417" s="11"/>
      <c r="FX417" s="11"/>
      <c r="FY417" s="11"/>
      <c r="FZ417" s="11"/>
      <c r="GA417" s="11"/>
      <c r="GB417" s="11"/>
    </row>
    <row r="418" spans="1:184" s="11" customFormat="1" ht="12.75">
      <c r="A418" s="22"/>
      <c r="B418" s="767" t="s">
        <v>849</v>
      </c>
      <c r="C418" s="177"/>
      <c r="D418" s="16"/>
      <c r="CW418" s="10"/>
      <c r="CX418" s="10"/>
      <c r="CY418" s="10"/>
      <c r="CZ418" s="10"/>
      <c r="DA418" s="10"/>
      <c r="DB418" s="10"/>
      <c r="DC418" s="10"/>
      <c r="DD418" s="10"/>
      <c r="DE418" s="67"/>
      <c r="DF418" s="10"/>
      <c r="DG418" s="10"/>
      <c r="DH418" s="67"/>
      <c r="DI418" s="10"/>
      <c r="DJ418" s="10"/>
      <c r="DK418" s="691"/>
      <c r="DL418" s="10"/>
      <c r="DM418" s="10"/>
      <c r="DN418" s="691"/>
      <c r="DO418" s="10"/>
      <c r="DP418" s="10"/>
      <c r="DQ418" s="691"/>
      <c r="DR418" s="10"/>
      <c r="DS418" s="10"/>
      <c r="DT418" s="691"/>
      <c r="DU418" s="10"/>
      <c r="DV418" s="10"/>
      <c r="DW418" s="691"/>
      <c r="DX418" s="10"/>
      <c r="DY418" s="10"/>
      <c r="DZ418" s="691"/>
      <c r="EA418" s="10"/>
      <c r="EB418" s="10"/>
      <c r="EC418" s="691"/>
      <c r="ED418" s="10"/>
      <c r="EE418" s="10"/>
      <c r="EF418" s="691"/>
      <c r="EG418" s="10"/>
      <c r="EH418" s="10"/>
      <c r="EI418" s="691"/>
      <c r="EJ418" s="10"/>
      <c r="EK418" s="10"/>
      <c r="EL418" s="691"/>
      <c r="EM418" s="10"/>
      <c r="EN418" s="10"/>
      <c r="EO418" s="691"/>
      <c r="EP418" s="10"/>
      <c r="EQ418" s="10"/>
      <c r="ER418" s="691"/>
      <c r="ES418" s="10"/>
      <c r="ET418" s="10"/>
      <c r="EU418" s="691"/>
      <c r="EV418" s="10"/>
      <c r="EW418" s="10"/>
      <c r="EX418" s="691"/>
      <c r="EY418" s="10"/>
      <c r="EZ418" s="10"/>
      <c r="FA418" s="14"/>
    </row>
    <row r="419" spans="1:184" s="11" customFormat="1" ht="12.75">
      <c r="A419" s="22"/>
      <c r="B419" s="11" t="s">
        <v>829</v>
      </c>
      <c r="C419" s="177"/>
      <c r="D419" s="16" t="s">
        <v>507</v>
      </c>
      <c r="CW419" s="10"/>
      <c r="CX419" s="10"/>
      <c r="CY419" s="10"/>
      <c r="CZ419" s="596"/>
      <c r="DA419" s="596"/>
      <c r="DB419" s="596"/>
      <c r="DC419" s="596"/>
      <c r="DD419" s="596"/>
      <c r="DE419" s="817"/>
      <c r="DF419" s="596"/>
      <c r="DG419" s="596"/>
      <c r="DH419" s="817"/>
      <c r="DI419" s="937">
        <v>0.19999999999999996</v>
      </c>
      <c r="DJ419" s="937">
        <v>0.25</v>
      </c>
      <c r="DK419" s="765">
        <v>0.20326209068354162</v>
      </c>
      <c r="DL419" s="938">
        <v>-2.3300000000000001E-2</v>
      </c>
      <c r="DM419" s="899">
        <v>-0.24199999999999999</v>
      </c>
      <c r="DN419" s="765">
        <f>DN424/DK424-1</f>
        <v>-3.8122606770676137E-2</v>
      </c>
      <c r="DO419" s="938">
        <v>7.4487739371216374E-2</v>
      </c>
      <c r="DP419" s="899">
        <v>-0.15161684484226914</v>
      </c>
      <c r="DQ419" s="765">
        <f>DQ424/DN424-1</f>
        <v>6.2411418054381995E-2</v>
      </c>
      <c r="DR419" s="899">
        <v>-0.101586801181899</v>
      </c>
      <c r="DS419" s="899">
        <v>0.05</v>
      </c>
      <c r="DT419" s="765">
        <f>DT424/DQ424-1</f>
        <v>-9.5121541280651756E-2</v>
      </c>
      <c r="DU419" s="899">
        <v>-0.05</v>
      </c>
      <c r="DV419" s="899">
        <v>0.05</v>
      </c>
      <c r="DW419" s="765">
        <f>DW424/DT424-1</f>
        <v>-0.10271988995298875</v>
      </c>
      <c r="DX419" s="899">
        <v>-0.05</v>
      </c>
      <c r="DY419" s="15">
        <v>0.05</v>
      </c>
      <c r="DZ419" s="765">
        <f>DZ424/DW424-1</f>
        <v>-3.1657745559225514E-2</v>
      </c>
      <c r="EA419" s="899">
        <v>-0.01</v>
      </c>
      <c r="EB419" s="15">
        <f>+EA419</f>
        <v>-0.01</v>
      </c>
      <c r="EC419" s="765">
        <f>EC424/DZ424-1</f>
        <v>-1.0000000000000009E-2</v>
      </c>
      <c r="ED419" s="15">
        <f>+EB419</f>
        <v>-0.01</v>
      </c>
      <c r="EE419" s="15">
        <f>+ED419</f>
        <v>-0.01</v>
      </c>
      <c r="EF419" s="765">
        <f>EF424/EC424-1</f>
        <v>-1.000000000000012E-2</v>
      </c>
      <c r="EG419" s="15">
        <v>0.02</v>
      </c>
      <c r="EH419" s="15">
        <f>+EG419</f>
        <v>0.02</v>
      </c>
      <c r="EI419" s="765">
        <f>EI424/EF424-1</f>
        <v>2.0000000000000018E-2</v>
      </c>
      <c r="EJ419" s="15">
        <v>0.03</v>
      </c>
      <c r="EK419" s="15">
        <f>+EJ419</f>
        <v>0.03</v>
      </c>
      <c r="EL419" s="765">
        <f>EL424/EI424-1</f>
        <v>3.0000000000000027E-2</v>
      </c>
      <c r="EM419" s="15">
        <f>+EK419</f>
        <v>0.03</v>
      </c>
      <c r="EN419" s="15">
        <f>+EM419</f>
        <v>0.03</v>
      </c>
      <c r="EO419" s="765">
        <f>EO424/EL424-1</f>
        <v>3.0000000000000027E-2</v>
      </c>
      <c r="EP419" s="15">
        <f>+EN419</f>
        <v>0.03</v>
      </c>
      <c r="EQ419" s="15">
        <f>+EP419</f>
        <v>0.03</v>
      </c>
      <c r="ER419" s="765">
        <f>ER424/EO424-1</f>
        <v>3.0000000000000027E-2</v>
      </c>
      <c r="ES419" s="15">
        <f>+EQ419</f>
        <v>0.03</v>
      </c>
      <c r="ET419" s="15">
        <f>+ES419</f>
        <v>0.03</v>
      </c>
      <c r="EU419" s="765">
        <f>EU424/ER424-1</f>
        <v>3.0000000000000027E-2</v>
      </c>
      <c r="EV419" s="15">
        <f>+ET419</f>
        <v>0.03</v>
      </c>
      <c r="EW419" s="15">
        <f>+EV419</f>
        <v>0.03</v>
      </c>
      <c r="EX419" s="765">
        <f>EX424/EU424-1</f>
        <v>3.0000000000000027E-2</v>
      </c>
      <c r="EY419" s="15">
        <f>+EW419</f>
        <v>0.03</v>
      </c>
      <c r="EZ419" s="15">
        <f>+EY419</f>
        <v>0.03</v>
      </c>
      <c r="FA419" s="766">
        <f>FA424/EX424-1</f>
        <v>3.0000000000000027E-2</v>
      </c>
    </row>
    <row r="420" spans="1:184" s="11" customFormat="1" ht="12.75">
      <c r="A420" s="22"/>
      <c r="B420" s="11" t="s">
        <v>831</v>
      </c>
      <c r="C420" s="177"/>
      <c r="D420" s="16" t="s">
        <v>507</v>
      </c>
      <c r="CW420" s="10"/>
      <c r="CX420" s="10"/>
      <c r="CY420" s="10"/>
      <c r="CZ420" s="596"/>
      <c r="DA420" s="596"/>
      <c r="DB420" s="596"/>
      <c r="DC420" s="596"/>
      <c r="DD420" s="596"/>
      <c r="DE420" s="817"/>
      <c r="DF420" s="596"/>
      <c r="DG420" s="596"/>
      <c r="DH420" s="817"/>
      <c r="DI420" s="937">
        <v>0.19999999999999973</v>
      </c>
      <c r="DJ420" s="937">
        <v>0.25</v>
      </c>
      <c r="DK420" s="765">
        <v>0.20458530376014283</v>
      </c>
      <c r="DL420" s="899">
        <v>0.35299999999999998</v>
      </c>
      <c r="DM420" s="899">
        <v>-0.35141735537190133</v>
      </c>
      <c r="DN420" s="765">
        <f>DN425/DK425-1</f>
        <v>0.28596515534818612</v>
      </c>
      <c r="DO420" s="938">
        <v>-1.0999999999999999E-2</v>
      </c>
      <c r="DP420" s="899">
        <v>-6.2174570438354596E-3</v>
      </c>
      <c r="DQ420" s="765">
        <f>DQ425/DN425-1</f>
        <v>-1.0770456202913503E-2</v>
      </c>
      <c r="DR420" s="899">
        <v>0.14599999999999999</v>
      </c>
      <c r="DS420" s="899">
        <v>0.25</v>
      </c>
      <c r="DT420" s="765">
        <f>DT425/DQ425-1</f>
        <v>0.15101457702406962</v>
      </c>
      <c r="DU420" s="899">
        <v>-0.05</v>
      </c>
      <c r="DV420" s="899">
        <v>0.25</v>
      </c>
      <c r="DW420" s="765">
        <f>DW425/DT425-1</f>
        <v>-0.12322943335239112</v>
      </c>
      <c r="DX420" s="899">
        <v>-0.05</v>
      </c>
      <c r="DY420" s="15">
        <v>0.05</v>
      </c>
      <c r="DZ420" s="765">
        <f>DZ425/DW425-1</f>
        <v>9.7791271386785006E-2</v>
      </c>
      <c r="EA420" s="15">
        <f>+EA419</f>
        <v>-0.01</v>
      </c>
      <c r="EB420" s="15">
        <f>+EA420</f>
        <v>-0.01</v>
      </c>
      <c r="EC420" s="765">
        <f>EC425/DZ425-1</f>
        <v>-1.0000000000000009E-2</v>
      </c>
      <c r="ED420" s="15">
        <f>+EB420</f>
        <v>-0.01</v>
      </c>
      <c r="EE420" s="15">
        <f>+ED420</f>
        <v>-0.01</v>
      </c>
      <c r="EF420" s="765">
        <f>EF425/EC425-1</f>
        <v>-9.9999999999998979E-3</v>
      </c>
      <c r="EG420" s="15">
        <v>0.02</v>
      </c>
      <c r="EH420" s="15">
        <f>+EG420</f>
        <v>0.02</v>
      </c>
      <c r="EI420" s="765">
        <f>EI425/EF425-1</f>
        <v>2.0000000000000018E-2</v>
      </c>
      <c r="EJ420" s="15">
        <v>0.03</v>
      </c>
      <c r="EK420" s="15">
        <f>+EJ420</f>
        <v>0.03</v>
      </c>
      <c r="EL420" s="765">
        <f>EL425/EI425-1</f>
        <v>3.0000000000000027E-2</v>
      </c>
      <c r="EM420" s="15">
        <f>+EK420</f>
        <v>0.03</v>
      </c>
      <c r="EN420" s="15">
        <f>+EM420</f>
        <v>0.03</v>
      </c>
      <c r="EO420" s="765">
        <f>EO425/EL425-1</f>
        <v>3.0000000000000027E-2</v>
      </c>
      <c r="EP420" s="15">
        <f>+EN420</f>
        <v>0.03</v>
      </c>
      <c r="EQ420" s="15">
        <f>+EP420</f>
        <v>0.03</v>
      </c>
      <c r="ER420" s="765">
        <f>ER425/EO425-1</f>
        <v>3.0000000000000027E-2</v>
      </c>
      <c r="ES420" s="15">
        <f>+EQ420</f>
        <v>0.03</v>
      </c>
      <c r="ET420" s="15">
        <f>+ES420</f>
        <v>0.03</v>
      </c>
      <c r="EU420" s="765">
        <f>EU425/ER425-1</f>
        <v>3.0000000000000027E-2</v>
      </c>
      <c r="EV420" s="15">
        <f>+ET420</f>
        <v>0.03</v>
      </c>
      <c r="EW420" s="15">
        <f>+EV420</f>
        <v>0.03</v>
      </c>
      <c r="EX420" s="765">
        <f>EX425/EU425-1</f>
        <v>3.0000000000000027E-2</v>
      </c>
      <c r="EY420" s="15">
        <f>+EW420</f>
        <v>0.03</v>
      </c>
      <c r="EZ420" s="15">
        <f>+EY420</f>
        <v>0.03</v>
      </c>
      <c r="FA420" s="766">
        <f>FA425/EX425-1</f>
        <v>3.0000000000000027E-2</v>
      </c>
    </row>
    <row r="421" spans="1:184" s="11" customFormat="1" ht="12.75">
      <c r="A421" s="22"/>
      <c r="C421" s="177"/>
      <c r="D421" s="16"/>
      <c r="CW421" s="10"/>
      <c r="CX421" s="10"/>
      <c r="CY421" s="10"/>
      <c r="CZ421" s="10"/>
      <c r="DA421" s="10"/>
      <c r="DB421" s="10"/>
      <c r="DC421" s="10"/>
      <c r="DD421" s="10"/>
      <c r="DE421" s="67"/>
      <c r="DF421" s="10"/>
      <c r="DG421" s="10"/>
      <c r="DH421" s="67"/>
      <c r="DI421" s="10"/>
      <c r="DJ421" s="10"/>
      <c r="DK421" s="691"/>
      <c r="DL421" s="10"/>
      <c r="DM421" s="10"/>
      <c r="DN421" s="691"/>
      <c r="DO421" s="10"/>
      <c r="DP421" s="10"/>
      <c r="DQ421" s="691"/>
      <c r="DR421" s="10"/>
      <c r="DS421" s="10"/>
      <c r="DT421" s="691"/>
      <c r="DU421" s="10"/>
      <c r="DV421" s="10"/>
      <c r="DW421" s="691"/>
      <c r="DX421" s="10"/>
      <c r="DY421" s="10"/>
      <c r="DZ421" s="691"/>
      <c r="EA421" s="10"/>
      <c r="EB421" s="10"/>
      <c r="EC421" s="691"/>
      <c r="ED421" s="10"/>
      <c r="EE421" s="10"/>
      <c r="EF421" s="691"/>
      <c r="EG421" s="10"/>
      <c r="EH421" s="10"/>
      <c r="EI421" s="691"/>
      <c r="EJ421" s="10"/>
      <c r="EK421" s="10"/>
      <c r="EL421" s="691"/>
      <c r="EM421" s="10"/>
      <c r="EN421" s="10"/>
      <c r="EO421" s="691"/>
      <c r="EP421" s="10"/>
      <c r="EQ421" s="10"/>
      <c r="ER421" s="691"/>
      <c r="ES421" s="10"/>
      <c r="ET421" s="10"/>
      <c r="EU421" s="691"/>
      <c r="EV421" s="10"/>
      <c r="EW421" s="10"/>
      <c r="EX421" s="691"/>
      <c r="EY421" s="10"/>
      <c r="EZ421" s="10"/>
      <c r="FA421" s="14"/>
    </row>
    <row r="422" spans="1:184" s="11" customFormat="1" ht="12.75">
      <c r="A422" s="22"/>
      <c r="B422" s="11" t="s">
        <v>832</v>
      </c>
      <c r="C422" s="177"/>
      <c r="D422" s="16" t="s">
        <v>507</v>
      </c>
      <c r="CW422" s="25"/>
      <c r="CX422" s="25"/>
      <c r="CY422" s="596"/>
      <c r="CZ422" s="25"/>
      <c r="DA422" s="25"/>
      <c r="DB422" s="596"/>
      <c r="DC422" s="28"/>
      <c r="DD422" s="28"/>
      <c r="DE422" s="770"/>
      <c r="DF422" s="28"/>
      <c r="DG422" s="28"/>
      <c r="DH422" s="770"/>
      <c r="DI422" s="28">
        <v>0.12359550561797761</v>
      </c>
      <c r="DJ422" s="28">
        <v>9.8901098901098994E-2</v>
      </c>
      <c r="DK422" s="770">
        <v>0.1216394002412573</v>
      </c>
      <c r="DL422" s="25"/>
      <c r="DM422" s="25"/>
      <c r="DN422" s="765"/>
      <c r="DO422" s="25"/>
      <c r="DP422" s="25"/>
      <c r="DQ422" s="765"/>
      <c r="DR422" s="25"/>
      <c r="DS422" s="25"/>
      <c r="DT422" s="765"/>
      <c r="DU422" s="25"/>
      <c r="DV422" s="25"/>
      <c r="DW422" s="765"/>
      <c r="DX422" s="25"/>
      <c r="DY422" s="25"/>
      <c r="DZ422" s="765"/>
      <c r="EA422" s="25"/>
      <c r="EB422" s="25"/>
      <c r="EC422" s="765"/>
      <c r="ED422" s="25"/>
      <c r="EE422" s="25"/>
      <c r="EF422" s="765"/>
      <c r="EG422" s="25"/>
      <c r="EH422" s="25"/>
      <c r="EI422" s="765"/>
      <c r="EJ422" s="25"/>
      <c r="EK422" s="25"/>
      <c r="EL422" s="765"/>
      <c r="EM422" s="25"/>
      <c r="EN422" s="25"/>
      <c r="EO422" s="765"/>
      <c r="EP422" s="25"/>
      <c r="EQ422" s="25"/>
      <c r="ER422" s="765"/>
      <c r="ES422" s="25"/>
      <c r="ET422" s="25"/>
      <c r="EU422" s="765"/>
      <c r="EV422" s="25"/>
      <c r="EW422" s="25"/>
      <c r="EX422" s="765"/>
      <c r="EY422" s="25"/>
      <c r="EZ422" s="25"/>
      <c r="FA422" s="769"/>
    </row>
    <row r="423" spans="1:184" s="11" customFormat="1" ht="12.75">
      <c r="A423" s="22"/>
      <c r="B423" s="767" t="s">
        <v>833</v>
      </c>
      <c r="C423" s="177"/>
      <c r="D423" s="771"/>
      <c r="E423" s="767"/>
      <c r="F423" s="767"/>
      <c r="G423" s="767"/>
      <c r="H423" s="767"/>
      <c r="I423" s="767"/>
      <c r="J423" s="767"/>
      <c r="K423" s="767"/>
      <c r="L423" s="767"/>
      <c r="M423" s="767"/>
      <c r="N423" s="767"/>
      <c r="O423" s="767"/>
      <c r="P423" s="767"/>
      <c r="Q423" s="767"/>
      <c r="R423" s="767"/>
      <c r="S423" s="767"/>
      <c r="T423" s="767"/>
      <c r="U423" s="767"/>
      <c r="V423" s="767"/>
      <c r="W423" s="767"/>
      <c r="X423" s="767"/>
      <c r="Y423" s="767"/>
      <c r="Z423" s="767"/>
      <c r="AA423" s="767"/>
      <c r="AB423" s="767"/>
      <c r="AC423" s="767"/>
      <c r="AD423" s="767"/>
      <c r="AE423" s="767"/>
      <c r="AF423" s="767"/>
      <c r="AG423" s="767"/>
      <c r="AH423" s="767"/>
      <c r="AI423" s="767"/>
      <c r="AJ423" s="767"/>
      <c r="AK423" s="767"/>
      <c r="AL423" s="767"/>
      <c r="AM423" s="767"/>
      <c r="AN423" s="767"/>
      <c r="AO423" s="767"/>
      <c r="AP423" s="767"/>
      <c r="AQ423" s="767"/>
      <c r="AR423" s="767"/>
      <c r="AS423" s="767"/>
      <c r="AT423" s="767"/>
      <c r="AU423" s="767"/>
      <c r="AV423" s="767"/>
      <c r="AW423" s="767"/>
      <c r="AX423" s="767"/>
      <c r="AY423" s="767"/>
      <c r="AZ423" s="767"/>
      <c r="BA423" s="767"/>
      <c r="BB423" s="767"/>
      <c r="BC423" s="767"/>
      <c r="BD423" s="767"/>
      <c r="BE423" s="767"/>
      <c r="BF423" s="767"/>
      <c r="BG423" s="767"/>
      <c r="BH423" s="767"/>
      <c r="BI423" s="767"/>
      <c r="BJ423" s="767"/>
      <c r="BK423" s="767"/>
      <c r="BL423" s="767"/>
      <c r="BM423" s="767"/>
      <c r="BN423" s="767"/>
      <c r="BO423" s="767"/>
      <c r="BP423" s="767"/>
      <c r="BQ423" s="767"/>
      <c r="BR423" s="767"/>
      <c r="BS423" s="767"/>
      <c r="BT423" s="767"/>
      <c r="BU423" s="767"/>
      <c r="BV423" s="767"/>
      <c r="BW423" s="767"/>
      <c r="BX423" s="767"/>
      <c r="BY423" s="767"/>
      <c r="BZ423" s="767"/>
      <c r="CA423" s="767"/>
      <c r="CB423" s="767"/>
      <c r="CC423" s="767"/>
      <c r="CD423" s="767"/>
      <c r="CE423" s="767"/>
      <c r="CF423" s="767"/>
      <c r="CG423" s="767"/>
      <c r="CH423" s="767"/>
      <c r="CI423" s="767"/>
      <c r="CJ423" s="767"/>
      <c r="CK423" s="767"/>
      <c r="CL423" s="767"/>
      <c r="CM423" s="767"/>
      <c r="CN423" s="767"/>
      <c r="CO423" s="767"/>
      <c r="CP423" s="767"/>
      <c r="CQ423" s="767"/>
      <c r="CR423" s="767"/>
      <c r="CS423" s="767"/>
      <c r="CT423" s="767"/>
      <c r="CU423" s="767"/>
      <c r="CV423" s="767"/>
      <c r="CW423" s="10"/>
      <c r="CX423" s="10"/>
      <c r="CY423" s="10"/>
      <c r="CZ423" s="10"/>
      <c r="DA423" s="10"/>
      <c r="DB423" s="10"/>
      <c r="DC423" s="10"/>
      <c r="DD423" s="10"/>
      <c r="DE423" s="67"/>
      <c r="DF423" s="10"/>
      <c r="DG423" s="10"/>
      <c r="DH423" s="67"/>
      <c r="DI423" s="10"/>
      <c r="DJ423" s="10"/>
      <c r="DK423" s="691"/>
      <c r="DL423" s="10"/>
      <c r="DM423" s="10"/>
      <c r="DN423" s="691"/>
      <c r="DO423" s="10"/>
      <c r="DP423" s="10"/>
      <c r="DQ423" s="691"/>
      <c r="DR423" s="10"/>
      <c r="DS423" s="10"/>
      <c r="DT423" s="691"/>
      <c r="DU423" s="10"/>
      <c r="DV423" s="10"/>
      <c r="DW423" s="691"/>
      <c r="DX423" s="10"/>
      <c r="DY423" s="10"/>
      <c r="DZ423" s="691"/>
      <c r="EA423" s="10"/>
      <c r="EB423" s="10"/>
      <c r="EC423" s="691"/>
      <c r="ED423" s="10"/>
      <c r="EE423" s="10"/>
      <c r="EF423" s="691"/>
      <c r="EG423" s="10"/>
      <c r="EH423" s="10"/>
      <c r="EI423" s="691"/>
      <c r="EJ423" s="10"/>
      <c r="EK423" s="10"/>
      <c r="EL423" s="691"/>
      <c r="EM423" s="10"/>
      <c r="EN423" s="10"/>
      <c r="EO423" s="691"/>
      <c r="EP423" s="10"/>
      <c r="EQ423" s="10"/>
      <c r="ER423" s="691"/>
      <c r="ES423" s="10"/>
      <c r="ET423" s="10"/>
      <c r="EU423" s="691"/>
      <c r="EV423" s="10"/>
      <c r="EW423" s="10"/>
      <c r="EX423" s="691"/>
      <c r="EY423" s="10"/>
      <c r="EZ423" s="10"/>
      <c r="FA423" s="14"/>
    </row>
    <row r="424" spans="1:184" s="11" customFormat="1" ht="12.75">
      <c r="A424" s="22"/>
      <c r="B424" s="11" t="s">
        <v>829</v>
      </c>
      <c r="C424" s="177"/>
      <c r="D424" s="16" t="s">
        <v>8</v>
      </c>
      <c r="CW424" s="477"/>
      <c r="CX424" s="469"/>
      <c r="CY424" s="26"/>
      <c r="CZ424" s="27"/>
      <c r="DA424" s="26"/>
      <c r="DB424" s="26"/>
      <c r="DC424" s="27"/>
      <c r="DD424" s="27"/>
      <c r="DE424" s="819"/>
      <c r="DF424" s="27"/>
      <c r="DG424" s="27"/>
      <c r="DH424" s="819"/>
      <c r="DI424" s="27">
        <v>50.110638898946931</v>
      </c>
      <c r="DJ424" s="27">
        <v>3.643220484926283</v>
      </c>
      <c r="DK424" s="727">
        <v>53.753859383873213</v>
      </c>
      <c r="DL424" s="477">
        <f>(1+DL419)*DI424</f>
        <v>48.943061012601468</v>
      </c>
      <c r="DM424" s="477">
        <f>(1+DM419)*DJ424</f>
        <v>2.7615611275741228</v>
      </c>
      <c r="DN424" s="729">
        <f>SUM(DL424:DM424)</f>
        <v>51.704622140175594</v>
      </c>
      <c r="DO424" s="477">
        <f>(1+DO419)*DL424</f>
        <v>52.588718985337671</v>
      </c>
      <c r="DP424" s="477">
        <f>(1+DP419)*DM424</f>
        <v>2.3428619425722754</v>
      </c>
      <c r="DQ424" s="729">
        <f>SUM(DO424:DP424)</f>
        <v>54.931580927909948</v>
      </c>
      <c r="DR424" s="477">
        <f>(1+DR419)*DO424</f>
        <v>47.246399245363413</v>
      </c>
      <c r="DS424" s="477">
        <f>(1+DS419)*DP424</f>
        <v>2.4600050397008895</v>
      </c>
      <c r="DT424" s="729">
        <f>SUM(DR424:DS424)</f>
        <v>49.706404285064302</v>
      </c>
      <c r="DU424" s="477">
        <f>+DU404/DU428</f>
        <v>42.017562615257795</v>
      </c>
      <c r="DV424" s="477">
        <f>(1+DV419)*DS424</f>
        <v>2.5830052916859341</v>
      </c>
      <c r="DW424" s="729">
        <f>SUM(DU424:DV424)</f>
        <v>44.600567906943731</v>
      </c>
      <c r="DX424" s="477">
        <f>+DX404/DX428</f>
        <v>40.476458920078514</v>
      </c>
      <c r="DY424" s="477">
        <f>(1+DY419)*DV424</f>
        <v>2.7121555562702309</v>
      </c>
      <c r="DZ424" s="729">
        <f>SUM(DX424:DY424)</f>
        <v>43.188614476348747</v>
      </c>
      <c r="EA424" s="477">
        <f>(1+EA419)*DX424</f>
        <v>40.071694330877726</v>
      </c>
      <c r="EB424" s="477">
        <f>(1+EB419)*DY424</f>
        <v>2.6850340007075286</v>
      </c>
      <c r="EC424" s="729">
        <f>SUM(EA424:EB424)</f>
        <v>42.756728331585258</v>
      </c>
      <c r="ED424" s="477">
        <f>(1+ED419)*EA424</f>
        <v>39.670977387568946</v>
      </c>
      <c r="EE424" s="477">
        <f>(1+EE419)*EB424</f>
        <v>2.6581836607004532</v>
      </c>
      <c r="EF424" s="729">
        <f>SUM(ED424:EE424)</f>
        <v>42.329161048269398</v>
      </c>
      <c r="EG424" s="477">
        <f>(1+EG419)*ED424</f>
        <v>40.464396935320323</v>
      </c>
      <c r="EH424" s="477">
        <f>(1+EH419)*EE424</f>
        <v>2.7113473339144623</v>
      </c>
      <c r="EI424" s="729">
        <f>SUM(EG424:EH424)</f>
        <v>43.175744269234784</v>
      </c>
      <c r="EJ424" s="477">
        <f>(1+EJ419)*EG424</f>
        <v>41.678328843379937</v>
      </c>
      <c r="EK424" s="477">
        <f>(1+EK419)*EH424</f>
        <v>2.7926877539318964</v>
      </c>
      <c r="EL424" s="729">
        <f>SUM(EJ424:EK424)</f>
        <v>44.471016597311831</v>
      </c>
      <c r="EM424" s="477">
        <f>(1+EM419)*EJ424</f>
        <v>42.928678708681339</v>
      </c>
      <c r="EN424" s="477">
        <f>(1+EN419)*EK424</f>
        <v>2.8764683865498535</v>
      </c>
      <c r="EO424" s="729">
        <f>SUM(EM424:EN424)</f>
        <v>45.805147095231192</v>
      </c>
      <c r="EP424" s="477">
        <f>(1+EP419)*EM424</f>
        <v>44.216539069941781</v>
      </c>
      <c r="EQ424" s="477">
        <f>(1+EQ419)*EN424</f>
        <v>2.9627624381463491</v>
      </c>
      <c r="ER424" s="729">
        <f>SUM(EP424:EQ424)</f>
        <v>47.17930150808813</v>
      </c>
      <c r="ES424" s="477">
        <f>(1+ES419)*EP424</f>
        <v>45.543035242040034</v>
      </c>
      <c r="ET424" s="477">
        <f>(1+ET419)*EQ424</f>
        <v>3.0516453112907396</v>
      </c>
      <c r="EU424" s="729">
        <f>SUM(ES424:ET424)</f>
        <v>48.594680553330775</v>
      </c>
      <c r="EV424" s="477">
        <f>(1+EV419)*ES424</f>
        <v>46.909326299301235</v>
      </c>
      <c r="EW424" s="477">
        <f>(1+EW419)*ET424</f>
        <v>3.143194670629462</v>
      </c>
      <c r="EX424" s="729">
        <f>SUM(EV424:EW424)</f>
        <v>50.052520969930697</v>
      </c>
      <c r="EY424" s="477">
        <f>(1+EY419)*EV424</f>
        <v>48.316606088280274</v>
      </c>
      <c r="EZ424" s="477">
        <f>(1+EZ419)*EW424</f>
        <v>3.237490510748346</v>
      </c>
      <c r="FA424" s="23">
        <f>SUM(EY424:EZ424)</f>
        <v>51.554096599028618</v>
      </c>
    </row>
    <row r="425" spans="1:184" s="11" customFormat="1" ht="12.75">
      <c r="A425" s="22"/>
      <c r="B425" s="11" t="s">
        <v>831</v>
      </c>
      <c r="C425" s="177"/>
      <c r="D425" s="16" t="s">
        <v>8</v>
      </c>
      <c r="CW425" s="477"/>
      <c r="CX425" s="469"/>
      <c r="CY425" s="26"/>
      <c r="CZ425" s="27"/>
      <c r="DA425" s="26"/>
      <c r="DB425" s="26"/>
      <c r="DC425" s="27"/>
      <c r="DD425" s="27"/>
      <c r="DE425" s="819"/>
      <c r="DF425" s="27"/>
      <c r="DG425" s="27"/>
      <c r="DH425" s="819"/>
      <c r="DI425" s="27">
        <v>26.755377485705274</v>
      </c>
      <c r="DJ425" s="27">
        <v>2.8139187115890825</v>
      </c>
      <c r="DK425" s="727">
        <v>29.569296197294356</v>
      </c>
      <c r="DL425" s="477">
        <f>(1+DL420)*DI425</f>
        <v>36.200025738159233</v>
      </c>
      <c r="DM425" s="477">
        <f>(1+DM420)*DJ425</f>
        <v>1.8250588397309391</v>
      </c>
      <c r="DN425" s="729">
        <f>SUM(DL425:DM425)</f>
        <v>38.025084577890169</v>
      </c>
      <c r="DO425" s="477">
        <f>(1+DO420)*DL425</f>
        <v>35.801825455039484</v>
      </c>
      <c r="DP425" s="477">
        <f>(1+DP420)*DM425</f>
        <v>1.8137116147924397</v>
      </c>
      <c r="DQ425" s="729">
        <f>SUM(DO425:DP425)</f>
        <v>37.615537069831923</v>
      </c>
      <c r="DR425" s="477">
        <f>(1+DR420)*DO425</f>
        <v>41.028891971475247</v>
      </c>
      <c r="DS425" s="477">
        <f>(1+DS420)*DP425</f>
        <v>2.2671395184905494</v>
      </c>
      <c r="DT425" s="729">
        <f>SUM(DR425:DS425)</f>
        <v>43.296031489965799</v>
      </c>
      <c r="DU425" s="477">
        <f>+DU405/DU429</f>
        <v>35.126761664936851</v>
      </c>
      <c r="DV425" s="477">
        <f>(1+DV420)*DS425</f>
        <v>2.8339243981131865</v>
      </c>
      <c r="DW425" s="729">
        <f>SUM(DU425:DV425)</f>
        <v>37.960686063050034</v>
      </c>
      <c r="DX425" s="477">
        <f>+DX405/DX429</f>
        <v>38.697289197851461</v>
      </c>
      <c r="DY425" s="477">
        <f>(1+DY420)*DV425</f>
        <v>2.975620618018846</v>
      </c>
      <c r="DZ425" s="729">
        <f>SUM(DX425:DY425)</f>
        <v>41.672909815870305</v>
      </c>
      <c r="EA425" s="477">
        <f>(1+EA420)*DX425</f>
        <v>38.310316305872945</v>
      </c>
      <c r="EB425" s="477">
        <f>(1+EB420)*DY425</f>
        <v>2.9458644118386577</v>
      </c>
      <c r="EC425" s="729">
        <f>SUM(EA425:EB425)</f>
        <v>41.256180717711601</v>
      </c>
      <c r="ED425" s="477">
        <f>(1+ED420)*EA425</f>
        <v>37.927213142814217</v>
      </c>
      <c r="EE425" s="477">
        <f>(1+EE420)*EB425</f>
        <v>2.916405767720271</v>
      </c>
      <c r="EF425" s="729">
        <f>SUM(ED425:EE425)</f>
        <v>40.843618910534488</v>
      </c>
      <c r="EG425" s="477">
        <f>(1+EG420)*ED425</f>
        <v>38.6857574056705</v>
      </c>
      <c r="EH425" s="477">
        <f>(1+EH420)*EE425</f>
        <v>2.9747338830746766</v>
      </c>
      <c r="EI425" s="729">
        <f>SUM(EG425:EH425)</f>
        <v>41.660491288745177</v>
      </c>
      <c r="EJ425" s="477">
        <f>(1+EJ420)*EG425</f>
        <v>39.846330127840616</v>
      </c>
      <c r="EK425" s="477">
        <f>(1+EK420)*EH425</f>
        <v>3.0639758995669171</v>
      </c>
      <c r="EL425" s="729">
        <f>SUM(EJ425:EK425)</f>
        <v>42.910306027407536</v>
      </c>
      <c r="EM425" s="477">
        <f>(1+EM420)*EJ425</f>
        <v>41.041720031675837</v>
      </c>
      <c r="EN425" s="477">
        <f>(1+EN420)*EK425</f>
        <v>3.1558951765539245</v>
      </c>
      <c r="EO425" s="729">
        <f>SUM(EM425:EN425)</f>
        <v>44.197615208229763</v>
      </c>
      <c r="EP425" s="477">
        <f>(1+EP420)*EM425</f>
        <v>42.27297163262611</v>
      </c>
      <c r="EQ425" s="477">
        <f>(1+EQ420)*EN425</f>
        <v>3.2505720318505422</v>
      </c>
      <c r="ER425" s="729">
        <f>SUM(EP425:EQ425)</f>
        <v>45.523543664476655</v>
      </c>
      <c r="ES425" s="477">
        <f>(1+ES420)*EP425</f>
        <v>43.541160781604894</v>
      </c>
      <c r="ET425" s="477">
        <f>(1+ET420)*EQ425</f>
        <v>3.3480891928060585</v>
      </c>
      <c r="EU425" s="729">
        <f>SUM(ES425:ET425)</f>
        <v>46.889249974410951</v>
      </c>
      <c r="EV425" s="477">
        <f>(1+EV420)*ES425</f>
        <v>44.847395605053045</v>
      </c>
      <c r="EW425" s="477">
        <f>(1+EW420)*ET425</f>
        <v>3.4485318685902402</v>
      </c>
      <c r="EX425" s="729">
        <f>SUM(EV425:EW425)</f>
        <v>48.295927473643282</v>
      </c>
      <c r="EY425" s="477">
        <f>(1+EY420)*EV425</f>
        <v>46.192817473204634</v>
      </c>
      <c r="EZ425" s="477">
        <f>(1+EZ420)*EW425</f>
        <v>3.5519878246479473</v>
      </c>
      <c r="FA425" s="23">
        <f>SUM(EY425:EZ425)</f>
        <v>49.744805297852579</v>
      </c>
    </row>
    <row r="426" spans="1:184" s="11" customFormat="1" ht="12.75">
      <c r="A426" s="22"/>
      <c r="B426" s="11" t="s">
        <v>487</v>
      </c>
      <c r="C426" s="177"/>
      <c r="D426" s="16" t="s">
        <v>8</v>
      </c>
      <c r="CW426" s="477"/>
      <c r="CX426" s="477"/>
      <c r="CY426" s="26"/>
      <c r="CZ426" s="27"/>
      <c r="DA426" s="27"/>
      <c r="DB426" s="26"/>
      <c r="DC426" s="27"/>
      <c r="DD426" s="27"/>
      <c r="DE426" s="819"/>
      <c r="DF426" s="27"/>
      <c r="DG426" s="27"/>
      <c r="DH426" s="819"/>
      <c r="DI426" s="27">
        <v>79.030409006178516</v>
      </c>
      <c r="DJ426" s="27">
        <v>6.7987404014379029</v>
      </c>
      <c r="DK426" s="727">
        <v>85.829149407616413</v>
      </c>
      <c r="DL426" s="477">
        <f>SUM(DL424:DL425)</f>
        <v>85.143086750760702</v>
      </c>
      <c r="DM426" s="477">
        <f>SUM(DM424:DM425)</f>
        <v>4.5866199673050616</v>
      </c>
      <c r="DN426" s="729">
        <f>SUM(DL426:DM426)</f>
        <v>89.729706718065756</v>
      </c>
      <c r="DO426" s="477">
        <f>SUM(DO424:DO425)</f>
        <v>88.390544440377155</v>
      </c>
      <c r="DP426" s="477">
        <f>SUM(DP424:DP425)</f>
        <v>4.1565735573647151</v>
      </c>
      <c r="DQ426" s="729">
        <f>SUM(DO426:DP426)</f>
        <v>92.547117997741864</v>
      </c>
      <c r="DR426" s="477">
        <f>SUM(DR424:DR425)</f>
        <v>88.275291216838667</v>
      </c>
      <c r="DS426" s="477">
        <f>SUM(DS424:DS425)</f>
        <v>4.7271445581914389</v>
      </c>
      <c r="DT426" s="729">
        <f>SUM(DR426:DS426)</f>
        <v>93.002435775030108</v>
      </c>
      <c r="DU426" s="477">
        <f>SUM(DU424:DU425)</f>
        <v>77.144324280194638</v>
      </c>
      <c r="DV426" s="477">
        <f>SUM(DV424:DV425)</f>
        <v>5.4169296897991206</v>
      </c>
      <c r="DW426" s="729">
        <f>SUM(DU426:DV426)</f>
        <v>82.561253969993757</v>
      </c>
      <c r="DX426" s="477">
        <f>SUM(DX424:DX425)</f>
        <v>79.173748117929975</v>
      </c>
      <c r="DY426" s="477">
        <f>SUM(DY424:DY425)</f>
        <v>5.6877761742890769</v>
      </c>
      <c r="DZ426" s="729">
        <f>SUM(DX426:DY426)</f>
        <v>84.861524292219059</v>
      </c>
      <c r="EA426" s="477">
        <f>SUM(EA424:EA425)</f>
        <v>78.382010636750664</v>
      </c>
      <c r="EB426" s="477">
        <f>SUM(EB424:EB425)</f>
        <v>5.6308984125461858</v>
      </c>
      <c r="EC426" s="729">
        <f>SUM(EA426:EB426)</f>
        <v>84.012909049296852</v>
      </c>
      <c r="ED426" s="477">
        <f>SUM(ED424:ED425)</f>
        <v>77.598190530383164</v>
      </c>
      <c r="EE426" s="477">
        <f>SUM(EE424:EE425)</f>
        <v>5.5745894284207242</v>
      </c>
      <c r="EF426" s="729">
        <f>SUM(ED426:EE426)</f>
        <v>83.172779958803886</v>
      </c>
      <c r="EG426" s="477">
        <f>SUM(EG424:EG425)</f>
        <v>79.150154340990824</v>
      </c>
      <c r="EH426" s="477">
        <f>SUM(EH424:EH425)</f>
        <v>5.6860812169891393</v>
      </c>
      <c r="EI426" s="729">
        <f>SUM(EG426:EH426)</f>
        <v>84.836235557979961</v>
      </c>
      <c r="EJ426" s="477">
        <f>SUM(EJ424:EJ425)</f>
        <v>81.52465897122056</v>
      </c>
      <c r="EK426" s="477">
        <f>SUM(EK424:EK425)</f>
        <v>5.8566636534988135</v>
      </c>
      <c r="EL426" s="729">
        <f>SUM(EJ426:EK426)</f>
        <v>87.381322624719374</v>
      </c>
      <c r="EM426" s="477">
        <f>SUM(EM424:EM425)</f>
        <v>83.970398740357183</v>
      </c>
      <c r="EN426" s="477">
        <f>SUM(EN424:EN425)</f>
        <v>6.032363563103778</v>
      </c>
      <c r="EO426" s="729">
        <f>SUM(EM426:EN426)</f>
        <v>90.002762303460955</v>
      </c>
      <c r="EP426" s="477">
        <f>SUM(EP424:EP425)</f>
        <v>86.489510702567884</v>
      </c>
      <c r="EQ426" s="477">
        <f>SUM(EQ424:EQ425)</f>
        <v>6.2133344699968909</v>
      </c>
      <c r="ER426" s="729">
        <f>SUM(EP426:EQ426)</f>
        <v>92.702845172564778</v>
      </c>
      <c r="ES426" s="477">
        <f>SUM(ES424:ES425)</f>
        <v>89.084196023644921</v>
      </c>
      <c r="ET426" s="477">
        <f>SUM(ET424:ET425)</f>
        <v>6.3997345040967986</v>
      </c>
      <c r="EU426" s="729">
        <f>SUM(ES426:ET426)</f>
        <v>95.48393052774172</v>
      </c>
      <c r="EV426" s="477">
        <f>SUM(EV424:EV425)</f>
        <v>91.756721904354279</v>
      </c>
      <c r="EW426" s="477">
        <f>SUM(EW424:EW425)</f>
        <v>6.5917265392197022</v>
      </c>
      <c r="EX426" s="729">
        <f>SUM(EV426:EW426)</f>
        <v>98.348448443573986</v>
      </c>
      <c r="EY426" s="477">
        <f>SUM(EY424:EY425)</f>
        <v>94.509423561484908</v>
      </c>
      <c r="EZ426" s="477">
        <f>SUM(EZ424:EZ425)</f>
        <v>6.7894783353962929</v>
      </c>
      <c r="FA426" s="23">
        <f>SUM(EY426:EZ426)</f>
        <v>101.2989018968812</v>
      </c>
    </row>
    <row r="427" spans="1:184" s="11" customFormat="1" ht="12.75">
      <c r="A427" s="22"/>
      <c r="B427" s="767" t="s">
        <v>840</v>
      </c>
      <c r="C427" s="177"/>
      <c r="D427" s="16"/>
      <c r="CW427" s="10"/>
      <c r="CX427" s="10"/>
      <c r="CY427" s="10"/>
      <c r="CZ427" s="10"/>
      <c r="DA427" s="10"/>
      <c r="DB427" s="10"/>
      <c r="DC427" s="10"/>
      <c r="DD427" s="10"/>
      <c r="DE427" s="67"/>
      <c r="DF427" s="10"/>
      <c r="DG427" s="10"/>
      <c r="DH427" s="67"/>
      <c r="DI427" s="10"/>
      <c r="DJ427" s="10"/>
      <c r="DK427" s="691"/>
      <c r="DL427" s="10"/>
      <c r="DM427" s="10"/>
      <c r="DN427" s="691"/>
      <c r="DO427" s="10"/>
      <c r="DP427" s="10"/>
      <c r="DQ427" s="691"/>
      <c r="DR427" s="10"/>
      <c r="DS427" s="10"/>
      <c r="DT427" s="691"/>
      <c r="DU427" s="10"/>
      <c r="DV427" s="10"/>
      <c r="DW427" s="691"/>
      <c r="DX427" s="10"/>
      <c r="DY427" s="10"/>
      <c r="DZ427" s="691"/>
      <c r="EA427" s="10"/>
      <c r="EB427" s="10"/>
      <c r="EC427" s="691"/>
      <c r="ED427" s="10"/>
      <c r="EE427" s="10"/>
      <c r="EF427" s="691"/>
      <c r="EG427" s="10"/>
      <c r="EH427" s="10"/>
      <c r="EI427" s="691"/>
      <c r="EJ427" s="10"/>
      <c r="EK427" s="10"/>
      <c r="EL427" s="691"/>
      <c r="EM427" s="10"/>
      <c r="EN427" s="10"/>
      <c r="EO427" s="691"/>
      <c r="EP427" s="10"/>
      <c r="EQ427" s="10"/>
      <c r="ER427" s="691"/>
      <c r="ES427" s="10"/>
      <c r="ET427" s="10"/>
      <c r="EU427" s="691"/>
      <c r="EV427" s="10"/>
      <c r="EW427" s="10"/>
      <c r="EX427" s="691"/>
      <c r="EY427" s="10"/>
      <c r="EZ427" s="10"/>
      <c r="FA427" s="14"/>
    </row>
    <row r="428" spans="1:184" s="11" customFormat="1" ht="12.75">
      <c r="A428" s="22"/>
      <c r="B428" s="11" t="s">
        <v>829</v>
      </c>
      <c r="C428" s="177"/>
      <c r="D428" s="16" t="s">
        <v>839</v>
      </c>
      <c r="CW428" s="10"/>
      <c r="CX428" s="10"/>
      <c r="CY428" s="10"/>
      <c r="CZ428" s="10"/>
      <c r="DA428" s="10"/>
      <c r="DB428" s="10"/>
      <c r="DC428" s="479"/>
      <c r="DD428" s="479"/>
      <c r="DE428" s="789"/>
      <c r="DF428" s="479"/>
      <c r="DG428" s="479"/>
      <c r="DH428" s="789"/>
      <c r="DI428" s="479">
        <v>13.350458399644531</v>
      </c>
      <c r="DJ428" s="479">
        <v>9.0579200837655929</v>
      </c>
      <c r="DK428" s="701">
        <v>13.059527409684154</v>
      </c>
      <c r="DL428" s="479">
        <f>(1+DL431)*DI428</f>
        <v>13.483962983640977</v>
      </c>
      <c r="DM428" s="479">
        <f>(1+DM431)*DJ428</f>
        <v>9.1484992846032487</v>
      </c>
      <c r="DN428" s="701">
        <f>AVERAGE(DL428:DM428)</f>
        <v>11.316231134122113</v>
      </c>
      <c r="DO428" s="479">
        <f>(1+DO431)*DL428</f>
        <v>13.618802613477387</v>
      </c>
      <c r="DP428" s="479">
        <f>(1+DP431)*DM428</f>
        <v>9.2399842774492811</v>
      </c>
      <c r="DQ428" s="701">
        <f>AVERAGE(DO428:DP428)</f>
        <v>11.429393445463333</v>
      </c>
      <c r="DR428" s="479">
        <f>(1+DR431)*DO428</f>
        <v>13.891178665746935</v>
      </c>
      <c r="DS428" s="479">
        <f>(1+DS431)*DP428</f>
        <v>9.4247839629982675</v>
      </c>
      <c r="DT428" s="701">
        <f>AVERAGE(DR428:DS428)</f>
        <v>11.657981314372602</v>
      </c>
      <c r="DU428" s="479">
        <f>(1+DU431)*DR428</f>
        <v>13.613355092431997</v>
      </c>
      <c r="DV428" s="479">
        <f>(1+DV431)*DS428</f>
        <v>9.2362882837383022</v>
      </c>
      <c r="DW428" s="701">
        <f>AVERAGE(DU428:DV428)</f>
        <v>11.424821688085149</v>
      </c>
      <c r="DX428" s="479">
        <f>(1+DX431)*DU428</f>
        <v>13.341087990583356</v>
      </c>
      <c r="DY428" s="479">
        <f>(1+DY431)*DV428</f>
        <v>9.2362882837383022</v>
      </c>
      <c r="DZ428" s="701">
        <f>AVERAGE(DX428:DY428)</f>
        <v>11.288688137160829</v>
      </c>
      <c r="EA428" s="479">
        <f>(1+EA431)*DX428</f>
        <v>13.207677110677523</v>
      </c>
      <c r="EB428" s="479">
        <f>(1+EB431)*DY428</f>
        <v>9.143925400900919</v>
      </c>
      <c r="EC428" s="701">
        <f>AVERAGE(EA428:EB428)</f>
        <v>11.175801255789221</v>
      </c>
      <c r="ED428" s="479">
        <f>(1+ED431)*EA428</f>
        <v>13.075600339570748</v>
      </c>
      <c r="EE428" s="479">
        <f>(1+EE431)*EB428</f>
        <v>9.0524861468919102</v>
      </c>
      <c r="EF428" s="701">
        <f>AVERAGE(ED428:EE428)</f>
        <v>11.064043243231328</v>
      </c>
      <c r="EG428" s="479">
        <f>(1+EG431)*ED428</f>
        <v>13.075600339570748</v>
      </c>
      <c r="EH428" s="479">
        <f>(1+EH431)*EE428</f>
        <v>9.0524861468919102</v>
      </c>
      <c r="EI428" s="701">
        <f>AVERAGE(EG428:EH428)</f>
        <v>11.064043243231328</v>
      </c>
      <c r="EJ428" s="479">
        <f>(1+EJ431)*EG428</f>
        <v>13.075600339570748</v>
      </c>
      <c r="EK428" s="479">
        <f>(1+EK431)*EH428</f>
        <v>9.0524861468919102</v>
      </c>
      <c r="EL428" s="701">
        <f>AVERAGE(EJ428:EK428)</f>
        <v>11.064043243231328</v>
      </c>
      <c r="EM428" s="479">
        <f>(1+EM431)*EJ428</f>
        <v>13.075600339570748</v>
      </c>
      <c r="EN428" s="479">
        <f>(1+EN431)*EK428</f>
        <v>9.0524861468919102</v>
      </c>
      <c r="EO428" s="701">
        <f>AVERAGE(EM428:EN428)</f>
        <v>11.064043243231328</v>
      </c>
      <c r="EP428" s="479">
        <f>(1+EP431)*EM428</f>
        <v>13.075600339570748</v>
      </c>
      <c r="EQ428" s="479">
        <f>(1+EQ431)*EN428</f>
        <v>9.0524861468919102</v>
      </c>
      <c r="ER428" s="701">
        <f>AVERAGE(EP428:EQ428)</f>
        <v>11.064043243231328</v>
      </c>
      <c r="ES428" s="479">
        <f>(1+ES431)*EP428</f>
        <v>13.075600339570748</v>
      </c>
      <c r="ET428" s="479">
        <f>(1+ET431)*EQ428</f>
        <v>9.0524861468919102</v>
      </c>
      <c r="EU428" s="701">
        <f>AVERAGE(ES428:ET428)</f>
        <v>11.064043243231328</v>
      </c>
      <c r="EV428" s="479">
        <f>(1+EV431)*ES428</f>
        <v>13.075600339570748</v>
      </c>
      <c r="EW428" s="479">
        <f>(1+EW431)*ET428</f>
        <v>9.0524861468919102</v>
      </c>
      <c r="EX428" s="701">
        <f>AVERAGE(EV428:EW428)</f>
        <v>11.064043243231328</v>
      </c>
      <c r="EY428" s="479">
        <f>(1+EY431)*EV428</f>
        <v>13.075600339570748</v>
      </c>
      <c r="EZ428" s="479">
        <f>(1+EZ431)*EW428</f>
        <v>9.0524861468919102</v>
      </c>
      <c r="FA428" s="548">
        <f>AVERAGE(EY428:EZ428)</f>
        <v>11.064043243231328</v>
      </c>
    </row>
    <row r="429" spans="1:184" s="11" customFormat="1" ht="12.75">
      <c r="A429" s="22"/>
      <c r="B429" s="11" t="s">
        <v>831</v>
      </c>
      <c r="C429" s="177"/>
      <c r="D429" s="16" t="s">
        <v>839</v>
      </c>
      <c r="CW429" s="10"/>
      <c r="CX429" s="10"/>
      <c r="CY429" s="9"/>
      <c r="CZ429" s="10"/>
      <c r="DA429" s="10"/>
      <c r="DB429" s="9"/>
      <c r="DC429" s="479"/>
      <c r="DD429" s="479"/>
      <c r="DE429" s="789"/>
      <c r="DF429" s="479"/>
      <c r="DG429" s="479"/>
      <c r="DH429" s="789"/>
      <c r="DI429" s="479">
        <v>21.04249885096171</v>
      </c>
      <c r="DJ429" s="479">
        <v>23.45483532561903</v>
      </c>
      <c r="DK429" s="701">
        <v>21.27206531407246</v>
      </c>
      <c r="DL429" s="479">
        <f>(1+DL432)*DI429</f>
        <v>23.146748736057884</v>
      </c>
      <c r="DM429" s="479">
        <f>(1+DM432)*DJ429</f>
        <v>25.800318858180933</v>
      </c>
      <c r="DN429" s="701">
        <f>AVERAGE(DL429:DM429)</f>
        <v>24.473533797119408</v>
      </c>
      <c r="DO429" s="479">
        <f>(1+DO432)*DL429</f>
        <v>23.609683710779041</v>
      </c>
      <c r="DP429" s="479">
        <f>(1+DP432)*DM429</f>
        <v>26.316325235344554</v>
      </c>
      <c r="DQ429" s="701">
        <f>AVERAGE(DO429:DP429)</f>
        <v>24.963004473061797</v>
      </c>
      <c r="DR429" s="479">
        <f>(1+DR432)*DO429</f>
        <v>24.081877384994623</v>
      </c>
      <c r="DS429" s="479">
        <f>(1+DS432)*DP429</f>
        <v>26.842651740051444</v>
      </c>
      <c r="DT429" s="701">
        <f>AVERAGE(DR429:DS429)</f>
        <v>25.462264562523032</v>
      </c>
      <c r="DU429" s="479">
        <f>(1+DU432)*DR429</f>
        <v>23.60023983729473</v>
      </c>
      <c r="DV429" s="479">
        <f>(1+DV432)*DS429</f>
        <v>26.305798705250414</v>
      </c>
      <c r="DW429" s="701">
        <f>AVERAGE(DU429:DV429)</f>
        <v>24.953019271272574</v>
      </c>
      <c r="DX429" s="479">
        <f>(1+DX432)*DU429</f>
        <v>23.128235040548834</v>
      </c>
      <c r="DY429" s="479">
        <f>(1+DY432)*DV429</f>
        <v>26.305798705250414</v>
      </c>
      <c r="DZ429" s="701">
        <f>AVERAGE(DX429:DY429)</f>
        <v>24.717016872899624</v>
      </c>
      <c r="EA429" s="479">
        <f>(1+EA432)*DX429</f>
        <v>22.896952690143344</v>
      </c>
      <c r="EB429" s="479">
        <f>(1+EB432)*DY429</f>
        <v>26.042740718197908</v>
      </c>
      <c r="EC429" s="701">
        <f>AVERAGE(EA429:EB429)</f>
        <v>24.469846704170628</v>
      </c>
      <c r="ED429" s="479">
        <f>(1+ED432)*EA429</f>
        <v>23.125922217044778</v>
      </c>
      <c r="EE429" s="479">
        <f>(1+EE432)*EB429</f>
        <v>26.303168125379887</v>
      </c>
      <c r="EF429" s="701">
        <f>AVERAGE(ED429:EE429)</f>
        <v>24.714545171212333</v>
      </c>
      <c r="EG429" s="479">
        <f>(1+EG432)*ED429</f>
        <v>23.125922217044778</v>
      </c>
      <c r="EH429" s="479">
        <f>(1+EH432)*EE429</f>
        <v>26.303168125379887</v>
      </c>
      <c r="EI429" s="701">
        <f>AVERAGE(EG429:EH429)</f>
        <v>24.714545171212333</v>
      </c>
      <c r="EJ429" s="479">
        <f>(1+EJ432)*EG429</f>
        <v>23.125922217044778</v>
      </c>
      <c r="EK429" s="479">
        <f>(1+EK432)*EH429</f>
        <v>26.303168125379887</v>
      </c>
      <c r="EL429" s="701">
        <f>AVERAGE(EJ429:EK429)</f>
        <v>24.714545171212333</v>
      </c>
      <c r="EM429" s="479">
        <f>(1+EM432)*EJ429</f>
        <v>23.125922217044778</v>
      </c>
      <c r="EN429" s="479">
        <f>(1+EN432)*EK429</f>
        <v>26.303168125379887</v>
      </c>
      <c r="EO429" s="701">
        <f>AVERAGE(EM429:EN429)</f>
        <v>24.714545171212333</v>
      </c>
      <c r="EP429" s="479">
        <f>(1+EP432)*EM429</f>
        <v>23.125922217044778</v>
      </c>
      <c r="EQ429" s="479">
        <f>(1+EQ432)*EN429</f>
        <v>26.303168125379887</v>
      </c>
      <c r="ER429" s="701">
        <f>AVERAGE(EP429:EQ429)</f>
        <v>24.714545171212333</v>
      </c>
      <c r="ES429" s="479">
        <f>(1+ES432)*EP429</f>
        <v>23.125922217044778</v>
      </c>
      <c r="ET429" s="479">
        <f>(1+ET432)*EQ429</f>
        <v>26.303168125379887</v>
      </c>
      <c r="EU429" s="701">
        <f>AVERAGE(ES429:ET429)</f>
        <v>24.714545171212333</v>
      </c>
      <c r="EV429" s="479">
        <f>(1+EV432)*ES429</f>
        <v>23.125922217044778</v>
      </c>
      <c r="EW429" s="479">
        <f>(1+EW432)*ET429</f>
        <v>26.303168125379887</v>
      </c>
      <c r="EX429" s="701">
        <f>AVERAGE(EV429:EW429)</f>
        <v>24.714545171212333</v>
      </c>
      <c r="EY429" s="479">
        <f>(1+EY432)*EV429</f>
        <v>23.125922217044778</v>
      </c>
      <c r="EZ429" s="479">
        <f>(1+EZ432)*EW429</f>
        <v>26.303168125379887</v>
      </c>
      <c r="FA429" s="548">
        <f>AVERAGE(EY429:EZ429)</f>
        <v>24.714545171212333</v>
      </c>
    </row>
    <row r="430" spans="1:184" s="11" customFormat="1" ht="12.75">
      <c r="A430" s="22"/>
      <c r="B430" s="11" t="s">
        <v>846</v>
      </c>
      <c r="C430" s="177"/>
      <c r="D430" s="16"/>
      <c r="CW430" s="10"/>
      <c r="CX430" s="10"/>
      <c r="CY430" s="10"/>
      <c r="CZ430" s="10"/>
      <c r="DA430" s="10"/>
      <c r="DB430" s="10"/>
      <c r="DC430" s="10"/>
      <c r="DD430" s="10"/>
      <c r="DE430" s="67"/>
      <c r="DF430" s="10"/>
      <c r="DG430" s="10"/>
      <c r="DH430" s="67"/>
      <c r="DI430" s="10"/>
      <c r="DJ430" s="10"/>
      <c r="DK430" s="691"/>
      <c r="DL430" s="10"/>
      <c r="DM430" s="10"/>
      <c r="DN430" s="691"/>
      <c r="DO430" s="10"/>
      <c r="DP430" s="10"/>
      <c r="DQ430" s="691"/>
      <c r="DR430" s="10"/>
      <c r="DS430" s="10"/>
      <c r="DT430" s="691"/>
      <c r="DU430" s="10"/>
      <c r="DV430" s="10"/>
      <c r="DW430" s="691"/>
      <c r="DX430" s="10"/>
      <c r="DY430" s="10"/>
      <c r="DZ430" s="691"/>
      <c r="EA430" s="10"/>
      <c r="EB430" s="10"/>
      <c r="EC430" s="691"/>
      <c r="ED430" s="10"/>
      <c r="EE430" s="10"/>
      <c r="EF430" s="691"/>
      <c r="EG430" s="10"/>
      <c r="EH430" s="10"/>
      <c r="EI430" s="691"/>
      <c r="EJ430" s="10"/>
      <c r="EK430" s="10"/>
      <c r="EL430" s="691"/>
      <c r="EM430" s="10"/>
      <c r="EN430" s="10"/>
      <c r="EO430" s="691"/>
      <c r="EP430" s="10"/>
      <c r="EQ430" s="10"/>
      <c r="ER430" s="691"/>
      <c r="ES430" s="10"/>
      <c r="ET430" s="10"/>
      <c r="EU430" s="691"/>
      <c r="EV430" s="10"/>
      <c r="EW430" s="10"/>
      <c r="EX430" s="691"/>
      <c r="EY430" s="10"/>
      <c r="EZ430" s="10"/>
      <c r="FA430" s="14"/>
    </row>
    <row r="431" spans="1:184" s="11" customFormat="1" ht="12.75">
      <c r="A431" s="22"/>
      <c r="B431" s="11" t="s">
        <v>829</v>
      </c>
      <c r="C431" s="177"/>
      <c r="D431" s="16" t="s">
        <v>507</v>
      </c>
      <c r="CW431" s="10"/>
      <c r="CX431" s="10"/>
      <c r="CY431" s="10"/>
      <c r="CZ431" s="10"/>
      <c r="DA431" s="10"/>
      <c r="DB431" s="10"/>
      <c r="DC431" s="28"/>
      <c r="DD431" s="25"/>
      <c r="DE431" s="801"/>
      <c r="DF431" s="25"/>
      <c r="DG431" s="25"/>
      <c r="DH431" s="801"/>
      <c r="DI431" s="899">
        <v>0.01</v>
      </c>
      <c r="DJ431" s="15">
        <f>+DI431</f>
        <v>0.01</v>
      </c>
      <c r="DK431" s="712">
        <v>7.6409671723098649E-2</v>
      </c>
      <c r="DL431" s="15">
        <f>DJ431</f>
        <v>0.01</v>
      </c>
      <c r="DM431" s="15">
        <f>DL431</f>
        <v>0.01</v>
      </c>
      <c r="DN431" s="712">
        <f>DN428/DK428-1</f>
        <v>-0.13348846561394856</v>
      </c>
      <c r="DO431" s="15">
        <f>DM431</f>
        <v>0.01</v>
      </c>
      <c r="DP431" s="15">
        <f>DO431</f>
        <v>0.01</v>
      </c>
      <c r="DQ431" s="712">
        <f>DQ428/DN428-1</f>
        <v>1.0000000000000009E-2</v>
      </c>
      <c r="DR431" s="899">
        <v>0.02</v>
      </c>
      <c r="DS431" s="15">
        <f>+DR431</f>
        <v>0.02</v>
      </c>
      <c r="DT431" s="712">
        <f>DT428/DQ428-1</f>
        <v>2.000000000000024E-2</v>
      </c>
      <c r="DU431" s="899">
        <v>-0.02</v>
      </c>
      <c r="DV431" s="15">
        <f>+DU431</f>
        <v>-0.02</v>
      </c>
      <c r="DW431" s="712">
        <f>DW428/DT428-1</f>
        <v>-2.0000000000000018E-2</v>
      </c>
      <c r="DX431" s="899">
        <v>-0.02</v>
      </c>
      <c r="DY431" s="15">
        <v>0</v>
      </c>
      <c r="DZ431" s="712">
        <f>DZ428/DW428-1</f>
        <v>-1.1915595239993415E-2</v>
      </c>
      <c r="EA431" s="899">
        <v>-0.01</v>
      </c>
      <c r="EB431" s="15">
        <f>+EA431</f>
        <v>-0.01</v>
      </c>
      <c r="EC431" s="712">
        <f>EC428/DZ428-1</f>
        <v>-1.0000000000000009E-2</v>
      </c>
      <c r="ED431" s="15">
        <v>-0.01</v>
      </c>
      <c r="EE431" s="15">
        <f>+ED431</f>
        <v>-0.01</v>
      </c>
      <c r="EF431" s="712">
        <f>EF428/EC428-1</f>
        <v>-1.0000000000000009E-2</v>
      </c>
      <c r="EG431" s="15">
        <v>0</v>
      </c>
      <c r="EH431" s="15">
        <f>+EG431</f>
        <v>0</v>
      </c>
      <c r="EI431" s="712">
        <f>EI428/EF428-1</f>
        <v>0</v>
      </c>
      <c r="EJ431" s="15">
        <f>+EH431</f>
        <v>0</v>
      </c>
      <c r="EK431" s="15">
        <f>+EJ431</f>
        <v>0</v>
      </c>
      <c r="EL431" s="712">
        <f>EL428/EI428-1</f>
        <v>0</v>
      </c>
      <c r="EM431" s="15">
        <f>+EK431</f>
        <v>0</v>
      </c>
      <c r="EN431" s="15">
        <f>+EM431</f>
        <v>0</v>
      </c>
      <c r="EO431" s="712">
        <f>EO428/EL428-1</f>
        <v>0</v>
      </c>
      <c r="EP431" s="15">
        <f>+EN431</f>
        <v>0</v>
      </c>
      <c r="EQ431" s="15">
        <f>+EP431</f>
        <v>0</v>
      </c>
      <c r="ER431" s="712">
        <f>ER428/EO428-1</f>
        <v>0</v>
      </c>
      <c r="ES431" s="15">
        <f>+EQ431</f>
        <v>0</v>
      </c>
      <c r="ET431" s="15">
        <f>+ES431</f>
        <v>0</v>
      </c>
      <c r="EU431" s="712">
        <f>EU428/ER428-1</f>
        <v>0</v>
      </c>
      <c r="EV431" s="15">
        <f>+ET431</f>
        <v>0</v>
      </c>
      <c r="EW431" s="15">
        <f>+EV431</f>
        <v>0</v>
      </c>
      <c r="EX431" s="712">
        <f>EX428/EU428-1</f>
        <v>0</v>
      </c>
      <c r="EY431" s="15">
        <f>+EW431</f>
        <v>0</v>
      </c>
      <c r="EZ431" s="15">
        <f>+EY431</f>
        <v>0</v>
      </c>
      <c r="FA431" s="597">
        <f>FA428/EX428-1</f>
        <v>0</v>
      </c>
    </row>
    <row r="432" spans="1:184" s="11" customFormat="1" ht="12.75">
      <c r="A432" s="22"/>
      <c r="B432" s="11" t="s">
        <v>831</v>
      </c>
      <c r="C432" s="177"/>
      <c r="D432" s="16" t="s">
        <v>507</v>
      </c>
      <c r="CW432" s="10"/>
      <c r="CX432" s="10"/>
      <c r="CY432" s="10"/>
      <c r="CZ432" s="10"/>
      <c r="DA432" s="10"/>
      <c r="DB432" s="10"/>
      <c r="DC432" s="28"/>
      <c r="DD432" s="25"/>
      <c r="DE432" s="801"/>
      <c r="DF432" s="25"/>
      <c r="DG432" s="25"/>
      <c r="DH432" s="801"/>
      <c r="DI432" s="899">
        <v>0.15</v>
      </c>
      <c r="DJ432" s="15">
        <f>+DI432</f>
        <v>0.15</v>
      </c>
      <c r="DK432" s="712">
        <v>0.37776096195062348</v>
      </c>
      <c r="DL432" s="899">
        <v>0.1</v>
      </c>
      <c r="DM432" s="15">
        <f>DL432</f>
        <v>0.1</v>
      </c>
      <c r="DN432" s="712">
        <f>DN429/DK429-1</f>
        <v>0.15050106493087112</v>
      </c>
      <c r="DO432" s="899">
        <v>0.02</v>
      </c>
      <c r="DP432" s="15">
        <f>DO432</f>
        <v>0.02</v>
      </c>
      <c r="DQ432" s="712">
        <f>DQ429/DN429-1</f>
        <v>2.0000000000000018E-2</v>
      </c>
      <c r="DR432" s="15">
        <f>DP432</f>
        <v>0.02</v>
      </c>
      <c r="DS432" s="15">
        <f>DR432</f>
        <v>0.02</v>
      </c>
      <c r="DT432" s="712">
        <f>DT429/DQ429-1</f>
        <v>2.0000000000000018E-2</v>
      </c>
      <c r="DU432" s="899">
        <v>-0.02</v>
      </c>
      <c r="DV432" s="15">
        <f>DU432</f>
        <v>-0.02</v>
      </c>
      <c r="DW432" s="712">
        <f>DW429/DT429-1</f>
        <v>-1.9999999999999907E-2</v>
      </c>
      <c r="DX432" s="899">
        <v>-0.02</v>
      </c>
      <c r="DY432" s="15">
        <v>0</v>
      </c>
      <c r="DZ432" s="712">
        <f>DZ429/DW429-1</f>
        <v>-9.4578694388558482E-3</v>
      </c>
      <c r="EA432" s="899">
        <f>+EA431</f>
        <v>-0.01</v>
      </c>
      <c r="EB432" s="15">
        <f>+EA432</f>
        <v>-0.01</v>
      </c>
      <c r="EC432" s="712">
        <f>EC429/DZ429-1</f>
        <v>-1.0000000000000009E-2</v>
      </c>
      <c r="ED432" s="15">
        <v>0.01</v>
      </c>
      <c r="EE432" s="15">
        <f>+ED432</f>
        <v>0.01</v>
      </c>
      <c r="EF432" s="712">
        <f>EF429/EC429-1</f>
        <v>1.0000000000000009E-2</v>
      </c>
      <c r="EG432" s="15">
        <v>0</v>
      </c>
      <c r="EH432" s="15">
        <f>+EG432</f>
        <v>0</v>
      </c>
      <c r="EI432" s="712">
        <f>EI429/EF429-1</f>
        <v>0</v>
      </c>
      <c r="EJ432" s="15">
        <f>+EH432</f>
        <v>0</v>
      </c>
      <c r="EK432" s="15">
        <f>+EJ432</f>
        <v>0</v>
      </c>
      <c r="EL432" s="712">
        <f>EL429/EI429-1</f>
        <v>0</v>
      </c>
      <c r="EM432" s="15">
        <f>+EK432</f>
        <v>0</v>
      </c>
      <c r="EN432" s="15">
        <f>+EM432</f>
        <v>0</v>
      </c>
      <c r="EO432" s="712">
        <f>EO429/EL429-1</f>
        <v>0</v>
      </c>
      <c r="EP432" s="15">
        <f>+EN432</f>
        <v>0</v>
      </c>
      <c r="EQ432" s="15">
        <f>+EP432</f>
        <v>0</v>
      </c>
      <c r="ER432" s="712">
        <f>ER429/EO429-1</f>
        <v>0</v>
      </c>
      <c r="ES432" s="15">
        <f>+EQ432</f>
        <v>0</v>
      </c>
      <c r="ET432" s="15">
        <f>+ES432</f>
        <v>0</v>
      </c>
      <c r="EU432" s="712">
        <f>EU429/ER429-1</f>
        <v>0</v>
      </c>
      <c r="EV432" s="15">
        <f>+ET432</f>
        <v>0</v>
      </c>
      <c r="EW432" s="15">
        <f>+EV432</f>
        <v>0</v>
      </c>
      <c r="EX432" s="712">
        <f>EX429/EU429-1</f>
        <v>0</v>
      </c>
      <c r="EY432" s="15">
        <f>+EW432</f>
        <v>0</v>
      </c>
      <c r="EZ432" s="15">
        <f>+EY432</f>
        <v>0</v>
      </c>
      <c r="FA432" s="597">
        <f>FA429/EX429-1</f>
        <v>0</v>
      </c>
    </row>
    <row r="433" spans="1:184" s="11" customFormat="1" ht="12.75" hidden="1" outlineLevel="1">
      <c r="A433" s="22"/>
      <c r="B433" s="767" t="s">
        <v>841</v>
      </c>
      <c r="C433" s="177"/>
      <c r="D433" s="16"/>
      <c r="CW433" s="10"/>
      <c r="CX433" s="10"/>
      <c r="CY433" s="10"/>
      <c r="CZ433" s="10"/>
      <c r="DA433" s="10"/>
      <c r="DB433" s="10"/>
      <c r="DC433" s="10"/>
      <c r="DD433" s="10"/>
      <c r="DE433" s="67"/>
      <c r="DF433" s="10"/>
      <c r="DG433" s="10"/>
      <c r="DH433" s="67"/>
      <c r="DI433" s="10"/>
      <c r="DJ433" s="10"/>
      <c r="DK433" s="691"/>
      <c r="DL433" s="10"/>
      <c r="DM433" s="10"/>
      <c r="DN433" s="691"/>
      <c r="DO433" s="10"/>
      <c r="DP433" s="10"/>
      <c r="DQ433" s="691"/>
      <c r="DR433" s="10"/>
      <c r="DS433" s="10"/>
      <c r="DT433" s="691"/>
      <c r="DU433" s="10"/>
      <c r="DV433" s="10"/>
      <c r="DW433" s="691"/>
      <c r="DX433" s="10"/>
      <c r="DY433" s="10"/>
      <c r="DZ433" s="691"/>
      <c r="EA433" s="10"/>
      <c r="EB433" s="10"/>
      <c r="EC433" s="691"/>
      <c r="ED433" s="10"/>
      <c r="EE433" s="10"/>
      <c r="EF433" s="691"/>
      <c r="EG433" s="10"/>
      <c r="EH433" s="10"/>
      <c r="EI433" s="691"/>
      <c r="EJ433" s="10"/>
      <c r="EK433" s="10"/>
      <c r="EL433" s="691"/>
      <c r="EM433" s="10"/>
      <c r="EN433" s="10"/>
      <c r="EO433" s="691"/>
      <c r="EP433" s="10"/>
      <c r="EQ433" s="10"/>
      <c r="ER433" s="691"/>
      <c r="ES433" s="10"/>
      <c r="ET433" s="10"/>
      <c r="EU433" s="691"/>
      <c r="EV433" s="10"/>
      <c r="EW433" s="10"/>
      <c r="EX433" s="691"/>
      <c r="EY433" s="10"/>
      <c r="EZ433" s="10"/>
      <c r="FA433" s="14"/>
    </row>
    <row r="434" spans="1:184" s="11" customFormat="1" ht="12.75" hidden="1" outlineLevel="1">
      <c r="A434" s="22"/>
      <c r="B434" s="11" t="s">
        <v>842</v>
      </c>
      <c r="C434" s="177"/>
      <c r="D434" s="16" t="s">
        <v>507</v>
      </c>
      <c r="CW434" s="10"/>
      <c r="CX434" s="10"/>
      <c r="CY434" s="10"/>
      <c r="CZ434" s="481"/>
      <c r="DA434" s="596"/>
      <c r="DB434" s="481"/>
      <c r="DC434" s="481"/>
      <c r="DD434" s="596"/>
      <c r="DE434" s="820"/>
      <c r="DF434" s="481"/>
      <c r="DG434" s="596"/>
      <c r="DH434" s="817"/>
      <c r="DI434" s="934">
        <v>0.72</v>
      </c>
      <c r="DJ434" s="768">
        <f>+DJ439/DJ$411</f>
        <v>0.11038890659866087</v>
      </c>
      <c r="DK434" s="935">
        <v>0.61</v>
      </c>
      <c r="DL434" s="934">
        <v>0.64</v>
      </c>
      <c r="DM434" s="768">
        <f>DM439/DM$411</f>
        <v>0.14724014336917457</v>
      </c>
      <c r="DN434" s="935">
        <v>0.56999999999999995</v>
      </c>
      <c r="DO434" s="15">
        <f>DL434</f>
        <v>0.64</v>
      </c>
      <c r="DP434" s="768">
        <f>DP439/DP$411</f>
        <v>0.15477815699658676</v>
      </c>
      <c r="DQ434" s="765">
        <f t="shared" ref="DQ434:DR437" si="424">DN434</f>
        <v>0.56999999999999995</v>
      </c>
      <c r="DR434" s="15">
        <f t="shared" si="424"/>
        <v>0.64</v>
      </c>
      <c r="DS434" s="768">
        <f>DS439/DS$411</f>
        <v>0.1802469135802465</v>
      </c>
      <c r="DT434" s="765">
        <f t="shared" ref="DT434:DU437" si="425">DQ434</f>
        <v>0.56999999999999995</v>
      </c>
      <c r="DU434" s="15">
        <f t="shared" si="425"/>
        <v>0.64</v>
      </c>
      <c r="DV434" s="768">
        <f>DV439/DV$411</f>
        <v>0.33976237623762362</v>
      </c>
      <c r="DW434" s="765">
        <f t="shared" ref="DW434:DX437" si="426">DT434</f>
        <v>0.56999999999999995</v>
      </c>
      <c r="DX434" s="15">
        <f t="shared" si="426"/>
        <v>0.64</v>
      </c>
      <c r="DY434" s="768">
        <f>DY439/DY$411</f>
        <v>0.25111927860649114</v>
      </c>
      <c r="DZ434" s="765">
        <f t="shared" ref="DZ434:EA437" si="427">DW434</f>
        <v>0.56999999999999995</v>
      </c>
      <c r="EA434" s="15">
        <f t="shared" si="427"/>
        <v>0.64</v>
      </c>
      <c r="EB434" s="768">
        <f>EB439/EB$411</f>
        <v>0.25485817664974736</v>
      </c>
      <c r="EC434" s="765">
        <f t="shared" ref="EC434:ED437" si="428">DZ434</f>
        <v>0.56999999999999995</v>
      </c>
      <c r="ED434" s="15">
        <f t="shared" si="428"/>
        <v>0.64</v>
      </c>
      <c r="EE434" s="768">
        <f>EE439/EE$411</f>
        <v>0.25649430882149388</v>
      </c>
      <c r="EF434" s="765">
        <f t="shared" ref="EF434:EG437" si="429">EC434</f>
        <v>0.56999999999999995</v>
      </c>
      <c r="EG434" s="15">
        <f t="shared" si="429"/>
        <v>0.64</v>
      </c>
      <c r="EH434" s="768">
        <f>EH439/EH$411</f>
        <v>0.25282931890100102</v>
      </c>
      <c r="EI434" s="765">
        <f t="shared" ref="EI434:EJ437" si="430">EF434</f>
        <v>0.56999999999999995</v>
      </c>
      <c r="EJ434" s="15">
        <f t="shared" si="430"/>
        <v>0.64</v>
      </c>
      <c r="EK434" s="768">
        <f>EK439/EK$411</f>
        <v>0.24730046447044293</v>
      </c>
      <c r="EL434" s="765">
        <f t="shared" ref="EL434:EM437" si="431">EI434</f>
        <v>0.56999999999999995</v>
      </c>
      <c r="EM434" s="15">
        <f t="shared" si="431"/>
        <v>0.64</v>
      </c>
      <c r="EN434" s="768">
        <f>EN439/EN$411</f>
        <v>0.2417028654894014</v>
      </c>
      <c r="EO434" s="765">
        <f t="shared" ref="EO434:EP437" si="432">EL434</f>
        <v>0.56999999999999995</v>
      </c>
      <c r="EP434" s="15">
        <f t="shared" si="432"/>
        <v>0.64</v>
      </c>
      <c r="EQ434" s="768">
        <f>EQ439/EQ$411</f>
        <v>0.23603772235137194</v>
      </c>
      <c r="ER434" s="765">
        <f t="shared" ref="ER434:ES437" si="433">EO434</f>
        <v>0.56999999999999995</v>
      </c>
      <c r="ES434" s="15">
        <f t="shared" si="433"/>
        <v>0.64</v>
      </c>
      <c r="ET434" s="768">
        <f>ET439/ET$411</f>
        <v>0.23030632429806577</v>
      </c>
      <c r="EU434" s="765">
        <f t="shared" ref="EU434:EV437" si="434">ER434</f>
        <v>0.56999999999999995</v>
      </c>
      <c r="EV434" s="15">
        <f t="shared" si="434"/>
        <v>0.64</v>
      </c>
      <c r="EW434" s="768">
        <f>EW439/EW$411</f>
        <v>0.22451004944568193</v>
      </c>
      <c r="EX434" s="765">
        <f t="shared" ref="EX434:EY437" si="435">EU434</f>
        <v>0.56999999999999995</v>
      </c>
      <c r="EY434" s="15">
        <f t="shared" si="435"/>
        <v>0.64</v>
      </c>
      <c r="EZ434" s="768">
        <f>EZ439/EZ$411</f>
        <v>0.21865036458898815</v>
      </c>
      <c r="FA434" s="769">
        <f>EX434</f>
        <v>0.56999999999999995</v>
      </c>
    </row>
    <row r="435" spans="1:184" s="11" customFormat="1" ht="12.75" hidden="1" outlineLevel="1">
      <c r="A435" s="22"/>
      <c r="B435" s="11" t="s">
        <v>843</v>
      </c>
      <c r="C435" s="177"/>
      <c r="D435" s="16" t="s">
        <v>507</v>
      </c>
      <c r="CW435" s="10"/>
      <c r="CX435" s="10"/>
      <c r="CY435" s="10"/>
      <c r="CZ435" s="481"/>
      <c r="DA435" s="596"/>
      <c r="DB435" s="481"/>
      <c r="DC435" s="481"/>
      <c r="DD435" s="596"/>
      <c r="DE435" s="820"/>
      <c r="DF435" s="481"/>
      <c r="DG435" s="596"/>
      <c r="DH435" s="817"/>
      <c r="DI435" s="934">
        <v>0.21</v>
      </c>
      <c r="DJ435" s="768">
        <f>+DJ440/DJ$411</f>
        <v>0.20999999999999988</v>
      </c>
      <c r="DK435" s="935">
        <v>0.21</v>
      </c>
      <c r="DL435" s="934">
        <v>0.28999999999999998</v>
      </c>
      <c r="DM435" s="768">
        <f>DM440/DM$411</f>
        <v>0.14921146953405059</v>
      </c>
      <c r="DN435" s="935">
        <v>0.27</v>
      </c>
      <c r="DO435" s="15">
        <f>DL435</f>
        <v>0.28999999999999998</v>
      </c>
      <c r="DP435" s="768">
        <f>DP440/DP$411</f>
        <v>0.1513651877133107</v>
      </c>
      <c r="DQ435" s="765">
        <f t="shared" si="424"/>
        <v>0.27</v>
      </c>
      <c r="DR435" s="15">
        <f t="shared" si="424"/>
        <v>0.28999999999999998</v>
      </c>
      <c r="DS435" s="768">
        <f>DS440/DS$411</f>
        <v>0.15864197530864227</v>
      </c>
      <c r="DT435" s="765">
        <f t="shared" si="425"/>
        <v>0.27</v>
      </c>
      <c r="DU435" s="15">
        <f t="shared" si="425"/>
        <v>0.28999999999999998</v>
      </c>
      <c r="DV435" s="768">
        <f>DV440/DV$411</f>
        <v>0.20421782178217843</v>
      </c>
      <c r="DW435" s="765">
        <f t="shared" si="426"/>
        <v>0.27</v>
      </c>
      <c r="DX435" s="15">
        <f t="shared" si="426"/>
        <v>0.28999999999999998</v>
      </c>
      <c r="DY435" s="768">
        <f>DY440/DY$411</f>
        <v>0.17889122245899772</v>
      </c>
      <c r="DZ435" s="765">
        <f t="shared" si="427"/>
        <v>0.27</v>
      </c>
      <c r="EA435" s="15">
        <f t="shared" si="427"/>
        <v>0.28999999999999998</v>
      </c>
      <c r="EB435" s="768">
        <f>EB440/EB$411</f>
        <v>0.17995947904278553</v>
      </c>
      <c r="EC435" s="765">
        <f t="shared" si="428"/>
        <v>0.27</v>
      </c>
      <c r="ED435" s="15">
        <f t="shared" si="428"/>
        <v>0.28999999999999998</v>
      </c>
      <c r="EE435" s="768">
        <f>EE440/EE$411</f>
        <v>0.1804269453775699</v>
      </c>
      <c r="EF435" s="765">
        <f t="shared" si="429"/>
        <v>0.27</v>
      </c>
      <c r="EG435" s="15">
        <f t="shared" si="429"/>
        <v>0.28999999999999998</v>
      </c>
      <c r="EH435" s="768">
        <f>EH440/EH$411</f>
        <v>0.17937980540028639</v>
      </c>
      <c r="EI435" s="765">
        <f t="shared" si="430"/>
        <v>0.27</v>
      </c>
      <c r="EJ435" s="15">
        <f t="shared" si="430"/>
        <v>0.28999999999999998</v>
      </c>
      <c r="EK435" s="768">
        <f>EK440/EK$411</f>
        <v>0.17780013270584114</v>
      </c>
      <c r="EL435" s="765">
        <f t="shared" si="431"/>
        <v>0.27</v>
      </c>
      <c r="EM435" s="15">
        <f t="shared" si="431"/>
        <v>0.28999999999999998</v>
      </c>
      <c r="EN435" s="768">
        <f>EN440/EN$411</f>
        <v>0.17620081871125767</v>
      </c>
      <c r="EO435" s="765">
        <f t="shared" si="432"/>
        <v>0.27</v>
      </c>
      <c r="EP435" s="15">
        <f t="shared" si="432"/>
        <v>0.28999999999999998</v>
      </c>
      <c r="EQ435" s="768">
        <f>EQ440/EQ$411</f>
        <v>0.17458220638610647</v>
      </c>
      <c r="ER435" s="765">
        <f t="shared" si="433"/>
        <v>0.27</v>
      </c>
      <c r="ES435" s="15">
        <f t="shared" si="433"/>
        <v>0.28999999999999998</v>
      </c>
      <c r="ET435" s="768">
        <f>ET440/ET$411</f>
        <v>0.1729446640851619</v>
      </c>
      <c r="EU435" s="765">
        <f t="shared" si="434"/>
        <v>0.27</v>
      </c>
      <c r="EV435" s="15">
        <f t="shared" si="434"/>
        <v>0.28999999999999998</v>
      </c>
      <c r="EW435" s="768">
        <f>EW440/EW$411</f>
        <v>0.17128858555590928</v>
      </c>
      <c r="EX435" s="765">
        <f t="shared" si="435"/>
        <v>0.27</v>
      </c>
      <c r="EY435" s="15">
        <f t="shared" si="435"/>
        <v>0.28999999999999998</v>
      </c>
      <c r="EZ435" s="768">
        <f>EZ440/EZ$411</f>
        <v>0.16961438988256833</v>
      </c>
      <c r="FA435" s="769">
        <f>EX435</f>
        <v>0.27</v>
      </c>
    </row>
    <row r="436" spans="1:184" s="11" customFormat="1" ht="12.75" hidden="1" outlineLevel="1">
      <c r="A436" s="22"/>
      <c r="B436" s="11" t="s">
        <v>844</v>
      </c>
      <c r="C436" s="177"/>
      <c r="D436" s="16" t="s">
        <v>507</v>
      </c>
      <c r="CW436" s="10"/>
      <c r="CX436" s="10"/>
      <c r="CY436" s="10"/>
      <c r="CZ436" s="481"/>
      <c r="DA436" s="596"/>
      <c r="DB436" s="481"/>
      <c r="DC436" s="481"/>
      <c r="DD436" s="596"/>
      <c r="DE436" s="820"/>
      <c r="DF436" s="481"/>
      <c r="DG436" s="596"/>
      <c r="DH436" s="817"/>
      <c r="DI436" s="934">
        <v>0.06</v>
      </c>
      <c r="DJ436" s="768">
        <f>+DJ441/DJ$411</f>
        <v>0.55877271278291363</v>
      </c>
      <c r="DK436" s="935">
        <v>0.15</v>
      </c>
      <c r="DL436" s="934">
        <v>0.05</v>
      </c>
      <c r="DM436" s="768">
        <f>DM441/DM$411</f>
        <v>0.61315412186379947</v>
      </c>
      <c r="DN436" s="935">
        <v>0.13</v>
      </c>
      <c r="DO436" s="15">
        <f>DL436</f>
        <v>0.05</v>
      </c>
      <c r="DP436" s="768">
        <f>DP441/DP$411</f>
        <v>0.60453924914675783</v>
      </c>
      <c r="DQ436" s="765">
        <f t="shared" si="424"/>
        <v>0.13</v>
      </c>
      <c r="DR436" s="15">
        <f t="shared" si="424"/>
        <v>0.05</v>
      </c>
      <c r="DS436" s="768">
        <f>DS441/DS$411</f>
        <v>0.57543209876543211</v>
      </c>
      <c r="DT436" s="765">
        <f t="shared" si="425"/>
        <v>0.13</v>
      </c>
      <c r="DU436" s="15">
        <f t="shared" si="425"/>
        <v>0.05</v>
      </c>
      <c r="DV436" s="768">
        <f>DV441/DV$411</f>
        <v>0.39312871287128709</v>
      </c>
      <c r="DW436" s="765">
        <f t="shared" si="426"/>
        <v>0.13</v>
      </c>
      <c r="DX436" s="15">
        <f t="shared" si="426"/>
        <v>0.05</v>
      </c>
      <c r="DY436" s="768">
        <f>DY441/DY$411</f>
        <v>0.49443511016400971</v>
      </c>
      <c r="DZ436" s="765">
        <f t="shared" si="427"/>
        <v>0.13</v>
      </c>
      <c r="EA436" s="15">
        <f t="shared" si="427"/>
        <v>0.05</v>
      </c>
      <c r="EB436" s="768">
        <f>EB441/EB$411</f>
        <v>0.49016208382885973</v>
      </c>
      <c r="EC436" s="765">
        <f t="shared" si="428"/>
        <v>0.13</v>
      </c>
      <c r="ED436" s="15">
        <f t="shared" si="428"/>
        <v>0.05</v>
      </c>
      <c r="EE436" s="768">
        <f>EE441/EE$411</f>
        <v>0.4882922184897211</v>
      </c>
      <c r="EF436" s="765">
        <f t="shared" si="429"/>
        <v>0.13</v>
      </c>
      <c r="EG436" s="15">
        <f t="shared" si="429"/>
        <v>0.05</v>
      </c>
      <c r="EH436" s="768">
        <f>EH441/EH$411</f>
        <v>0.4924807783988549</v>
      </c>
      <c r="EI436" s="765">
        <f t="shared" si="430"/>
        <v>0.13</v>
      </c>
      <c r="EJ436" s="15">
        <f t="shared" si="430"/>
        <v>0.05</v>
      </c>
      <c r="EK436" s="768">
        <f>EK441/EK$411</f>
        <v>0.49879946917663631</v>
      </c>
      <c r="EL436" s="765">
        <f t="shared" si="431"/>
        <v>0.13</v>
      </c>
      <c r="EM436" s="15">
        <f t="shared" si="431"/>
        <v>0.05</v>
      </c>
      <c r="EN436" s="768">
        <f>EN441/EN$411</f>
        <v>0.50519672515496949</v>
      </c>
      <c r="EO436" s="765">
        <f t="shared" si="432"/>
        <v>0.13</v>
      </c>
      <c r="EP436" s="15">
        <f t="shared" si="432"/>
        <v>0.05</v>
      </c>
      <c r="EQ436" s="768">
        <f>EQ441/EQ$411</f>
        <v>0.51167117445557453</v>
      </c>
      <c r="ER436" s="765">
        <f t="shared" si="433"/>
        <v>0.13</v>
      </c>
      <c r="ES436" s="15">
        <f t="shared" si="433"/>
        <v>0.05</v>
      </c>
      <c r="ET436" s="768">
        <f>ET441/ET$411</f>
        <v>0.51822134365935224</v>
      </c>
      <c r="EU436" s="765">
        <f t="shared" si="434"/>
        <v>0.13</v>
      </c>
      <c r="EV436" s="15">
        <f t="shared" si="434"/>
        <v>0.05</v>
      </c>
      <c r="EW436" s="768">
        <f>EW441/EW$411</f>
        <v>0.52484565777636238</v>
      </c>
      <c r="EX436" s="765">
        <f t="shared" si="435"/>
        <v>0.13</v>
      </c>
      <c r="EY436" s="15">
        <f t="shared" si="435"/>
        <v>0.05</v>
      </c>
      <c r="EZ436" s="768">
        <f>EZ441/EZ$411</f>
        <v>0.53154244046972754</v>
      </c>
      <c r="FA436" s="769">
        <f>EX436</f>
        <v>0.13</v>
      </c>
    </row>
    <row r="437" spans="1:184" s="11" customFormat="1" ht="12.75" hidden="1" outlineLevel="1">
      <c r="A437" s="22"/>
      <c r="B437" s="11" t="s">
        <v>845</v>
      </c>
      <c r="C437" s="177"/>
      <c r="D437" s="16" t="s">
        <v>507</v>
      </c>
      <c r="CW437" s="10"/>
      <c r="CX437" s="10"/>
      <c r="CY437" s="10"/>
      <c r="CZ437" s="481"/>
      <c r="DA437" s="596"/>
      <c r="DB437" s="481"/>
      <c r="DC437" s="481"/>
      <c r="DD437" s="596"/>
      <c r="DE437" s="820"/>
      <c r="DF437" s="481"/>
      <c r="DG437" s="596"/>
      <c r="DH437" s="817"/>
      <c r="DI437" s="15">
        <f>1-SUM(DI434:DI436)</f>
        <v>1.0000000000000009E-2</v>
      </c>
      <c r="DJ437" s="768">
        <f>+DJ442/DJ$411</f>
        <v>0.12083838061842535</v>
      </c>
      <c r="DK437" s="728">
        <f>1-SUM(DK434:DK436)</f>
        <v>3.0000000000000027E-2</v>
      </c>
      <c r="DL437" s="15">
        <f>1-SUM(DL434:DL436)</f>
        <v>2.0000000000000018E-2</v>
      </c>
      <c r="DM437" s="768">
        <f>DM442/DM$411</f>
        <v>9.0394265232975002E-2</v>
      </c>
      <c r="DN437" s="765">
        <f>1-SUM(DN434:DN436)</f>
        <v>3.0000000000000027E-2</v>
      </c>
      <c r="DO437" s="15">
        <f>DL437</f>
        <v>2.0000000000000018E-2</v>
      </c>
      <c r="DP437" s="768">
        <f>DP442/DP$411</f>
        <v>8.931740614334481E-2</v>
      </c>
      <c r="DQ437" s="765">
        <f t="shared" si="424"/>
        <v>3.0000000000000027E-2</v>
      </c>
      <c r="DR437" s="15">
        <f t="shared" si="424"/>
        <v>2.0000000000000018E-2</v>
      </c>
      <c r="DS437" s="768">
        <f>DS442/DS$411</f>
        <v>8.5679012345679095E-2</v>
      </c>
      <c r="DT437" s="765">
        <f t="shared" si="425"/>
        <v>3.0000000000000027E-2</v>
      </c>
      <c r="DU437" s="15">
        <f t="shared" si="425"/>
        <v>2.0000000000000018E-2</v>
      </c>
      <c r="DV437" s="768">
        <f>DV442/DV$411</f>
        <v>6.2891089108910961E-2</v>
      </c>
      <c r="DW437" s="765">
        <f t="shared" si="426"/>
        <v>3.0000000000000027E-2</v>
      </c>
      <c r="DX437" s="15">
        <f t="shared" si="426"/>
        <v>2.0000000000000018E-2</v>
      </c>
      <c r="DY437" s="768">
        <f>DY442/DY$411</f>
        <v>7.5554388770501274E-2</v>
      </c>
      <c r="DZ437" s="765">
        <f t="shared" si="427"/>
        <v>3.0000000000000027E-2</v>
      </c>
      <c r="EA437" s="15">
        <f t="shared" si="427"/>
        <v>2.0000000000000018E-2</v>
      </c>
      <c r="EB437" s="768">
        <f>EB442/EB$411</f>
        <v>7.5020260478607534E-2</v>
      </c>
      <c r="EC437" s="765">
        <f t="shared" si="428"/>
        <v>3.0000000000000027E-2</v>
      </c>
      <c r="ED437" s="15">
        <f t="shared" si="428"/>
        <v>2.0000000000000018E-2</v>
      </c>
      <c r="EE437" s="768">
        <f>EE442/EE$411</f>
        <v>7.4786527311215198E-2</v>
      </c>
      <c r="EF437" s="765">
        <f t="shared" si="429"/>
        <v>3.0000000000000027E-2</v>
      </c>
      <c r="EG437" s="15">
        <f t="shared" si="429"/>
        <v>2.0000000000000018E-2</v>
      </c>
      <c r="EH437" s="768">
        <f>EH442/EH$411</f>
        <v>7.5310097299856923E-2</v>
      </c>
      <c r="EI437" s="765">
        <f t="shared" si="430"/>
        <v>3.0000000000000027E-2</v>
      </c>
      <c r="EJ437" s="15">
        <f t="shared" si="430"/>
        <v>2.0000000000000018E-2</v>
      </c>
      <c r="EK437" s="768">
        <f>EK442/EK$411</f>
        <v>7.6099933647079621E-2</v>
      </c>
      <c r="EL437" s="765">
        <f t="shared" si="431"/>
        <v>3.0000000000000027E-2</v>
      </c>
      <c r="EM437" s="15">
        <f t="shared" si="431"/>
        <v>2.0000000000000018E-2</v>
      </c>
      <c r="EN437" s="768">
        <f>EN442/EN$411</f>
        <v>7.6899590644371255E-2</v>
      </c>
      <c r="EO437" s="765">
        <f t="shared" si="432"/>
        <v>3.0000000000000027E-2</v>
      </c>
      <c r="EP437" s="15">
        <f t="shared" si="432"/>
        <v>2.0000000000000018E-2</v>
      </c>
      <c r="EQ437" s="768">
        <f>EQ442/EQ$411</f>
        <v>7.7708896806946884E-2</v>
      </c>
      <c r="ER437" s="765">
        <f t="shared" si="433"/>
        <v>3.0000000000000027E-2</v>
      </c>
      <c r="ES437" s="15">
        <f t="shared" si="433"/>
        <v>2.0000000000000018E-2</v>
      </c>
      <c r="ET437" s="768">
        <f>ET442/ET$411</f>
        <v>7.8527667957419098E-2</v>
      </c>
      <c r="EU437" s="765">
        <f t="shared" si="434"/>
        <v>3.0000000000000027E-2</v>
      </c>
      <c r="EV437" s="15">
        <f t="shared" si="434"/>
        <v>2.0000000000000018E-2</v>
      </c>
      <c r="EW437" s="768">
        <f>EW442/EW$411</f>
        <v>7.935570722204538E-2</v>
      </c>
      <c r="EX437" s="765">
        <f t="shared" si="435"/>
        <v>3.0000000000000027E-2</v>
      </c>
      <c r="EY437" s="15">
        <f t="shared" si="435"/>
        <v>2.0000000000000018E-2</v>
      </c>
      <c r="EZ437" s="768">
        <f>EZ442/EZ$411</f>
        <v>8.0192805058715996E-2</v>
      </c>
      <c r="FA437" s="769">
        <f>EX437</f>
        <v>3.0000000000000027E-2</v>
      </c>
    </row>
    <row r="438" spans="1:184" s="11" customFormat="1" ht="12.75" hidden="1" outlineLevel="1">
      <c r="A438" s="22"/>
      <c r="B438" s="767" t="s">
        <v>841</v>
      </c>
      <c r="C438" s="177"/>
      <c r="D438" s="16"/>
      <c r="CW438" s="10"/>
      <c r="CX438" s="10"/>
      <c r="CY438" s="10"/>
      <c r="CZ438" s="468"/>
      <c r="DA438" s="468"/>
      <c r="DB438" s="468"/>
      <c r="DC438" s="468"/>
      <c r="DD438" s="468"/>
      <c r="DE438" s="821"/>
      <c r="DF438" s="10"/>
      <c r="DG438" s="10"/>
      <c r="DH438" s="67"/>
      <c r="DI438" s="10"/>
      <c r="DJ438" s="10"/>
      <c r="DK438" s="691"/>
      <c r="DL438" s="10"/>
      <c r="DM438" s="10"/>
      <c r="DN438" s="691"/>
      <c r="DO438" s="10"/>
      <c r="DP438" s="10"/>
      <c r="DQ438" s="691"/>
      <c r="DR438" s="10"/>
      <c r="DS438" s="10"/>
      <c r="DT438" s="691"/>
      <c r="DU438" s="10"/>
      <c r="DV438" s="10"/>
      <c r="DW438" s="691"/>
      <c r="DX438" s="10"/>
      <c r="DY438" s="10"/>
      <c r="DZ438" s="691"/>
      <c r="EA438" s="10"/>
      <c r="EB438" s="10"/>
      <c r="EC438" s="691"/>
      <c r="ED438" s="10"/>
      <c r="EE438" s="10"/>
      <c r="EF438" s="691"/>
      <c r="EG438" s="10"/>
      <c r="EH438" s="10"/>
      <c r="EI438" s="691"/>
      <c r="EJ438" s="10"/>
      <c r="EK438" s="10"/>
      <c r="EL438" s="691"/>
      <c r="EM438" s="10"/>
      <c r="EN438" s="10"/>
      <c r="EO438" s="691"/>
      <c r="EP438" s="10"/>
      <c r="EQ438" s="10"/>
      <c r="ER438" s="691"/>
      <c r="ES438" s="10"/>
      <c r="ET438" s="10"/>
      <c r="EU438" s="691"/>
      <c r="EV438" s="10"/>
      <c r="EW438" s="10"/>
      <c r="EX438" s="691"/>
      <c r="EY438" s="10"/>
      <c r="EZ438" s="10"/>
      <c r="FA438" s="14"/>
    </row>
    <row r="439" spans="1:184" s="11" customFormat="1" ht="12.75" hidden="1" outlineLevel="1">
      <c r="A439" s="22"/>
      <c r="B439" s="11" t="s">
        <v>842</v>
      </c>
      <c r="C439" s="177"/>
      <c r="D439" s="16" t="s">
        <v>357</v>
      </c>
      <c r="CW439" s="10"/>
      <c r="CX439" s="10"/>
      <c r="CY439" s="10"/>
      <c r="CZ439" s="469"/>
      <c r="DA439" s="469"/>
      <c r="DB439" s="477"/>
      <c r="DC439" s="469"/>
      <c r="DD439" s="469"/>
      <c r="DE439" s="822"/>
      <c r="DF439" s="469"/>
      <c r="DG439" s="469"/>
      <c r="DH439" s="822"/>
      <c r="DI439" s="469">
        <f>DI434*DI$411</f>
        <v>1025.856</v>
      </c>
      <c r="DJ439" s="469">
        <f>+DK439-DI439</f>
        <v>34.628999999999905</v>
      </c>
      <c r="DK439" s="725">
        <f t="shared" ref="DK439:DL442" si="436">DK434*DK$411</f>
        <v>1060.4849999999999</v>
      </c>
      <c r="DL439" s="469">
        <f t="shared" si="436"/>
        <v>1078.4000000000001</v>
      </c>
      <c r="DM439" s="469">
        <f>+DN439-DL439</f>
        <v>41.0799999999997</v>
      </c>
      <c r="DN439" s="725">
        <f t="shared" ref="DN439:DO442" si="437">DN434*DN$411</f>
        <v>1119.4799999999998</v>
      </c>
      <c r="DO439" s="469">
        <f t="shared" si="437"/>
        <v>1112.32</v>
      </c>
      <c r="DP439" s="469">
        <f>DQ439-DO439</f>
        <v>45.349999999999909</v>
      </c>
      <c r="DQ439" s="725">
        <f t="shared" ref="DQ439:DR442" si="438">DQ434*DQ$411</f>
        <v>1157.6699999999998</v>
      </c>
      <c r="DR439" s="469">
        <f t="shared" si="438"/>
        <v>1154.56</v>
      </c>
      <c r="DS439" s="469">
        <f>DT439-DR439</f>
        <v>58.399999999999864</v>
      </c>
      <c r="DT439" s="725">
        <f t="shared" ref="DT439:DU442" si="439">DT434*DT$411</f>
        <v>1212.9599999999998</v>
      </c>
      <c r="DU439" s="469">
        <f t="shared" si="439"/>
        <v>1063.04</v>
      </c>
      <c r="DV439" s="469">
        <f>DW439-DU439</f>
        <v>171.57999999999993</v>
      </c>
      <c r="DW439" s="725">
        <f t="shared" ref="DW439:DX442" si="440">DW434*DW$411</f>
        <v>1234.6199999999999</v>
      </c>
      <c r="DX439" s="469">
        <f t="shared" si="440"/>
        <v>1053.44</v>
      </c>
      <c r="DY439" s="469">
        <f>DZ439-DX439</f>
        <v>90.736006725644984</v>
      </c>
      <c r="DZ439" s="725">
        <f t="shared" ref="DZ439:EA442" si="441">DZ434*DZ$411</f>
        <v>1144.176006725645</v>
      </c>
      <c r="EA439" s="469">
        <f t="shared" si="441"/>
        <v>1035.1638399999999</v>
      </c>
      <c r="EB439" s="469">
        <f>EC439-EA439</f>
        <v>91.562931191804637</v>
      </c>
      <c r="EC439" s="725">
        <f t="shared" ref="EC439:ED442" si="442">EC434*EC$411</f>
        <v>1126.7267711918046</v>
      </c>
      <c r="ED439" s="469">
        <f t="shared" si="442"/>
        <v>1028.3671209280001</v>
      </c>
      <c r="EE439" s="469">
        <f>EF439-ED439</f>
        <v>92.023458885398668</v>
      </c>
      <c r="EF439" s="725">
        <f t="shared" ref="EF439:EG442" si="443">EF434*EF$411</f>
        <v>1120.3905798133987</v>
      </c>
      <c r="EG439" s="469">
        <f t="shared" si="443"/>
        <v>1046.23366334656</v>
      </c>
      <c r="EH439" s="469">
        <f>EI439-EG439</f>
        <v>91.218128063106406</v>
      </c>
      <c r="EI439" s="725">
        <f t="shared" ref="EI439:EJ442" si="444">EI434*EI$411</f>
        <v>1137.4517914096664</v>
      </c>
      <c r="EJ439" s="469">
        <f t="shared" si="444"/>
        <v>1073.5694732469567</v>
      </c>
      <c r="EK439" s="469">
        <f>EL439-EJ439</f>
        <v>89.985971904999815</v>
      </c>
      <c r="EL439" s="725">
        <f t="shared" ref="EL439:EM442" si="445">EL434*EL$411</f>
        <v>1163.5554451519565</v>
      </c>
      <c r="EM439" s="469">
        <f t="shared" si="445"/>
        <v>1101.7253574443655</v>
      </c>
      <c r="EN439" s="469">
        <f>EO439-EM439</f>
        <v>88.716851062149772</v>
      </c>
      <c r="EO439" s="725">
        <f t="shared" ref="EO439:EP442" si="446">EO434*EO$411</f>
        <v>1190.4422085065153</v>
      </c>
      <c r="EP439" s="469">
        <f t="shared" si="446"/>
        <v>1130.7259181676966</v>
      </c>
      <c r="EQ439" s="469">
        <f>ER439-EP439</f>
        <v>87.409656594014223</v>
      </c>
      <c r="ER439" s="725">
        <f t="shared" ref="ER439:ES442" si="447">ER434*ER$411</f>
        <v>1218.1355747617108</v>
      </c>
      <c r="ES439" s="469">
        <f t="shared" si="447"/>
        <v>1160.5964957127276</v>
      </c>
      <c r="ET439" s="469">
        <f>EU439-ES439</f>
        <v>86.063246291834503</v>
      </c>
      <c r="EU439" s="725">
        <f t="shared" ref="EU439:EV442" si="448">EU434*EU$411</f>
        <v>1246.6597420045621</v>
      </c>
      <c r="EV439" s="469">
        <f t="shared" si="448"/>
        <v>1191.3631905841094</v>
      </c>
      <c r="EW439" s="469">
        <f>EX439-EV439</f>
        <v>84.6764436805895</v>
      </c>
      <c r="EX439" s="725">
        <f t="shared" ref="EX439:EY442" si="449">EX434*EX$411</f>
        <v>1276.0396342646989</v>
      </c>
      <c r="EY439" s="469">
        <f t="shared" si="449"/>
        <v>1223.0528863016327</v>
      </c>
      <c r="EZ439" s="469">
        <f>FA439-EY439</f>
        <v>83.248036991007439</v>
      </c>
      <c r="FA439" s="24">
        <f>FA434*FA$411</f>
        <v>1306.3009232926402</v>
      </c>
    </row>
    <row r="440" spans="1:184" s="11" customFormat="1" ht="12.75" hidden="1" outlineLevel="1">
      <c r="A440" s="22"/>
      <c r="B440" s="11" t="s">
        <v>843</v>
      </c>
      <c r="C440" s="177"/>
      <c r="D440" s="16" t="s">
        <v>357</v>
      </c>
      <c r="CW440" s="10"/>
      <c r="CX440" s="10"/>
      <c r="CY440" s="10"/>
      <c r="CZ440" s="469"/>
      <c r="DA440" s="469"/>
      <c r="DB440" s="477"/>
      <c r="DC440" s="469"/>
      <c r="DD440" s="469"/>
      <c r="DE440" s="822"/>
      <c r="DF440" s="469"/>
      <c r="DG440" s="469"/>
      <c r="DH440" s="822"/>
      <c r="DI440" s="469">
        <f>DI435*DI$411</f>
        <v>299.20800000000003</v>
      </c>
      <c r="DJ440" s="469">
        <f>+DK440-DI440</f>
        <v>65.876999999999953</v>
      </c>
      <c r="DK440" s="725">
        <f t="shared" si="436"/>
        <v>365.08499999999998</v>
      </c>
      <c r="DL440" s="469">
        <f t="shared" si="436"/>
        <v>488.65</v>
      </c>
      <c r="DM440" s="469">
        <f>+DN440-DL440</f>
        <v>41.630000000000109</v>
      </c>
      <c r="DN440" s="725">
        <f t="shared" si="437"/>
        <v>530.28000000000009</v>
      </c>
      <c r="DO440" s="469">
        <f t="shared" si="437"/>
        <v>504.02</v>
      </c>
      <c r="DP440" s="469">
        <f>DQ440-DO440</f>
        <v>44.350000000000023</v>
      </c>
      <c r="DQ440" s="725">
        <f t="shared" si="438"/>
        <v>548.37</v>
      </c>
      <c r="DR440" s="469">
        <f t="shared" si="438"/>
        <v>523.16</v>
      </c>
      <c r="DS440" s="469">
        <f>DT440-DR440</f>
        <v>51.400000000000091</v>
      </c>
      <c r="DT440" s="725">
        <f t="shared" si="439"/>
        <v>574.56000000000006</v>
      </c>
      <c r="DU440" s="469">
        <f t="shared" si="439"/>
        <v>481.68999999999994</v>
      </c>
      <c r="DV440" s="469">
        <f>DW440-DU440</f>
        <v>103.13000000000011</v>
      </c>
      <c r="DW440" s="725">
        <f t="shared" si="440"/>
        <v>584.82000000000005</v>
      </c>
      <c r="DX440" s="469">
        <f t="shared" si="440"/>
        <v>477.34</v>
      </c>
      <c r="DY440" s="469">
        <f>DZ440-DX440</f>
        <v>64.63810844898984</v>
      </c>
      <c r="DZ440" s="725">
        <f t="shared" si="441"/>
        <v>541.97810844898981</v>
      </c>
      <c r="EA440" s="469">
        <f t="shared" si="441"/>
        <v>469.05861499999992</v>
      </c>
      <c r="EB440" s="469">
        <f>EC440-EA440</f>
        <v>64.654066090855054</v>
      </c>
      <c r="EC440" s="725">
        <f t="shared" si="442"/>
        <v>533.71268109085497</v>
      </c>
      <c r="ED440" s="469">
        <f t="shared" si="442"/>
        <v>465.97885167049998</v>
      </c>
      <c r="EE440" s="469">
        <f>EF440-ED440</f>
        <v>64.732475609531036</v>
      </c>
      <c r="EF440" s="725">
        <f t="shared" si="443"/>
        <v>530.71132728003101</v>
      </c>
      <c r="EG440" s="469">
        <f t="shared" si="443"/>
        <v>474.07462870390992</v>
      </c>
      <c r="EH440" s="469">
        <f>EI440-EG440</f>
        <v>64.718325121721648</v>
      </c>
      <c r="EI440" s="725">
        <f t="shared" si="444"/>
        <v>538.79295382563157</v>
      </c>
      <c r="EJ440" s="469">
        <f t="shared" si="444"/>
        <v>486.46116756502727</v>
      </c>
      <c r="EK440" s="469">
        <f>EL440-EJ440</f>
        <v>64.696674875373333</v>
      </c>
      <c r="EL440" s="725">
        <f t="shared" si="445"/>
        <v>551.1578424404006</v>
      </c>
      <c r="EM440" s="469">
        <f t="shared" si="445"/>
        <v>499.21930259197808</v>
      </c>
      <c r="EN440" s="469">
        <f>EO440-EM440</f>
        <v>64.674375121634455</v>
      </c>
      <c r="EO440" s="725">
        <f t="shared" si="446"/>
        <v>563.89367771361253</v>
      </c>
      <c r="EP440" s="469">
        <f t="shared" si="446"/>
        <v>512.36018166973747</v>
      </c>
      <c r="EQ440" s="469">
        <f>ER440-EP440</f>
        <v>64.6514063752835</v>
      </c>
      <c r="ER440" s="725">
        <f t="shared" si="447"/>
        <v>577.01158804502097</v>
      </c>
      <c r="ES440" s="469">
        <f t="shared" si="447"/>
        <v>525.89528711982962</v>
      </c>
      <c r="ET440" s="469">
        <f>EU440-ES440</f>
        <v>64.627748566541982</v>
      </c>
      <c r="EU440" s="725">
        <f t="shared" si="448"/>
        <v>590.5230356863716</v>
      </c>
      <c r="EV440" s="469">
        <f t="shared" si="448"/>
        <v>539.83644573342451</v>
      </c>
      <c r="EW440" s="469">
        <f>EX440-EV440</f>
        <v>64.603381023538191</v>
      </c>
      <c r="EX440" s="725">
        <f t="shared" si="449"/>
        <v>604.4398267569627</v>
      </c>
      <c r="EY440" s="469">
        <f t="shared" si="449"/>
        <v>554.19583910542724</v>
      </c>
      <c r="EZ440" s="469">
        <f>FA440-EY440</f>
        <v>64.578282454244459</v>
      </c>
      <c r="FA440" s="24">
        <f>FA435*FA$411</f>
        <v>618.7741215596717</v>
      </c>
    </row>
    <row r="441" spans="1:184" s="11" customFormat="1" ht="12.75" hidden="1" outlineLevel="1">
      <c r="A441" s="22"/>
      <c r="B441" s="11" t="s">
        <v>844</v>
      </c>
      <c r="C441" s="177"/>
      <c r="D441" s="16" t="s">
        <v>357</v>
      </c>
      <c r="CW441" s="10"/>
      <c r="CX441" s="10"/>
      <c r="CY441" s="10"/>
      <c r="CZ441" s="469"/>
      <c r="DA441" s="469"/>
      <c r="DB441" s="477"/>
      <c r="DC441" s="469"/>
      <c r="DD441" s="469"/>
      <c r="DE441" s="822"/>
      <c r="DF441" s="469"/>
      <c r="DG441" s="469"/>
      <c r="DH441" s="822"/>
      <c r="DI441" s="469">
        <f>DI436*DI$411</f>
        <v>85.488000000000014</v>
      </c>
      <c r="DJ441" s="469">
        <f>+DK441-DI441</f>
        <v>175.28699999999998</v>
      </c>
      <c r="DK441" s="725">
        <f t="shared" si="436"/>
        <v>260.77499999999998</v>
      </c>
      <c r="DL441" s="469">
        <f t="shared" si="436"/>
        <v>84.25</v>
      </c>
      <c r="DM441" s="469">
        <f>+DN441-DL441</f>
        <v>171.07000000000002</v>
      </c>
      <c r="DN441" s="725">
        <f t="shared" si="437"/>
        <v>255.32000000000002</v>
      </c>
      <c r="DO441" s="469">
        <f t="shared" si="437"/>
        <v>86.9</v>
      </c>
      <c r="DP441" s="469">
        <f>DQ441-DO441</f>
        <v>177.13000000000002</v>
      </c>
      <c r="DQ441" s="725">
        <f t="shared" si="438"/>
        <v>264.03000000000003</v>
      </c>
      <c r="DR441" s="469">
        <f t="shared" si="438"/>
        <v>90.2</v>
      </c>
      <c r="DS441" s="469">
        <f>DT441-DR441</f>
        <v>186.44</v>
      </c>
      <c r="DT441" s="725">
        <f t="shared" si="439"/>
        <v>276.64</v>
      </c>
      <c r="DU441" s="469">
        <f t="shared" si="439"/>
        <v>83.050000000000011</v>
      </c>
      <c r="DV441" s="469">
        <f>DW441-DU441</f>
        <v>198.52999999999997</v>
      </c>
      <c r="DW441" s="725">
        <f t="shared" si="440"/>
        <v>281.58</v>
      </c>
      <c r="DX441" s="469">
        <f t="shared" si="440"/>
        <v>82.300000000000011</v>
      </c>
      <c r="DY441" s="469">
        <f>DZ441-DX441</f>
        <v>178.65242258655064</v>
      </c>
      <c r="DZ441" s="725">
        <f t="shared" si="441"/>
        <v>260.95242258655065</v>
      </c>
      <c r="EA441" s="469">
        <f t="shared" si="441"/>
        <v>80.872174999999999</v>
      </c>
      <c r="EB441" s="469">
        <f>EC441-EA441</f>
        <v>176.10059737707829</v>
      </c>
      <c r="EC441" s="725">
        <f t="shared" si="442"/>
        <v>256.97277237707829</v>
      </c>
      <c r="ED441" s="469">
        <f t="shared" si="442"/>
        <v>80.341181322500006</v>
      </c>
      <c r="EE441" s="469">
        <f>EF441-ED441</f>
        <v>175.18649477529272</v>
      </c>
      <c r="EF441" s="725">
        <f t="shared" si="443"/>
        <v>255.52767609779272</v>
      </c>
      <c r="EG441" s="469">
        <f t="shared" si="443"/>
        <v>81.737004948950002</v>
      </c>
      <c r="EH441" s="469">
        <f>EI441-EG441</f>
        <v>177.68182467079851</v>
      </c>
      <c r="EI441" s="725">
        <f t="shared" si="444"/>
        <v>259.41882961974852</v>
      </c>
      <c r="EJ441" s="469">
        <f t="shared" si="444"/>
        <v>83.872615097418503</v>
      </c>
      <c r="EK441" s="469">
        <f>EL441-EJ441</f>
        <v>181.49967941092248</v>
      </c>
      <c r="EL441" s="725">
        <f t="shared" si="445"/>
        <v>265.37229450834099</v>
      </c>
      <c r="EM441" s="469">
        <f t="shared" si="445"/>
        <v>86.072293550341058</v>
      </c>
      <c r="EN441" s="469">
        <f>EO441-EM441</f>
        <v>185.43206979325021</v>
      </c>
      <c r="EO441" s="725">
        <f t="shared" si="446"/>
        <v>271.50436334359125</v>
      </c>
      <c r="EP441" s="469">
        <f t="shared" si="446"/>
        <v>88.337962356851293</v>
      </c>
      <c r="EQ441" s="469">
        <f>ER441-EP441</f>
        <v>189.48243188704771</v>
      </c>
      <c r="ER441" s="725">
        <f t="shared" si="447"/>
        <v>277.82039424389899</v>
      </c>
      <c r="ES441" s="469">
        <f t="shared" si="447"/>
        <v>90.671601227556835</v>
      </c>
      <c r="ET441" s="469">
        <f>EU441-ES441</f>
        <v>193.65430484365908</v>
      </c>
      <c r="EU441" s="725">
        <f t="shared" si="448"/>
        <v>284.32590607121591</v>
      </c>
      <c r="EV441" s="469">
        <f t="shared" si="448"/>
        <v>93.075249264383544</v>
      </c>
      <c r="EW441" s="469">
        <f>EX441-EV441</f>
        <v>197.95133398896888</v>
      </c>
      <c r="EX441" s="725">
        <f t="shared" si="449"/>
        <v>291.02658325335244</v>
      </c>
      <c r="EY441" s="469">
        <f t="shared" si="449"/>
        <v>95.551006742315053</v>
      </c>
      <c r="EZ441" s="469">
        <f>FA441-EY441</f>
        <v>202.37727400863798</v>
      </c>
      <c r="FA441" s="24">
        <f>FA436*FA$411</f>
        <v>297.92828075095304</v>
      </c>
    </row>
    <row r="442" spans="1:184" s="11" customFormat="1" ht="12.75" hidden="1" outlineLevel="1">
      <c r="A442" s="22"/>
      <c r="B442" s="11" t="s">
        <v>845</v>
      </c>
      <c r="C442" s="177"/>
      <c r="D442" s="16" t="s">
        <v>357</v>
      </c>
      <c r="CW442" s="10"/>
      <c r="CX442" s="10"/>
      <c r="CY442" s="10"/>
      <c r="CZ442" s="469"/>
      <c r="DA442" s="469"/>
      <c r="DB442" s="477"/>
      <c r="DC442" s="469"/>
      <c r="DD442" s="469"/>
      <c r="DE442" s="822"/>
      <c r="DF442" s="469"/>
      <c r="DG442" s="469"/>
      <c r="DH442" s="822"/>
      <c r="DI442" s="469">
        <f>DI437*DI$411</f>
        <v>14.248000000000015</v>
      </c>
      <c r="DJ442" s="469">
        <f>+DK442-DI442</f>
        <v>37.907000000000025</v>
      </c>
      <c r="DK442" s="725">
        <f t="shared" si="436"/>
        <v>52.155000000000044</v>
      </c>
      <c r="DL442" s="469">
        <f t="shared" si="436"/>
        <v>33.700000000000031</v>
      </c>
      <c r="DM442" s="469">
        <f>+DN442-DL442</f>
        <v>25.22000000000002</v>
      </c>
      <c r="DN442" s="725">
        <f t="shared" si="437"/>
        <v>58.920000000000051</v>
      </c>
      <c r="DO442" s="469">
        <f t="shared" si="437"/>
        <v>34.760000000000034</v>
      </c>
      <c r="DP442" s="469">
        <f>DQ442-DO442</f>
        <v>26.170000000000023</v>
      </c>
      <c r="DQ442" s="725">
        <f t="shared" si="438"/>
        <v>60.930000000000057</v>
      </c>
      <c r="DR442" s="469">
        <f t="shared" si="438"/>
        <v>36.080000000000034</v>
      </c>
      <c r="DS442" s="469">
        <f>DT442-DR442</f>
        <v>27.760000000000026</v>
      </c>
      <c r="DT442" s="725">
        <f t="shared" si="439"/>
        <v>63.84000000000006</v>
      </c>
      <c r="DU442" s="469">
        <f t="shared" si="439"/>
        <v>33.220000000000027</v>
      </c>
      <c r="DV442" s="469">
        <f>DW442-DU442</f>
        <v>31.760000000000034</v>
      </c>
      <c r="DW442" s="725">
        <f t="shared" si="440"/>
        <v>64.980000000000061</v>
      </c>
      <c r="DX442" s="469">
        <f t="shared" si="440"/>
        <v>32.92000000000003</v>
      </c>
      <c r="DY442" s="469">
        <f>DZ442-DX442</f>
        <v>27.299789827665556</v>
      </c>
      <c r="DZ442" s="725">
        <f t="shared" si="441"/>
        <v>60.219789827665586</v>
      </c>
      <c r="EA442" s="469">
        <f t="shared" si="441"/>
        <v>32.348870000000026</v>
      </c>
      <c r="EB442" s="469">
        <f>EC442-EA442</f>
        <v>26.952539010095016</v>
      </c>
      <c r="EC442" s="725">
        <f t="shared" si="442"/>
        <v>59.301409010095043</v>
      </c>
      <c r="ED442" s="469">
        <f t="shared" si="442"/>
        <v>32.136472529000031</v>
      </c>
      <c r="EE442" s="469">
        <f>EF442-ED442</f>
        <v>26.831452724336799</v>
      </c>
      <c r="EF442" s="725">
        <f t="shared" si="443"/>
        <v>58.96792525333683</v>
      </c>
      <c r="EG442" s="469">
        <f t="shared" si="443"/>
        <v>32.694801979580028</v>
      </c>
      <c r="EH442" s="469">
        <f>EI442-EG442</f>
        <v>27.171081778823527</v>
      </c>
      <c r="EI442" s="725">
        <f t="shared" si="444"/>
        <v>59.865883758403555</v>
      </c>
      <c r="EJ442" s="469">
        <f t="shared" si="444"/>
        <v>33.549046038967425</v>
      </c>
      <c r="EK442" s="469">
        <f>EL442-EJ442</f>
        <v>27.690714232188242</v>
      </c>
      <c r="EL442" s="725">
        <f t="shared" si="445"/>
        <v>61.239760271155667</v>
      </c>
      <c r="EM442" s="469">
        <f t="shared" si="445"/>
        <v>34.42891742013645</v>
      </c>
      <c r="EN442" s="469">
        <f>EO442-EM442</f>
        <v>28.22593565915389</v>
      </c>
      <c r="EO442" s="725">
        <f t="shared" si="446"/>
        <v>62.654853079290341</v>
      </c>
      <c r="EP442" s="469">
        <f t="shared" si="446"/>
        <v>35.335184942740547</v>
      </c>
      <c r="EQ442" s="469">
        <f>ER442-EP442</f>
        <v>28.777213728928508</v>
      </c>
      <c r="ER442" s="725">
        <f t="shared" si="447"/>
        <v>64.112398671669055</v>
      </c>
      <c r="ES442" s="469">
        <f t="shared" si="447"/>
        <v>36.268640491022765</v>
      </c>
      <c r="ET442" s="469">
        <f>EU442-ES442</f>
        <v>29.345030140796354</v>
      </c>
      <c r="EU442" s="725">
        <f t="shared" si="448"/>
        <v>65.613670631819119</v>
      </c>
      <c r="EV442" s="469">
        <f t="shared" si="448"/>
        <v>37.230099705753446</v>
      </c>
      <c r="EW442" s="469">
        <f>EX442-EV442</f>
        <v>29.929881045020252</v>
      </c>
      <c r="EX442" s="725">
        <f t="shared" si="449"/>
        <v>67.159980750773698</v>
      </c>
      <c r="EY442" s="469">
        <f t="shared" si="449"/>
        <v>38.220402696926058</v>
      </c>
      <c r="EZ442" s="469">
        <f>FA442-EY442</f>
        <v>30.532277476370851</v>
      </c>
      <c r="FA442" s="24">
        <f>FA437*FA$411</f>
        <v>68.752680173296909</v>
      </c>
    </row>
    <row r="443" spans="1:184" s="11" customFormat="1" ht="12.75" collapsed="1">
      <c r="A443" s="22"/>
      <c r="C443" s="177"/>
      <c r="D443" s="16"/>
      <c r="CW443" s="10"/>
      <c r="CX443" s="10"/>
      <c r="CY443" s="10"/>
      <c r="CZ443" s="469"/>
      <c r="DA443" s="469"/>
      <c r="DB443" s="477"/>
      <c r="DC443" s="469"/>
      <c r="DD443" s="469"/>
      <c r="DE443" s="822"/>
      <c r="DF443" s="469"/>
      <c r="DG443" s="469"/>
      <c r="DH443" s="822"/>
      <c r="DI443" s="469"/>
      <c r="DJ443" s="469"/>
      <c r="DK443" s="729"/>
      <c r="DL443" s="469"/>
      <c r="DM443" s="469"/>
      <c r="DN443" s="729"/>
      <c r="DO443" s="469"/>
      <c r="DP443" s="469"/>
      <c r="DQ443" s="729"/>
      <c r="DR443" s="469"/>
      <c r="DS443" s="469"/>
      <c r="DT443" s="729"/>
      <c r="DU443" s="469"/>
      <c r="DV443" s="469"/>
      <c r="DW443" s="729"/>
      <c r="DX443" s="469"/>
      <c r="DY443" s="469"/>
      <c r="DZ443" s="729"/>
      <c r="EA443" s="469"/>
      <c r="EB443" s="469"/>
      <c r="EC443" s="729"/>
      <c r="ED443" s="469"/>
      <c r="EE443" s="469"/>
      <c r="EF443" s="729"/>
      <c r="EG443" s="469"/>
      <c r="EH443" s="469"/>
      <c r="EI443" s="729"/>
      <c r="EJ443" s="469"/>
      <c r="EK443" s="469"/>
      <c r="EL443" s="729"/>
      <c r="EM443" s="469"/>
      <c r="EN443" s="469"/>
      <c r="EO443" s="729"/>
      <c r="EP443" s="469"/>
      <c r="EQ443" s="469"/>
      <c r="ER443" s="729"/>
      <c r="ES443" s="469"/>
      <c r="ET443" s="469"/>
      <c r="EU443" s="729"/>
      <c r="EV443" s="469"/>
      <c r="EW443" s="469"/>
      <c r="EX443" s="729"/>
      <c r="EY443" s="469"/>
      <c r="EZ443" s="469"/>
      <c r="FA443" s="23"/>
    </row>
    <row r="444" spans="1:184" ht="13.35" customHeight="1">
      <c r="A444" s="1016"/>
      <c r="B444" s="173" t="s">
        <v>772</v>
      </c>
      <c r="C444" s="173"/>
      <c r="D444" s="174"/>
      <c r="E444" s="175"/>
      <c r="F444" s="175"/>
      <c r="G444" s="175"/>
      <c r="H444" s="175"/>
      <c r="I444" s="175"/>
      <c r="J444" s="175"/>
      <c r="K444" s="175"/>
      <c r="L444" s="175"/>
      <c r="M444" s="175"/>
      <c r="N444" s="175"/>
      <c r="O444" s="175"/>
      <c r="P444" s="175"/>
      <c r="Q444" s="175"/>
      <c r="R444" s="175"/>
      <c r="S444" s="175"/>
      <c r="T444" s="175"/>
      <c r="U444" s="175"/>
      <c r="V444" s="175"/>
      <c r="W444" s="175"/>
      <c r="X444" s="175"/>
      <c r="Y444" s="175"/>
      <c r="Z444" s="175"/>
      <c r="AA444" s="175"/>
      <c r="AB444" s="175"/>
      <c r="AC444" s="175"/>
      <c r="AD444" s="175"/>
      <c r="AE444" s="175"/>
      <c r="AF444" s="175"/>
      <c r="AG444" s="175"/>
      <c r="AH444" s="175"/>
      <c r="AI444" s="175"/>
      <c r="AJ444" s="175"/>
      <c r="AK444" s="175"/>
      <c r="AL444" s="175"/>
      <c r="AM444" s="175"/>
      <c r="AN444" s="175"/>
      <c r="AO444" s="175"/>
      <c r="AP444" s="175"/>
      <c r="AQ444" s="175"/>
      <c r="AR444" s="175"/>
      <c r="AS444" s="175"/>
      <c r="AT444" s="175"/>
      <c r="AU444" s="175"/>
      <c r="AV444" s="175"/>
      <c r="AW444" s="175"/>
      <c r="AX444" s="175"/>
      <c r="AY444" s="175"/>
      <c r="AZ444" s="175"/>
      <c r="BA444" s="175"/>
      <c r="BB444" s="175"/>
      <c r="BC444" s="175"/>
      <c r="BD444" s="175"/>
      <c r="BE444" s="175"/>
      <c r="BF444" s="175"/>
      <c r="BG444" s="175"/>
      <c r="BH444" s="175"/>
      <c r="BI444" s="175"/>
      <c r="BJ444" s="175"/>
      <c r="BK444" s="175"/>
      <c r="BL444" s="175"/>
      <c r="BM444" s="175"/>
      <c r="BN444" s="175"/>
      <c r="BO444" s="175"/>
      <c r="BP444" s="175"/>
      <c r="BQ444" s="175"/>
      <c r="BR444" s="175"/>
      <c r="BS444" s="175"/>
      <c r="BT444" s="175"/>
      <c r="BU444" s="175"/>
      <c r="BV444" s="175"/>
      <c r="BW444" s="175"/>
      <c r="BX444" s="175"/>
      <c r="BY444" s="175"/>
      <c r="BZ444" s="175"/>
      <c r="CA444" s="175"/>
      <c r="CB444" s="175"/>
      <c r="CC444" s="175"/>
      <c r="CD444" s="175"/>
      <c r="CE444" s="175"/>
      <c r="CF444" s="175"/>
      <c r="CG444" s="175"/>
      <c r="CH444" s="175"/>
      <c r="CI444" s="175"/>
      <c r="CJ444" s="175"/>
      <c r="CK444" s="175"/>
      <c r="CL444" s="175"/>
      <c r="CM444" s="175"/>
      <c r="CN444" s="175"/>
      <c r="CO444" s="175"/>
      <c r="CP444" s="175"/>
      <c r="CQ444" s="175"/>
      <c r="CR444" s="175"/>
      <c r="CS444" s="175"/>
      <c r="CT444" s="175"/>
      <c r="CU444" s="175"/>
      <c r="CV444" s="175"/>
      <c r="CW444" s="175"/>
      <c r="CX444" s="175"/>
      <c r="CY444" s="222"/>
      <c r="CZ444" s="222"/>
      <c r="DA444" s="222"/>
      <c r="DB444" s="222"/>
      <c r="DC444" s="222"/>
      <c r="DD444" s="222"/>
      <c r="DE444" s="682"/>
      <c r="DF444" s="222"/>
      <c r="DG444" s="222"/>
      <c r="DH444" s="682"/>
      <c r="DI444" s="222" t="str">
        <f t="shared" ref="DI444:FA444" si="450">DI5</f>
        <v>1h21</v>
      </c>
      <c r="DJ444" s="222" t="str">
        <f t="shared" si="450"/>
        <v>2h21</v>
      </c>
      <c r="DK444" s="682" t="str">
        <f t="shared" si="450"/>
        <v>2021</v>
      </c>
      <c r="DL444" s="222" t="str">
        <f t="shared" si="450"/>
        <v>1h22</v>
      </c>
      <c r="DM444" s="222" t="str">
        <f t="shared" si="450"/>
        <v>2h22</v>
      </c>
      <c r="DN444" s="682" t="str">
        <f t="shared" si="450"/>
        <v>2022</v>
      </c>
      <c r="DO444" s="222" t="str">
        <f t="shared" si="450"/>
        <v>1h23</v>
      </c>
      <c r="DP444" s="222" t="str">
        <f t="shared" si="450"/>
        <v>2h23</v>
      </c>
      <c r="DQ444" s="682" t="str">
        <f t="shared" si="450"/>
        <v>2023</v>
      </c>
      <c r="DR444" s="222" t="str">
        <f t="shared" si="450"/>
        <v>1h24</v>
      </c>
      <c r="DS444" s="222" t="str">
        <f t="shared" si="450"/>
        <v>2h24</v>
      </c>
      <c r="DT444" s="682" t="str">
        <f t="shared" si="450"/>
        <v>2024</v>
      </c>
      <c r="DU444" s="222" t="str">
        <f t="shared" si="450"/>
        <v>1h25</v>
      </c>
      <c r="DV444" s="222" t="str">
        <f t="shared" si="450"/>
        <v>2h25</v>
      </c>
      <c r="DW444" s="682" t="str">
        <f t="shared" si="450"/>
        <v>2025</v>
      </c>
      <c r="DX444" s="222" t="str">
        <f t="shared" ref="DX444" si="451">DX5</f>
        <v>1h26</v>
      </c>
      <c r="DY444" s="222" t="str">
        <f t="shared" si="450"/>
        <v>2h26E</v>
      </c>
      <c r="DZ444" s="682" t="str">
        <f t="shared" si="450"/>
        <v>2026E</v>
      </c>
      <c r="EA444" s="222" t="str">
        <f t="shared" si="450"/>
        <v>1h27E</v>
      </c>
      <c r="EB444" s="222" t="str">
        <f t="shared" si="450"/>
        <v>2h27E</v>
      </c>
      <c r="EC444" s="682" t="str">
        <f t="shared" si="450"/>
        <v>2027E</v>
      </c>
      <c r="ED444" s="222" t="str">
        <f t="shared" si="450"/>
        <v>1h28E</v>
      </c>
      <c r="EE444" s="222" t="str">
        <f t="shared" si="450"/>
        <v>2h28E</v>
      </c>
      <c r="EF444" s="682" t="str">
        <f t="shared" si="450"/>
        <v>2028E</v>
      </c>
      <c r="EG444" s="222" t="str">
        <f t="shared" si="450"/>
        <v>1h29E</v>
      </c>
      <c r="EH444" s="222" t="str">
        <f t="shared" si="450"/>
        <v>2h29E</v>
      </c>
      <c r="EI444" s="682" t="str">
        <f t="shared" si="450"/>
        <v>2029E</v>
      </c>
      <c r="EJ444" s="222" t="str">
        <f t="shared" si="450"/>
        <v>1h30E</v>
      </c>
      <c r="EK444" s="222" t="str">
        <f t="shared" si="450"/>
        <v>2h30E</v>
      </c>
      <c r="EL444" s="682" t="str">
        <f t="shared" si="450"/>
        <v>2030E</v>
      </c>
      <c r="EM444" s="222" t="str">
        <f t="shared" si="450"/>
        <v>1h31E</v>
      </c>
      <c r="EN444" s="222" t="str">
        <f t="shared" si="450"/>
        <v>2h31E</v>
      </c>
      <c r="EO444" s="682" t="str">
        <f t="shared" si="450"/>
        <v>2031E</v>
      </c>
      <c r="EP444" s="222" t="str">
        <f t="shared" si="450"/>
        <v>1h32E</v>
      </c>
      <c r="EQ444" s="222" t="str">
        <f t="shared" si="450"/>
        <v>2h32E</v>
      </c>
      <c r="ER444" s="682" t="str">
        <f t="shared" si="450"/>
        <v>2032E</v>
      </c>
      <c r="ES444" s="222" t="str">
        <f t="shared" si="450"/>
        <v>1h33E</v>
      </c>
      <c r="ET444" s="222" t="str">
        <f t="shared" si="450"/>
        <v>2h33E</v>
      </c>
      <c r="EU444" s="682" t="str">
        <f t="shared" si="450"/>
        <v>2033E</v>
      </c>
      <c r="EV444" s="222" t="str">
        <f t="shared" si="450"/>
        <v>1h34E</v>
      </c>
      <c r="EW444" s="222" t="str">
        <f t="shared" si="450"/>
        <v>2h34E</v>
      </c>
      <c r="EX444" s="682" t="str">
        <f t="shared" si="450"/>
        <v>2034E</v>
      </c>
      <c r="EY444" s="222" t="str">
        <f t="shared" si="450"/>
        <v>1h35E</v>
      </c>
      <c r="EZ444" s="222" t="str">
        <f t="shared" si="450"/>
        <v>2h35E</v>
      </c>
      <c r="FA444" s="222" t="str">
        <f t="shared" si="450"/>
        <v>2035E</v>
      </c>
    </row>
    <row r="445" spans="1:184" s="384" customFormat="1" ht="13.35" customHeight="1">
      <c r="A445" s="989"/>
      <c r="B445" s="482" t="s">
        <v>481</v>
      </c>
      <c r="C445" s="4"/>
      <c r="D445" s="178" t="s">
        <v>357</v>
      </c>
      <c r="E445" s="278"/>
      <c r="F445" s="278"/>
      <c r="G445" s="279"/>
      <c r="H445" s="278"/>
      <c r="I445" s="278"/>
      <c r="J445" s="279"/>
      <c r="K445" s="278"/>
      <c r="L445" s="278"/>
      <c r="M445" s="279"/>
      <c r="N445" s="278"/>
      <c r="O445" s="278"/>
      <c r="P445" s="279"/>
      <c r="Q445" s="278"/>
      <c r="R445" s="278"/>
      <c r="S445" s="279"/>
      <c r="T445" s="278"/>
      <c r="U445" s="278"/>
      <c r="V445" s="279"/>
      <c r="W445" s="278"/>
      <c r="X445" s="278"/>
      <c r="Y445" s="279"/>
      <c r="Z445" s="278"/>
      <c r="AA445" s="278"/>
      <c r="AB445" s="279"/>
      <c r="AC445" s="278"/>
      <c r="AD445" s="278"/>
      <c r="AE445" s="279"/>
      <c r="AF445" s="278"/>
      <c r="AG445" s="278"/>
      <c r="AH445" s="279"/>
      <c r="AI445" s="278"/>
      <c r="AJ445" s="278"/>
      <c r="AK445" s="279"/>
      <c r="AL445" s="278"/>
      <c r="AM445" s="278"/>
      <c r="AN445" s="279"/>
      <c r="AO445" s="278"/>
      <c r="AP445" s="278"/>
      <c r="AQ445" s="279"/>
      <c r="AR445" s="278"/>
      <c r="AS445" s="278"/>
      <c r="AT445" s="279"/>
      <c r="AU445" s="278"/>
      <c r="AV445" s="278"/>
      <c r="AW445" s="279"/>
      <c r="AX445" s="278"/>
      <c r="AY445" s="278"/>
      <c r="AZ445" s="279"/>
      <c r="BA445" s="278"/>
      <c r="BB445" s="278"/>
      <c r="BC445" s="279"/>
      <c r="BD445" s="278"/>
      <c r="BE445" s="278"/>
      <c r="BF445" s="279"/>
      <c r="BG445" s="278"/>
      <c r="BH445" s="278"/>
      <c r="BI445" s="279"/>
      <c r="BJ445" s="278"/>
      <c r="BK445" s="278"/>
      <c r="BL445" s="462"/>
      <c r="BM445" s="483"/>
      <c r="BN445" s="483"/>
      <c r="BO445" s="484"/>
      <c r="BP445" s="484"/>
      <c r="BQ445" s="484"/>
      <c r="BR445" s="484"/>
      <c r="BS445" s="484"/>
      <c r="BT445" s="484"/>
      <c r="BU445" s="485"/>
      <c r="BV445" s="486"/>
      <c r="BW445" s="486"/>
      <c r="BX445" s="487"/>
      <c r="BY445" s="486"/>
      <c r="BZ445" s="486"/>
      <c r="CA445" s="487"/>
      <c r="CB445" s="486"/>
      <c r="CC445" s="486"/>
      <c r="CD445" s="487"/>
      <c r="CE445" s="486"/>
      <c r="CF445" s="486"/>
      <c r="CG445" s="487"/>
      <c r="CH445" s="486"/>
      <c r="CI445" s="486"/>
      <c r="CJ445" s="487"/>
      <c r="CK445" s="486"/>
      <c r="CL445" s="486"/>
      <c r="CM445" s="487"/>
      <c r="CN445" s="486"/>
      <c r="CO445" s="486"/>
      <c r="CP445" s="487"/>
      <c r="CQ445" s="486"/>
      <c r="CR445" s="486"/>
      <c r="CS445" s="487"/>
      <c r="CT445" s="486"/>
      <c r="CU445" s="486"/>
      <c r="CV445" s="487"/>
      <c r="CW445" s="486"/>
      <c r="CX445" s="486"/>
      <c r="CY445" s="488"/>
      <c r="CZ445" s="489"/>
      <c r="DA445" s="489"/>
      <c r="DB445" s="488"/>
      <c r="DC445" s="489"/>
      <c r="DD445" s="486"/>
      <c r="DE445" s="783"/>
      <c r="DF445" s="486"/>
      <c r="DG445" s="490"/>
      <c r="DH445" s="783"/>
      <c r="DI445" s="940">
        <f t="shared" ref="DI445:DW445" si="452">+DI411-DI449</f>
        <v>491.50000000000023</v>
      </c>
      <c r="DJ445" s="940">
        <f t="shared" si="452"/>
        <v>251.29999999999984</v>
      </c>
      <c r="DK445" s="828">
        <f t="shared" si="452"/>
        <v>742.8</v>
      </c>
      <c r="DL445" s="940">
        <f t="shared" si="452"/>
        <v>589</v>
      </c>
      <c r="DM445" s="940">
        <f t="shared" si="452"/>
        <v>222.99999999999994</v>
      </c>
      <c r="DN445" s="828">
        <f t="shared" si="452"/>
        <v>812</v>
      </c>
      <c r="DO445" s="940">
        <f t="shared" si="452"/>
        <v>542</v>
      </c>
      <c r="DP445" s="940">
        <f t="shared" si="452"/>
        <v>229.99999999999994</v>
      </c>
      <c r="DQ445" s="828">
        <f t="shared" si="452"/>
        <v>772</v>
      </c>
      <c r="DR445" s="940">
        <f t="shared" si="452"/>
        <v>597</v>
      </c>
      <c r="DS445" s="940">
        <f t="shared" si="452"/>
        <v>213</v>
      </c>
      <c r="DT445" s="828">
        <f t="shared" si="452"/>
        <v>810</v>
      </c>
      <c r="DU445" s="940">
        <f t="shared" si="452"/>
        <v>617</v>
      </c>
      <c r="DV445" s="940">
        <f t="shared" si="452"/>
        <v>292</v>
      </c>
      <c r="DW445" s="828">
        <f t="shared" si="452"/>
        <v>909</v>
      </c>
      <c r="DX445" s="940">
        <f t="shared" ref="DX445" si="453">+DX411-DX449</f>
        <v>653</v>
      </c>
      <c r="DY445" s="645">
        <f>DY446*DY426</f>
        <v>195.60176350922049</v>
      </c>
      <c r="DZ445" s="674">
        <f>SUM(DX445:DY445)</f>
        <v>848.60176350922052</v>
      </c>
      <c r="EA445" s="645">
        <f>EA446*EA426</f>
        <v>641.46846487842538</v>
      </c>
      <c r="EB445" s="645">
        <f>EB446*EB426</f>
        <v>193.64574587412829</v>
      </c>
      <c r="EC445" s="674">
        <f>SUM(EA445:EB445)</f>
        <v>835.11421075255362</v>
      </c>
      <c r="ED445" s="645">
        <f>ED446*ED426</f>
        <v>635.05378022964112</v>
      </c>
      <c r="EE445" s="645">
        <f>EE446*EE426</f>
        <v>191.70928841538702</v>
      </c>
      <c r="EF445" s="674">
        <f>SUM(ED445:EE445)</f>
        <v>826.76306864502817</v>
      </c>
      <c r="EG445" s="645">
        <f>EG446*EG426</f>
        <v>647.75485583423392</v>
      </c>
      <c r="EH445" s="645">
        <f>EH446*EH426</f>
        <v>195.54347418369477</v>
      </c>
      <c r="EI445" s="674">
        <f>SUM(EG445:EH445)</f>
        <v>843.29833001792872</v>
      </c>
      <c r="EJ445" s="645">
        <f>EJ446*EJ426</f>
        <v>667.1875015092611</v>
      </c>
      <c r="EK445" s="645">
        <f>EK446*EK426</f>
        <v>201.40977840920561</v>
      </c>
      <c r="EL445" s="674">
        <f>SUM(EJ445:EK445)</f>
        <v>868.59727991846671</v>
      </c>
      <c r="EM445" s="645">
        <f>EM446*EM426</f>
        <v>687.20312655453893</v>
      </c>
      <c r="EN445" s="645">
        <f>EN446*EN426</f>
        <v>207.45207176148179</v>
      </c>
      <c r="EO445" s="674">
        <f>SUM(EM445:EN445)</f>
        <v>894.65519831602069</v>
      </c>
      <c r="EP445" s="645">
        <f>EP446*EP426</f>
        <v>707.81922035117498</v>
      </c>
      <c r="EQ445" s="645">
        <f>EQ446*EQ426</f>
        <v>213.67563391432623</v>
      </c>
      <c r="ER445" s="674">
        <f>SUM(EP445:EQ445)</f>
        <v>921.4948542655012</v>
      </c>
      <c r="ES445" s="645">
        <f>ES446*ES426</f>
        <v>729.05379696171019</v>
      </c>
      <c r="ET445" s="645">
        <f>ET446*ET426</f>
        <v>220.08590293175604</v>
      </c>
      <c r="EU445" s="674">
        <f>SUM(ES445:ET445)</f>
        <v>949.13969989346629</v>
      </c>
      <c r="EV445" s="645">
        <f>EV446*EV426</f>
        <v>750.92541087056156</v>
      </c>
      <c r="EW445" s="645">
        <f>EW446*EW426</f>
        <v>226.68848001970872</v>
      </c>
      <c r="EX445" s="674">
        <f>SUM(EV445:EW445)</f>
        <v>977.61389089027034</v>
      </c>
      <c r="EY445" s="645">
        <f>EY446*EY426</f>
        <v>773.45317319667845</v>
      </c>
      <c r="EZ445" s="645">
        <f>EZ446*EZ426</f>
        <v>233.48913442029996</v>
      </c>
      <c r="FA445" s="6">
        <f>SUM(EY445:EZ445)</f>
        <v>1006.9423076169784</v>
      </c>
      <c r="FB445" s="11"/>
      <c r="FC445" s="11"/>
      <c r="FD445" s="11"/>
      <c r="FE445" s="11"/>
      <c r="FF445" s="11"/>
      <c r="FG445" s="11"/>
      <c r="FH445" s="11"/>
      <c r="FI445" s="11"/>
      <c r="FJ445" s="11"/>
      <c r="FK445" s="11"/>
      <c r="FL445" s="11"/>
      <c r="FM445" s="11"/>
      <c r="FN445" s="11"/>
      <c r="FO445" s="11"/>
      <c r="FP445" s="11"/>
      <c r="FQ445" s="11"/>
      <c r="FR445" s="11"/>
      <c r="FS445" s="11"/>
      <c r="FT445" s="11"/>
      <c r="FU445" s="11"/>
      <c r="FV445" s="11"/>
      <c r="FW445" s="11"/>
      <c r="FX445" s="11"/>
      <c r="FY445" s="11"/>
      <c r="FZ445" s="11"/>
      <c r="GA445" s="11"/>
      <c r="GB445" s="11"/>
    </row>
    <row r="446" spans="1:184" s="384" customFormat="1" ht="13.35" customHeight="1">
      <c r="A446" s="760"/>
      <c r="B446" s="342"/>
      <c r="C446" s="342" t="s">
        <v>771</v>
      </c>
      <c r="D446" s="178" t="s">
        <v>357</v>
      </c>
      <c r="E446" s="491"/>
      <c r="F446" s="491"/>
      <c r="G446" s="491"/>
      <c r="H446" s="491"/>
      <c r="I446" s="491"/>
      <c r="J446" s="491"/>
      <c r="K446" s="491"/>
      <c r="L446" s="491"/>
      <c r="M446" s="491"/>
      <c r="N446" s="491"/>
      <c r="O446" s="491"/>
      <c r="P446" s="491"/>
      <c r="Q446" s="491"/>
      <c r="R446" s="491"/>
      <c r="S446" s="491"/>
      <c r="T446" s="491"/>
      <c r="U446" s="491"/>
      <c r="V446" s="491"/>
      <c r="W446" s="491"/>
      <c r="X446" s="491"/>
      <c r="Y446" s="491"/>
      <c r="Z446" s="491"/>
      <c r="AA446" s="491"/>
      <c r="AB446" s="491"/>
      <c r="AC446" s="491"/>
      <c r="AD446" s="491"/>
      <c r="AE446" s="491"/>
      <c r="AF446" s="491"/>
      <c r="AG446" s="491"/>
      <c r="AH446" s="491"/>
      <c r="AI446" s="491"/>
      <c r="AJ446" s="491"/>
      <c r="AK446" s="491"/>
      <c r="AL446" s="491"/>
      <c r="AM446" s="491"/>
      <c r="AN446" s="491"/>
      <c r="AO446" s="491"/>
      <c r="AP446" s="491"/>
      <c r="AQ446" s="491"/>
      <c r="AR446" s="491"/>
      <c r="AS446" s="491"/>
      <c r="AT446" s="491"/>
      <c r="AU446" s="491"/>
      <c r="AV446" s="491"/>
      <c r="AW446" s="491"/>
      <c r="AX446" s="491"/>
      <c r="AY446" s="491"/>
      <c r="AZ446" s="491"/>
      <c r="BA446" s="491"/>
      <c r="BB446" s="491"/>
      <c r="BC446" s="491"/>
      <c r="BD446" s="491"/>
      <c r="BE446" s="491"/>
      <c r="BF446" s="491"/>
      <c r="BG446" s="491"/>
      <c r="BH446" s="491"/>
      <c r="BI446" s="491"/>
      <c r="BJ446" s="491"/>
      <c r="BK446" s="491"/>
      <c r="BL446" s="492"/>
      <c r="BM446" s="493"/>
      <c r="BN446" s="493"/>
      <c r="BO446" s="493"/>
      <c r="BP446" s="493"/>
      <c r="BQ446" s="493"/>
      <c r="BR446" s="493"/>
      <c r="BS446" s="493"/>
      <c r="BT446" s="493"/>
      <c r="BU446" s="493"/>
      <c r="BV446" s="486"/>
      <c r="BW446" s="486"/>
      <c r="BX446" s="487"/>
      <c r="BY446" s="486"/>
      <c r="BZ446" s="486"/>
      <c r="CA446" s="487"/>
      <c r="CB446" s="486"/>
      <c r="CC446" s="486"/>
      <c r="CD446" s="487"/>
      <c r="CE446" s="486"/>
      <c r="CF446" s="486"/>
      <c r="CG446" s="487"/>
      <c r="CH446" s="486"/>
      <c r="CI446" s="486"/>
      <c r="CJ446" s="487"/>
      <c r="CK446" s="486"/>
      <c r="CL446" s="486"/>
      <c r="CM446" s="487"/>
      <c r="CN446" s="486"/>
      <c r="CO446" s="486"/>
      <c r="CP446" s="487"/>
      <c r="CQ446" s="486"/>
      <c r="CR446" s="486"/>
      <c r="CS446" s="487"/>
      <c r="CT446" s="486"/>
      <c r="CU446" s="486"/>
      <c r="CV446" s="487"/>
      <c r="CW446" s="486"/>
      <c r="CX446" s="486"/>
      <c r="CY446" s="488"/>
      <c r="CZ446" s="489"/>
      <c r="DA446" s="489"/>
      <c r="DB446" s="488"/>
      <c r="DC446" s="489"/>
      <c r="DD446" s="486"/>
      <c r="DE446" s="783"/>
      <c r="DF446" s="486"/>
      <c r="DG446" s="488"/>
      <c r="DH446" s="783"/>
      <c r="DI446" s="487">
        <v>6.2214048001528157</v>
      </c>
      <c r="DJ446" s="487">
        <v>36.465553825012456</v>
      </c>
      <c r="DK446" s="696">
        <v>8.6171190685756507</v>
      </c>
      <c r="DL446" s="487">
        <f>+DI446*(1+DL447)</f>
        <v>6.4734757490004258</v>
      </c>
      <c r="DM446" s="487">
        <f>+DJ446*(1+DM447)</f>
        <v>22.733180188336569</v>
      </c>
      <c r="DN446" s="696">
        <f>DN445/DN426</f>
        <v>9.0493999111279351</v>
      </c>
      <c r="DO446" s="487">
        <f>+DL446*(1+DO447)</f>
        <v>5.8195626748071678</v>
      </c>
      <c r="DP446" s="487">
        <f>+DM446*(1+DP447)</f>
        <v>39.190711056938149</v>
      </c>
      <c r="DQ446" s="696">
        <f>DQ445/DQ426</f>
        <v>8.3416968210596973</v>
      </c>
      <c r="DR446" s="487">
        <f>+DO446*(1+DR447)</f>
        <v>6.7635318724994278</v>
      </c>
      <c r="DS446" s="487">
        <f>+DP446*(1+DS447)</f>
        <v>50.947924374019593</v>
      </c>
      <c r="DT446" s="696">
        <f>DT445/DT426</f>
        <v>8.709449309041366</v>
      </c>
      <c r="DU446" s="487">
        <f>+DR446*(1+DU447)</f>
        <v>7.4398850597493711</v>
      </c>
      <c r="DV446" s="487">
        <f>+DS446*(1+DV447)</f>
        <v>25.473962187009796</v>
      </c>
      <c r="DW446" s="696">
        <f>DW445/DW426</f>
        <v>11.010007192119065</v>
      </c>
      <c r="DX446" s="487">
        <f>+DU446*(1+DX447)</f>
        <v>8.1838735657243085</v>
      </c>
      <c r="DY446" s="645">
        <f>+DV446*(1+DY447)</f>
        <v>34.389848952463225</v>
      </c>
      <c r="DZ446" s="674">
        <f>DZ445/DZ426</f>
        <v>9.9998411599004076</v>
      </c>
      <c r="EA446" s="645">
        <f>+DX446*(1+EA447)</f>
        <v>8.1838735657243085</v>
      </c>
      <c r="EB446" s="645">
        <f>+DY446*(1+EB447)</f>
        <v>34.389848952463225</v>
      </c>
      <c r="EC446" s="674">
        <f>EC445/EC426</f>
        <v>9.9403082240912255</v>
      </c>
      <c r="ED446" s="645">
        <f>+EA446*(1+ED447)</f>
        <v>8.1838735657243085</v>
      </c>
      <c r="EE446" s="645">
        <f>+EB446*(1+EE447)</f>
        <v>34.389848952463225</v>
      </c>
      <c r="EF446" s="674">
        <f>EF445/EF426</f>
        <v>9.9403082240912255</v>
      </c>
      <c r="EG446" s="645">
        <f>+ED446*(1+EG447)</f>
        <v>8.1838735657243085</v>
      </c>
      <c r="EH446" s="645">
        <f>+EE446*(1+EH447)</f>
        <v>34.389848952463225</v>
      </c>
      <c r="EI446" s="674">
        <f>EI445/EI426</f>
        <v>9.9403082240912255</v>
      </c>
      <c r="EJ446" s="645">
        <f>+EG446*(1+EJ447)</f>
        <v>8.1838735657243085</v>
      </c>
      <c r="EK446" s="645">
        <f>+EH446*(1+EK447)</f>
        <v>34.389848952463225</v>
      </c>
      <c r="EL446" s="674">
        <f>EL445/EL426</f>
        <v>9.9403082240912255</v>
      </c>
      <c r="EM446" s="645">
        <f>+EJ446*(1+EM447)</f>
        <v>8.1838735657243085</v>
      </c>
      <c r="EN446" s="645">
        <f>+EK446*(1+EN447)</f>
        <v>34.389848952463225</v>
      </c>
      <c r="EO446" s="674">
        <f>EO445/EO426</f>
        <v>9.9403082240912255</v>
      </c>
      <c r="EP446" s="645">
        <f>+EM446*(1+EP447)</f>
        <v>8.1838735657243085</v>
      </c>
      <c r="EQ446" s="645">
        <f>+EN446*(1+EQ447)</f>
        <v>34.389848952463225</v>
      </c>
      <c r="ER446" s="674">
        <f>ER445/ER426</f>
        <v>9.9403082240912255</v>
      </c>
      <c r="ES446" s="645">
        <f>+EP446*(1+ES447)</f>
        <v>8.1838735657243085</v>
      </c>
      <c r="ET446" s="645">
        <f>+EQ446*(1+ET447)</f>
        <v>34.389848952463225</v>
      </c>
      <c r="EU446" s="674">
        <f>EU445/EU426</f>
        <v>9.9403082240912255</v>
      </c>
      <c r="EV446" s="645">
        <f>+ES446*(1+EV447)</f>
        <v>8.1838735657243085</v>
      </c>
      <c r="EW446" s="645">
        <f>+ET446*(1+EW447)</f>
        <v>34.389848952463225</v>
      </c>
      <c r="EX446" s="674">
        <f>EX445/EX426</f>
        <v>9.9403082240912255</v>
      </c>
      <c r="EY446" s="645">
        <f>+EV446*(1+EY447)</f>
        <v>8.1838735657243085</v>
      </c>
      <c r="EZ446" s="645">
        <f>+EW446*(1+EZ447)</f>
        <v>34.389848952463225</v>
      </c>
      <c r="FA446" s="776">
        <f>FA445/FA426</f>
        <v>9.9403082240912237</v>
      </c>
      <c r="FB446" s="11"/>
      <c r="FC446" s="11"/>
      <c r="FD446" s="11"/>
      <c r="FE446" s="11"/>
      <c r="FF446" s="11"/>
      <c r="FG446" s="11"/>
      <c r="FH446" s="11"/>
      <c r="FI446" s="11"/>
      <c r="FJ446" s="11"/>
      <c r="FK446" s="11"/>
      <c r="FL446" s="11"/>
      <c r="FM446" s="11"/>
      <c r="FN446" s="11"/>
      <c r="FO446" s="11"/>
      <c r="FP446" s="11"/>
      <c r="FQ446" s="11"/>
      <c r="FR446" s="11"/>
      <c r="FS446" s="11"/>
      <c r="FT446" s="11"/>
      <c r="FU446" s="11"/>
      <c r="FV446" s="11"/>
      <c r="FW446" s="11"/>
      <c r="FX446" s="11"/>
      <c r="FY446" s="11"/>
      <c r="FZ446" s="11"/>
      <c r="GA446" s="11"/>
      <c r="GB446" s="11"/>
    </row>
    <row r="447" spans="1:184" s="384" customFormat="1" ht="13.35" customHeight="1">
      <c r="A447" s="989"/>
      <c r="B447" s="342"/>
      <c r="C447" s="4" t="s">
        <v>350</v>
      </c>
      <c r="D447" s="178" t="s">
        <v>507</v>
      </c>
      <c r="E447" s="278"/>
      <c r="F447" s="278"/>
      <c r="G447" s="279"/>
      <c r="H447" s="278"/>
      <c r="I447" s="278"/>
      <c r="J447" s="279"/>
      <c r="K447" s="278"/>
      <c r="L447" s="278"/>
      <c r="M447" s="279"/>
      <c r="N447" s="278"/>
      <c r="O447" s="278"/>
      <c r="P447" s="279"/>
      <c r="Q447" s="278"/>
      <c r="R447" s="278"/>
      <c r="S447" s="279"/>
      <c r="T447" s="278"/>
      <c r="U447" s="278"/>
      <c r="V447" s="279"/>
      <c r="W447" s="278"/>
      <c r="X447" s="278"/>
      <c r="Y447" s="279"/>
      <c r="Z447" s="278"/>
      <c r="AA447" s="278"/>
      <c r="AB447" s="279"/>
      <c r="AC447" s="278"/>
      <c r="AD447" s="278"/>
      <c r="AE447" s="279"/>
      <c r="AF447" s="278"/>
      <c r="AG447" s="278"/>
      <c r="AH447" s="279"/>
      <c r="AI447" s="278"/>
      <c r="AJ447" s="278"/>
      <c r="AK447" s="279"/>
      <c r="AL447" s="278"/>
      <c r="AM447" s="278"/>
      <c r="AN447" s="279"/>
      <c r="AO447" s="278"/>
      <c r="AP447" s="278"/>
      <c r="AQ447" s="279"/>
      <c r="AR447" s="278"/>
      <c r="AS447" s="278"/>
      <c r="AT447" s="279"/>
      <c r="AU447" s="278"/>
      <c r="AV447" s="278"/>
      <c r="AW447" s="279"/>
      <c r="AX447" s="278"/>
      <c r="AY447" s="278"/>
      <c r="AZ447" s="279"/>
      <c r="BA447" s="278"/>
      <c r="BB447" s="278"/>
      <c r="BC447" s="279"/>
      <c r="BD447" s="278"/>
      <c r="BE447" s="278"/>
      <c r="BF447" s="279"/>
      <c r="BG447" s="278"/>
      <c r="BH447" s="278"/>
      <c r="BI447" s="279"/>
      <c r="BJ447" s="278"/>
      <c r="BK447" s="278"/>
      <c r="BL447" s="462"/>
      <c r="BM447" s="483"/>
      <c r="BN447" s="483"/>
      <c r="BO447" s="484"/>
      <c r="BP447" s="484"/>
      <c r="BQ447" s="484"/>
      <c r="BR447" s="484"/>
      <c r="BS447" s="484"/>
      <c r="BT447" s="484"/>
      <c r="BU447" s="485"/>
      <c r="BV447" s="302"/>
      <c r="BW447" s="302"/>
      <c r="BX447" s="303"/>
      <c r="BY447" s="302"/>
      <c r="BZ447" s="302"/>
      <c r="CA447" s="303"/>
      <c r="CB447" s="302"/>
      <c r="CC447" s="302"/>
      <c r="CD447" s="303"/>
      <c r="CE447" s="302"/>
      <c r="CF447" s="302"/>
      <c r="CG447" s="303"/>
      <c r="CH447" s="302"/>
      <c r="CI447" s="302"/>
      <c r="CJ447" s="303"/>
      <c r="CK447" s="302"/>
      <c r="CL447" s="302"/>
      <c r="CM447" s="303"/>
      <c r="CN447" s="302"/>
      <c r="CO447" s="302"/>
      <c r="CP447" s="303"/>
      <c r="CQ447" s="302"/>
      <c r="CR447" s="302"/>
      <c r="CS447" s="303"/>
      <c r="CT447" s="302"/>
      <c r="CU447" s="302"/>
      <c r="CV447" s="303"/>
      <c r="CW447" s="302"/>
      <c r="CX447" s="302"/>
      <c r="CY447" s="334"/>
      <c r="CZ447" s="333"/>
      <c r="DA447" s="333"/>
      <c r="DB447" s="334"/>
      <c r="DC447" s="494"/>
      <c r="DD447" s="302"/>
      <c r="DE447" s="788"/>
      <c r="DF447" s="495"/>
      <c r="DG447" s="303"/>
      <c r="DH447" s="788"/>
      <c r="DI447" s="774">
        <v>-3.8E-3</v>
      </c>
      <c r="DJ447" s="774">
        <v>0.27996942425554433</v>
      </c>
      <c r="DK447" s="700">
        <v>0.10315902359055529</v>
      </c>
      <c r="DL447" s="774">
        <v>4.051672523244567E-2</v>
      </c>
      <c r="DM447" s="774">
        <v>-0.37658480939501254</v>
      </c>
      <c r="DN447" s="700">
        <f>DN446/DK446-1</f>
        <v>5.0165355626649921E-2</v>
      </c>
      <c r="DO447" s="774">
        <v>-0.10101421547678294</v>
      </c>
      <c r="DP447" s="774">
        <v>0.72394318490666965</v>
      </c>
      <c r="DQ447" s="700">
        <f>DQ446/DN446-1</f>
        <v>-7.8204422063167356E-2</v>
      </c>
      <c r="DR447" s="774">
        <v>0.16220620868621183</v>
      </c>
      <c r="DS447" s="774">
        <v>0.3</v>
      </c>
      <c r="DT447" s="700">
        <f>DT446/DQ446-1</f>
        <v>4.4086052978241863E-2</v>
      </c>
      <c r="DU447" s="774">
        <v>0.1</v>
      </c>
      <c r="DV447" s="774">
        <v>-0.5</v>
      </c>
      <c r="DW447" s="700">
        <f>DW446/DT446-1</f>
        <v>0.26414504539218875</v>
      </c>
      <c r="DX447" s="774">
        <v>0.1</v>
      </c>
      <c r="DY447" s="303">
        <v>0.35</v>
      </c>
      <c r="DZ447" s="700">
        <f>DZ446/DW446-1</f>
        <v>-9.1749806752327245E-2</v>
      </c>
      <c r="EA447" s="1852">
        <v>0</v>
      </c>
      <c r="EB447" s="303">
        <f>+EA447</f>
        <v>0</v>
      </c>
      <c r="EC447" s="700">
        <f>EC446/DZ446-1</f>
        <v>-5.9533881445947845E-3</v>
      </c>
      <c r="ED447" s="303">
        <f>+EB447</f>
        <v>0</v>
      </c>
      <c r="EE447" s="303">
        <f>+ED447</f>
        <v>0</v>
      </c>
      <c r="EF447" s="700">
        <f>EF446/EC446-1</f>
        <v>0</v>
      </c>
      <c r="EG447" s="1852">
        <v>0</v>
      </c>
      <c r="EH447" s="303">
        <f>+EG447</f>
        <v>0</v>
      </c>
      <c r="EI447" s="700">
        <f>EI446/EF446-1</f>
        <v>0</v>
      </c>
      <c r="EJ447" s="303">
        <f>+EH447</f>
        <v>0</v>
      </c>
      <c r="EK447" s="303">
        <f>+EJ447</f>
        <v>0</v>
      </c>
      <c r="EL447" s="700">
        <f>EL446/EI446-1</f>
        <v>0</v>
      </c>
      <c r="EM447" s="303">
        <f>+EK447</f>
        <v>0</v>
      </c>
      <c r="EN447" s="303">
        <f>+EM447</f>
        <v>0</v>
      </c>
      <c r="EO447" s="700">
        <f>EO446/EL446-1</f>
        <v>0</v>
      </c>
      <c r="EP447" s="303">
        <f>+EN447</f>
        <v>0</v>
      </c>
      <c r="EQ447" s="303">
        <f>+EP447</f>
        <v>0</v>
      </c>
      <c r="ER447" s="700">
        <f>ER446/EO446-1</f>
        <v>0</v>
      </c>
      <c r="ES447" s="303">
        <f>+EQ447</f>
        <v>0</v>
      </c>
      <c r="ET447" s="303">
        <f>+ES447</f>
        <v>0</v>
      </c>
      <c r="EU447" s="700">
        <f>EU446/ER446-1</f>
        <v>0</v>
      </c>
      <c r="EV447" s="303">
        <f>+ET447</f>
        <v>0</v>
      </c>
      <c r="EW447" s="303">
        <f>+EV447</f>
        <v>0</v>
      </c>
      <c r="EX447" s="700">
        <f>EX446/EU446-1</f>
        <v>0</v>
      </c>
      <c r="EY447" s="303">
        <f>+EW447</f>
        <v>0</v>
      </c>
      <c r="EZ447" s="303">
        <f>+EY447</f>
        <v>0</v>
      </c>
      <c r="FA447" s="552">
        <f>FA446/EX446-1</f>
        <v>0</v>
      </c>
      <c r="FB447" s="11"/>
      <c r="FC447" s="11"/>
      <c r="FD447" s="11"/>
      <c r="FE447" s="11"/>
      <c r="FF447" s="11"/>
      <c r="FG447" s="11"/>
      <c r="FH447" s="11"/>
      <c r="FI447" s="11"/>
      <c r="FJ447" s="11"/>
      <c r="FK447" s="11"/>
      <c r="FL447" s="11"/>
      <c r="FM447" s="11"/>
      <c r="FN447" s="11"/>
      <c r="FO447" s="11"/>
      <c r="FP447" s="11"/>
      <c r="FQ447" s="11"/>
      <c r="FR447" s="11"/>
      <c r="FS447" s="11"/>
      <c r="FT447" s="11"/>
      <c r="FU447" s="11"/>
      <c r="FV447" s="11"/>
      <c r="FW447" s="11"/>
      <c r="FX447" s="11"/>
      <c r="FY447" s="11"/>
      <c r="FZ447" s="11"/>
      <c r="GA447" s="11"/>
      <c r="GB447" s="11"/>
    </row>
    <row r="448" spans="1:184" s="384" customFormat="1" ht="13.35" customHeight="1">
      <c r="A448" s="989"/>
      <c r="B448" s="342"/>
      <c r="C448" s="4"/>
      <c r="D448" s="178"/>
      <c r="E448" s="278"/>
      <c r="F448" s="278"/>
      <c r="G448" s="279"/>
      <c r="H448" s="278"/>
      <c r="I448" s="278"/>
      <c r="J448" s="279"/>
      <c r="K448" s="278"/>
      <c r="L448" s="278"/>
      <c r="M448" s="279"/>
      <c r="N448" s="278"/>
      <c r="O448" s="278"/>
      <c r="P448" s="279"/>
      <c r="Q448" s="278"/>
      <c r="R448" s="278"/>
      <c r="S448" s="279"/>
      <c r="T448" s="278"/>
      <c r="U448" s="278"/>
      <c r="V448" s="279"/>
      <c r="W448" s="278"/>
      <c r="X448" s="278"/>
      <c r="Y448" s="279"/>
      <c r="Z448" s="278"/>
      <c r="AA448" s="278"/>
      <c r="AB448" s="279"/>
      <c r="AC448" s="278"/>
      <c r="AD448" s="278"/>
      <c r="AE448" s="279"/>
      <c r="AF448" s="278"/>
      <c r="AG448" s="278"/>
      <c r="AH448" s="279"/>
      <c r="AI448" s="278"/>
      <c r="AJ448" s="278"/>
      <c r="AK448" s="279"/>
      <c r="AL448" s="278"/>
      <c r="AM448" s="278"/>
      <c r="AN448" s="279"/>
      <c r="AO448" s="278"/>
      <c r="AP448" s="278"/>
      <c r="AQ448" s="279"/>
      <c r="AR448" s="278"/>
      <c r="AS448" s="278"/>
      <c r="AT448" s="279"/>
      <c r="AU448" s="278"/>
      <c r="AV448" s="278"/>
      <c r="AW448" s="279"/>
      <c r="AX448" s="278"/>
      <c r="AY448" s="278"/>
      <c r="AZ448" s="279"/>
      <c r="BA448" s="278"/>
      <c r="BB448" s="278"/>
      <c r="BC448" s="279"/>
      <c r="BD448" s="278"/>
      <c r="BE448" s="278"/>
      <c r="BF448" s="279"/>
      <c r="BG448" s="278"/>
      <c r="BH448" s="278"/>
      <c r="BI448" s="279"/>
      <c r="BJ448" s="278"/>
      <c r="BK448" s="278"/>
      <c r="BL448" s="462"/>
      <c r="BM448" s="483"/>
      <c r="BN448" s="483"/>
      <c r="BO448" s="484"/>
      <c r="BP448" s="484"/>
      <c r="BQ448" s="484"/>
      <c r="BR448" s="484"/>
      <c r="BS448" s="484"/>
      <c r="BT448" s="484"/>
      <c r="BU448" s="485"/>
      <c r="BV448" s="302"/>
      <c r="BW448" s="302"/>
      <c r="BX448" s="303"/>
      <c r="BY448" s="302"/>
      <c r="BZ448" s="302"/>
      <c r="CA448" s="303"/>
      <c r="CB448" s="302"/>
      <c r="CC448" s="302"/>
      <c r="CD448" s="303"/>
      <c r="CE448" s="302"/>
      <c r="CF448" s="302"/>
      <c r="CG448" s="303"/>
      <c r="CH448" s="302"/>
      <c r="CI448" s="302"/>
      <c r="CJ448" s="303"/>
      <c r="CK448" s="302"/>
      <c r="CL448" s="302"/>
      <c r="CM448" s="303"/>
      <c r="CN448" s="302"/>
      <c r="CO448" s="302"/>
      <c r="CP448" s="303"/>
      <c r="CQ448" s="302"/>
      <c r="CR448" s="302"/>
      <c r="CS448" s="303"/>
      <c r="CT448" s="302"/>
      <c r="CU448" s="302"/>
      <c r="CV448" s="303"/>
      <c r="CW448" s="496"/>
      <c r="CX448" s="496"/>
      <c r="CY448" s="497"/>
      <c r="CZ448" s="333"/>
      <c r="DA448" s="333"/>
      <c r="DB448" s="498"/>
      <c r="DC448" s="333"/>
      <c r="DD448" s="302"/>
      <c r="DE448" s="798"/>
      <c r="DF448" s="302"/>
      <c r="DG448" s="302"/>
      <c r="DH448" s="798"/>
      <c r="DI448" s="302"/>
      <c r="DJ448" s="302"/>
      <c r="DK448" s="730"/>
      <c r="DL448" s="302"/>
      <c r="DM448" s="302"/>
      <c r="DN448" s="700"/>
      <c r="DO448" s="302"/>
      <c r="DP448" s="302"/>
      <c r="DQ448" s="700"/>
      <c r="DR448" s="302"/>
      <c r="DS448" s="302"/>
      <c r="DT448" s="700"/>
      <c r="DU448" s="302"/>
      <c r="DV448" s="302"/>
      <c r="DW448" s="700"/>
      <c r="DX448" s="302"/>
      <c r="DY448" s="302"/>
      <c r="DZ448" s="700"/>
      <c r="EA448" s="302"/>
      <c r="EB448" s="302"/>
      <c r="EC448" s="700"/>
      <c r="ED448" s="302"/>
      <c r="EE448" s="302"/>
      <c r="EF448" s="700"/>
      <c r="EG448" s="302"/>
      <c r="EH448" s="302"/>
      <c r="EI448" s="700"/>
      <c r="EJ448" s="302"/>
      <c r="EK448" s="302"/>
      <c r="EL448" s="700"/>
      <c r="EM448" s="302"/>
      <c r="EN448" s="302"/>
      <c r="EO448" s="700"/>
      <c r="EP448" s="302"/>
      <c r="EQ448" s="302"/>
      <c r="ER448" s="700"/>
      <c r="ES448" s="302"/>
      <c r="ET448" s="302"/>
      <c r="EU448" s="700"/>
      <c r="EV448" s="302"/>
      <c r="EW448" s="302"/>
      <c r="EX448" s="700"/>
      <c r="EY448" s="302"/>
      <c r="EZ448" s="302"/>
      <c r="FA448" s="552"/>
      <c r="FB448" s="11"/>
      <c r="FC448" s="11"/>
      <c r="FD448" s="11"/>
      <c r="FE448" s="11"/>
      <c r="FF448" s="11"/>
      <c r="FG448" s="11"/>
      <c r="FH448" s="11"/>
      <c r="FI448" s="11"/>
      <c r="FJ448" s="11"/>
      <c r="FK448" s="11"/>
      <c r="FL448" s="11"/>
      <c r="FM448" s="11"/>
      <c r="FN448" s="11"/>
      <c r="FO448" s="11"/>
      <c r="FP448" s="11"/>
      <c r="FQ448" s="11"/>
      <c r="FR448" s="11"/>
      <c r="FS448" s="11"/>
      <c r="FT448" s="11"/>
      <c r="FU448" s="11"/>
      <c r="FV448" s="11"/>
      <c r="FW448" s="11"/>
      <c r="FX448" s="11"/>
      <c r="FY448" s="11"/>
      <c r="FZ448" s="11"/>
      <c r="GA448" s="11"/>
      <c r="GB448" s="11"/>
    </row>
    <row r="449" spans="1:184" s="218" customFormat="1" ht="13.35" customHeight="1">
      <c r="A449" s="989"/>
      <c r="B449" s="85" t="s">
        <v>38</v>
      </c>
      <c r="C449" s="4"/>
      <c r="D449" s="178" t="s">
        <v>357</v>
      </c>
      <c r="E449" s="278"/>
      <c r="F449" s="278"/>
      <c r="G449" s="279"/>
      <c r="H449" s="278"/>
      <c r="I449" s="278"/>
      <c r="J449" s="279"/>
      <c r="K449" s="278"/>
      <c r="L449" s="278"/>
      <c r="M449" s="279"/>
      <c r="N449" s="278"/>
      <c r="O449" s="278"/>
      <c r="P449" s="279"/>
      <c r="Q449" s="278"/>
      <c r="R449" s="278"/>
      <c r="S449" s="279"/>
      <c r="T449" s="278"/>
      <c r="U449" s="278"/>
      <c r="V449" s="279"/>
      <c r="W449" s="278"/>
      <c r="X449" s="278"/>
      <c r="Y449" s="279"/>
      <c r="Z449" s="278"/>
      <c r="AA449" s="278"/>
      <c r="AB449" s="279"/>
      <c r="AC449" s="278"/>
      <c r="AD449" s="278"/>
      <c r="AE449" s="279"/>
      <c r="AF449" s="278"/>
      <c r="AG449" s="278"/>
      <c r="AH449" s="279"/>
      <c r="AI449" s="278"/>
      <c r="AJ449" s="278"/>
      <c r="AK449" s="279"/>
      <c r="AL449" s="278"/>
      <c r="AM449" s="278"/>
      <c r="AN449" s="279"/>
      <c r="AO449" s="278"/>
      <c r="AP449" s="278"/>
      <c r="AQ449" s="279"/>
      <c r="AR449" s="278"/>
      <c r="AS449" s="278"/>
      <c r="AT449" s="279"/>
      <c r="AU449" s="278"/>
      <c r="AV449" s="278"/>
      <c r="AW449" s="279"/>
      <c r="AX449" s="278"/>
      <c r="AY449" s="278"/>
      <c r="AZ449" s="279"/>
      <c r="BA449" s="278"/>
      <c r="BB449" s="278"/>
      <c r="BC449" s="279"/>
      <c r="BD449" s="278"/>
      <c r="BE449" s="278"/>
      <c r="BF449" s="279"/>
      <c r="BG449" s="278"/>
      <c r="BH449" s="278"/>
      <c r="BI449" s="279"/>
      <c r="BJ449" s="278"/>
      <c r="BK449" s="278"/>
      <c r="BL449" s="462"/>
      <c r="BM449" s="483"/>
      <c r="BN449" s="483"/>
      <c r="BO449" s="484"/>
      <c r="BP449" s="484"/>
      <c r="BQ449" s="484"/>
      <c r="BR449" s="484"/>
      <c r="BS449" s="484"/>
      <c r="BT449" s="484"/>
      <c r="BU449" s="485"/>
      <c r="BV449" s="486"/>
      <c r="BW449" s="486"/>
      <c r="BX449" s="487"/>
      <c r="BY449" s="486"/>
      <c r="BZ449" s="486"/>
      <c r="CA449" s="487"/>
      <c r="CB449" s="486"/>
      <c r="CC449" s="486"/>
      <c r="CD449" s="487"/>
      <c r="CE449" s="486"/>
      <c r="CF449" s="486"/>
      <c r="CG449" s="487"/>
      <c r="CH449" s="486"/>
      <c r="CI449" s="486"/>
      <c r="CJ449" s="487"/>
      <c r="CK449" s="486"/>
      <c r="CL449" s="486"/>
      <c r="CM449" s="487"/>
      <c r="CN449" s="486"/>
      <c r="CO449" s="486"/>
      <c r="CP449" s="487"/>
      <c r="CQ449" s="486"/>
      <c r="CR449" s="486"/>
      <c r="CS449" s="487"/>
      <c r="CT449" s="486"/>
      <c r="CU449" s="486"/>
      <c r="CV449" s="487"/>
      <c r="CW449" s="486"/>
      <c r="CX449" s="486"/>
      <c r="CY449" s="487"/>
      <c r="CZ449" s="486"/>
      <c r="DA449" s="486"/>
      <c r="DB449" s="487"/>
      <c r="DC449" s="486"/>
      <c r="DD449" s="486"/>
      <c r="DE449" s="783"/>
      <c r="DF449" s="486"/>
      <c r="DG449" s="486"/>
      <c r="DH449" s="783"/>
      <c r="DI449" s="939">
        <v>933.3</v>
      </c>
      <c r="DJ449" s="940">
        <f>+DK449-DI449</f>
        <v>62.400000000000091</v>
      </c>
      <c r="DK449" s="696">
        <v>995.7</v>
      </c>
      <c r="DL449" s="939">
        <v>1096</v>
      </c>
      <c r="DM449" s="940">
        <f>+DN449-DL449</f>
        <v>56</v>
      </c>
      <c r="DN449" s="685">
        <v>1152</v>
      </c>
      <c r="DO449" s="939">
        <v>1196</v>
      </c>
      <c r="DP449" s="940">
        <f>+DQ449-DO449</f>
        <v>63</v>
      </c>
      <c r="DQ449" s="685">
        <v>1259</v>
      </c>
      <c r="DR449" s="939">
        <v>1207</v>
      </c>
      <c r="DS449" s="940">
        <f>+DT449-DR449</f>
        <v>111</v>
      </c>
      <c r="DT449" s="685">
        <v>1318</v>
      </c>
      <c r="DU449" s="939">
        <v>1044</v>
      </c>
      <c r="DV449" s="940">
        <f>+DW449-DU449</f>
        <v>213</v>
      </c>
      <c r="DW449" s="685">
        <v>1257</v>
      </c>
      <c r="DX449" s="939">
        <v>993</v>
      </c>
      <c r="DY449" s="940">
        <f>DY411-DY445</f>
        <v>165.7245640796306</v>
      </c>
      <c r="DZ449" s="674">
        <f>SUM(DX449:DY449)</f>
        <v>1158.7245640796307</v>
      </c>
      <c r="EA449" s="645">
        <f>EA411-EA445</f>
        <v>975.97503512157448</v>
      </c>
      <c r="EB449" s="645">
        <f>EB411-EB445</f>
        <v>165.62438779570465</v>
      </c>
      <c r="EC449" s="674">
        <f>SUM(EA449:EB449)</f>
        <v>1141.5994229172791</v>
      </c>
      <c r="ED449" s="645">
        <f>ED411-ED445</f>
        <v>971.769846220359</v>
      </c>
      <c r="EE449" s="645">
        <f>EE411-EE445</f>
        <v>167.06459357917217</v>
      </c>
      <c r="EF449" s="674">
        <f>SUM(ED449:EE449)</f>
        <v>1138.8344397995311</v>
      </c>
      <c r="EG449" s="645">
        <f>EG411-EG445</f>
        <v>986.98524314476595</v>
      </c>
      <c r="EH449" s="645">
        <f>EH411-EH445</f>
        <v>165.24588545075559</v>
      </c>
      <c r="EI449" s="674">
        <f>SUM(EG449:EH449)</f>
        <v>1152.2311285955216</v>
      </c>
      <c r="EJ449" s="645">
        <f>EJ411-EJ445</f>
        <v>1010.2648004391089</v>
      </c>
      <c r="EK449" s="645">
        <f>EK411-EK445</f>
        <v>162.46326201427826</v>
      </c>
      <c r="EL449" s="674">
        <f>SUM(EJ449:EK449)</f>
        <v>1172.7280624533871</v>
      </c>
      <c r="EM449" s="645">
        <f>EM411-EM445</f>
        <v>1034.2427444522823</v>
      </c>
      <c r="EN449" s="645">
        <f>EN411-EN445</f>
        <v>159.59715987470659</v>
      </c>
      <c r="EO449" s="674">
        <f>SUM(EM449:EN449)</f>
        <v>1193.839904326989</v>
      </c>
      <c r="EP449" s="645">
        <f>EP411-EP445</f>
        <v>1058.9400267858509</v>
      </c>
      <c r="EQ449" s="645">
        <f>EQ411-EQ445</f>
        <v>156.64507467094779</v>
      </c>
      <c r="ER449" s="674">
        <f>SUM(EP449:EQ449)</f>
        <v>1215.5851014567988</v>
      </c>
      <c r="ES449" s="645">
        <f>ES411-ES445</f>
        <v>1084.3782275894264</v>
      </c>
      <c r="ET449" s="645">
        <f>ET411-ET445</f>
        <v>153.60442691107625</v>
      </c>
      <c r="EU449" s="674">
        <f>SUM(ES449:ET449)</f>
        <v>1237.9826545005026</v>
      </c>
      <c r="EV449" s="645">
        <f>EV411-EV445</f>
        <v>1110.5795744171091</v>
      </c>
      <c r="EW449" s="645">
        <f>EW411-EW445</f>
        <v>150.47255971840849</v>
      </c>
      <c r="EX449" s="674">
        <f>SUM(EV449:EW449)</f>
        <v>1261.0521341355177</v>
      </c>
      <c r="EY449" s="645">
        <f>EY411-EY445</f>
        <v>1137.5669616496225</v>
      </c>
      <c r="EZ449" s="645">
        <f>EZ411-EZ445</f>
        <v>147.24673650996075</v>
      </c>
      <c r="FA449" s="6">
        <f>SUM(EY449:EZ449)</f>
        <v>1284.8136981595833</v>
      </c>
      <c r="FB449" s="11"/>
      <c r="FC449" s="11"/>
      <c r="FD449" s="11"/>
      <c r="FE449" s="11"/>
      <c r="FF449" s="11"/>
      <c r="FG449" s="11"/>
      <c r="FH449" s="11"/>
      <c r="FI449" s="11"/>
      <c r="FJ449" s="11"/>
      <c r="FK449" s="11"/>
      <c r="FL449" s="11"/>
      <c r="FM449" s="11"/>
      <c r="FN449" s="11"/>
      <c r="FO449" s="11"/>
      <c r="FP449" s="11"/>
      <c r="FQ449" s="11"/>
      <c r="FR449" s="11"/>
      <c r="FS449" s="217"/>
      <c r="FT449" s="217"/>
      <c r="FU449" s="217"/>
      <c r="FV449" s="217"/>
      <c r="FW449" s="217"/>
      <c r="FX449" s="217"/>
      <c r="FY449" s="217"/>
      <c r="FZ449" s="217"/>
      <c r="GA449" s="217"/>
      <c r="GB449" s="217"/>
    </row>
    <row r="450" spans="1:184" s="218" customFormat="1" ht="13.35" customHeight="1">
      <c r="A450" s="989"/>
      <c r="B450" s="4"/>
      <c r="C450" s="4" t="s">
        <v>212</v>
      </c>
      <c r="D450" s="178" t="s">
        <v>507</v>
      </c>
      <c r="E450" s="278"/>
      <c r="F450" s="278"/>
      <c r="G450" s="279"/>
      <c r="H450" s="278"/>
      <c r="I450" s="278"/>
      <c r="J450" s="279"/>
      <c r="K450" s="278"/>
      <c r="L450" s="278"/>
      <c r="M450" s="279"/>
      <c r="N450" s="278"/>
      <c r="O450" s="278"/>
      <c r="P450" s="279"/>
      <c r="Q450" s="278"/>
      <c r="R450" s="278"/>
      <c r="S450" s="279"/>
      <c r="T450" s="278"/>
      <c r="U450" s="278"/>
      <c r="V450" s="279"/>
      <c r="W450" s="278"/>
      <c r="X450" s="278"/>
      <c r="Y450" s="279"/>
      <c r="Z450" s="278"/>
      <c r="AA450" s="278"/>
      <c r="AB450" s="279"/>
      <c r="AC450" s="278"/>
      <c r="AD450" s="278"/>
      <c r="AE450" s="279"/>
      <c r="AF450" s="278"/>
      <c r="AG450" s="278"/>
      <c r="AH450" s="279"/>
      <c r="AI450" s="278"/>
      <c r="AJ450" s="278"/>
      <c r="AK450" s="279"/>
      <c r="AL450" s="278"/>
      <c r="AM450" s="278"/>
      <c r="AN450" s="279"/>
      <c r="AO450" s="278"/>
      <c r="AP450" s="278"/>
      <c r="AQ450" s="279"/>
      <c r="AR450" s="278"/>
      <c r="AS450" s="278"/>
      <c r="AT450" s="279"/>
      <c r="AU450" s="278"/>
      <c r="AV450" s="278"/>
      <c r="AW450" s="279"/>
      <c r="AX450" s="278"/>
      <c r="AY450" s="278"/>
      <c r="AZ450" s="279"/>
      <c r="BA450" s="278"/>
      <c r="BB450" s="278"/>
      <c r="BC450" s="279"/>
      <c r="BD450" s="278"/>
      <c r="BE450" s="278"/>
      <c r="BF450" s="279"/>
      <c r="BG450" s="278"/>
      <c r="BH450" s="278"/>
      <c r="BI450" s="279"/>
      <c r="BJ450" s="278"/>
      <c r="BK450" s="278"/>
      <c r="BL450" s="462"/>
      <c r="BM450" s="483"/>
      <c r="BN450" s="483"/>
      <c r="BO450" s="484"/>
      <c r="BP450" s="484"/>
      <c r="BQ450" s="484"/>
      <c r="BR450" s="484"/>
      <c r="BS450" s="484"/>
      <c r="BT450" s="484"/>
      <c r="BU450" s="485"/>
      <c r="BV450" s="302"/>
      <c r="BW450" s="302"/>
      <c r="BX450" s="303"/>
      <c r="BY450" s="302"/>
      <c r="BZ450" s="302"/>
      <c r="CA450" s="303"/>
      <c r="CB450" s="302"/>
      <c r="CC450" s="302"/>
      <c r="CD450" s="303"/>
      <c r="CE450" s="302"/>
      <c r="CF450" s="302"/>
      <c r="CG450" s="303"/>
      <c r="CH450" s="302"/>
      <c r="CI450" s="302"/>
      <c r="CJ450" s="303"/>
      <c r="CK450" s="302"/>
      <c r="CL450" s="302"/>
      <c r="CM450" s="303"/>
      <c r="CN450" s="302"/>
      <c r="CO450" s="302"/>
      <c r="CP450" s="303"/>
      <c r="CQ450" s="302"/>
      <c r="CR450" s="302"/>
      <c r="CS450" s="303"/>
      <c r="CT450" s="302"/>
      <c r="CU450" s="302"/>
      <c r="CV450" s="303"/>
      <c r="CW450" s="302"/>
      <c r="CX450" s="302"/>
      <c r="CY450" s="303"/>
      <c r="CZ450" s="302"/>
      <c r="DA450" s="302"/>
      <c r="DB450" s="303"/>
      <c r="DC450" s="302"/>
      <c r="DD450" s="302"/>
      <c r="DE450" s="788"/>
      <c r="DF450" s="302"/>
      <c r="DG450" s="302"/>
      <c r="DH450" s="788"/>
      <c r="DI450" s="303">
        <f t="shared" ref="DI450:EU450" si="454">DI449/DI411</f>
        <v>0.65503930376193142</v>
      </c>
      <c r="DJ450" s="303">
        <f t="shared" si="454"/>
        <v>0.19891616193815781</v>
      </c>
      <c r="DK450" s="700">
        <f t="shared" si="454"/>
        <v>0.57273511647972397</v>
      </c>
      <c r="DL450" s="303">
        <f t="shared" si="454"/>
        <v>0.65044510385756682</v>
      </c>
      <c r="DM450" s="303">
        <f t="shared" si="454"/>
        <v>0.20071684587813624</v>
      </c>
      <c r="DN450" s="700">
        <f t="shared" si="454"/>
        <v>0.5865580448065173</v>
      </c>
      <c r="DO450" s="303">
        <f t="shared" si="454"/>
        <v>0.68814729574223243</v>
      </c>
      <c r="DP450" s="303">
        <f t="shared" si="454"/>
        <v>0.21501706484641642</v>
      </c>
      <c r="DQ450" s="700">
        <f t="shared" si="454"/>
        <v>0.61989167897587394</v>
      </c>
      <c r="DR450" s="303">
        <f t="shared" si="454"/>
        <v>0.66906873614190687</v>
      </c>
      <c r="DS450" s="303">
        <f t="shared" si="454"/>
        <v>0.34259259259259262</v>
      </c>
      <c r="DT450" s="700">
        <f t="shared" si="454"/>
        <v>0.61936090225563911</v>
      </c>
      <c r="DU450" s="303">
        <f t="shared" si="454"/>
        <v>0.6285370258880193</v>
      </c>
      <c r="DV450" s="303">
        <f>DV449/DV411</f>
        <v>0.42178217821782177</v>
      </c>
      <c r="DW450" s="700">
        <f>DW449/DW411</f>
        <v>0.58033240997229918</v>
      </c>
      <c r="DX450" s="303">
        <f t="shared" ref="DX450" si="455">DX449/DX411</f>
        <v>0.60328068043742411</v>
      </c>
      <c r="DY450" s="303">
        <f>DY449/DY411</f>
        <v>0.45865621026156334</v>
      </c>
      <c r="DZ450" s="700">
        <f t="shared" si="454"/>
        <v>0.57724772905831456</v>
      </c>
      <c r="EA450" s="303">
        <f t="shared" si="454"/>
        <v>0.60340595212233039</v>
      </c>
      <c r="EB450" s="303">
        <f t="shared" si="454"/>
        <v>0.46100238309236263</v>
      </c>
      <c r="EC450" s="700">
        <f t="shared" si="454"/>
        <v>0.5775239283385033</v>
      </c>
      <c r="ED450" s="303">
        <f t="shared" si="454"/>
        <v>0.6047769215139791</v>
      </c>
      <c r="EE450" s="303">
        <f t="shared" si="454"/>
        <v>0.46565427965491007</v>
      </c>
      <c r="EF450" s="700">
        <f t="shared" si="454"/>
        <v>0.57938333504539674</v>
      </c>
      <c r="EG450" s="303">
        <f t="shared" si="454"/>
        <v>0.60375667285656087</v>
      </c>
      <c r="EH450" s="303">
        <f t="shared" si="454"/>
        <v>0.45801208111619962</v>
      </c>
      <c r="EI450" s="700">
        <f t="shared" si="454"/>
        <v>0.57740622350728121</v>
      </c>
      <c r="EJ450" s="303">
        <f t="shared" si="454"/>
        <v>0.60226141707020864</v>
      </c>
      <c r="EK450" s="303">
        <f t="shared" si="454"/>
        <v>0.44648337185189579</v>
      </c>
      <c r="EL450" s="700">
        <f t="shared" si="454"/>
        <v>0.574493461728532</v>
      </c>
      <c r="EM450" s="303">
        <f t="shared" si="454"/>
        <v>0.60079887603284632</v>
      </c>
      <c r="EN450" s="303">
        <f t="shared" si="454"/>
        <v>0.4348113171720136</v>
      </c>
      <c r="EO450" s="700">
        <f t="shared" si="454"/>
        <v>0.57162686319741607</v>
      </c>
      <c r="EP450" s="303">
        <f t="shared" si="454"/>
        <v>0.59936860582551232</v>
      </c>
      <c r="EQ450" s="303">
        <f t="shared" si="454"/>
        <v>0.42299842012447708</v>
      </c>
      <c r="ER450" s="700">
        <f t="shared" si="454"/>
        <v>0.5688065615897604</v>
      </c>
      <c r="ES450" s="303">
        <f t="shared" si="454"/>
        <v>0.59797015433089273</v>
      </c>
      <c r="ET450" s="303">
        <f t="shared" si="454"/>
        <v>0.41104736902257982</v>
      </c>
      <c r="EU450" s="700">
        <f t="shared" si="454"/>
        <v>0.56603264651077834</v>
      </c>
      <c r="EV450" s="303">
        <f t="shared" ref="EV450:FA450" si="456">EV449/EV411</f>
        <v>0.59660306214301329</v>
      </c>
      <c r="EW450" s="303">
        <f t="shared" si="456"/>
        <v>0.39896103749976275</v>
      </c>
      <c r="EX450" s="700">
        <f t="shared" si="456"/>
        <v>0.56330516478937109</v>
      </c>
      <c r="EY450" s="303">
        <f t="shared" si="456"/>
        <v>0.59526686344469859</v>
      </c>
      <c r="EZ450" s="303">
        <f t="shared" si="456"/>
        <v>0.38674248410108936</v>
      </c>
      <c r="FA450" s="552">
        <f t="shared" si="456"/>
        <v>0.56062412181798738</v>
      </c>
      <c r="FB450" s="11"/>
      <c r="FC450" s="11"/>
      <c r="FD450" s="11"/>
      <c r="FE450" s="11"/>
      <c r="FF450" s="11"/>
      <c r="FG450" s="11"/>
      <c r="FH450" s="11"/>
      <c r="FI450" s="11"/>
      <c r="FJ450" s="11"/>
      <c r="FK450" s="11"/>
      <c r="FL450" s="11"/>
      <c r="FM450" s="11"/>
      <c r="FN450" s="11"/>
      <c r="FO450" s="11"/>
      <c r="FP450" s="11"/>
      <c r="FQ450" s="11"/>
      <c r="FR450" s="11"/>
      <c r="FS450" s="217"/>
      <c r="FT450" s="217"/>
      <c r="FU450" s="217"/>
      <c r="FV450" s="217"/>
      <c r="FW450" s="217"/>
      <c r="FX450" s="217"/>
      <c r="FY450" s="217"/>
      <c r="FZ450" s="217"/>
      <c r="GA450" s="217"/>
      <c r="GB450" s="217"/>
    </row>
    <row r="451" spans="1:184" s="218" customFormat="1" ht="13.35" customHeight="1">
      <c r="A451" s="989"/>
      <c r="B451" s="4"/>
      <c r="C451" s="4"/>
      <c r="D451" s="178"/>
      <c r="E451" s="278"/>
      <c r="F451" s="278"/>
      <c r="G451" s="279"/>
      <c r="H451" s="278"/>
      <c r="I451" s="278"/>
      <c r="J451" s="279"/>
      <c r="K451" s="278"/>
      <c r="L451" s="278"/>
      <c r="M451" s="279"/>
      <c r="N451" s="278"/>
      <c r="O451" s="278"/>
      <c r="P451" s="279"/>
      <c r="Q451" s="278"/>
      <c r="R451" s="278"/>
      <c r="S451" s="279"/>
      <c r="T451" s="278"/>
      <c r="U451" s="278"/>
      <c r="V451" s="279"/>
      <c r="W451" s="278"/>
      <c r="X451" s="278"/>
      <c r="Y451" s="279"/>
      <c r="Z451" s="278"/>
      <c r="AA451" s="278"/>
      <c r="AB451" s="279"/>
      <c r="AC451" s="278"/>
      <c r="AD451" s="278"/>
      <c r="AE451" s="279"/>
      <c r="AF451" s="278"/>
      <c r="AG451" s="278"/>
      <c r="AH451" s="279"/>
      <c r="AI451" s="278"/>
      <c r="AJ451" s="278"/>
      <c r="AK451" s="279"/>
      <c r="AL451" s="278"/>
      <c r="AM451" s="278"/>
      <c r="AN451" s="279"/>
      <c r="AO451" s="278"/>
      <c r="AP451" s="278"/>
      <c r="AQ451" s="279"/>
      <c r="AR451" s="278"/>
      <c r="AS451" s="278"/>
      <c r="AT451" s="279"/>
      <c r="AU451" s="278"/>
      <c r="AV451" s="278"/>
      <c r="AW451" s="279"/>
      <c r="AX451" s="278"/>
      <c r="AY451" s="278"/>
      <c r="AZ451" s="279"/>
      <c r="BA451" s="278"/>
      <c r="BB451" s="278"/>
      <c r="BC451" s="279"/>
      <c r="BD451" s="278"/>
      <c r="BE451" s="278"/>
      <c r="BF451" s="279"/>
      <c r="BG451" s="278"/>
      <c r="BH451" s="278"/>
      <c r="BI451" s="279"/>
      <c r="BJ451" s="278"/>
      <c r="BK451" s="278"/>
      <c r="BL451" s="462"/>
      <c r="BM451" s="483"/>
      <c r="BN451" s="483"/>
      <c r="BO451" s="484"/>
      <c r="BP451" s="484"/>
      <c r="BQ451" s="484"/>
      <c r="BR451" s="484"/>
      <c r="BS451" s="484"/>
      <c r="BT451" s="484"/>
      <c r="BU451" s="485"/>
      <c r="BV451" s="302"/>
      <c r="BW451" s="302"/>
      <c r="BX451" s="303"/>
      <c r="BY451" s="302"/>
      <c r="BZ451" s="302"/>
      <c r="CA451" s="303"/>
      <c r="CB451" s="302"/>
      <c r="CC451" s="302"/>
      <c r="CD451" s="303"/>
      <c r="CE451" s="302"/>
      <c r="CF451" s="302"/>
      <c r="CG451" s="303"/>
      <c r="CH451" s="302"/>
      <c r="CI451" s="302"/>
      <c r="CJ451" s="303"/>
      <c r="CK451" s="302"/>
      <c r="CL451" s="302"/>
      <c r="CM451" s="303"/>
      <c r="CN451" s="302"/>
      <c r="CO451" s="302"/>
      <c r="CP451" s="303"/>
      <c r="CQ451" s="302"/>
      <c r="CR451" s="302"/>
      <c r="CS451" s="303"/>
      <c r="CT451" s="302"/>
      <c r="CU451" s="302"/>
      <c r="CV451" s="303"/>
      <c r="CW451" s="302"/>
      <c r="CX451" s="302"/>
      <c r="CY451" s="303"/>
      <c r="CZ451" s="302"/>
      <c r="DA451" s="302"/>
      <c r="DB451" s="303"/>
      <c r="DC451" s="302"/>
      <c r="DD451" s="302"/>
      <c r="DE451" s="788"/>
      <c r="DF451" s="302"/>
      <c r="DG451" s="302"/>
      <c r="DH451" s="788"/>
      <c r="DI451" s="302"/>
      <c r="DJ451" s="302"/>
      <c r="DK451" s="700"/>
      <c r="DL451" s="302"/>
      <c r="DM451" s="302"/>
      <c r="DN451" s="700"/>
      <c r="DO451" s="302"/>
      <c r="DP451" s="302"/>
      <c r="DQ451" s="700"/>
      <c r="DR451" s="302"/>
      <c r="DS451" s="941"/>
      <c r="DT451" s="700"/>
      <c r="DU451" s="302"/>
      <c r="DV451" s="941"/>
      <c r="DW451" s="700"/>
      <c r="DX451" s="302"/>
      <c r="DY451" s="302"/>
      <c r="DZ451" s="700"/>
      <c r="EA451" s="302"/>
      <c r="EB451" s="302"/>
      <c r="EC451" s="700"/>
      <c r="ED451" s="302"/>
      <c r="EE451" s="302"/>
      <c r="EF451" s="700"/>
      <c r="EG451" s="302"/>
      <c r="EH451" s="302"/>
      <c r="EI451" s="700"/>
      <c r="EJ451" s="302"/>
      <c r="EK451" s="302"/>
      <c r="EL451" s="700"/>
      <c r="EM451" s="302"/>
      <c r="EN451" s="302"/>
      <c r="EO451" s="700"/>
      <c r="EP451" s="302"/>
      <c r="EQ451" s="302"/>
      <c r="ER451" s="700"/>
      <c r="ES451" s="302"/>
      <c r="ET451" s="302"/>
      <c r="EU451" s="700"/>
      <c r="EV451" s="302"/>
      <c r="EW451" s="302"/>
      <c r="EX451" s="700"/>
      <c r="EY451" s="302"/>
      <c r="EZ451" s="302"/>
      <c r="FA451" s="552"/>
      <c r="FB451" s="11"/>
      <c r="FC451" s="11"/>
      <c r="FD451" s="11"/>
      <c r="FE451" s="11"/>
      <c r="FF451" s="11"/>
      <c r="FG451" s="11"/>
      <c r="FH451" s="11"/>
      <c r="FI451" s="11"/>
      <c r="FJ451" s="11"/>
      <c r="FK451" s="11"/>
      <c r="FL451" s="11"/>
      <c r="FM451" s="11"/>
      <c r="FN451" s="11"/>
      <c r="FO451" s="11"/>
      <c r="FP451" s="11"/>
      <c r="FQ451" s="11"/>
      <c r="FR451" s="11"/>
      <c r="FS451" s="217"/>
      <c r="FT451" s="217"/>
      <c r="FU451" s="217"/>
      <c r="FV451" s="217"/>
      <c r="FW451" s="217"/>
      <c r="FX451" s="217"/>
      <c r="FY451" s="217"/>
      <c r="FZ451" s="217"/>
      <c r="GA451" s="217"/>
      <c r="GB451" s="217"/>
    </row>
    <row r="452" spans="1:184" s="218" customFormat="1" ht="13.35" customHeight="1">
      <c r="A452" s="989"/>
      <c r="B452" s="458" t="s">
        <v>909</v>
      </c>
      <c r="C452" s="449"/>
      <c r="D452" s="178"/>
      <c r="E452" s="278"/>
      <c r="F452" s="278"/>
      <c r="G452" s="279"/>
      <c r="H452" s="278"/>
      <c r="I452" s="278"/>
      <c r="J452" s="279"/>
      <c r="K452" s="278"/>
      <c r="L452" s="278"/>
      <c r="M452" s="279"/>
      <c r="N452" s="278"/>
      <c r="O452" s="278"/>
      <c r="P452" s="279"/>
      <c r="Q452" s="278"/>
      <c r="R452" s="278"/>
      <c r="S452" s="279"/>
      <c r="T452" s="278"/>
      <c r="U452" s="278"/>
      <c r="V452" s="279"/>
      <c r="W452" s="278"/>
      <c r="X452" s="278"/>
      <c r="Y452" s="279"/>
      <c r="Z452" s="278"/>
      <c r="AA452" s="278"/>
      <c r="AB452" s="279"/>
      <c r="AC452" s="278"/>
      <c r="AD452" s="278"/>
      <c r="AE452" s="279"/>
      <c r="AF452" s="278"/>
      <c r="AG452" s="278"/>
      <c r="AH452" s="279"/>
      <c r="AI452" s="278"/>
      <c r="AJ452" s="278"/>
      <c r="AK452" s="279"/>
      <c r="AL452" s="278"/>
      <c r="AM452" s="278"/>
      <c r="AN452" s="279"/>
      <c r="AO452" s="278"/>
      <c r="AP452" s="278"/>
      <c r="AQ452" s="279"/>
      <c r="AR452" s="278"/>
      <c r="AS452" s="278"/>
      <c r="AT452" s="279"/>
      <c r="AU452" s="278"/>
      <c r="AV452" s="278"/>
      <c r="AW452" s="279"/>
      <c r="AX452" s="278"/>
      <c r="AY452" s="278"/>
      <c r="AZ452" s="279"/>
      <c r="BA452" s="278"/>
      <c r="BB452" s="278"/>
      <c r="BC452" s="279"/>
      <c r="BD452" s="278"/>
      <c r="BE452" s="278"/>
      <c r="BF452" s="279"/>
      <c r="BG452" s="278"/>
      <c r="BH452" s="278"/>
      <c r="BI452" s="279"/>
      <c r="BJ452" s="278"/>
      <c r="BK452" s="278"/>
      <c r="BL452" s="462"/>
      <c r="BM452" s="483"/>
      <c r="BN452" s="483"/>
      <c r="BO452" s="484"/>
      <c r="BP452" s="484"/>
      <c r="BQ452" s="484"/>
      <c r="BR452" s="484"/>
      <c r="BS452" s="484"/>
      <c r="BT452" s="484"/>
      <c r="BU452" s="485"/>
      <c r="BV452" s="302"/>
      <c r="BW452" s="302"/>
      <c r="BX452" s="303"/>
      <c r="BY452" s="302"/>
      <c r="BZ452" s="302"/>
      <c r="CA452" s="303"/>
      <c r="CB452" s="302"/>
      <c r="CC452" s="302"/>
      <c r="CD452" s="303"/>
      <c r="CE452" s="302"/>
      <c r="CF452" s="302"/>
      <c r="CG452" s="303"/>
      <c r="CH452" s="302"/>
      <c r="CI452" s="302"/>
      <c r="CJ452" s="303"/>
      <c r="CK452" s="302"/>
      <c r="CL452" s="302"/>
      <c r="CM452" s="303"/>
      <c r="CN452" s="302"/>
      <c r="CO452" s="302"/>
      <c r="CP452" s="303"/>
      <c r="CQ452" s="302"/>
      <c r="CR452" s="302"/>
      <c r="CS452" s="303"/>
      <c r="CT452" s="302"/>
      <c r="CU452" s="302"/>
      <c r="CV452" s="303"/>
      <c r="CW452" s="302"/>
      <c r="CX452" s="302"/>
      <c r="CY452" s="303"/>
      <c r="CZ452" s="302"/>
      <c r="DA452" s="302"/>
      <c r="DB452" s="303"/>
      <c r="DC452" s="302"/>
      <c r="DD452" s="302"/>
      <c r="DE452" s="788"/>
      <c r="DF452" s="302"/>
      <c r="DG452" s="302"/>
      <c r="DH452" s="788"/>
      <c r="DI452" s="487">
        <v>141.2524478746688</v>
      </c>
      <c r="DJ452" s="487">
        <v>30.847552125331191</v>
      </c>
      <c r="DK452" s="696">
        <v>172.1</v>
      </c>
      <c r="DL452" s="939">
        <v>79.400000000000006</v>
      </c>
      <c r="DM452" s="940">
        <f>+DN452-DL452</f>
        <v>107.6</v>
      </c>
      <c r="DN452" s="685">
        <v>187</v>
      </c>
      <c r="DO452" s="939">
        <v>93</v>
      </c>
      <c r="DP452" s="940">
        <f>+DQ452-DO452</f>
        <v>94</v>
      </c>
      <c r="DQ452" s="685">
        <v>187</v>
      </c>
      <c r="DR452" s="939">
        <v>89</v>
      </c>
      <c r="DS452" s="940">
        <f>+DT452-DR452</f>
        <v>107</v>
      </c>
      <c r="DT452" s="685">
        <v>196</v>
      </c>
      <c r="DU452" s="1785">
        <v>107</v>
      </c>
      <c r="DV452" s="940">
        <f>+DW452-DU452</f>
        <v>123</v>
      </c>
      <c r="DW452" s="685">
        <v>230</v>
      </c>
      <c r="DX452" s="1785">
        <v>117</v>
      </c>
      <c r="DY452" s="940">
        <f>DY453*DY411</f>
        <v>126.46421465609787</v>
      </c>
      <c r="DZ452" s="828">
        <f>SUM(DX452:DY452)</f>
        <v>243.46421465609785</v>
      </c>
      <c r="EA452" s="940">
        <f>EA453*EA411</f>
        <v>114.97016373025514</v>
      </c>
      <c r="EB452" s="940">
        <f>EB453*EB411</f>
        <v>125.74454678444152</v>
      </c>
      <c r="EC452" s="828">
        <f>SUM(EA452:EB452)</f>
        <v>240.71471051469666</v>
      </c>
      <c r="ED452" s="940">
        <f>ED453*ED411</f>
        <v>114.21528814984812</v>
      </c>
      <c r="EE452" s="940">
        <f>EE453*EE411</f>
        <v>125.57085869809571</v>
      </c>
      <c r="EF452" s="828">
        <f>SUM(ED452:EE452)</f>
        <v>239.78614684794383</v>
      </c>
      <c r="EG452" s="940">
        <f>EG453*EG411</f>
        <v>116.19963036484992</v>
      </c>
      <c r="EH452" s="940">
        <f>EH453*EH411</f>
        <v>126.27627587205762</v>
      </c>
      <c r="EI452" s="828">
        <f>SUM(EG452:EH452)</f>
        <v>242.47590623690755</v>
      </c>
      <c r="EJ452" s="940">
        <f>EJ453*EJ411</f>
        <v>119.23567395380272</v>
      </c>
      <c r="EK452" s="940">
        <f>EK453*EK411</f>
        <v>127.35556414821934</v>
      </c>
      <c r="EL452" s="828">
        <f>SUM(EJ452:EK452)</f>
        <v>246.59123810202206</v>
      </c>
      <c r="EM452" s="940">
        <f>EM453*EM411</f>
        <v>122.36279885042408</v>
      </c>
      <c r="EN452" s="940">
        <f>EN453*EN411</f>
        <v>128.46723107266592</v>
      </c>
      <c r="EO452" s="828">
        <f>SUM(EM452:EN452)</f>
        <v>250.83002992309002</v>
      </c>
      <c r="EP452" s="940">
        <f>EP453*EP411</f>
        <v>125.5837374939441</v>
      </c>
      <c r="EQ452" s="940">
        <f>EQ453*EQ411</f>
        <v>129.6122480048459</v>
      </c>
      <c r="ER452" s="828">
        <f>SUM(EP452:EQ452)</f>
        <v>255.19598549878998</v>
      </c>
      <c r="ES452" s="940">
        <f>ES453*ES411</f>
        <v>128.90130429676972</v>
      </c>
      <c r="ET452" s="940">
        <f>ET453*ET411</f>
        <v>130.79161544499129</v>
      </c>
      <c r="EU452" s="828">
        <f>SUM(ES452:ET452)</f>
        <v>259.69291974176099</v>
      </c>
      <c r="EV452" s="940">
        <f>EV453*EV411</f>
        <v>132.3183981036801</v>
      </c>
      <c r="EW452" s="940">
        <f>EW453*EW411</f>
        <v>132.00636390834103</v>
      </c>
      <c r="EX452" s="828">
        <f>SUM(EV452:EW452)</f>
        <v>264.3247620120211</v>
      </c>
      <c r="EY452" s="940">
        <f>EY453*EY411</f>
        <v>135.83800472479783</v>
      </c>
      <c r="EZ452" s="940">
        <f>EZ453*EZ411</f>
        <v>133.25755482559126</v>
      </c>
      <c r="FA452" s="987">
        <f>SUM(EY452:EZ452)</f>
        <v>269.09555955038911</v>
      </c>
      <c r="FB452" s="11"/>
      <c r="FC452" s="11"/>
      <c r="FD452" s="11"/>
      <c r="FE452" s="11"/>
      <c r="FF452" s="11"/>
      <c r="FG452" s="11"/>
      <c r="FH452" s="11"/>
      <c r="FI452" s="11"/>
      <c r="FJ452" s="11"/>
      <c r="FK452" s="11"/>
      <c r="FL452" s="11"/>
      <c r="FM452" s="11"/>
      <c r="FN452" s="11"/>
      <c r="FO452" s="11"/>
      <c r="FP452" s="11"/>
      <c r="FQ452" s="11"/>
      <c r="FR452" s="11"/>
      <c r="FS452" s="217"/>
      <c r="FT452" s="217"/>
      <c r="FU452" s="217"/>
      <c r="FV452" s="217"/>
      <c r="FW452" s="217"/>
      <c r="FX452" s="217"/>
      <c r="FY452" s="217"/>
      <c r="FZ452" s="217"/>
      <c r="GA452" s="217"/>
      <c r="GB452" s="217"/>
    </row>
    <row r="453" spans="1:184" s="218" customFormat="1" ht="13.35" customHeight="1">
      <c r="A453" s="989"/>
      <c r="B453" s="177" t="s">
        <v>120</v>
      </c>
      <c r="C453" s="4"/>
      <c r="D453" s="178"/>
      <c r="E453" s="278"/>
      <c r="F453" s="278"/>
      <c r="G453" s="279"/>
      <c r="H453" s="278"/>
      <c r="I453" s="278"/>
      <c r="J453" s="279"/>
      <c r="K453" s="278"/>
      <c r="L453" s="278"/>
      <c r="M453" s="279"/>
      <c r="N453" s="278"/>
      <c r="O453" s="278"/>
      <c r="P453" s="279"/>
      <c r="Q453" s="278"/>
      <c r="R453" s="278"/>
      <c r="S453" s="279"/>
      <c r="T453" s="278"/>
      <c r="U453" s="278"/>
      <c r="V453" s="279"/>
      <c r="W453" s="278"/>
      <c r="X453" s="278"/>
      <c r="Y453" s="279"/>
      <c r="Z453" s="278"/>
      <c r="AA453" s="278"/>
      <c r="AB453" s="279"/>
      <c r="AC453" s="278"/>
      <c r="AD453" s="278"/>
      <c r="AE453" s="279"/>
      <c r="AF453" s="278"/>
      <c r="AG453" s="278"/>
      <c r="AH453" s="279"/>
      <c r="AI453" s="278"/>
      <c r="AJ453" s="278"/>
      <c r="AK453" s="279"/>
      <c r="AL453" s="278"/>
      <c r="AM453" s="278"/>
      <c r="AN453" s="279"/>
      <c r="AO453" s="278"/>
      <c r="AP453" s="278"/>
      <c r="AQ453" s="279"/>
      <c r="AR453" s="278"/>
      <c r="AS453" s="278"/>
      <c r="AT453" s="279"/>
      <c r="AU453" s="278"/>
      <c r="AV453" s="278"/>
      <c r="AW453" s="279"/>
      <c r="AX453" s="278"/>
      <c r="AY453" s="278"/>
      <c r="AZ453" s="279"/>
      <c r="BA453" s="278"/>
      <c r="BB453" s="278"/>
      <c r="BC453" s="279"/>
      <c r="BD453" s="278"/>
      <c r="BE453" s="278"/>
      <c r="BF453" s="279"/>
      <c r="BG453" s="278"/>
      <c r="BH453" s="278"/>
      <c r="BI453" s="279"/>
      <c r="BJ453" s="278"/>
      <c r="BK453" s="278"/>
      <c r="BL453" s="462"/>
      <c r="BM453" s="483"/>
      <c r="BN453" s="483"/>
      <c r="BO453" s="484"/>
      <c r="BP453" s="484"/>
      <c r="BQ453" s="484"/>
      <c r="BR453" s="484"/>
      <c r="BS453" s="484"/>
      <c r="BT453" s="484"/>
      <c r="BU453" s="485"/>
      <c r="BV453" s="302"/>
      <c r="BW453" s="302"/>
      <c r="BX453" s="303"/>
      <c r="BY453" s="302"/>
      <c r="BZ453" s="302"/>
      <c r="CA453" s="303"/>
      <c r="CB453" s="302"/>
      <c r="CC453" s="302"/>
      <c r="CD453" s="303"/>
      <c r="CE453" s="302"/>
      <c r="CF453" s="302"/>
      <c r="CG453" s="303"/>
      <c r="CH453" s="302"/>
      <c r="CI453" s="302"/>
      <c r="CJ453" s="303"/>
      <c r="CK453" s="302"/>
      <c r="CL453" s="302"/>
      <c r="CM453" s="303"/>
      <c r="CN453" s="302"/>
      <c r="CO453" s="302"/>
      <c r="CP453" s="303"/>
      <c r="CQ453" s="302"/>
      <c r="CR453" s="302"/>
      <c r="CS453" s="303"/>
      <c r="CT453" s="302"/>
      <c r="CU453" s="302"/>
      <c r="CV453" s="303"/>
      <c r="CW453" s="302"/>
      <c r="CX453" s="302"/>
      <c r="CY453" s="303"/>
      <c r="CZ453" s="302"/>
      <c r="DA453" s="302"/>
      <c r="DB453" s="303"/>
      <c r="DC453" s="302"/>
      <c r="DD453" s="302"/>
      <c r="DE453" s="788"/>
      <c r="DF453" s="302"/>
      <c r="DG453" s="302"/>
      <c r="DH453" s="788"/>
      <c r="DI453" s="303">
        <f t="shared" ref="DI453:DQ453" si="457">+DI452/DI411</f>
        <v>9.9138438991204933E-2</v>
      </c>
      <c r="DJ453" s="303">
        <f t="shared" si="457"/>
        <v>9.8334562082662405E-2</v>
      </c>
      <c r="DK453" s="700">
        <f t="shared" si="457"/>
        <v>9.8993385102099513E-2</v>
      </c>
      <c r="DL453" s="303">
        <f t="shared" si="457"/>
        <v>4.7121661721068256E-2</v>
      </c>
      <c r="DM453" s="303">
        <f t="shared" si="457"/>
        <v>0.38566308243727604</v>
      </c>
      <c r="DN453" s="700">
        <f t="shared" si="457"/>
        <v>9.5213849287169042E-2</v>
      </c>
      <c r="DO453" s="303">
        <f t="shared" si="457"/>
        <v>5.3509781357882626E-2</v>
      </c>
      <c r="DP453" s="303">
        <f t="shared" si="457"/>
        <v>0.3208191126279864</v>
      </c>
      <c r="DQ453" s="700">
        <f t="shared" si="457"/>
        <v>9.2072870507139346E-2</v>
      </c>
      <c r="DR453" s="303">
        <f t="shared" ref="DR453:DW453" si="458">+DR452/DR411</f>
        <v>4.9334811529933478E-2</v>
      </c>
      <c r="DS453" s="303">
        <f t="shared" si="458"/>
        <v>0.33024691358024694</v>
      </c>
      <c r="DT453" s="700">
        <f t="shared" si="458"/>
        <v>9.2105263157894732E-2</v>
      </c>
      <c r="DU453" s="303">
        <f t="shared" si="458"/>
        <v>6.4419024683925352E-2</v>
      </c>
      <c r="DV453" s="303">
        <f t="shared" si="458"/>
        <v>0.24356435643564356</v>
      </c>
      <c r="DW453" s="700">
        <f t="shared" si="458"/>
        <v>0.1061865189289012</v>
      </c>
      <c r="DX453" s="303">
        <f t="shared" ref="DX453" si="459">+DX452/DX411</f>
        <v>7.1081409477521257E-2</v>
      </c>
      <c r="DY453" s="774">
        <v>0.35</v>
      </c>
      <c r="DZ453" s="700">
        <f>DZ452/DZ411</f>
        <v>0.12128781021297161</v>
      </c>
      <c r="EA453" s="303">
        <f>+DX453</f>
        <v>7.1081409477521257E-2</v>
      </c>
      <c r="EB453" s="303">
        <f>+DY453</f>
        <v>0.35</v>
      </c>
      <c r="EC453" s="700">
        <f>EC452/EC411</f>
        <v>0.1217752062891386</v>
      </c>
      <c r="ED453" s="303">
        <f>+EA453</f>
        <v>7.1081409477521257E-2</v>
      </c>
      <c r="EE453" s="303">
        <f>+EB453</f>
        <v>0.35</v>
      </c>
      <c r="EF453" s="700">
        <f>EF452/EF411</f>
        <v>0.12199147883418633</v>
      </c>
      <c r="EG453" s="303">
        <f>+ED453</f>
        <v>7.1081409477521257E-2</v>
      </c>
      <c r="EH453" s="303">
        <f>+EE453</f>
        <v>0.35</v>
      </c>
      <c r="EI453" s="700">
        <f>EI452/EI411</f>
        <v>0.12150955987659867</v>
      </c>
      <c r="EJ453" s="303">
        <f>+EG453</f>
        <v>7.1081409477521257E-2</v>
      </c>
      <c r="EK453" s="303">
        <f>+EH453</f>
        <v>0.35</v>
      </c>
      <c r="EL453" s="700">
        <f>EL452/EL411</f>
        <v>0.12079957710979236</v>
      </c>
      <c r="EM453" s="303">
        <f>+EJ453</f>
        <v>7.1081409477521257E-2</v>
      </c>
      <c r="EN453" s="303">
        <f>+EK453</f>
        <v>0.35</v>
      </c>
      <c r="EO453" s="700">
        <f>EO452/EO411</f>
        <v>0.12010084658836995</v>
      </c>
      <c r="EP453" s="303">
        <f>+EM453</f>
        <v>7.1081409477521257E-2</v>
      </c>
      <c r="EQ453" s="303">
        <f>+EN453</f>
        <v>0.35</v>
      </c>
      <c r="ER453" s="700">
        <f>ER452/ER411</f>
        <v>0.11941340089568042</v>
      </c>
      <c r="ES453" s="303">
        <f>+EP453</f>
        <v>7.1081409477521257E-2</v>
      </c>
      <c r="ET453" s="303">
        <f>+EQ453</f>
        <v>0.35</v>
      </c>
      <c r="EU453" s="700">
        <f>EU452/EU411</f>
        <v>0.11873726187290491</v>
      </c>
      <c r="EV453" s="303">
        <f>+ES453</f>
        <v>7.1081409477521257E-2</v>
      </c>
      <c r="EW453" s="303">
        <f>+ET453</f>
        <v>0.35</v>
      </c>
      <c r="EX453" s="700">
        <f>EX452/EX411</f>
        <v>0.11807244093454104</v>
      </c>
      <c r="EY453" s="303">
        <f>+EV453</f>
        <v>7.1081409477521257E-2</v>
      </c>
      <c r="EZ453" s="303">
        <f>+EW453</f>
        <v>0.35</v>
      </c>
      <c r="FA453" s="523">
        <f>FA452/FA411</f>
        <v>0.1174189393949929</v>
      </c>
      <c r="FB453" s="11"/>
      <c r="FC453" s="11"/>
      <c r="FD453" s="11"/>
      <c r="FE453" s="11"/>
      <c r="FF453" s="11"/>
      <c r="FG453" s="11"/>
      <c r="FH453" s="11"/>
      <c r="FI453" s="11"/>
      <c r="FJ453" s="11"/>
      <c r="FK453" s="11"/>
      <c r="FL453" s="11"/>
      <c r="FM453" s="11"/>
      <c r="FN453" s="11"/>
      <c r="FO453" s="11"/>
      <c r="FP453" s="11"/>
      <c r="FQ453" s="11"/>
      <c r="FR453" s="11"/>
      <c r="FS453" s="217"/>
      <c r="FT453" s="217"/>
      <c r="FU453" s="217"/>
      <c r="FV453" s="217"/>
      <c r="FW453" s="217"/>
      <c r="FX453" s="217"/>
      <c r="FY453" s="217"/>
      <c r="FZ453" s="217"/>
      <c r="GA453" s="217"/>
      <c r="GB453" s="217"/>
    </row>
    <row r="454" spans="1:184" s="218" customFormat="1" ht="13.35" customHeight="1">
      <c r="A454" s="989"/>
      <c r="B454" s="4"/>
      <c r="C454" s="4"/>
      <c r="D454" s="178"/>
      <c r="E454" s="278"/>
      <c r="F454" s="278"/>
      <c r="G454" s="279"/>
      <c r="H454" s="278"/>
      <c r="I454" s="278"/>
      <c r="J454" s="279"/>
      <c r="K454" s="278"/>
      <c r="L454" s="278"/>
      <c r="M454" s="279"/>
      <c r="N454" s="278"/>
      <c r="O454" s="278"/>
      <c r="P454" s="279"/>
      <c r="Q454" s="278"/>
      <c r="R454" s="278"/>
      <c r="S454" s="279"/>
      <c r="T454" s="278"/>
      <c r="U454" s="278"/>
      <c r="V454" s="279"/>
      <c r="W454" s="278"/>
      <c r="X454" s="278"/>
      <c r="Y454" s="279"/>
      <c r="Z454" s="278"/>
      <c r="AA454" s="278"/>
      <c r="AB454" s="279"/>
      <c r="AC454" s="278"/>
      <c r="AD454" s="278"/>
      <c r="AE454" s="279"/>
      <c r="AF454" s="278"/>
      <c r="AG454" s="278"/>
      <c r="AH454" s="279"/>
      <c r="AI454" s="278"/>
      <c r="AJ454" s="278"/>
      <c r="AK454" s="279"/>
      <c r="AL454" s="278"/>
      <c r="AM454" s="278"/>
      <c r="AN454" s="279"/>
      <c r="AO454" s="278"/>
      <c r="AP454" s="278"/>
      <c r="AQ454" s="279"/>
      <c r="AR454" s="278"/>
      <c r="AS454" s="278"/>
      <c r="AT454" s="279"/>
      <c r="AU454" s="278"/>
      <c r="AV454" s="278"/>
      <c r="AW454" s="279"/>
      <c r="AX454" s="278"/>
      <c r="AY454" s="278"/>
      <c r="AZ454" s="279"/>
      <c r="BA454" s="278"/>
      <c r="BB454" s="278"/>
      <c r="BC454" s="279"/>
      <c r="BD454" s="278"/>
      <c r="BE454" s="278"/>
      <c r="BF454" s="279"/>
      <c r="BG454" s="278"/>
      <c r="BH454" s="278"/>
      <c r="BI454" s="279"/>
      <c r="BJ454" s="278"/>
      <c r="BK454" s="278"/>
      <c r="BL454" s="462"/>
      <c r="BM454" s="483"/>
      <c r="BN454" s="483"/>
      <c r="BO454" s="484"/>
      <c r="BP454" s="484"/>
      <c r="BQ454" s="484"/>
      <c r="BR454" s="484"/>
      <c r="BS454" s="484"/>
      <c r="BT454" s="484"/>
      <c r="BU454" s="485"/>
      <c r="BV454" s="302"/>
      <c r="BW454" s="302"/>
      <c r="BX454" s="303"/>
      <c r="BY454" s="302"/>
      <c r="BZ454" s="302"/>
      <c r="CA454" s="303"/>
      <c r="CB454" s="302"/>
      <c r="CC454" s="302"/>
      <c r="CD454" s="303"/>
      <c r="CE454" s="302"/>
      <c r="CF454" s="302"/>
      <c r="CG454" s="303"/>
      <c r="CH454" s="302"/>
      <c r="CI454" s="302"/>
      <c r="CJ454" s="303"/>
      <c r="CK454" s="302"/>
      <c r="CL454" s="302"/>
      <c r="CM454" s="303"/>
      <c r="CN454" s="302"/>
      <c r="CO454" s="302"/>
      <c r="CP454" s="303"/>
      <c r="CQ454" s="302"/>
      <c r="CR454" s="302"/>
      <c r="CS454" s="303"/>
      <c r="CT454" s="302"/>
      <c r="CU454" s="302"/>
      <c r="CV454" s="303"/>
      <c r="CW454" s="302"/>
      <c r="CX454" s="302"/>
      <c r="CY454" s="303"/>
      <c r="CZ454" s="302"/>
      <c r="DA454" s="302"/>
      <c r="DB454" s="303"/>
      <c r="DC454" s="302"/>
      <c r="DD454" s="302"/>
      <c r="DE454" s="788"/>
      <c r="DF454" s="302"/>
      <c r="DG454" s="302"/>
      <c r="DH454" s="788"/>
      <c r="DI454" s="302"/>
      <c r="DJ454" s="302"/>
      <c r="DK454" s="700"/>
      <c r="DL454" s="302"/>
      <c r="DM454" s="302"/>
      <c r="DN454" s="700"/>
      <c r="DO454" s="302"/>
      <c r="DP454" s="302"/>
      <c r="DQ454" s="700"/>
      <c r="DR454" s="302"/>
      <c r="DS454" s="302"/>
      <c r="DT454" s="700"/>
      <c r="DU454" s="302"/>
      <c r="DV454" s="302"/>
      <c r="DW454" s="700"/>
      <c r="DX454" s="302"/>
      <c r="DY454" s="302"/>
      <c r="DZ454" s="700"/>
      <c r="EA454" s="302"/>
      <c r="EB454" s="302"/>
      <c r="EC454" s="700"/>
      <c r="ED454" s="302"/>
      <c r="EE454" s="302"/>
      <c r="EF454" s="700"/>
      <c r="EG454" s="302"/>
      <c r="EH454" s="302"/>
      <c r="EI454" s="700"/>
      <c r="EJ454" s="302"/>
      <c r="EK454" s="302"/>
      <c r="EL454" s="700"/>
      <c r="EM454" s="302"/>
      <c r="EN454" s="302"/>
      <c r="EO454" s="700"/>
      <c r="EP454" s="302"/>
      <c r="EQ454" s="302"/>
      <c r="ER454" s="700"/>
      <c r="ES454" s="302"/>
      <c r="ET454" s="302"/>
      <c r="EU454" s="700"/>
      <c r="EV454" s="302"/>
      <c r="EW454" s="302"/>
      <c r="EX454" s="700"/>
      <c r="EY454" s="302"/>
      <c r="EZ454" s="302"/>
      <c r="FA454" s="552"/>
      <c r="FB454" s="11"/>
      <c r="FC454" s="11"/>
      <c r="FD454" s="11"/>
      <c r="FE454" s="11"/>
      <c r="FF454" s="11"/>
      <c r="FG454" s="11"/>
      <c r="FH454" s="11"/>
      <c r="FI454" s="11"/>
      <c r="FJ454" s="11"/>
      <c r="FK454" s="11"/>
      <c r="FL454" s="11"/>
      <c r="FM454" s="11"/>
      <c r="FN454" s="11"/>
      <c r="FO454" s="11"/>
      <c r="FP454" s="11"/>
      <c r="FQ454" s="11"/>
      <c r="FR454" s="11"/>
      <c r="FS454" s="217"/>
      <c r="FT454" s="217"/>
      <c r="FU454" s="217"/>
      <c r="FV454" s="217"/>
      <c r="FW454" s="217"/>
      <c r="FX454" s="217"/>
      <c r="FY454" s="217"/>
      <c r="FZ454" s="217"/>
      <c r="GA454" s="217"/>
      <c r="GB454" s="217"/>
    </row>
    <row r="455" spans="1:184" s="218" customFormat="1" ht="13.35" customHeight="1">
      <c r="A455" s="989"/>
      <c r="B455" s="458" t="s">
        <v>910</v>
      </c>
      <c r="C455" s="449"/>
      <c r="D455" s="178"/>
      <c r="E455" s="278"/>
      <c r="F455" s="278"/>
      <c r="G455" s="279"/>
      <c r="H455" s="278"/>
      <c r="I455" s="278"/>
      <c r="J455" s="279"/>
      <c r="K455" s="278"/>
      <c r="L455" s="278"/>
      <c r="M455" s="279"/>
      <c r="N455" s="278"/>
      <c r="O455" s="278"/>
      <c r="P455" s="279"/>
      <c r="Q455" s="278"/>
      <c r="R455" s="278"/>
      <c r="S455" s="279"/>
      <c r="T455" s="278"/>
      <c r="U455" s="278"/>
      <c r="V455" s="279"/>
      <c r="W455" s="278"/>
      <c r="X455" s="278"/>
      <c r="Y455" s="279"/>
      <c r="Z455" s="278"/>
      <c r="AA455" s="278"/>
      <c r="AB455" s="279"/>
      <c r="AC455" s="278"/>
      <c r="AD455" s="278"/>
      <c r="AE455" s="279"/>
      <c r="AF455" s="278"/>
      <c r="AG455" s="278"/>
      <c r="AH455" s="279"/>
      <c r="AI455" s="278"/>
      <c r="AJ455" s="278"/>
      <c r="AK455" s="279"/>
      <c r="AL455" s="278"/>
      <c r="AM455" s="278"/>
      <c r="AN455" s="279"/>
      <c r="AO455" s="278"/>
      <c r="AP455" s="278"/>
      <c r="AQ455" s="279"/>
      <c r="AR455" s="278"/>
      <c r="AS455" s="278"/>
      <c r="AT455" s="279"/>
      <c r="AU455" s="278"/>
      <c r="AV455" s="278"/>
      <c r="AW455" s="279"/>
      <c r="AX455" s="278"/>
      <c r="AY455" s="278"/>
      <c r="AZ455" s="279"/>
      <c r="BA455" s="278"/>
      <c r="BB455" s="278"/>
      <c r="BC455" s="279"/>
      <c r="BD455" s="278"/>
      <c r="BE455" s="278"/>
      <c r="BF455" s="279"/>
      <c r="BG455" s="278"/>
      <c r="BH455" s="278"/>
      <c r="BI455" s="279"/>
      <c r="BJ455" s="278"/>
      <c r="BK455" s="278"/>
      <c r="BL455" s="462"/>
      <c r="BM455" s="483"/>
      <c r="BN455" s="483"/>
      <c r="BO455" s="484"/>
      <c r="BP455" s="484"/>
      <c r="BQ455" s="484"/>
      <c r="BR455" s="484"/>
      <c r="BS455" s="484"/>
      <c r="BT455" s="484"/>
      <c r="BU455" s="485"/>
      <c r="BV455" s="302"/>
      <c r="BW455" s="302"/>
      <c r="BX455" s="303"/>
      <c r="BY455" s="302"/>
      <c r="BZ455" s="302"/>
      <c r="CA455" s="303"/>
      <c r="CB455" s="302"/>
      <c r="CC455" s="302"/>
      <c r="CD455" s="303"/>
      <c r="CE455" s="302"/>
      <c r="CF455" s="302"/>
      <c r="CG455" s="303"/>
      <c r="CH455" s="302"/>
      <c r="CI455" s="302"/>
      <c r="CJ455" s="303"/>
      <c r="CK455" s="302"/>
      <c r="CL455" s="302"/>
      <c r="CM455" s="303"/>
      <c r="CN455" s="302"/>
      <c r="CO455" s="302"/>
      <c r="CP455" s="303"/>
      <c r="CQ455" s="302"/>
      <c r="CR455" s="302"/>
      <c r="CS455" s="303"/>
      <c r="CT455" s="302"/>
      <c r="CU455" s="302"/>
      <c r="CV455" s="303"/>
      <c r="CW455" s="302"/>
      <c r="CX455" s="302"/>
      <c r="CY455" s="303"/>
      <c r="CZ455" s="302"/>
      <c r="DA455" s="302"/>
      <c r="DB455" s="303"/>
      <c r="DC455" s="302"/>
      <c r="DD455" s="302"/>
      <c r="DE455" s="788"/>
      <c r="DF455" s="302"/>
      <c r="DG455" s="302"/>
      <c r="DH455" s="788"/>
      <c r="DI455" s="487">
        <v>792.06738617625183</v>
      </c>
      <c r="DJ455" s="487">
        <v>32.432613823748142</v>
      </c>
      <c r="DK455" s="696">
        <v>824.5</v>
      </c>
      <c r="DL455" s="645">
        <f>DL449-DL452</f>
        <v>1016.6</v>
      </c>
      <c r="DM455" s="487">
        <f t="shared" ref="DM455:EU455" si="460">DM449-DM452</f>
        <v>-51.599999999999994</v>
      </c>
      <c r="DN455" s="674">
        <f t="shared" si="460"/>
        <v>965</v>
      </c>
      <c r="DO455" s="645">
        <f t="shared" si="460"/>
        <v>1103</v>
      </c>
      <c r="DP455" s="487">
        <f t="shared" si="460"/>
        <v>-31</v>
      </c>
      <c r="DQ455" s="674">
        <f t="shared" si="460"/>
        <v>1072</v>
      </c>
      <c r="DR455" s="645">
        <f t="shared" si="460"/>
        <v>1118</v>
      </c>
      <c r="DS455" s="645">
        <f t="shared" si="460"/>
        <v>4</v>
      </c>
      <c r="DT455" s="674">
        <f t="shared" si="460"/>
        <v>1122</v>
      </c>
      <c r="DU455" s="645">
        <f t="shared" si="460"/>
        <v>937</v>
      </c>
      <c r="DV455" s="645">
        <f>DV449-DV452</f>
        <v>90</v>
      </c>
      <c r="DW455" s="674">
        <f>DW449-DW452</f>
        <v>1027</v>
      </c>
      <c r="DX455" s="645">
        <f t="shared" ref="DX455" si="461">DX449-DX452</f>
        <v>876</v>
      </c>
      <c r="DY455" s="645">
        <f t="shared" si="460"/>
        <v>39.26034942353273</v>
      </c>
      <c r="DZ455" s="674">
        <f t="shared" si="460"/>
        <v>915.26034942353283</v>
      </c>
      <c r="EA455" s="645">
        <f t="shared" si="460"/>
        <v>861.00487139131928</v>
      </c>
      <c r="EB455" s="645">
        <f t="shared" si="460"/>
        <v>39.879841011263125</v>
      </c>
      <c r="EC455" s="674">
        <f t="shared" si="460"/>
        <v>900.88471240258241</v>
      </c>
      <c r="ED455" s="645">
        <f t="shared" si="460"/>
        <v>857.55455807051089</v>
      </c>
      <c r="EE455" s="645">
        <f t="shared" si="460"/>
        <v>41.493734881076463</v>
      </c>
      <c r="EF455" s="674">
        <f t="shared" si="460"/>
        <v>899.0482929515872</v>
      </c>
      <c r="EG455" s="645">
        <f t="shared" si="460"/>
        <v>870.78561277991605</v>
      </c>
      <c r="EH455" s="645">
        <f t="shared" si="460"/>
        <v>38.96960957869797</v>
      </c>
      <c r="EI455" s="674">
        <f t="shared" si="460"/>
        <v>909.75522235861399</v>
      </c>
      <c r="EJ455" s="645">
        <f t="shared" si="460"/>
        <v>891.02912648530616</v>
      </c>
      <c r="EK455" s="645">
        <f t="shared" si="460"/>
        <v>35.107697866058913</v>
      </c>
      <c r="EL455" s="674">
        <f t="shared" si="460"/>
        <v>926.13682435136502</v>
      </c>
      <c r="EM455" s="645">
        <f t="shared" si="460"/>
        <v>911.87994560185825</v>
      </c>
      <c r="EN455" s="645">
        <f t="shared" si="460"/>
        <v>31.129928802040666</v>
      </c>
      <c r="EO455" s="674">
        <f t="shared" si="460"/>
        <v>943.00987440389895</v>
      </c>
      <c r="EP455" s="645">
        <f t="shared" si="460"/>
        <v>933.35628929190682</v>
      </c>
      <c r="EQ455" s="645">
        <f t="shared" si="460"/>
        <v>27.032826666101897</v>
      </c>
      <c r="ER455" s="674">
        <f t="shared" si="460"/>
        <v>960.38911595800892</v>
      </c>
      <c r="ES455" s="645">
        <f t="shared" si="460"/>
        <v>955.47692329265669</v>
      </c>
      <c r="ET455" s="645">
        <f t="shared" si="460"/>
        <v>22.812811466084952</v>
      </c>
      <c r="EU455" s="674">
        <f t="shared" si="460"/>
        <v>978.28973475874159</v>
      </c>
      <c r="EV455" s="645">
        <f t="shared" ref="EV455:FA455" si="462">EV449-EV452</f>
        <v>978.26117631342902</v>
      </c>
      <c r="EW455" s="645">
        <f t="shared" si="462"/>
        <v>18.466195810067461</v>
      </c>
      <c r="EX455" s="674">
        <f t="shared" si="462"/>
        <v>996.72737212349659</v>
      </c>
      <c r="EY455" s="645">
        <f t="shared" si="462"/>
        <v>1001.7289569248246</v>
      </c>
      <c r="EZ455" s="645">
        <f t="shared" si="462"/>
        <v>13.989181684369498</v>
      </c>
      <c r="FA455" s="6">
        <f t="shared" si="462"/>
        <v>1015.7181386091942</v>
      </c>
      <c r="FB455" s="11"/>
      <c r="FC455" s="11"/>
      <c r="FD455" s="11"/>
      <c r="FE455" s="11"/>
      <c r="FF455" s="11"/>
      <c r="FG455" s="11"/>
      <c r="FH455" s="11"/>
      <c r="FI455" s="11"/>
      <c r="FJ455" s="11"/>
      <c r="FK455" s="11"/>
      <c r="FL455" s="11"/>
      <c r="FM455" s="11"/>
      <c r="FN455" s="11"/>
      <c r="FO455" s="11"/>
      <c r="FP455" s="11"/>
      <c r="FQ455" s="11"/>
      <c r="FR455" s="11"/>
      <c r="FS455" s="217"/>
      <c r="FT455" s="217"/>
      <c r="FU455" s="217"/>
      <c r="FV455" s="217"/>
      <c r="FW455" s="217"/>
      <c r="FX455" s="217"/>
      <c r="FY455" s="217"/>
      <c r="FZ455" s="217"/>
      <c r="GA455" s="217"/>
      <c r="GB455" s="217"/>
    </row>
    <row r="456" spans="1:184" s="218" customFormat="1" ht="13.35" customHeight="1">
      <c r="A456" s="989"/>
      <c r="B456" s="177" t="s">
        <v>212</v>
      </c>
      <c r="C456" s="4"/>
      <c r="D456" s="178"/>
      <c r="E456" s="278"/>
      <c r="F456" s="278"/>
      <c r="G456" s="279"/>
      <c r="H456" s="278"/>
      <c r="I456" s="278"/>
      <c r="J456" s="279"/>
      <c r="K456" s="278"/>
      <c r="L456" s="278"/>
      <c r="M456" s="279"/>
      <c r="N456" s="278"/>
      <c r="O456" s="278"/>
      <c r="P456" s="279"/>
      <c r="Q456" s="278"/>
      <c r="R456" s="278"/>
      <c r="S456" s="279"/>
      <c r="T456" s="278"/>
      <c r="U456" s="278"/>
      <c r="V456" s="279"/>
      <c r="W456" s="278"/>
      <c r="X456" s="278"/>
      <c r="Y456" s="279"/>
      <c r="Z456" s="278"/>
      <c r="AA456" s="278"/>
      <c r="AB456" s="279"/>
      <c r="AC456" s="278"/>
      <c r="AD456" s="278"/>
      <c r="AE456" s="279"/>
      <c r="AF456" s="278"/>
      <c r="AG456" s="278"/>
      <c r="AH456" s="279"/>
      <c r="AI456" s="278"/>
      <c r="AJ456" s="278"/>
      <c r="AK456" s="279"/>
      <c r="AL456" s="278"/>
      <c r="AM456" s="278"/>
      <c r="AN456" s="279"/>
      <c r="AO456" s="278"/>
      <c r="AP456" s="278"/>
      <c r="AQ456" s="279"/>
      <c r="AR456" s="278"/>
      <c r="AS456" s="278"/>
      <c r="AT456" s="279"/>
      <c r="AU456" s="278"/>
      <c r="AV456" s="278"/>
      <c r="AW456" s="279"/>
      <c r="AX456" s="278"/>
      <c r="AY456" s="278"/>
      <c r="AZ456" s="279"/>
      <c r="BA456" s="278"/>
      <c r="BB456" s="278"/>
      <c r="BC456" s="279"/>
      <c r="BD456" s="278"/>
      <c r="BE456" s="278"/>
      <c r="BF456" s="279"/>
      <c r="BG456" s="278"/>
      <c r="BH456" s="278"/>
      <c r="BI456" s="279"/>
      <c r="BJ456" s="278"/>
      <c r="BK456" s="278"/>
      <c r="BL456" s="462"/>
      <c r="BM456" s="483"/>
      <c r="BN456" s="483"/>
      <c r="BO456" s="484"/>
      <c r="BP456" s="484"/>
      <c r="BQ456" s="484"/>
      <c r="BR456" s="484"/>
      <c r="BS456" s="484"/>
      <c r="BT456" s="484"/>
      <c r="BU456" s="485"/>
      <c r="BV456" s="302"/>
      <c r="BW456" s="302"/>
      <c r="BX456" s="303"/>
      <c r="BY456" s="302"/>
      <c r="BZ456" s="302"/>
      <c r="CA456" s="303"/>
      <c r="CB456" s="302"/>
      <c r="CC456" s="302"/>
      <c r="CD456" s="303"/>
      <c r="CE456" s="302"/>
      <c r="CF456" s="302"/>
      <c r="CG456" s="303"/>
      <c r="CH456" s="302"/>
      <c r="CI456" s="302"/>
      <c r="CJ456" s="303"/>
      <c r="CK456" s="302"/>
      <c r="CL456" s="302"/>
      <c r="CM456" s="303"/>
      <c r="CN456" s="302"/>
      <c r="CO456" s="302"/>
      <c r="CP456" s="303"/>
      <c r="CQ456" s="302"/>
      <c r="CR456" s="302"/>
      <c r="CS456" s="303"/>
      <c r="CT456" s="302"/>
      <c r="CU456" s="302"/>
      <c r="CV456" s="303"/>
      <c r="CW456" s="302"/>
      <c r="CX456" s="302"/>
      <c r="CY456" s="303"/>
      <c r="CZ456" s="302"/>
      <c r="DA456" s="302"/>
      <c r="DB456" s="303"/>
      <c r="DC456" s="302"/>
      <c r="DD456" s="302"/>
      <c r="DE456" s="788"/>
      <c r="DF456" s="302"/>
      <c r="DG456" s="302"/>
      <c r="DH456" s="788"/>
      <c r="DI456" s="303">
        <v>0.55583676222894862</v>
      </c>
      <c r="DJ456" s="303">
        <v>0.10421791074469197</v>
      </c>
      <c r="DK456" s="700">
        <v>0.47488768575048956</v>
      </c>
      <c r="DL456" s="303">
        <f t="shared" ref="DL456:EU456" si="463">DL455/DL411</f>
        <v>0.60332344213649858</v>
      </c>
      <c r="DM456" s="303">
        <f t="shared" si="463"/>
        <v>-0.1849462365591398</v>
      </c>
      <c r="DN456" s="700">
        <f t="shared" si="463"/>
        <v>0.49134419551934827</v>
      </c>
      <c r="DO456" s="303">
        <f t="shared" si="463"/>
        <v>0.63463751438434979</v>
      </c>
      <c r="DP456" s="303">
        <f t="shared" si="463"/>
        <v>-0.10580204778156999</v>
      </c>
      <c r="DQ456" s="700">
        <f t="shared" si="463"/>
        <v>0.52781880846873463</v>
      </c>
      <c r="DR456" s="303">
        <f t="shared" si="463"/>
        <v>0.61973392461197341</v>
      </c>
      <c r="DS456" s="303">
        <f t="shared" si="463"/>
        <v>1.2345679012345678E-2</v>
      </c>
      <c r="DT456" s="700">
        <f t="shared" si="463"/>
        <v>0.52725563909774431</v>
      </c>
      <c r="DU456" s="303">
        <f t="shared" si="463"/>
        <v>0.56411800120409394</v>
      </c>
      <c r="DV456" s="303">
        <f>DV455/DV411</f>
        <v>0.17821782178217821</v>
      </c>
      <c r="DW456" s="700">
        <f>DW455/DW411</f>
        <v>0.47414589104339799</v>
      </c>
      <c r="DX456" s="303">
        <f t="shared" ref="DX456" si="464">DX455/DX411</f>
        <v>0.53219927095990283</v>
      </c>
      <c r="DY456" s="303">
        <f t="shared" si="463"/>
        <v>0.10865621026156337</v>
      </c>
      <c r="DZ456" s="700">
        <f t="shared" si="463"/>
        <v>0.45595991884534293</v>
      </c>
      <c r="EA456" s="303">
        <f t="shared" si="463"/>
        <v>0.53232454264480911</v>
      </c>
      <c r="EB456" s="303">
        <f t="shared" si="463"/>
        <v>0.11100238309236263</v>
      </c>
      <c r="EC456" s="700">
        <f t="shared" si="463"/>
        <v>0.45574872204936473</v>
      </c>
      <c r="ED456" s="303">
        <f t="shared" si="463"/>
        <v>0.53369551203645782</v>
      </c>
      <c r="EE456" s="303">
        <f t="shared" si="463"/>
        <v>0.1156542796549101</v>
      </c>
      <c r="EF456" s="700">
        <f t="shared" si="463"/>
        <v>0.45739185621121037</v>
      </c>
      <c r="EG456" s="303">
        <f t="shared" si="463"/>
        <v>0.53267526337903959</v>
      </c>
      <c r="EH456" s="303">
        <f t="shared" si="463"/>
        <v>0.10801208111619962</v>
      </c>
      <c r="EI456" s="700">
        <f t="shared" si="463"/>
        <v>0.45589666363068249</v>
      </c>
      <c r="EJ456" s="303">
        <f t="shared" si="463"/>
        <v>0.53118000759268746</v>
      </c>
      <c r="EK456" s="303">
        <f t="shared" si="463"/>
        <v>9.6483371851895816E-2</v>
      </c>
      <c r="EL456" s="700">
        <f t="shared" si="463"/>
        <v>0.45369388461873961</v>
      </c>
      <c r="EM456" s="303">
        <f t="shared" si="463"/>
        <v>0.52971746655532514</v>
      </c>
      <c r="EN456" s="303">
        <f t="shared" si="463"/>
        <v>8.4811317172013609E-2</v>
      </c>
      <c r="EO456" s="700">
        <f t="shared" si="463"/>
        <v>0.45152601660904612</v>
      </c>
      <c r="EP456" s="303">
        <f t="shared" si="463"/>
        <v>0.52828719634799104</v>
      </c>
      <c r="EQ456" s="303">
        <f t="shared" si="463"/>
        <v>7.2998420124477131E-2</v>
      </c>
      <c r="ER456" s="700">
        <f t="shared" si="463"/>
        <v>0.44939316069408003</v>
      </c>
      <c r="ES456" s="303">
        <f t="shared" si="463"/>
        <v>0.52688874485337145</v>
      </c>
      <c r="ET456" s="303">
        <f t="shared" si="463"/>
        <v>6.104736902257981E-2</v>
      </c>
      <c r="EU456" s="700">
        <f t="shared" si="463"/>
        <v>0.44729538463787344</v>
      </c>
      <c r="EV456" s="303">
        <f t="shared" ref="EV456:FA456" si="465">EV455/EV411</f>
        <v>0.525521652665492</v>
      </c>
      <c r="EW456" s="303">
        <f t="shared" si="465"/>
        <v>4.8961037499762737E-2</v>
      </c>
      <c r="EX456" s="700">
        <f t="shared" si="465"/>
        <v>0.44523272385483004</v>
      </c>
      <c r="EY456" s="303">
        <f t="shared" si="465"/>
        <v>0.52418545396717731</v>
      </c>
      <c r="EZ456" s="303">
        <f t="shared" si="465"/>
        <v>3.6742484101089316E-2</v>
      </c>
      <c r="FA456" s="552">
        <f t="shared" si="465"/>
        <v>0.44320518242299445</v>
      </c>
      <c r="FB456" s="11"/>
      <c r="FC456" s="11"/>
      <c r="FD456" s="11"/>
      <c r="FE456" s="11"/>
      <c r="FF456" s="11"/>
      <c r="FG456" s="11"/>
      <c r="FH456" s="11"/>
      <c r="FI456" s="11"/>
      <c r="FJ456" s="11"/>
      <c r="FK456" s="11"/>
      <c r="FL456" s="11"/>
      <c r="FM456" s="11"/>
      <c r="FN456" s="11"/>
      <c r="FO456" s="11"/>
      <c r="FP456" s="11"/>
      <c r="FQ456" s="11"/>
      <c r="FR456" s="11"/>
      <c r="FS456" s="217"/>
      <c r="FT456" s="217"/>
      <c r="FU456" s="217"/>
      <c r="FV456" s="217"/>
      <c r="FW456" s="217"/>
      <c r="FX456" s="217"/>
      <c r="FY456" s="217"/>
      <c r="FZ456" s="217"/>
      <c r="GA456" s="217"/>
      <c r="GB456" s="217"/>
    </row>
    <row r="457" spans="1:184" ht="13.35" customHeight="1">
      <c r="A457" s="1019"/>
      <c r="CN457" s="486"/>
      <c r="CO457" s="486"/>
      <c r="CP457" s="487"/>
      <c r="CQ457" s="486"/>
      <c r="CR457" s="486"/>
      <c r="CS457" s="487"/>
      <c r="CT457" s="486"/>
      <c r="CU457" s="486"/>
      <c r="CV457" s="487"/>
      <c r="CW457" s="486"/>
      <c r="CX457" s="486"/>
      <c r="CY457" s="487"/>
      <c r="CZ457" s="486"/>
      <c r="DA457" s="486"/>
      <c r="DB457" s="487"/>
      <c r="DC457" s="486"/>
      <c r="DD457" s="486"/>
      <c r="DE457" s="487"/>
      <c r="DF457" s="486"/>
      <c r="DG457" s="486"/>
      <c r="DH457" s="487"/>
      <c r="DI457" s="486"/>
      <c r="DJ457" s="486"/>
      <c r="DK457" s="484"/>
      <c r="DL457" s="629"/>
      <c r="DM457" s="486"/>
      <c r="DN457" s="484"/>
      <c r="DO457" s="629"/>
      <c r="DP457" s="630"/>
      <c r="DQ457" s="630"/>
      <c r="DR457" s="629"/>
      <c r="DS457" s="486"/>
      <c r="DT457" s="630"/>
      <c r="DU457" s="486"/>
      <c r="DV457" s="486"/>
      <c r="DW457" s="630"/>
      <c r="DX457" s="486"/>
      <c r="DY457" s="486"/>
      <c r="DZ457" s="630"/>
      <c r="EA457" s="486"/>
      <c r="EB457" s="486"/>
      <c r="EC457" s="484"/>
      <c r="ED457" s="486"/>
      <c r="EE457" s="486"/>
      <c r="EF457" s="484"/>
      <c r="EG457" s="486"/>
      <c r="EH457" s="486"/>
      <c r="EI457" s="484"/>
      <c r="EJ457" s="486"/>
      <c r="EK457" s="486"/>
      <c r="EL457" s="484"/>
      <c r="EM457" s="486"/>
      <c r="EN457" s="486"/>
      <c r="EO457" s="484"/>
      <c r="EP457" s="486"/>
      <c r="EQ457" s="486"/>
      <c r="ER457" s="484"/>
      <c r="ES457" s="486"/>
      <c r="ET457" s="486"/>
      <c r="EU457" s="484"/>
      <c r="EV457" s="486"/>
      <c r="EW457" s="486"/>
      <c r="EX457" s="484"/>
      <c r="EY457" s="486"/>
      <c r="EZ457" s="486"/>
      <c r="FA457" s="484"/>
      <c r="FB457" s="11"/>
      <c r="FC457" s="11"/>
      <c r="FD457" s="11"/>
      <c r="FE457" s="11"/>
      <c r="FF457" s="11"/>
      <c r="FG457" s="11"/>
      <c r="FH457" s="11"/>
      <c r="FI457" s="11"/>
      <c r="FJ457" s="11"/>
      <c r="FK457" s="11"/>
      <c r="FL457" s="11"/>
      <c r="FM457" s="11"/>
      <c r="FN457" s="11"/>
      <c r="FO457" s="11"/>
      <c r="FP457" s="217"/>
      <c r="FQ457" s="217"/>
      <c r="FR457" s="217"/>
    </row>
    <row r="458" spans="1:184" s="218" customFormat="1" ht="13.35" customHeight="1">
      <c r="A458" s="989"/>
      <c r="B458" s="4"/>
      <c r="C458" s="4"/>
      <c r="D458" s="178"/>
      <c r="E458" s="278"/>
      <c r="F458" s="278"/>
      <c r="G458" s="279"/>
      <c r="H458" s="278"/>
      <c r="I458" s="278"/>
      <c r="J458" s="279"/>
      <c r="K458" s="278"/>
      <c r="L458" s="278"/>
      <c r="M458" s="279"/>
      <c r="N458" s="278"/>
      <c r="O458" s="278"/>
      <c r="P458" s="279"/>
      <c r="Q458" s="278"/>
      <c r="R458" s="278"/>
      <c r="S458" s="279"/>
      <c r="T458" s="278"/>
      <c r="U458" s="278"/>
      <c r="V458" s="279"/>
      <c r="W458" s="278"/>
      <c r="X458" s="278"/>
      <c r="Y458" s="279"/>
      <c r="Z458" s="278"/>
      <c r="AA458" s="278"/>
      <c r="AB458" s="279"/>
      <c r="AC458" s="278"/>
      <c r="AD458" s="278"/>
      <c r="AE458" s="279"/>
      <c r="AF458" s="278"/>
      <c r="AG458" s="278"/>
      <c r="AH458" s="279"/>
      <c r="AI458" s="278"/>
      <c r="AJ458" s="278"/>
      <c r="AK458" s="279"/>
      <c r="AL458" s="278"/>
      <c r="AM458" s="278"/>
      <c r="AN458" s="279"/>
      <c r="AO458" s="278"/>
      <c r="AP458" s="278"/>
      <c r="AQ458" s="279"/>
      <c r="AR458" s="278"/>
      <c r="AS458" s="278"/>
      <c r="AT458" s="279"/>
      <c r="AU458" s="278"/>
      <c r="AV458" s="278"/>
      <c r="AW458" s="279"/>
      <c r="AX458" s="278"/>
      <c r="AY458" s="278"/>
      <c r="AZ458" s="279"/>
      <c r="BA458" s="278"/>
      <c r="BB458" s="278"/>
      <c r="BC458" s="279"/>
      <c r="BD458" s="278"/>
      <c r="BE458" s="278"/>
      <c r="BF458" s="279"/>
      <c r="BG458" s="278"/>
      <c r="BH458" s="278"/>
      <c r="BI458" s="279"/>
      <c r="BJ458" s="278"/>
      <c r="BK458" s="278"/>
      <c r="BL458" s="462"/>
      <c r="BM458" s="483"/>
      <c r="BN458" s="483"/>
      <c r="BO458" s="484"/>
      <c r="BP458" s="484"/>
      <c r="BQ458" s="484"/>
      <c r="BR458" s="484"/>
      <c r="BS458" s="484"/>
      <c r="BT458" s="484"/>
      <c r="BU458" s="485"/>
      <c r="BV458" s="302"/>
      <c r="BW458" s="302"/>
      <c r="BX458" s="303"/>
      <c r="BY458" s="302"/>
      <c r="BZ458" s="302"/>
      <c r="CA458" s="303"/>
      <c r="CB458" s="302"/>
      <c r="CC458" s="302"/>
      <c r="CD458" s="303"/>
      <c r="CE458" s="302"/>
      <c r="CF458" s="302"/>
      <c r="CG458" s="303"/>
      <c r="CH458" s="302"/>
      <c r="CI458" s="302"/>
      <c r="CJ458" s="303"/>
      <c r="CK458" s="302"/>
      <c r="CL458" s="302"/>
      <c r="CM458" s="303"/>
      <c r="CN458" s="302"/>
      <c r="CO458" s="302"/>
      <c r="CP458" s="303"/>
      <c r="CQ458" s="302"/>
      <c r="CR458" s="302"/>
      <c r="CS458" s="303"/>
      <c r="CT458" s="302"/>
      <c r="CU458" s="302"/>
      <c r="CV458" s="303"/>
      <c r="CW458" s="302"/>
      <c r="CX458" s="302"/>
      <c r="CY458" s="303"/>
      <c r="CZ458" s="302"/>
      <c r="DA458" s="302"/>
      <c r="DB458" s="303"/>
      <c r="DC458" s="302"/>
      <c r="DD458" s="302"/>
      <c r="DE458" s="303"/>
      <c r="DF458" s="302"/>
      <c r="DG458" s="302"/>
      <c r="DH458" s="303"/>
      <c r="DI458" s="303"/>
      <c r="DJ458" s="303"/>
      <c r="DK458" s="552"/>
      <c r="DL458" s="302"/>
      <c r="DM458" s="302"/>
      <c r="DN458" s="552"/>
      <c r="DO458" s="302"/>
      <c r="DP458" s="302"/>
      <c r="DQ458" s="552"/>
      <c r="DR458" s="302"/>
      <c r="DS458" s="302"/>
      <c r="DT458" s="552"/>
      <c r="DU458" s="302"/>
      <c r="DV458" s="302"/>
      <c r="DW458" s="552"/>
      <c r="DX458" s="302"/>
      <c r="DY458" s="302"/>
      <c r="DZ458" s="552"/>
      <c r="EA458" s="302"/>
      <c r="EB458" s="302"/>
      <c r="EC458" s="552"/>
      <c r="ED458" s="302"/>
      <c r="EE458" s="302"/>
      <c r="EF458" s="552"/>
      <c r="EG458" s="302"/>
      <c r="EH458" s="302"/>
      <c r="EI458" s="552"/>
      <c r="EJ458" s="302"/>
      <c r="EK458" s="302"/>
      <c r="EL458" s="552"/>
      <c r="EM458" s="302"/>
      <c r="EN458" s="302"/>
      <c r="EO458" s="552"/>
      <c r="EP458" s="302"/>
      <c r="EQ458" s="302"/>
      <c r="ER458" s="552"/>
      <c r="ES458" s="302"/>
      <c r="ET458" s="302"/>
      <c r="EU458" s="552"/>
      <c r="EV458" s="302"/>
      <c r="EW458" s="302"/>
      <c r="EX458" s="552"/>
      <c r="EY458" s="302"/>
      <c r="EZ458" s="302"/>
      <c r="FA458" s="552"/>
      <c r="FB458" s="11"/>
      <c r="FC458" s="11"/>
      <c r="FD458" s="11"/>
      <c r="FE458" s="11"/>
      <c r="FF458" s="11"/>
      <c r="FG458" s="11"/>
      <c r="FH458" s="11"/>
      <c r="FI458" s="11"/>
      <c r="FJ458" s="11"/>
      <c r="FK458" s="11"/>
      <c r="FL458" s="11"/>
      <c r="FM458" s="11"/>
      <c r="FN458" s="11"/>
      <c r="FO458" s="11"/>
      <c r="FP458" s="217"/>
      <c r="FQ458" s="217"/>
      <c r="FR458" s="217"/>
      <c r="FS458" s="217"/>
      <c r="FT458" s="217"/>
      <c r="FU458" s="217"/>
      <c r="FV458" s="217"/>
      <c r="FW458" s="217"/>
      <c r="FX458" s="217"/>
      <c r="FY458" s="217"/>
      <c r="FZ458" s="217"/>
      <c r="GA458" s="217"/>
      <c r="GB458" s="217"/>
    </row>
    <row r="460" spans="1:184" ht="13.35" customHeight="1">
      <c r="DY460" s="631"/>
    </row>
  </sheetData>
  <phoneticPr fontId="62" type="noConversion"/>
  <printOptions gridLines="1"/>
  <pageMargins left="0" right="0" top="0" bottom="0" header="0" footer="0"/>
  <pageSetup paperSize="5" scale="10" orientation="landscape" r:id="rId1"/>
  <headerFooter alignWithMargins="0">
    <oddHeader>&amp;C&amp;A</oddHeader>
    <oddFooter>&amp;CPage &amp;P</oddFooter>
  </headerFooter>
  <ignoredErrors>
    <ignoredError sqref="C36:C39 C28:C30 C41 C31:C34" unlockedFormula="1"/>
    <ignoredError sqref="DI6:DU6 DI181:DU182 DI287:DU287 DI350:DU350 DI272:DU272 DI22:DU24 DI21:DO21 DI132:DU132 BU403:DU403 DI444:DU444 DI20:DU20 DI334:DU334 DL448:DM448 DI136:DU136 DN221:DO221 BX102:DU102 DR111:DU111 DN447 BX16:DU16 DI13 DK13:DU13 DI33:DU34 DL317:DU317 DQ447 DT447 DI18:DU18 DO448:DT448 DM215:DN215 DQ19 DI30:DN30 DQ30 DI11:DU12 DI40:DN40 DI36:DU37 DI35:DN35 DN129:DR129 BX27:DU27 DI31:DU31 DI14:DU14 DI17:DU17 DI25:DU25 DI28:DU29 DL110:DU110 DL130:DU130 DL125:DU125 DL123:DU123 DL119:DU122 DL114:DM114 DL115:DU117 DL112:DU113 DL129 DL199:DU201 DL226:DU226 DL227:DU227 DL232:DU240 DL231:DU231 DL243:DU243 DL244:DU245 DL222:DU225 DL228:DU228 DL203:DU214 DL202:DU202 DL198:DU198 DL216:DU219 DL320:DT320 DL337:DU337 DL356:DU356 DL352:DT352 DN220 DO114:DS114 DQ215:DU215 DQ221 DQ21:DU21 DL109:DN109 DP109:DU109 EB447:EC447 DI10:DQ10 DU10 DI32:DS32 DU32 DS10 DI8:DQ8 DI7:DN7 DT7 DT8 DY315:EC315 DL323:DT323 DL326:DT326 DL343:DU343 DL339:DU340 DL346:DU346 DU114 DT129 DY320:EC320 DY323:EC323 DY326:EC326 DY352:EC352 DZ447 DY32:EC32 DY448:EC448 DY6:EC6 DX181:EC182 DX287:EC287 DY350:EC350 DX272:EC272 DY22:EC24 DY132:EC132 DY403:EC403 DY444:EC444 EA20:EC20 DX334:EC334 DY136:EC136 DX102:EC102 DY111:EC111 DY16:EC16 DY13:EC13 DY33:EC34 DY317:EC317 EA18:EL18 DY11:EC12 DY36:EC37 DY27:EC27 DY31:EC31 DY14:EC14 EA17:EC17 DY25:EC25 DY28:EC29 DY110:EC110 DY130:EC130 DY125:EC125 DY123:EC123 DY119:EC122 DY115:EC117 DY112:EC113 DX199:EC201 DX226:EC226 DX227:EC227 DX232:EC240 DX231:EC231 DX243:EC243 DX244:EC245 DX222:EC225 DX228:EC228 DX203:EC214 DX202:EC202 DX198:EC198 DX216:EC219 DY337:EC337 DX356:EC356 DX215:EC215 DY21:EC21 DY109:EC109 DY10:EC10 DY343:EC343 DY339:EC340 DY346:EC346 DY114:EC114 DY129:EC129" formula="1"/>
    <ignoredError sqref="DI314:DU314 DY314:EC314" evalError="1" formula="1"/>
  </ignoredError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92D050"/>
  </sheetPr>
  <dimension ref="A1:FA334"/>
  <sheetViews>
    <sheetView showGridLines="0" zoomScale="70" zoomScaleNormal="70" workbookViewId="0">
      <pane xSplit="4" ySplit="2" topLeftCell="DP123" activePane="bottomRight" state="frozen"/>
      <selection activeCell="BV30" sqref="BV30"/>
      <selection pane="topRight" activeCell="BV30" sqref="BV30"/>
      <selection pane="bottomLeft" activeCell="BV30" sqref="BV30"/>
      <selection pane="bottomRight" activeCell="ED172" sqref="ED172:EF172"/>
    </sheetView>
  </sheetViews>
  <sheetFormatPr defaultColWidth="9.28515625" defaultRowHeight="12.75" outlineLevelRow="1" outlineLevelCol="1"/>
  <cols>
    <col min="1" max="1" width="1.5703125" style="11" customWidth="1"/>
    <col min="2" max="2" width="2.28515625" style="11" customWidth="1"/>
    <col min="3" max="3" width="22.5703125" style="11" customWidth="1"/>
    <col min="4" max="4" width="18.28515625" style="11" customWidth="1"/>
    <col min="5" max="9" width="9.28515625" style="11" hidden="1" customWidth="1" outlineLevel="1"/>
    <col min="10" max="10" width="9.28515625" style="11" hidden="1" customWidth="1" outlineLevel="1" collapsed="1"/>
    <col min="11" max="12" width="9.28515625" style="11" hidden="1" customWidth="1" outlineLevel="1"/>
    <col min="13" max="13" width="9.28515625" style="11" hidden="1" customWidth="1" outlineLevel="1" collapsed="1"/>
    <col min="14" max="15" width="9.28515625" style="11" hidden="1" customWidth="1" outlineLevel="1"/>
    <col min="16" max="16" width="9.28515625" style="11" hidden="1" customWidth="1" outlineLevel="1" collapsed="1"/>
    <col min="17" max="18" width="9.28515625" style="11" hidden="1" customWidth="1" outlineLevel="1"/>
    <col min="19" max="19" width="9.28515625" style="11" hidden="1" customWidth="1" outlineLevel="1" collapsed="1"/>
    <col min="20" max="21" width="9.28515625" style="11" hidden="1" customWidth="1" outlineLevel="1"/>
    <col min="22" max="22" width="9.28515625" style="11" hidden="1" customWidth="1" outlineLevel="1" collapsed="1"/>
    <col min="23" max="24" width="9.28515625" style="11" hidden="1" customWidth="1" outlineLevel="1"/>
    <col min="25" max="25" width="9.28515625" style="11" hidden="1" customWidth="1" outlineLevel="1" collapsed="1"/>
    <col min="26" max="27" width="9.28515625" style="11" hidden="1" customWidth="1" outlineLevel="1"/>
    <col min="28" max="28" width="9.28515625" style="11" hidden="1" customWidth="1" outlineLevel="1" collapsed="1"/>
    <col min="29" max="30" width="9.28515625" style="11" hidden="1" customWidth="1" outlineLevel="1"/>
    <col min="31" max="31" width="9.28515625" style="11" hidden="1" customWidth="1" outlineLevel="1" collapsed="1"/>
    <col min="32" max="33" width="9.28515625" style="11" hidden="1" customWidth="1" outlineLevel="1"/>
    <col min="34" max="34" width="9.28515625" style="11" hidden="1" customWidth="1" outlineLevel="1" collapsed="1"/>
    <col min="35" max="36" width="9.28515625" style="11" hidden="1" customWidth="1" outlineLevel="1"/>
    <col min="37" max="37" width="9.28515625" style="11" hidden="1" customWidth="1" outlineLevel="1" collapsed="1"/>
    <col min="38" max="39" width="9.28515625" style="11" hidden="1" customWidth="1" outlineLevel="1"/>
    <col min="40" max="40" width="9.28515625" style="11" hidden="1" customWidth="1" outlineLevel="1" collapsed="1"/>
    <col min="41" max="42" width="9.28515625" style="11" hidden="1" customWidth="1" outlineLevel="1"/>
    <col min="43" max="43" width="9.28515625" style="11" hidden="1" customWidth="1" outlineLevel="1" collapsed="1"/>
    <col min="44" max="45" width="9.28515625" style="11" hidden="1" customWidth="1" outlineLevel="1"/>
    <col min="46" max="46" width="9.28515625" style="11" hidden="1" customWidth="1" outlineLevel="1" collapsed="1"/>
    <col min="47" max="48" width="9.28515625" style="11" hidden="1" customWidth="1" outlineLevel="1"/>
    <col min="49" max="49" width="9.28515625" style="11" hidden="1" customWidth="1" outlineLevel="1" collapsed="1"/>
    <col min="50" max="51" width="9.28515625" style="11" hidden="1" customWidth="1" outlineLevel="1"/>
    <col min="52" max="52" width="9.28515625" style="11" hidden="1" customWidth="1" outlineLevel="1" collapsed="1"/>
    <col min="53" max="54" width="9.28515625" style="11" hidden="1" customWidth="1" outlineLevel="1"/>
    <col min="55" max="55" width="9.28515625" style="11" hidden="1" customWidth="1" outlineLevel="1" collapsed="1"/>
    <col min="56" max="57" width="9.28515625" style="11" hidden="1" customWidth="1" outlineLevel="1"/>
    <col min="58" max="58" width="9.28515625" style="11" hidden="1" customWidth="1" outlineLevel="1" collapsed="1"/>
    <col min="59" max="60" width="9.28515625" style="11" hidden="1" customWidth="1" outlineLevel="1"/>
    <col min="61" max="61" width="9.28515625" style="11" hidden="1" customWidth="1" outlineLevel="1" collapsed="1"/>
    <col min="62" max="63" width="9.28515625" style="11" hidden="1" customWidth="1" outlineLevel="1"/>
    <col min="64" max="64" width="9.28515625" style="11" hidden="1" customWidth="1" outlineLevel="1" collapsed="1"/>
    <col min="65" max="66" width="9.28515625" style="11" hidden="1" customWidth="1" outlineLevel="1"/>
    <col min="67" max="67" width="9.28515625" style="11" hidden="1" customWidth="1" outlineLevel="1" collapsed="1"/>
    <col min="68" max="69" width="9.28515625" style="11" hidden="1" customWidth="1" outlineLevel="1"/>
    <col min="70" max="70" width="9.28515625" style="11" hidden="1" customWidth="1" outlineLevel="1" collapsed="1"/>
    <col min="71" max="72" width="9.28515625" style="11" hidden="1" customWidth="1" outlineLevel="1"/>
    <col min="73" max="73" width="9.28515625" style="11" hidden="1" customWidth="1" outlineLevel="1" collapsed="1"/>
    <col min="74" max="75" width="9.28515625" style="11" hidden="1" customWidth="1" outlineLevel="1"/>
    <col min="76" max="76" width="9.28515625" style="11" hidden="1" customWidth="1" outlineLevel="1" collapsed="1"/>
    <col min="77" max="78" width="9.28515625" style="11" hidden="1" customWidth="1" outlineLevel="1"/>
    <col min="79" max="79" width="9.28515625" style="11" hidden="1" customWidth="1" outlineLevel="1" collapsed="1"/>
    <col min="80" max="81" width="9.28515625" style="11" hidden="1" customWidth="1" outlineLevel="1"/>
    <col min="82" max="82" width="9.28515625" style="11" hidden="1" customWidth="1" outlineLevel="1" collapsed="1"/>
    <col min="83" max="84" width="9.28515625" style="11" hidden="1" customWidth="1" outlineLevel="1"/>
    <col min="85" max="85" width="9.28515625" style="11" hidden="1" customWidth="1" outlineLevel="1" collapsed="1"/>
    <col min="86" max="87" width="9.28515625" style="11" hidden="1" customWidth="1" outlineLevel="1"/>
    <col min="88" max="88" width="9.28515625" style="11" hidden="1" customWidth="1" outlineLevel="1" collapsed="1"/>
    <col min="89" max="90" width="9.28515625" style="11" hidden="1" customWidth="1" outlineLevel="1"/>
    <col min="91" max="91" width="9.28515625" style="11" hidden="1" customWidth="1" outlineLevel="1" collapsed="1"/>
    <col min="92" max="93" width="9.28515625" style="11" hidden="1" customWidth="1" outlineLevel="1"/>
    <col min="94" max="94" width="9.28515625" style="11" hidden="1" customWidth="1" outlineLevel="1" collapsed="1"/>
    <col min="95" max="96" width="9.28515625" style="11" hidden="1" customWidth="1" outlineLevel="1"/>
    <col min="97" max="97" width="9.28515625" style="11" hidden="1" customWidth="1" outlineLevel="1" collapsed="1"/>
    <col min="98" max="99" width="9.28515625" style="11" hidden="1" customWidth="1" outlineLevel="1"/>
    <col min="100" max="100" width="9.28515625" style="11" hidden="1" customWidth="1" outlineLevel="1" collapsed="1"/>
    <col min="101" max="102" width="9.28515625" style="11" hidden="1" customWidth="1" outlineLevel="1"/>
    <col min="103" max="103" width="9.28515625" style="11" hidden="1" customWidth="1" outlineLevel="1" collapsed="1"/>
    <col min="104" max="105" width="9.28515625" style="11" hidden="1" customWidth="1" outlineLevel="1"/>
    <col min="106" max="106" width="9.28515625" style="11" hidden="1" customWidth="1" outlineLevel="1" collapsed="1"/>
    <col min="107" max="108" width="9.28515625" style="11" hidden="1" customWidth="1" outlineLevel="1"/>
    <col min="109" max="109" width="9" style="11" customWidth="1" collapsed="1"/>
    <col min="110" max="111" width="9" style="11" customWidth="1" outlineLevel="1"/>
    <col min="112" max="112" width="9" style="11" customWidth="1"/>
    <col min="113" max="114" width="9" style="11" customWidth="1" outlineLevel="1"/>
    <col min="115" max="115" width="9" style="11" customWidth="1"/>
    <col min="116" max="117" width="9" style="11" customWidth="1" outlineLevel="1"/>
    <col min="118" max="118" width="9" style="11" customWidth="1"/>
    <col min="119" max="120" width="9" style="11" customWidth="1" outlineLevel="1"/>
    <col min="121" max="121" width="9" style="11" customWidth="1"/>
    <col min="122" max="123" width="9" style="11" customWidth="1" outlineLevel="1"/>
    <col min="124" max="124" width="9" style="11" customWidth="1"/>
    <col min="125" max="126" width="9" style="11" customWidth="1" outlineLevel="1"/>
    <col min="127" max="127" width="9" style="11" customWidth="1"/>
    <col min="128" max="129" width="9" style="11" customWidth="1" outlineLevel="1"/>
    <col min="130" max="130" width="9" style="11" customWidth="1"/>
    <col min="131" max="132" width="9" style="11" customWidth="1" outlineLevel="1"/>
    <col min="133" max="133" width="9" style="11" customWidth="1"/>
    <col min="134" max="135" width="9" style="11" customWidth="1" outlineLevel="1"/>
    <col min="136" max="136" width="9" style="11" customWidth="1"/>
    <col min="137" max="138" width="9" style="11" customWidth="1" outlineLevel="1"/>
    <col min="139" max="139" width="9" style="11" customWidth="1"/>
    <col min="140" max="141" width="9" style="11" customWidth="1" outlineLevel="1"/>
    <col min="142" max="142" width="9" style="11" customWidth="1"/>
    <col min="143" max="144" width="9" style="11" customWidth="1" outlineLevel="1"/>
    <col min="145" max="145" width="9" style="11" customWidth="1"/>
    <col min="146" max="147" width="9" style="11" customWidth="1" outlineLevel="1"/>
    <col min="148" max="148" width="9" style="11" customWidth="1"/>
    <col min="149" max="150" width="9" style="11" customWidth="1" outlineLevel="1"/>
    <col min="151" max="151" width="9" style="11" customWidth="1"/>
    <col min="152" max="153" width="9" style="11" customWidth="1" outlineLevel="1"/>
    <col min="154" max="154" width="9" style="11" customWidth="1"/>
    <col min="155" max="156" width="9" style="11" customWidth="1" outlineLevel="1"/>
    <col min="157" max="157" width="9" style="11" customWidth="1"/>
    <col min="158" max="16384" width="9.28515625" style="11"/>
  </cols>
  <sheetData>
    <row r="1" spans="1:157" ht="18.75" customHeight="1">
      <c r="A1" s="73"/>
      <c r="B1" s="74">
        <f>Model!B3</f>
        <v>0</v>
      </c>
      <c r="C1" s="73"/>
      <c r="D1" s="73"/>
      <c r="E1" s="46"/>
      <c r="F1" s="46"/>
      <c r="G1" s="39"/>
      <c r="H1" s="46"/>
      <c r="I1" s="46"/>
      <c r="J1" s="39"/>
      <c r="K1" s="46"/>
      <c r="L1" s="46"/>
      <c r="M1" s="39"/>
      <c r="N1" s="46"/>
      <c r="O1" s="46"/>
      <c r="P1" s="39"/>
      <c r="Q1" s="75"/>
      <c r="R1" s="76"/>
      <c r="S1" s="39"/>
      <c r="T1" s="40"/>
      <c r="U1" s="41"/>
      <c r="V1" s="42"/>
      <c r="W1" s="43"/>
      <c r="X1" s="44"/>
      <c r="Y1" s="45"/>
      <c r="Z1" s="44"/>
      <c r="AA1" s="44"/>
      <c r="AB1" s="45"/>
      <c r="AC1" s="44"/>
      <c r="AD1" s="44"/>
      <c r="AE1" s="45"/>
      <c r="AF1" s="44"/>
      <c r="AG1" s="44"/>
      <c r="AH1" s="45"/>
      <c r="AI1" s="44"/>
      <c r="AJ1" s="44"/>
      <c r="AK1" s="45"/>
      <c r="AL1" s="44"/>
      <c r="AM1" s="46"/>
      <c r="AN1" s="39"/>
      <c r="AO1" s="46"/>
      <c r="AP1" s="46"/>
      <c r="AQ1" s="39"/>
      <c r="AR1" s="46"/>
      <c r="AS1" s="46"/>
      <c r="AT1" s="39"/>
      <c r="AU1" s="46"/>
      <c r="AV1" s="46"/>
      <c r="AW1" s="39"/>
      <c r="AX1" s="46"/>
      <c r="AY1" s="46"/>
      <c r="AZ1" s="39"/>
      <c r="BA1" s="46"/>
      <c r="BB1" s="46"/>
      <c r="BC1" s="39"/>
      <c r="BD1" s="46"/>
      <c r="BE1" s="46"/>
      <c r="BF1" s="39"/>
      <c r="BG1" s="46"/>
      <c r="BH1" s="46"/>
      <c r="BI1" s="39"/>
      <c r="BJ1" s="46"/>
      <c r="BK1" s="47"/>
      <c r="BL1" s="39"/>
      <c r="BM1" s="46"/>
      <c r="BN1" s="46"/>
      <c r="BO1" s="39"/>
      <c r="BP1" s="46"/>
      <c r="BQ1" s="46"/>
      <c r="BR1" s="39"/>
      <c r="BS1" s="46"/>
      <c r="BT1" s="46"/>
      <c r="BU1" s="39"/>
      <c r="BV1" s="46"/>
      <c r="BW1" s="46"/>
      <c r="BX1" s="39"/>
      <c r="BY1" s="46"/>
      <c r="BZ1" s="46"/>
      <c r="CA1" s="39"/>
      <c r="CB1" s="46"/>
      <c r="CC1" s="46"/>
      <c r="CD1" s="39"/>
      <c r="CE1" s="46"/>
      <c r="CF1" s="46"/>
      <c r="CG1" s="39"/>
      <c r="CH1" s="46"/>
      <c r="CI1" s="46"/>
      <c r="CJ1" s="39"/>
      <c r="CK1" s="46"/>
      <c r="CL1" s="46"/>
      <c r="CM1" s="39"/>
      <c r="CN1" s="46"/>
      <c r="CO1" s="46"/>
      <c r="CP1" s="39"/>
      <c r="CQ1" s="46"/>
      <c r="CR1" s="46"/>
      <c r="CS1" s="39"/>
      <c r="CT1" s="46"/>
      <c r="CU1" s="46"/>
      <c r="CV1" s="39"/>
      <c r="CW1" s="46"/>
      <c r="CX1" s="46"/>
      <c r="CY1" s="39"/>
      <c r="CZ1" s="46"/>
      <c r="DA1" s="46"/>
      <c r="DB1" s="39"/>
      <c r="DC1" s="46"/>
      <c r="DD1" s="46"/>
      <c r="DE1" s="39"/>
      <c r="DF1" s="46"/>
      <c r="DG1" s="46"/>
      <c r="DH1" s="39"/>
      <c r="DI1" s="46"/>
      <c r="DJ1" s="46"/>
      <c r="DK1" s="39"/>
      <c r="DL1" s="46"/>
      <c r="DM1" s="46"/>
      <c r="DN1" s="39"/>
      <c r="DO1" s="46"/>
      <c r="DP1" s="46"/>
      <c r="DQ1" s="39"/>
      <c r="DR1" s="46"/>
      <c r="DS1" s="46"/>
      <c r="DT1" s="39"/>
      <c r="DU1" s="46"/>
      <c r="DV1" s="46"/>
      <c r="DW1" s="39"/>
      <c r="DX1" s="46"/>
      <c r="DY1" s="46"/>
      <c r="DZ1" s="39"/>
      <c r="EA1" s="46"/>
      <c r="EB1" s="46"/>
      <c r="EC1" s="39"/>
      <c r="ED1" s="46"/>
      <c r="EE1" s="46"/>
      <c r="EF1" s="39"/>
      <c r="EG1" s="46"/>
      <c r="EH1" s="46"/>
      <c r="EI1" s="39"/>
      <c r="EJ1" s="46"/>
      <c r="EK1" s="46"/>
      <c r="EL1" s="39"/>
      <c r="EM1" s="46"/>
      <c r="EN1" s="46"/>
      <c r="EO1" s="39"/>
      <c r="EP1" s="46"/>
      <c r="EQ1" s="46"/>
      <c r="ER1" s="39"/>
      <c r="ES1" s="46"/>
      <c r="ET1" s="46"/>
      <c r="EU1" s="39"/>
      <c r="EV1" s="46"/>
      <c r="EW1" s="46"/>
      <c r="EX1" s="39"/>
      <c r="EY1" s="46"/>
      <c r="EZ1" s="46"/>
      <c r="FA1" s="39"/>
    </row>
    <row r="2" spans="1:157" ht="16.5" customHeight="1">
      <c r="A2" s="77"/>
      <c r="B2" s="77" t="s">
        <v>736</v>
      </c>
      <c r="C2" s="77"/>
      <c r="D2" s="49" t="str">
        <f>+Model!D4</f>
        <v xml:space="preserve">Year ending Jun </v>
      </c>
      <c r="E2" s="50" t="str">
        <f>+Model!E4</f>
        <v>1h85</v>
      </c>
      <c r="F2" s="50" t="str">
        <f>+Model!F4</f>
        <v>2h85</v>
      </c>
      <c r="G2" s="50" t="str">
        <f>+Model!G4</f>
        <v>1985</v>
      </c>
      <c r="H2" s="50" t="str">
        <f>+Model!H4</f>
        <v>1h86</v>
      </c>
      <c r="I2" s="50" t="str">
        <f>+Model!I4</f>
        <v>2h86</v>
      </c>
      <c r="J2" s="50" t="str">
        <f>+Model!J4</f>
        <v>1986</v>
      </c>
      <c r="K2" s="50" t="str">
        <f>+Model!K4</f>
        <v>1h87</v>
      </c>
      <c r="L2" s="50" t="str">
        <f>+Model!L4</f>
        <v>2h87</v>
      </c>
      <c r="M2" s="50" t="str">
        <f>+Model!M4</f>
        <v>1987</v>
      </c>
      <c r="N2" s="50" t="str">
        <f>+Model!N4</f>
        <v>1h88</v>
      </c>
      <c r="O2" s="50" t="str">
        <f>+Model!O4</f>
        <v>2h88</v>
      </c>
      <c r="P2" s="50" t="str">
        <f>+Model!P4</f>
        <v>1988</v>
      </c>
      <c r="Q2" s="50" t="str">
        <f>+Model!Q4</f>
        <v>1h89</v>
      </c>
      <c r="R2" s="50" t="str">
        <f>+Model!R4</f>
        <v>2h89</v>
      </c>
      <c r="S2" s="50" t="str">
        <f>+Model!S4</f>
        <v>1989</v>
      </c>
      <c r="T2" s="50" t="str">
        <f>+Model!T4</f>
        <v>1h90</v>
      </c>
      <c r="U2" s="50" t="str">
        <f>+Model!U4</f>
        <v>2h90</v>
      </c>
      <c r="V2" s="50" t="str">
        <f>+Model!V4</f>
        <v>1990</v>
      </c>
      <c r="W2" s="50" t="str">
        <f>+Model!W4</f>
        <v>1h91</v>
      </c>
      <c r="X2" s="50" t="str">
        <f>+Model!X4</f>
        <v>2h91</v>
      </c>
      <c r="Y2" s="50" t="str">
        <f>+Model!Y4</f>
        <v>1991</v>
      </c>
      <c r="Z2" s="50" t="str">
        <f>+Model!Z4</f>
        <v>1h92</v>
      </c>
      <c r="AA2" s="50" t="str">
        <f>+Model!AA4</f>
        <v>2h92</v>
      </c>
      <c r="AB2" s="50" t="str">
        <f>+Model!AB4</f>
        <v>1992</v>
      </c>
      <c r="AC2" s="50" t="str">
        <f>+Model!AC4</f>
        <v>1h93</v>
      </c>
      <c r="AD2" s="50" t="str">
        <f>+Model!AD4</f>
        <v>2h93</v>
      </c>
      <c r="AE2" s="50" t="str">
        <f>+Model!AE4</f>
        <v>1993</v>
      </c>
      <c r="AF2" s="50" t="str">
        <f>+Model!AF4</f>
        <v>1h94</v>
      </c>
      <c r="AG2" s="50" t="str">
        <f>+Model!AG4</f>
        <v>2h94</v>
      </c>
      <c r="AH2" s="50" t="str">
        <f>+Model!AH4</f>
        <v>1994</v>
      </c>
      <c r="AI2" s="50" t="str">
        <f>+Model!AI4</f>
        <v>1h95</v>
      </c>
      <c r="AJ2" s="50" t="str">
        <f>+Model!AJ4</f>
        <v>2h95</v>
      </c>
      <c r="AK2" s="50" t="str">
        <f>+Model!AK4</f>
        <v>1995</v>
      </c>
      <c r="AL2" s="50" t="str">
        <f>+Model!AL4</f>
        <v>1h96</v>
      </c>
      <c r="AM2" s="50" t="str">
        <f>+Model!AM4</f>
        <v>2h96</v>
      </c>
      <c r="AN2" s="50" t="str">
        <f>+Model!AN4</f>
        <v>1996</v>
      </c>
      <c r="AO2" s="50" t="str">
        <f>+Model!AO4</f>
        <v>1h97</v>
      </c>
      <c r="AP2" s="50" t="str">
        <f>+Model!AP4</f>
        <v>2h97</v>
      </c>
      <c r="AQ2" s="50" t="str">
        <f>+Model!AQ4</f>
        <v>1997</v>
      </c>
      <c r="AR2" s="50" t="str">
        <f>+Model!AR4</f>
        <v>1h98</v>
      </c>
      <c r="AS2" s="50" t="str">
        <f>+Model!AS4</f>
        <v>2h98</v>
      </c>
      <c r="AT2" s="50" t="str">
        <f>+Model!AT4</f>
        <v>1998a</v>
      </c>
      <c r="AU2" s="50" t="str">
        <f>+Model!AU4</f>
        <v>1h99</v>
      </c>
      <c r="AV2" s="50" t="str">
        <f>+Model!AV4</f>
        <v>2h99</v>
      </c>
      <c r="AW2" s="50" t="str">
        <f>+Model!AW4</f>
        <v>1999a</v>
      </c>
      <c r="AX2" s="50" t="str">
        <f>+Model!AX4</f>
        <v>1h00</v>
      </c>
      <c r="AY2" s="50" t="str">
        <f>Model!AY4</f>
        <v>2h00</v>
      </c>
      <c r="AZ2" s="50" t="str">
        <f>Model!AZ4</f>
        <v>2000a</v>
      </c>
      <c r="BA2" s="50" t="str">
        <f>Model!BA4</f>
        <v>1h01</v>
      </c>
      <c r="BB2" s="50" t="str">
        <f>Model!BB4</f>
        <v>2h01</v>
      </c>
      <c r="BC2" s="50" t="str">
        <f>Model!BC4</f>
        <v>2001a</v>
      </c>
      <c r="BD2" s="50" t="str">
        <f>Model!BD4</f>
        <v>1h02</v>
      </c>
      <c r="BE2" s="50" t="str">
        <f>Model!BE4</f>
        <v>2h02f</v>
      </c>
      <c r="BF2" s="50" t="str">
        <f>Model!BF4</f>
        <v>2002</v>
      </c>
      <c r="BG2" s="50" t="str">
        <f>Model!BG4</f>
        <v>1h03</v>
      </c>
      <c r="BH2" s="50" t="str">
        <f>Model!BH4</f>
        <v>2h03</v>
      </c>
      <c r="BI2" s="50" t="str">
        <f>Model!BI4</f>
        <v>2003</v>
      </c>
      <c r="BJ2" s="50" t="str">
        <f>Model!BJ4</f>
        <v>1h04</v>
      </c>
      <c r="BK2" s="50" t="str">
        <f>Model!BK4</f>
        <v>2h04</v>
      </c>
      <c r="BL2" s="50" t="str">
        <f>Model!BL4</f>
        <v>2004</v>
      </c>
      <c r="BM2" s="50" t="str">
        <f>Model!BM4</f>
        <v>1h05</v>
      </c>
      <c r="BN2" s="50" t="str">
        <f>Model!BN4</f>
        <v>2h05</v>
      </c>
      <c r="BO2" s="50" t="str">
        <f>Model!BO4</f>
        <v>2005</v>
      </c>
      <c r="BP2" s="50" t="str">
        <f>Model!BP4</f>
        <v>1h06</v>
      </c>
      <c r="BQ2" s="50" t="str">
        <f>Model!BQ4</f>
        <v>2h06</v>
      </c>
      <c r="BR2" s="50" t="str">
        <f>Model!BR4</f>
        <v>2006</v>
      </c>
      <c r="BS2" s="50" t="str">
        <f>Model!BS4</f>
        <v>1h07</v>
      </c>
      <c r="BT2" s="50" t="str">
        <f>Model!BT4</f>
        <v>2h07</v>
      </c>
      <c r="BU2" s="50" t="str">
        <f>Model!BU4</f>
        <v>2007</v>
      </c>
      <c r="BV2" s="50" t="str">
        <f>Model!BV4</f>
        <v>1h08</v>
      </c>
      <c r="BW2" s="50" t="str">
        <f>Model!BW4</f>
        <v>2h08</v>
      </c>
      <c r="BX2" s="50" t="str">
        <f>Model!BX4</f>
        <v>2008</v>
      </c>
      <c r="BY2" s="50" t="str">
        <f>Model!BY4</f>
        <v>1h09</v>
      </c>
      <c r="BZ2" s="50" t="str">
        <f>Model!BZ4</f>
        <v>2h09</v>
      </c>
      <c r="CA2" s="50" t="str">
        <f>Model!CA4</f>
        <v>2009</v>
      </c>
      <c r="CB2" s="50" t="str">
        <f>Model!CB4</f>
        <v>1h10</v>
      </c>
      <c r="CC2" s="50" t="str">
        <f>Model!CC4</f>
        <v>2h10</v>
      </c>
      <c r="CD2" s="50" t="str">
        <f>Model!CD4</f>
        <v>2010</v>
      </c>
      <c r="CE2" s="50" t="str">
        <f>Model!CE4</f>
        <v>1h11</v>
      </c>
      <c r="CF2" s="50" t="str">
        <f>Model!CF4</f>
        <v>2h11</v>
      </c>
      <c r="CG2" s="50" t="str">
        <f>Model!CG4</f>
        <v>2011</v>
      </c>
      <c r="CH2" s="50" t="str">
        <f>Model!CH4</f>
        <v>1h12</v>
      </c>
      <c r="CI2" s="50" t="str">
        <f>Model!CI4</f>
        <v>2h12</v>
      </c>
      <c r="CJ2" s="50" t="str">
        <f>Model!CJ4</f>
        <v>2012</v>
      </c>
      <c r="CK2" s="50" t="str">
        <f>Model!CK4</f>
        <v>1h13</v>
      </c>
      <c r="CL2" s="50" t="str">
        <f>Model!CL4</f>
        <v>2h13</v>
      </c>
      <c r="CM2" s="50" t="str">
        <f>Model!CM4</f>
        <v>2013</v>
      </c>
      <c r="CN2" s="50" t="str">
        <f>Model!CN4</f>
        <v>1h14</v>
      </c>
      <c r="CO2" s="50" t="str">
        <f>Model!CO4</f>
        <v>2h14</v>
      </c>
      <c r="CP2" s="50" t="str">
        <f>Model!CP4</f>
        <v>2014</v>
      </c>
      <c r="CQ2" s="50" t="str">
        <f>Model!CQ4</f>
        <v>1h15</v>
      </c>
      <c r="CR2" s="50" t="str">
        <f>Model!CR4</f>
        <v>2h15</v>
      </c>
      <c r="CS2" s="50" t="str">
        <f>Model!CS4</f>
        <v>2015</v>
      </c>
      <c r="CT2" s="50" t="str">
        <f>Model!CT4</f>
        <v>1h16</v>
      </c>
      <c r="CU2" s="50" t="str">
        <f>Model!CU4</f>
        <v>2h16</v>
      </c>
      <c r="CV2" s="50" t="str">
        <f>Model!CV4</f>
        <v>2016</v>
      </c>
      <c r="CW2" s="50" t="str">
        <f>Model!CW4</f>
        <v>1h17</v>
      </c>
      <c r="CX2" s="50" t="str">
        <f>Model!CX4</f>
        <v>2h17</v>
      </c>
      <c r="CY2" s="50" t="str">
        <f>Model!CY4</f>
        <v>2017</v>
      </c>
      <c r="CZ2" s="50" t="str">
        <f>Model!CZ4</f>
        <v>1h18</v>
      </c>
      <c r="DA2" s="50" t="str">
        <f>Model!DA4</f>
        <v>2h18</v>
      </c>
      <c r="DB2" s="50" t="str">
        <f>Model!DB4</f>
        <v>2018</v>
      </c>
      <c r="DC2" s="50" t="str">
        <f>Model!DC4</f>
        <v>1h19</v>
      </c>
      <c r="DD2" s="50" t="str">
        <f>Model!DD4</f>
        <v>2h19</v>
      </c>
      <c r="DE2" s="50" t="str">
        <f>Model!DE4</f>
        <v>2019</v>
      </c>
      <c r="DF2" s="50" t="str">
        <f>Model!DF4</f>
        <v>1h20</v>
      </c>
      <c r="DG2" s="50" t="str">
        <f>Model!DG4</f>
        <v>2h20</v>
      </c>
      <c r="DH2" s="50" t="str">
        <f>Model!DH4</f>
        <v>2020</v>
      </c>
      <c r="DI2" s="50" t="str">
        <f>Model!DI4</f>
        <v>1h21</v>
      </c>
      <c r="DJ2" s="50" t="str">
        <f>Model!DJ4</f>
        <v>2h21</v>
      </c>
      <c r="DK2" s="50" t="str">
        <f>Model!DK4</f>
        <v>2021</v>
      </c>
      <c r="DL2" s="50" t="str">
        <f>Model!DL4</f>
        <v>1h22</v>
      </c>
      <c r="DM2" s="50" t="str">
        <f>Model!DM4</f>
        <v>2h22</v>
      </c>
      <c r="DN2" s="50" t="str">
        <f>Model!DN4</f>
        <v>2022</v>
      </c>
      <c r="DO2" s="50" t="str">
        <f>Model!DO4</f>
        <v>1h23</v>
      </c>
      <c r="DP2" s="50" t="str">
        <f>Model!DP4</f>
        <v>2h23</v>
      </c>
      <c r="DQ2" s="50" t="str">
        <f>Model!DQ4</f>
        <v>2023</v>
      </c>
      <c r="DR2" s="50" t="str">
        <f>Model!DR4</f>
        <v>1h24</v>
      </c>
      <c r="DS2" s="50" t="str">
        <f>Model!DS4</f>
        <v>2h24</v>
      </c>
      <c r="DT2" s="50" t="str">
        <f>Model!DT4</f>
        <v>2024</v>
      </c>
      <c r="DU2" s="50" t="str">
        <f>Model!DU4</f>
        <v>1h25</v>
      </c>
      <c r="DV2" s="50" t="str">
        <f>Model!DV4</f>
        <v>2h25</v>
      </c>
      <c r="DW2" s="50" t="str">
        <f>Model!DW4</f>
        <v>2025</v>
      </c>
      <c r="DX2" s="50" t="str">
        <f>Model!DX4</f>
        <v>1h26</v>
      </c>
      <c r="DY2" s="50" t="str">
        <f>Model!DY4</f>
        <v>2h26E</v>
      </c>
      <c r="DZ2" s="50" t="str">
        <f>Model!DZ4</f>
        <v>2026E</v>
      </c>
      <c r="EA2" s="50" t="str">
        <f>Model!EA4</f>
        <v>1h27E</v>
      </c>
      <c r="EB2" s="50" t="str">
        <f>Model!EB4</f>
        <v>2h27E</v>
      </c>
      <c r="EC2" s="50" t="str">
        <f>Model!EC4</f>
        <v>2027E</v>
      </c>
      <c r="ED2" s="50" t="str">
        <f>Model!ED4</f>
        <v>1h28E</v>
      </c>
      <c r="EE2" s="50" t="str">
        <f>Model!EE4</f>
        <v>2h28E</v>
      </c>
      <c r="EF2" s="50" t="str">
        <f>Model!EF4</f>
        <v>2028E</v>
      </c>
      <c r="EG2" s="50" t="str">
        <f>Model!EG4</f>
        <v>1h29E</v>
      </c>
      <c r="EH2" s="50" t="str">
        <f>Model!EH4</f>
        <v>2h29E</v>
      </c>
      <c r="EI2" s="50" t="str">
        <f>Model!EI4</f>
        <v>2029E</v>
      </c>
      <c r="EJ2" s="50" t="str">
        <f>Model!EJ4</f>
        <v>1h30E</v>
      </c>
      <c r="EK2" s="50" t="str">
        <f>Model!EK4</f>
        <v>2h30E</v>
      </c>
      <c r="EL2" s="50" t="str">
        <f>Model!EL4</f>
        <v>2030E</v>
      </c>
      <c r="EM2" s="50" t="str">
        <f>Model!EM4</f>
        <v>1h31E</v>
      </c>
      <c r="EN2" s="50" t="str">
        <f>Model!EN4</f>
        <v>2h31E</v>
      </c>
      <c r="EO2" s="50" t="str">
        <f>Model!EO4</f>
        <v>2031E</v>
      </c>
      <c r="EP2" s="50" t="str">
        <f>Model!EP4</f>
        <v>1h32E</v>
      </c>
      <c r="EQ2" s="50" t="str">
        <f>Model!EQ4</f>
        <v>2h32E</v>
      </c>
      <c r="ER2" s="50" t="str">
        <f>Model!ER4</f>
        <v>2032E</v>
      </c>
      <c r="ES2" s="50" t="str">
        <f>Model!ES4</f>
        <v>1h33E</v>
      </c>
      <c r="ET2" s="50" t="str">
        <f>Model!ET4</f>
        <v>2h33E</v>
      </c>
      <c r="EU2" s="50" t="str">
        <f>Model!EU4</f>
        <v>2033E</v>
      </c>
      <c r="EV2" s="50" t="str">
        <f>Model!EV4</f>
        <v>1h34E</v>
      </c>
      <c r="EW2" s="50" t="str">
        <f>Model!EW4</f>
        <v>2h34E</v>
      </c>
      <c r="EX2" s="50" t="str">
        <f>Model!EX4</f>
        <v>2034E</v>
      </c>
      <c r="EY2" s="50" t="str">
        <f>Model!EY4</f>
        <v>1h35E</v>
      </c>
      <c r="EZ2" s="50" t="str">
        <f>Model!EZ4</f>
        <v>2h35E</v>
      </c>
      <c r="FA2" s="50" t="str">
        <f>Model!FA4</f>
        <v>2035E</v>
      </c>
    </row>
    <row r="3" spans="1:157" ht="13.35" customHeight="1">
      <c r="A3" s="3"/>
      <c r="B3" s="4" t="s">
        <v>737</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134"/>
      <c r="DF3" s="4"/>
      <c r="DG3" s="4"/>
      <c r="DH3" s="134"/>
      <c r="DI3" s="4"/>
      <c r="DJ3" s="4"/>
      <c r="DK3" s="134"/>
      <c r="DL3" s="4"/>
      <c r="DM3" s="4"/>
      <c r="DN3" s="134"/>
      <c r="DO3" s="4"/>
      <c r="DP3" s="4"/>
      <c r="DQ3" s="134"/>
      <c r="DR3" s="4"/>
      <c r="DS3" s="4"/>
      <c r="DT3" s="134"/>
      <c r="DU3" s="4"/>
      <c r="DV3" s="4"/>
      <c r="DW3" s="134"/>
      <c r="DX3" s="4"/>
      <c r="DY3" s="4"/>
      <c r="DZ3" s="134"/>
      <c r="EA3" s="4"/>
      <c r="EB3" s="4"/>
      <c r="EC3" s="134"/>
      <c r="ED3" s="4"/>
      <c r="EE3" s="4"/>
      <c r="EF3" s="134"/>
      <c r="EG3" s="4"/>
      <c r="EH3" s="4"/>
      <c r="EI3" s="134"/>
      <c r="EJ3" s="4"/>
      <c r="EK3" s="4"/>
      <c r="EL3" s="134"/>
      <c r="EM3" s="4"/>
      <c r="EN3" s="4"/>
      <c r="EO3" s="134"/>
      <c r="EP3" s="4"/>
      <c r="EQ3" s="4"/>
      <c r="ER3" s="134"/>
      <c r="ES3" s="4"/>
      <c r="ET3" s="4"/>
      <c r="EU3" s="134"/>
      <c r="EV3" s="4"/>
      <c r="EW3" s="4"/>
      <c r="EX3" s="134"/>
      <c r="EY3" s="4"/>
      <c r="EZ3" s="4"/>
      <c r="FA3" s="134"/>
    </row>
    <row r="4" spans="1:157" ht="13.35" customHeight="1">
      <c r="A4" s="3"/>
      <c r="B4" s="4" t="s">
        <v>334</v>
      </c>
      <c r="C4" s="4"/>
      <c r="D4" s="3"/>
      <c r="E4" s="78" t="str">
        <f>IF(Model!E73&lt;&gt;0,Model!E73,"")</f>
        <v/>
      </c>
      <c r="F4" s="78" t="str">
        <f>IF(Model!F73&lt;&gt;0,Model!F73,"")</f>
        <v/>
      </c>
      <c r="G4" s="78" t="str">
        <f>IF(Model!G73&lt;&gt;0,Model!G73,"")</f>
        <v/>
      </c>
      <c r="H4" s="78" t="str">
        <f>IF(Model!H73&lt;&gt;0,Model!H73,"")</f>
        <v/>
      </c>
      <c r="I4" s="78" t="str">
        <f>IF(Model!I73&lt;&gt;0,Model!I73,"")</f>
        <v/>
      </c>
      <c r="J4" s="78" t="str">
        <f>IF(Model!J73&lt;&gt;0,Model!J73,"")</f>
        <v/>
      </c>
      <c r="K4" s="78" t="str">
        <f>IF(Model!K73&lt;&gt;0,Model!K73,"")</f>
        <v/>
      </c>
      <c r="L4" s="78" t="str">
        <f>IF(Model!L73&lt;&gt;0,Model!L73,"")</f>
        <v/>
      </c>
      <c r="M4" s="78" t="str">
        <f>IF(Model!M73&lt;&gt;0,Model!M73,"")</f>
        <v/>
      </c>
      <c r="N4" s="78" t="str">
        <f>IF(Model!N73&lt;&gt;0,Model!N73,"")</f>
        <v/>
      </c>
      <c r="O4" s="78" t="str">
        <f>IF(Model!O73&lt;&gt;0,Model!O73,"")</f>
        <v/>
      </c>
      <c r="P4" s="78" t="str">
        <f>IF(Model!P73&lt;&gt;0,Model!P73,"")</f>
        <v/>
      </c>
      <c r="Q4" s="78" t="str">
        <f>IF(Model!Q73&lt;&gt;0,Model!Q73,"")</f>
        <v/>
      </c>
      <c r="R4" s="78" t="str">
        <f>IF(Model!R73&lt;&gt;0,Model!R73,"")</f>
        <v/>
      </c>
      <c r="S4" s="78" t="str">
        <f>IF(Model!S73&lt;&gt;0,Model!S73,"")</f>
        <v/>
      </c>
      <c r="T4" s="78" t="str">
        <f>IF(Model!T73&lt;&gt;0,Model!T73,"")</f>
        <v/>
      </c>
      <c r="U4" s="78" t="str">
        <f>IF(Model!U73&lt;&gt;0,Model!U73,"")</f>
        <v/>
      </c>
      <c r="V4" s="78" t="str">
        <f>IF(Model!V73&lt;&gt;0,Model!V73,"")</f>
        <v/>
      </c>
      <c r="W4" s="78" t="str">
        <f>IF(Model!W73&lt;&gt;0,Model!W73,"")</f>
        <v/>
      </c>
      <c r="X4" s="78" t="str">
        <f>IF(Model!X73&lt;&gt;0,Model!X73,"")</f>
        <v/>
      </c>
      <c r="Y4" s="78" t="str">
        <f>IF(Model!Y73&lt;&gt;0,Model!Y73,"")</f>
        <v/>
      </c>
      <c r="Z4" s="78" t="str">
        <f>IF(Model!Z73&lt;&gt;0,Model!Z73,"")</f>
        <v/>
      </c>
      <c r="AA4" s="78" t="str">
        <f>IF(Model!AA73&lt;&gt;0,Model!AA73,"")</f>
        <v/>
      </c>
      <c r="AB4" s="78" t="str">
        <f>IF(Model!AB73&lt;&gt;0,Model!AB73,"")</f>
        <v/>
      </c>
      <c r="AC4" s="78" t="str">
        <f>IF(Model!AC73&lt;&gt;0,Model!AC73,"")</f>
        <v/>
      </c>
      <c r="AD4" s="78" t="str">
        <f>IF(Model!AD73&lt;&gt;0,Model!AD73,"")</f>
        <v/>
      </c>
      <c r="AE4" s="78" t="str">
        <f>IF(Model!AE73&lt;&gt;0,Model!AE73,"")</f>
        <v/>
      </c>
      <c r="AF4" s="78" t="str">
        <f>IF(Model!AF73&lt;&gt;0,Model!AF73,"")</f>
        <v/>
      </c>
      <c r="AG4" s="78" t="str">
        <f>IF(Model!AG73&lt;&gt;0,Model!AG73,"")</f>
        <v/>
      </c>
      <c r="AH4" s="78" t="str">
        <f>IF(Model!AH73&lt;&gt;0,Model!AH73,"")</f>
        <v/>
      </c>
      <c r="AI4" s="78" t="str">
        <f>IF(Model!AI73&lt;&gt;0,Model!AI73,"")</f>
        <v/>
      </c>
      <c r="AJ4" s="78" t="str">
        <f>IF(Model!AJ73&lt;&gt;0,Model!AJ73,"")</f>
        <v/>
      </c>
      <c r="AK4" s="78" t="str">
        <f>IF(Model!AK73&lt;&gt;0,Model!AK73,"")</f>
        <v/>
      </c>
      <c r="AL4" s="78" t="str">
        <f>IF(Model!AL73&lt;&gt;0,Model!AL73,"")</f>
        <v/>
      </c>
      <c r="AM4" s="78">
        <f>IF(Model!AM73&lt;&gt;0,Model!AM73,"")</f>
        <v>41.559000000000005</v>
      </c>
      <c r="AN4" s="78">
        <f>IF(Model!AN73&lt;&gt;0,Model!AN73,"")</f>
        <v>41.559000000000005</v>
      </c>
      <c r="AO4" s="78">
        <f>IF(Model!AO73&lt;&gt;0,Model!AO73,"")</f>
        <v>16.681000000000001</v>
      </c>
      <c r="AP4" s="78">
        <f>IF(Model!AP73&lt;&gt;0,Model!AP73,"")</f>
        <v>31.396999999999995</v>
      </c>
      <c r="AQ4" s="78">
        <f>IF(Model!AQ73&lt;&gt;0,Model!AQ73,"")</f>
        <v>48.077999999999996</v>
      </c>
      <c r="AR4" s="78">
        <f>IF(Model!AR73&lt;&gt;0,Model!AR73,"")</f>
        <v>20.204999999999998</v>
      </c>
      <c r="AS4" s="78">
        <f>IF(Model!AS73&lt;&gt;0,Model!AS73,"")</f>
        <v>38.247</v>
      </c>
      <c r="AT4" s="78">
        <f>IF(Model!AT73&lt;&gt;0,Model!AT73,"")</f>
        <v>58.451999999999998</v>
      </c>
      <c r="AU4" s="78">
        <f>IF(Model!AU73&lt;&gt;0,Model!AU73,"")</f>
        <v>23.713999999999999</v>
      </c>
      <c r="AV4" s="78">
        <f>IF(Model!AV73&lt;&gt;0,Model!AV73,"")</f>
        <v>45.019000000000005</v>
      </c>
      <c r="AW4" s="78">
        <f>IF(Model!AW73&lt;&gt;0,Model!AW73,"")</f>
        <v>68.733000000000004</v>
      </c>
      <c r="AX4" s="78">
        <f>IF(Model!AX73&lt;&gt;0,Model!AX73,"")</f>
        <v>25.812000000000001</v>
      </c>
      <c r="AY4" s="78">
        <f>IF(Model!AY73&lt;&gt;0,Model!AY73,"")</f>
        <v>51.344000000000008</v>
      </c>
      <c r="AZ4" s="78">
        <f>IF(Model!AZ73&lt;&gt;0,Model!AZ73,"")</f>
        <v>77.156000000000006</v>
      </c>
      <c r="BA4" s="78">
        <f>IF(Model!BA73&lt;&gt;0,Model!BA73,"")</f>
        <v>43.893000000000001</v>
      </c>
      <c r="BB4" s="78">
        <f>IF(Model!BB73&lt;&gt;0,Model!BB73,"")</f>
        <v>84.707999999999998</v>
      </c>
      <c r="BC4" s="78">
        <f>IF(Model!BC73&lt;&gt;0,Model!BC73,"")</f>
        <v>128.601</v>
      </c>
      <c r="BD4" s="78">
        <f>IF(Model!BD73&lt;&gt;0,Model!BD73,"")</f>
        <v>88.569000000000003</v>
      </c>
      <c r="BE4" s="78">
        <f>IF(Model!BE73&lt;&gt;0,Model!BE73,"")</f>
        <v>97.512000000000015</v>
      </c>
      <c r="BF4" s="78">
        <f>IF(Model!BF73&lt;&gt;0,Model!BF73,"")</f>
        <v>186.08100000000002</v>
      </c>
      <c r="BG4" s="78">
        <f>IF(Model!BG73&lt;&gt;0,Model!BG73,"")</f>
        <v>72.576000000000008</v>
      </c>
      <c r="BH4" s="78">
        <f>IF(Model!BH73&lt;&gt;0,Model!BH73,"")</f>
        <v>62.692999999999998</v>
      </c>
      <c r="BI4" s="78">
        <f>IF(Model!BI73&lt;&gt;0,Model!BI73,"")</f>
        <v>135.26900000000001</v>
      </c>
      <c r="BJ4" s="78">
        <f>IF(Model!BJ73&lt;&gt;0,Model!BJ73,"")</f>
        <v>54.631</v>
      </c>
      <c r="BK4" s="78"/>
      <c r="BL4" s="78"/>
      <c r="BM4" s="78"/>
      <c r="BN4" s="78" t="str">
        <f>IF(Model!BN73&lt;&gt;0,Model!BN73,"")</f>
        <v/>
      </c>
      <c r="BO4" s="78">
        <f>IF(Model!BO73&lt;&gt;0,Model!BO73,"")</f>
        <v>666.37600000000009</v>
      </c>
      <c r="BP4" s="78">
        <f>IF(Model!BP73&lt;&gt;0,Model!BP73,"")</f>
        <v>272.56700000000001</v>
      </c>
      <c r="BQ4" s="78">
        <f>IF(Model!BQ73&lt;&gt;0,Model!BQ73,"")</f>
        <v>242.46400000000006</v>
      </c>
      <c r="BR4" s="78">
        <f>IF(Model!BR73&lt;&gt;0,Model!BR73,"")</f>
        <v>515.03100000000006</v>
      </c>
      <c r="BS4" s="78">
        <f>IF(Model!BS73&lt;&gt;0,Model!BS73,"")</f>
        <v>390.71299999999997</v>
      </c>
      <c r="BT4" s="78">
        <f>IF(Model!BT73&lt;&gt;0,Model!BT73,"")</f>
        <v>395.35199999999998</v>
      </c>
      <c r="BU4" s="78">
        <f>IF(Model!BU73&lt;&gt;0,Model!BU73,"")</f>
        <v>786.06499999999994</v>
      </c>
      <c r="BV4" s="78">
        <f>IF(Model!BV73&lt;&gt;0,Model!BV73,"")</f>
        <v>499.94499999999999</v>
      </c>
      <c r="BW4" s="78">
        <f>IF(Model!BW73&lt;&gt;0,Model!BW73,"")</f>
        <v>466.7</v>
      </c>
      <c r="BX4" s="78">
        <f>IF(Model!BX73&lt;&gt;0,Model!BX73,"")</f>
        <v>966.64499999999998</v>
      </c>
      <c r="BY4" s="78">
        <f>IF(Model!BY73&lt;&gt;0,Model!BY73,"")</f>
        <v>626.20600000000002</v>
      </c>
      <c r="BZ4" s="78">
        <f>IF(Model!BZ73&lt;&gt;0,Model!BZ73,"")</f>
        <v>627.93210510000006</v>
      </c>
      <c r="CA4" s="78">
        <f>IF(Model!CA73&lt;&gt;0,Model!CA73,"")</f>
        <v>1254.1381051000001</v>
      </c>
      <c r="CB4" s="78">
        <f>IF(Model!CB73&lt;&gt;0,Model!CB73,"")</f>
        <v>796.12900000000002</v>
      </c>
      <c r="CC4" s="158">
        <f>IF(Model!CC73&lt;&gt;0,Model!CC73,"")</f>
        <v>560.99799999999993</v>
      </c>
      <c r="CD4" s="158">
        <f>IF(Model!CD73&lt;&gt;0,Model!CD73,"")</f>
        <v>1357.127</v>
      </c>
      <c r="CE4" s="158">
        <f>IF(Model!CE73&lt;&gt;0,Model!CE73,"")</f>
        <v>636.05200000000002</v>
      </c>
      <c r="CF4" s="158">
        <f>IF(Model!CF73&lt;&gt;0,Model!CF73,"")</f>
        <v>547.15862872660966</v>
      </c>
      <c r="CG4" s="158">
        <f>IF(Model!CG73&lt;&gt;0,Model!CG73,"")</f>
        <v>1183.2106287266097</v>
      </c>
      <c r="CH4" s="158">
        <f>IF(Model!CH73&lt;&gt;0,Model!CH73,"")</f>
        <v>633.9</v>
      </c>
      <c r="CI4" s="158">
        <f>IF(Model!CI73&lt;&gt;0,Model!CI73,"")</f>
        <v>615.27241733751464</v>
      </c>
      <c r="CJ4" s="158">
        <f>IF(Model!CJ73&lt;&gt;0,Model!CJ73,"")</f>
        <v>1249.1724173375146</v>
      </c>
      <c r="CK4" s="158">
        <f>IF(Model!CK73&lt;&gt;0,Model!CK73,"")</f>
        <v>788.11024999999995</v>
      </c>
      <c r="CL4" s="158">
        <f>IF(Model!CL73&lt;&gt;0,Model!CL73,"")</f>
        <v>697.63754137945239</v>
      </c>
      <c r="CM4" s="158">
        <f>IF(Model!CM73&lt;&gt;0,Model!CM73,"")</f>
        <v>1485.7477913794523</v>
      </c>
      <c r="CN4" s="158">
        <f>IF(Model!CN73&lt;&gt;0,Model!CN73,"")</f>
        <v>818</v>
      </c>
      <c r="CO4" s="158">
        <f>IF(Model!CO73&lt;&gt;0,Model!CO73,"")</f>
        <v>819.2</v>
      </c>
      <c r="CP4" s="158">
        <f>IF(Model!CP73&lt;&gt;0,Model!CP73,"")</f>
        <v>1637.2</v>
      </c>
      <c r="CQ4" s="158">
        <f>IF(Model!CQ73&lt;&gt;0,Model!CQ73,"")</f>
        <v>878.3</v>
      </c>
      <c r="CR4" s="158">
        <f>IF(Model!CR73&lt;&gt;0,Model!CR73,"")</f>
        <v>901.7</v>
      </c>
      <c r="CS4" s="158">
        <f>IF(Model!CS73&lt;&gt;0,Model!CS73,"")</f>
        <v>1780</v>
      </c>
      <c r="CT4" s="158">
        <f>IF(Model!CT73&lt;&gt;0,Model!CT73,"")</f>
        <v>809.80000000000007</v>
      </c>
      <c r="CU4" s="158">
        <f>IF(Model!CU73&lt;&gt;0,Model!CU73,"")</f>
        <v>718.70000000000016</v>
      </c>
      <c r="CV4" s="158">
        <f>IF(Model!CV73&lt;&gt;0,Model!CV73,"")</f>
        <v>1528.5000000000002</v>
      </c>
      <c r="CW4" s="158">
        <f>IF(Model!CW73&lt;&gt;0,Model!CW73,"")</f>
        <v>1094.7</v>
      </c>
      <c r="CX4" s="158">
        <f>IF(Model!CX73&lt;&gt;0,Model!CX73,"")</f>
        <v>684.19999999999982</v>
      </c>
      <c r="CY4" s="158">
        <f>IF(Model!CY73&lt;&gt;0,Model!CY73,"")</f>
        <v>1778.8999999999999</v>
      </c>
      <c r="CZ4" s="158">
        <f>IF(Model!CZ73&lt;&gt;0,Model!CZ73,"")</f>
        <v>1475.2090930720517</v>
      </c>
      <c r="DA4" s="158">
        <f>IF(Model!DA73&lt;&gt;0,Model!DA73,"")</f>
        <v>905.09090692794803</v>
      </c>
      <c r="DB4" s="158">
        <f>IF(Model!DB73&lt;&gt;0,Model!DB73,"")</f>
        <v>2380.2999999999997</v>
      </c>
      <c r="DC4" s="158">
        <f>IF(Model!DC73&lt;&gt;0,Model!DC73,"")</f>
        <v>1553</v>
      </c>
      <c r="DD4" s="158">
        <f>IF(Model!DD73&lt;&gt;0,Model!DD73,"")</f>
        <v>951</v>
      </c>
      <c r="DE4" s="152">
        <f>IF(Model!DE73&lt;&gt;0,Model!DE73,"")</f>
        <v>2504</v>
      </c>
      <c r="DF4" s="158">
        <f>IF(Model!DF73&lt;&gt;0,Model!DF73,"")</f>
        <v>1632.019</v>
      </c>
      <c r="DG4" s="158">
        <f>IF(Model!DG73&lt;&gt;0,Model!DG73,"")</f>
        <v>1084.5110874999998</v>
      </c>
      <c r="DH4" s="152">
        <f>IF(Model!DH73&lt;&gt;0,Model!DH73,"")</f>
        <v>2716.5300874999998</v>
      </c>
      <c r="DI4" s="158">
        <f>IF(Model!DI73&lt;&gt;0,Model!DI73,"")</f>
        <v>2357.8815450000002</v>
      </c>
      <c r="DJ4" s="158">
        <f>IF(Model!DJ73&lt;&gt;0,Model!DJ73,"")</f>
        <v>792.90427624999984</v>
      </c>
      <c r="DK4" s="152">
        <f>IF(Model!DK73&lt;&gt;0,Model!DK73,"")</f>
        <v>3150.78582125</v>
      </c>
      <c r="DL4" s="158">
        <f>IF(Model!DL73&lt;&gt;0,Model!DL73,"")</f>
        <v>2231.4235962499997</v>
      </c>
      <c r="DM4" s="158">
        <f>IF(Model!DM73&lt;&gt;0,Model!DM73,"")</f>
        <v>850.87640375000046</v>
      </c>
      <c r="DN4" s="152">
        <f>IF(Model!DN73&lt;&gt;0,Model!DN73,"")</f>
        <v>3082.3</v>
      </c>
      <c r="DO4" s="158">
        <f>IF(Model!DO73&lt;&gt;0,Model!DO73,"")</f>
        <v>2406.0018085000002</v>
      </c>
      <c r="DP4" s="158">
        <f>IF(Model!DP73&lt;&gt;0,Model!DP73,"")</f>
        <v>1251.2963594942444</v>
      </c>
      <c r="DQ4" s="152">
        <f>IF(Model!DQ73&lt;&gt;0,Model!DQ73,"")</f>
        <v>3657.2981679942445</v>
      </c>
      <c r="DR4" s="158">
        <f>IF(Model!DR73&lt;&gt;0,Model!DR73,"")</f>
        <v>2794.9791249999998</v>
      </c>
      <c r="DS4" s="158">
        <f>IF(Model!DS73&lt;&gt;0,Model!DS73,"")</f>
        <v>1402.0284750000001</v>
      </c>
      <c r="DT4" s="152">
        <f>IF(Model!DT73&lt;&gt;0,Model!DT73,"")</f>
        <v>4197.0075999999999</v>
      </c>
      <c r="DU4" s="158">
        <f>IF(Model!DU73&lt;&gt;0,Model!DU73,"")</f>
        <v>2878</v>
      </c>
      <c r="DV4" s="158">
        <f>IF(Model!DV73&lt;&gt;0,Model!DV73,"")</f>
        <v>1590</v>
      </c>
      <c r="DW4" s="152">
        <f>IF(Model!DW73&lt;&gt;0,Model!DW73,"")</f>
        <v>4468</v>
      </c>
      <c r="DX4" s="158">
        <f>IF(Model!DX73&lt;&gt;0,Model!DX73,"")</f>
        <v>2805</v>
      </c>
      <c r="DY4" s="158">
        <f>IF(Model!DY73&lt;&gt;0,Model!DY73,"")</f>
        <v>2094.5635170371161</v>
      </c>
      <c r="DZ4" s="152">
        <f>IF(Model!DZ73&lt;&gt;0,Model!DZ73,"")</f>
        <v>4899.5635170371161</v>
      </c>
      <c r="EA4" s="158">
        <f>IF(Model!EA73&lt;&gt;0,Model!EA73,"")</f>
        <v>2950.3539454593069</v>
      </c>
      <c r="EB4" s="158">
        <f>IF(Model!EB73&lt;&gt;0,Model!EB73,"")</f>
        <v>2185.984091687114</v>
      </c>
      <c r="EC4" s="152">
        <f>IF(Model!EC73&lt;&gt;0,Model!EC73,"")</f>
        <v>5136.3380371464209</v>
      </c>
      <c r="ED4" s="158">
        <f>IF(Model!ED73&lt;&gt;0,Model!ED73,"")</f>
        <v>3178.110718525304</v>
      </c>
      <c r="EE4" s="158">
        <f>IF(Model!EE73&lt;&gt;0,Model!EE73,"")</f>
        <v>2349.7668796668804</v>
      </c>
      <c r="EF4" s="152">
        <f>IF(Model!EF73&lt;&gt;0,Model!EF73,"")</f>
        <v>5527.8775981921845</v>
      </c>
      <c r="EG4" s="158">
        <f>IF(Model!EG73&lt;&gt;0,Model!EG73,"")</f>
        <v>3421.1972183289045</v>
      </c>
      <c r="EH4" s="158">
        <f>IF(Model!EH73&lt;&gt;0,Model!EH73,"")</f>
        <v>2581.1541770167514</v>
      </c>
      <c r="EI4" s="152">
        <f>IF(Model!EI73&lt;&gt;0,Model!EI73,"")</f>
        <v>6002.3513953456559</v>
      </c>
      <c r="EJ4" s="158">
        <f>IF(Model!EJ73&lt;&gt;0,Model!EJ73,"")</f>
        <v>3686.4680885461776</v>
      </c>
      <c r="EK4" s="158">
        <f>IF(Model!EK73&lt;&gt;0,Model!EK73,"")</f>
        <v>2835.818667115107</v>
      </c>
      <c r="EL4" s="152">
        <f>IF(Model!EL73&lt;&gt;0,Model!EL73,"")</f>
        <v>6522.2867556612846</v>
      </c>
      <c r="EM4" s="158">
        <f>IF(Model!EM73&lt;&gt;0,Model!EM73,"")</f>
        <v>3996.3634494536082</v>
      </c>
      <c r="EN4" s="158">
        <f>IF(Model!EN73&lt;&gt;0,Model!EN73,"")</f>
        <v>3078.1703118948717</v>
      </c>
      <c r="EO4" s="152">
        <f>IF(Model!EO73&lt;&gt;0,Model!EO73,"")</f>
        <v>7074.5337613484799</v>
      </c>
      <c r="EP4" s="158">
        <f>IF(Model!EP73&lt;&gt;0,Model!EP73,"")</f>
        <v>4287.067593767214</v>
      </c>
      <c r="EQ4" s="158">
        <f>IF(Model!EQ73&lt;&gt;0,Model!EQ73,"")</f>
        <v>3349.8237075379093</v>
      </c>
      <c r="ER4" s="152">
        <f>IF(Model!ER73&lt;&gt;0,Model!ER73,"")</f>
        <v>7636.8913013051233</v>
      </c>
      <c r="ES4" s="158">
        <f>IF(Model!ES73&lt;&gt;0,Model!ES73,"")</f>
        <v>4561.2661860576854</v>
      </c>
      <c r="ET4" s="158">
        <f>IF(Model!ET73&lt;&gt;0,Model!ET73,"")</f>
        <v>3597.0869109984424</v>
      </c>
      <c r="EU4" s="152">
        <f>IF(Model!EU73&lt;&gt;0,Model!EU73,"")</f>
        <v>8158.3530970561278</v>
      </c>
      <c r="EV4" s="158">
        <f>IF(Model!EV73&lt;&gt;0,Model!EV73,"")</f>
        <v>4808.607402543711</v>
      </c>
      <c r="EW4" s="158">
        <f>IF(Model!EW73&lt;&gt;0,Model!EW73,"")</f>
        <v>3812.8395954919697</v>
      </c>
      <c r="EX4" s="152">
        <f>IF(Model!EX73&lt;&gt;0,Model!EX73,"")</f>
        <v>8621.4469980356807</v>
      </c>
      <c r="EY4" s="158">
        <f>IF(Model!EY73&lt;&gt;0,Model!EY73,"")</f>
        <v>5071.3996512460099</v>
      </c>
      <c r="EZ4" s="158">
        <f>IF(Model!EZ73&lt;&gt;0,Model!EZ73,"")</f>
        <v>4042.7975523316682</v>
      </c>
      <c r="FA4" s="152">
        <f>IF(Model!FA73&lt;&gt;0,Model!FA73,"")</f>
        <v>9114.197203577678</v>
      </c>
    </row>
    <row r="5" spans="1:157" ht="13.35" customHeight="1">
      <c r="A5" s="3"/>
      <c r="B5" s="4" t="s">
        <v>738</v>
      </c>
      <c r="C5" s="4"/>
      <c r="D5" s="3"/>
      <c r="E5" s="78" t="str">
        <f>IF(Model!E91&lt;&gt;0,Model!E91,"")</f>
        <v/>
      </c>
      <c r="F5" s="78" t="str">
        <f>IF(Model!F91&lt;&gt;0,Model!F91,"")</f>
        <v/>
      </c>
      <c r="G5" s="78" t="str">
        <f>IF(Model!G91&lt;&gt;0,Model!G91,"")</f>
        <v/>
      </c>
      <c r="H5" s="78" t="str">
        <f>IF(Model!H91&lt;&gt;0,Model!H91,"")</f>
        <v/>
      </c>
      <c r="I5" s="78" t="str">
        <f>IF(Model!I91&lt;&gt;0,Model!I91,"")</f>
        <v/>
      </c>
      <c r="J5" s="78" t="str">
        <f>IF(Model!J91&lt;&gt;0,Model!J91,"")</f>
        <v/>
      </c>
      <c r="K5" s="78" t="str">
        <f>IF(Model!K91&lt;&gt;0,Model!K91,"")</f>
        <v/>
      </c>
      <c r="L5" s="78" t="str">
        <f>IF(Model!L91&lt;&gt;0,Model!L91,"")</f>
        <v/>
      </c>
      <c r="M5" s="78" t="str">
        <f>IF(Model!M91&lt;&gt;0,Model!M91,"")</f>
        <v/>
      </c>
      <c r="N5" s="78" t="str">
        <f>IF(Model!N91&lt;&gt;0,Model!N91,"")</f>
        <v/>
      </c>
      <c r="O5" s="78" t="str">
        <f>IF(Model!O91&lt;&gt;0,Model!O91,"")</f>
        <v/>
      </c>
      <c r="P5" s="78" t="str">
        <f>IF(Model!P91&lt;&gt;0,Model!P91,"")</f>
        <v/>
      </c>
      <c r="Q5" s="78" t="str">
        <f>IF(Model!Q91&lt;&gt;0,Model!Q91,"")</f>
        <v/>
      </c>
      <c r="R5" s="78" t="str">
        <f>IF(Model!R91&lt;&gt;0,Model!R91,"")</f>
        <v/>
      </c>
      <c r="S5" s="78" t="str">
        <f>IF(Model!S91&lt;&gt;0,Model!S91,"")</f>
        <v/>
      </c>
      <c r="T5" s="78" t="str">
        <f>IF(Model!T91&lt;&gt;0,Model!T91,"")</f>
        <v/>
      </c>
      <c r="U5" s="78" t="str">
        <f>IF(Model!U91&lt;&gt;0,Model!U91,"")</f>
        <v/>
      </c>
      <c r="V5" s="78" t="str">
        <f>IF(Model!V91&lt;&gt;0,Model!V91,"")</f>
        <v/>
      </c>
      <c r="W5" s="78" t="str">
        <f>IF(Model!W91&lt;&gt;0,Model!W91,"")</f>
        <v/>
      </c>
      <c r="X5" s="78" t="str">
        <f>IF(Model!X91&lt;&gt;0,Model!X91,"")</f>
        <v/>
      </c>
      <c r="Y5" s="78" t="str">
        <f>IF(Model!Y91&lt;&gt;0,Model!Y91,"")</f>
        <v/>
      </c>
      <c r="Z5" s="78" t="str">
        <f>IF(Model!Z91&lt;&gt;0,Model!Z91,"")</f>
        <v/>
      </c>
      <c r="AA5" s="78" t="str">
        <f>IF(Model!AA91&lt;&gt;0,Model!AA91,"")</f>
        <v/>
      </c>
      <c r="AB5" s="78" t="str">
        <f>IF(Model!AB91&lt;&gt;0,Model!AB91,"")</f>
        <v/>
      </c>
      <c r="AC5" s="78" t="str">
        <f>IF(Model!AC91&lt;&gt;0,Model!AC91,"")</f>
        <v/>
      </c>
      <c r="AD5" s="78" t="str">
        <f>IF(Model!AD91&lt;&gt;0,Model!AD91,"")</f>
        <v/>
      </c>
      <c r="AE5" s="78" t="str">
        <f>IF(Model!AE91&lt;&gt;0,Model!AE91,"")</f>
        <v/>
      </c>
      <c r="AF5" s="78" t="str">
        <f>IF(Model!AF91&lt;&gt;0,Model!AF91,"")</f>
        <v/>
      </c>
      <c r="AG5" s="78" t="str">
        <f>IF(Model!AG91&lt;&gt;0,Model!AG91,"")</f>
        <v/>
      </c>
      <c r="AH5" s="78" t="str">
        <f>IF(Model!AH91&lt;&gt;0,Model!AH91,"")</f>
        <v/>
      </c>
      <c r="AI5" s="78" t="str">
        <f>IF(Model!AI91&lt;&gt;0,Model!AI91,"")</f>
        <v/>
      </c>
      <c r="AJ5" s="78" t="str">
        <f>IF(Model!AJ91&lt;&gt;0,Model!AJ91,"")</f>
        <v/>
      </c>
      <c r="AK5" s="78" t="str">
        <f>IF(Model!AK91&lt;&gt;0,Model!AK91,"")</f>
        <v/>
      </c>
      <c r="AL5" s="78" t="str">
        <f>IF(Model!AL91&lt;&gt;0,Model!AL91,"")</f>
        <v/>
      </c>
      <c r="AM5" s="78">
        <f>IF(Model!AM91&lt;&gt;0,Model!AM91,"")</f>
        <v>30.313000000000006</v>
      </c>
      <c r="AN5" s="78">
        <f>IF(Model!AN91&lt;&gt;0,Model!AN91,"")</f>
        <v>30.313000000000006</v>
      </c>
      <c r="AO5" s="78">
        <f>IF(Model!AO91&lt;&gt;0,Model!AO91,"")</f>
        <v>12.447000000000001</v>
      </c>
      <c r="AP5" s="78">
        <f>IF(Model!AP91&lt;&gt;0,Model!AP91,"")</f>
        <v>23.110999999999997</v>
      </c>
      <c r="AQ5" s="78">
        <f>IF(Model!AQ91&lt;&gt;0,Model!AQ91,"")</f>
        <v>35.558</v>
      </c>
      <c r="AR5" s="78">
        <f>IF(Model!AR91&lt;&gt;0,Model!AR91,"")</f>
        <v>17.733999999999998</v>
      </c>
      <c r="AS5" s="78">
        <f>IF(Model!AS91&lt;&gt;0,Model!AS91,"")</f>
        <v>23.170000000000005</v>
      </c>
      <c r="AT5" s="78">
        <f>IF(Model!AT91&lt;&gt;0,Model!AT91,"")</f>
        <v>40.904000000000003</v>
      </c>
      <c r="AU5" s="78">
        <f>IF(Model!AU91&lt;&gt;0,Model!AU91,"")</f>
        <v>16.207999999999998</v>
      </c>
      <c r="AV5" s="78">
        <f>IF(Model!AV91&lt;&gt;0,Model!AV91,"")</f>
        <v>28.703000000000003</v>
      </c>
      <c r="AW5" s="78">
        <f>IF(Model!AW91&lt;&gt;0,Model!AW91,"")</f>
        <v>44.911000000000001</v>
      </c>
      <c r="AX5" s="78">
        <f>IF(Model!AX91&lt;&gt;0,Model!AX91,"")</f>
        <v>18.61</v>
      </c>
      <c r="AY5" s="78">
        <f>IF(Model!AY91&lt;&gt;0,Model!AY91,"")</f>
        <v>36.103999999999999</v>
      </c>
      <c r="AZ5" s="78">
        <f>IF(Model!AZ91&lt;&gt;0,Model!AZ91,"")</f>
        <v>54.713999999999999</v>
      </c>
      <c r="BA5" s="78">
        <f>IF(Model!BA91&lt;&gt;0,Model!BA91,"")</f>
        <v>37.329000000000008</v>
      </c>
      <c r="BB5" s="78">
        <f>IF(Model!BB91&lt;&gt;0,Model!BB91,"")</f>
        <v>65.515000000000001</v>
      </c>
      <c r="BC5" s="78">
        <f>IF(Model!BC91&lt;&gt;0,Model!BC91,"")</f>
        <v>102.84400000000001</v>
      </c>
      <c r="BD5" s="78">
        <f>IF(Model!BD91&lt;&gt;0,Model!BD91,"")</f>
        <v>77.558999999999997</v>
      </c>
      <c r="BE5" s="78">
        <f>IF(Model!BE91&lt;&gt;0,Model!BE91,"")</f>
        <v>95.38300000000001</v>
      </c>
      <c r="BF5" s="78">
        <f>IF(Model!BF91&lt;&gt;0,Model!BF91,"")</f>
        <v>172.94200000000001</v>
      </c>
      <c r="BG5" s="78">
        <f>IF(Model!BG91&lt;&gt;0,Model!BG91,"")</f>
        <v>40.1</v>
      </c>
      <c r="BH5" s="78">
        <f>IF(Model!BH91&lt;&gt;0,Model!BH91,"")</f>
        <v>34.565000000000005</v>
      </c>
      <c r="BI5" s="78">
        <f>IF(Model!BI91&lt;&gt;0,Model!BI91,"")</f>
        <v>74.665000000000006</v>
      </c>
      <c r="BJ5" s="78">
        <f>IF(Model!BJ91&lt;&gt;0,Model!BJ91,"")</f>
        <v>28.383000000000003</v>
      </c>
      <c r="BK5" s="78"/>
      <c r="BL5" s="78"/>
      <c r="BM5" s="78">
        <f>IF(Model!BM91&lt;&gt;0,Model!BM91,"")</f>
        <v>160.11100000000002</v>
      </c>
      <c r="BN5" s="78">
        <f>IF(Model!BN91&lt;&gt;0,Model!BN91,"")</f>
        <v>391.11200000000008</v>
      </c>
      <c r="BO5" s="78">
        <f>IF(Model!BO91&lt;&gt;0,Model!BO91,"")</f>
        <v>551.22300000000007</v>
      </c>
      <c r="BP5" s="78">
        <f>IF(Model!BP91&lt;&gt;0,Model!BP91,"")</f>
        <v>176.423</v>
      </c>
      <c r="BQ5" s="78">
        <f>IF(Model!BQ91&lt;&gt;0,Model!BQ91,"")</f>
        <v>185.52800000000002</v>
      </c>
      <c r="BR5" s="78">
        <f>IF(Model!BR91&lt;&gt;0,Model!BR91,"")</f>
        <v>361.95100000000002</v>
      </c>
      <c r="BS5" s="78">
        <f>IF(Model!BS91&lt;&gt;0,Model!BS91,"")</f>
        <v>257.28599999999994</v>
      </c>
      <c r="BT5" s="78">
        <f>IF(Model!BT91&lt;&gt;0,Model!BT91,"")</f>
        <v>315.63400000000001</v>
      </c>
      <c r="BU5" s="78">
        <f>IF(Model!BU91&lt;&gt;0,Model!BU91,"")</f>
        <v>572.91999999999996</v>
      </c>
      <c r="BV5" s="78">
        <f>IF(Model!BV91&lt;&gt;0,Model!BV91,"")</f>
        <v>348.72799999999995</v>
      </c>
      <c r="BW5" s="78">
        <f>IF(Model!BW91&lt;&gt;0,Model!BW91,"")</f>
        <v>353.07400000000007</v>
      </c>
      <c r="BX5" s="78">
        <f>IF(Model!BX91&lt;&gt;0,Model!BX91,"")</f>
        <v>701.80200000000002</v>
      </c>
      <c r="BY5" s="78">
        <f>IF(Model!BY91&lt;&gt;0,Model!BY91,"")</f>
        <v>501.85699999999997</v>
      </c>
      <c r="BZ5" s="78">
        <f>IF(Model!BZ91&lt;&gt;0,Model!BZ91,"")</f>
        <v>518.03700000000003</v>
      </c>
      <c r="CA5" s="78">
        <f>IF(Model!CA91&lt;&gt;0,Model!CA91,"")</f>
        <v>1019.894</v>
      </c>
      <c r="CB5" s="78">
        <f>IF(Model!CB91&lt;&gt;0,Model!CB91,"")</f>
        <v>617.39400000000001</v>
      </c>
      <c r="CC5" s="158">
        <f>IF(Model!CC91&lt;&gt;0,Model!CC91,"")</f>
        <v>435.50699999999983</v>
      </c>
      <c r="CD5" s="158">
        <f>IF(Model!CD91&lt;&gt;0,Model!CD91,"")</f>
        <v>1052.9009999999998</v>
      </c>
      <c r="CE5" s="158">
        <f>IF(Model!CE91&lt;&gt;0,Model!CE91,"")</f>
        <v>500.21500000000003</v>
      </c>
      <c r="CF5" s="158">
        <f>IF(Model!CF91&lt;&gt;0,Model!CF91,"")</f>
        <v>440.38599999999985</v>
      </c>
      <c r="CG5" s="158">
        <f>IF(Model!CG91&lt;&gt;0,Model!CG91,"")</f>
        <v>940.60099999999989</v>
      </c>
      <c r="CH5" s="158">
        <f>IF(Model!CH91&lt;&gt;0,Model!CH91,"")</f>
        <v>504.29999999999995</v>
      </c>
      <c r="CI5" s="158">
        <f>IF(Model!CI91&lt;&gt;0,Model!CI91,"")</f>
        <v>519.6</v>
      </c>
      <c r="CJ5" s="158">
        <f>IF(Model!CJ91&lt;&gt;0,Model!CJ91,"")</f>
        <v>1023.9</v>
      </c>
      <c r="CK5" s="158">
        <f>IF(Model!CK91&lt;&gt;0,Model!CK91,"")</f>
        <v>624.59999999999991</v>
      </c>
      <c r="CL5" s="158">
        <f>IF(Model!CL91&lt;&gt;0,Model!CL91,"")</f>
        <v>591.70000000000027</v>
      </c>
      <c r="CM5" s="158">
        <f>IF(Model!CM91&lt;&gt;0,Model!CM91,"")</f>
        <v>1216.3000000000002</v>
      </c>
      <c r="CN5" s="158">
        <f>IF(Model!CN91&lt;&gt;0,Model!CN91,"")</f>
        <v>645.70000000000005</v>
      </c>
      <c r="CO5" s="158">
        <f>IF(Model!CO91&lt;&gt;0,Model!CO91,"")</f>
        <v>661.3</v>
      </c>
      <c r="CP5" s="158">
        <f>IF(Model!CP91&lt;&gt;0,Model!CP91,"")</f>
        <v>1307</v>
      </c>
      <c r="CQ5" s="158">
        <f>IF(Model!CQ91&lt;&gt;0,Model!CQ91,"")</f>
        <v>692.2</v>
      </c>
      <c r="CR5" s="158">
        <f>IF(Model!CR91&lt;&gt;0,Model!CR91,"")</f>
        <v>708.8</v>
      </c>
      <c r="CS5" s="158">
        <f>IF(Model!CS91&lt;&gt;0,Model!CS91,"")</f>
        <v>1401</v>
      </c>
      <c r="CT5" s="158">
        <f>IF(Model!CT91&lt;&gt;0,Model!CT91,"")</f>
        <v>606.90000000000009</v>
      </c>
      <c r="CU5" s="158">
        <f>IF(Model!CU91&lt;&gt;0,Model!CU91,"")</f>
        <v>546</v>
      </c>
      <c r="CV5" s="158">
        <f>IF(Model!CV91&lt;&gt;0,Model!CV91,"")</f>
        <v>1152.9000000000001</v>
      </c>
      <c r="CW5" s="158">
        <f>IF(Model!CW91&lt;&gt;0,Model!CW91,"")</f>
        <v>805.49999999999989</v>
      </c>
      <c r="CX5" s="158">
        <f>IF(Model!CX91&lt;&gt;0,Model!CX91,"")</f>
        <v>539.81454610013031</v>
      </c>
      <c r="CY5" s="158">
        <f>IF(Model!CY91&lt;&gt;0,Model!CY91,"")</f>
        <v>1345.3145461001302</v>
      </c>
      <c r="CZ5" s="158">
        <f>IF(Model!CZ91&lt;&gt;0,Model!CZ91,"")</f>
        <v>1086.3</v>
      </c>
      <c r="DA5" s="158">
        <f>IF(Model!DA91&lt;&gt;0,Model!DA91,"")</f>
        <v>642.59999999999991</v>
      </c>
      <c r="DB5" s="158">
        <f>IF(Model!DB91&lt;&gt;0,Model!DB91,"")</f>
        <v>1728.8999999999999</v>
      </c>
      <c r="DC5" s="158">
        <f>IF(Model!DC91&lt;&gt;0,Model!DC91,"")</f>
        <v>1160.7</v>
      </c>
      <c r="DD5" s="158">
        <f>IF(Model!DD91&lt;&gt;0,Model!DD91,"")</f>
        <v>757.99999999999977</v>
      </c>
      <c r="DE5" s="152">
        <f>IF(Model!DE91&lt;&gt;0,Model!DE91,"")</f>
        <v>1918.6999999999998</v>
      </c>
      <c r="DF5" s="158">
        <f>IF(Model!DF91&lt;&gt;0,Model!DF91,"")</f>
        <v>1248</v>
      </c>
      <c r="DG5" s="158">
        <f>IF(Model!DG91&lt;&gt;0,Model!DG91,"")</f>
        <v>854.5</v>
      </c>
      <c r="DH5" s="152">
        <f>IF(Model!DH91&lt;&gt;0,Model!DH91,"")</f>
        <v>2102.5</v>
      </c>
      <c r="DI5" s="158">
        <f>IF(Model!DI91&lt;&gt;0,Model!DI91,"")</f>
        <v>1811.85</v>
      </c>
      <c r="DJ5" s="158">
        <f>IF(Model!DJ91&lt;&gt;0,Model!DJ91,"")</f>
        <v>583.04999999999973</v>
      </c>
      <c r="DK5" s="152">
        <f>IF(Model!DK91&lt;&gt;0,Model!DK91,"")</f>
        <v>2394.8999999999996</v>
      </c>
      <c r="DL5" s="158">
        <f>IF(Model!DL91&lt;&gt;0,Model!DL91,"")</f>
        <v>1760.3</v>
      </c>
      <c r="DM5" s="158">
        <f>IF(Model!DM91&lt;&gt;0,Model!DM91,"")</f>
        <v>501.70000000000005</v>
      </c>
      <c r="DN5" s="152">
        <f>IF(Model!DN91&lt;&gt;0,Model!DN91,"")</f>
        <v>2262</v>
      </c>
      <c r="DO5" s="158">
        <f>IF(Model!DO91&lt;&gt;0,Model!DO91,"")</f>
        <v>1623.1000000000001</v>
      </c>
      <c r="DP5" s="158">
        <f>IF(Model!DP91&lt;&gt;0,Model!DP91,"")</f>
        <v>570.80000000000041</v>
      </c>
      <c r="DQ5" s="152">
        <f>IF(Model!DQ91&lt;&gt;0,Model!DQ91,"")</f>
        <v>2193.9000000000005</v>
      </c>
      <c r="DR5" s="158">
        <f>IF(Model!DR91&lt;&gt;0,Model!DR91,"")</f>
        <v>1901.0050799999999</v>
      </c>
      <c r="DS5" s="158">
        <f>IF(Model!DS91&lt;&gt;0,Model!DS91,"")</f>
        <v>740.99492000000009</v>
      </c>
      <c r="DT5" s="152">
        <f>IF(Model!DT91&lt;&gt;0,Model!DT91,"")</f>
        <v>2642</v>
      </c>
      <c r="DU5" s="158">
        <f>IF(Model!DU91&lt;&gt;0,Model!DU91,"")</f>
        <v>2006.9999999999995</v>
      </c>
      <c r="DV5" s="158">
        <f>IF(Model!DV91&lt;&gt;0,Model!DV91,"")</f>
        <v>995.00000000000045</v>
      </c>
      <c r="DW5" s="152">
        <f>IF(Model!DW91&lt;&gt;0,Model!DW91,"")</f>
        <v>3002</v>
      </c>
      <c r="DX5" s="158">
        <f>IF(Model!DX91&lt;&gt;0,Model!DX91,"")</f>
        <v>401</v>
      </c>
      <c r="DY5" s="158">
        <f>IF(Model!DY91&lt;&gt;0,Model!DY91,"")</f>
        <v>1372.8577022481932</v>
      </c>
      <c r="DZ5" s="152">
        <f>IF(Model!DZ91&lt;&gt;0,Model!DZ91,"")</f>
        <v>1773.8577022481932</v>
      </c>
      <c r="EA5" s="158">
        <f>IF(Model!EA91&lt;&gt;0,Model!EA91,"")</f>
        <v>1979.9420938760486</v>
      </c>
      <c r="EB5" s="158">
        <f>IF(Model!EB91&lt;&gt;0,Model!EB91,"")</f>
        <v>1402.6667349904319</v>
      </c>
      <c r="EC5" s="152">
        <f>IF(Model!EC91&lt;&gt;0,Model!EC91,"")</f>
        <v>3382.6088288664805</v>
      </c>
      <c r="ED5" s="158">
        <f>IF(Model!ED91&lt;&gt;0,Model!ED91,"")</f>
        <v>2168.0038583265168</v>
      </c>
      <c r="EE5" s="158">
        <f>IF(Model!EE91&lt;&gt;0,Model!EE91,"")</f>
        <v>1535.7883932636632</v>
      </c>
      <c r="EF5" s="152">
        <f>IF(Model!EF91&lt;&gt;0,Model!EF91,"")</f>
        <v>3703.7922515901801</v>
      </c>
      <c r="EG5" s="158">
        <f>IF(Model!EG91&lt;&gt;0,Model!EG91,"")</f>
        <v>2364.786779520055</v>
      </c>
      <c r="EH5" s="158">
        <f>IF(Model!EH91&lt;&gt;0,Model!EH91,"")</f>
        <v>1725.8151320194243</v>
      </c>
      <c r="EI5" s="152">
        <f>IF(Model!EI91&lt;&gt;0,Model!EI91,"")</f>
        <v>4090.6019115394793</v>
      </c>
      <c r="EJ5" s="158">
        <f>IF(Model!EJ91&lt;&gt;0,Model!EJ91,"")</f>
        <v>2587.5065495174135</v>
      </c>
      <c r="EK5" s="158">
        <f>IF(Model!EK91&lt;&gt;0,Model!EK91,"")</f>
        <v>1941.5985794968633</v>
      </c>
      <c r="EL5" s="152">
        <f>IF(Model!EL91&lt;&gt;0,Model!EL91,"")</f>
        <v>4529.1051290142768</v>
      </c>
      <c r="EM5" s="158">
        <f>IF(Model!EM91&lt;&gt;0,Model!EM91,"")</f>
        <v>2849.5062992679455</v>
      </c>
      <c r="EN5" s="158">
        <f>IF(Model!EN91&lt;&gt;0,Model!EN91,"")</f>
        <v>2150.9941550467115</v>
      </c>
      <c r="EO5" s="152">
        <f>IF(Model!EO91&lt;&gt;0,Model!EO91,"")</f>
        <v>5000.500454314657</v>
      </c>
      <c r="EP5" s="158">
        <f>IF(Model!EP91&lt;&gt;0,Model!EP91,"")</f>
        <v>3100.2368047422647</v>
      </c>
      <c r="EQ5" s="158">
        <f>IF(Model!EQ91&lt;&gt;0,Model!EQ91,"")</f>
        <v>2387.6281450045294</v>
      </c>
      <c r="ER5" s="152">
        <f>IF(Model!ER91&lt;&gt;0,Model!ER91,"")</f>
        <v>5487.8649497467941</v>
      </c>
      <c r="ES5" s="158">
        <f>IF(Model!ES91&lt;&gt;0,Model!ES91,"")</f>
        <v>3339.5110744594012</v>
      </c>
      <c r="ET5" s="158">
        <f>IF(Model!ET91&lt;&gt;0,Model!ET91,"")</f>
        <v>2606.3430891766284</v>
      </c>
      <c r="EU5" s="152">
        <f>IF(Model!EU91&lt;&gt;0,Model!EU91,"")</f>
        <v>5945.8541636360296</v>
      </c>
      <c r="EV5" s="158">
        <f>IF(Model!EV91&lt;&gt;0,Model!EV91,"")</f>
        <v>3558.5824953413012</v>
      </c>
      <c r="EW5" s="158">
        <f>IF(Model!EW91&lt;&gt;0,Model!EW91,"")</f>
        <v>2801.107026284978</v>
      </c>
      <c r="EX5" s="152">
        <f>IF(Model!EX91&lt;&gt;0,Model!EX91,"")</f>
        <v>6359.6895216262792</v>
      </c>
      <c r="EY5" s="158">
        <f>IF(Model!EY91&lt;&gt;0,Model!EY91,"")</f>
        <v>3791.4684373353016</v>
      </c>
      <c r="EZ5" s="158">
        <f>IF(Model!EZ91&lt;&gt;0,Model!EZ91,"")</f>
        <v>3008.8470762413112</v>
      </c>
      <c r="FA5" s="152">
        <f>IF(Model!FA91&lt;&gt;0,Model!FA91,"")</f>
        <v>6800.3155135766128</v>
      </c>
    </row>
    <row r="6" spans="1:157" ht="13.35" customHeight="1">
      <c r="A6" s="3"/>
      <c r="B6" s="4" t="s">
        <v>463</v>
      </c>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134"/>
      <c r="DF6" s="4"/>
      <c r="DG6" s="4"/>
      <c r="DH6" s="134"/>
      <c r="DI6" s="4"/>
      <c r="DJ6" s="4"/>
      <c r="DK6" s="134"/>
      <c r="DL6" s="4"/>
      <c r="DM6" s="4"/>
      <c r="DN6" s="134"/>
      <c r="DO6" s="4"/>
      <c r="DP6" s="4"/>
      <c r="DQ6" s="134"/>
      <c r="DR6" s="4"/>
      <c r="DS6" s="4"/>
      <c r="DT6" s="134"/>
      <c r="DU6" s="4"/>
      <c r="DV6" s="4"/>
      <c r="DW6" s="134"/>
      <c r="DX6" s="4"/>
      <c r="DY6" s="4"/>
      <c r="DZ6" s="134"/>
      <c r="EA6" s="4"/>
      <c r="EB6" s="4"/>
      <c r="EC6" s="134"/>
      <c r="ED6" s="4"/>
      <c r="EE6" s="4"/>
      <c r="EF6" s="134"/>
      <c r="EG6" s="4"/>
      <c r="EH6" s="4"/>
      <c r="EI6" s="134"/>
      <c r="EJ6" s="4"/>
      <c r="EK6" s="4"/>
      <c r="EL6" s="134"/>
      <c r="EM6" s="4"/>
      <c r="EN6" s="4"/>
      <c r="EO6" s="134"/>
      <c r="EP6" s="4"/>
      <c r="EQ6" s="4"/>
      <c r="ER6" s="134"/>
      <c r="ES6" s="4"/>
      <c r="ET6" s="4"/>
      <c r="EU6" s="134"/>
      <c r="EV6" s="4"/>
      <c r="EW6" s="4"/>
      <c r="EX6" s="134"/>
      <c r="EY6" s="4"/>
      <c r="EZ6" s="4"/>
      <c r="FA6" s="134"/>
    </row>
    <row r="7" spans="1:157" ht="13.35" customHeight="1">
      <c r="A7" s="3"/>
      <c r="B7" s="4" t="s">
        <v>334</v>
      </c>
      <c r="C7" s="4"/>
      <c r="D7" s="3"/>
      <c r="E7" s="79"/>
      <c r="F7" s="79"/>
      <c r="G7" s="79"/>
      <c r="H7" s="79"/>
      <c r="I7" s="79"/>
      <c r="J7" s="79"/>
      <c r="K7" s="79"/>
      <c r="L7" s="79"/>
      <c r="M7" s="79"/>
      <c r="N7" s="79"/>
      <c r="O7" s="79"/>
      <c r="P7" s="79"/>
      <c r="Q7" s="79"/>
      <c r="R7" s="79"/>
      <c r="S7" s="79"/>
      <c r="T7" s="79"/>
      <c r="U7" s="79"/>
      <c r="V7" s="79"/>
      <c r="W7" s="79"/>
      <c r="X7" s="79"/>
      <c r="Y7" s="79"/>
      <c r="Z7" s="79"/>
      <c r="AA7" s="79"/>
      <c r="AB7" s="79"/>
      <c r="AC7" s="79"/>
      <c r="AD7" s="79"/>
      <c r="AE7" s="79"/>
      <c r="AF7" s="79"/>
      <c r="AG7" s="79"/>
      <c r="AH7" s="79"/>
      <c r="AI7" s="79"/>
      <c r="AJ7" s="79"/>
      <c r="AK7" s="79"/>
      <c r="AL7" s="79"/>
      <c r="AM7" s="79"/>
      <c r="AN7" s="79"/>
      <c r="AO7" s="79"/>
      <c r="AP7" s="79"/>
      <c r="AQ7" s="79"/>
      <c r="AR7" s="79"/>
      <c r="AS7" s="79"/>
      <c r="AT7" s="79"/>
      <c r="AU7" s="79"/>
      <c r="AV7" s="79"/>
      <c r="AW7" s="79"/>
      <c r="AX7" s="79"/>
      <c r="AY7" s="79"/>
      <c r="AZ7" s="79"/>
      <c r="BA7" s="79"/>
      <c r="BB7" s="79"/>
      <c r="BC7" s="79"/>
      <c r="BD7" s="79"/>
      <c r="BE7" s="79"/>
      <c r="BF7" s="79"/>
      <c r="BG7" s="79"/>
      <c r="BH7" s="79"/>
      <c r="BI7" s="79"/>
      <c r="BJ7" s="79"/>
      <c r="BK7" s="79"/>
      <c r="BL7" s="79"/>
      <c r="BM7" s="79"/>
      <c r="BN7" s="79"/>
      <c r="BO7" s="79"/>
      <c r="BP7" s="79"/>
      <c r="BQ7" s="79"/>
      <c r="BR7" s="79"/>
      <c r="BS7" s="79"/>
      <c r="BT7" s="79"/>
      <c r="BU7" s="79"/>
      <c r="BV7" s="79"/>
      <c r="BW7" s="79"/>
      <c r="BX7" s="79"/>
      <c r="BY7" s="79"/>
      <c r="BZ7" s="79"/>
      <c r="CA7" s="79"/>
      <c r="CB7" s="79"/>
      <c r="CC7" s="79"/>
      <c r="CD7" s="79"/>
      <c r="CE7" s="79"/>
      <c r="CF7" s="79"/>
      <c r="CG7" s="79"/>
      <c r="CH7" s="79"/>
      <c r="CI7" s="79"/>
      <c r="CJ7" s="79"/>
      <c r="CK7" s="79"/>
      <c r="CL7" s="79"/>
      <c r="CM7" s="79"/>
      <c r="CN7" s="79"/>
      <c r="CO7" s="79"/>
      <c r="CP7" s="79"/>
      <c r="CQ7" s="79"/>
      <c r="CR7" s="79"/>
      <c r="CS7" s="79"/>
      <c r="CT7" s="79"/>
      <c r="CU7" s="79"/>
      <c r="CV7" s="79"/>
      <c r="CW7" s="79"/>
      <c r="CX7" s="79"/>
      <c r="CY7" s="79"/>
      <c r="CZ7" s="79"/>
      <c r="DA7" s="79"/>
      <c r="DB7" s="79"/>
      <c r="DC7" s="79"/>
      <c r="DD7" s="79"/>
      <c r="DE7" s="135"/>
      <c r="DF7" s="79"/>
      <c r="DG7" s="79"/>
      <c r="DH7" s="135"/>
      <c r="DI7" s="79"/>
      <c r="DJ7" s="79"/>
      <c r="DK7" s="135"/>
      <c r="DL7" s="79"/>
      <c r="DM7" s="79"/>
      <c r="DN7" s="135"/>
      <c r="DO7" s="79"/>
      <c r="DP7" s="79"/>
      <c r="DQ7" s="135"/>
      <c r="DR7" s="79"/>
      <c r="DS7" s="79"/>
      <c r="DT7" s="135"/>
      <c r="DU7" s="79"/>
      <c r="DV7" s="79"/>
      <c r="DW7" s="135"/>
      <c r="DX7" s="79"/>
      <c r="DY7" s="79"/>
      <c r="DZ7" s="135"/>
      <c r="EA7" s="79"/>
      <c r="EB7" s="79"/>
      <c r="EC7" s="135"/>
      <c r="ED7" s="79"/>
      <c r="EE7" s="79"/>
      <c r="EF7" s="135"/>
      <c r="EG7" s="79"/>
      <c r="EH7" s="79"/>
      <c r="EI7" s="135"/>
      <c r="EJ7" s="79"/>
      <c r="EK7" s="79"/>
      <c r="EL7" s="135"/>
      <c r="EM7" s="79"/>
      <c r="EN7" s="79"/>
      <c r="EO7" s="135"/>
      <c r="EP7" s="79"/>
      <c r="EQ7" s="79"/>
      <c r="ER7" s="135"/>
      <c r="ES7" s="79"/>
      <c r="ET7" s="79"/>
      <c r="EU7" s="135"/>
      <c r="EV7" s="79"/>
      <c r="EW7" s="79"/>
      <c r="EX7" s="135"/>
      <c r="EY7" s="79"/>
      <c r="EZ7" s="79"/>
      <c r="FA7" s="135"/>
    </row>
    <row r="8" spans="1:157" ht="13.35" customHeight="1">
      <c r="A8" s="3"/>
      <c r="B8" s="4" t="s">
        <v>369</v>
      </c>
      <c r="C8" s="4"/>
      <c r="D8" s="3"/>
      <c r="E8" s="79"/>
      <c r="F8" s="79"/>
      <c r="G8" s="79"/>
      <c r="H8" s="79"/>
      <c r="I8" s="79"/>
      <c r="J8" s="79"/>
      <c r="K8" s="79"/>
      <c r="L8" s="79"/>
      <c r="M8" s="79"/>
      <c r="N8" s="79"/>
      <c r="O8" s="79"/>
      <c r="P8" s="79"/>
      <c r="Q8" s="79"/>
      <c r="R8" s="79"/>
      <c r="S8" s="79"/>
      <c r="T8" s="79"/>
      <c r="U8" s="79"/>
      <c r="V8" s="79"/>
      <c r="W8" s="79"/>
      <c r="X8" s="79"/>
      <c r="Y8" s="79"/>
      <c r="Z8" s="79"/>
      <c r="AA8" s="79"/>
      <c r="AB8" s="79"/>
      <c r="AC8" s="79"/>
      <c r="AD8" s="79"/>
      <c r="AE8" s="79"/>
      <c r="AF8" s="79"/>
      <c r="AG8" s="79"/>
      <c r="AH8" s="79"/>
      <c r="AI8" s="79"/>
      <c r="AJ8" s="79"/>
      <c r="AK8" s="79"/>
      <c r="AL8" s="79"/>
      <c r="AM8" s="79"/>
      <c r="AN8" s="79"/>
      <c r="AO8" s="79"/>
      <c r="AP8" s="79"/>
      <c r="AQ8" s="79"/>
      <c r="AR8" s="79"/>
      <c r="AS8" s="79"/>
      <c r="AT8" s="79"/>
      <c r="AU8" s="79"/>
      <c r="AV8" s="79"/>
      <c r="AW8" s="79"/>
      <c r="AX8" s="79"/>
      <c r="AY8" s="79"/>
      <c r="AZ8" s="79"/>
      <c r="BA8" s="79"/>
      <c r="BB8" s="79"/>
      <c r="BC8" s="79"/>
      <c r="BD8" s="79"/>
      <c r="BE8" s="79"/>
      <c r="BF8" s="79"/>
      <c r="BG8" s="79"/>
      <c r="BH8" s="79"/>
      <c r="BI8" s="79"/>
      <c r="BJ8" s="79"/>
      <c r="BK8" s="79"/>
      <c r="BL8" s="79"/>
      <c r="BM8" s="79"/>
      <c r="BN8" s="79"/>
      <c r="BO8" s="79"/>
      <c r="BP8" s="79"/>
      <c r="BQ8" s="79"/>
      <c r="BR8" s="79"/>
      <c r="BS8" s="79"/>
      <c r="BT8" s="79"/>
      <c r="BU8" s="79"/>
      <c r="BV8" s="79"/>
      <c r="BW8" s="79"/>
      <c r="BX8" s="79"/>
      <c r="BY8" s="79"/>
      <c r="BZ8" s="79"/>
      <c r="CA8" s="79"/>
      <c r="CB8" s="79"/>
      <c r="CC8" s="79"/>
      <c r="CD8" s="79"/>
      <c r="CE8" s="79"/>
      <c r="CF8" s="79"/>
      <c r="CG8" s="79"/>
      <c r="CH8" s="79"/>
      <c r="CI8" s="79"/>
      <c r="CJ8" s="79"/>
      <c r="CK8" s="79"/>
      <c r="CL8" s="79"/>
      <c r="CM8" s="79"/>
      <c r="CN8" s="79"/>
      <c r="CO8" s="79"/>
      <c r="CP8" s="79"/>
      <c r="CQ8" s="79"/>
      <c r="CR8" s="79"/>
      <c r="CS8" s="79"/>
      <c r="CT8" s="79"/>
      <c r="CU8" s="79"/>
      <c r="CV8" s="79"/>
      <c r="CW8" s="79"/>
      <c r="CX8" s="79"/>
      <c r="CY8" s="79"/>
      <c r="CZ8" s="79"/>
      <c r="DA8" s="79"/>
      <c r="DB8" s="79"/>
      <c r="DC8" s="79"/>
      <c r="DD8" s="79"/>
      <c r="DE8" s="135"/>
      <c r="DF8" s="79"/>
      <c r="DG8" s="79"/>
      <c r="DH8" s="135"/>
      <c r="DI8" s="79"/>
      <c r="DJ8" s="79"/>
      <c r="DK8" s="135"/>
      <c r="DL8" s="79"/>
      <c r="DM8" s="79"/>
      <c r="DN8" s="135"/>
      <c r="DO8" s="79"/>
      <c r="DP8" s="79"/>
      <c r="DQ8" s="135"/>
      <c r="DR8" s="79"/>
      <c r="DS8" s="79"/>
      <c r="DT8" s="135"/>
      <c r="DU8" s="79"/>
      <c r="DV8" s="79"/>
      <c r="DW8" s="135"/>
      <c r="DX8" s="79"/>
      <c r="DY8" s="79"/>
      <c r="DZ8" s="135"/>
      <c r="EA8" s="79"/>
      <c r="EB8" s="79"/>
      <c r="EC8" s="135"/>
      <c r="ED8" s="79"/>
      <c r="EE8" s="79"/>
      <c r="EF8" s="135"/>
      <c r="EG8" s="79"/>
      <c r="EH8" s="79"/>
      <c r="EI8" s="135"/>
      <c r="EJ8" s="79"/>
      <c r="EK8" s="79"/>
      <c r="EL8" s="135"/>
      <c r="EM8" s="79"/>
      <c r="EN8" s="79"/>
      <c r="EO8" s="135"/>
      <c r="EP8" s="79"/>
      <c r="EQ8" s="79"/>
      <c r="ER8" s="135"/>
      <c r="ES8" s="79"/>
      <c r="ET8" s="79"/>
      <c r="EU8" s="135"/>
      <c r="EV8" s="79"/>
      <c r="EW8" s="79"/>
      <c r="EX8" s="135"/>
      <c r="EY8" s="79"/>
      <c r="EZ8" s="79"/>
      <c r="FA8" s="135"/>
    </row>
    <row r="9" spans="1:157" ht="13.35" customHeight="1">
      <c r="A9" s="3"/>
      <c r="B9" s="4" t="s">
        <v>370</v>
      </c>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134"/>
      <c r="DF9" s="4"/>
      <c r="DG9" s="4"/>
      <c r="DH9" s="134"/>
      <c r="DI9" s="4"/>
      <c r="DJ9" s="4"/>
      <c r="DK9" s="134"/>
      <c r="DL9" s="4"/>
      <c r="DM9" s="4"/>
      <c r="DN9" s="134"/>
      <c r="DO9" s="4"/>
      <c r="DP9" s="4"/>
      <c r="DQ9" s="134"/>
      <c r="DR9" s="4"/>
      <c r="DS9" s="4"/>
      <c r="DT9" s="134"/>
      <c r="DU9" s="4"/>
      <c r="DV9" s="4"/>
      <c r="DW9" s="134"/>
      <c r="DX9" s="4"/>
      <c r="DY9" s="4"/>
      <c r="DZ9" s="134"/>
      <c r="EA9" s="4"/>
      <c r="EB9" s="4"/>
      <c r="EC9" s="134"/>
      <c r="ED9" s="4"/>
      <c r="EE9" s="4"/>
      <c r="EF9" s="134"/>
      <c r="EG9" s="4"/>
      <c r="EH9" s="4"/>
      <c r="EI9" s="134"/>
      <c r="EJ9" s="4"/>
      <c r="EK9" s="4"/>
      <c r="EL9" s="134"/>
      <c r="EM9" s="4"/>
      <c r="EN9" s="4"/>
      <c r="EO9" s="134"/>
      <c r="EP9" s="4"/>
      <c r="EQ9" s="4"/>
      <c r="ER9" s="134"/>
      <c r="ES9" s="4"/>
      <c r="ET9" s="4"/>
      <c r="EU9" s="134"/>
      <c r="EV9" s="4"/>
      <c r="EW9" s="4"/>
      <c r="EX9" s="134"/>
      <c r="EY9" s="4"/>
      <c r="EZ9" s="4"/>
      <c r="FA9" s="134"/>
    </row>
    <row r="10" spans="1:157" ht="13.35" customHeight="1">
      <c r="A10" s="3"/>
      <c r="B10" s="4" t="s">
        <v>334</v>
      </c>
      <c r="C10" s="4"/>
      <c r="D10" s="3"/>
      <c r="E10" s="80" t="str">
        <f t="shared" ref="E10:AJ10" si="0">IF(AND(E4&lt;&gt;0,E7&lt;&gt;0,E4&lt;&gt;""),((E7-E4)/E4),"")</f>
        <v/>
      </c>
      <c r="F10" s="80" t="str">
        <f t="shared" si="0"/>
        <v/>
      </c>
      <c r="G10" s="80" t="str">
        <f t="shared" si="0"/>
        <v/>
      </c>
      <c r="H10" s="80" t="str">
        <f t="shared" si="0"/>
        <v/>
      </c>
      <c r="I10" s="80" t="str">
        <f t="shared" si="0"/>
        <v/>
      </c>
      <c r="J10" s="80" t="str">
        <f t="shared" si="0"/>
        <v/>
      </c>
      <c r="K10" s="80" t="str">
        <f t="shared" si="0"/>
        <v/>
      </c>
      <c r="L10" s="80" t="str">
        <f t="shared" si="0"/>
        <v/>
      </c>
      <c r="M10" s="80" t="str">
        <f t="shared" si="0"/>
        <v/>
      </c>
      <c r="N10" s="80" t="str">
        <f t="shared" si="0"/>
        <v/>
      </c>
      <c r="O10" s="80" t="str">
        <f t="shared" si="0"/>
        <v/>
      </c>
      <c r="P10" s="80" t="str">
        <f t="shared" si="0"/>
        <v/>
      </c>
      <c r="Q10" s="80" t="str">
        <f t="shared" si="0"/>
        <v/>
      </c>
      <c r="R10" s="80" t="str">
        <f t="shared" si="0"/>
        <v/>
      </c>
      <c r="S10" s="80" t="str">
        <f t="shared" si="0"/>
        <v/>
      </c>
      <c r="T10" s="80" t="str">
        <f t="shared" si="0"/>
        <v/>
      </c>
      <c r="U10" s="80" t="str">
        <f t="shared" si="0"/>
        <v/>
      </c>
      <c r="V10" s="80" t="str">
        <f t="shared" si="0"/>
        <v/>
      </c>
      <c r="W10" s="80" t="str">
        <f t="shared" si="0"/>
        <v/>
      </c>
      <c r="X10" s="80" t="str">
        <f t="shared" si="0"/>
        <v/>
      </c>
      <c r="Y10" s="80" t="str">
        <f t="shared" si="0"/>
        <v/>
      </c>
      <c r="Z10" s="80" t="str">
        <f t="shared" si="0"/>
        <v/>
      </c>
      <c r="AA10" s="80" t="str">
        <f t="shared" si="0"/>
        <v/>
      </c>
      <c r="AB10" s="80" t="str">
        <f t="shared" si="0"/>
        <v/>
      </c>
      <c r="AC10" s="80" t="str">
        <f t="shared" si="0"/>
        <v/>
      </c>
      <c r="AD10" s="80" t="str">
        <f t="shared" si="0"/>
        <v/>
      </c>
      <c r="AE10" s="80" t="str">
        <f t="shared" si="0"/>
        <v/>
      </c>
      <c r="AF10" s="80" t="str">
        <f t="shared" si="0"/>
        <v/>
      </c>
      <c r="AG10" s="80" t="str">
        <f t="shared" si="0"/>
        <v/>
      </c>
      <c r="AH10" s="80" t="str">
        <f t="shared" si="0"/>
        <v/>
      </c>
      <c r="AI10" s="80" t="str">
        <f t="shared" si="0"/>
        <v/>
      </c>
      <c r="AJ10" s="80" t="str">
        <f t="shared" si="0"/>
        <v/>
      </c>
      <c r="AK10" s="80" t="str">
        <f t="shared" ref="AK10:BP10" si="1">IF(AND(AK4&lt;&gt;0,AK7&lt;&gt;0,AK4&lt;&gt;""),((AK7-AK4)/AK4),"")</f>
        <v/>
      </c>
      <c r="AL10" s="80" t="str">
        <f t="shared" si="1"/>
        <v/>
      </c>
      <c r="AM10" s="80" t="str">
        <f t="shared" si="1"/>
        <v/>
      </c>
      <c r="AN10" s="80" t="str">
        <f t="shared" si="1"/>
        <v/>
      </c>
      <c r="AO10" s="80" t="str">
        <f t="shared" si="1"/>
        <v/>
      </c>
      <c r="AP10" s="80" t="str">
        <f t="shared" si="1"/>
        <v/>
      </c>
      <c r="AQ10" s="80" t="str">
        <f t="shared" si="1"/>
        <v/>
      </c>
      <c r="AR10" s="80" t="str">
        <f t="shared" si="1"/>
        <v/>
      </c>
      <c r="AS10" s="80" t="str">
        <f t="shared" si="1"/>
        <v/>
      </c>
      <c r="AT10" s="80" t="str">
        <f t="shared" si="1"/>
        <v/>
      </c>
      <c r="AU10" s="80" t="str">
        <f t="shared" si="1"/>
        <v/>
      </c>
      <c r="AV10" s="80" t="str">
        <f t="shared" si="1"/>
        <v/>
      </c>
      <c r="AW10" s="80" t="str">
        <f t="shared" si="1"/>
        <v/>
      </c>
      <c r="AX10" s="80" t="str">
        <f t="shared" si="1"/>
        <v/>
      </c>
      <c r="AY10" s="80" t="str">
        <f t="shared" si="1"/>
        <v/>
      </c>
      <c r="AZ10" s="80" t="str">
        <f t="shared" si="1"/>
        <v/>
      </c>
      <c r="BA10" s="80" t="str">
        <f t="shared" si="1"/>
        <v/>
      </c>
      <c r="BB10" s="80" t="str">
        <f t="shared" si="1"/>
        <v/>
      </c>
      <c r="BC10" s="80" t="str">
        <f t="shared" si="1"/>
        <v/>
      </c>
      <c r="BD10" s="80" t="str">
        <f t="shared" si="1"/>
        <v/>
      </c>
      <c r="BE10" s="80" t="str">
        <f t="shared" si="1"/>
        <v/>
      </c>
      <c r="BF10" s="80" t="str">
        <f t="shared" si="1"/>
        <v/>
      </c>
      <c r="BG10" s="80" t="str">
        <f t="shared" si="1"/>
        <v/>
      </c>
      <c r="BH10" s="80" t="str">
        <f t="shared" si="1"/>
        <v/>
      </c>
      <c r="BI10" s="80" t="str">
        <f t="shared" si="1"/>
        <v/>
      </c>
      <c r="BJ10" s="80" t="str">
        <f t="shared" si="1"/>
        <v/>
      </c>
      <c r="BK10" s="80"/>
      <c r="BL10" s="80"/>
      <c r="BM10" s="80"/>
      <c r="BN10" s="80" t="str">
        <f t="shared" si="1"/>
        <v/>
      </c>
      <c r="BO10" s="80" t="str">
        <f t="shared" si="1"/>
        <v/>
      </c>
      <c r="BP10" s="80" t="str">
        <f t="shared" si="1"/>
        <v/>
      </c>
      <c r="BQ10" s="80" t="str">
        <f t="shared" ref="BQ10:CM10" si="2">IF(AND(BQ4&lt;&gt;0,BQ7&lt;&gt;0,BQ4&lt;&gt;""),((BQ7-BQ4)/BQ4),"")</f>
        <v/>
      </c>
      <c r="BR10" s="80" t="str">
        <f t="shared" si="2"/>
        <v/>
      </c>
      <c r="BS10" s="80" t="str">
        <f t="shared" si="2"/>
        <v/>
      </c>
      <c r="BT10" s="80" t="str">
        <f t="shared" si="2"/>
        <v/>
      </c>
      <c r="BU10" s="80" t="str">
        <f t="shared" si="2"/>
        <v/>
      </c>
      <c r="BV10" s="80" t="str">
        <f t="shared" si="2"/>
        <v/>
      </c>
      <c r="BW10" s="80" t="str">
        <f t="shared" si="2"/>
        <v/>
      </c>
      <c r="BX10" s="80" t="str">
        <f t="shared" si="2"/>
        <v/>
      </c>
      <c r="BY10" s="80" t="str">
        <f t="shared" si="2"/>
        <v/>
      </c>
      <c r="BZ10" s="80" t="str">
        <f t="shared" si="2"/>
        <v/>
      </c>
      <c r="CA10" s="80" t="str">
        <f t="shared" si="2"/>
        <v/>
      </c>
      <c r="CB10" s="80" t="str">
        <f t="shared" si="2"/>
        <v/>
      </c>
      <c r="CC10" s="80" t="str">
        <f t="shared" si="2"/>
        <v/>
      </c>
      <c r="CD10" s="80" t="str">
        <f t="shared" si="2"/>
        <v/>
      </c>
      <c r="CE10" s="80" t="str">
        <f t="shared" si="2"/>
        <v/>
      </c>
      <c r="CF10" s="80" t="str">
        <f t="shared" si="2"/>
        <v/>
      </c>
      <c r="CG10" s="80" t="str">
        <f t="shared" si="2"/>
        <v/>
      </c>
      <c r="CH10" s="80" t="str">
        <f t="shared" si="2"/>
        <v/>
      </c>
      <c r="CI10" s="80" t="str">
        <f t="shared" si="2"/>
        <v/>
      </c>
      <c r="CJ10" s="80" t="str">
        <f t="shared" si="2"/>
        <v/>
      </c>
      <c r="CK10" s="80" t="str">
        <f t="shared" si="2"/>
        <v/>
      </c>
      <c r="CL10" s="80" t="str">
        <f t="shared" si="2"/>
        <v/>
      </c>
      <c r="CM10" s="80" t="str">
        <f t="shared" si="2"/>
        <v/>
      </c>
      <c r="CN10" s="80" t="str">
        <f t="shared" ref="CN10:DQ10" si="3">IF(AND(CN4&lt;&gt;0,CN7&lt;&gt;0,CN4&lt;&gt;""),((CN7-CN4)/CN4),"")</f>
        <v/>
      </c>
      <c r="CO10" s="80" t="str">
        <f t="shared" si="3"/>
        <v/>
      </c>
      <c r="CP10" s="80" t="str">
        <f t="shared" si="3"/>
        <v/>
      </c>
      <c r="CQ10" s="80" t="str">
        <f t="shared" si="3"/>
        <v/>
      </c>
      <c r="CR10" s="80" t="str">
        <f t="shared" si="3"/>
        <v/>
      </c>
      <c r="CS10" s="80" t="str">
        <f t="shared" si="3"/>
        <v/>
      </c>
      <c r="CT10" s="80" t="str">
        <f t="shared" si="3"/>
        <v/>
      </c>
      <c r="CU10" s="80" t="str">
        <f t="shared" si="3"/>
        <v/>
      </c>
      <c r="CV10" s="80" t="str">
        <f t="shared" si="3"/>
        <v/>
      </c>
      <c r="CW10" s="80" t="str">
        <f t="shared" si="3"/>
        <v/>
      </c>
      <c r="CX10" s="80" t="str">
        <f t="shared" si="3"/>
        <v/>
      </c>
      <c r="CY10" s="80" t="str">
        <f t="shared" si="3"/>
        <v/>
      </c>
      <c r="CZ10" s="80" t="str">
        <f t="shared" si="3"/>
        <v/>
      </c>
      <c r="DA10" s="80" t="str">
        <f t="shared" si="3"/>
        <v/>
      </c>
      <c r="DB10" s="80" t="str">
        <f t="shared" si="3"/>
        <v/>
      </c>
      <c r="DC10" s="80" t="str">
        <f t="shared" si="3"/>
        <v/>
      </c>
      <c r="DD10" s="80" t="str">
        <f t="shared" si="3"/>
        <v/>
      </c>
      <c r="DE10" s="136" t="str">
        <f t="shared" si="3"/>
        <v/>
      </c>
      <c r="DF10" s="80" t="str">
        <f t="shared" si="3"/>
        <v/>
      </c>
      <c r="DG10" s="80" t="str">
        <f t="shared" si="3"/>
        <v/>
      </c>
      <c r="DH10" s="136" t="str">
        <f t="shared" si="3"/>
        <v/>
      </c>
      <c r="DI10" s="80" t="str">
        <f t="shared" si="3"/>
        <v/>
      </c>
      <c r="DJ10" s="80" t="str">
        <f t="shared" si="3"/>
        <v/>
      </c>
      <c r="DK10" s="136" t="str">
        <f t="shared" si="3"/>
        <v/>
      </c>
      <c r="DL10" s="80" t="str">
        <f t="shared" si="3"/>
        <v/>
      </c>
      <c r="DM10" s="80" t="str">
        <f t="shared" si="3"/>
        <v/>
      </c>
      <c r="DN10" s="136" t="str">
        <f t="shared" si="3"/>
        <v/>
      </c>
      <c r="DO10" s="80" t="str">
        <f t="shared" si="3"/>
        <v/>
      </c>
      <c r="DP10" s="80" t="str">
        <f t="shared" si="3"/>
        <v/>
      </c>
      <c r="DQ10" s="136" t="str">
        <f t="shared" si="3"/>
        <v/>
      </c>
      <c r="DR10" s="80" t="str">
        <f t="shared" ref="DR10:DT11" si="4">IF(AND(DR4&lt;&gt;0,DR7&lt;&gt;0,DR4&lt;&gt;""),((DR7-DR4)/DR4),"")</f>
        <v/>
      </c>
      <c r="DS10" s="80" t="str">
        <f t="shared" si="4"/>
        <v/>
      </c>
      <c r="DT10" s="136" t="str">
        <f t="shared" si="4"/>
        <v/>
      </c>
      <c r="DU10" s="80" t="str">
        <f t="shared" ref="DU10:DZ10" si="5">IF(AND(DU4&lt;&gt;0,DU7&lt;&gt;0,DU4&lt;&gt;""),((DU7-DU4)/DU4),"")</f>
        <v/>
      </c>
      <c r="DV10" s="80" t="str">
        <f t="shared" si="5"/>
        <v/>
      </c>
      <c r="DW10" s="136" t="str">
        <f t="shared" si="5"/>
        <v/>
      </c>
      <c r="DX10" s="80" t="str">
        <f t="shared" ref="DX10" si="6">IF(AND(DX4&lt;&gt;0,DX7&lt;&gt;0,DX4&lt;&gt;""),((DX7-DX4)/DX4),"")</f>
        <v/>
      </c>
      <c r="DY10" s="80" t="str">
        <f t="shared" si="5"/>
        <v/>
      </c>
      <c r="DZ10" s="136" t="str">
        <f t="shared" si="5"/>
        <v/>
      </c>
      <c r="EA10" s="80" t="str">
        <f t="shared" ref="EA10:EC11" si="7">IF(AND(EA4&lt;&gt;0,EA7&lt;&gt;0,EA4&lt;&gt;""),((EA7-EA4)/EA4),"")</f>
        <v/>
      </c>
      <c r="EB10" s="80" t="str">
        <f t="shared" si="7"/>
        <v/>
      </c>
      <c r="EC10" s="136" t="str">
        <f t="shared" si="7"/>
        <v/>
      </c>
      <c r="ED10" s="80" t="str">
        <f t="shared" ref="ED10:EF11" si="8">IF(AND(ED4&lt;&gt;0,ED7&lt;&gt;0,ED4&lt;&gt;""),((ED7-ED4)/ED4),"")</f>
        <v/>
      </c>
      <c r="EE10" s="80" t="str">
        <f t="shared" si="8"/>
        <v/>
      </c>
      <c r="EF10" s="136" t="str">
        <f t="shared" si="8"/>
        <v/>
      </c>
      <c r="EG10" s="80" t="str">
        <f t="shared" ref="EG10:EL10" si="9">IF(AND(EG4&lt;&gt;0,EG7&lt;&gt;0,EG4&lt;&gt;""),((EG7-EG4)/EG4),"")</f>
        <v/>
      </c>
      <c r="EH10" s="80" t="str">
        <f t="shared" si="9"/>
        <v/>
      </c>
      <c r="EI10" s="136" t="str">
        <f t="shared" si="9"/>
        <v/>
      </c>
      <c r="EJ10" s="80" t="str">
        <f t="shared" si="9"/>
        <v/>
      </c>
      <c r="EK10" s="80" t="str">
        <f t="shared" si="9"/>
        <v/>
      </c>
      <c r="EL10" s="136" t="str">
        <f t="shared" si="9"/>
        <v/>
      </c>
      <c r="EM10" s="80" t="str">
        <f t="shared" ref="EM10:ER10" si="10">IF(AND(EM4&lt;&gt;0,EM7&lt;&gt;0,EM4&lt;&gt;""),((EM7-EM4)/EM4),"")</f>
        <v/>
      </c>
      <c r="EN10" s="80" t="str">
        <f t="shared" si="10"/>
        <v/>
      </c>
      <c r="EO10" s="136" t="str">
        <f t="shared" si="10"/>
        <v/>
      </c>
      <c r="EP10" s="80" t="str">
        <f t="shared" si="10"/>
        <v/>
      </c>
      <c r="EQ10" s="80" t="str">
        <f t="shared" si="10"/>
        <v/>
      </c>
      <c r="ER10" s="136" t="str">
        <f t="shared" si="10"/>
        <v/>
      </c>
      <c r="ES10" s="80" t="str">
        <f t="shared" ref="ES10:FA10" si="11">IF(AND(ES4&lt;&gt;0,ES7&lt;&gt;0,ES4&lt;&gt;""),((ES7-ES4)/ES4),"")</f>
        <v/>
      </c>
      <c r="ET10" s="80" t="str">
        <f t="shared" si="11"/>
        <v/>
      </c>
      <c r="EU10" s="136" t="str">
        <f t="shared" si="11"/>
        <v/>
      </c>
      <c r="EV10" s="80" t="str">
        <f t="shared" si="11"/>
        <v/>
      </c>
      <c r="EW10" s="80" t="str">
        <f t="shared" si="11"/>
        <v/>
      </c>
      <c r="EX10" s="136" t="str">
        <f t="shared" si="11"/>
        <v/>
      </c>
      <c r="EY10" s="80" t="str">
        <f t="shared" si="11"/>
        <v/>
      </c>
      <c r="EZ10" s="80" t="str">
        <f t="shared" si="11"/>
        <v/>
      </c>
      <c r="FA10" s="136" t="str">
        <f t="shared" si="11"/>
        <v/>
      </c>
    </row>
    <row r="11" spans="1:157" ht="13.35" customHeight="1">
      <c r="A11" s="3"/>
      <c r="B11" s="4" t="s">
        <v>369</v>
      </c>
      <c r="C11" s="4"/>
      <c r="D11" s="3"/>
      <c r="E11" s="81" t="str">
        <f t="shared" ref="E11:AJ11" si="12">IF(AND(E5&lt;&gt;0,E8&lt;&gt;0,E5&lt;&gt;""),((E8-E5)/E5),"")</f>
        <v/>
      </c>
      <c r="F11" s="81" t="str">
        <f t="shared" si="12"/>
        <v/>
      </c>
      <c r="G11" s="81" t="str">
        <f t="shared" si="12"/>
        <v/>
      </c>
      <c r="H11" s="81" t="str">
        <f t="shared" si="12"/>
        <v/>
      </c>
      <c r="I11" s="81" t="str">
        <f t="shared" si="12"/>
        <v/>
      </c>
      <c r="J11" s="81" t="str">
        <f t="shared" si="12"/>
        <v/>
      </c>
      <c r="K11" s="81" t="str">
        <f t="shared" si="12"/>
        <v/>
      </c>
      <c r="L11" s="81" t="str">
        <f t="shared" si="12"/>
        <v/>
      </c>
      <c r="M11" s="81" t="str">
        <f t="shared" si="12"/>
        <v/>
      </c>
      <c r="N11" s="81" t="str">
        <f t="shared" si="12"/>
        <v/>
      </c>
      <c r="O11" s="81" t="str">
        <f t="shared" si="12"/>
        <v/>
      </c>
      <c r="P11" s="81" t="str">
        <f t="shared" si="12"/>
        <v/>
      </c>
      <c r="Q11" s="81" t="str">
        <f t="shared" si="12"/>
        <v/>
      </c>
      <c r="R11" s="81" t="str">
        <f t="shared" si="12"/>
        <v/>
      </c>
      <c r="S11" s="81" t="str">
        <f t="shared" si="12"/>
        <v/>
      </c>
      <c r="T11" s="81" t="str">
        <f t="shared" si="12"/>
        <v/>
      </c>
      <c r="U11" s="81" t="str">
        <f t="shared" si="12"/>
        <v/>
      </c>
      <c r="V11" s="81" t="str">
        <f t="shared" si="12"/>
        <v/>
      </c>
      <c r="W11" s="81" t="str">
        <f t="shared" si="12"/>
        <v/>
      </c>
      <c r="X11" s="81" t="str">
        <f t="shared" si="12"/>
        <v/>
      </c>
      <c r="Y11" s="81" t="str">
        <f t="shared" si="12"/>
        <v/>
      </c>
      <c r="Z11" s="81" t="str">
        <f t="shared" si="12"/>
        <v/>
      </c>
      <c r="AA11" s="81" t="str">
        <f t="shared" si="12"/>
        <v/>
      </c>
      <c r="AB11" s="81" t="str">
        <f t="shared" si="12"/>
        <v/>
      </c>
      <c r="AC11" s="81" t="str">
        <f t="shared" si="12"/>
        <v/>
      </c>
      <c r="AD11" s="81" t="str">
        <f t="shared" si="12"/>
        <v/>
      </c>
      <c r="AE11" s="81" t="str">
        <f t="shared" si="12"/>
        <v/>
      </c>
      <c r="AF11" s="81" t="str">
        <f t="shared" si="12"/>
        <v/>
      </c>
      <c r="AG11" s="81" t="str">
        <f t="shared" si="12"/>
        <v/>
      </c>
      <c r="AH11" s="81" t="str">
        <f t="shared" si="12"/>
        <v/>
      </c>
      <c r="AI11" s="81" t="str">
        <f t="shared" si="12"/>
        <v/>
      </c>
      <c r="AJ11" s="81" t="str">
        <f t="shared" si="12"/>
        <v/>
      </c>
      <c r="AK11" s="81" t="str">
        <f t="shared" ref="AK11:BP11" si="13">IF(AND(AK5&lt;&gt;0,AK8&lt;&gt;0,AK5&lt;&gt;""),((AK8-AK5)/AK5),"")</f>
        <v/>
      </c>
      <c r="AL11" s="81" t="str">
        <f t="shared" si="13"/>
        <v/>
      </c>
      <c r="AM11" s="81" t="str">
        <f t="shared" si="13"/>
        <v/>
      </c>
      <c r="AN11" s="81" t="str">
        <f t="shared" si="13"/>
        <v/>
      </c>
      <c r="AO11" s="81" t="str">
        <f t="shared" si="13"/>
        <v/>
      </c>
      <c r="AP11" s="81" t="str">
        <f t="shared" si="13"/>
        <v/>
      </c>
      <c r="AQ11" s="81" t="str">
        <f t="shared" si="13"/>
        <v/>
      </c>
      <c r="AR11" s="81" t="str">
        <f t="shared" si="13"/>
        <v/>
      </c>
      <c r="AS11" s="81" t="str">
        <f t="shared" si="13"/>
        <v/>
      </c>
      <c r="AT11" s="81" t="str">
        <f t="shared" si="13"/>
        <v/>
      </c>
      <c r="AU11" s="81" t="str">
        <f t="shared" si="13"/>
        <v/>
      </c>
      <c r="AV11" s="81" t="str">
        <f t="shared" si="13"/>
        <v/>
      </c>
      <c r="AW11" s="81" t="str">
        <f t="shared" si="13"/>
        <v/>
      </c>
      <c r="AX11" s="81" t="str">
        <f t="shared" si="13"/>
        <v/>
      </c>
      <c r="AY11" s="81" t="str">
        <f t="shared" si="13"/>
        <v/>
      </c>
      <c r="AZ11" s="81" t="str">
        <f t="shared" si="13"/>
        <v/>
      </c>
      <c r="BA11" s="81" t="str">
        <f t="shared" si="13"/>
        <v/>
      </c>
      <c r="BB11" s="81" t="str">
        <f t="shared" si="13"/>
        <v/>
      </c>
      <c r="BC11" s="81" t="str">
        <f t="shared" si="13"/>
        <v/>
      </c>
      <c r="BD11" s="81" t="str">
        <f t="shared" si="13"/>
        <v/>
      </c>
      <c r="BE11" s="81" t="str">
        <f t="shared" si="13"/>
        <v/>
      </c>
      <c r="BF11" s="81" t="str">
        <f t="shared" si="13"/>
        <v/>
      </c>
      <c r="BG11" s="81" t="str">
        <f t="shared" si="13"/>
        <v/>
      </c>
      <c r="BH11" s="81" t="str">
        <f t="shared" si="13"/>
        <v/>
      </c>
      <c r="BI11" s="81" t="str">
        <f t="shared" si="13"/>
        <v/>
      </c>
      <c r="BJ11" s="81" t="str">
        <f t="shared" si="13"/>
        <v/>
      </c>
      <c r="BK11" s="81"/>
      <c r="BL11" s="81"/>
      <c r="BM11" s="81" t="str">
        <f t="shared" si="13"/>
        <v/>
      </c>
      <c r="BN11" s="81" t="str">
        <f t="shared" si="13"/>
        <v/>
      </c>
      <c r="BO11" s="81" t="str">
        <f t="shared" si="13"/>
        <v/>
      </c>
      <c r="BP11" s="81" t="str">
        <f t="shared" si="13"/>
        <v/>
      </c>
      <c r="BQ11" s="81" t="str">
        <f t="shared" ref="BQ11:CM11" si="14">IF(AND(BQ5&lt;&gt;0,BQ8&lt;&gt;0,BQ5&lt;&gt;""),((BQ8-BQ5)/BQ5),"")</f>
        <v/>
      </c>
      <c r="BR11" s="81" t="str">
        <f t="shared" si="14"/>
        <v/>
      </c>
      <c r="BS11" s="81" t="str">
        <f t="shared" si="14"/>
        <v/>
      </c>
      <c r="BT11" s="81" t="str">
        <f t="shared" si="14"/>
        <v/>
      </c>
      <c r="BU11" s="81" t="str">
        <f t="shared" si="14"/>
        <v/>
      </c>
      <c r="BV11" s="81" t="str">
        <f t="shared" si="14"/>
        <v/>
      </c>
      <c r="BW11" s="81" t="str">
        <f t="shared" si="14"/>
        <v/>
      </c>
      <c r="BX11" s="81" t="str">
        <f t="shared" si="14"/>
        <v/>
      </c>
      <c r="BY11" s="81" t="str">
        <f t="shared" si="14"/>
        <v/>
      </c>
      <c r="BZ11" s="81" t="str">
        <f t="shared" si="14"/>
        <v/>
      </c>
      <c r="CA11" s="81" t="str">
        <f t="shared" si="14"/>
        <v/>
      </c>
      <c r="CB11" s="81" t="str">
        <f t="shared" si="14"/>
        <v/>
      </c>
      <c r="CC11" s="81" t="str">
        <f t="shared" si="14"/>
        <v/>
      </c>
      <c r="CD11" s="81" t="str">
        <f t="shared" si="14"/>
        <v/>
      </c>
      <c r="CE11" s="81" t="str">
        <f t="shared" si="14"/>
        <v/>
      </c>
      <c r="CF11" s="81" t="str">
        <f t="shared" si="14"/>
        <v/>
      </c>
      <c r="CG11" s="81" t="str">
        <f t="shared" si="14"/>
        <v/>
      </c>
      <c r="CH11" s="81" t="str">
        <f t="shared" si="14"/>
        <v/>
      </c>
      <c r="CI11" s="81" t="str">
        <f t="shared" si="14"/>
        <v/>
      </c>
      <c r="CJ11" s="81" t="str">
        <f t="shared" si="14"/>
        <v/>
      </c>
      <c r="CK11" s="81" t="str">
        <f t="shared" si="14"/>
        <v/>
      </c>
      <c r="CL11" s="81" t="str">
        <f t="shared" si="14"/>
        <v/>
      </c>
      <c r="CM11" s="81" t="str">
        <f t="shared" si="14"/>
        <v/>
      </c>
      <c r="CN11" s="81" t="str">
        <f t="shared" ref="CN11:DQ11" si="15">IF(AND(CN5&lt;&gt;0,CN8&lt;&gt;0,CN5&lt;&gt;""),((CN8-CN5)/CN5),"")</f>
        <v/>
      </c>
      <c r="CO11" s="81" t="str">
        <f t="shared" si="15"/>
        <v/>
      </c>
      <c r="CP11" s="81" t="str">
        <f t="shared" si="15"/>
        <v/>
      </c>
      <c r="CQ11" s="81" t="str">
        <f t="shared" si="15"/>
        <v/>
      </c>
      <c r="CR11" s="81" t="str">
        <f t="shared" si="15"/>
        <v/>
      </c>
      <c r="CS11" s="81" t="str">
        <f t="shared" si="15"/>
        <v/>
      </c>
      <c r="CT11" s="81" t="str">
        <f t="shared" si="15"/>
        <v/>
      </c>
      <c r="CU11" s="81" t="str">
        <f t="shared" si="15"/>
        <v/>
      </c>
      <c r="CV11" s="81" t="str">
        <f t="shared" si="15"/>
        <v/>
      </c>
      <c r="CW11" s="81" t="str">
        <f t="shared" si="15"/>
        <v/>
      </c>
      <c r="CX11" s="81" t="str">
        <f t="shared" si="15"/>
        <v/>
      </c>
      <c r="CY11" s="81" t="str">
        <f t="shared" si="15"/>
        <v/>
      </c>
      <c r="CZ11" s="81" t="str">
        <f t="shared" si="15"/>
        <v/>
      </c>
      <c r="DA11" s="81" t="str">
        <f t="shared" si="15"/>
        <v/>
      </c>
      <c r="DB11" s="81" t="str">
        <f t="shared" si="15"/>
        <v/>
      </c>
      <c r="DC11" s="81" t="str">
        <f t="shared" si="15"/>
        <v/>
      </c>
      <c r="DD11" s="81" t="str">
        <f t="shared" si="15"/>
        <v/>
      </c>
      <c r="DE11" s="137" t="str">
        <f t="shared" si="15"/>
        <v/>
      </c>
      <c r="DF11" s="81" t="str">
        <f t="shared" si="15"/>
        <v/>
      </c>
      <c r="DG11" s="81" t="str">
        <f t="shared" si="15"/>
        <v/>
      </c>
      <c r="DH11" s="137" t="str">
        <f t="shared" si="15"/>
        <v/>
      </c>
      <c r="DI11" s="81" t="str">
        <f t="shared" si="15"/>
        <v/>
      </c>
      <c r="DJ11" s="81" t="str">
        <f t="shared" si="15"/>
        <v/>
      </c>
      <c r="DK11" s="137" t="str">
        <f t="shared" si="15"/>
        <v/>
      </c>
      <c r="DL11" s="81" t="str">
        <f t="shared" si="15"/>
        <v/>
      </c>
      <c r="DM11" s="81" t="str">
        <f t="shared" si="15"/>
        <v/>
      </c>
      <c r="DN11" s="137" t="str">
        <f t="shared" si="15"/>
        <v/>
      </c>
      <c r="DO11" s="81" t="str">
        <f t="shared" si="15"/>
        <v/>
      </c>
      <c r="DP11" s="81" t="str">
        <f t="shared" si="15"/>
        <v/>
      </c>
      <c r="DQ11" s="137" t="str">
        <f t="shared" si="15"/>
        <v/>
      </c>
      <c r="DR11" s="81" t="str">
        <f t="shared" si="4"/>
        <v/>
      </c>
      <c r="DS11" s="81" t="str">
        <f t="shared" si="4"/>
        <v/>
      </c>
      <c r="DT11" s="137" t="str">
        <f t="shared" si="4"/>
        <v/>
      </c>
      <c r="DU11" s="81" t="str">
        <f t="shared" ref="DU11:DZ11" si="16">IF(AND(DU5&lt;&gt;0,DU8&lt;&gt;0,DU5&lt;&gt;""),((DU8-DU5)/DU5),"")</f>
        <v/>
      </c>
      <c r="DV11" s="81" t="str">
        <f t="shared" si="16"/>
        <v/>
      </c>
      <c r="DW11" s="137" t="str">
        <f t="shared" si="16"/>
        <v/>
      </c>
      <c r="DX11" s="81" t="str">
        <f t="shared" ref="DX11" si="17">IF(AND(DX5&lt;&gt;0,DX8&lt;&gt;0,DX5&lt;&gt;""),((DX8-DX5)/DX5),"")</f>
        <v/>
      </c>
      <c r="DY11" s="81" t="str">
        <f t="shared" si="16"/>
        <v/>
      </c>
      <c r="DZ11" s="137" t="str">
        <f t="shared" si="16"/>
        <v/>
      </c>
      <c r="EA11" s="81" t="str">
        <f t="shared" si="7"/>
        <v/>
      </c>
      <c r="EB11" s="81" t="str">
        <f t="shared" si="7"/>
        <v/>
      </c>
      <c r="EC11" s="137" t="str">
        <f t="shared" si="7"/>
        <v/>
      </c>
      <c r="ED11" s="81" t="str">
        <f t="shared" si="8"/>
        <v/>
      </c>
      <c r="EE11" s="81" t="str">
        <f t="shared" si="8"/>
        <v/>
      </c>
      <c r="EF11" s="137" t="str">
        <f t="shared" si="8"/>
        <v/>
      </c>
      <c r="EG11" s="81" t="str">
        <f t="shared" ref="EG11:EL11" si="18">IF(AND(EG5&lt;&gt;0,EG8&lt;&gt;0,EG5&lt;&gt;""),((EG8-EG5)/EG5),"")</f>
        <v/>
      </c>
      <c r="EH11" s="81" t="str">
        <f t="shared" si="18"/>
        <v/>
      </c>
      <c r="EI11" s="137" t="str">
        <f t="shared" si="18"/>
        <v/>
      </c>
      <c r="EJ11" s="81" t="str">
        <f t="shared" si="18"/>
        <v/>
      </c>
      <c r="EK11" s="81" t="str">
        <f t="shared" si="18"/>
        <v/>
      </c>
      <c r="EL11" s="137" t="str">
        <f t="shared" si="18"/>
        <v/>
      </c>
      <c r="EM11" s="81" t="str">
        <f t="shared" ref="EM11:ER11" si="19">IF(AND(EM5&lt;&gt;0,EM8&lt;&gt;0,EM5&lt;&gt;""),((EM8-EM5)/EM5),"")</f>
        <v/>
      </c>
      <c r="EN11" s="81" t="str">
        <f t="shared" si="19"/>
        <v/>
      </c>
      <c r="EO11" s="137" t="str">
        <f t="shared" si="19"/>
        <v/>
      </c>
      <c r="EP11" s="81" t="str">
        <f t="shared" si="19"/>
        <v/>
      </c>
      <c r="EQ11" s="81" t="str">
        <f t="shared" si="19"/>
        <v/>
      </c>
      <c r="ER11" s="137" t="str">
        <f t="shared" si="19"/>
        <v/>
      </c>
      <c r="ES11" s="81" t="str">
        <f t="shared" ref="ES11:FA11" si="20">IF(AND(ES5&lt;&gt;0,ES8&lt;&gt;0,ES5&lt;&gt;""),((ES8-ES5)/ES5),"")</f>
        <v/>
      </c>
      <c r="ET11" s="81" t="str">
        <f t="shared" si="20"/>
        <v/>
      </c>
      <c r="EU11" s="137" t="str">
        <f t="shared" si="20"/>
        <v/>
      </c>
      <c r="EV11" s="81" t="str">
        <f t="shared" si="20"/>
        <v/>
      </c>
      <c r="EW11" s="81" t="str">
        <f t="shared" si="20"/>
        <v/>
      </c>
      <c r="EX11" s="137" t="str">
        <f t="shared" si="20"/>
        <v/>
      </c>
      <c r="EY11" s="81" t="str">
        <f t="shared" si="20"/>
        <v/>
      </c>
      <c r="EZ11" s="81" t="str">
        <f t="shared" si="20"/>
        <v/>
      </c>
      <c r="FA11" s="137" t="str">
        <f t="shared" si="20"/>
        <v/>
      </c>
    </row>
    <row r="12" spans="1:157" ht="13.35" customHeight="1">
      <c r="A12" s="3"/>
      <c r="B12" s="4"/>
      <c r="C12" s="4"/>
      <c r="D12" s="3"/>
      <c r="E12" s="82"/>
      <c r="F12" s="82"/>
      <c r="G12" s="82"/>
      <c r="H12" s="82"/>
      <c r="I12" s="82"/>
      <c r="J12" s="82"/>
      <c r="K12" s="82"/>
      <c r="L12" s="82"/>
      <c r="M12" s="82"/>
      <c r="N12" s="82"/>
      <c r="O12" s="82"/>
      <c r="P12" s="82"/>
      <c r="Q12" s="82"/>
      <c r="R12" s="82"/>
      <c r="S12" s="82"/>
      <c r="T12" s="82"/>
      <c r="U12" s="82"/>
      <c r="V12" s="82"/>
      <c r="W12" s="82"/>
      <c r="X12" s="82"/>
      <c r="Y12" s="82"/>
      <c r="Z12" s="82"/>
      <c r="AA12" s="82"/>
      <c r="AB12" s="82"/>
      <c r="AC12" s="82"/>
      <c r="AD12" s="82"/>
      <c r="AE12" s="82"/>
      <c r="AF12" s="82"/>
      <c r="AG12" s="82"/>
      <c r="AH12" s="82"/>
      <c r="AI12" s="82"/>
      <c r="AJ12" s="82"/>
      <c r="AK12" s="82"/>
      <c r="AL12" s="82"/>
      <c r="AM12" s="82"/>
      <c r="AN12" s="82"/>
      <c r="AO12" s="82"/>
      <c r="AP12" s="82"/>
      <c r="AQ12" s="82"/>
      <c r="AR12" s="82"/>
      <c r="AS12" s="82"/>
      <c r="AT12" s="82"/>
      <c r="AU12" s="82"/>
      <c r="AV12" s="82"/>
      <c r="AW12" s="82"/>
      <c r="AX12" s="82"/>
      <c r="AY12" s="82"/>
      <c r="AZ12" s="82"/>
      <c r="BA12" s="82"/>
      <c r="BB12" s="82"/>
      <c r="BC12" s="82"/>
      <c r="BD12" s="82"/>
      <c r="BE12" s="82"/>
      <c r="BF12" s="82"/>
      <c r="BG12" s="82"/>
      <c r="BH12" s="82"/>
      <c r="BI12" s="82"/>
      <c r="BJ12" s="82"/>
      <c r="BK12" s="82"/>
      <c r="BL12" s="82"/>
      <c r="BM12" s="82"/>
      <c r="BN12" s="82"/>
      <c r="BO12" s="82"/>
      <c r="BP12" s="82"/>
      <c r="BQ12" s="82"/>
      <c r="BR12" s="82"/>
      <c r="BS12" s="82"/>
      <c r="BT12" s="82"/>
      <c r="BU12" s="82"/>
      <c r="BV12" s="82"/>
      <c r="BW12" s="82"/>
      <c r="BX12" s="82"/>
      <c r="BY12" s="82"/>
      <c r="BZ12" s="82"/>
      <c r="CA12" s="82"/>
      <c r="CB12" s="82"/>
      <c r="CC12" s="82"/>
      <c r="CD12" s="82"/>
      <c r="CE12" s="82"/>
      <c r="CF12" s="82"/>
      <c r="CG12" s="82"/>
      <c r="CH12" s="82"/>
      <c r="CI12" s="82"/>
      <c r="CJ12" s="82"/>
      <c r="CK12" s="82"/>
      <c r="CL12" s="82"/>
      <c r="CM12" s="82"/>
      <c r="CN12" s="82"/>
      <c r="CO12" s="82"/>
      <c r="CP12" s="82"/>
      <c r="CQ12" s="82"/>
      <c r="CR12" s="82"/>
      <c r="CS12" s="82"/>
      <c r="CT12" s="82"/>
      <c r="CU12" s="82"/>
      <c r="CV12" s="82"/>
      <c r="CW12" s="82"/>
      <c r="CX12" s="82"/>
      <c r="CY12" s="82"/>
      <c r="CZ12" s="82"/>
      <c r="DA12" s="82"/>
      <c r="DB12" s="82"/>
      <c r="DC12" s="82"/>
      <c r="DD12" s="82"/>
      <c r="DE12" s="138"/>
      <c r="DF12" s="82"/>
      <c r="DG12" s="82"/>
      <c r="DH12" s="138"/>
      <c r="DI12" s="82"/>
      <c r="DJ12" s="82"/>
      <c r="DK12" s="138"/>
      <c r="DL12" s="82"/>
      <c r="DM12" s="82"/>
      <c r="DN12" s="138"/>
      <c r="DO12" s="82"/>
      <c r="DP12" s="82"/>
      <c r="DQ12" s="138"/>
      <c r="DR12" s="82"/>
      <c r="DS12" s="82"/>
      <c r="DT12" s="138"/>
      <c r="DU12" s="82"/>
      <c r="DV12" s="82"/>
      <c r="DW12" s="138"/>
      <c r="DX12" s="82"/>
      <c r="DY12" s="82"/>
      <c r="DZ12" s="138"/>
      <c r="EA12" s="82"/>
      <c r="EB12" s="82"/>
      <c r="EC12" s="138"/>
      <c r="ED12" s="82"/>
      <c r="EE12" s="82"/>
      <c r="EF12" s="138"/>
      <c r="EG12" s="82"/>
      <c r="EH12" s="82"/>
      <c r="EI12" s="138"/>
      <c r="EJ12" s="82"/>
      <c r="EK12" s="82"/>
      <c r="EL12" s="138"/>
      <c r="EM12" s="82"/>
      <c r="EN12" s="82"/>
      <c r="EO12" s="138"/>
      <c r="EP12" s="82"/>
      <c r="EQ12" s="82"/>
      <c r="ER12" s="138"/>
      <c r="ES12" s="82"/>
      <c r="ET12" s="82"/>
      <c r="EU12" s="138"/>
      <c r="EV12" s="82"/>
      <c r="EW12" s="82"/>
      <c r="EX12" s="138"/>
      <c r="EY12" s="82"/>
      <c r="EZ12" s="82"/>
      <c r="FA12" s="138"/>
    </row>
    <row r="13" spans="1:157" ht="16.5" customHeight="1">
      <c r="A13" s="77"/>
      <c r="B13" s="77" t="s">
        <v>371</v>
      </c>
      <c r="C13" s="77"/>
      <c r="D13" s="49" t="str">
        <f>+$D$2</f>
        <v xml:space="preserve">Year ending Jun </v>
      </c>
      <c r="E13" s="49" t="str">
        <f>+$E$2</f>
        <v>1h85</v>
      </c>
      <c r="F13" s="49" t="str">
        <f>+$F$2</f>
        <v>2h85</v>
      </c>
      <c r="G13" s="49" t="str">
        <f>+$G$2</f>
        <v>1985</v>
      </c>
      <c r="H13" s="49" t="str">
        <f>+$H$2</f>
        <v>1h86</v>
      </c>
      <c r="I13" s="49" t="str">
        <f>+$I$2</f>
        <v>2h86</v>
      </c>
      <c r="J13" s="49" t="str">
        <f>+$J$2</f>
        <v>1986</v>
      </c>
      <c r="K13" s="49" t="str">
        <f>+$K$2</f>
        <v>1h87</v>
      </c>
      <c r="L13" s="49" t="str">
        <f>+$L$2</f>
        <v>2h87</v>
      </c>
      <c r="M13" s="49" t="str">
        <f>+$M$2</f>
        <v>1987</v>
      </c>
      <c r="N13" s="49" t="str">
        <f>+$N$2</f>
        <v>1h88</v>
      </c>
      <c r="O13" s="49" t="str">
        <f>+$O$2</f>
        <v>2h88</v>
      </c>
      <c r="P13" s="49" t="str">
        <f>+$P$2</f>
        <v>1988</v>
      </c>
      <c r="Q13" s="49" t="str">
        <f>+$Q$2</f>
        <v>1h89</v>
      </c>
      <c r="R13" s="49" t="str">
        <f>+$R$2</f>
        <v>2h89</v>
      </c>
      <c r="S13" s="49" t="str">
        <f>+$S$2</f>
        <v>1989</v>
      </c>
      <c r="T13" s="49" t="str">
        <f>+$T$2</f>
        <v>1h90</v>
      </c>
      <c r="U13" s="49" t="str">
        <f>+$U$2</f>
        <v>2h90</v>
      </c>
      <c r="V13" s="49" t="str">
        <f>+$V$2</f>
        <v>1990</v>
      </c>
      <c r="W13" s="49" t="str">
        <f>+$W$2</f>
        <v>1h91</v>
      </c>
      <c r="X13" s="49" t="str">
        <f>+$X$2</f>
        <v>2h91</v>
      </c>
      <c r="Y13" s="49" t="str">
        <f>+$Y$2</f>
        <v>1991</v>
      </c>
      <c r="Z13" s="49" t="str">
        <f>+$Z$2</f>
        <v>1h92</v>
      </c>
      <c r="AA13" s="49" t="str">
        <f>+$AA$2</f>
        <v>2h92</v>
      </c>
      <c r="AB13" s="49" t="str">
        <f>+$AB$2</f>
        <v>1992</v>
      </c>
      <c r="AC13" s="49" t="str">
        <f>+$AC$2</f>
        <v>1h93</v>
      </c>
      <c r="AD13" s="49" t="str">
        <f>+$AD$2</f>
        <v>2h93</v>
      </c>
      <c r="AE13" s="49" t="str">
        <f>+$AE$2</f>
        <v>1993</v>
      </c>
      <c r="AF13" s="49" t="str">
        <f>+$AF$2</f>
        <v>1h94</v>
      </c>
      <c r="AG13" s="49" t="str">
        <f>+$AG$2</f>
        <v>2h94</v>
      </c>
      <c r="AH13" s="49" t="str">
        <f>+$AH$2</f>
        <v>1994</v>
      </c>
      <c r="AI13" s="49" t="str">
        <f>+$AI$2</f>
        <v>1h95</v>
      </c>
      <c r="AJ13" s="49" t="str">
        <f>+$AJ$2</f>
        <v>2h95</v>
      </c>
      <c r="AK13" s="49" t="str">
        <f>+$AK$2</f>
        <v>1995</v>
      </c>
      <c r="AL13" s="49" t="str">
        <f>+$AL$2</f>
        <v>1h96</v>
      </c>
      <c r="AM13" s="49" t="str">
        <f>+$AM$2</f>
        <v>2h96</v>
      </c>
      <c r="AN13" s="49" t="str">
        <f>+$AN$2</f>
        <v>1996</v>
      </c>
      <c r="AO13" s="49" t="str">
        <f>+$AO$2</f>
        <v>1h97</v>
      </c>
      <c r="AP13" s="49" t="str">
        <f>+$AP$2</f>
        <v>2h97</v>
      </c>
      <c r="AQ13" s="49" t="str">
        <f>+$AQ$2</f>
        <v>1997</v>
      </c>
      <c r="AR13" s="49" t="str">
        <f>+$AR$2</f>
        <v>1h98</v>
      </c>
      <c r="AS13" s="49" t="str">
        <f>+$AS$2</f>
        <v>2h98</v>
      </c>
      <c r="AT13" s="49" t="str">
        <f>+$AT$2</f>
        <v>1998a</v>
      </c>
      <c r="AU13" s="49" t="str">
        <f>+$AU$2</f>
        <v>1h99</v>
      </c>
      <c r="AV13" s="49" t="str">
        <f>+$AV$2</f>
        <v>2h99</v>
      </c>
      <c r="AW13" s="49" t="str">
        <f>+$AW$2</f>
        <v>1999a</v>
      </c>
      <c r="AX13" s="49" t="str">
        <f>+$AX$2</f>
        <v>1h00</v>
      </c>
      <c r="AY13" s="49" t="str">
        <f>+$AY$2</f>
        <v>2h00</v>
      </c>
      <c r="AZ13" s="49" t="str">
        <f>+$AZ$2</f>
        <v>2000a</v>
      </c>
      <c r="BA13" s="49" t="str">
        <f>+$BA$2</f>
        <v>1h01</v>
      </c>
      <c r="BB13" s="49" t="str">
        <f>+$BB$2</f>
        <v>2h01</v>
      </c>
      <c r="BC13" s="49" t="str">
        <f>+$BC$2</f>
        <v>2001a</v>
      </c>
      <c r="BD13" s="49" t="str">
        <f>+$BD$2</f>
        <v>1h02</v>
      </c>
      <c r="BE13" s="49" t="str">
        <f>+$BE$2</f>
        <v>2h02f</v>
      </c>
      <c r="BF13" s="49" t="str">
        <f>+$BF$2</f>
        <v>2002</v>
      </c>
      <c r="BG13" s="49" t="str">
        <f>+$BG$2</f>
        <v>1h03</v>
      </c>
      <c r="BH13" s="49" t="str">
        <f>+$BH$2</f>
        <v>2h03</v>
      </c>
      <c r="BI13" s="49" t="str">
        <f>+$BI$2</f>
        <v>2003</v>
      </c>
      <c r="BJ13" s="49" t="str">
        <f>+$BJ$2</f>
        <v>1h04</v>
      </c>
      <c r="BK13" s="49" t="str">
        <f>+$BK$2</f>
        <v>2h04</v>
      </c>
      <c r="BL13" s="49" t="str">
        <f>+$BL$2</f>
        <v>2004</v>
      </c>
      <c r="BM13" s="49" t="str">
        <f>+$BM$2</f>
        <v>1h05</v>
      </c>
      <c r="BN13" s="49" t="str">
        <f>+$BN$2</f>
        <v>2h05</v>
      </c>
      <c r="BO13" s="49" t="str">
        <f>+$BO$2</f>
        <v>2005</v>
      </c>
      <c r="BP13" s="50" t="str">
        <f t="shared" ref="BP13:EA13" si="21">+BP$2</f>
        <v>1h06</v>
      </c>
      <c r="BQ13" s="50" t="str">
        <f t="shared" si="21"/>
        <v>2h06</v>
      </c>
      <c r="BR13" s="50" t="str">
        <f t="shared" si="21"/>
        <v>2006</v>
      </c>
      <c r="BS13" s="50" t="str">
        <f t="shared" si="21"/>
        <v>1h07</v>
      </c>
      <c r="BT13" s="50" t="str">
        <f t="shared" si="21"/>
        <v>2h07</v>
      </c>
      <c r="BU13" s="50" t="str">
        <f t="shared" si="21"/>
        <v>2007</v>
      </c>
      <c r="BV13" s="50" t="str">
        <f t="shared" si="21"/>
        <v>1h08</v>
      </c>
      <c r="BW13" s="50" t="str">
        <f t="shared" si="21"/>
        <v>2h08</v>
      </c>
      <c r="BX13" s="50" t="str">
        <f t="shared" si="21"/>
        <v>2008</v>
      </c>
      <c r="BY13" s="50" t="str">
        <f t="shared" si="21"/>
        <v>1h09</v>
      </c>
      <c r="BZ13" s="50" t="str">
        <f t="shared" si="21"/>
        <v>2h09</v>
      </c>
      <c r="CA13" s="50" t="str">
        <f t="shared" si="21"/>
        <v>2009</v>
      </c>
      <c r="CB13" s="50" t="str">
        <f t="shared" si="21"/>
        <v>1h10</v>
      </c>
      <c r="CC13" s="50" t="str">
        <f t="shared" si="21"/>
        <v>2h10</v>
      </c>
      <c r="CD13" s="50" t="str">
        <f t="shared" si="21"/>
        <v>2010</v>
      </c>
      <c r="CE13" s="50" t="str">
        <f t="shared" si="21"/>
        <v>1h11</v>
      </c>
      <c r="CF13" s="50" t="str">
        <f t="shared" si="21"/>
        <v>2h11</v>
      </c>
      <c r="CG13" s="50" t="str">
        <f t="shared" si="21"/>
        <v>2011</v>
      </c>
      <c r="CH13" s="50" t="str">
        <f t="shared" si="21"/>
        <v>1h12</v>
      </c>
      <c r="CI13" s="50" t="str">
        <f t="shared" si="21"/>
        <v>2h12</v>
      </c>
      <c r="CJ13" s="50" t="str">
        <f t="shared" si="21"/>
        <v>2012</v>
      </c>
      <c r="CK13" s="50" t="str">
        <f t="shared" si="21"/>
        <v>1h13</v>
      </c>
      <c r="CL13" s="50" t="str">
        <f t="shared" si="21"/>
        <v>2h13</v>
      </c>
      <c r="CM13" s="50" t="str">
        <f t="shared" si="21"/>
        <v>2013</v>
      </c>
      <c r="CN13" s="50" t="str">
        <f t="shared" si="21"/>
        <v>1h14</v>
      </c>
      <c r="CO13" s="50" t="str">
        <f t="shared" si="21"/>
        <v>2h14</v>
      </c>
      <c r="CP13" s="50" t="str">
        <f t="shared" si="21"/>
        <v>2014</v>
      </c>
      <c r="CQ13" s="50" t="str">
        <f t="shared" si="21"/>
        <v>1h15</v>
      </c>
      <c r="CR13" s="50" t="str">
        <f t="shared" si="21"/>
        <v>2h15</v>
      </c>
      <c r="CS13" s="50" t="str">
        <f t="shared" si="21"/>
        <v>2015</v>
      </c>
      <c r="CT13" s="50" t="str">
        <f t="shared" si="21"/>
        <v>1h16</v>
      </c>
      <c r="CU13" s="50" t="str">
        <f t="shared" si="21"/>
        <v>2h16</v>
      </c>
      <c r="CV13" s="50" t="str">
        <f t="shared" si="21"/>
        <v>2016</v>
      </c>
      <c r="CW13" s="50" t="str">
        <f t="shared" si="21"/>
        <v>1h17</v>
      </c>
      <c r="CX13" s="50" t="str">
        <f t="shared" si="21"/>
        <v>2h17</v>
      </c>
      <c r="CY13" s="50" t="str">
        <f t="shared" si="21"/>
        <v>2017</v>
      </c>
      <c r="CZ13" s="50" t="str">
        <f t="shared" si="21"/>
        <v>1h18</v>
      </c>
      <c r="DA13" s="50" t="str">
        <f t="shared" si="21"/>
        <v>2h18</v>
      </c>
      <c r="DB13" s="50" t="str">
        <f t="shared" si="21"/>
        <v>2018</v>
      </c>
      <c r="DC13" s="50" t="str">
        <f t="shared" si="21"/>
        <v>1h19</v>
      </c>
      <c r="DD13" s="50" t="str">
        <f t="shared" si="21"/>
        <v>2h19</v>
      </c>
      <c r="DE13" s="64" t="str">
        <f t="shared" si="21"/>
        <v>2019</v>
      </c>
      <c r="DF13" s="50" t="str">
        <f t="shared" si="21"/>
        <v>1h20</v>
      </c>
      <c r="DG13" s="50" t="str">
        <f t="shared" si="21"/>
        <v>2h20</v>
      </c>
      <c r="DH13" s="64" t="str">
        <f t="shared" si="21"/>
        <v>2020</v>
      </c>
      <c r="DI13" s="50" t="str">
        <f t="shared" si="21"/>
        <v>1h21</v>
      </c>
      <c r="DJ13" s="50" t="str">
        <f t="shared" si="21"/>
        <v>2h21</v>
      </c>
      <c r="DK13" s="64" t="str">
        <f t="shared" si="21"/>
        <v>2021</v>
      </c>
      <c r="DL13" s="50" t="str">
        <f t="shared" si="21"/>
        <v>1h22</v>
      </c>
      <c r="DM13" s="50" t="str">
        <f t="shared" si="21"/>
        <v>2h22</v>
      </c>
      <c r="DN13" s="64" t="str">
        <f t="shared" si="21"/>
        <v>2022</v>
      </c>
      <c r="DO13" s="50" t="str">
        <f t="shared" si="21"/>
        <v>1h23</v>
      </c>
      <c r="DP13" s="50" t="str">
        <f t="shared" si="21"/>
        <v>2h23</v>
      </c>
      <c r="DQ13" s="64" t="str">
        <f t="shared" si="21"/>
        <v>2023</v>
      </c>
      <c r="DR13" s="50" t="str">
        <f t="shared" si="21"/>
        <v>1h24</v>
      </c>
      <c r="DS13" s="50" t="str">
        <f t="shared" si="21"/>
        <v>2h24</v>
      </c>
      <c r="DT13" s="64" t="str">
        <f t="shared" si="21"/>
        <v>2024</v>
      </c>
      <c r="DU13" s="50" t="str">
        <f t="shared" si="21"/>
        <v>1h25</v>
      </c>
      <c r="DV13" s="50" t="str">
        <f t="shared" si="21"/>
        <v>2h25</v>
      </c>
      <c r="DW13" s="64" t="str">
        <f t="shared" si="21"/>
        <v>2025</v>
      </c>
      <c r="DX13" s="50" t="str">
        <f t="shared" si="21"/>
        <v>1h26</v>
      </c>
      <c r="DY13" s="50" t="str">
        <f t="shared" si="21"/>
        <v>2h26E</v>
      </c>
      <c r="DZ13" s="64" t="str">
        <f t="shared" si="21"/>
        <v>2026E</v>
      </c>
      <c r="EA13" s="50" t="str">
        <f t="shared" si="21"/>
        <v>1h27E</v>
      </c>
      <c r="EB13" s="50" t="str">
        <f t="shared" ref="EB13:FA13" si="22">+EB$2</f>
        <v>2h27E</v>
      </c>
      <c r="EC13" s="64" t="str">
        <f t="shared" si="22"/>
        <v>2027E</v>
      </c>
      <c r="ED13" s="50" t="str">
        <f t="shared" si="22"/>
        <v>1h28E</v>
      </c>
      <c r="EE13" s="50" t="str">
        <f t="shared" si="22"/>
        <v>2h28E</v>
      </c>
      <c r="EF13" s="64" t="str">
        <f t="shared" si="22"/>
        <v>2028E</v>
      </c>
      <c r="EG13" s="50" t="str">
        <f t="shared" si="22"/>
        <v>1h29E</v>
      </c>
      <c r="EH13" s="50" t="str">
        <f t="shared" si="22"/>
        <v>2h29E</v>
      </c>
      <c r="EI13" s="64" t="str">
        <f t="shared" si="22"/>
        <v>2029E</v>
      </c>
      <c r="EJ13" s="50" t="str">
        <f t="shared" si="22"/>
        <v>1h30E</v>
      </c>
      <c r="EK13" s="50" t="str">
        <f t="shared" si="22"/>
        <v>2h30E</v>
      </c>
      <c r="EL13" s="64" t="str">
        <f t="shared" si="22"/>
        <v>2030E</v>
      </c>
      <c r="EM13" s="50" t="str">
        <f t="shared" si="22"/>
        <v>1h31E</v>
      </c>
      <c r="EN13" s="50" t="str">
        <f t="shared" si="22"/>
        <v>2h31E</v>
      </c>
      <c r="EO13" s="64" t="str">
        <f t="shared" si="22"/>
        <v>2031E</v>
      </c>
      <c r="EP13" s="50" t="str">
        <f t="shared" si="22"/>
        <v>1h32E</v>
      </c>
      <c r="EQ13" s="50" t="str">
        <f t="shared" si="22"/>
        <v>2h32E</v>
      </c>
      <c r="ER13" s="64" t="str">
        <f t="shared" si="22"/>
        <v>2032E</v>
      </c>
      <c r="ES13" s="50" t="str">
        <f t="shared" si="22"/>
        <v>1h33E</v>
      </c>
      <c r="ET13" s="50" t="str">
        <f t="shared" si="22"/>
        <v>2h33E</v>
      </c>
      <c r="EU13" s="64" t="str">
        <f t="shared" si="22"/>
        <v>2033E</v>
      </c>
      <c r="EV13" s="50" t="str">
        <f t="shared" si="22"/>
        <v>1h34E</v>
      </c>
      <c r="EW13" s="50" t="str">
        <f t="shared" si="22"/>
        <v>2h34E</v>
      </c>
      <c r="EX13" s="64" t="str">
        <f t="shared" si="22"/>
        <v>2034E</v>
      </c>
      <c r="EY13" s="50" t="str">
        <f t="shared" si="22"/>
        <v>1h35E</v>
      </c>
      <c r="EZ13" s="50" t="str">
        <f t="shared" si="22"/>
        <v>2h35E</v>
      </c>
      <c r="FA13" s="64" t="str">
        <f t="shared" si="22"/>
        <v>2035E</v>
      </c>
    </row>
    <row r="14" spans="1:157" ht="13.35" customHeight="1">
      <c r="A14" s="3"/>
      <c r="B14" s="4" t="s">
        <v>572</v>
      </c>
      <c r="C14" s="4"/>
      <c r="D14" s="4"/>
      <c r="E14" s="82"/>
      <c r="F14" s="82"/>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c r="AV14" s="82"/>
      <c r="AW14" s="82"/>
      <c r="AX14" s="82"/>
      <c r="AY14" s="82"/>
      <c r="AZ14" s="82"/>
      <c r="BA14" s="82"/>
      <c r="BB14" s="82"/>
      <c r="BC14" s="82"/>
      <c r="BD14" s="82"/>
      <c r="BE14" s="82"/>
      <c r="BF14" s="82"/>
      <c r="BG14" s="82"/>
      <c r="BH14" s="82"/>
      <c r="BI14" s="82"/>
      <c r="BJ14" s="82"/>
      <c r="BK14" s="82"/>
      <c r="BL14" s="82"/>
      <c r="BM14" s="82"/>
      <c r="BN14" s="82"/>
      <c r="BO14" s="82"/>
      <c r="BP14" s="82"/>
      <c r="BQ14" s="82"/>
      <c r="BR14" s="82"/>
      <c r="BS14" s="82"/>
      <c r="BT14" s="82"/>
      <c r="BU14" s="82"/>
      <c r="BV14" s="82"/>
      <c r="BW14" s="82"/>
      <c r="BX14" s="82"/>
      <c r="BY14" s="82"/>
      <c r="BZ14" s="82"/>
      <c r="CA14" s="82"/>
      <c r="CB14" s="82"/>
      <c r="CC14" s="82"/>
      <c r="CD14" s="82"/>
      <c r="CE14" s="82"/>
      <c r="CF14" s="82"/>
      <c r="CG14" s="82"/>
      <c r="CH14" s="82"/>
      <c r="CI14" s="82"/>
      <c r="CJ14" s="82"/>
      <c r="CK14" s="82"/>
      <c r="CL14" s="82"/>
      <c r="CM14" s="82"/>
      <c r="CN14" s="82"/>
      <c r="CO14" s="82"/>
      <c r="CP14" s="82"/>
      <c r="CQ14" s="82"/>
      <c r="CR14" s="82"/>
      <c r="CS14" s="82"/>
      <c r="CT14" s="82"/>
      <c r="CU14" s="82"/>
      <c r="CV14" s="82"/>
      <c r="CW14" s="82"/>
      <c r="CX14" s="82"/>
      <c r="CY14" s="82"/>
      <c r="CZ14" s="82"/>
      <c r="DA14" s="82"/>
      <c r="DB14" s="82"/>
      <c r="DC14" s="82"/>
      <c r="DD14" s="82"/>
      <c r="DE14" s="138"/>
      <c r="DF14" s="82"/>
      <c r="DG14" s="82"/>
      <c r="DH14" s="138"/>
      <c r="DI14" s="82"/>
      <c r="DJ14" s="82"/>
      <c r="DK14" s="138"/>
      <c r="DL14" s="82"/>
      <c r="DM14" s="82"/>
      <c r="DN14" s="138"/>
      <c r="DO14" s="82"/>
      <c r="DP14" s="82"/>
      <c r="DQ14" s="138"/>
      <c r="DR14" s="82"/>
      <c r="DS14" s="82"/>
      <c r="DT14" s="138"/>
      <c r="DU14" s="82"/>
      <c r="DV14" s="82"/>
      <c r="DW14" s="138"/>
      <c r="DX14" s="82"/>
      <c r="DY14" s="82"/>
      <c r="DZ14" s="138"/>
      <c r="EA14" s="82"/>
      <c r="EB14" s="82"/>
      <c r="EC14" s="138"/>
      <c r="ED14" s="82"/>
      <c r="EE14" s="82"/>
      <c r="EF14" s="138"/>
      <c r="EG14" s="82"/>
      <c r="EH14" s="82"/>
      <c r="EI14" s="138"/>
      <c r="EJ14" s="82"/>
      <c r="EK14" s="82"/>
      <c r="EL14" s="138"/>
      <c r="EM14" s="82"/>
      <c r="EN14" s="82"/>
      <c r="EO14" s="138"/>
      <c r="EP14" s="82"/>
      <c r="EQ14" s="82"/>
      <c r="ER14" s="138"/>
      <c r="ES14" s="82"/>
      <c r="ET14" s="82"/>
      <c r="EU14" s="138"/>
      <c r="EV14" s="82"/>
      <c r="EW14" s="82"/>
      <c r="EX14" s="138"/>
      <c r="EY14" s="82"/>
      <c r="EZ14" s="82"/>
      <c r="FA14" s="138"/>
    </row>
    <row r="15" spans="1:157" ht="13.35" customHeight="1">
      <c r="A15" s="3"/>
      <c r="B15" s="3"/>
      <c r="C15" s="3" t="s">
        <v>401</v>
      </c>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134"/>
      <c r="DF15" s="4"/>
      <c r="DG15" s="4"/>
      <c r="DH15" s="134"/>
      <c r="DI15" s="4"/>
      <c r="DJ15" s="4"/>
      <c r="DK15" s="134"/>
      <c r="DL15" s="4"/>
      <c r="DM15" s="4"/>
      <c r="DN15" s="134"/>
      <c r="DO15" s="4"/>
      <c r="DP15" s="4"/>
      <c r="DQ15" s="134"/>
      <c r="DR15" s="4"/>
      <c r="DS15" s="4"/>
      <c r="DT15" s="134"/>
      <c r="DU15" s="4"/>
      <c r="DV15" s="4"/>
      <c r="DW15" s="134"/>
      <c r="DX15" s="4"/>
      <c r="DY15" s="4"/>
      <c r="DZ15" s="134"/>
      <c r="EA15" s="4"/>
      <c r="EB15" s="4"/>
      <c r="EC15" s="134"/>
      <c r="ED15" s="4"/>
      <c r="EE15" s="4"/>
      <c r="EF15" s="134"/>
      <c r="EG15" s="4"/>
      <c r="EH15" s="4"/>
      <c r="EI15" s="134"/>
      <c r="EJ15" s="4"/>
      <c r="EK15" s="4"/>
      <c r="EL15" s="134"/>
      <c r="EM15" s="4"/>
      <c r="EN15" s="4"/>
      <c r="EO15" s="134"/>
      <c r="EP15" s="4"/>
      <c r="EQ15" s="4"/>
      <c r="ER15" s="134"/>
      <c r="ES15" s="4"/>
      <c r="ET15" s="4"/>
      <c r="EU15" s="134"/>
      <c r="EV15" s="4"/>
      <c r="EW15" s="4"/>
      <c r="EX15" s="134"/>
      <c r="EY15" s="4"/>
      <c r="EZ15" s="4"/>
      <c r="FA15" s="134"/>
    </row>
    <row r="16" spans="1:157" ht="13.35" customHeight="1">
      <c r="A16" s="3"/>
      <c r="B16" s="3"/>
      <c r="C16" s="3" t="s">
        <v>632</v>
      </c>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134"/>
      <c r="DF16" s="4"/>
      <c r="DG16" s="4"/>
      <c r="DH16" s="134"/>
      <c r="DI16" s="4"/>
      <c r="DJ16" s="4"/>
      <c r="DK16" s="134"/>
      <c r="DL16" s="4"/>
      <c r="DM16" s="4"/>
      <c r="DN16" s="134"/>
      <c r="DO16" s="4"/>
      <c r="DP16" s="4"/>
      <c r="DQ16" s="134"/>
      <c r="DR16" s="4"/>
      <c r="DS16" s="4"/>
      <c r="DT16" s="134"/>
      <c r="DU16" s="4"/>
      <c r="DV16" s="4"/>
      <c r="DW16" s="134"/>
      <c r="DX16" s="4"/>
      <c r="DY16" s="4"/>
      <c r="DZ16" s="134"/>
      <c r="EA16" s="4"/>
      <c r="EB16" s="4"/>
      <c r="EC16" s="134"/>
      <c r="ED16" s="4"/>
      <c r="EE16" s="4"/>
      <c r="EF16" s="134"/>
      <c r="EG16" s="4"/>
      <c r="EH16" s="4"/>
      <c r="EI16" s="134"/>
      <c r="EJ16" s="4"/>
      <c r="EK16" s="4"/>
      <c r="EL16" s="134"/>
      <c r="EM16" s="4"/>
      <c r="EN16" s="4"/>
      <c r="EO16" s="134"/>
      <c r="EP16" s="4"/>
      <c r="EQ16" s="4"/>
      <c r="ER16" s="134"/>
      <c r="ES16" s="4"/>
      <c r="ET16" s="4"/>
      <c r="EU16" s="134"/>
      <c r="EV16" s="4"/>
      <c r="EW16" s="4"/>
      <c r="EX16" s="134"/>
      <c r="EY16" s="4"/>
      <c r="EZ16" s="4"/>
      <c r="FA16" s="134"/>
    </row>
    <row r="17" spans="1:157" ht="13.35" customHeight="1">
      <c r="A17" s="3"/>
      <c r="B17" s="3"/>
      <c r="C17" s="3" t="s">
        <v>332</v>
      </c>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83" t="str">
        <f t="shared" ref="AY17:CD17" si="23">IF(AY105=AY104,"Yes","No")</f>
        <v>Yes</v>
      </c>
      <c r="AZ17" s="83" t="str">
        <f t="shared" si="23"/>
        <v>Yes</v>
      </c>
      <c r="BA17" s="83"/>
      <c r="BB17" s="83" t="str">
        <f t="shared" si="23"/>
        <v>No</v>
      </c>
      <c r="BC17" s="83" t="str">
        <f t="shared" si="23"/>
        <v>No</v>
      </c>
      <c r="BD17" s="83" t="str">
        <f t="shared" si="23"/>
        <v>No</v>
      </c>
      <c r="BE17" s="83"/>
      <c r="BF17" s="83" t="str">
        <f t="shared" si="23"/>
        <v>No</v>
      </c>
      <c r="BG17" s="83" t="str">
        <f t="shared" si="23"/>
        <v>No</v>
      </c>
      <c r="BH17" s="83"/>
      <c r="BI17" s="83" t="str">
        <f t="shared" si="23"/>
        <v>No</v>
      </c>
      <c r="BJ17" s="83" t="str">
        <f t="shared" si="23"/>
        <v>No</v>
      </c>
      <c r="BK17" s="83"/>
      <c r="BL17" s="83" t="str">
        <f t="shared" si="23"/>
        <v>No</v>
      </c>
      <c r="BM17" s="83" t="str">
        <f t="shared" si="23"/>
        <v>No</v>
      </c>
      <c r="BN17" s="83"/>
      <c r="BO17" s="83" t="str">
        <f t="shared" si="23"/>
        <v>No</v>
      </c>
      <c r="BP17" s="83" t="str">
        <f t="shared" si="23"/>
        <v>No</v>
      </c>
      <c r="BQ17" s="83"/>
      <c r="BR17" s="83" t="str">
        <f t="shared" si="23"/>
        <v>No</v>
      </c>
      <c r="BS17" s="83" t="str">
        <f t="shared" si="23"/>
        <v>No</v>
      </c>
      <c r="BT17" s="83"/>
      <c r="BU17" s="83" t="str">
        <f t="shared" si="23"/>
        <v>No</v>
      </c>
      <c r="BV17" s="83" t="str">
        <f t="shared" si="23"/>
        <v>Yes</v>
      </c>
      <c r="BW17" s="83" t="str">
        <f t="shared" si="23"/>
        <v>Yes</v>
      </c>
      <c r="BX17" s="83" t="str">
        <f t="shared" si="23"/>
        <v>Yes</v>
      </c>
      <c r="BY17" s="83" t="str">
        <f t="shared" si="23"/>
        <v>No</v>
      </c>
      <c r="BZ17" s="83" t="str">
        <f t="shared" si="23"/>
        <v>No</v>
      </c>
      <c r="CA17" s="83" t="str">
        <f t="shared" si="23"/>
        <v>Yes</v>
      </c>
      <c r="CB17" s="83" t="str">
        <f t="shared" si="23"/>
        <v>No</v>
      </c>
      <c r="CC17" s="83" t="str">
        <f t="shared" si="23"/>
        <v>No</v>
      </c>
      <c r="CD17" s="83" t="str">
        <f t="shared" si="23"/>
        <v>No</v>
      </c>
      <c r="CE17" s="83" t="str">
        <f t="shared" ref="CE17:CM17" si="24">IF(CE105=CE104,"Yes","No")</f>
        <v>No</v>
      </c>
      <c r="CF17" s="83" t="str">
        <f t="shared" si="24"/>
        <v>No</v>
      </c>
      <c r="CG17" s="83" t="str">
        <f t="shared" si="24"/>
        <v>Yes</v>
      </c>
      <c r="CH17" s="83" t="str">
        <f t="shared" si="24"/>
        <v>No</v>
      </c>
      <c r="CI17" s="83" t="str">
        <f t="shared" si="24"/>
        <v>No</v>
      </c>
      <c r="CJ17" s="83" t="str">
        <f t="shared" si="24"/>
        <v>Yes</v>
      </c>
      <c r="CK17" s="83" t="str">
        <f t="shared" si="24"/>
        <v>Yes</v>
      </c>
      <c r="CL17" s="83" t="str">
        <f t="shared" si="24"/>
        <v>Yes</v>
      </c>
      <c r="CM17" s="83" t="str">
        <f t="shared" si="24"/>
        <v>Yes</v>
      </c>
      <c r="CN17" s="83" t="str">
        <f t="shared" ref="CN17:DQ17" si="25">IF(CN105=CN104,"Yes","No")</f>
        <v>Yes</v>
      </c>
      <c r="CO17" s="83" t="str">
        <f t="shared" si="25"/>
        <v>Yes</v>
      </c>
      <c r="CP17" s="83" t="str">
        <f t="shared" si="25"/>
        <v>Yes</v>
      </c>
      <c r="CQ17" s="83" t="str">
        <f t="shared" si="25"/>
        <v>Yes</v>
      </c>
      <c r="CR17" s="83" t="str">
        <f t="shared" si="25"/>
        <v>Yes</v>
      </c>
      <c r="CS17" s="83" t="str">
        <f t="shared" si="25"/>
        <v>Yes</v>
      </c>
      <c r="CT17" s="83" t="str">
        <f t="shared" si="25"/>
        <v>Yes</v>
      </c>
      <c r="CU17" s="83" t="str">
        <f t="shared" si="25"/>
        <v>Yes</v>
      </c>
      <c r="CV17" s="83" t="str">
        <f t="shared" si="25"/>
        <v>Yes</v>
      </c>
      <c r="CW17" s="83" t="str">
        <f t="shared" si="25"/>
        <v>Yes</v>
      </c>
      <c r="CX17" s="83" t="str">
        <f t="shared" si="25"/>
        <v>Yes</v>
      </c>
      <c r="CY17" s="83" t="str">
        <f t="shared" si="25"/>
        <v>Yes</v>
      </c>
      <c r="CZ17" s="83" t="str">
        <f t="shared" si="25"/>
        <v>Yes</v>
      </c>
      <c r="DA17" s="83" t="str">
        <f t="shared" si="25"/>
        <v>No</v>
      </c>
      <c r="DB17" s="83" t="str">
        <f t="shared" si="25"/>
        <v>No</v>
      </c>
      <c r="DC17" s="83" t="str">
        <f t="shared" si="25"/>
        <v>Yes</v>
      </c>
      <c r="DD17" s="83" t="str">
        <f t="shared" si="25"/>
        <v>Yes</v>
      </c>
      <c r="DE17" s="139" t="str">
        <f t="shared" si="25"/>
        <v>Yes</v>
      </c>
      <c r="DF17" s="83" t="str">
        <f t="shared" si="25"/>
        <v>Yes</v>
      </c>
      <c r="DG17" s="83" t="str">
        <f t="shared" si="25"/>
        <v>Yes</v>
      </c>
      <c r="DH17" s="139" t="str">
        <f t="shared" si="25"/>
        <v>Yes</v>
      </c>
      <c r="DI17" s="83" t="str">
        <f t="shared" si="25"/>
        <v>Yes</v>
      </c>
      <c r="DJ17" s="83" t="str">
        <f t="shared" si="25"/>
        <v>Yes</v>
      </c>
      <c r="DK17" s="139" t="str">
        <f t="shared" si="25"/>
        <v>Yes</v>
      </c>
      <c r="DL17" s="83" t="str">
        <f t="shared" si="25"/>
        <v>Yes</v>
      </c>
      <c r="DM17" s="83" t="str">
        <f t="shared" si="25"/>
        <v>Yes</v>
      </c>
      <c r="DN17" s="139" t="str">
        <f t="shared" si="25"/>
        <v>Yes</v>
      </c>
      <c r="DO17" s="83" t="str">
        <f t="shared" si="25"/>
        <v>Yes</v>
      </c>
      <c r="DP17" s="83" t="str">
        <f t="shared" si="25"/>
        <v>No</v>
      </c>
      <c r="DQ17" s="139" t="str">
        <f t="shared" si="25"/>
        <v>Yes</v>
      </c>
      <c r="DR17" s="83" t="str">
        <f t="shared" ref="DR17:DZ17" si="26">IF(DR105=DR104,"Yes","No")</f>
        <v>Yes</v>
      </c>
      <c r="DS17" s="83" t="str">
        <f t="shared" si="26"/>
        <v>Yes</v>
      </c>
      <c r="DT17" s="139" t="str">
        <f t="shared" si="26"/>
        <v>Yes</v>
      </c>
      <c r="DU17" s="83" t="str">
        <f t="shared" si="26"/>
        <v>Yes</v>
      </c>
      <c r="DV17" s="83" t="str">
        <f>IF(DV105=DV104,"Yes","No")</f>
        <v>No</v>
      </c>
      <c r="DW17" s="139" t="str">
        <f>IF(DW105=DW104,"Yes","No")</f>
        <v>Yes</v>
      </c>
      <c r="DX17" s="83" t="str">
        <f t="shared" ref="DX17" si="27">IF(DX105=DX104,"Yes","No")</f>
        <v>Yes</v>
      </c>
      <c r="DY17" s="83" t="str">
        <f t="shared" si="26"/>
        <v>Yes</v>
      </c>
      <c r="DZ17" s="139" t="str">
        <f t="shared" si="26"/>
        <v>Yes</v>
      </c>
      <c r="EA17" s="83" t="str">
        <f t="shared" ref="EA17:EF17" si="28">IF(EA105=EA104,"Yes","No")</f>
        <v>Yes</v>
      </c>
      <c r="EB17" s="83" t="str">
        <f t="shared" si="28"/>
        <v>Yes</v>
      </c>
      <c r="EC17" s="139" t="str">
        <f t="shared" si="28"/>
        <v>Yes</v>
      </c>
      <c r="ED17" s="83" t="str">
        <f t="shared" si="28"/>
        <v>Yes</v>
      </c>
      <c r="EE17" s="83" t="str">
        <f t="shared" si="28"/>
        <v>Yes</v>
      </c>
      <c r="EF17" s="139" t="str">
        <f t="shared" si="28"/>
        <v>Yes</v>
      </c>
      <c r="EG17" s="83" t="str">
        <f t="shared" ref="EG17:EL17" si="29">IF(EG105=EG104,"Yes","No")</f>
        <v>Yes</v>
      </c>
      <c r="EH17" s="83" t="str">
        <f t="shared" si="29"/>
        <v>Yes</v>
      </c>
      <c r="EI17" s="139" t="str">
        <f t="shared" si="29"/>
        <v>Yes</v>
      </c>
      <c r="EJ17" s="83" t="str">
        <f t="shared" si="29"/>
        <v>Yes</v>
      </c>
      <c r="EK17" s="83" t="str">
        <f t="shared" si="29"/>
        <v>Yes</v>
      </c>
      <c r="EL17" s="139" t="str">
        <f t="shared" si="29"/>
        <v>Yes</v>
      </c>
      <c r="EM17" s="83" t="str">
        <f t="shared" ref="EM17:ER17" si="30">IF(EM105=EM104,"Yes","No")</f>
        <v>Yes</v>
      </c>
      <c r="EN17" s="83" t="str">
        <f t="shared" si="30"/>
        <v>Yes</v>
      </c>
      <c r="EO17" s="139" t="str">
        <f t="shared" si="30"/>
        <v>Yes</v>
      </c>
      <c r="EP17" s="83" t="str">
        <f t="shared" si="30"/>
        <v>Yes</v>
      </c>
      <c r="EQ17" s="83" t="str">
        <f t="shared" si="30"/>
        <v>Yes</v>
      </c>
      <c r="ER17" s="139" t="str">
        <f t="shared" si="30"/>
        <v>Yes</v>
      </c>
      <c r="ES17" s="83" t="str">
        <f t="shared" ref="ES17:FA17" si="31">IF(ES105=ES104,"Yes","No")</f>
        <v>Yes</v>
      </c>
      <c r="ET17" s="83" t="str">
        <f t="shared" si="31"/>
        <v>No</v>
      </c>
      <c r="EU17" s="139" t="str">
        <f t="shared" si="31"/>
        <v>Yes</v>
      </c>
      <c r="EV17" s="83" t="str">
        <f t="shared" si="31"/>
        <v>Yes</v>
      </c>
      <c r="EW17" s="83" t="str">
        <f t="shared" si="31"/>
        <v>Yes</v>
      </c>
      <c r="EX17" s="139" t="str">
        <f t="shared" si="31"/>
        <v>Yes</v>
      </c>
      <c r="EY17" s="83" t="str">
        <f t="shared" si="31"/>
        <v>Yes</v>
      </c>
      <c r="EZ17" s="83" t="str">
        <f t="shared" si="31"/>
        <v>Yes</v>
      </c>
      <c r="FA17" s="139" t="str">
        <f t="shared" si="31"/>
        <v>Yes</v>
      </c>
    </row>
    <row r="18" spans="1:157" ht="13.35" customHeight="1">
      <c r="A18" s="3"/>
      <c r="B18" s="3"/>
      <c r="C18" s="3" t="s">
        <v>739</v>
      </c>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83" t="str">
        <f t="shared" ref="AY18:CD18" si="32">IF(AY117=AY116,"Yes","No")</f>
        <v>Yes</v>
      </c>
      <c r="AZ18" s="83" t="str">
        <f t="shared" si="32"/>
        <v>Yes</v>
      </c>
      <c r="BA18" s="83" t="str">
        <f t="shared" si="32"/>
        <v>No</v>
      </c>
      <c r="BB18" s="83" t="str">
        <f t="shared" si="32"/>
        <v>No</v>
      </c>
      <c r="BC18" s="83" t="str">
        <f t="shared" si="32"/>
        <v>No</v>
      </c>
      <c r="BD18" s="83" t="str">
        <f t="shared" si="32"/>
        <v>No</v>
      </c>
      <c r="BE18" s="83" t="str">
        <f t="shared" si="32"/>
        <v>No</v>
      </c>
      <c r="BF18" s="83" t="str">
        <f t="shared" si="32"/>
        <v>No</v>
      </c>
      <c r="BG18" s="83" t="str">
        <f t="shared" si="32"/>
        <v>No</v>
      </c>
      <c r="BH18" s="83" t="str">
        <f t="shared" si="32"/>
        <v>No</v>
      </c>
      <c r="BI18" s="83" t="str">
        <f t="shared" si="32"/>
        <v>No</v>
      </c>
      <c r="BJ18" s="83" t="str">
        <f t="shared" si="32"/>
        <v>No</v>
      </c>
      <c r="BK18" s="83" t="str">
        <f t="shared" si="32"/>
        <v>No</v>
      </c>
      <c r="BL18" s="83" t="str">
        <f t="shared" si="32"/>
        <v>No</v>
      </c>
      <c r="BM18" s="83" t="str">
        <f t="shared" si="32"/>
        <v>No</v>
      </c>
      <c r="BN18" s="83" t="str">
        <f t="shared" si="32"/>
        <v>No</v>
      </c>
      <c r="BO18" s="83" t="str">
        <f t="shared" si="32"/>
        <v>No</v>
      </c>
      <c r="BP18" s="83" t="str">
        <f t="shared" si="32"/>
        <v>No</v>
      </c>
      <c r="BQ18" s="83" t="str">
        <f t="shared" si="32"/>
        <v>No</v>
      </c>
      <c r="BR18" s="83" t="str">
        <f t="shared" si="32"/>
        <v>No</v>
      </c>
      <c r="BS18" s="83" t="str">
        <f t="shared" si="32"/>
        <v>No</v>
      </c>
      <c r="BT18" s="83" t="str">
        <f t="shared" si="32"/>
        <v>No</v>
      </c>
      <c r="BU18" s="83" t="str">
        <f t="shared" si="32"/>
        <v>No</v>
      </c>
      <c r="BV18" s="83" t="str">
        <f t="shared" si="32"/>
        <v>Yes</v>
      </c>
      <c r="BW18" s="83" t="str">
        <f t="shared" si="32"/>
        <v>Yes</v>
      </c>
      <c r="BX18" s="83" t="str">
        <f t="shared" si="32"/>
        <v>Yes</v>
      </c>
      <c r="BY18" s="83" t="str">
        <f t="shared" si="32"/>
        <v>Yes</v>
      </c>
      <c r="BZ18" s="83" t="str">
        <f t="shared" si="32"/>
        <v>Yes</v>
      </c>
      <c r="CA18" s="83" t="str">
        <f t="shared" si="32"/>
        <v>Yes</v>
      </c>
      <c r="CB18" s="83" t="str">
        <f t="shared" si="32"/>
        <v>Yes</v>
      </c>
      <c r="CC18" s="83" t="str">
        <f t="shared" si="32"/>
        <v>Yes</v>
      </c>
      <c r="CD18" s="83" t="str">
        <f t="shared" si="32"/>
        <v>Yes</v>
      </c>
      <c r="CE18" s="83" t="str">
        <f t="shared" ref="CE18:CM18" si="33">IF(CE117=CE116,"Yes","No")</f>
        <v>Yes</v>
      </c>
      <c r="CF18" s="83" t="str">
        <f t="shared" si="33"/>
        <v>Yes</v>
      </c>
      <c r="CG18" s="83" t="str">
        <f t="shared" si="33"/>
        <v>Yes</v>
      </c>
      <c r="CH18" s="83" t="str">
        <f t="shared" si="33"/>
        <v>Yes</v>
      </c>
      <c r="CI18" s="83" t="str">
        <f t="shared" si="33"/>
        <v>Yes</v>
      </c>
      <c r="CJ18" s="83" t="str">
        <f t="shared" si="33"/>
        <v>Yes</v>
      </c>
      <c r="CK18" s="83" t="str">
        <f t="shared" si="33"/>
        <v>Yes</v>
      </c>
      <c r="CL18" s="83" t="str">
        <f t="shared" si="33"/>
        <v>Yes</v>
      </c>
      <c r="CM18" s="83" t="str">
        <f t="shared" si="33"/>
        <v>Yes</v>
      </c>
      <c r="CN18" s="83" t="str">
        <f t="shared" ref="CN18:DQ18" si="34">IF(CN117=CN116,"Yes","No")</f>
        <v>Yes</v>
      </c>
      <c r="CO18" s="83" t="str">
        <f t="shared" si="34"/>
        <v>Yes</v>
      </c>
      <c r="CP18" s="83" t="str">
        <f t="shared" si="34"/>
        <v>Yes</v>
      </c>
      <c r="CQ18" s="83" t="str">
        <f t="shared" si="34"/>
        <v>Yes</v>
      </c>
      <c r="CR18" s="83" t="str">
        <f t="shared" si="34"/>
        <v>Yes</v>
      </c>
      <c r="CS18" s="83" t="str">
        <f t="shared" si="34"/>
        <v>Yes</v>
      </c>
      <c r="CT18" s="83" t="str">
        <f t="shared" si="34"/>
        <v>Yes</v>
      </c>
      <c r="CU18" s="83" t="str">
        <f t="shared" si="34"/>
        <v>Yes</v>
      </c>
      <c r="CV18" s="83" t="str">
        <f t="shared" si="34"/>
        <v>Yes</v>
      </c>
      <c r="CW18" s="83" t="str">
        <f t="shared" si="34"/>
        <v>Yes</v>
      </c>
      <c r="CX18" s="83" t="str">
        <f t="shared" si="34"/>
        <v>Yes</v>
      </c>
      <c r="CY18" s="83" t="str">
        <f t="shared" si="34"/>
        <v>Yes</v>
      </c>
      <c r="CZ18" s="83" t="str">
        <f t="shared" si="34"/>
        <v>Yes</v>
      </c>
      <c r="DA18" s="83" t="str">
        <f t="shared" si="34"/>
        <v>Yes</v>
      </c>
      <c r="DB18" s="83" t="str">
        <f t="shared" si="34"/>
        <v>Yes</v>
      </c>
      <c r="DC18" s="83" t="str">
        <f t="shared" si="34"/>
        <v>Yes</v>
      </c>
      <c r="DD18" s="83" t="str">
        <f t="shared" si="34"/>
        <v>Yes</v>
      </c>
      <c r="DE18" s="139" t="str">
        <f t="shared" si="34"/>
        <v>Yes</v>
      </c>
      <c r="DF18" s="83" t="str">
        <f t="shared" si="34"/>
        <v>Yes</v>
      </c>
      <c r="DG18" s="83" t="str">
        <f t="shared" si="34"/>
        <v>Yes</v>
      </c>
      <c r="DH18" s="139" t="str">
        <f t="shared" si="34"/>
        <v>Yes</v>
      </c>
      <c r="DI18" s="83" t="str">
        <f t="shared" si="34"/>
        <v>Yes</v>
      </c>
      <c r="DJ18" s="83" t="str">
        <f t="shared" si="34"/>
        <v>Yes</v>
      </c>
      <c r="DK18" s="139" t="str">
        <f t="shared" si="34"/>
        <v>Yes</v>
      </c>
      <c r="DL18" s="83" t="str">
        <f t="shared" si="34"/>
        <v>Yes</v>
      </c>
      <c r="DM18" s="83" t="str">
        <f t="shared" si="34"/>
        <v>Yes</v>
      </c>
      <c r="DN18" s="139" t="str">
        <f t="shared" si="34"/>
        <v>Yes</v>
      </c>
      <c r="DO18" s="83" t="str">
        <f t="shared" si="34"/>
        <v>Yes</v>
      </c>
      <c r="DP18" s="83" t="str">
        <f t="shared" si="34"/>
        <v>Yes</v>
      </c>
      <c r="DQ18" s="139" t="str">
        <f t="shared" si="34"/>
        <v>Yes</v>
      </c>
      <c r="DR18" s="83" t="str">
        <f t="shared" ref="DR18:DZ18" si="35">IF(DR117=DR116,"Yes","No")</f>
        <v>Yes</v>
      </c>
      <c r="DS18" s="83" t="str">
        <f t="shared" si="35"/>
        <v>Yes</v>
      </c>
      <c r="DT18" s="139" t="str">
        <f t="shared" si="35"/>
        <v>Yes</v>
      </c>
      <c r="DU18" s="83" t="str">
        <f t="shared" si="35"/>
        <v>Yes</v>
      </c>
      <c r="DV18" s="83" t="str">
        <f>IF(DV117=DV116,"Yes","No")</f>
        <v>Yes</v>
      </c>
      <c r="DW18" s="139" t="str">
        <f>IF(DW117=DW116,"Yes","No")</f>
        <v>Yes</v>
      </c>
      <c r="DX18" s="83" t="str">
        <f t="shared" ref="DX18" si="36">IF(DX117=DX116,"Yes","No")</f>
        <v>Yes</v>
      </c>
      <c r="DY18" s="83" t="str">
        <f t="shared" si="35"/>
        <v>Yes</v>
      </c>
      <c r="DZ18" s="139" t="str">
        <f t="shared" si="35"/>
        <v>Yes</v>
      </c>
      <c r="EA18" s="83" t="str">
        <f t="shared" ref="EA18:EF18" si="37">IF(EA117=EA116,"Yes","No")</f>
        <v>Yes</v>
      </c>
      <c r="EB18" s="83" t="str">
        <f t="shared" si="37"/>
        <v>Yes</v>
      </c>
      <c r="EC18" s="139" t="str">
        <f t="shared" si="37"/>
        <v>Yes</v>
      </c>
      <c r="ED18" s="83" t="str">
        <f t="shared" si="37"/>
        <v>Yes</v>
      </c>
      <c r="EE18" s="83" t="str">
        <f t="shared" si="37"/>
        <v>Yes</v>
      </c>
      <c r="EF18" s="139" t="str">
        <f t="shared" si="37"/>
        <v>Yes</v>
      </c>
      <c r="EG18" s="83" t="str">
        <f t="shared" ref="EG18:EL18" si="38">IF(EG117=EG116,"Yes","No")</f>
        <v>Yes</v>
      </c>
      <c r="EH18" s="83" t="str">
        <f t="shared" si="38"/>
        <v>Yes</v>
      </c>
      <c r="EI18" s="139" t="str">
        <f t="shared" si="38"/>
        <v>Yes</v>
      </c>
      <c r="EJ18" s="83" t="str">
        <f t="shared" si="38"/>
        <v>Yes</v>
      </c>
      <c r="EK18" s="83" t="str">
        <f t="shared" si="38"/>
        <v>Yes</v>
      </c>
      <c r="EL18" s="139" t="str">
        <f t="shared" si="38"/>
        <v>Yes</v>
      </c>
      <c r="EM18" s="83" t="str">
        <f t="shared" ref="EM18:ER18" si="39">IF(EM117=EM116,"Yes","No")</f>
        <v>Yes</v>
      </c>
      <c r="EN18" s="83" t="str">
        <f t="shared" si="39"/>
        <v>Yes</v>
      </c>
      <c r="EO18" s="139" t="str">
        <f t="shared" si="39"/>
        <v>Yes</v>
      </c>
      <c r="EP18" s="83" t="str">
        <f t="shared" si="39"/>
        <v>Yes</v>
      </c>
      <c r="EQ18" s="83" t="str">
        <f t="shared" si="39"/>
        <v>Yes</v>
      </c>
      <c r="ER18" s="139" t="str">
        <f t="shared" si="39"/>
        <v>Yes</v>
      </c>
      <c r="ES18" s="83" t="str">
        <f t="shared" ref="ES18:FA18" si="40">IF(ES117=ES116,"Yes","No")</f>
        <v>Yes</v>
      </c>
      <c r="ET18" s="83" t="str">
        <f t="shared" si="40"/>
        <v>Yes</v>
      </c>
      <c r="EU18" s="139" t="str">
        <f t="shared" si="40"/>
        <v>Yes</v>
      </c>
      <c r="EV18" s="83" t="str">
        <f t="shared" si="40"/>
        <v>Yes</v>
      </c>
      <c r="EW18" s="83" t="str">
        <f t="shared" si="40"/>
        <v>Yes</v>
      </c>
      <c r="EX18" s="139" t="str">
        <f t="shared" si="40"/>
        <v>Yes</v>
      </c>
      <c r="EY18" s="83" t="str">
        <f t="shared" si="40"/>
        <v>Yes</v>
      </c>
      <c r="EZ18" s="83" t="str">
        <f t="shared" si="40"/>
        <v>Yes</v>
      </c>
      <c r="FA18" s="139" t="str">
        <f t="shared" si="40"/>
        <v>Yes</v>
      </c>
    </row>
    <row r="19" spans="1:157" ht="13.35" customHeight="1">
      <c r="A19" s="4"/>
      <c r="B19" s="4"/>
      <c r="C19" s="4"/>
      <c r="D19" s="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84"/>
      <c r="AW19" s="84"/>
      <c r="AX19" s="84"/>
      <c r="AY19" s="84"/>
      <c r="AZ19" s="84"/>
      <c r="BA19" s="84"/>
      <c r="BB19" s="84"/>
      <c r="BC19" s="84"/>
      <c r="BD19" s="84"/>
      <c r="BE19" s="84"/>
      <c r="BF19" s="84"/>
      <c r="BG19" s="84"/>
      <c r="BH19" s="84"/>
      <c r="BI19" s="84"/>
      <c r="BJ19" s="84"/>
      <c r="BK19" s="84"/>
      <c r="BL19" s="84"/>
      <c r="BM19" s="84"/>
      <c r="BN19" s="84"/>
      <c r="BO19" s="84"/>
      <c r="BP19" s="84"/>
      <c r="BQ19" s="84"/>
      <c r="BR19" s="84"/>
      <c r="BS19" s="84"/>
      <c r="BT19" s="84"/>
      <c r="BU19" s="84"/>
      <c r="BV19" s="84"/>
      <c r="BW19" s="84"/>
      <c r="BX19" s="84"/>
      <c r="BY19" s="84"/>
      <c r="BZ19" s="84"/>
      <c r="CA19" s="84"/>
      <c r="CB19" s="84"/>
      <c r="CC19" s="84"/>
      <c r="CD19" s="84"/>
      <c r="CE19" s="84"/>
      <c r="CF19" s="84"/>
      <c r="CG19" s="84"/>
      <c r="CH19" s="84"/>
      <c r="CI19" s="84"/>
      <c r="CJ19" s="84"/>
      <c r="CK19" s="84"/>
      <c r="CL19" s="84"/>
      <c r="CM19" s="84"/>
      <c r="CN19" s="84"/>
      <c r="CO19" s="84"/>
      <c r="CP19" s="84"/>
      <c r="CQ19" s="84"/>
      <c r="CR19" s="84"/>
      <c r="CS19" s="84"/>
      <c r="CT19" s="84"/>
      <c r="CU19" s="84"/>
      <c r="CV19" s="84"/>
      <c r="CW19" s="84"/>
      <c r="CX19" s="84"/>
      <c r="CY19" s="84"/>
      <c r="CZ19" s="84"/>
      <c r="DA19" s="84"/>
      <c r="DB19" s="84"/>
      <c r="DC19" s="84"/>
      <c r="DD19" s="84"/>
      <c r="DE19" s="140"/>
      <c r="DF19" s="84"/>
      <c r="DG19" s="84"/>
      <c r="DH19" s="140"/>
      <c r="DI19" s="84"/>
      <c r="DJ19" s="84"/>
      <c r="DK19" s="140"/>
      <c r="DL19" s="84"/>
      <c r="DM19" s="84"/>
      <c r="DN19" s="140"/>
      <c r="DO19" s="84"/>
      <c r="DP19" s="84"/>
      <c r="DQ19" s="140"/>
      <c r="DR19" s="84"/>
      <c r="DS19" s="84"/>
      <c r="DT19" s="140"/>
      <c r="DU19" s="84"/>
      <c r="DV19" s="84"/>
      <c r="DW19" s="140"/>
      <c r="DX19" s="84"/>
      <c r="DY19" s="84"/>
      <c r="DZ19" s="140"/>
      <c r="EA19" s="84"/>
      <c r="EB19" s="84"/>
      <c r="EC19" s="140"/>
      <c r="ED19" s="84"/>
      <c r="EE19" s="84"/>
      <c r="EF19" s="140"/>
      <c r="EG19" s="84"/>
      <c r="EH19" s="84"/>
      <c r="EI19" s="140"/>
      <c r="EJ19" s="84"/>
      <c r="EK19" s="84"/>
      <c r="EL19" s="140"/>
      <c r="EM19" s="84"/>
      <c r="EN19" s="84"/>
      <c r="EO19" s="140"/>
      <c r="EP19" s="84"/>
      <c r="EQ19" s="84"/>
      <c r="ER19" s="140"/>
      <c r="ES19" s="84"/>
      <c r="ET19" s="84"/>
      <c r="EU19" s="140"/>
      <c r="EV19" s="84"/>
      <c r="EW19" s="84"/>
      <c r="EX19" s="140"/>
      <c r="EY19" s="84"/>
      <c r="EZ19" s="84"/>
      <c r="FA19" s="140"/>
    </row>
    <row r="20" spans="1:157" ht="16.5" customHeight="1">
      <c r="A20" s="77"/>
      <c r="B20" s="77" t="s">
        <v>633</v>
      </c>
      <c r="C20" s="77"/>
      <c r="D20" s="49" t="str">
        <f>+$D$2</f>
        <v xml:space="preserve">Year ending Jun </v>
      </c>
      <c r="E20" s="49" t="str">
        <f>+$E$2</f>
        <v>1h85</v>
      </c>
      <c r="F20" s="49" t="str">
        <f>+$F$2</f>
        <v>2h85</v>
      </c>
      <c r="G20" s="49" t="str">
        <f>+$G$2</f>
        <v>1985</v>
      </c>
      <c r="H20" s="49" t="str">
        <f>+$H$2</f>
        <v>1h86</v>
      </c>
      <c r="I20" s="49" t="str">
        <f>+$I$2</f>
        <v>2h86</v>
      </c>
      <c r="J20" s="49" t="str">
        <f>+$J$2</f>
        <v>1986</v>
      </c>
      <c r="K20" s="49" t="str">
        <f>+$K$2</f>
        <v>1h87</v>
      </c>
      <c r="L20" s="49" t="str">
        <f>+$L$2</f>
        <v>2h87</v>
      </c>
      <c r="M20" s="49" t="str">
        <f>+$M$2</f>
        <v>1987</v>
      </c>
      <c r="N20" s="49" t="str">
        <f>+$N$2</f>
        <v>1h88</v>
      </c>
      <c r="O20" s="49" t="str">
        <f>+$O$2</f>
        <v>2h88</v>
      </c>
      <c r="P20" s="49" t="str">
        <f>+$P$2</f>
        <v>1988</v>
      </c>
      <c r="Q20" s="49" t="str">
        <f>+$Q$2</f>
        <v>1h89</v>
      </c>
      <c r="R20" s="49" t="str">
        <f>+$R$2</f>
        <v>2h89</v>
      </c>
      <c r="S20" s="49" t="str">
        <f>+$S$2</f>
        <v>1989</v>
      </c>
      <c r="T20" s="49" t="str">
        <f>+$T$2</f>
        <v>1h90</v>
      </c>
      <c r="U20" s="49" t="str">
        <f>+$U$2</f>
        <v>2h90</v>
      </c>
      <c r="V20" s="49" t="str">
        <f>+$V$2</f>
        <v>1990</v>
      </c>
      <c r="W20" s="49" t="str">
        <f>+$W$2</f>
        <v>1h91</v>
      </c>
      <c r="X20" s="49" t="str">
        <f>+$X$2</f>
        <v>2h91</v>
      </c>
      <c r="Y20" s="49" t="str">
        <f>+$Y$2</f>
        <v>1991</v>
      </c>
      <c r="Z20" s="49" t="str">
        <f>+$Z$2</f>
        <v>1h92</v>
      </c>
      <c r="AA20" s="49" t="str">
        <f>+$AA$2</f>
        <v>2h92</v>
      </c>
      <c r="AB20" s="49" t="str">
        <f>+$AB$2</f>
        <v>1992</v>
      </c>
      <c r="AC20" s="49" t="str">
        <f>+$AC$2</f>
        <v>1h93</v>
      </c>
      <c r="AD20" s="49" t="str">
        <f>+$AD$2</f>
        <v>2h93</v>
      </c>
      <c r="AE20" s="49" t="str">
        <f>+$AE$2</f>
        <v>1993</v>
      </c>
      <c r="AF20" s="49" t="str">
        <f>+$AF$2</f>
        <v>1h94</v>
      </c>
      <c r="AG20" s="49" t="str">
        <f>+$AG$2</f>
        <v>2h94</v>
      </c>
      <c r="AH20" s="49" t="str">
        <f>+$AH$2</f>
        <v>1994</v>
      </c>
      <c r="AI20" s="49" t="str">
        <f>+$AI$2</f>
        <v>1h95</v>
      </c>
      <c r="AJ20" s="49" t="str">
        <f>+$AJ$2</f>
        <v>2h95</v>
      </c>
      <c r="AK20" s="49" t="str">
        <f>+$AK$2</f>
        <v>1995</v>
      </c>
      <c r="AL20" s="49" t="str">
        <f>+$AL$2</f>
        <v>1h96</v>
      </c>
      <c r="AM20" s="49" t="str">
        <f>+$AM$2</f>
        <v>2h96</v>
      </c>
      <c r="AN20" s="49" t="str">
        <f>+$AN$2</f>
        <v>1996</v>
      </c>
      <c r="AO20" s="49" t="str">
        <f>+$AO$2</f>
        <v>1h97</v>
      </c>
      <c r="AP20" s="49" t="str">
        <f>+$AP$2</f>
        <v>2h97</v>
      </c>
      <c r="AQ20" s="49" t="str">
        <f>+$AQ$2</f>
        <v>1997</v>
      </c>
      <c r="AR20" s="49" t="str">
        <f>+$AR$2</f>
        <v>1h98</v>
      </c>
      <c r="AS20" s="49" t="str">
        <f>+$AS$2</f>
        <v>2h98</v>
      </c>
      <c r="AT20" s="49" t="str">
        <f>+$AT$2</f>
        <v>1998a</v>
      </c>
      <c r="AU20" s="49" t="str">
        <f>+$AU$2</f>
        <v>1h99</v>
      </c>
      <c r="AV20" s="49" t="str">
        <f>+$AV$2</f>
        <v>2h99</v>
      </c>
      <c r="AW20" s="49" t="str">
        <f>+$AW$2</f>
        <v>1999a</v>
      </c>
      <c r="AX20" s="49" t="str">
        <f>+$AX$2</f>
        <v>1h00</v>
      </c>
      <c r="AY20" s="49" t="str">
        <f>+$AY$2</f>
        <v>2h00</v>
      </c>
      <c r="AZ20" s="49" t="str">
        <f>+$AZ$2</f>
        <v>2000a</v>
      </c>
      <c r="BA20" s="49" t="str">
        <f>+$BA$2</f>
        <v>1h01</v>
      </c>
      <c r="BB20" s="49" t="str">
        <f>+$BB$2</f>
        <v>2h01</v>
      </c>
      <c r="BC20" s="49" t="str">
        <f>+$BC$2</f>
        <v>2001a</v>
      </c>
      <c r="BD20" s="49" t="str">
        <f>+$BD$2</f>
        <v>1h02</v>
      </c>
      <c r="BE20" s="49" t="str">
        <f>+$BE$2</f>
        <v>2h02f</v>
      </c>
      <c r="BF20" s="49" t="str">
        <f>+$BF$2</f>
        <v>2002</v>
      </c>
      <c r="BG20" s="49" t="str">
        <f>+$BG$2</f>
        <v>1h03</v>
      </c>
      <c r="BH20" s="49" t="str">
        <f>+$BH$2</f>
        <v>2h03</v>
      </c>
      <c r="BI20" s="49" t="str">
        <f>+$BI$2</f>
        <v>2003</v>
      </c>
      <c r="BJ20" s="49" t="str">
        <f>+$BJ$2</f>
        <v>1h04</v>
      </c>
      <c r="BK20" s="49" t="str">
        <f>+$BK$2</f>
        <v>2h04</v>
      </c>
      <c r="BL20" s="49" t="str">
        <f>+$BL$2</f>
        <v>2004</v>
      </c>
      <c r="BM20" s="49" t="str">
        <f>+$BM$2</f>
        <v>1h05</v>
      </c>
      <c r="BN20" s="49" t="str">
        <f>+$BN$2</f>
        <v>2h05</v>
      </c>
      <c r="BO20" s="49" t="str">
        <f>+$BO$2</f>
        <v>2005</v>
      </c>
      <c r="BP20" s="50" t="str">
        <f t="shared" ref="BP20:EA20" si="41">+BP$2</f>
        <v>1h06</v>
      </c>
      <c r="BQ20" s="50" t="str">
        <f t="shared" si="41"/>
        <v>2h06</v>
      </c>
      <c r="BR20" s="50" t="str">
        <f t="shared" si="41"/>
        <v>2006</v>
      </c>
      <c r="BS20" s="50" t="str">
        <f t="shared" si="41"/>
        <v>1h07</v>
      </c>
      <c r="BT20" s="50" t="str">
        <f t="shared" si="41"/>
        <v>2h07</v>
      </c>
      <c r="BU20" s="50" t="str">
        <f t="shared" si="41"/>
        <v>2007</v>
      </c>
      <c r="BV20" s="50" t="str">
        <f t="shared" si="41"/>
        <v>1h08</v>
      </c>
      <c r="BW20" s="50" t="str">
        <f t="shared" si="41"/>
        <v>2h08</v>
      </c>
      <c r="BX20" s="50" t="str">
        <f t="shared" si="41"/>
        <v>2008</v>
      </c>
      <c r="BY20" s="50" t="str">
        <f t="shared" si="41"/>
        <v>1h09</v>
      </c>
      <c r="BZ20" s="50" t="str">
        <f t="shared" si="41"/>
        <v>2h09</v>
      </c>
      <c r="CA20" s="50" t="str">
        <f t="shared" si="41"/>
        <v>2009</v>
      </c>
      <c r="CB20" s="50" t="str">
        <f t="shared" si="41"/>
        <v>1h10</v>
      </c>
      <c r="CC20" s="50" t="str">
        <f t="shared" si="41"/>
        <v>2h10</v>
      </c>
      <c r="CD20" s="50" t="str">
        <f t="shared" si="41"/>
        <v>2010</v>
      </c>
      <c r="CE20" s="50" t="str">
        <f t="shared" si="41"/>
        <v>1h11</v>
      </c>
      <c r="CF20" s="50" t="str">
        <f t="shared" si="41"/>
        <v>2h11</v>
      </c>
      <c r="CG20" s="50" t="str">
        <f t="shared" si="41"/>
        <v>2011</v>
      </c>
      <c r="CH20" s="50" t="str">
        <f t="shared" si="41"/>
        <v>1h12</v>
      </c>
      <c r="CI20" s="50" t="str">
        <f t="shared" si="41"/>
        <v>2h12</v>
      </c>
      <c r="CJ20" s="50" t="str">
        <f t="shared" si="41"/>
        <v>2012</v>
      </c>
      <c r="CK20" s="50" t="str">
        <f t="shared" si="41"/>
        <v>1h13</v>
      </c>
      <c r="CL20" s="50" t="str">
        <f t="shared" si="41"/>
        <v>2h13</v>
      </c>
      <c r="CM20" s="50" t="str">
        <f t="shared" si="41"/>
        <v>2013</v>
      </c>
      <c r="CN20" s="50" t="str">
        <f t="shared" si="41"/>
        <v>1h14</v>
      </c>
      <c r="CO20" s="50" t="str">
        <f t="shared" si="41"/>
        <v>2h14</v>
      </c>
      <c r="CP20" s="50" t="str">
        <f t="shared" si="41"/>
        <v>2014</v>
      </c>
      <c r="CQ20" s="50" t="str">
        <f t="shared" si="41"/>
        <v>1h15</v>
      </c>
      <c r="CR20" s="50" t="str">
        <f t="shared" si="41"/>
        <v>2h15</v>
      </c>
      <c r="CS20" s="50" t="str">
        <f t="shared" si="41"/>
        <v>2015</v>
      </c>
      <c r="CT20" s="50" t="str">
        <f t="shared" si="41"/>
        <v>1h16</v>
      </c>
      <c r="CU20" s="50" t="str">
        <f t="shared" si="41"/>
        <v>2h16</v>
      </c>
      <c r="CV20" s="50" t="str">
        <f t="shared" si="41"/>
        <v>2016</v>
      </c>
      <c r="CW20" s="50" t="str">
        <f t="shared" si="41"/>
        <v>1h17</v>
      </c>
      <c r="CX20" s="50" t="str">
        <f t="shared" si="41"/>
        <v>2h17</v>
      </c>
      <c r="CY20" s="50" t="str">
        <f t="shared" si="41"/>
        <v>2017</v>
      </c>
      <c r="CZ20" s="50" t="str">
        <f t="shared" si="41"/>
        <v>1h18</v>
      </c>
      <c r="DA20" s="50" t="str">
        <f t="shared" si="41"/>
        <v>2h18</v>
      </c>
      <c r="DB20" s="50" t="str">
        <f t="shared" si="41"/>
        <v>2018</v>
      </c>
      <c r="DC20" s="50" t="str">
        <f t="shared" si="41"/>
        <v>1h19</v>
      </c>
      <c r="DD20" s="50" t="str">
        <f t="shared" si="41"/>
        <v>2h19</v>
      </c>
      <c r="DE20" s="64" t="str">
        <f t="shared" si="41"/>
        <v>2019</v>
      </c>
      <c r="DF20" s="50" t="str">
        <f t="shared" si="41"/>
        <v>1h20</v>
      </c>
      <c r="DG20" s="50" t="str">
        <f t="shared" si="41"/>
        <v>2h20</v>
      </c>
      <c r="DH20" s="64" t="str">
        <f t="shared" si="41"/>
        <v>2020</v>
      </c>
      <c r="DI20" s="50" t="str">
        <f t="shared" si="41"/>
        <v>1h21</v>
      </c>
      <c r="DJ20" s="50" t="str">
        <f t="shared" si="41"/>
        <v>2h21</v>
      </c>
      <c r="DK20" s="64" t="str">
        <f t="shared" si="41"/>
        <v>2021</v>
      </c>
      <c r="DL20" s="50" t="str">
        <f t="shared" si="41"/>
        <v>1h22</v>
      </c>
      <c r="DM20" s="50" t="str">
        <f t="shared" si="41"/>
        <v>2h22</v>
      </c>
      <c r="DN20" s="64" t="str">
        <f t="shared" si="41"/>
        <v>2022</v>
      </c>
      <c r="DO20" s="50" t="str">
        <f t="shared" si="41"/>
        <v>1h23</v>
      </c>
      <c r="DP20" s="50" t="str">
        <f t="shared" si="41"/>
        <v>2h23</v>
      </c>
      <c r="DQ20" s="64" t="str">
        <f t="shared" si="41"/>
        <v>2023</v>
      </c>
      <c r="DR20" s="50" t="str">
        <f t="shared" si="41"/>
        <v>1h24</v>
      </c>
      <c r="DS20" s="50" t="str">
        <f t="shared" si="41"/>
        <v>2h24</v>
      </c>
      <c r="DT20" s="64" t="str">
        <f t="shared" si="41"/>
        <v>2024</v>
      </c>
      <c r="DU20" s="50" t="str">
        <f t="shared" si="41"/>
        <v>1h25</v>
      </c>
      <c r="DV20" s="50" t="str">
        <f t="shared" si="41"/>
        <v>2h25</v>
      </c>
      <c r="DW20" s="64" t="str">
        <f t="shared" si="41"/>
        <v>2025</v>
      </c>
      <c r="DX20" s="50" t="str">
        <f t="shared" si="41"/>
        <v>1h26</v>
      </c>
      <c r="DY20" s="50" t="str">
        <f t="shared" si="41"/>
        <v>2h26E</v>
      </c>
      <c r="DZ20" s="64" t="str">
        <f t="shared" si="41"/>
        <v>2026E</v>
      </c>
      <c r="EA20" s="50" t="str">
        <f t="shared" si="41"/>
        <v>1h27E</v>
      </c>
      <c r="EB20" s="50" t="str">
        <f t="shared" ref="EB20:FA20" si="42">+EB$2</f>
        <v>2h27E</v>
      </c>
      <c r="EC20" s="64" t="str">
        <f t="shared" si="42"/>
        <v>2027E</v>
      </c>
      <c r="ED20" s="50" t="str">
        <f t="shared" si="42"/>
        <v>1h28E</v>
      </c>
      <c r="EE20" s="50" t="str">
        <f t="shared" si="42"/>
        <v>2h28E</v>
      </c>
      <c r="EF20" s="64" t="str">
        <f t="shared" si="42"/>
        <v>2028E</v>
      </c>
      <c r="EG20" s="50" t="str">
        <f t="shared" si="42"/>
        <v>1h29E</v>
      </c>
      <c r="EH20" s="50" t="str">
        <f t="shared" si="42"/>
        <v>2h29E</v>
      </c>
      <c r="EI20" s="64" t="str">
        <f t="shared" si="42"/>
        <v>2029E</v>
      </c>
      <c r="EJ20" s="50" t="str">
        <f t="shared" si="42"/>
        <v>1h30E</v>
      </c>
      <c r="EK20" s="50" t="str">
        <f t="shared" si="42"/>
        <v>2h30E</v>
      </c>
      <c r="EL20" s="64" t="str">
        <f t="shared" si="42"/>
        <v>2030E</v>
      </c>
      <c r="EM20" s="50" t="str">
        <f t="shared" si="42"/>
        <v>1h31E</v>
      </c>
      <c r="EN20" s="50" t="str">
        <f t="shared" si="42"/>
        <v>2h31E</v>
      </c>
      <c r="EO20" s="64" t="str">
        <f t="shared" si="42"/>
        <v>2031E</v>
      </c>
      <c r="EP20" s="50" t="str">
        <f t="shared" si="42"/>
        <v>1h32E</v>
      </c>
      <c r="EQ20" s="50" t="str">
        <f t="shared" si="42"/>
        <v>2h32E</v>
      </c>
      <c r="ER20" s="64" t="str">
        <f t="shared" si="42"/>
        <v>2032E</v>
      </c>
      <c r="ES20" s="50" t="str">
        <f t="shared" si="42"/>
        <v>1h33E</v>
      </c>
      <c r="ET20" s="50" t="str">
        <f t="shared" si="42"/>
        <v>2h33E</v>
      </c>
      <c r="EU20" s="64" t="str">
        <f t="shared" si="42"/>
        <v>2033E</v>
      </c>
      <c r="EV20" s="50" t="str">
        <f t="shared" si="42"/>
        <v>1h34E</v>
      </c>
      <c r="EW20" s="50" t="str">
        <f t="shared" si="42"/>
        <v>2h34E</v>
      </c>
      <c r="EX20" s="64" t="str">
        <f t="shared" si="42"/>
        <v>2034E</v>
      </c>
      <c r="EY20" s="50" t="str">
        <f t="shared" si="42"/>
        <v>1h35E</v>
      </c>
      <c r="EZ20" s="50" t="str">
        <f t="shared" si="42"/>
        <v>2h35E</v>
      </c>
      <c r="FA20" s="64" t="str">
        <f t="shared" si="42"/>
        <v>2035E</v>
      </c>
    </row>
    <row r="21" spans="1:157" ht="13.35" customHeight="1">
      <c r="A21" s="3"/>
      <c r="B21" s="85" t="s">
        <v>634</v>
      </c>
      <c r="C21" s="85"/>
      <c r="D21" s="3"/>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84"/>
      <c r="AW21" s="84"/>
      <c r="AX21" s="84"/>
      <c r="AY21" s="84"/>
      <c r="AZ21" s="84"/>
      <c r="BA21" s="84"/>
      <c r="BB21" s="84"/>
      <c r="BC21" s="84"/>
      <c r="BD21" s="84"/>
      <c r="BE21" s="84"/>
      <c r="BF21" s="84"/>
      <c r="BG21" s="84"/>
      <c r="BH21" s="84"/>
      <c r="BI21" s="84"/>
      <c r="BJ21" s="84"/>
      <c r="BK21" s="84"/>
      <c r="BL21" s="84"/>
      <c r="BM21" s="84"/>
      <c r="BN21" s="84"/>
      <c r="BO21" s="84"/>
      <c r="BP21" s="84"/>
      <c r="BQ21" s="84"/>
      <c r="BR21" s="84"/>
      <c r="BS21" s="84"/>
      <c r="BT21" s="84"/>
      <c r="BU21" s="84"/>
      <c r="BV21" s="84"/>
      <c r="BW21" s="84"/>
      <c r="BX21" s="84"/>
      <c r="BY21" s="84"/>
      <c r="BZ21" s="84"/>
      <c r="CA21" s="84"/>
      <c r="CB21" s="84"/>
      <c r="CC21" s="84"/>
      <c r="CD21" s="84"/>
      <c r="CE21" s="84"/>
      <c r="CF21" s="84"/>
      <c r="CG21" s="84"/>
      <c r="CH21" s="84"/>
      <c r="CI21" s="84"/>
      <c r="CJ21" s="84"/>
      <c r="CK21" s="84"/>
      <c r="CL21" s="84"/>
      <c r="CM21" s="84"/>
      <c r="CN21" s="84"/>
      <c r="CO21" s="84"/>
      <c r="CP21" s="84"/>
      <c r="CQ21" s="84"/>
      <c r="CR21" s="84"/>
      <c r="CS21" s="84"/>
      <c r="CT21" s="84"/>
      <c r="CU21" s="84"/>
      <c r="CV21" s="84"/>
      <c r="CW21" s="84"/>
      <c r="CX21" s="84"/>
      <c r="CY21" s="84"/>
      <c r="CZ21" s="84"/>
      <c r="DA21" s="84"/>
      <c r="DB21" s="84"/>
      <c r="DC21" s="84"/>
      <c r="DD21" s="84"/>
      <c r="DE21" s="140"/>
      <c r="DF21" s="84"/>
      <c r="DG21" s="84"/>
      <c r="DH21" s="140"/>
      <c r="DI21" s="84"/>
      <c r="DJ21" s="84"/>
      <c r="DK21" s="140"/>
      <c r="DL21" s="84"/>
      <c r="DM21" s="84"/>
      <c r="DN21" s="140"/>
      <c r="DO21" s="84"/>
      <c r="DP21" s="84"/>
      <c r="DQ21" s="140"/>
      <c r="DR21" s="84"/>
      <c r="DS21" s="84"/>
      <c r="DT21" s="140"/>
      <c r="DU21" s="84"/>
      <c r="DV21" s="84"/>
      <c r="DW21" s="140"/>
      <c r="DX21" s="84"/>
      <c r="DY21" s="84"/>
      <c r="DZ21" s="140"/>
      <c r="EA21" s="84"/>
      <c r="EB21" s="84"/>
      <c r="EC21" s="140"/>
      <c r="ED21" s="84"/>
      <c r="EE21" s="84"/>
      <c r="EF21" s="140"/>
      <c r="EG21" s="84"/>
      <c r="EH21" s="84"/>
      <c r="EI21" s="140"/>
      <c r="EJ21" s="84"/>
      <c r="EK21" s="84"/>
      <c r="EL21" s="140"/>
      <c r="EM21" s="84"/>
      <c r="EN21" s="84"/>
      <c r="EO21" s="140"/>
      <c r="EP21" s="84"/>
      <c r="EQ21" s="84"/>
      <c r="ER21" s="140"/>
      <c r="ES21" s="84"/>
      <c r="ET21" s="84"/>
      <c r="EU21" s="140"/>
      <c r="EV21" s="84"/>
      <c r="EW21" s="84"/>
      <c r="EX21" s="140"/>
      <c r="EY21" s="84"/>
      <c r="EZ21" s="84"/>
      <c r="FA21" s="140"/>
    </row>
    <row r="22" spans="1:157" ht="13.35" customHeight="1">
      <c r="A22" s="3"/>
      <c r="B22" s="86"/>
      <c r="C22" s="3" t="s">
        <v>474</v>
      </c>
      <c r="D22" s="3"/>
      <c r="E22" s="87" t="str">
        <f>IF(Model!E37&lt;&gt;"",Model!E37,"")</f>
        <v/>
      </c>
      <c r="F22" s="87" t="str">
        <f>IF(AND(G22&lt;&gt;"",E22&lt;&gt;""),G22-E22,"")</f>
        <v/>
      </c>
      <c r="G22" s="87" t="str">
        <f>IF(Model!G37&lt;&gt;"",Model!G37,"")</f>
        <v/>
      </c>
      <c r="H22" s="87" t="str">
        <f>IF(Model!H37&lt;&gt;"",Model!H37,"")</f>
        <v/>
      </c>
      <c r="I22" s="87" t="str">
        <f>IF(AND(J22&lt;&gt;"",H22&lt;&gt;""),J22-H22,"")</f>
        <v/>
      </c>
      <c r="J22" s="87" t="str">
        <f>IF(Model!J37&lt;&gt;"",Model!J37,"")</f>
        <v/>
      </c>
      <c r="K22" s="87" t="str">
        <f>IF(Model!K37&lt;&gt;"",Model!K37,"")</f>
        <v/>
      </c>
      <c r="L22" s="87" t="str">
        <f>IF(AND(M22&lt;&gt;"",K22&lt;&gt;""),M22-K22,"")</f>
        <v/>
      </c>
      <c r="M22" s="87" t="str">
        <f>IF(Model!M37&lt;&gt;"",Model!M37,"")</f>
        <v/>
      </c>
      <c r="N22" s="87" t="str">
        <f>IF(Model!N37&lt;&gt;"",Model!N37,"")</f>
        <v/>
      </c>
      <c r="O22" s="87" t="str">
        <f>IF(AND(P22&lt;&gt;"",N22&lt;&gt;""),P22-N22,"")</f>
        <v/>
      </c>
      <c r="P22" s="87" t="str">
        <f>IF(Model!P37&lt;&gt;"",Model!P37,"")</f>
        <v/>
      </c>
      <c r="Q22" s="87" t="str">
        <f>IF(Model!Q37&lt;&gt;"",Model!Q37,"")</f>
        <v/>
      </c>
      <c r="R22" s="87" t="str">
        <f>IF(AND(S22&lt;&gt;"",Q22&lt;&gt;""),S22-Q22,"")</f>
        <v/>
      </c>
      <c r="S22" s="87" t="str">
        <f>IF(Model!S37&lt;&gt;"",Model!S37,"")</f>
        <v/>
      </c>
      <c r="T22" s="87" t="str">
        <f>IF(Model!T37&lt;&gt;"",Model!T37,"")</f>
        <v/>
      </c>
      <c r="U22" s="87" t="str">
        <f>IF(AND(V22&lt;&gt;"",T22&lt;&gt;""),V22-T22,"")</f>
        <v/>
      </c>
      <c r="V22" s="87" t="str">
        <f>IF(Model!V37&lt;&gt;"",Model!V37,"")</f>
        <v/>
      </c>
      <c r="W22" s="87" t="str">
        <f>IF(Model!W37&lt;&gt;"",Model!W37,"")</f>
        <v/>
      </c>
      <c r="X22" s="87" t="str">
        <f>IF(AND(Y22&lt;&gt;"",W22&lt;&gt;""),Y22-W22,"")</f>
        <v/>
      </c>
      <c r="Y22" s="87" t="str">
        <f>IF(Model!Y37&lt;&gt;"",Model!Y37,"")</f>
        <v/>
      </c>
      <c r="Z22" s="87" t="str">
        <f>IF(Model!Z37&lt;&gt;"",Model!Z37,"")</f>
        <v/>
      </c>
      <c r="AA22" s="87" t="str">
        <f>IF(AND(AB22&lt;&gt;"",Z22&lt;&gt;""),AB22-Z22,"")</f>
        <v/>
      </c>
      <c r="AB22" s="87" t="str">
        <f>IF(Model!AB37&lt;&gt;"",Model!AB37,"")</f>
        <v/>
      </c>
      <c r="AC22" s="87" t="str">
        <f>IF(Model!AC37&lt;&gt;"",Model!AC37,"")</f>
        <v/>
      </c>
      <c r="AD22" s="87" t="str">
        <f>IF(AND(AE22&lt;&gt;"",AC22&lt;&gt;""),AE22-AC22,"")</f>
        <v/>
      </c>
      <c r="AE22" s="87" t="str">
        <f>IF(Model!AE37&lt;&gt;"",Model!AE37,"")</f>
        <v/>
      </c>
      <c r="AF22" s="87" t="str">
        <f>IF(Model!AF37&lt;&gt;"",Model!AF37,"")</f>
        <v/>
      </c>
      <c r="AG22" s="87" t="str">
        <f>IF(AND(AH22&lt;&gt;"",AF22&lt;&gt;""),AH22-AF22,"")</f>
        <v/>
      </c>
      <c r="AH22" s="87" t="str">
        <f>IF(Model!AH37&lt;&gt;"",Model!AH37,"")</f>
        <v/>
      </c>
      <c r="AI22" s="87" t="str">
        <f>IF(Model!AI37&lt;&gt;"",Model!AI37,"")</f>
        <v/>
      </c>
      <c r="AJ22" s="87" t="str">
        <f>IF(AND(AK22&lt;&gt;"",AI22&lt;&gt;""),AK22-AI22,"")</f>
        <v/>
      </c>
      <c r="AK22" s="87" t="str">
        <f>IF(Model!AK37&lt;&gt;"",Model!AK37,"")</f>
        <v/>
      </c>
      <c r="AL22" s="87" t="str">
        <f>IF(Model!AL37&lt;&gt;"",Model!AL37,"")</f>
        <v/>
      </c>
      <c r="AM22" s="87" t="str">
        <f>IF(AND(AN22&lt;&gt;"",AL22&lt;&gt;""),AN22-AL22,"")</f>
        <v/>
      </c>
      <c r="AN22" s="87">
        <f>IF(Model!AN37&lt;&gt;"",Model!AN37,"")</f>
        <v>0.42099999999999999</v>
      </c>
      <c r="AO22" s="87" t="str">
        <f>IF(Model!AO37&lt;&gt;"",Model!AO37,"")</f>
        <v/>
      </c>
      <c r="AP22" s="87" t="str">
        <f>IF(AND(AQ22&lt;&gt;"",AO22&lt;&gt;""),AQ22-AO22,"")</f>
        <v/>
      </c>
      <c r="AQ22" s="87">
        <f>IF(Model!AQ37&lt;&gt;"",Model!AQ37,"")</f>
        <v>1.35</v>
      </c>
      <c r="AR22" s="87" t="str">
        <f>IF(Model!AR37&lt;&gt;"",Model!AR37,"")</f>
        <v/>
      </c>
      <c r="AS22" s="87" t="str">
        <f>IF(AND(AT22&lt;&gt;"",AR22&lt;&gt;""),AT22-AR22,"")</f>
        <v/>
      </c>
      <c r="AT22" s="87">
        <f>IF(Model!AT37&lt;&gt;"",Model!AT37,"")</f>
        <v>1.6060000000000001</v>
      </c>
      <c r="AU22" s="87" t="str">
        <f>IF(Model!AU37&lt;&gt;"",Model!AU37,"")</f>
        <v/>
      </c>
      <c r="AV22" s="87" t="str">
        <f>IF(AND(AW22&lt;&gt;"",AU22&lt;&gt;""),AW22-AU22,"")</f>
        <v/>
      </c>
      <c r="AW22" s="87">
        <f>IF(Model!AW37&lt;&gt;"",Model!AW37,"")</f>
        <v>1.25</v>
      </c>
      <c r="AX22" s="87" t="str">
        <f>IF(Model!AX37&lt;&gt;"",Model!AX37,"")</f>
        <v/>
      </c>
      <c r="AY22" s="87" t="str">
        <f>IF(AND(AZ22&lt;&gt;"",AX22&lt;&gt;""),AZ22-AX22,"")</f>
        <v/>
      </c>
      <c r="AZ22" s="87">
        <f>IF(Model!AZ37&lt;&gt;"",Model!AZ37,"")</f>
        <v>1.1990000000000001</v>
      </c>
      <c r="BA22" s="87"/>
      <c r="BB22" s="87"/>
      <c r="BC22" s="87">
        <f>PRODUCT(BC291,Model!BC30)</f>
        <v>1.7096480000000001</v>
      </c>
      <c r="BD22" s="87">
        <f>PRODUCT(BD291,Model!BD30)</f>
        <v>1.1796099999999998</v>
      </c>
      <c r="BE22" s="87">
        <f>IF(AND(BF22&lt;&gt;"",BD22&lt;&gt;""),BF22-BD22,"")</f>
        <v>1.5207540000000002</v>
      </c>
      <c r="BF22" s="87">
        <f>PRODUCT(BF291,Model!BF30)</f>
        <v>2.700364</v>
      </c>
      <c r="BG22" s="87">
        <v>0</v>
      </c>
      <c r="BH22" s="87">
        <f>IF(AND(BI22&lt;&gt;"",BG22&lt;&gt;""),BI22-BG22,"")</f>
        <v>0</v>
      </c>
      <c r="BI22" s="87">
        <v>0</v>
      </c>
      <c r="BJ22" s="87">
        <v>0</v>
      </c>
      <c r="BK22" s="87">
        <f>IF(AND(BL22&lt;&gt;"",BJ22&lt;&gt;""),BL22-BJ22,"")</f>
        <v>0</v>
      </c>
      <c r="BL22" s="87">
        <v>0</v>
      </c>
      <c r="BM22" s="87">
        <v>0</v>
      </c>
      <c r="BN22" s="87">
        <f>IF(AND(BO22&lt;&gt;"",BM22&lt;&gt;""),BO22-BM22,"")</f>
        <v>0</v>
      </c>
      <c r="BO22" s="87">
        <v>0</v>
      </c>
      <c r="BP22" s="87">
        <v>0</v>
      </c>
      <c r="BQ22" s="87">
        <f>IF(AND(BR22&lt;&gt;"",BP22&lt;&gt;""),BR22-BP22,"")</f>
        <v>0</v>
      </c>
      <c r="BR22" s="87">
        <v>0</v>
      </c>
      <c r="BS22" s="3"/>
      <c r="BT22" s="87">
        <f>IF(AND(BU22&lt;&gt;"",BT54&lt;&gt;""),BU22-BT54,"")</f>
        <v>0</v>
      </c>
      <c r="BU22" s="87">
        <v>0</v>
      </c>
      <c r="BV22" s="87">
        <v>0</v>
      </c>
      <c r="BW22" s="87">
        <f>IF(AND(BX22&lt;&gt;"",BV22&lt;&gt;""),BX22-BV22,"")</f>
        <v>0</v>
      </c>
      <c r="BX22" s="87">
        <v>0</v>
      </c>
      <c r="BY22" s="87">
        <v>0</v>
      </c>
      <c r="BZ22" s="87">
        <f>IF(AND(CA22&lt;&gt;"",BY22&lt;&gt;""),CA22-BY22,"")</f>
        <v>0</v>
      </c>
      <c r="CA22" s="87">
        <v>0</v>
      </c>
      <c r="CB22" s="87">
        <v>0</v>
      </c>
      <c r="CC22" s="87">
        <f>IF(AND(CD22&lt;&gt;"",CB22&lt;&gt;""),CD22-CB22,"")</f>
        <v>0</v>
      </c>
      <c r="CD22" s="87">
        <v>0</v>
      </c>
      <c r="CE22" s="87">
        <v>0</v>
      </c>
      <c r="CF22" s="87">
        <f>IF(AND(CG22&lt;&gt;"",CE22&lt;&gt;""),CG22-CE22,"")</f>
        <v>0</v>
      </c>
      <c r="CG22" s="87">
        <v>0</v>
      </c>
      <c r="CH22" s="87">
        <v>0</v>
      </c>
      <c r="CI22" s="87">
        <f>IF(AND(CJ22&lt;&gt;"",CH22&lt;&gt;""),CJ22-CH22,"")</f>
        <v>0</v>
      </c>
      <c r="CJ22" s="87">
        <v>0</v>
      </c>
      <c r="CK22" s="87">
        <v>0</v>
      </c>
      <c r="CL22" s="87">
        <f>IF(AND(CM22&lt;&gt;"",CK22&lt;&gt;""),CM22-CK22,"")</f>
        <v>0</v>
      </c>
      <c r="CM22" s="87">
        <v>0</v>
      </c>
      <c r="CN22" s="87">
        <v>1</v>
      </c>
      <c r="CO22" s="87">
        <f>IF(AND(CP22&lt;&gt;"",CN22&lt;&gt;""),CP22-CN22,"")</f>
        <v>0</v>
      </c>
      <c r="CP22" s="87">
        <v>1</v>
      </c>
      <c r="CQ22" s="87"/>
      <c r="CR22" s="87"/>
      <c r="CS22" s="87"/>
      <c r="CT22" s="87"/>
      <c r="CU22" s="87"/>
      <c r="CV22" s="87"/>
      <c r="CW22" s="87"/>
      <c r="CX22" s="87"/>
      <c r="CY22" s="87"/>
      <c r="CZ22" s="87"/>
      <c r="DA22" s="87"/>
      <c r="DB22" s="87"/>
      <c r="DC22" s="87"/>
      <c r="DD22" s="87"/>
      <c r="DE22" s="140"/>
      <c r="DF22" s="87"/>
      <c r="DG22" s="87"/>
      <c r="DH22" s="140"/>
      <c r="DI22" s="87"/>
      <c r="DJ22" s="87"/>
      <c r="DK22" s="140"/>
      <c r="DL22" s="87"/>
      <c r="DM22" s="87"/>
      <c r="DN22" s="140"/>
      <c r="DO22" s="87"/>
      <c r="DP22" s="87"/>
      <c r="DQ22" s="140"/>
      <c r="DR22" s="87"/>
      <c r="DS22" s="87"/>
      <c r="DT22" s="140"/>
      <c r="DU22" s="87"/>
      <c r="DV22" s="87"/>
      <c r="DW22" s="140"/>
      <c r="DX22" s="87"/>
      <c r="DY22" s="87"/>
      <c r="DZ22" s="140"/>
      <c r="EA22" s="87"/>
      <c r="EB22" s="87"/>
      <c r="EC22" s="140"/>
      <c r="ED22" s="87"/>
      <c r="EE22" s="87"/>
      <c r="EF22" s="140"/>
      <c r="EG22" s="87"/>
      <c r="EH22" s="87"/>
      <c r="EI22" s="140"/>
      <c r="EJ22" s="87"/>
      <c r="EK22" s="87"/>
      <c r="EL22" s="140"/>
      <c r="EM22" s="87"/>
      <c r="EN22" s="87"/>
      <c r="EO22" s="140"/>
      <c r="EP22" s="87"/>
      <c r="EQ22" s="87"/>
      <c r="ER22" s="140"/>
      <c r="ES22" s="87"/>
      <c r="ET22" s="87"/>
      <c r="EU22" s="140"/>
      <c r="EV22" s="87"/>
      <c r="EW22" s="87"/>
      <c r="EX22" s="140"/>
      <c r="EY22" s="87"/>
      <c r="EZ22" s="87"/>
      <c r="FA22" s="140"/>
    </row>
    <row r="23" spans="1:157" ht="13.35" customHeight="1">
      <c r="A23" s="3"/>
      <c r="B23" s="86"/>
      <c r="C23" s="3" t="s">
        <v>475</v>
      </c>
      <c r="D23" s="3"/>
      <c r="E23" s="87" t="str">
        <f>IF(Model!E38&lt;&gt;"",Model!E38,"")</f>
        <v/>
      </c>
      <c r="F23" s="87" t="str">
        <f>IF(AND(G23&lt;&gt;"",E23&lt;&gt;""),G23-E23,"")</f>
        <v/>
      </c>
      <c r="G23" s="87" t="str">
        <f>IF(Model!G38&lt;&gt;"",Model!G38,"")</f>
        <v/>
      </c>
      <c r="H23" s="87" t="str">
        <f>IF(Model!H38&lt;&gt;"",Model!H38,"")</f>
        <v/>
      </c>
      <c r="I23" s="87" t="str">
        <f>IF(AND(J23&lt;&gt;"",H23&lt;&gt;""),J23-H23,"")</f>
        <v/>
      </c>
      <c r="J23" s="87" t="str">
        <f>IF(Model!J38&lt;&gt;"",Model!J38,"")</f>
        <v/>
      </c>
      <c r="K23" s="87" t="str">
        <f>IF(Model!K38&lt;&gt;"",Model!K38,"")</f>
        <v/>
      </c>
      <c r="L23" s="87" t="str">
        <f>IF(AND(M23&lt;&gt;"",K23&lt;&gt;""),M23-K23,"")</f>
        <v/>
      </c>
      <c r="M23" s="87" t="str">
        <f>IF(Model!M38&lt;&gt;"",Model!M38,"")</f>
        <v/>
      </c>
      <c r="N23" s="87" t="str">
        <f>IF(Model!N38&lt;&gt;"",Model!N38,"")</f>
        <v/>
      </c>
      <c r="O23" s="87" t="str">
        <f>IF(AND(P23&lt;&gt;"",N23&lt;&gt;""),P23-N23,"")</f>
        <v/>
      </c>
      <c r="P23" s="87" t="str">
        <f>IF(Model!P38&lt;&gt;"",Model!P38,"")</f>
        <v/>
      </c>
      <c r="Q23" s="87" t="str">
        <f>IF(Model!Q38&lt;&gt;"",Model!Q38,"")</f>
        <v/>
      </c>
      <c r="R23" s="87" t="str">
        <f>IF(AND(S23&lt;&gt;"",Q23&lt;&gt;""),S23-Q23,"")</f>
        <v/>
      </c>
      <c r="S23" s="87" t="str">
        <f>IF(Model!S38&lt;&gt;"",Model!S38,"")</f>
        <v/>
      </c>
      <c r="T23" s="87" t="str">
        <f>IF(Model!T38&lt;&gt;"",Model!T38,"")</f>
        <v/>
      </c>
      <c r="U23" s="87" t="str">
        <f>IF(AND(V23&lt;&gt;"",T23&lt;&gt;""),V23-T23,"")</f>
        <v/>
      </c>
      <c r="V23" s="87" t="str">
        <f>IF(Model!V38&lt;&gt;"",Model!V38,"")</f>
        <v/>
      </c>
      <c r="W23" s="87" t="str">
        <f>IF(Model!W38&lt;&gt;"",Model!W38,"")</f>
        <v/>
      </c>
      <c r="X23" s="87" t="str">
        <f>IF(AND(Y23&lt;&gt;"",W23&lt;&gt;""),Y23-W23,"")</f>
        <v/>
      </c>
      <c r="Y23" s="87" t="str">
        <f>IF(Model!Y38&lt;&gt;"",Model!Y38,"")</f>
        <v/>
      </c>
      <c r="Z23" s="87" t="str">
        <f>IF(Model!Z38&lt;&gt;"",Model!Z38,"")</f>
        <v/>
      </c>
      <c r="AA23" s="87" t="str">
        <f>IF(AND(AB23&lt;&gt;"",Z23&lt;&gt;""),AB23-Z23,"")</f>
        <v/>
      </c>
      <c r="AB23" s="87" t="str">
        <f>IF(Model!AB38&lt;&gt;"",Model!AB38,"")</f>
        <v/>
      </c>
      <c r="AC23" s="87" t="str">
        <f>IF(Model!AC38&lt;&gt;"",Model!AC38,"")</f>
        <v/>
      </c>
      <c r="AD23" s="87" t="str">
        <f>IF(AND(AE23&lt;&gt;"",AC23&lt;&gt;""),AE23-AC23,"")</f>
        <v/>
      </c>
      <c r="AE23" s="87" t="str">
        <f>IF(Model!AE38&lt;&gt;"",Model!AE38,"")</f>
        <v/>
      </c>
      <c r="AF23" s="87" t="str">
        <f>IF(Model!AF38&lt;&gt;"",Model!AF38,"")</f>
        <v/>
      </c>
      <c r="AG23" s="87" t="str">
        <f>IF(AND(AH23&lt;&gt;"",AF23&lt;&gt;""),AH23-AF23,"")</f>
        <v/>
      </c>
      <c r="AH23" s="87" t="str">
        <f>IF(Model!AH38&lt;&gt;"",Model!AH38,"")</f>
        <v/>
      </c>
      <c r="AI23" s="87" t="str">
        <f>IF(Model!AI38&lt;&gt;"",Model!AI38,"")</f>
        <v/>
      </c>
      <c r="AJ23" s="87" t="str">
        <f>IF(AND(AK23&lt;&gt;"",AI23&lt;&gt;""),AK23-AI23,"")</f>
        <v/>
      </c>
      <c r="AK23" s="87" t="str">
        <f>IF(Model!AK38&lt;&gt;"",Model!AK38,"")</f>
        <v/>
      </c>
      <c r="AL23" s="87" t="str">
        <f>IF(Model!AL38&lt;&gt;"",Model!AL38,"")</f>
        <v/>
      </c>
      <c r="AM23" s="87" t="str">
        <f>IF(AND(AN23&lt;&gt;"",AL23&lt;&gt;""),AN23-AL23,"")</f>
        <v/>
      </c>
      <c r="AN23" s="87" t="str">
        <f>IF(Model!AN38&lt;&gt;"",Model!AN38,"")</f>
        <v/>
      </c>
      <c r="AO23" s="87" t="str">
        <f>IF(Model!AO38&lt;&gt;"",Model!AO38,"")</f>
        <v/>
      </c>
      <c r="AP23" s="87" t="str">
        <f>IF(AND(AQ23&lt;&gt;"",AO23&lt;&gt;""),AQ23-AO23,"")</f>
        <v/>
      </c>
      <c r="AQ23" s="87" t="str">
        <f>IF(Model!AQ38&lt;&gt;"",Model!AQ38,"")</f>
        <v/>
      </c>
      <c r="AR23" s="87" t="str">
        <f>IF(Model!AR38&lt;&gt;"",Model!AR38,"")</f>
        <v/>
      </c>
      <c r="AS23" s="87" t="str">
        <f>IF(AND(AT23&lt;&gt;"",AR23&lt;&gt;""),AT23-AR23,"")</f>
        <v/>
      </c>
      <c r="AT23" s="87" t="str">
        <f>IF(Model!AT38&lt;&gt;"",Model!AT38,"")</f>
        <v/>
      </c>
      <c r="AU23" s="87" t="str">
        <f>IF(Model!AU38&lt;&gt;"",Model!AU38,"")</f>
        <v/>
      </c>
      <c r="AV23" s="87" t="str">
        <f>IF(AND(AW23&lt;&gt;"",AU23&lt;&gt;""),AW23-AU23,"")</f>
        <v/>
      </c>
      <c r="AW23" s="87">
        <f>IF(Model!AW38&lt;&gt;"",Model!AW38,"")</f>
        <v>0.42799999999999999</v>
      </c>
      <c r="AX23" s="87" t="str">
        <f>IF(Model!AX38&lt;&gt;"",Model!AX38,"")</f>
        <v/>
      </c>
      <c r="AY23" s="87" t="str">
        <f>IF(AND(AZ23&lt;&gt;"",AX23&lt;&gt;""),AZ23-AX23,"")</f>
        <v/>
      </c>
      <c r="AZ23" s="87">
        <v>0</v>
      </c>
      <c r="BA23" s="88"/>
      <c r="BB23" s="87" t="str">
        <f>IF(AND(BC23&lt;&gt;"",BA23&lt;&gt;""),BC23-BA23,"")</f>
        <v/>
      </c>
      <c r="BC23" s="89"/>
      <c r="BD23" s="89"/>
      <c r="BE23" s="87" t="str">
        <f>IF(AND(BF23&lt;&gt;"",BD23&lt;&gt;""),BF23-BD23,"")</f>
        <v/>
      </c>
      <c r="BF23" s="89"/>
      <c r="BG23" s="89"/>
      <c r="BH23" s="87" t="str">
        <f>IF(AND(BI23&lt;&gt;"",BG23&lt;&gt;""),BI23-BG23,"")</f>
        <v/>
      </c>
      <c r="BI23" s="89"/>
      <c r="BJ23" s="89"/>
      <c r="BK23" s="87" t="str">
        <f>IF(AND(BL23&lt;&gt;"",BJ23&lt;&gt;""),BL23-BJ23,"")</f>
        <v/>
      </c>
      <c r="BL23" s="89"/>
      <c r="BM23" s="89"/>
      <c r="BN23" s="87" t="str">
        <f>IF(AND(BO23&lt;&gt;"",BM23&lt;&gt;""),BO23-BM23,"")</f>
        <v/>
      </c>
      <c r="BO23" s="89"/>
      <c r="BP23" s="89"/>
      <c r="BQ23" s="87" t="str">
        <f>IF(AND(BR23&lt;&gt;"",BP23&lt;&gt;""),BR23-BP23,"")</f>
        <v/>
      </c>
      <c r="BR23" s="89"/>
      <c r="BS23" s="89"/>
      <c r="BT23" s="87" t="str">
        <f>IF(AND(BU23&lt;&gt;"",BS23&lt;&gt;""),BU23-BS23,"")</f>
        <v/>
      </c>
      <c r="BU23" s="89"/>
      <c r="BV23" s="89"/>
      <c r="BW23" s="87" t="str">
        <f>IF(AND(BX23&lt;&gt;"",BV23&lt;&gt;""),BX23-BV23,"")</f>
        <v/>
      </c>
      <c r="BX23" s="89"/>
      <c r="BY23" s="89"/>
      <c r="BZ23" s="87" t="str">
        <f>IF(AND(CA23&lt;&gt;"",BY23&lt;&gt;""),CA23-BY23,"")</f>
        <v/>
      </c>
      <c r="CA23" s="89"/>
      <c r="CB23" s="89"/>
      <c r="CC23" s="87" t="str">
        <f>IF(AND(CD23&lt;&gt;"",CB23&lt;&gt;""),CD23-CB23,"")</f>
        <v/>
      </c>
      <c r="CD23" s="89"/>
      <c r="CE23" s="89"/>
      <c r="CF23" s="87" t="str">
        <f>IF(AND(CG23&lt;&gt;"",CE23&lt;&gt;""),CG23-CE23,"")</f>
        <v/>
      </c>
      <c r="CG23" s="89"/>
      <c r="CH23" s="89"/>
      <c r="CI23" s="87" t="str">
        <f>IF(AND(CJ23&lt;&gt;"",CH23&lt;&gt;""),CJ23-CH23,"")</f>
        <v/>
      </c>
      <c r="CJ23" s="89"/>
      <c r="CK23" s="89"/>
      <c r="CL23" s="87" t="str">
        <f>IF(AND(CM23&lt;&gt;"",CK23&lt;&gt;""),CM23-CK23,"")</f>
        <v/>
      </c>
      <c r="CM23" s="89"/>
      <c r="CN23" s="89"/>
      <c r="CO23" s="87" t="str">
        <f>IF(AND(CP23&lt;&gt;"",CN23&lt;&gt;""),CP23-CN23,"")</f>
        <v/>
      </c>
      <c r="CP23" s="89"/>
      <c r="CQ23" s="89"/>
      <c r="CR23" s="87" t="str">
        <f>IF(AND(CS23&lt;&gt;"",CQ23&lt;&gt;""),CS23-CQ23,"")</f>
        <v/>
      </c>
      <c r="CS23" s="89"/>
      <c r="CT23" s="89"/>
      <c r="CU23" s="87" t="str">
        <f>IF(AND(CV23&lt;&gt;"",CT23&lt;&gt;""),CV23-CT23,"")</f>
        <v/>
      </c>
      <c r="CV23" s="89"/>
      <c r="CW23" s="89"/>
      <c r="CX23" s="87" t="str">
        <f>IF(AND(CY23&lt;&gt;"",CW23&lt;&gt;""),CY23-CW23,"")</f>
        <v/>
      </c>
      <c r="CY23" s="89"/>
      <c r="CZ23" s="89"/>
      <c r="DA23" s="87" t="str">
        <f>IF(AND(DB23&lt;&gt;"",CZ23&lt;&gt;""),DB23-CZ23,"")</f>
        <v/>
      </c>
      <c r="DB23" s="89"/>
      <c r="DC23" s="89"/>
      <c r="DD23" s="87" t="str">
        <f>IF(AND(DE23&lt;&gt;"",DC23&lt;&gt;""),DE23-DC23,"")</f>
        <v/>
      </c>
      <c r="DE23" s="141"/>
      <c r="DF23" s="89"/>
      <c r="DG23" s="87" t="str">
        <f>IF(AND(DH23&lt;&gt;"",DF23&lt;&gt;""),DH23-DF23,"")</f>
        <v/>
      </c>
      <c r="DH23" s="141"/>
      <c r="DI23" s="89"/>
      <c r="DJ23" s="87" t="str">
        <f>IF(AND(DK23&lt;&gt;"",DI23&lt;&gt;""),DK23-DI23,"")</f>
        <v/>
      </c>
      <c r="DK23" s="141"/>
      <c r="DL23" s="89"/>
      <c r="DM23" s="87" t="str">
        <f>IF(AND(DN23&lt;&gt;"",DL23&lt;&gt;""),DN23-DL23,"")</f>
        <v/>
      </c>
      <c r="DN23" s="141"/>
      <c r="DO23" s="89"/>
      <c r="DP23" s="87" t="str">
        <f>IF(AND(DQ23&lt;&gt;"",DO23&lt;&gt;""),DQ23-DO23,"")</f>
        <v/>
      </c>
      <c r="DQ23" s="141"/>
      <c r="DR23" s="89"/>
      <c r="DS23" s="87" t="str">
        <f>IF(AND(DT23&lt;&gt;"",DR23&lt;&gt;""),DT23-DR23,"")</f>
        <v/>
      </c>
      <c r="DT23" s="141"/>
      <c r="DU23" s="89"/>
      <c r="DV23" s="87" t="str">
        <f>IF(AND(DW23&lt;&gt;"",DU23&lt;&gt;""),DW23-DU23,"")</f>
        <v/>
      </c>
      <c r="DW23" s="141"/>
      <c r="DX23" s="89"/>
      <c r="DY23" s="87" t="str">
        <f>IF(AND(DZ23&lt;&gt;"",DX23&lt;&gt;""),DZ23-DX23,"")</f>
        <v/>
      </c>
      <c r="DZ23" s="141"/>
      <c r="EA23" s="89"/>
      <c r="EB23" s="87" t="str">
        <f>IF(AND(EC23&lt;&gt;"",EA23&lt;&gt;""),EC23-EA23,"")</f>
        <v/>
      </c>
      <c r="EC23" s="141"/>
      <c r="ED23" s="89"/>
      <c r="EE23" s="87" t="str">
        <f>IF(AND(EF23&lt;&gt;"",ED23&lt;&gt;""),EF23-ED23,"")</f>
        <v/>
      </c>
      <c r="EF23" s="141"/>
      <c r="EG23" s="89"/>
      <c r="EH23" s="87" t="str">
        <f>IF(AND(EI23&lt;&gt;"",EG23&lt;&gt;""),EI23-EG23,"")</f>
        <v/>
      </c>
      <c r="EI23" s="141"/>
      <c r="EJ23" s="89"/>
      <c r="EK23" s="87" t="str">
        <f>IF(AND(EL23&lt;&gt;"",EJ23&lt;&gt;""),EL23-EJ23,"")</f>
        <v/>
      </c>
      <c r="EL23" s="141"/>
      <c r="EM23" s="89"/>
      <c r="EN23" s="87" t="str">
        <f>IF(AND(EO23&lt;&gt;"",EM23&lt;&gt;""),EO23-EM23,"")</f>
        <v/>
      </c>
      <c r="EO23" s="141"/>
      <c r="EP23" s="89"/>
      <c r="EQ23" s="87" t="str">
        <f>IF(AND(ER23&lt;&gt;"",EP23&lt;&gt;""),ER23-EP23,"")</f>
        <v/>
      </c>
      <c r="ER23" s="141"/>
      <c r="ES23" s="89"/>
      <c r="ET23" s="87" t="str">
        <f>IF(AND(EU23&lt;&gt;"",ES23&lt;&gt;""),EU23-ES23,"")</f>
        <v/>
      </c>
      <c r="EU23" s="141"/>
      <c r="EV23" s="89"/>
      <c r="EW23" s="87" t="str">
        <f>IF(AND(EX23&lt;&gt;"",EV23&lt;&gt;""),EX23-EV23,"")</f>
        <v/>
      </c>
      <c r="EX23" s="141"/>
      <c r="EY23" s="89"/>
      <c r="EZ23" s="87" t="str">
        <f>IF(AND(FA23&lt;&gt;"",EY23&lt;&gt;""),FA23-EY23,"")</f>
        <v/>
      </c>
      <c r="FA23" s="141"/>
    </row>
    <row r="24" spans="1:157" ht="13.35" customHeight="1">
      <c r="A24" s="3"/>
      <c r="B24" s="86"/>
      <c r="C24" s="3" t="s">
        <v>476</v>
      </c>
      <c r="D24" s="3"/>
      <c r="E24" s="158" t="str">
        <f>IF(Model!E41&lt;&gt;"",Model!E41,"")</f>
        <v/>
      </c>
      <c r="F24" s="158" t="str">
        <f>IF(AND(G24&lt;&gt;"",E24&lt;&gt;""),G24-E24,"")</f>
        <v/>
      </c>
      <c r="G24" s="158" t="str">
        <f>IF(Model!G41&lt;&gt;"",Model!G41,"")</f>
        <v/>
      </c>
      <c r="H24" s="158" t="str">
        <f>IF(Model!H41&lt;&gt;"",Model!H41,"")</f>
        <v/>
      </c>
      <c r="I24" s="158" t="str">
        <f>IF(AND(J24&lt;&gt;"",H24&lt;&gt;""),J24-H24,"")</f>
        <v/>
      </c>
      <c r="J24" s="158" t="str">
        <f>IF(Model!J41&lt;&gt;"",Model!J41,"")</f>
        <v/>
      </c>
      <c r="K24" s="158" t="str">
        <f>IF(Model!K41&lt;&gt;"",Model!K41,"")</f>
        <v/>
      </c>
      <c r="L24" s="158" t="str">
        <f>IF(AND(M24&lt;&gt;"",K24&lt;&gt;""),M24-K24,"")</f>
        <v/>
      </c>
      <c r="M24" s="158" t="str">
        <f>IF(Model!M41&lt;&gt;"",Model!M41,"")</f>
        <v/>
      </c>
      <c r="N24" s="158" t="str">
        <f>IF(Model!N41&lt;&gt;"",Model!N41,"")</f>
        <v/>
      </c>
      <c r="O24" s="158" t="str">
        <f>IF(AND(P24&lt;&gt;"",N24&lt;&gt;""),P24-N24,"")</f>
        <v/>
      </c>
      <c r="P24" s="158" t="str">
        <f>IF(Model!P41&lt;&gt;"",Model!P41,"")</f>
        <v/>
      </c>
      <c r="Q24" s="158" t="str">
        <f>IF(Model!Q41&lt;&gt;"",Model!Q41,"")</f>
        <v/>
      </c>
      <c r="R24" s="158" t="str">
        <f>IF(AND(S24&lt;&gt;"",Q24&lt;&gt;""),S24-Q24,"")</f>
        <v/>
      </c>
      <c r="S24" s="158" t="str">
        <f>IF(Model!S41&lt;&gt;"",Model!S41,"")</f>
        <v/>
      </c>
      <c r="T24" s="158" t="str">
        <f>IF(Model!T41&lt;&gt;"",Model!T41,"")</f>
        <v/>
      </c>
      <c r="U24" s="158" t="str">
        <f>IF(AND(V24&lt;&gt;"",T24&lt;&gt;""),V24-T24,"")</f>
        <v/>
      </c>
      <c r="V24" s="158" t="str">
        <f>IF(Model!V41&lt;&gt;"",Model!V41,"")</f>
        <v/>
      </c>
      <c r="W24" s="158" t="str">
        <f>IF(Model!W41&lt;&gt;"",Model!W41,"")</f>
        <v/>
      </c>
      <c r="X24" s="158" t="str">
        <f>IF(AND(Y24&lt;&gt;"",W24&lt;&gt;""),Y24-W24,"")</f>
        <v/>
      </c>
      <c r="Y24" s="158" t="str">
        <f>IF(Model!Y41&lt;&gt;"",Model!Y41,"")</f>
        <v/>
      </c>
      <c r="Z24" s="158" t="str">
        <f>IF(Model!Z41&lt;&gt;"",Model!Z41,"")</f>
        <v/>
      </c>
      <c r="AA24" s="158" t="str">
        <f>IF(AND(AB24&lt;&gt;"",Z24&lt;&gt;""),AB24-Z24,"")</f>
        <v/>
      </c>
      <c r="AB24" s="158" t="str">
        <f>IF(Model!AB41&lt;&gt;"",Model!AB41,"")</f>
        <v/>
      </c>
      <c r="AC24" s="158" t="str">
        <f>IF(Model!AC41&lt;&gt;"",Model!AC41,"")</f>
        <v/>
      </c>
      <c r="AD24" s="158" t="str">
        <f>IF(AND(AE24&lt;&gt;"",AC24&lt;&gt;""),AE24-AC24,"")</f>
        <v/>
      </c>
      <c r="AE24" s="158" t="str">
        <f>IF(Model!AE41&lt;&gt;"",Model!AE41,"")</f>
        <v/>
      </c>
      <c r="AF24" s="158" t="str">
        <f>IF(Model!AF41&lt;&gt;"",Model!AF41,"")</f>
        <v/>
      </c>
      <c r="AG24" s="158" t="str">
        <f>IF(AND(AH24&lt;&gt;"",AF24&lt;&gt;""),AH24-AF24,"")</f>
        <v/>
      </c>
      <c r="AH24" s="158" t="str">
        <f>IF(Model!AH41&lt;&gt;"",Model!AH41,"")</f>
        <v/>
      </c>
      <c r="AI24" s="158" t="str">
        <f>IF(Model!AI41&lt;&gt;"",Model!AI41,"")</f>
        <v/>
      </c>
      <c r="AJ24" s="158" t="str">
        <f>IF(AND(AK24&lt;&gt;"",AI24&lt;&gt;""),AK24-AI24,"")</f>
        <v/>
      </c>
      <c r="AK24" s="158" t="str">
        <f>IF(Model!AK41&lt;&gt;"",Model!AK41,"")</f>
        <v/>
      </c>
      <c r="AL24" s="158" t="str">
        <f>IF(Model!AL41&lt;&gt;"",Model!AL41,"")</f>
        <v/>
      </c>
      <c r="AM24" s="158" t="str">
        <f>IF(AND(AN24&lt;&gt;"",AL24&lt;&gt;""),AN24-AL24,"")</f>
        <v/>
      </c>
      <c r="AN24" s="158">
        <f>IF(Model!AN41&lt;&gt;"",Model!AN41,"")</f>
        <v>5.6539999999999999</v>
      </c>
      <c r="AO24" s="158">
        <f>IF(Model!AO41&lt;&gt;"",Model!AO41,"")</f>
        <v>5.3029999999999999</v>
      </c>
      <c r="AP24" s="158">
        <f>IF(AND(AQ24&lt;&gt;"",AO24&lt;&gt;""),AQ24-AO24,"")</f>
        <v>1.7759999999999998</v>
      </c>
      <c r="AQ24" s="158">
        <f>IF(Model!AQ41&lt;&gt;"",Model!AQ41,"")</f>
        <v>7.0789999999999997</v>
      </c>
      <c r="AR24" s="158">
        <f>IF(Model!AR41&lt;&gt;"",Model!AR41,"")</f>
        <v>5.6639999999999997</v>
      </c>
      <c r="AS24" s="158">
        <f>IF(AND(AT24&lt;&gt;"",AR24&lt;&gt;""),AT24-AR24,"")</f>
        <v>2.3080000000000007</v>
      </c>
      <c r="AT24" s="158">
        <f>IF(Model!AT41&lt;&gt;"",Model!AT41,"")</f>
        <v>7.9720000000000004</v>
      </c>
      <c r="AU24" s="158">
        <f>IF(Model!AU41&lt;&gt;"",Model!AU41,"")</f>
        <v>6.0759999999999996</v>
      </c>
      <c r="AV24" s="158">
        <f>IF(AND(AW24&lt;&gt;"",AU24&lt;&gt;""),AW24-AU24,"")</f>
        <v>1.1980000000000004</v>
      </c>
      <c r="AW24" s="158">
        <f>IF(Model!AW41&lt;&gt;"",Model!AW41,"")</f>
        <v>7.274</v>
      </c>
      <c r="AX24" s="158">
        <f>IF(Model!AX41&lt;&gt;"",Model!AX41,"")</f>
        <v>4.6070000000000002</v>
      </c>
      <c r="AY24" s="158">
        <f>IF(AND(AZ24&lt;&gt;"",AX24&lt;&gt;""),AZ24-AX24,"")</f>
        <v>5.2909999999999995</v>
      </c>
      <c r="AZ24" s="158">
        <f>IF(Model!AZ41&lt;&gt;"",Model!AZ41,"")</f>
        <v>9.8979999999999997</v>
      </c>
      <c r="BA24" s="158">
        <v>2.0289999999999999</v>
      </c>
      <c r="BB24" s="158">
        <f>BC24-BA24</f>
        <v>2.0289999999999999</v>
      </c>
      <c r="BC24" s="158">
        <f>BA24*2</f>
        <v>4.0579999999999998</v>
      </c>
      <c r="BD24" s="158">
        <v>0</v>
      </c>
      <c r="BE24" s="158">
        <f>BF24-BD24</f>
        <v>0</v>
      </c>
      <c r="BF24" s="158">
        <v>0</v>
      </c>
      <c r="BG24" s="158">
        <v>0</v>
      </c>
      <c r="BH24" s="158">
        <f>BI24-BG24</f>
        <v>0</v>
      </c>
      <c r="BI24" s="158">
        <v>0</v>
      </c>
      <c r="BJ24" s="158">
        <v>0</v>
      </c>
      <c r="BK24" s="158">
        <f>BL24-BJ24</f>
        <v>0</v>
      </c>
      <c r="BL24" s="158">
        <v>0</v>
      </c>
      <c r="BM24" s="158">
        <v>0</v>
      </c>
      <c r="BN24" s="158">
        <f>BO24-BM24</f>
        <v>0</v>
      </c>
      <c r="BO24" s="158">
        <v>0</v>
      </c>
      <c r="BP24" s="158">
        <v>0</v>
      </c>
      <c r="BQ24" s="158">
        <f>BR24-BP24</f>
        <v>0</v>
      </c>
      <c r="BR24" s="158">
        <v>0</v>
      </c>
      <c r="BS24" s="158">
        <v>0</v>
      </c>
      <c r="BT24" s="158">
        <f>BU24-BS24</f>
        <v>0</v>
      </c>
      <c r="BU24" s="158">
        <v>0</v>
      </c>
      <c r="BV24" s="158">
        <v>0</v>
      </c>
      <c r="BW24" s="158">
        <f>BX24-BV24</f>
        <v>0</v>
      </c>
      <c r="BX24" s="158">
        <v>0</v>
      </c>
      <c r="BY24" s="158">
        <v>0</v>
      </c>
      <c r="BZ24" s="158">
        <f>CA24-BY24</f>
        <v>0</v>
      </c>
      <c r="CA24" s="158">
        <v>0</v>
      </c>
      <c r="CB24" s="158">
        <v>0</v>
      </c>
      <c r="CC24" s="158">
        <f>CD24-CB24</f>
        <v>0</v>
      </c>
      <c r="CD24" s="158">
        <v>0</v>
      </c>
      <c r="CE24" s="158">
        <f>CB24</f>
        <v>0</v>
      </c>
      <c r="CF24" s="158">
        <f>CG24-CE24</f>
        <v>0</v>
      </c>
      <c r="CG24" s="158">
        <f>CE24</f>
        <v>0</v>
      </c>
      <c r="CH24" s="158">
        <f>CE24</f>
        <v>0</v>
      </c>
      <c r="CI24" s="158">
        <f>CJ24-CH24</f>
        <v>0</v>
      </c>
      <c r="CJ24" s="158">
        <f>CH24</f>
        <v>0</v>
      </c>
      <c r="CK24" s="158">
        <f>CH24</f>
        <v>0</v>
      </c>
      <c r="CL24" s="158">
        <f>CM24-CK24</f>
        <v>0</v>
      </c>
      <c r="CM24" s="158">
        <f>CK24</f>
        <v>0</v>
      </c>
      <c r="CN24" s="158">
        <f>CK24</f>
        <v>0</v>
      </c>
      <c r="CO24" s="158">
        <f>CP24-CN24</f>
        <v>0</v>
      </c>
      <c r="CP24" s="158">
        <f>CN24</f>
        <v>0</v>
      </c>
      <c r="CQ24" s="158">
        <f>CN24</f>
        <v>0</v>
      </c>
      <c r="CR24" s="158">
        <f>CS24-CQ24</f>
        <v>0</v>
      </c>
      <c r="CS24" s="158">
        <f>CQ24</f>
        <v>0</v>
      </c>
      <c r="CT24" s="158">
        <f>CQ24</f>
        <v>0</v>
      </c>
      <c r="CU24" s="158">
        <f>CV24-CT24</f>
        <v>0</v>
      </c>
      <c r="CV24" s="158">
        <f>CT24</f>
        <v>0</v>
      </c>
      <c r="CW24" s="158">
        <f>CT24</f>
        <v>0</v>
      </c>
      <c r="CX24" s="158">
        <f>CY24-CW24</f>
        <v>0</v>
      </c>
      <c r="CY24" s="158">
        <f>CW24</f>
        <v>0</v>
      </c>
      <c r="CZ24" s="158">
        <f>CW24</f>
        <v>0</v>
      </c>
      <c r="DA24" s="158">
        <f>DB24-CZ24</f>
        <v>0</v>
      </c>
      <c r="DB24" s="158">
        <f>CZ24</f>
        <v>0</v>
      </c>
      <c r="DC24" s="158">
        <f>CZ24</f>
        <v>0</v>
      </c>
      <c r="DD24" s="158">
        <f>DE24-DC24</f>
        <v>0</v>
      </c>
      <c r="DE24" s="152">
        <f>DC24</f>
        <v>0</v>
      </c>
      <c r="DF24" s="158">
        <f>DC24</f>
        <v>0</v>
      </c>
      <c r="DG24" s="158">
        <f>DH24-DF24</f>
        <v>0</v>
      </c>
      <c r="DH24" s="152">
        <f>DF24</f>
        <v>0</v>
      </c>
      <c r="DI24" s="158">
        <f>DF24</f>
        <v>0</v>
      </c>
      <c r="DJ24" s="158">
        <f>DK24-DI24</f>
        <v>0</v>
      </c>
      <c r="DK24" s="152">
        <f>DI24</f>
        <v>0</v>
      </c>
      <c r="DL24" s="158">
        <f>DI24</f>
        <v>0</v>
      </c>
      <c r="DM24" s="158">
        <f>DN24-DL24</f>
        <v>0</v>
      </c>
      <c r="DN24" s="152">
        <f>DL24</f>
        <v>0</v>
      </c>
      <c r="DO24" s="158">
        <f>DL24</f>
        <v>0</v>
      </c>
      <c r="DP24" s="158">
        <f>DQ24-DO24</f>
        <v>0</v>
      </c>
      <c r="DQ24" s="152">
        <f>DO24</f>
        <v>0</v>
      </c>
      <c r="DR24" s="158">
        <f>DO24</f>
        <v>0</v>
      </c>
      <c r="DS24" s="158">
        <f>DT24-DR24</f>
        <v>0</v>
      </c>
      <c r="DT24" s="152">
        <f>DR24</f>
        <v>0</v>
      </c>
      <c r="DU24" s="158">
        <f>DR24</f>
        <v>0</v>
      </c>
      <c r="DV24" s="158">
        <f>DW24-DU24</f>
        <v>0</v>
      </c>
      <c r="DW24" s="152">
        <f>DU24</f>
        <v>0</v>
      </c>
      <c r="DX24" s="158">
        <f>DU24</f>
        <v>0</v>
      </c>
      <c r="DY24" s="158">
        <f>DZ24-DX24</f>
        <v>0</v>
      </c>
      <c r="DZ24" s="152">
        <f>DX24</f>
        <v>0</v>
      </c>
      <c r="EA24" s="158">
        <f>DX24</f>
        <v>0</v>
      </c>
      <c r="EB24" s="158">
        <f>EC24-EA24</f>
        <v>0</v>
      </c>
      <c r="EC24" s="152">
        <f>EA24</f>
        <v>0</v>
      </c>
      <c r="ED24" s="158">
        <f>EA24</f>
        <v>0</v>
      </c>
      <c r="EE24" s="158">
        <f>EF24-ED24</f>
        <v>0</v>
      </c>
      <c r="EF24" s="152">
        <f>ED24</f>
        <v>0</v>
      </c>
      <c r="EG24" s="158">
        <f>ED24</f>
        <v>0</v>
      </c>
      <c r="EH24" s="158">
        <f>EI24-EG24</f>
        <v>0</v>
      </c>
      <c r="EI24" s="152">
        <f>EG24</f>
        <v>0</v>
      </c>
      <c r="EJ24" s="158">
        <f>EG24</f>
        <v>0</v>
      </c>
      <c r="EK24" s="158">
        <f>EL24-EJ24</f>
        <v>0</v>
      </c>
      <c r="EL24" s="152">
        <f>EJ24</f>
        <v>0</v>
      </c>
      <c r="EM24" s="158">
        <f>EJ24</f>
        <v>0</v>
      </c>
      <c r="EN24" s="158">
        <f>EO24-EM24</f>
        <v>0</v>
      </c>
      <c r="EO24" s="152">
        <f>EM24</f>
        <v>0</v>
      </c>
      <c r="EP24" s="158">
        <f>EM24</f>
        <v>0</v>
      </c>
      <c r="EQ24" s="158">
        <f>ER24-EP24</f>
        <v>0</v>
      </c>
      <c r="ER24" s="152">
        <f>EP24</f>
        <v>0</v>
      </c>
      <c r="ES24" s="158">
        <f>EP24</f>
        <v>0</v>
      </c>
      <c r="ET24" s="158">
        <f>EU24-ES24</f>
        <v>0</v>
      </c>
      <c r="EU24" s="152">
        <f>ES24</f>
        <v>0</v>
      </c>
      <c r="EV24" s="158">
        <f>ES24</f>
        <v>0</v>
      </c>
      <c r="EW24" s="158">
        <f>EX24-EV24</f>
        <v>0</v>
      </c>
      <c r="EX24" s="152">
        <f>EV24</f>
        <v>0</v>
      </c>
      <c r="EY24" s="158">
        <f>EV24</f>
        <v>0</v>
      </c>
      <c r="EZ24" s="158">
        <f>FA24-EY24</f>
        <v>0</v>
      </c>
      <c r="FA24" s="152">
        <f>EY24</f>
        <v>0</v>
      </c>
    </row>
    <row r="25" spans="1:157" ht="13.35" customHeight="1">
      <c r="A25" s="3"/>
      <c r="B25" s="5" t="s">
        <v>477</v>
      </c>
      <c r="C25" s="5"/>
      <c r="D25" s="5"/>
      <c r="E25" s="116"/>
      <c r="F25" s="116"/>
      <c r="G25" s="116"/>
      <c r="H25" s="116"/>
      <c r="I25" s="116"/>
      <c r="J25" s="116"/>
      <c r="K25" s="116"/>
      <c r="L25" s="116"/>
      <c r="M25" s="116"/>
      <c r="N25" s="116"/>
      <c r="O25" s="116"/>
      <c r="P25" s="116"/>
      <c r="Q25" s="116"/>
      <c r="R25" s="116"/>
      <c r="S25" s="116"/>
      <c r="T25" s="116"/>
      <c r="U25" s="116"/>
      <c r="V25" s="116"/>
      <c r="W25" s="116"/>
      <c r="X25" s="116"/>
      <c r="Y25" s="116"/>
      <c r="Z25" s="116"/>
      <c r="AA25" s="116"/>
      <c r="AB25" s="116"/>
      <c r="AC25" s="116"/>
      <c r="AD25" s="116"/>
      <c r="AE25" s="116"/>
      <c r="AF25" s="116"/>
      <c r="AG25" s="116"/>
      <c r="AH25" s="116"/>
      <c r="AI25" s="116"/>
      <c r="AJ25" s="116"/>
      <c r="AK25" s="116"/>
      <c r="AL25" s="116"/>
      <c r="AM25" s="116"/>
      <c r="AN25" s="116"/>
      <c r="AO25" s="116"/>
      <c r="AP25" s="116"/>
      <c r="AQ25" s="116"/>
      <c r="AR25" s="116"/>
      <c r="AS25" s="116"/>
      <c r="AT25" s="116"/>
      <c r="AU25" s="116"/>
      <c r="AV25" s="116"/>
      <c r="AW25" s="116"/>
      <c r="AX25" s="116"/>
      <c r="AY25" s="116"/>
      <c r="AZ25" s="116"/>
      <c r="BA25" s="158"/>
      <c r="BB25" s="158"/>
      <c r="BC25" s="116"/>
      <c r="BD25" s="116"/>
      <c r="BE25" s="158"/>
      <c r="BF25" s="116"/>
      <c r="BG25" s="116"/>
      <c r="BH25" s="158"/>
      <c r="BI25" s="116"/>
      <c r="BJ25" s="116"/>
      <c r="BK25" s="158"/>
      <c r="BL25" s="116"/>
      <c r="BM25" s="116"/>
      <c r="BN25" s="158"/>
      <c r="BO25" s="116"/>
      <c r="BP25" s="116"/>
      <c r="BQ25" s="158"/>
      <c r="BR25" s="116"/>
      <c r="BS25" s="116"/>
      <c r="BT25" s="158"/>
      <c r="BU25" s="116"/>
      <c r="BV25" s="116"/>
      <c r="BW25" s="158"/>
      <c r="BX25" s="116"/>
      <c r="BY25" s="116"/>
      <c r="BZ25" s="158"/>
      <c r="CA25" s="116"/>
      <c r="CB25" s="116"/>
      <c r="CC25" s="158"/>
      <c r="CD25" s="116"/>
      <c r="CE25" s="116"/>
      <c r="CF25" s="158"/>
      <c r="CG25" s="116"/>
      <c r="CH25" s="116"/>
      <c r="CI25" s="158"/>
      <c r="CJ25" s="116"/>
      <c r="CK25" s="116"/>
      <c r="CL25" s="158"/>
      <c r="CM25" s="116"/>
      <c r="CN25" s="116"/>
      <c r="CO25" s="158"/>
      <c r="CP25" s="116"/>
      <c r="CQ25" s="116"/>
      <c r="CR25" s="158"/>
      <c r="CS25" s="116"/>
      <c r="CT25" s="116"/>
      <c r="CU25" s="158"/>
      <c r="CV25" s="116"/>
      <c r="CW25" s="116"/>
      <c r="CX25" s="158"/>
      <c r="CY25" s="116"/>
      <c r="CZ25" s="116"/>
      <c r="DA25" s="158"/>
      <c r="DB25" s="116"/>
      <c r="DC25" s="116"/>
      <c r="DD25" s="158"/>
      <c r="DE25" s="152"/>
      <c r="DF25" s="116"/>
      <c r="DG25" s="158"/>
      <c r="DH25" s="152"/>
      <c r="DI25" s="116"/>
      <c r="DJ25" s="158"/>
      <c r="DK25" s="152"/>
      <c r="DL25" s="116"/>
      <c r="DM25" s="158"/>
      <c r="DN25" s="152"/>
      <c r="DO25" s="116"/>
      <c r="DP25" s="158"/>
      <c r="DQ25" s="152"/>
      <c r="DR25" s="116"/>
      <c r="DS25" s="158"/>
      <c r="DT25" s="152"/>
      <c r="DU25" s="116"/>
      <c r="DV25" s="158"/>
      <c r="DW25" s="152"/>
      <c r="DX25" s="116"/>
      <c r="DY25" s="158"/>
      <c r="DZ25" s="152"/>
      <c r="EA25" s="116"/>
      <c r="EB25" s="158"/>
      <c r="EC25" s="152"/>
      <c r="ED25" s="116"/>
      <c r="EE25" s="158"/>
      <c r="EF25" s="152"/>
      <c r="EG25" s="116"/>
      <c r="EH25" s="158"/>
      <c r="EI25" s="152"/>
      <c r="EJ25" s="116"/>
      <c r="EK25" s="158"/>
      <c r="EL25" s="152"/>
      <c r="EM25" s="116"/>
      <c r="EN25" s="158"/>
      <c r="EO25" s="152"/>
      <c r="EP25" s="116"/>
      <c r="EQ25" s="158"/>
      <c r="ER25" s="152"/>
      <c r="ES25" s="116"/>
      <c r="ET25" s="158"/>
      <c r="EU25" s="152"/>
      <c r="EV25" s="116"/>
      <c r="EW25" s="158"/>
      <c r="EX25" s="152"/>
      <c r="EY25" s="116"/>
      <c r="EZ25" s="158"/>
      <c r="FA25" s="152"/>
    </row>
    <row r="26" spans="1:157" ht="13.35" customHeight="1">
      <c r="A26" s="3"/>
      <c r="B26" s="4" t="s">
        <v>478</v>
      </c>
      <c r="C26" s="4"/>
      <c r="D26" s="3"/>
      <c r="E26" s="158">
        <v>0</v>
      </c>
      <c r="F26" s="158">
        <v>0</v>
      </c>
      <c r="G26" s="116"/>
      <c r="H26" s="116"/>
      <c r="I26" s="116"/>
      <c r="J26" s="116"/>
      <c r="K26" s="116"/>
      <c r="L26" s="116"/>
      <c r="M26" s="116"/>
      <c r="N26" s="116"/>
      <c r="O26" s="116"/>
      <c r="P26" s="116"/>
      <c r="Q26" s="116"/>
      <c r="R26" s="116"/>
      <c r="S26" s="116"/>
      <c r="T26" s="116"/>
      <c r="U26" s="116"/>
      <c r="V26" s="116"/>
      <c r="W26" s="116"/>
      <c r="X26" s="116"/>
      <c r="Y26" s="116"/>
      <c r="Z26" s="116"/>
      <c r="AA26" s="116"/>
      <c r="AB26" s="116"/>
      <c r="AC26" s="116"/>
      <c r="AD26" s="116"/>
      <c r="AE26" s="116"/>
      <c r="AF26" s="116"/>
      <c r="AG26" s="116"/>
      <c r="AH26" s="116"/>
      <c r="AI26" s="116"/>
      <c r="AJ26" s="116"/>
      <c r="AK26" s="116"/>
      <c r="AL26" s="158">
        <f>IF(Model!AL57&lt;&gt;"",Model!AL57,"")</f>
        <v>0</v>
      </c>
      <c r="AM26" s="158">
        <f>IF(Model!AM57&lt;&gt;"",Model!AM57,"")</f>
        <v>29.35</v>
      </c>
      <c r="AN26" s="158">
        <f>IF(Model!AN57&lt;&gt;"",Model!AN57,"")</f>
        <v>29.35</v>
      </c>
      <c r="AO26" s="158">
        <f>IF(Model!AO57&lt;&gt;"",Model!AO57,"")</f>
        <v>0</v>
      </c>
      <c r="AP26" s="158">
        <f>IF(Model!AP57&lt;&gt;"",Model!AP57,"")</f>
        <v>29.992000000000001</v>
      </c>
      <c r="AQ26" s="158">
        <f>IF(Model!AQ57&lt;&gt;"",Model!AQ57,"")</f>
        <v>29.992000000000001</v>
      </c>
      <c r="AR26" s="158">
        <f>IF(Model!AR57&lt;&gt;"",Model!AR57,"")</f>
        <v>0</v>
      </c>
      <c r="AS26" s="158">
        <f>IF(Model!AS57&lt;&gt;"",Model!AS57,"")</f>
        <v>31.433999999999997</v>
      </c>
      <c r="AT26" s="158">
        <f>IF(Model!AT57&lt;&gt;"",Model!AT57,"")</f>
        <v>31.433999999999997</v>
      </c>
      <c r="AU26" s="158">
        <f>IF(Model!AU57&lt;&gt;"",Model!AU57,"")</f>
        <v>16.759</v>
      </c>
      <c r="AV26" s="158">
        <f>IF(Model!AV57&lt;&gt;"",Model!AV57,"")</f>
        <v>16.113</v>
      </c>
      <c r="AW26" s="158">
        <f>IF(Model!AW57&lt;&gt;"",Model!AW57,"")</f>
        <v>32.872</v>
      </c>
      <c r="AX26" s="158">
        <f>IF(Model!AX57&lt;&gt;"",Model!AX57,"")</f>
        <v>2</v>
      </c>
      <c r="AY26" s="158">
        <f>IF(Model!AY57&lt;&gt;"",Model!AY57,"")</f>
        <v>31.372</v>
      </c>
      <c r="AZ26" s="158">
        <f>IF(Model!AZ57&lt;&gt;"",Model!AZ57,"")</f>
        <v>33.372</v>
      </c>
      <c r="BA26" s="158">
        <f>(AZ26+Model!BA188/12.5)/2</f>
        <v>15.59456</v>
      </c>
      <c r="BB26" s="158">
        <f>BC26-BA26</f>
        <v>23.476266666666668</v>
      </c>
      <c r="BC26" s="158">
        <f>AZ26+((Model!BC188/12)*-1)</f>
        <v>39.070826666666669</v>
      </c>
      <c r="BD26" s="158">
        <f>((BC26+Model!BD188/12.5)/2)+BD31</f>
        <v>29.680653333333336</v>
      </c>
      <c r="BE26" s="158">
        <f>BF26-BD26</f>
        <v>26.685346666666664</v>
      </c>
      <c r="BF26" s="158">
        <v>56.366</v>
      </c>
      <c r="BG26" s="158">
        <v>33.088999999999999</v>
      </c>
      <c r="BH26" s="158">
        <f>BI26-BG26</f>
        <v>35.167975000000013</v>
      </c>
      <c r="BI26" s="158">
        <f>(2*33.2-(Model!BI188)/40)</f>
        <v>68.256975000000011</v>
      </c>
      <c r="BJ26" s="158">
        <v>34.088999999999999</v>
      </c>
      <c r="BK26" s="158">
        <f>BL26-BJ26</f>
        <v>34.944575</v>
      </c>
      <c r="BL26" s="158">
        <f>(2*33.2-(Model!BL188)/40)</f>
        <v>69.033574999999999</v>
      </c>
      <c r="BM26" s="158">
        <f>Segment!BM91</f>
        <v>0</v>
      </c>
      <c r="BN26" s="158">
        <f>Segment!BN91</f>
        <v>0</v>
      </c>
      <c r="BO26" s="158">
        <f>SUM(BM26:BN26)</f>
        <v>0</v>
      </c>
      <c r="BP26" s="158">
        <f>Segment!BP91</f>
        <v>0</v>
      </c>
      <c r="BQ26" s="158">
        <f>Segment!BQ91</f>
        <v>0</v>
      </c>
      <c r="BR26" s="158">
        <f>SUM(BP26:BQ26)</f>
        <v>0</v>
      </c>
      <c r="BS26" s="158">
        <f>Segment!BS91</f>
        <v>0</v>
      </c>
      <c r="BT26" s="158">
        <f>Segment!BT91</f>
        <v>0</v>
      </c>
      <c r="BU26" s="158">
        <f>SUM(BS26:BT26)</f>
        <v>0</v>
      </c>
      <c r="BV26" s="158">
        <f>Segment!BV91</f>
        <v>56.896958918170711</v>
      </c>
      <c r="BW26" s="158">
        <f>Segment!BW91</f>
        <v>47.364953535449217</v>
      </c>
      <c r="BX26" s="158">
        <f>SUM(BV26:BW26)</f>
        <v>104.26191245361993</v>
      </c>
      <c r="BY26" s="158">
        <f>Segment!BY91</f>
        <v>63.585059975429189</v>
      </c>
      <c r="BZ26" s="158">
        <f>Segment!BZ91</f>
        <v>45.512020236216358</v>
      </c>
      <c r="CA26" s="158">
        <f>SUM(BY26:BZ26)</f>
        <v>109.09708021164555</v>
      </c>
      <c r="CB26" s="158">
        <f>Segment!CB91</f>
        <v>55.34370954725469</v>
      </c>
      <c r="CC26" s="158">
        <f>Segment!CC91</f>
        <v>55.874091035778342</v>
      </c>
      <c r="CD26" s="158">
        <f>SUM(CB26:CC26)</f>
        <v>111.21780058303304</v>
      </c>
      <c r="CE26" s="158">
        <f>Segment!CE91</f>
        <v>66.850979806289061</v>
      </c>
      <c r="CF26" s="158">
        <f>Segment!CF91</f>
        <v>71.868020193710947</v>
      </c>
      <c r="CG26" s="158">
        <f>SUM(CE26:CF26)</f>
        <v>138.71899999999999</v>
      </c>
      <c r="CH26" s="158">
        <f>Segment!CH91</f>
        <v>76.462787193121144</v>
      </c>
      <c r="CI26" s="158">
        <f>Segment!CI91</f>
        <v>60.502276304628715</v>
      </c>
      <c r="CJ26" s="158">
        <f>SUM(CH26:CI26)</f>
        <v>136.96506349774987</v>
      </c>
      <c r="CK26" s="158">
        <f>Segment!CK91</f>
        <v>75.601535375718413</v>
      </c>
      <c r="CL26" s="158">
        <f>Segment!CL91</f>
        <v>79.453772814522523</v>
      </c>
      <c r="CM26" s="158">
        <f>SUM(CK26:CL26)</f>
        <v>155.05530819024094</v>
      </c>
      <c r="CN26" s="158">
        <f>Segment!CN91</f>
        <v>73</v>
      </c>
      <c r="CO26" s="158">
        <f>Segment!CO91</f>
        <v>79.999999999999858</v>
      </c>
      <c r="CP26" s="158">
        <f>SUM(CN26:CO26)</f>
        <v>152.99999999999986</v>
      </c>
      <c r="CQ26" s="158">
        <f>Segment!CQ91</f>
        <v>72.19999999999996</v>
      </c>
      <c r="CR26" s="158">
        <f>Segment!CR91</f>
        <v>72.900000000000048</v>
      </c>
      <c r="CS26" s="158">
        <f>SUM(CQ26:CR26)</f>
        <v>145.10000000000002</v>
      </c>
      <c r="CT26" s="158">
        <f>Segment!CT91</f>
        <v>87.699999999999932</v>
      </c>
      <c r="CU26" s="158">
        <f>Segment!CU91</f>
        <v>87.500000000000085</v>
      </c>
      <c r="CV26" s="158">
        <f>SUM(CT26:CU26)</f>
        <v>175.20000000000002</v>
      </c>
      <c r="CW26" s="158">
        <f>Segment!CW91</f>
        <v>100.7</v>
      </c>
      <c r="CX26" s="158">
        <f>Segment!CX91</f>
        <v>106.55728683243413</v>
      </c>
      <c r="CY26" s="158">
        <f>SUM(CW26:CX26)</f>
        <v>207.25728683243415</v>
      </c>
      <c r="CZ26" s="158">
        <f>Segment!CZ91</f>
        <v>114.2</v>
      </c>
      <c r="DA26" s="158">
        <f>Segment!DA91</f>
        <v>124.69999999999999</v>
      </c>
      <c r="DB26" s="158">
        <f>SUM(CZ26:DA26)</f>
        <v>238.89999999999998</v>
      </c>
      <c r="DC26" s="158">
        <f>Segment!DC91</f>
        <v>129.70000000000002</v>
      </c>
      <c r="DD26" s="158">
        <f>Segment!DD91</f>
        <v>143.39999999999998</v>
      </c>
      <c r="DE26" s="152">
        <f>SUM(DC26:DD26)</f>
        <v>273.10000000000002</v>
      </c>
      <c r="DF26" s="158">
        <f>Segment!DF91</f>
        <v>168.31362052371691</v>
      </c>
      <c r="DG26" s="158">
        <f>Segment!DG91</f>
        <v>179.39376498653402</v>
      </c>
      <c r="DH26" s="152">
        <f>SUM(DF26:DG26)</f>
        <v>347.7073855102509</v>
      </c>
      <c r="DI26" s="158">
        <f>Segment!DI91</f>
        <v>199.7</v>
      </c>
      <c r="DJ26" s="158">
        <f>Segment!DJ91</f>
        <v>199.7</v>
      </c>
      <c r="DK26" s="152">
        <f>SUM(DI26:DJ26)</f>
        <v>399.4</v>
      </c>
      <c r="DL26" s="158">
        <f>Segment!DL91</f>
        <v>217</v>
      </c>
      <c r="DM26" s="158">
        <f>Segment!DM91</f>
        <v>228.7</v>
      </c>
      <c r="DN26" s="152">
        <f>SUM(DL26:DM26)</f>
        <v>445.7</v>
      </c>
      <c r="DO26" s="158">
        <f>Segment!DO91</f>
        <v>239.9</v>
      </c>
      <c r="DP26" s="158">
        <f>Segment!DP91</f>
        <v>250.1</v>
      </c>
      <c r="DQ26" s="152">
        <f>SUM(DO26:DP26)</f>
        <v>490</v>
      </c>
      <c r="DR26" s="158">
        <f>Segment!DR91</f>
        <v>247</v>
      </c>
      <c r="DS26" s="158">
        <f>Segment!DS91</f>
        <v>281</v>
      </c>
      <c r="DT26" s="152">
        <f>SUM(DR26:DS26)</f>
        <v>528</v>
      </c>
      <c r="DU26" s="158">
        <f>Segment!DU91</f>
        <v>267</v>
      </c>
      <c r="DV26" s="158">
        <f>Segment!DV91</f>
        <v>282</v>
      </c>
      <c r="DW26" s="152">
        <f>SUM(DU26:DV26)</f>
        <v>549</v>
      </c>
      <c r="DX26" s="158">
        <f>Segment!DX91</f>
        <v>276</v>
      </c>
      <c r="DY26" s="158">
        <f>Segment!DY91</f>
        <v>251.89219999303535</v>
      </c>
      <c r="DZ26" s="152">
        <f>SUM(DX26:DY26)</f>
        <v>527.89219999303532</v>
      </c>
      <c r="EA26" s="158">
        <f>Segment!EA91</f>
        <v>302.53825280655246</v>
      </c>
      <c r="EB26" s="158">
        <f>Segment!EB91</f>
        <v>269.19087981002394</v>
      </c>
      <c r="EC26" s="152">
        <f>SUM(EA26:EB26)</f>
        <v>571.72913261657641</v>
      </c>
      <c r="ED26" s="158">
        <f>Segment!ED91</f>
        <v>339.09138855132534</v>
      </c>
      <c r="EE26" s="158">
        <f>Segment!EE91</f>
        <v>306.88795438595531</v>
      </c>
      <c r="EF26" s="152">
        <f>SUM(ED26:EE26)</f>
        <v>645.97934293728065</v>
      </c>
      <c r="EG26" s="158">
        <f>Segment!EG91</f>
        <v>382.83501427535566</v>
      </c>
      <c r="EH26" s="158">
        <f>Segment!EH91</f>
        <v>349.17907190084952</v>
      </c>
      <c r="EI26" s="152">
        <f>SUM(EG26:EH26)</f>
        <v>732.01408617620518</v>
      </c>
      <c r="EJ26" s="158">
        <f>Segment!EJ91</f>
        <v>405.49549592619536</v>
      </c>
      <c r="EK26" s="158">
        <f>Segment!EK91</f>
        <v>372.94479712638025</v>
      </c>
      <c r="EL26" s="152">
        <f>SUM(EJ26:EK26)</f>
        <v>778.44029305257561</v>
      </c>
      <c r="EM26" s="158">
        <f>Segment!EM91</f>
        <v>427.73324771947279</v>
      </c>
      <c r="EN26" s="158">
        <f>Segment!EN91</f>
        <v>393.85061412652885</v>
      </c>
      <c r="EO26" s="152">
        <f>SUM(EM26:EN26)</f>
        <v>821.58386184600158</v>
      </c>
      <c r="EP26" s="158">
        <f>Segment!EP91</f>
        <v>450.87696343698889</v>
      </c>
      <c r="EQ26" s="158">
        <f>Segment!EQ91</f>
        <v>417.1696609445666</v>
      </c>
      <c r="ER26" s="152">
        <f>SUM(EP26:EQ26)</f>
        <v>868.04662438155549</v>
      </c>
      <c r="ES26" s="158">
        <f>Segment!ES91</f>
        <v>475.91304457322701</v>
      </c>
      <c r="ET26" s="158">
        <f>Segment!ET91</f>
        <v>441.99384163574229</v>
      </c>
      <c r="EU26" s="152">
        <f>SUM(ES26:ET26)</f>
        <v>917.90688620896935</v>
      </c>
      <c r="EV26" s="158">
        <f>Segment!EV91</f>
        <v>502.50245625331064</v>
      </c>
      <c r="EW26" s="158">
        <f>Segment!EW91</f>
        <v>468.42362247969879</v>
      </c>
      <c r="EX26" s="152">
        <f>SUM(EV26:EW26)</f>
        <v>970.92607873300949</v>
      </c>
      <c r="EY26" s="158">
        <f>Segment!EY91</f>
        <v>530.74697676518372</v>
      </c>
      <c r="EZ26" s="158">
        <f>Segment!EZ91</f>
        <v>496.56633736339785</v>
      </c>
      <c r="FA26" s="152">
        <f>SUM(EY26:EZ26)</f>
        <v>1027.3133141285816</v>
      </c>
    </row>
    <row r="27" spans="1:157" ht="13.35" customHeight="1">
      <c r="A27" s="3"/>
      <c r="B27" s="4" t="s">
        <v>154</v>
      </c>
      <c r="C27" s="4"/>
      <c r="D27" s="3"/>
      <c r="E27" s="158">
        <v>0</v>
      </c>
      <c r="F27" s="158">
        <v>0</v>
      </c>
      <c r="G27" s="116"/>
      <c r="H27" s="116"/>
      <c r="I27" s="116"/>
      <c r="J27" s="116"/>
      <c r="K27" s="116"/>
      <c r="L27" s="116"/>
      <c r="M27" s="116"/>
      <c r="N27" s="116"/>
      <c r="O27" s="116"/>
      <c r="P27" s="116"/>
      <c r="Q27" s="116"/>
      <c r="R27" s="116"/>
      <c r="S27" s="116"/>
      <c r="T27" s="116"/>
      <c r="U27" s="116"/>
      <c r="V27" s="116"/>
      <c r="W27" s="116"/>
      <c r="X27" s="116"/>
      <c r="Y27" s="116"/>
      <c r="Z27" s="116"/>
      <c r="AA27" s="116"/>
      <c r="AB27" s="116"/>
      <c r="AC27" s="116"/>
      <c r="AD27" s="116"/>
      <c r="AE27" s="116"/>
      <c r="AF27" s="116"/>
      <c r="AG27" s="116"/>
      <c r="AH27" s="116"/>
      <c r="AI27" s="116"/>
      <c r="AJ27" s="116"/>
      <c r="AK27" s="116"/>
      <c r="AL27" s="158">
        <f>IF(Model!AL63&lt;&gt;"",Model!AL63,"")</f>
        <v>0</v>
      </c>
      <c r="AM27" s="158">
        <f>IF(Model!AM63&lt;&gt;"",Model!AM63,"")</f>
        <v>0.221</v>
      </c>
      <c r="AN27" s="158">
        <f>IF(Model!AN63&lt;&gt;"",Model!AN63,"")</f>
        <v>0.221</v>
      </c>
      <c r="AO27" s="158">
        <f>IF(Model!AO63&lt;&gt;"",Model!AO63,"")</f>
        <v>0</v>
      </c>
      <c r="AP27" s="158">
        <f>IF(Model!AP63&lt;&gt;"",Model!AP63,"")</f>
        <v>0.64399999999999991</v>
      </c>
      <c r="AQ27" s="158">
        <f>IF(Model!AQ63&lt;&gt;"",Model!AQ63,"")</f>
        <v>0.64399999999999991</v>
      </c>
      <c r="AR27" s="158">
        <f>IF(Model!AR63&lt;&gt;"",Model!AR63,"")</f>
        <v>0</v>
      </c>
      <c r="AS27" s="158">
        <f>IF(Model!AS63&lt;&gt;"",Model!AS63,"")</f>
        <v>0.192</v>
      </c>
      <c r="AT27" s="158">
        <f>IF(Model!AT63&lt;&gt;"",Model!AT63,"")</f>
        <v>0.192</v>
      </c>
      <c r="AU27" s="158">
        <f>IF(Model!AU63&lt;&gt;"",Model!AU63,"")</f>
        <v>0</v>
      </c>
      <c r="AV27" s="158">
        <f>IF(Model!AV63&lt;&gt;"",Model!AV63,"")</f>
        <v>0.27500000000000002</v>
      </c>
      <c r="AW27" s="158">
        <f>IF(Model!AW63&lt;&gt;"",Model!AW63,"")</f>
        <v>0.27500000000000002</v>
      </c>
      <c r="AX27" s="158">
        <f>IF(Model!AX63&lt;&gt;"",Model!AX63,"")</f>
        <v>0</v>
      </c>
      <c r="AY27" s="158">
        <f>IF(Model!AY63&lt;&gt;"",Model!AY63,"")</f>
        <v>0.312</v>
      </c>
      <c r="AZ27" s="158">
        <f>IF(Model!AZ63&lt;&gt;"",Model!AZ63,"")</f>
        <v>0.312</v>
      </c>
      <c r="BA27" s="158">
        <f>IF(Model!BA63&lt;&gt;"",Model!BA63,"")</f>
        <v>0</v>
      </c>
      <c r="BB27" s="158">
        <f>IF(Model!BB63&lt;&gt;"",Model!BB63,"")</f>
        <v>0.40300000000000002</v>
      </c>
      <c r="BC27" s="158">
        <f>IF(Model!BC63&lt;&gt;"",Model!BC63,"")</f>
        <v>0.40300000000000002</v>
      </c>
      <c r="BD27" s="158">
        <f>IF(Model!BD63&lt;&gt;"",Model!BD63,"")</f>
        <v>0</v>
      </c>
      <c r="BE27" s="158">
        <f>IF(Model!BE63&lt;&gt;"",Model!BE63,"")</f>
        <v>0</v>
      </c>
      <c r="BF27" s="158">
        <f>IF(Model!BF63&lt;&gt;"",Model!BF63,"")</f>
        <v>0</v>
      </c>
      <c r="BG27" s="158">
        <f>IF(Model!BG63&lt;&gt;"",Model!BG63,"")</f>
        <v>0</v>
      </c>
      <c r="BH27" s="158">
        <f>IF(Model!BH63&lt;&gt;"",Model!BH63,"")</f>
        <v>4.242</v>
      </c>
      <c r="BI27" s="158">
        <f>IF(Model!BI63&lt;&gt;"",Model!BI63,"")</f>
        <v>4.242</v>
      </c>
      <c r="BJ27" s="158">
        <f>IF(Model!BJ63&lt;&gt;"",Model!BJ63,"")</f>
        <v>3.0010000000000003</v>
      </c>
      <c r="BK27" s="158">
        <f>IF(Model!BK63&lt;&gt;"",Model!BK63,"")</f>
        <v>2.9259999999999993</v>
      </c>
      <c r="BL27" s="158">
        <f>IF(Model!BL63&lt;&gt;"",Model!BL63,"")</f>
        <v>5.9269999999999996</v>
      </c>
      <c r="BM27" s="158">
        <f>Segment!BM89</f>
        <v>0</v>
      </c>
      <c r="BN27" s="158">
        <f>Segment!BN89</f>
        <v>0</v>
      </c>
      <c r="BO27" s="158">
        <f>SUM(BM27:BN27)</f>
        <v>0</v>
      </c>
      <c r="BP27" s="158">
        <f>Segment!BP89</f>
        <v>0</v>
      </c>
      <c r="BQ27" s="158">
        <f>Segment!BQ89</f>
        <v>0</v>
      </c>
      <c r="BR27" s="158">
        <f>SUM(BP27:BQ27)</f>
        <v>0</v>
      </c>
      <c r="BS27" s="158">
        <f>Segment!BS89</f>
        <v>0</v>
      </c>
      <c r="BT27" s="158">
        <f>Segment!BT89</f>
        <v>0</v>
      </c>
      <c r="BU27" s="158">
        <f>SUM(BS27:BT27)</f>
        <v>0</v>
      </c>
      <c r="BV27" s="158">
        <f>Segment!BV89</f>
        <v>11.423</v>
      </c>
      <c r="BW27" s="158">
        <f>Segment!BW89</f>
        <v>11.423</v>
      </c>
      <c r="BX27" s="158">
        <f>SUM(BV27:BW27)</f>
        <v>22.846</v>
      </c>
      <c r="BY27" s="158">
        <f>Segment!BY89</f>
        <v>11.423</v>
      </c>
      <c r="BZ27" s="158">
        <f>Segment!BZ89</f>
        <v>12.4</v>
      </c>
      <c r="CA27" s="158">
        <f>SUM(BY27:BZ27)</f>
        <v>23.823</v>
      </c>
      <c r="CB27" s="158">
        <f>Segment!CB89</f>
        <v>11.706750000000012</v>
      </c>
      <c r="CC27" s="158">
        <f>Segment!CC89</f>
        <v>11.706750000000012</v>
      </c>
      <c r="CD27" s="158">
        <f>SUM(CB27:CC27)</f>
        <v>23.413500000000024</v>
      </c>
      <c r="CE27" s="158">
        <f>Segment!CE89</f>
        <v>13.138999999999999</v>
      </c>
      <c r="CF27" s="158">
        <f>Segment!CF89</f>
        <v>13.138999999999999</v>
      </c>
      <c r="CG27" s="158">
        <f>SUM(CE27:CF27)</f>
        <v>26.277999999999999</v>
      </c>
      <c r="CH27" s="158">
        <f>Segment!CH89</f>
        <v>14.8</v>
      </c>
      <c r="CI27" s="158">
        <f>Segment!CI89</f>
        <v>14.899999999999999</v>
      </c>
      <c r="CJ27" s="158">
        <f>SUM(CH27:CI27)</f>
        <v>29.7</v>
      </c>
      <c r="CK27" s="158">
        <f>Segment!CK89</f>
        <v>14.8</v>
      </c>
      <c r="CL27" s="158">
        <f>Segment!CL89</f>
        <v>16.3</v>
      </c>
      <c r="CM27" s="158">
        <f>SUM(CK27:CL27)</f>
        <v>31.1</v>
      </c>
      <c r="CN27" s="158">
        <f>Segment!CN89</f>
        <v>15</v>
      </c>
      <c r="CO27" s="158">
        <f>Segment!CO89</f>
        <v>14.4</v>
      </c>
      <c r="CP27" s="158">
        <f>SUM(CN27:CO27)</f>
        <v>29.4</v>
      </c>
      <c r="CQ27" s="158">
        <f>Segment!CQ89</f>
        <v>12.3</v>
      </c>
      <c r="CR27" s="158">
        <f>Segment!CR89</f>
        <v>12.700000000000001</v>
      </c>
      <c r="CS27" s="158">
        <f>SUM(CQ27:CR27)</f>
        <v>25</v>
      </c>
      <c r="CT27" s="158">
        <f>Segment!CT89</f>
        <v>14.549364887261516</v>
      </c>
      <c r="CU27" s="158">
        <f>Segment!CU89</f>
        <v>21.950635112738482</v>
      </c>
      <c r="CV27" s="158">
        <f>SUM(CT27:CU27)</f>
        <v>36.5</v>
      </c>
      <c r="CW27" s="158">
        <f>Segment!CW89</f>
        <v>30.3</v>
      </c>
      <c r="CX27" s="158">
        <f>Segment!CX89</f>
        <v>41.100000000000009</v>
      </c>
      <c r="CY27" s="158">
        <f>SUM(CW27:CX27)</f>
        <v>71.400000000000006</v>
      </c>
      <c r="CZ27" s="158">
        <f>Segment!CZ89</f>
        <v>27.099999999999998</v>
      </c>
      <c r="DA27" s="158">
        <f>Segment!DA89</f>
        <v>30.7</v>
      </c>
      <c r="DB27" s="158">
        <f>SUM(CZ27:DA27)</f>
        <v>57.8</v>
      </c>
      <c r="DC27" s="158">
        <f>Segment!DC89</f>
        <v>36.200000000000003</v>
      </c>
      <c r="DD27" s="158">
        <f>Segment!DD89</f>
        <v>66.100000000000009</v>
      </c>
      <c r="DE27" s="152">
        <f>SUM(DC27:DD27)</f>
        <v>102.30000000000001</v>
      </c>
      <c r="DF27" s="158">
        <f>Segment!DF89</f>
        <v>36.400000000000006</v>
      </c>
      <c r="DG27" s="158">
        <f>Segment!DG89</f>
        <v>36.099999999999994</v>
      </c>
      <c r="DH27" s="152">
        <f>SUM(DF27:DG27)</f>
        <v>72.5</v>
      </c>
      <c r="DI27" s="158">
        <f>Segment!DI89</f>
        <v>47.95</v>
      </c>
      <c r="DJ27" s="158">
        <f>Segment!DJ89</f>
        <v>47.95</v>
      </c>
      <c r="DK27" s="152">
        <f>SUM(DI27:DJ27)</f>
        <v>95.9</v>
      </c>
      <c r="DL27" s="158">
        <f>Segment!DL89</f>
        <v>47.2</v>
      </c>
      <c r="DM27" s="158">
        <f>Segment!DM89</f>
        <v>49.599999999999994</v>
      </c>
      <c r="DN27" s="152">
        <f>SUM(DL27:DM27)</f>
        <v>96.8</v>
      </c>
      <c r="DO27" s="158">
        <f>Segment!DO89</f>
        <v>53.3</v>
      </c>
      <c r="DP27" s="158">
        <f>Segment!DP89</f>
        <v>52.7</v>
      </c>
      <c r="DQ27" s="152">
        <f>SUM(DO27:DP27)</f>
        <v>106</v>
      </c>
      <c r="DR27" s="158">
        <f>Segment!DR89</f>
        <v>50</v>
      </c>
      <c r="DS27" s="158">
        <f>Segment!DS89</f>
        <v>59</v>
      </c>
      <c r="DT27" s="152">
        <f>SUM(DR27:DS27)</f>
        <v>109</v>
      </c>
      <c r="DU27" s="158">
        <f>Segment!DU89</f>
        <v>54</v>
      </c>
      <c r="DV27" s="158">
        <f>Segment!DV89</f>
        <v>50</v>
      </c>
      <c r="DW27" s="152">
        <f>SUM(DU27:DV27)</f>
        <v>104</v>
      </c>
      <c r="DX27" s="158">
        <f>Segment!DX89</f>
        <v>49</v>
      </c>
      <c r="DY27" s="158">
        <f>Segment!DY89</f>
        <v>58.453681862485666</v>
      </c>
      <c r="DZ27" s="152">
        <f>SUM(DX27:DY27)</f>
        <v>107.45368186248567</v>
      </c>
      <c r="EA27" s="158">
        <f>Segment!EA89</f>
        <v>68.32179261744156</v>
      </c>
      <c r="EB27" s="158">
        <f>Segment!EB89</f>
        <v>60.817125558205269</v>
      </c>
      <c r="EC27" s="152">
        <f>SUM(EA27:EB27)</f>
        <v>129.13891817564684</v>
      </c>
      <c r="ED27" s="158">
        <f>Segment!ED89</f>
        <v>71.398012285872142</v>
      </c>
      <c r="EE27" s="158">
        <f>Segment!EE89</f>
        <v>64.616989233916158</v>
      </c>
      <c r="EF27" s="152">
        <f>SUM(ED27:EE27)</f>
        <v>136.01500151978831</v>
      </c>
      <c r="EG27" s="158">
        <f>Segment!EG89</f>
        <v>75.474952459705975</v>
      </c>
      <c r="EH27" s="158">
        <f>Segment!EH89</f>
        <v>68.827307760913527</v>
      </c>
      <c r="EI27" s="152">
        <f>SUM(EG27:EH27)</f>
        <v>144.3022602206195</v>
      </c>
      <c r="EJ27" s="158">
        <f>Segment!EJ89</f>
        <v>79.84515684810961</v>
      </c>
      <c r="EK27" s="158">
        <f>Segment!EK89</f>
        <v>73.410031734728193</v>
      </c>
      <c r="EL27" s="152">
        <f>SUM(EJ27:EK27)</f>
        <v>153.2551885828378</v>
      </c>
      <c r="EM27" s="158">
        <f>Segment!EM89</f>
        <v>84.134084183063678</v>
      </c>
      <c r="EN27" s="158">
        <f>Segment!EN89</f>
        <v>77.442376469020786</v>
      </c>
      <c r="EO27" s="152">
        <f>SUM(EM27:EN27)</f>
        <v>161.57646065208445</v>
      </c>
      <c r="EP27" s="158">
        <f>Segment!EP89</f>
        <v>88.597509893377449</v>
      </c>
      <c r="EQ27" s="158">
        <f>Segment!EQ89</f>
        <v>81.939426311818949</v>
      </c>
      <c r="ER27" s="152">
        <f>SUM(EP27:EQ27)</f>
        <v>170.53693620519641</v>
      </c>
      <c r="ES27" s="158">
        <f>Segment!ES89</f>
        <v>93.425318205878156</v>
      </c>
      <c r="ET27" s="158">
        <f>Segment!ET89</f>
        <v>86.726378308390906</v>
      </c>
      <c r="EU27" s="152">
        <f>SUM(ES27:ET27)</f>
        <v>180.15169651426908</v>
      </c>
      <c r="EV27" s="158">
        <f>Segment!EV89</f>
        <v>98.552246912479745</v>
      </c>
      <c r="EW27" s="158">
        <f>Segment!EW89</f>
        <v>91.822577983894348</v>
      </c>
      <c r="EX27" s="152">
        <f>SUM(EV27:EW27)</f>
        <v>190.37482489637409</v>
      </c>
      <c r="EY27" s="158">
        <f>Segment!EY89</f>
        <v>103.99789040812914</v>
      </c>
      <c r="EZ27" s="158">
        <f>Segment!EZ89</f>
        <v>97.248693141934012</v>
      </c>
      <c r="FA27" s="152">
        <f>SUM(EY27:EZ27)</f>
        <v>201.24658355006315</v>
      </c>
    </row>
    <row r="28" spans="1:157" ht="13.35" customHeight="1">
      <c r="A28" s="3"/>
      <c r="B28" s="4" t="s">
        <v>175</v>
      </c>
      <c r="C28" s="4"/>
      <c r="D28" s="3"/>
      <c r="E28" s="160">
        <f>IF(OR(E26&lt;&gt;"",E27&lt;&gt;""),SUM(E26:E27),"")</f>
        <v>0</v>
      </c>
      <c r="F28" s="160">
        <f>IF(OR(F26&lt;&gt;"",F27&lt;&gt;""),SUM(F26:F27),"")</f>
        <v>0</v>
      </c>
      <c r="G28" s="160"/>
      <c r="H28" s="160"/>
      <c r="I28" s="160"/>
      <c r="J28" s="160"/>
      <c r="K28" s="160"/>
      <c r="L28" s="160"/>
      <c r="M28" s="160"/>
      <c r="N28" s="160"/>
      <c r="O28" s="160"/>
      <c r="P28" s="160"/>
      <c r="Q28" s="160"/>
      <c r="R28" s="160"/>
      <c r="S28" s="160"/>
      <c r="T28" s="160"/>
      <c r="U28" s="160"/>
      <c r="V28" s="160"/>
      <c r="W28" s="160"/>
      <c r="X28" s="160"/>
      <c r="Y28" s="160"/>
      <c r="Z28" s="160"/>
      <c r="AA28" s="160"/>
      <c r="AB28" s="160"/>
      <c r="AC28" s="160"/>
      <c r="AD28" s="160"/>
      <c r="AE28" s="160"/>
      <c r="AF28" s="160"/>
      <c r="AG28" s="160"/>
      <c r="AH28" s="160"/>
      <c r="AI28" s="160"/>
      <c r="AJ28" s="160"/>
      <c r="AK28" s="160" t="str">
        <f t="shared" ref="AK28:BO28" si="43">IF(OR(AK26&lt;&gt;"",AK27&lt;&gt;""),SUM(AK26:AK27),"")</f>
        <v/>
      </c>
      <c r="AL28" s="160">
        <f t="shared" si="43"/>
        <v>0</v>
      </c>
      <c r="AM28" s="160">
        <f t="shared" si="43"/>
        <v>29.571000000000002</v>
      </c>
      <c r="AN28" s="160">
        <f t="shared" si="43"/>
        <v>29.571000000000002</v>
      </c>
      <c r="AO28" s="160">
        <f t="shared" si="43"/>
        <v>0</v>
      </c>
      <c r="AP28" s="160">
        <f t="shared" si="43"/>
        <v>30.635999999999999</v>
      </c>
      <c r="AQ28" s="160">
        <f t="shared" si="43"/>
        <v>30.635999999999999</v>
      </c>
      <c r="AR28" s="160">
        <f t="shared" si="43"/>
        <v>0</v>
      </c>
      <c r="AS28" s="160">
        <f t="shared" si="43"/>
        <v>31.625999999999998</v>
      </c>
      <c r="AT28" s="160">
        <f t="shared" si="43"/>
        <v>31.625999999999998</v>
      </c>
      <c r="AU28" s="160">
        <f t="shared" si="43"/>
        <v>16.759</v>
      </c>
      <c r="AV28" s="160">
        <f t="shared" si="43"/>
        <v>16.387999999999998</v>
      </c>
      <c r="AW28" s="160">
        <f t="shared" si="43"/>
        <v>33.146999999999998</v>
      </c>
      <c r="AX28" s="160">
        <f t="shared" si="43"/>
        <v>2</v>
      </c>
      <c r="AY28" s="160">
        <f t="shared" si="43"/>
        <v>31.684000000000001</v>
      </c>
      <c r="AZ28" s="160">
        <f t="shared" si="43"/>
        <v>33.683999999999997</v>
      </c>
      <c r="BA28" s="160">
        <f t="shared" si="43"/>
        <v>15.59456</v>
      </c>
      <c r="BB28" s="160">
        <f t="shared" si="43"/>
        <v>23.879266666666666</v>
      </c>
      <c r="BC28" s="160">
        <f t="shared" si="43"/>
        <v>39.473826666666668</v>
      </c>
      <c r="BD28" s="160">
        <f t="shared" si="43"/>
        <v>29.680653333333336</v>
      </c>
      <c r="BE28" s="160">
        <f t="shared" si="43"/>
        <v>26.685346666666664</v>
      </c>
      <c r="BF28" s="160">
        <f t="shared" si="43"/>
        <v>56.366</v>
      </c>
      <c r="BG28" s="160">
        <f t="shared" si="43"/>
        <v>33.088999999999999</v>
      </c>
      <c r="BH28" s="160">
        <f t="shared" si="43"/>
        <v>39.40997500000001</v>
      </c>
      <c r="BI28" s="160">
        <f t="shared" si="43"/>
        <v>72.498975000000016</v>
      </c>
      <c r="BJ28" s="160">
        <f t="shared" si="43"/>
        <v>37.089999999999996</v>
      </c>
      <c r="BK28" s="160">
        <f t="shared" si="43"/>
        <v>37.870575000000002</v>
      </c>
      <c r="BL28" s="160">
        <f t="shared" si="43"/>
        <v>74.960575000000006</v>
      </c>
      <c r="BM28" s="160">
        <f t="shared" si="43"/>
        <v>0</v>
      </c>
      <c r="BN28" s="160">
        <f t="shared" si="43"/>
        <v>0</v>
      </c>
      <c r="BO28" s="160">
        <f t="shared" si="43"/>
        <v>0</v>
      </c>
      <c r="BP28" s="160">
        <f t="shared" ref="BP28:CA28" si="44">IF(OR(BP26&lt;&gt;"",BP27&lt;&gt;""),SUM(BP26:BP27),"")</f>
        <v>0</v>
      </c>
      <c r="BQ28" s="160">
        <f t="shared" si="44"/>
        <v>0</v>
      </c>
      <c r="BR28" s="160">
        <f t="shared" si="44"/>
        <v>0</v>
      </c>
      <c r="BS28" s="160">
        <f t="shared" si="44"/>
        <v>0</v>
      </c>
      <c r="BT28" s="160">
        <f t="shared" si="44"/>
        <v>0</v>
      </c>
      <c r="BU28" s="160">
        <f t="shared" si="44"/>
        <v>0</v>
      </c>
      <c r="BV28" s="160">
        <f t="shared" si="44"/>
        <v>68.319958918170713</v>
      </c>
      <c r="BW28" s="160">
        <f t="shared" si="44"/>
        <v>58.787953535449219</v>
      </c>
      <c r="BX28" s="160">
        <f t="shared" si="44"/>
        <v>127.10791245361993</v>
      </c>
      <c r="BY28" s="160">
        <f t="shared" si="44"/>
        <v>75.008059975429191</v>
      </c>
      <c r="BZ28" s="160">
        <f t="shared" si="44"/>
        <v>57.912020236216357</v>
      </c>
      <c r="CA28" s="160">
        <f t="shared" si="44"/>
        <v>132.92008021164554</v>
      </c>
      <c r="CB28" s="160">
        <f t="shared" ref="CB28:EM28" si="45">IF(OR(CB26&lt;&gt;"",CB27&lt;&gt;""),SUM(CB26:CB27),"")</f>
        <v>67.050459547254704</v>
      </c>
      <c r="CC28" s="160">
        <f t="shared" si="45"/>
        <v>67.580841035778349</v>
      </c>
      <c r="CD28" s="160">
        <f t="shared" si="45"/>
        <v>134.63130058303307</v>
      </c>
      <c r="CE28" s="160">
        <f t="shared" si="45"/>
        <v>79.989979806289057</v>
      </c>
      <c r="CF28" s="160">
        <f t="shared" si="45"/>
        <v>85.007020193710943</v>
      </c>
      <c r="CG28" s="160">
        <f t="shared" si="45"/>
        <v>164.99699999999999</v>
      </c>
      <c r="CH28" s="160">
        <f t="shared" si="45"/>
        <v>91.262787193121142</v>
      </c>
      <c r="CI28" s="160">
        <f t="shared" si="45"/>
        <v>75.402276304628714</v>
      </c>
      <c r="CJ28" s="160">
        <f t="shared" si="45"/>
        <v>166.66506349774986</v>
      </c>
      <c r="CK28" s="160">
        <f t="shared" si="45"/>
        <v>90.40153537571841</v>
      </c>
      <c r="CL28" s="160">
        <f t="shared" si="45"/>
        <v>95.75377281452252</v>
      </c>
      <c r="CM28" s="160">
        <f t="shared" si="45"/>
        <v>186.15530819024093</v>
      </c>
      <c r="CN28" s="160">
        <f t="shared" si="45"/>
        <v>88</v>
      </c>
      <c r="CO28" s="160">
        <f t="shared" si="45"/>
        <v>94.399999999999864</v>
      </c>
      <c r="CP28" s="160">
        <f t="shared" si="45"/>
        <v>182.39999999999986</v>
      </c>
      <c r="CQ28" s="160">
        <f t="shared" si="45"/>
        <v>84.499999999999957</v>
      </c>
      <c r="CR28" s="160">
        <f t="shared" si="45"/>
        <v>85.600000000000051</v>
      </c>
      <c r="CS28" s="160">
        <f t="shared" si="45"/>
        <v>170.10000000000002</v>
      </c>
      <c r="CT28" s="160">
        <f t="shared" si="45"/>
        <v>102.24936488726145</v>
      </c>
      <c r="CU28" s="160">
        <f t="shared" si="45"/>
        <v>109.45063511273857</v>
      </c>
      <c r="CV28" s="160">
        <f t="shared" si="45"/>
        <v>211.70000000000002</v>
      </c>
      <c r="CW28" s="160">
        <f t="shared" si="45"/>
        <v>131</v>
      </c>
      <c r="CX28" s="160">
        <f t="shared" si="45"/>
        <v>147.65728683243412</v>
      </c>
      <c r="CY28" s="160">
        <f t="shared" si="45"/>
        <v>278.65728683243412</v>
      </c>
      <c r="CZ28" s="160">
        <f t="shared" si="45"/>
        <v>141.30000000000001</v>
      </c>
      <c r="DA28" s="160">
        <f t="shared" si="45"/>
        <v>155.39999999999998</v>
      </c>
      <c r="DB28" s="160">
        <f t="shared" si="45"/>
        <v>296.7</v>
      </c>
      <c r="DC28" s="160">
        <f t="shared" si="45"/>
        <v>165.90000000000003</v>
      </c>
      <c r="DD28" s="160">
        <f t="shared" si="45"/>
        <v>209.5</v>
      </c>
      <c r="DE28" s="161">
        <f t="shared" si="45"/>
        <v>375.40000000000003</v>
      </c>
      <c r="DF28" s="160">
        <f t="shared" si="45"/>
        <v>204.71362052371691</v>
      </c>
      <c r="DG28" s="160">
        <f t="shared" si="45"/>
        <v>215.49376498653402</v>
      </c>
      <c r="DH28" s="161">
        <f t="shared" si="45"/>
        <v>420.2073855102509</v>
      </c>
      <c r="DI28" s="160">
        <f t="shared" si="45"/>
        <v>247.64999999999998</v>
      </c>
      <c r="DJ28" s="160">
        <f t="shared" si="45"/>
        <v>247.64999999999998</v>
      </c>
      <c r="DK28" s="161">
        <f t="shared" si="45"/>
        <v>495.29999999999995</v>
      </c>
      <c r="DL28" s="160">
        <f t="shared" si="45"/>
        <v>264.2</v>
      </c>
      <c r="DM28" s="160">
        <f t="shared" si="45"/>
        <v>278.29999999999995</v>
      </c>
      <c r="DN28" s="161">
        <f t="shared" si="45"/>
        <v>542.5</v>
      </c>
      <c r="DO28" s="160">
        <f t="shared" si="45"/>
        <v>293.2</v>
      </c>
      <c r="DP28" s="160">
        <f t="shared" si="45"/>
        <v>302.8</v>
      </c>
      <c r="DQ28" s="161">
        <f t="shared" si="45"/>
        <v>596</v>
      </c>
      <c r="DR28" s="160">
        <f t="shared" si="45"/>
        <v>297</v>
      </c>
      <c r="DS28" s="160">
        <f t="shared" si="45"/>
        <v>340</v>
      </c>
      <c r="DT28" s="161">
        <f t="shared" si="45"/>
        <v>637</v>
      </c>
      <c r="DU28" s="160">
        <f t="shared" si="45"/>
        <v>321</v>
      </c>
      <c r="DV28" s="160">
        <f>IF(OR(DV26&lt;&gt;"",DV27&lt;&gt;""),SUM(DV26:DV27),"")</f>
        <v>332</v>
      </c>
      <c r="DW28" s="161">
        <f>IF(OR(DW26&lt;&gt;"",DW27&lt;&gt;""),SUM(DW26:DW27),"")</f>
        <v>653</v>
      </c>
      <c r="DX28" s="160">
        <f t="shared" ref="DX28" si="46">IF(OR(DX26&lt;&gt;"",DX27&lt;&gt;""),SUM(DX26:DX27),"")</f>
        <v>325</v>
      </c>
      <c r="DY28" s="160">
        <f t="shared" si="45"/>
        <v>310.34588185552104</v>
      </c>
      <c r="DZ28" s="161">
        <f t="shared" si="45"/>
        <v>635.34588185552093</v>
      </c>
      <c r="EA28" s="160">
        <f t="shared" si="45"/>
        <v>370.86004542399405</v>
      </c>
      <c r="EB28" s="160">
        <f t="shared" si="45"/>
        <v>330.00800536822919</v>
      </c>
      <c r="EC28" s="161">
        <f t="shared" si="45"/>
        <v>700.86805079222324</v>
      </c>
      <c r="ED28" s="160">
        <f t="shared" si="45"/>
        <v>410.48940083719748</v>
      </c>
      <c r="EE28" s="160">
        <f t="shared" si="45"/>
        <v>371.50494361987148</v>
      </c>
      <c r="EF28" s="161">
        <f t="shared" si="45"/>
        <v>781.99434445706902</v>
      </c>
      <c r="EG28" s="160">
        <f t="shared" si="45"/>
        <v>458.30996673506161</v>
      </c>
      <c r="EH28" s="160">
        <f t="shared" si="45"/>
        <v>418.00637966176305</v>
      </c>
      <c r="EI28" s="161">
        <f t="shared" si="45"/>
        <v>876.31634639682466</v>
      </c>
      <c r="EJ28" s="160">
        <f t="shared" si="45"/>
        <v>485.340652774305</v>
      </c>
      <c r="EK28" s="160">
        <f t="shared" si="45"/>
        <v>446.35482886110844</v>
      </c>
      <c r="EL28" s="161">
        <f t="shared" si="45"/>
        <v>931.69548163541344</v>
      </c>
      <c r="EM28" s="160">
        <f t="shared" si="45"/>
        <v>511.86733190253648</v>
      </c>
      <c r="EN28" s="160">
        <f t="shared" ref="EN28:FA28" si="47">IF(OR(EN26&lt;&gt;"",EN27&lt;&gt;""),SUM(EN26:EN27),"")</f>
        <v>471.29299059554967</v>
      </c>
      <c r="EO28" s="161">
        <f t="shared" si="47"/>
        <v>983.16032249808609</v>
      </c>
      <c r="EP28" s="160">
        <f t="shared" si="47"/>
        <v>539.47447333036632</v>
      </c>
      <c r="EQ28" s="160">
        <f t="shared" si="47"/>
        <v>499.10908725638558</v>
      </c>
      <c r="ER28" s="161">
        <f t="shared" si="47"/>
        <v>1038.5835605867519</v>
      </c>
      <c r="ES28" s="160">
        <f t="shared" si="47"/>
        <v>569.33836277910518</v>
      </c>
      <c r="ET28" s="160">
        <f t="shared" si="47"/>
        <v>528.72021994413319</v>
      </c>
      <c r="EU28" s="161">
        <f t="shared" si="47"/>
        <v>1098.0585827232385</v>
      </c>
      <c r="EV28" s="160">
        <f t="shared" si="47"/>
        <v>601.05470316579044</v>
      </c>
      <c r="EW28" s="160">
        <f t="shared" si="47"/>
        <v>560.24620046359314</v>
      </c>
      <c r="EX28" s="161">
        <f t="shared" si="47"/>
        <v>1161.3009036293836</v>
      </c>
      <c r="EY28" s="160">
        <f t="shared" si="47"/>
        <v>634.74486717331285</v>
      </c>
      <c r="EZ28" s="160">
        <f t="shared" si="47"/>
        <v>593.81503050533183</v>
      </c>
      <c r="FA28" s="161">
        <f t="shared" si="47"/>
        <v>1228.5598976786448</v>
      </c>
    </row>
    <row r="29" spans="1:157" ht="13.35" customHeight="1">
      <c r="A29" s="3"/>
      <c r="B29" s="4"/>
      <c r="C29" s="4" t="s">
        <v>777</v>
      </c>
      <c r="D29" s="3"/>
      <c r="E29" s="116"/>
      <c r="F29" s="116"/>
      <c r="G29" s="116"/>
      <c r="H29" s="116"/>
      <c r="I29" s="116"/>
      <c r="J29" s="116"/>
      <c r="K29" s="116"/>
      <c r="L29" s="116"/>
      <c r="M29" s="116"/>
      <c r="N29" s="116"/>
      <c r="O29" s="116"/>
      <c r="P29" s="116"/>
      <c r="Q29" s="116"/>
      <c r="R29" s="116"/>
      <c r="S29" s="116"/>
      <c r="T29" s="116"/>
      <c r="U29" s="116"/>
      <c r="V29" s="116"/>
      <c r="W29" s="116"/>
      <c r="X29" s="116"/>
      <c r="Y29" s="116"/>
      <c r="Z29" s="116"/>
      <c r="AA29" s="116"/>
      <c r="AB29" s="116"/>
      <c r="AC29" s="116"/>
      <c r="AD29" s="116"/>
      <c r="AE29" s="116"/>
      <c r="AF29" s="116"/>
      <c r="AG29" s="116"/>
      <c r="AH29" s="116"/>
      <c r="AI29" s="116"/>
      <c r="AJ29" s="116"/>
      <c r="AK29" s="116"/>
      <c r="AL29" s="116"/>
      <c r="AM29" s="116"/>
      <c r="AN29" s="116"/>
      <c r="AO29" s="116"/>
      <c r="AP29" s="116"/>
      <c r="AQ29" s="116"/>
      <c r="AR29" s="116"/>
      <c r="AS29" s="116"/>
      <c r="AT29" s="116"/>
      <c r="AU29" s="116"/>
      <c r="AV29" s="116"/>
      <c r="AW29" s="116"/>
      <c r="AX29" s="116"/>
      <c r="AY29" s="116"/>
      <c r="AZ29" s="116"/>
      <c r="BA29" s="116"/>
      <c r="BB29" s="116"/>
      <c r="BC29" s="116"/>
      <c r="BD29" s="116"/>
      <c r="BE29" s="116"/>
      <c r="BF29" s="116"/>
      <c r="BG29" s="116"/>
      <c r="BH29" s="116"/>
      <c r="BI29" s="116"/>
      <c r="BJ29" s="116"/>
      <c r="BK29" s="116"/>
      <c r="BL29" s="116"/>
      <c r="BM29" s="116"/>
      <c r="BN29" s="116"/>
      <c r="BO29" s="116"/>
      <c r="BP29" s="116"/>
      <c r="BQ29" s="116"/>
      <c r="BR29" s="116"/>
      <c r="BS29" s="116"/>
      <c r="BT29" s="116"/>
      <c r="BU29" s="116"/>
      <c r="BV29" s="116"/>
      <c r="BW29" s="116"/>
      <c r="BX29" s="116"/>
      <c r="BY29" s="116"/>
      <c r="BZ29" s="116"/>
      <c r="CA29" s="116"/>
      <c r="CB29" s="116"/>
      <c r="CC29" s="116"/>
      <c r="CD29" s="116"/>
      <c r="CE29" s="116"/>
      <c r="CF29" s="116"/>
      <c r="CG29" s="116"/>
      <c r="CH29" s="116"/>
      <c r="CI29" s="116"/>
      <c r="CJ29" s="116"/>
      <c r="CK29" s="116"/>
      <c r="CL29" s="116"/>
      <c r="CM29" s="116"/>
      <c r="CN29" s="159"/>
      <c r="CO29" s="159"/>
      <c r="CP29" s="158"/>
      <c r="CQ29" s="159"/>
      <c r="CR29" s="159"/>
      <c r="CS29" s="158"/>
      <c r="CT29" s="159"/>
      <c r="CU29" s="159"/>
      <c r="CV29" s="158"/>
      <c r="CW29" s="159"/>
      <c r="CX29" s="159"/>
      <c r="CY29" s="158"/>
      <c r="CZ29" s="159"/>
      <c r="DA29" s="159"/>
      <c r="DB29" s="158"/>
      <c r="DC29" s="159"/>
      <c r="DD29" s="159"/>
      <c r="DE29" s="152"/>
      <c r="DF29" s="159"/>
      <c r="DG29" s="159"/>
      <c r="DH29" s="152"/>
      <c r="DI29" s="159"/>
      <c r="DJ29" s="159"/>
      <c r="DK29" s="152"/>
      <c r="DL29" s="159"/>
      <c r="DM29" s="159"/>
      <c r="DN29" s="152"/>
      <c r="DO29" s="159"/>
      <c r="DP29" s="159"/>
      <c r="DQ29" s="152"/>
      <c r="DR29" s="159"/>
      <c r="DS29" s="159"/>
      <c r="DT29" s="152"/>
      <c r="DU29" s="159"/>
      <c r="DV29" s="159"/>
      <c r="DW29" s="152"/>
      <c r="DX29" s="159"/>
      <c r="DY29" s="159"/>
      <c r="DZ29" s="152"/>
      <c r="EA29" s="159"/>
      <c r="EB29" s="159"/>
      <c r="EC29" s="152"/>
      <c r="ED29" s="159"/>
      <c r="EE29" s="159"/>
      <c r="EF29" s="152"/>
      <c r="EG29" s="159"/>
      <c r="EH29" s="159"/>
      <c r="EI29" s="152"/>
      <c r="EJ29" s="159"/>
      <c r="EK29" s="159"/>
      <c r="EL29" s="152"/>
      <c r="EM29" s="159"/>
      <c r="EN29" s="159"/>
      <c r="EO29" s="152"/>
      <c r="EP29" s="159"/>
      <c r="EQ29" s="159"/>
      <c r="ER29" s="152"/>
      <c r="ES29" s="159"/>
      <c r="ET29" s="159"/>
      <c r="EU29" s="152"/>
      <c r="EV29" s="159"/>
      <c r="EW29" s="159"/>
      <c r="EX29" s="152"/>
      <c r="EY29" s="159"/>
      <c r="EZ29" s="159"/>
      <c r="FA29" s="152"/>
    </row>
    <row r="30" spans="1:157" ht="13.35" customHeight="1">
      <c r="A30" s="3"/>
      <c r="B30" s="4"/>
      <c r="C30" s="4"/>
      <c r="D30" s="3"/>
      <c r="E30" s="116"/>
      <c r="F30" s="116"/>
      <c r="G30" s="116"/>
      <c r="H30" s="116"/>
      <c r="I30" s="116"/>
      <c r="J30" s="116"/>
      <c r="K30" s="116"/>
      <c r="L30" s="116"/>
      <c r="M30" s="116"/>
      <c r="N30" s="116"/>
      <c r="O30" s="116"/>
      <c r="P30" s="116"/>
      <c r="Q30" s="116"/>
      <c r="R30" s="116"/>
      <c r="S30" s="116"/>
      <c r="T30" s="116"/>
      <c r="U30" s="116"/>
      <c r="V30" s="116"/>
      <c r="W30" s="116"/>
      <c r="X30" s="116"/>
      <c r="Y30" s="116"/>
      <c r="Z30" s="116"/>
      <c r="AA30" s="116"/>
      <c r="AB30" s="116"/>
      <c r="AC30" s="116"/>
      <c r="AD30" s="116"/>
      <c r="AE30" s="116"/>
      <c r="AF30" s="116"/>
      <c r="AG30" s="116"/>
      <c r="AH30" s="116"/>
      <c r="AI30" s="116"/>
      <c r="AJ30" s="116"/>
      <c r="AK30" s="116"/>
      <c r="AL30" s="116"/>
      <c r="AM30" s="116"/>
      <c r="AN30" s="116"/>
      <c r="AO30" s="116"/>
      <c r="AP30" s="116"/>
      <c r="AQ30" s="116"/>
      <c r="AR30" s="116"/>
      <c r="AS30" s="116"/>
      <c r="AT30" s="116"/>
      <c r="AU30" s="116"/>
      <c r="AV30" s="116"/>
      <c r="AW30" s="116"/>
      <c r="AX30" s="116"/>
      <c r="AY30" s="116"/>
      <c r="AZ30" s="116"/>
      <c r="BA30" s="116"/>
      <c r="BB30" s="116"/>
      <c r="BC30" s="116"/>
      <c r="BD30" s="116"/>
      <c r="BE30" s="116"/>
      <c r="BF30" s="116"/>
      <c r="BG30" s="116"/>
      <c r="BH30" s="116"/>
      <c r="BI30" s="116"/>
      <c r="BJ30" s="116"/>
      <c r="BK30" s="116"/>
      <c r="BL30" s="116"/>
      <c r="BM30" s="116"/>
      <c r="BN30" s="116"/>
      <c r="BO30" s="116"/>
      <c r="BP30" s="116"/>
      <c r="BQ30" s="116"/>
      <c r="BR30" s="116"/>
      <c r="BS30" s="116"/>
      <c r="BT30" s="116"/>
      <c r="BU30" s="116"/>
      <c r="BV30" s="116"/>
      <c r="BW30" s="116"/>
      <c r="BX30" s="116"/>
      <c r="BY30" s="116"/>
      <c r="BZ30" s="116"/>
      <c r="CA30" s="116"/>
      <c r="CB30" s="116"/>
      <c r="CC30" s="116"/>
      <c r="CD30" s="116"/>
      <c r="CE30" s="116"/>
      <c r="CF30" s="116"/>
      <c r="CG30" s="116"/>
      <c r="CH30" s="116"/>
      <c r="CI30" s="116"/>
      <c r="CJ30" s="116"/>
      <c r="CK30" s="116"/>
      <c r="CL30" s="116"/>
      <c r="CM30" s="116"/>
      <c r="CN30" s="116"/>
      <c r="CO30" s="116"/>
      <c r="CP30" s="116"/>
      <c r="CQ30" s="116"/>
      <c r="CR30" s="116"/>
      <c r="CS30" s="116"/>
      <c r="CT30" s="116"/>
      <c r="CU30" s="116"/>
      <c r="CV30" s="116"/>
      <c r="CW30" s="116"/>
      <c r="CX30" s="116"/>
      <c r="CY30" s="116"/>
      <c r="CZ30" s="116"/>
      <c r="DA30" s="116"/>
      <c r="DB30" s="116"/>
      <c r="DC30" s="116"/>
      <c r="DD30" s="116"/>
      <c r="DE30" s="152"/>
      <c r="DF30" s="116"/>
      <c r="DG30" s="116"/>
      <c r="DH30" s="152"/>
      <c r="DI30" s="116"/>
      <c r="DJ30" s="116"/>
      <c r="DK30" s="152"/>
      <c r="DL30" s="116"/>
      <c r="DM30" s="116"/>
      <c r="DN30" s="152"/>
      <c r="DO30" s="116"/>
      <c r="DP30" s="116"/>
      <c r="DQ30" s="152"/>
      <c r="DR30" s="116"/>
      <c r="DS30" s="116"/>
      <c r="DT30" s="152"/>
      <c r="DU30" s="116"/>
      <c r="DV30" s="116"/>
      <c r="DW30" s="152"/>
      <c r="DX30" s="116"/>
      <c r="DY30" s="116"/>
      <c r="DZ30" s="152"/>
      <c r="EA30" s="116"/>
      <c r="EB30" s="116"/>
      <c r="EC30" s="152"/>
      <c r="ED30" s="116"/>
      <c r="EE30" s="116"/>
      <c r="EF30" s="152"/>
      <c r="EG30" s="116"/>
      <c r="EH30" s="116"/>
      <c r="EI30" s="152"/>
      <c r="EJ30" s="116"/>
      <c r="EK30" s="116"/>
      <c r="EL30" s="152"/>
      <c r="EM30" s="116"/>
      <c r="EN30" s="116"/>
      <c r="EO30" s="152"/>
      <c r="EP30" s="116"/>
      <c r="EQ30" s="116"/>
      <c r="ER30" s="152"/>
      <c r="ES30" s="116"/>
      <c r="ET30" s="116"/>
      <c r="EU30" s="152"/>
      <c r="EV30" s="116"/>
      <c r="EW30" s="116"/>
      <c r="EX30" s="152"/>
      <c r="EY30" s="116"/>
      <c r="EZ30" s="116"/>
      <c r="FA30" s="152"/>
    </row>
    <row r="31" spans="1:157" ht="13.35" customHeight="1">
      <c r="A31" s="3"/>
      <c r="B31" s="5" t="s">
        <v>510</v>
      </c>
      <c r="C31" s="5"/>
      <c r="D31" s="5"/>
      <c r="E31" s="116"/>
      <c r="F31" s="116"/>
      <c r="G31" s="116"/>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c r="AF31" s="116"/>
      <c r="AG31" s="116"/>
      <c r="AH31" s="116"/>
      <c r="AI31" s="116"/>
      <c r="AJ31" s="116"/>
      <c r="AK31" s="116"/>
      <c r="AL31" s="116"/>
      <c r="AM31" s="116"/>
      <c r="AN31" s="116"/>
      <c r="AO31" s="116"/>
      <c r="AP31" s="116"/>
      <c r="AQ31" s="116"/>
      <c r="AR31" s="116"/>
      <c r="AS31" s="116"/>
      <c r="AT31" s="116"/>
      <c r="AU31" s="116"/>
      <c r="AV31" s="116"/>
      <c r="AW31" s="116"/>
      <c r="AX31" s="116"/>
      <c r="AY31" s="116"/>
      <c r="AZ31" s="116"/>
      <c r="BA31" s="116"/>
      <c r="BB31" s="158"/>
      <c r="BC31" s="158"/>
      <c r="BD31" s="158">
        <f>(292/12.5)/2</f>
        <v>11.68</v>
      </c>
      <c r="BE31" s="158">
        <f>BF31-BD31</f>
        <v>11.68</v>
      </c>
      <c r="BF31" s="158">
        <f>(292/12.5)</f>
        <v>23.36</v>
      </c>
      <c r="BG31" s="158">
        <f>(292/12.5)/2</f>
        <v>11.68</v>
      </c>
      <c r="BH31" s="158">
        <f>BI31-BG31</f>
        <v>11.68</v>
      </c>
      <c r="BI31" s="158">
        <f>(292/12.5)</f>
        <v>23.36</v>
      </c>
      <c r="BJ31" s="158">
        <f>(292/12.5)/2</f>
        <v>11.68</v>
      </c>
      <c r="BK31" s="158">
        <f>BL31-BJ31</f>
        <v>11.68</v>
      </c>
      <c r="BL31" s="158">
        <f>(292/12.5)</f>
        <v>23.36</v>
      </c>
      <c r="BM31" s="158">
        <f>(292/12.5)/2</f>
        <v>11.68</v>
      </c>
      <c r="BN31" s="158">
        <f>BO31-BM31</f>
        <v>11.68</v>
      </c>
      <c r="BO31" s="158">
        <f>(292/12.5)</f>
        <v>23.36</v>
      </c>
      <c r="BP31" s="158">
        <f>(292/12.5)/2</f>
        <v>11.68</v>
      </c>
      <c r="BQ31" s="158">
        <f>BR31-BP31</f>
        <v>11.68</v>
      </c>
      <c r="BR31" s="158">
        <f>(292/12.5)</f>
        <v>23.36</v>
      </c>
      <c r="BS31" s="158">
        <f>(292/12.5)/2</f>
        <v>11.68</v>
      </c>
      <c r="BT31" s="158">
        <f>BU31-BS31</f>
        <v>11.68</v>
      </c>
      <c r="BU31" s="158">
        <f>(292/12.5)</f>
        <v>23.36</v>
      </c>
      <c r="BV31" s="158">
        <f>(292/12.5)/2</f>
        <v>11.68</v>
      </c>
      <c r="BW31" s="158">
        <f>BX31-BV31</f>
        <v>11.68</v>
      </c>
      <c r="BX31" s="158">
        <f>(292/12.5)</f>
        <v>23.36</v>
      </c>
      <c r="BY31" s="158">
        <f>(292/12.5)/2</f>
        <v>11.68</v>
      </c>
      <c r="BZ31" s="158">
        <f>CA31-BY31</f>
        <v>11.68</v>
      </c>
      <c r="CA31" s="158">
        <f>(292/12.5)</f>
        <v>23.36</v>
      </c>
      <c r="CB31" s="158">
        <f>(292/12.5)/2</f>
        <v>11.68</v>
      </c>
      <c r="CC31" s="158">
        <f>CD31-CB31</f>
        <v>11.68</v>
      </c>
      <c r="CD31" s="158">
        <f>(292/12.5)</f>
        <v>23.36</v>
      </c>
      <c r="CE31" s="158">
        <f>(292/12.5)/2</f>
        <v>11.68</v>
      </c>
      <c r="CF31" s="158">
        <f>CG31-CE31</f>
        <v>11.68</v>
      </c>
      <c r="CG31" s="158">
        <f>(292/12.5)</f>
        <v>23.36</v>
      </c>
      <c r="CH31" s="158">
        <f>(292/12.5)/2</f>
        <v>11.68</v>
      </c>
      <c r="CI31" s="158">
        <f>CJ31-CH31</f>
        <v>11.68</v>
      </c>
      <c r="CJ31" s="158">
        <f>(292/12.5)</f>
        <v>23.36</v>
      </c>
      <c r="CK31" s="158">
        <f>(292/12.5)/2</f>
        <v>11.68</v>
      </c>
      <c r="CL31" s="158">
        <f>CM31-CK31</f>
        <v>11.68</v>
      </c>
      <c r="CM31" s="158">
        <f>(292/12.5)</f>
        <v>23.36</v>
      </c>
      <c r="CN31" s="158">
        <f>(292/12.5)/2</f>
        <v>11.68</v>
      </c>
      <c r="CO31" s="158">
        <f>CP31-CN31</f>
        <v>11.68</v>
      </c>
      <c r="CP31" s="158">
        <f>(292/12.5)</f>
        <v>23.36</v>
      </c>
      <c r="CQ31" s="158">
        <f>(292/12.5)/2</f>
        <v>11.68</v>
      </c>
      <c r="CR31" s="158">
        <f>CS31-CQ31</f>
        <v>11.68</v>
      </c>
      <c r="CS31" s="158">
        <f>(292/12.5)</f>
        <v>23.36</v>
      </c>
      <c r="CT31" s="158">
        <f>(292/12.5)/2</f>
        <v>11.68</v>
      </c>
      <c r="CU31" s="158">
        <f>CV31-CT31</f>
        <v>11.68</v>
      </c>
      <c r="CV31" s="158">
        <f>(292/12.5)</f>
        <v>23.36</v>
      </c>
      <c r="CW31" s="158">
        <f>(292/12.5)/2</f>
        <v>11.68</v>
      </c>
      <c r="CX31" s="158">
        <f>CY31-CW31</f>
        <v>11.68</v>
      </c>
      <c r="CY31" s="158">
        <f>(292/12.5)</f>
        <v>23.36</v>
      </c>
      <c r="CZ31" s="158">
        <f>(292/12.5)/2</f>
        <v>11.68</v>
      </c>
      <c r="DA31" s="158">
        <f>DB31-CZ31</f>
        <v>11.68</v>
      </c>
      <c r="DB31" s="158">
        <f>(292/12.5)</f>
        <v>23.36</v>
      </c>
      <c r="DC31" s="158">
        <f>(292/12.5)/2</f>
        <v>11.68</v>
      </c>
      <c r="DD31" s="158">
        <f>DE31-DC31</f>
        <v>11.68</v>
      </c>
      <c r="DE31" s="152">
        <f>(292/12.5)</f>
        <v>23.36</v>
      </c>
      <c r="DF31" s="158">
        <f>(292/12.5)/2</f>
        <v>11.68</v>
      </c>
      <c r="DG31" s="158">
        <f>DH31-DF31</f>
        <v>11.68</v>
      </c>
      <c r="DH31" s="152">
        <f>(292/12.5)</f>
        <v>23.36</v>
      </c>
      <c r="DI31" s="158">
        <f>(292/12.5)/2</f>
        <v>11.68</v>
      </c>
      <c r="DJ31" s="158">
        <f>DK31-DI31</f>
        <v>11.68</v>
      </c>
      <c r="DK31" s="152">
        <f>(292/12.5)</f>
        <v>23.36</v>
      </c>
      <c r="DL31" s="158">
        <f>(292/12.5)/2</f>
        <v>11.68</v>
      </c>
      <c r="DM31" s="158">
        <f>DN31-DL31</f>
        <v>11.68</v>
      </c>
      <c r="DN31" s="152">
        <f>(292/12.5)</f>
        <v>23.36</v>
      </c>
      <c r="DO31" s="158">
        <f>(292/12.5)/2</f>
        <v>11.68</v>
      </c>
      <c r="DP31" s="158">
        <f>DQ31-DO31</f>
        <v>11.68</v>
      </c>
      <c r="DQ31" s="152">
        <f>(292/12.5)</f>
        <v>23.36</v>
      </c>
      <c r="DR31" s="158">
        <f>(292/12.5)/2</f>
        <v>11.68</v>
      </c>
      <c r="DS31" s="158">
        <f>DT31-DR31</f>
        <v>11.68</v>
      </c>
      <c r="DT31" s="152">
        <f>(292/12.5)</f>
        <v>23.36</v>
      </c>
      <c r="DU31" s="158">
        <f>(292/12.5)/2</f>
        <v>11.68</v>
      </c>
      <c r="DV31" s="158">
        <f>DW31-DU31</f>
        <v>11.68</v>
      </c>
      <c r="DW31" s="152">
        <f>(292/12.5)</f>
        <v>23.36</v>
      </c>
      <c r="DX31" s="158">
        <f>(292/12.5)/2</f>
        <v>11.68</v>
      </c>
      <c r="DY31" s="158">
        <f>DZ31-DX31</f>
        <v>11.68</v>
      </c>
      <c r="DZ31" s="152">
        <f>(292/12.5)</f>
        <v>23.36</v>
      </c>
      <c r="EA31" s="158">
        <f>(292/12.5)/2</f>
        <v>11.68</v>
      </c>
      <c r="EB31" s="158">
        <f>EC31-EA31</f>
        <v>11.68</v>
      </c>
      <c r="EC31" s="152">
        <f>(292/12.5)</f>
        <v>23.36</v>
      </c>
      <c r="ED31" s="158">
        <f>(292/12.5)/2</f>
        <v>11.68</v>
      </c>
      <c r="EE31" s="158">
        <f>EF31-ED31</f>
        <v>11.68</v>
      </c>
      <c r="EF31" s="152">
        <f>(292/12.5)</f>
        <v>23.36</v>
      </c>
      <c r="EG31" s="158">
        <f>(292/12.5)/2</f>
        <v>11.68</v>
      </c>
      <c r="EH31" s="158">
        <f>EI31-EG31</f>
        <v>11.68</v>
      </c>
      <c r="EI31" s="152">
        <f>(292/12.5)</f>
        <v>23.36</v>
      </c>
      <c r="EJ31" s="158">
        <f>(292/12.5)/2</f>
        <v>11.68</v>
      </c>
      <c r="EK31" s="158">
        <f>EL31-EJ31</f>
        <v>11.68</v>
      </c>
      <c r="EL31" s="152">
        <f>(292/12.5)</f>
        <v>23.36</v>
      </c>
      <c r="EM31" s="158">
        <f>(292/12.5)/2</f>
        <v>11.68</v>
      </c>
      <c r="EN31" s="158">
        <f>EO31-EM31</f>
        <v>11.68</v>
      </c>
      <c r="EO31" s="152">
        <f>(292/12.5)</f>
        <v>23.36</v>
      </c>
      <c r="EP31" s="158">
        <f>(292/12.5)/2</f>
        <v>11.68</v>
      </c>
      <c r="EQ31" s="158">
        <f>ER31-EP31</f>
        <v>11.68</v>
      </c>
      <c r="ER31" s="152">
        <f>(292/12.5)</f>
        <v>23.36</v>
      </c>
      <c r="ES31" s="158">
        <f>(292/12.5)/2</f>
        <v>11.68</v>
      </c>
      <c r="ET31" s="158">
        <f>EU31-ES31</f>
        <v>11.68</v>
      </c>
      <c r="EU31" s="152">
        <f>(292/12.5)</f>
        <v>23.36</v>
      </c>
      <c r="EV31" s="158">
        <f>(292/12.5)/2</f>
        <v>11.68</v>
      </c>
      <c r="EW31" s="158">
        <f>EX31-EV31</f>
        <v>11.68</v>
      </c>
      <c r="EX31" s="152">
        <f>(292/12.5)</f>
        <v>23.36</v>
      </c>
      <c r="EY31" s="158">
        <f>(292/12.5)/2</f>
        <v>11.68</v>
      </c>
      <c r="EZ31" s="158">
        <f>FA31-EY31</f>
        <v>11.68</v>
      </c>
      <c r="FA31" s="152">
        <f>(292/12.5)</f>
        <v>23.36</v>
      </c>
    </row>
    <row r="32" spans="1:157" ht="13.35" customHeight="1">
      <c r="A32" s="3"/>
      <c r="B32" s="4" t="s">
        <v>568</v>
      </c>
      <c r="C32" s="4"/>
      <c r="D32" s="91"/>
      <c r="E32" s="79"/>
      <c r="F32" s="79"/>
      <c r="G32" s="79"/>
      <c r="H32" s="79"/>
      <c r="I32" s="79"/>
      <c r="J32" s="79"/>
      <c r="K32" s="79"/>
      <c r="L32" s="79"/>
      <c r="M32" s="79"/>
      <c r="N32" s="79"/>
      <c r="O32" s="79"/>
      <c r="P32" s="79"/>
      <c r="Q32" s="79"/>
      <c r="R32" s="79"/>
      <c r="S32" s="79"/>
      <c r="T32" s="79"/>
      <c r="U32" s="79"/>
      <c r="V32" s="79"/>
      <c r="W32" s="79"/>
      <c r="X32" s="79"/>
      <c r="Y32" s="79"/>
      <c r="Z32" s="79"/>
      <c r="AA32" s="79"/>
      <c r="AB32" s="79"/>
      <c r="AC32" s="79"/>
      <c r="AD32" s="79"/>
      <c r="AE32" s="79"/>
      <c r="AF32" s="79"/>
      <c r="AG32" s="79"/>
      <c r="AH32" s="79"/>
      <c r="AI32" s="79"/>
      <c r="AJ32" s="79"/>
      <c r="AK32" s="79"/>
      <c r="AL32" s="79"/>
      <c r="AM32" s="79"/>
      <c r="AN32" s="79"/>
      <c r="AO32" s="79"/>
      <c r="AP32" s="79"/>
      <c r="AQ32" s="79"/>
      <c r="AR32" s="79"/>
      <c r="AS32" s="79"/>
      <c r="AT32" s="79"/>
      <c r="AU32" s="79"/>
      <c r="AV32" s="79"/>
      <c r="AW32" s="79"/>
      <c r="AX32" s="79"/>
      <c r="AY32" s="89"/>
      <c r="AZ32" s="89"/>
      <c r="BA32" s="89"/>
      <c r="BB32" s="89"/>
      <c r="BC32" s="89"/>
      <c r="BD32" s="89"/>
      <c r="BE32" s="89"/>
      <c r="BF32" s="89"/>
      <c r="BG32" s="89"/>
      <c r="BH32" s="89"/>
      <c r="BI32" s="89"/>
      <c r="BJ32" s="89"/>
      <c r="BK32" s="89"/>
      <c r="BL32" s="89"/>
      <c r="BM32" s="89"/>
      <c r="BN32" s="89"/>
      <c r="BO32" s="89"/>
      <c r="BP32" s="89"/>
      <c r="BQ32" s="89"/>
      <c r="BR32" s="89"/>
      <c r="BS32" s="89"/>
      <c r="BT32" s="89"/>
      <c r="BU32" s="89"/>
      <c r="BV32" s="89"/>
      <c r="BW32" s="89"/>
      <c r="BX32" s="89"/>
      <c r="BY32" s="89"/>
      <c r="BZ32" s="89"/>
      <c r="CA32" s="89"/>
      <c r="CB32" s="89"/>
      <c r="CC32" s="89"/>
      <c r="CD32" s="89"/>
      <c r="CE32" s="89"/>
      <c r="CF32" s="89"/>
      <c r="CG32" s="89"/>
      <c r="CH32" s="89"/>
      <c r="CI32" s="89"/>
      <c r="CJ32" s="89"/>
      <c r="CK32" s="89"/>
      <c r="CL32" s="89"/>
      <c r="CM32" s="89"/>
      <c r="CN32" s="89"/>
      <c r="CO32" s="89"/>
      <c r="CP32" s="89"/>
      <c r="CQ32" s="89"/>
      <c r="CR32" s="89"/>
      <c r="CS32" s="89"/>
      <c r="CT32" s="89"/>
      <c r="CU32" s="89"/>
      <c r="CV32" s="89"/>
      <c r="CW32" s="89"/>
      <c r="CX32" s="89"/>
      <c r="CY32" s="89"/>
      <c r="CZ32" s="89"/>
      <c r="DA32" s="89"/>
      <c r="DB32" s="89"/>
      <c r="DC32" s="89"/>
      <c r="DD32" s="89"/>
      <c r="DE32" s="141"/>
      <c r="DF32" s="89"/>
      <c r="DG32" s="89"/>
      <c r="DH32" s="141"/>
      <c r="DI32" s="89"/>
      <c r="DJ32" s="89"/>
      <c r="DK32" s="141"/>
      <c r="DL32" s="89"/>
      <c r="DM32" s="89"/>
      <c r="DN32" s="141"/>
      <c r="DO32" s="89"/>
      <c r="DP32" s="89"/>
      <c r="DQ32" s="141"/>
      <c r="DR32" s="89"/>
      <c r="DS32" s="89"/>
      <c r="DT32" s="141"/>
      <c r="DU32" s="89"/>
      <c r="DV32" s="89"/>
      <c r="DW32" s="141"/>
      <c r="DX32" s="89"/>
      <c r="DY32" s="89"/>
      <c r="DZ32" s="141"/>
      <c r="EA32" s="89"/>
      <c r="EB32" s="89"/>
      <c r="EC32" s="141"/>
      <c r="ED32" s="89"/>
      <c r="EE32" s="89"/>
      <c r="EF32" s="141"/>
      <c r="EG32" s="89"/>
      <c r="EH32" s="89"/>
      <c r="EI32" s="141"/>
      <c r="EJ32" s="89"/>
      <c r="EK32" s="89"/>
      <c r="EL32" s="141"/>
      <c r="EM32" s="89"/>
      <c r="EN32" s="89"/>
      <c r="EO32" s="141"/>
      <c r="EP32" s="89"/>
      <c r="EQ32" s="89"/>
      <c r="ER32" s="141"/>
      <c r="ES32" s="89"/>
      <c r="ET32" s="89"/>
      <c r="EU32" s="141"/>
      <c r="EV32" s="89"/>
      <c r="EW32" s="89"/>
      <c r="EX32" s="141"/>
      <c r="EY32" s="89"/>
      <c r="EZ32" s="89"/>
      <c r="FA32" s="141"/>
    </row>
    <row r="33" spans="1:157" ht="13.35" customHeight="1" outlineLevel="1">
      <c r="A33" s="3"/>
      <c r="B33" s="4" t="s">
        <v>569</v>
      </c>
      <c r="C33" s="4"/>
      <c r="D33" s="4"/>
      <c r="E33" s="92"/>
      <c r="F33" s="92" t="str">
        <f>IF(G33&lt;&gt;"",G33,"")</f>
        <v/>
      </c>
      <c r="G33" s="93"/>
      <c r="H33" s="93"/>
      <c r="I33" s="92" t="str">
        <f>IF(J33&lt;&gt;"",J33,"")</f>
        <v/>
      </c>
      <c r="J33" s="93"/>
      <c r="K33" s="93"/>
      <c r="L33" s="92" t="str">
        <f>IF(M33&lt;&gt;"",M33,"")</f>
        <v/>
      </c>
      <c r="M33" s="93"/>
      <c r="N33" s="93"/>
      <c r="O33" s="92" t="str">
        <f>IF(P33&lt;&gt;"",P33,"")</f>
        <v/>
      </c>
      <c r="P33" s="93"/>
      <c r="Q33" s="93"/>
      <c r="R33" s="92" t="str">
        <f>IF(S33&lt;&gt;"",S33,"")</f>
        <v/>
      </c>
      <c r="S33" s="93"/>
      <c r="T33" s="93"/>
      <c r="U33" s="92" t="str">
        <f>IF(V33&lt;&gt;"",V33,"")</f>
        <v/>
      </c>
      <c r="V33" s="93"/>
      <c r="W33" s="93"/>
      <c r="X33" s="92" t="str">
        <f>IF(Y33&lt;&gt;"",Y33,"")</f>
        <v/>
      </c>
      <c r="Y33" s="93"/>
      <c r="Z33" s="93"/>
      <c r="AA33" s="92" t="str">
        <f>IF(AB33&lt;&gt;"",AB33,"")</f>
        <v/>
      </c>
      <c r="AB33" s="93"/>
      <c r="AC33" s="93"/>
      <c r="AD33" s="92" t="str">
        <f>IF(AE33&lt;&gt;"",AE33,"")</f>
        <v/>
      </c>
      <c r="AE33" s="93"/>
      <c r="AF33" s="93"/>
      <c r="AG33" s="92" t="str">
        <f>IF(AH33&lt;&gt;"",AH33,"")</f>
        <v/>
      </c>
      <c r="AH33" s="93"/>
      <c r="AI33" s="93"/>
      <c r="AJ33" s="92" t="str">
        <f>IF(AK33&lt;&gt;"",AK33,"")</f>
        <v/>
      </c>
      <c r="AK33" s="93"/>
      <c r="AL33" s="93"/>
      <c r="AM33" s="92" t="str">
        <f>IF(AN33&lt;&gt;"",AN33,"")</f>
        <v/>
      </c>
      <c r="AN33" s="93"/>
      <c r="AO33" s="93"/>
      <c r="AP33" s="93"/>
      <c r="AQ33" s="93"/>
      <c r="AR33" s="93"/>
      <c r="AS33" s="93"/>
      <c r="AT33" s="93"/>
      <c r="AU33" s="93"/>
      <c r="AV33" s="93"/>
      <c r="AW33" s="93"/>
      <c r="AX33" s="93"/>
      <c r="AY33" s="92" t="str">
        <f>IF(AZ33&lt;&gt;"",AZ33,"")</f>
        <v/>
      </c>
      <c r="AZ33" s="92"/>
      <c r="BA33" s="94" t="str">
        <f>IF(Model!BA246&lt;&gt;"",Model!BA246,"")</f>
        <v/>
      </c>
      <c r="BB33" s="94">
        <f>IF(Model!BB246&lt;&gt;"",Model!BB246,"")</f>
        <v>0</v>
      </c>
      <c r="BC33" s="94" t="str">
        <f>IF(Model!BC246&lt;&gt;"",Model!BC246,"")</f>
        <v/>
      </c>
      <c r="BD33" s="94" t="str">
        <f>IF(Model!BD246&lt;&gt;"",Model!BD246,"")</f>
        <v/>
      </c>
      <c r="BE33" s="94">
        <f>IF(Model!BE246&lt;&gt;"",Model!BE246,"")</f>
        <v>0</v>
      </c>
      <c r="BF33" s="94" t="str">
        <f>IF(Model!BF246&lt;&gt;"",Model!BF246,"")</f>
        <v/>
      </c>
      <c r="BG33" s="94" t="str">
        <f>IF(Model!BG246&lt;&gt;"",Model!BG246,"")</f>
        <v/>
      </c>
      <c r="BH33" s="94">
        <f>IF(Model!BH246&lt;&gt;"",Model!BH246,"")</f>
        <v>0</v>
      </c>
      <c r="BI33" s="94" t="str">
        <f>IF(Model!BI246&lt;&gt;"",Model!BI246,"")</f>
        <v/>
      </c>
      <c r="BJ33" s="94" t="str">
        <f>IF(Model!BJ246&lt;&gt;"",Model!BJ246,"")</f>
        <v/>
      </c>
      <c r="BK33" s="94">
        <f>IF(Model!BK246&lt;&gt;"",Model!BK246,"")</f>
        <v>0</v>
      </c>
      <c r="BL33" s="94" t="str">
        <f>IF(Model!BL246&lt;&gt;"",Model!BL246,"")</f>
        <v/>
      </c>
      <c r="BM33" s="94" t="str">
        <f>IF(Model!BM246&lt;&gt;"",Model!BM246,"")</f>
        <v/>
      </c>
      <c r="BN33" s="94">
        <f>IF(Model!BN246&lt;&gt;"",Model!BN246,"")</f>
        <v>0</v>
      </c>
      <c r="BO33" s="94" t="str">
        <f>IF(Model!BO246&lt;&gt;"",Model!BO246,"")</f>
        <v/>
      </c>
      <c r="BP33" s="94" t="str">
        <f>IF(Model!BP246&lt;&gt;"",Model!BP246,"")</f>
        <v/>
      </c>
      <c r="BQ33" s="94">
        <f>IF(Model!BQ246&lt;&gt;"",Model!BQ246,"")</f>
        <v>0</v>
      </c>
      <c r="BR33" s="94" t="str">
        <f>IF(Model!BR246&lt;&gt;"",Model!BR246,"")</f>
        <v/>
      </c>
      <c r="BS33" s="94" t="str">
        <f>IF(Model!BS246&lt;&gt;"",Model!BS246,"")</f>
        <v/>
      </c>
      <c r="BT33" s="94">
        <f>IF(Model!BT246&lt;&gt;"",Model!BT246,"")</f>
        <v>0</v>
      </c>
      <c r="BU33" s="94" t="str">
        <f>IF(Model!BU246&lt;&gt;"",Model!BU246,"")</f>
        <v/>
      </c>
      <c r="BV33" s="94" t="str">
        <f>IF(Model!BV246&lt;&gt;"",Model!BV246,"")</f>
        <v/>
      </c>
      <c r="BW33" s="94" t="str">
        <f>IF(Model!BW246&lt;&gt;"",Model!BW246,"")</f>
        <v/>
      </c>
      <c r="BX33" s="94" t="str">
        <f>IF(Model!BX246&lt;&gt;"",Model!BX246,"")</f>
        <v/>
      </c>
      <c r="BY33" s="94" t="str">
        <f>IF(Model!BY246&lt;&gt;"",Model!BY246,"")</f>
        <v/>
      </c>
      <c r="BZ33" s="94" t="str">
        <f>IF(Model!BZ246&lt;&gt;"",Model!BZ246,"")</f>
        <v/>
      </c>
      <c r="CA33" s="94" t="str">
        <f>IF(Model!CA246&lt;&gt;"",Model!CA246,"")</f>
        <v/>
      </c>
      <c r="CB33" s="94" t="str">
        <f>IF(Model!CB246&lt;&gt;"",Model!CB246,"")</f>
        <v/>
      </c>
      <c r="CC33" s="94" t="str">
        <f>IF(Model!CC246&lt;&gt;"",Model!CC246,"")</f>
        <v/>
      </c>
      <c r="CD33" s="94" t="str">
        <f>IF(Model!CD246&lt;&gt;"",Model!CD246,"")</f>
        <v/>
      </c>
      <c r="CE33" s="94" t="str">
        <f>IF(Model!CE246&lt;&gt;"",Model!CE246,"")</f>
        <v/>
      </c>
      <c r="CF33" s="94" t="str">
        <f>IF(Model!CF246&lt;&gt;"",Model!CF246,"")</f>
        <v/>
      </c>
      <c r="CG33" s="94" t="str">
        <f>IF(Model!CG246&lt;&gt;"",Model!CG246,"")</f>
        <v/>
      </c>
      <c r="CH33" s="94" t="str">
        <f>IF(Model!CH246&lt;&gt;"",Model!CH246,"")</f>
        <v/>
      </c>
      <c r="CI33" s="94" t="str">
        <f>IF(Model!CI246&lt;&gt;"",Model!CI246,"")</f>
        <v/>
      </c>
      <c r="CJ33" s="94" t="str">
        <f>IF(Model!CJ246&lt;&gt;"",Model!CJ246,"")</f>
        <v/>
      </c>
      <c r="CK33" s="94" t="str">
        <f>IF(Model!CK246&lt;&gt;"",Model!CK246,"")</f>
        <v/>
      </c>
      <c r="CL33" s="94" t="str">
        <f>IF(Model!CL246&lt;&gt;"",Model!CL246,"")</f>
        <v/>
      </c>
      <c r="CM33" s="94" t="str">
        <f>IF(Model!CM246&lt;&gt;"",Model!CM246,"")</f>
        <v/>
      </c>
      <c r="CN33" s="94" t="str">
        <f>IF(Model!CN246&lt;&gt;"",Model!CN246,"")</f>
        <v/>
      </c>
      <c r="CO33" s="94" t="str">
        <f>IF(Model!CO246&lt;&gt;"",Model!CO246,"")</f>
        <v/>
      </c>
      <c r="CP33" s="94" t="str">
        <f>IF(Model!CP246&lt;&gt;"",Model!CP246,"")</f>
        <v/>
      </c>
      <c r="CQ33" s="94" t="str">
        <f>IF(Model!CQ246&lt;&gt;"",Model!CQ246,"")</f>
        <v/>
      </c>
      <c r="CR33" s="94" t="str">
        <f>IF(Model!CR246&lt;&gt;"",Model!CR246,"")</f>
        <v/>
      </c>
      <c r="CS33" s="94" t="str">
        <f>IF(Model!CS246&lt;&gt;"",Model!CS246,"")</f>
        <v/>
      </c>
      <c r="CT33" s="94" t="str">
        <f>IF(Model!CT246&lt;&gt;"",Model!CT246,"")</f>
        <v/>
      </c>
      <c r="CU33" s="94" t="str">
        <f>IF(Model!CU246&lt;&gt;"",Model!CU246,"")</f>
        <v/>
      </c>
      <c r="CV33" s="94" t="str">
        <f>IF(Model!CV246&lt;&gt;"",Model!CV246,"")</f>
        <v/>
      </c>
      <c r="CW33" s="94" t="str">
        <f>IF(Model!CW246&lt;&gt;"",Model!CW246,"")</f>
        <v/>
      </c>
      <c r="CX33" s="94" t="str">
        <f>IF(Model!CX246&lt;&gt;"",Model!CX246,"")</f>
        <v/>
      </c>
      <c r="CY33" s="94" t="str">
        <f>IF(Model!CY246&lt;&gt;"",Model!CY246,"")</f>
        <v/>
      </c>
      <c r="CZ33" s="94">
        <f>IF(Model!CZ246&lt;&gt;"",Model!CZ246,"")</f>
        <v>0</v>
      </c>
      <c r="DA33" s="94">
        <f>IF(Model!DA246&lt;&gt;"",Model!DA246,"")</f>
        <v>0</v>
      </c>
      <c r="DB33" s="94">
        <f>IF(Model!DB246&lt;&gt;"",Model!DB246,"")</f>
        <v>0</v>
      </c>
      <c r="DC33" s="94" t="str">
        <f>IF(Model!DC246&lt;&gt;"",Model!DC246,"")</f>
        <v/>
      </c>
      <c r="DD33" s="94" t="str">
        <f>IF(Model!DD246&lt;&gt;"",Model!DD246,"")</f>
        <v/>
      </c>
      <c r="DE33" s="143" t="str">
        <f>IF(Model!DE246&lt;&gt;"",Model!DE246,"")</f>
        <v/>
      </c>
      <c r="DF33" s="94" t="str">
        <f>IF(Model!DF246&lt;&gt;"",Model!DF246,"")</f>
        <v/>
      </c>
      <c r="DG33" s="94" t="str">
        <f>IF(Model!DG246&lt;&gt;"",Model!DG246,"")</f>
        <v/>
      </c>
      <c r="DH33" s="143" t="str">
        <f>IF(Model!DH246&lt;&gt;"",Model!DH246,"")</f>
        <v/>
      </c>
      <c r="DI33" s="94" t="str">
        <f>IF(Model!DI246&lt;&gt;"",Model!DI246,"")</f>
        <v/>
      </c>
      <c r="DJ33" s="94" t="str">
        <f>IF(Model!DJ246&lt;&gt;"",Model!DJ246,"")</f>
        <v/>
      </c>
      <c r="DK33" s="143" t="str">
        <f>IF(Model!DK246&lt;&gt;"",Model!DK246,"")</f>
        <v/>
      </c>
      <c r="DL33" s="94" t="str">
        <f>IF(Model!DL246&lt;&gt;"",Model!DL246,"")</f>
        <v/>
      </c>
      <c r="DM33" s="94" t="str">
        <f>IF(Model!DM246&lt;&gt;"",Model!DM246,"")</f>
        <v/>
      </c>
      <c r="DN33" s="143" t="str">
        <f>IF(Model!DN246&lt;&gt;"",Model!DN246,"")</f>
        <v/>
      </c>
      <c r="DO33" s="94" t="str">
        <f>IF(Model!DO246&lt;&gt;"",Model!DO246,"")</f>
        <v/>
      </c>
      <c r="DP33" s="94" t="str">
        <f>IF(Model!DP246&lt;&gt;"",Model!DP246,"")</f>
        <v/>
      </c>
      <c r="DQ33" s="143" t="str">
        <f>IF(Model!DQ246&lt;&gt;"",Model!DQ246,"")</f>
        <v/>
      </c>
      <c r="DR33" s="94" t="str">
        <f>IF(Model!DR246&lt;&gt;"",Model!DR246,"")</f>
        <v/>
      </c>
      <c r="DS33" s="94" t="str">
        <f>IF(Model!DS246&lt;&gt;"",Model!DS246,"")</f>
        <v/>
      </c>
      <c r="DT33" s="143" t="str">
        <f>IF(Model!DT246&lt;&gt;"",Model!DT246,"")</f>
        <v/>
      </c>
      <c r="DU33" s="94" t="str">
        <f>IF(Model!DU246&lt;&gt;"",Model!DU246,"")</f>
        <v/>
      </c>
      <c r="DV33" s="94">
        <f>IF(Model!DV246&lt;&gt;"",Model!DV246,"")</f>
        <v>0</v>
      </c>
      <c r="DW33" s="143">
        <f>IF(Model!DW246&lt;&gt;"",Model!DW246,"")</f>
        <v>0</v>
      </c>
      <c r="DX33" s="94" t="str">
        <f>IF(Model!DX246&lt;&gt;"",Model!DX246,"")</f>
        <v/>
      </c>
      <c r="DY33" s="94">
        <f>IF(Model!DY246&lt;&gt;"",Model!DY246,"")</f>
        <v>0</v>
      </c>
      <c r="DZ33" s="143">
        <f>IF(Model!DZ246&lt;&gt;"",Model!DZ246,"")</f>
        <v>0</v>
      </c>
      <c r="EA33" s="94">
        <f>IF(Model!EA246&lt;&gt;"",Model!EA246,"")</f>
        <v>0</v>
      </c>
      <c r="EB33" s="94">
        <f>IF(Model!EB246&lt;&gt;"",Model!EB246,"")</f>
        <v>0</v>
      </c>
      <c r="EC33" s="143">
        <f>IF(Model!EC246&lt;&gt;"",Model!EC246,"")</f>
        <v>0</v>
      </c>
      <c r="ED33" s="94">
        <f>IF(Model!ED246&lt;&gt;"",Model!ED246,"")</f>
        <v>0</v>
      </c>
      <c r="EE33" s="94">
        <f>IF(Model!EE246&lt;&gt;"",Model!EE246,"")</f>
        <v>0</v>
      </c>
      <c r="EF33" s="143">
        <f>IF(Model!EF246&lt;&gt;"",Model!EF246,"")</f>
        <v>0</v>
      </c>
      <c r="EG33" s="94">
        <f>IF(Model!EG246&lt;&gt;"",Model!EG246,"")</f>
        <v>0</v>
      </c>
      <c r="EH33" s="94">
        <f>IF(Model!EH246&lt;&gt;"",Model!EH246,"")</f>
        <v>0</v>
      </c>
      <c r="EI33" s="143">
        <f>IF(Model!EI246&lt;&gt;"",Model!EI246,"")</f>
        <v>0</v>
      </c>
      <c r="EJ33" s="94">
        <f>IF(Model!EJ246&lt;&gt;"",Model!EJ246,"")</f>
        <v>0</v>
      </c>
      <c r="EK33" s="94">
        <f>IF(Model!EK246&lt;&gt;"",Model!EK246,"")</f>
        <v>0</v>
      </c>
      <c r="EL33" s="143">
        <f>IF(Model!EL246&lt;&gt;"",Model!EL246,"")</f>
        <v>0</v>
      </c>
      <c r="EM33" s="94">
        <f>IF(Model!EM246&lt;&gt;"",Model!EM246,"")</f>
        <v>0</v>
      </c>
      <c r="EN33" s="94">
        <f>IF(Model!EN246&lt;&gt;"",Model!EN246,"")</f>
        <v>0</v>
      </c>
      <c r="EO33" s="143">
        <f>IF(Model!EO246&lt;&gt;"",Model!EO246,"")</f>
        <v>0</v>
      </c>
      <c r="EP33" s="94">
        <f>IF(Model!EP246&lt;&gt;"",Model!EP246,"")</f>
        <v>0</v>
      </c>
      <c r="EQ33" s="94">
        <f>IF(Model!EQ246&lt;&gt;"",Model!EQ246,"")</f>
        <v>0</v>
      </c>
      <c r="ER33" s="143">
        <f>IF(Model!ER246&lt;&gt;"",Model!ER246,"")</f>
        <v>0</v>
      </c>
      <c r="ES33" s="94">
        <f>IF(Model!ES246&lt;&gt;"",Model!ES246,"")</f>
        <v>0</v>
      </c>
      <c r="ET33" s="94">
        <f>IF(Model!ET246&lt;&gt;"",Model!ET246,"")</f>
        <v>0</v>
      </c>
      <c r="EU33" s="143">
        <f>IF(Model!EU246&lt;&gt;"",Model!EU246,"")</f>
        <v>0</v>
      </c>
      <c r="EV33" s="94">
        <f>IF(Model!EV246&lt;&gt;"",Model!EV246,"")</f>
        <v>0</v>
      </c>
      <c r="EW33" s="94">
        <f>IF(Model!EW246&lt;&gt;"",Model!EW246,"")</f>
        <v>0</v>
      </c>
      <c r="EX33" s="143">
        <f>IF(Model!EX246&lt;&gt;"",Model!EX246,"")</f>
        <v>0</v>
      </c>
      <c r="EY33" s="94">
        <f>IF(Model!EY246&lt;&gt;"",Model!EY246,"")</f>
        <v>0</v>
      </c>
      <c r="EZ33" s="94">
        <f>IF(Model!EZ246&lt;&gt;"",Model!EZ246,"")</f>
        <v>0</v>
      </c>
      <c r="FA33" s="143">
        <f>IF(Model!FA246&lt;&gt;"",Model!FA246,"")</f>
        <v>0</v>
      </c>
    </row>
    <row r="34" spans="1:157" ht="13.35" customHeight="1" outlineLevel="1">
      <c r="A34" s="3"/>
      <c r="B34" s="4" t="s">
        <v>570</v>
      </c>
      <c r="C34" s="4"/>
      <c r="D34" s="4"/>
      <c r="E34" s="92"/>
      <c r="F34" s="92" t="str">
        <f>IF(G34&lt;&gt;"",G34,"")</f>
        <v/>
      </c>
      <c r="G34" s="93"/>
      <c r="H34" s="93"/>
      <c r="I34" s="92" t="str">
        <f>IF(J34&lt;&gt;"",J34,"")</f>
        <v/>
      </c>
      <c r="J34" s="93"/>
      <c r="K34" s="93"/>
      <c r="L34" s="92" t="str">
        <f>IF(M34&lt;&gt;"",M34,"")</f>
        <v/>
      </c>
      <c r="M34" s="93"/>
      <c r="N34" s="93"/>
      <c r="O34" s="92" t="str">
        <f>IF(P34&lt;&gt;"",P34,"")</f>
        <v/>
      </c>
      <c r="P34" s="93"/>
      <c r="Q34" s="93"/>
      <c r="R34" s="92" t="str">
        <f>IF(S34&lt;&gt;"",S34,"")</f>
        <v/>
      </c>
      <c r="S34" s="93"/>
      <c r="T34" s="93"/>
      <c r="U34" s="92" t="str">
        <f>IF(V34&lt;&gt;"",V34,"")</f>
        <v/>
      </c>
      <c r="V34" s="93"/>
      <c r="W34" s="93"/>
      <c r="X34" s="92" t="str">
        <f>IF(Y34&lt;&gt;"",Y34,"")</f>
        <v/>
      </c>
      <c r="Y34" s="93"/>
      <c r="Z34" s="93"/>
      <c r="AA34" s="92" t="str">
        <f>IF(AB34&lt;&gt;"",AB34,"")</f>
        <v/>
      </c>
      <c r="AB34" s="93"/>
      <c r="AC34" s="93"/>
      <c r="AD34" s="92" t="str">
        <f>IF(AE34&lt;&gt;"",AE34,"")</f>
        <v/>
      </c>
      <c r="AE34" s="93"/>
      <c r="AF34" s="93"/>
      <c r="AG34" s="92" t="str">
        <f>IF(AH34&lt;&gt;"",AH34,"")</f>
        <v/>
      </c>
      <c r="AH34" s="93"/>
      <c r="AI34" s="93"/>
      <c r="AJ34" s="92" t="str">
        <f>IF(AK34&lt;&gt;"",AK34,"")</f>
        <v/>
      </c>
      <c r="AK34" s="93"/>
      <c r="AL34" s="93"/>
      <c r="AM34" s="92" t="str">
        <f>IF(AN34&lt;&gt;"",AN34,"")</f>
        <v/>
      </c>
      <c r="AN34" s="93"/>
      <c r="AO34" s="93"/>
      <c r="AP34" s="92" t="str">
        <f>IF(AQ34&lt;&gt;"",AQ34,"")</f>
        <v/>
      </c>
      <c r="AQ34" s="93"/>
      <c r="AR34" s="93"/>
      <c r="AS34" s="92" t="str">
        <f>IF(AT34&lt;&gt;"",AT34,"")</f>
        <v/>
      </c>
      <c r="AT34" s="93"/>
      <c r="AU34" s="93"/>
      <c r="AV34" s="92" t="str">
        <f>IF(AW34&lt;&gt;"",AW34,"")</f>
        <v/>
      </c>
      <c r="AW34" s="93"/>
      <c r="AX34" s="93"/>
      <c r="AY34" s="92" t="str">
        <f>IF(AZ34&lt;&gt;"",AZ34,"")</f>
        <v/>
      </c>
      <c r="AZ34" s="93"/>
      <c r="BA34" s="93"/>
      <c r="BB34" s="92" t="str">
        <f>IF(BC34&lt;&gt;"",BC34,"")</f>
        <v/>
      </c>
      <c r="BC34" s="93"/>
      <c r="BD34" s="93"/>
      <c r="BE34" s="92" t="str">
        <f>IF(BF34&lt;&gt;"",BF34,"")</f>
        <v/>
      </c>
      <c r="BF34" s="93"/>
      <c r="BG34" s="93"/>
      <c r="BH34" s="92" t="str">
        <f>IF(BI34&lt;&gt;"",BI34,"")</f>
        <v/>
      </c>
      <c r="BI34" s="93"/>
      <c r="BJ34" s="93"/>
      <c r="BK34" s="92" t="str">
        <f>IF(BL34&lt;&gt;"",BL34,"")</f>
        <v/>
      </c>
      <c r="BL34" s="93"/>
      <c r="BM34" s="93"/>
      <c r="BN34" s="92" t="str">
        <f>IF(BO34&lt;&gt;"",BO34,"")</f>
        <v/>
      </c>
      <c r="BO34" s="93"/>
      <c r="BP34" s="93"/>
      <c r="BQ34" s="92" t="str">
        <f>IF(BR34&lt;&gt;"",BR34,"")</f>
        <v/>
      </c>
      <c r="BR34" s="93"/>
      <c r="BS34" s="93"/>
      <c r="BT34" s="92" t="str">
        <f>IF(BU34&lt;&gt;"",BU34,"")</f>
        <v/>
      </c>
      <c r="BU34" s="93"/>
      <c r="BV34" s="93"/>
      <c r="BW34" s="92" t="str">
        <f>IF(BX34&lt;&gt;"",BX34,"")</f>
        <v/>
      </c>
      <c r="BX34" s="93"/>
      <c r="BY34" s="93"/>
      <c r="BZ34" s="92" t="str">
        <f>IF(CA34&lt;&gt;"",CA34,"")</f>
        <v/>
      </c>
      <c r="CA34" s="93"/>
      <c r="CB34" s="93"/>
      <c r="CC34" s="92" t="str">
        <f>IF(CD34&lt;&gt;"",CD34,"")</f>
        <v/>
      </c>
      <c r="CD34" s="93"/>
      <c r="CE34" s="93"/>
      <c r="CF34" s="92" t="str">
        <f>IF(CG34&lt;&gt;"",CG34,"")</f>
        <v/>
      </c>
      <c r="CG34" s="93"/>
      <c r="CH34" s="93"/>
      <c r="CI34" s="92" t="str">
        <f>IF(CJ34&lt;&gt;"",CJ34,"")</f>
        <v/>
      </c>
      <c r="CJ34" s="93"/>
      <c r="CK34" s="93"/>
      <c r="CL34" s="92" t="str">
        <f>IF(CM34&lt;&gt;"",CM34,"")</f>
        <v/>
      </c>
      <c r="CM34" s="93"/>
      <c r="CN34" s="93"/>
      <c r="CO34" s="92" t="str">
        <f>IF(CP34&lt;&gt;"",CP34,"")</f>
        <v/>
      </c>
      <c r="CP34" s="93"/>
      <c r="CQ34" s="93"/>
      <c r="CR34" s="92" t="str">
        <f>IF(CS34&lt;&gt;"",CS34,"")</f>
        <v/>
      </c>
      <c r="CS34" s="93"/>
      <c r="CT34" s="93"/>
      <c r="CU34" s="92" t="str">
        <f>IF(CV34&lt;&gt;"",CV34,"")</f>
        <v/>
      </c>
      <c r="CV34" s="93"/>
      <c r="CW34" s="93"/>
      <c r="CX34" s="92" t="str">
        <f>IF(CY34&lt;&gt;"",CY34,"")</f>
        <v/>
      </c>
      <c r="CY34" s="93"/>
      <c r="CZ34" s="93"/>
      <c r="DA34" s="92" t="str">
        <f>IF(DB34&lt;&gt;"",DB34,"")</f>
        <v/>
      </c>
      <c r="DB34" s="93"/>
      <c r="DC34" s="93"/>
      <c r="DD34" s="92" t="str">
        <f>IF(DE34&lt;&gt;"",DE34,"")</f>
        <v/>
      </c>
      <c r="DE34" s="144"/>
      <c r="DF34" s="93"/>
      <c r="DG34" s="92" t="str">
        <f>IF(DH34&lt;&gt;"",DH34,"")</f>
        <v/>
      </c>
      <c r="DH34" s="144"/>
      <c r="DI34" s="93"/>
      <c r="DJ34" s="92" t="str">
        <f>IF(DK34&lt;&gt;"",DK34,"")</f>
        <v/>
      </c>
      <c r="DK34" s="144"/>
      <c r="DL34" s="93"/>
      <c r="DM34" s="92" t="str">
        <f>IF(DN34&lt;&gt;"",DN34,"")</f>
        <v/>
      </c>
      <c r="DN34" s="144"/>
      <c r="DO34" s="93"/>
      <c r="DP34" s="92" t="str">
        <f>IF(DQ34&lt;&gt;"",DQ34,"")</f>
        <v/>
      </c>
      <c r="DQ34" s="144"/>
      <c r="DR34" s="93"/>
      <c r="DS34" s="92" t="str">
        <f>IF(DT34&lt;&gt;"",DT34,"")</f>
        <v/>
      </c>
      <c r="DT34" s="144"/>
      <c r="DU34" s="93"/>
      <c r="DV34" s="92" t="str">
        <f>IF(DW34&lt;&gt;"",DW34,"")</f>
        <v/>
      </c>
      <c r="DW34" s="144"/>
      <c r="DX34" s="93"/>
      <c r="DY34" s="92" t="str">
        <f>IF(DZ34&lt;&gt;"",DZ34,"")</f>
        <v/>
      </c>
      <c r="DZ34" s="144"/>
      <c r="EA34" s="93"/>
      <c r="EB34" s="92" t="str">
        <f>IF(EC34&lt;&gt;"",EC34,"")</f>
        <v/>
      </c>
      <c r="EC34" s="144"/>
      <c r="ED34" s="93"/>
      <c r="EE34" s="92" t="str">
        <f>IF(EF34&lt;&gt;"",EF34,"")</f>
        <v/>
      </c>
      <c r="EF34" s="144"/>
      <c r="EG34" s="93"/>
      <c r="EH34" s="92" t="str">
        <f>IF(EI34&lt;&gt;"",EI34,"")</f>
        <v/>
      </c>
      <c r="EI34" s="144"/>
      <c r="EJ34" s="93"/>
      <c r="EK34" s="92" t="str">
        <f>IF(EL34&lt;&gt;"",EL34,"")</f>
        <v/>
      </c>
      <c r="EL34" s="144"/>
      <c r="EM34" s="93"/>
      <c r="EN34" s="92" t="str">
        <f>IF(EO34&lt;&gt;"",EO34,"")</f>
        <v/>
      </c>
      <c r="EO34" s="144"/>
      <c r="EP34" s="93"/>
      <c r="EQ34" s="92" t="str">
        <f>IF(ER34&lt;&gt;"",ER34,"")</f>
        <v/>
      </c>
      <c r="ER34" s="144"/>
      <c r="ES34" s="93"/>
      <c r="ET34" s="92" t="str">
        <f>IF(EU34&lt;&gt;"",EU34,"")</f>
        <v/>
      </c>
      <c r="EU34" s="144"/>
      <c r="EV34" s="93"/>
      <c r="EW34" s="92" t="str">
        <f>IF(EX34&lt;&gt;"",EX34,"")</f>
        <v/>
      </c>
      <c r="EX34" s="144"/>
      <c r="EY34" s="93"/>
      <c r="EZ34" s="92" t="str">
        <f>IF(FA34&lt;&gt;"",FA34,"")</f>
        <v/>
      </c>
      <c r="FA34" s="144"/>
    </row>
    <row r="35" spans="1:157" ht="13.35" customHeight="1" outlineLevel="1">
      <c r="A35" s="3"/>
      <c r="B35" s="4" t="s">
        <v>571</v>
      </c>
      <c r="C35" s="4"/>
      <c r="D35" s="91"/>
      <c r="E35" s="94" t="s">
        <v>187</v>
      </c>
      <c r="F35" s="94" t="s">
        <v>187</v>
      </c>
      <c r="G35" s="94"/>
      <c r="H35" s="94"/>
      <c r="I35" s="94"/>
      <c r="J35" s="94"/>
      <c r="K35" s="94"/>
      <c r="L35" s="94"/>
      <c r="M35" s="94"/>
      <c r="N35" s="94"/>
      <c r="O35" s="94"/>
      <c r="P35" s="94"/>
      <c r="Q35" s="94"/>
      <c r="R35" s="94"/>
      <c r="S35" s="94"/>
      <c r="T35" s="94"/>
      <c r="U35" s="94"/>
      <c r="V35" s="94"/>
      <c r="W35" s="94"/>
      <c r="X35" s="94"/>
      <c r="Y35" s="94"/>
      <c r="Z35" s="94"/>
      <c r="AA35" s="94"/>
      <c r="AB35" s="94"/>
      <c r="AC35" s="94"/>
      <c r="AD35" s="94"/>
      <c r="AE35" s="94"/>
      <c r="AF35" s="94"/>
      <c r="AG35" s="94"/>
      <c r="AH35" s="94"/>
      <c r="AI35" s="94"/>
      <c r="AJ35" s="94"/>
      <c r="AK35" s="94"/>
      <c r="AL35" s="94" t="str">
        <f>IF(Model!AL246&lt;&gt;"",Model!AL246,"")</f>
        <v/>
      </c>
      <c r="AM35" s="94" t="str">
        <f>IF(Model!AN246&lt;&gt;"",Model!AM246,"")</f>
        <v/>
      </c>
      <c r="AN35" s="94" t="str">
        <f>IF(Model!AN246&lt;&gt;"",Model!AN246,"")</f>
        <v/>
      </c>
      <c r="AO35" s="94" t="str">
        <f>IF(Model!AO246&lt;&gt;"",Model!AO246,"")</f>
        <v/>
      </c>
      <c r="AP35" s="94" t="str">
        <f>IF(Model!AQ246&lt;&gt;"",Model!AP246,"")</f>
        <v/>
      </c>
      <c r="AQ35" s="94" t="str">
        <f>IF(Model!AQ246&lt;&gt;"",Model!AQ246,"")</f>
        <v/>
      </c>
      <c r="AR35" s="94" t="str">
        <f>IF(Model!AR246&lt;&gt;"",Model!AR246,"")</f>
        <v/>
      </c>
      <c r="AS35" s="94" t="str">
        <f>IF(Model!AT246&lt;&gt;"",Model!AS246,"")</f>
        <v/>
      </c>
      <c r="AT35" s="94" t="str">
        <f>IF(Model!AT246&lt;&gt;"",Model!AT246,"")</f>
        <v/>
      </c>
      <c r="AU35" s="94" t="str">
        <f>IF(Model!AU246&lt;&gt;"",Model!AU246,"")</f>
        <v/>
      </c>
      <c r="AV35" s="94" t="str">
        <f>IF(Model!AW246&lt;&gt;"",Model!AV246,"")</f>
        <v/>
      </c>
      <c r="AW35" s="94" t="str">
        <f>IF(Model!AW246&lt;&gt;"",Model!AW246,"")</f>
        <v/>
      </c>
      <c r="AX35" s="94" t="str">
        <f>IF(Model!AX246&lt;&gt;"",Model!AX246,"")</f>
        <v/>
      </c>
      <c r="AY35" s="94" t="str">
        <f>IF(Model!AZ246&lt;&gt;"",Model!AY246,"")</f>
        <v/>
      </c>
      <c r="AZ35" s="94" t="str">
        <f>IF(Model!AZ246&lt;&gt;"",Model!AZ246,"")</f>
        <v/>
      </c>
      <c r="BA35" s="94" t="str">
        <f>IF(Model!BA246&lt;&gt;"",Model!BA246,"")</f>
        <v/>
      </c>
      <c r="BB35" s="94" t="str">
        <f>IF(Model!BC246&lt;&gt;"",Model!BB246,"")</f>
        <v/>
      </c>
      <c r="BC35" s="94" t="str">
        <f>IF(Model!BC246&lt;&gt;"",Model!BC246,"")</f>
        <v/>
      </c>
      <c r="BD35" s="94" t="str">
        <f>IF(Model!BD246&lt;&gt;"",Model!BD246,"")</f>
        <v/>
      </c>
      <c r="BE35" s="94" t="str">
        <f>IF(Model!BF246&lt;&gt;"",Model!BE246,"")</f>
        <v/>
      </c>
      <c r="BF35" s="94" t="str">
        <f>IF(Model!BF246&lt;&gt;"",Model!BF246,"")</f>
        <v/>
      </c>
      <c r="BG35" s="94" t="str">
        <f>IF(Model!BG246&lt;&gt;"",Model!BG246,"")</f>
        <v/>
      </c>
      <c r="BH35" s="94" t="str">
        <f>IF(Model!BI246&lt;&gt;"",Model!BH246,"")</f>
        <v/>
      </c>
      <c r="BI35" s="94" t="str">
        <f>IF(Model!BI246&lt;&gt;"",Model!BI246,"")</f>
        <v/>
      </c>
      <c r="BJ35" s="94" t="str">
        <f>IF(Model!BJ246&lt;&gt;"",Model!BJ246,"")</f>
        <v/>
      </c>
      <c r="BK35" s="94" t="str">
        <f>IF(Model!BL246&lt;&gt;"",Model!BK246,"")</f>
        <v/>
      </c>
      <c r="BL35" s="94" t="str">
        <f>IF(Model!BL246&lt;&gt;"",Model!BL246,"")</f>
        <v/>
      </c>
      <c r="BM35" s="94" t="str">
        <f>IF(Model!BM246&lt;&gt;"",Model!BM246,"")</f>
        <v/>
      </c>
      <c r="BN35" s="94" t="str">
        <f>IF(Model!BO246&lt;&gt;"",Model!BN246,"")</f>
        <v/>
      </c>
      <c r="BO35" s="94" t="str">
        <f>IF(Model!BO246&lt;&gt;"",Model!BO246,"")</f>
        <v/>
      </c>
      <c r="BP35" s="94" t="str">
        <f>IF(Model!BP246&lt;&gt;"",Model!BP246,"")</f>
        <v/>
      </c>
      <c r="BQ35" s="94" t="str">
        <f>IF(Model!BR246&lt;&gt;"",Model!BQ246,"")</f>
        <v/>
      </c>
      <c r="BR35" s="94" t="str">
        <f>IF(Model!BR246&lt;&gt;"",Model!BR246,"")</f>
        <v/>
      </c>
      <c r="BS35" s="94" t="str">
        <f>IF(Model!BS246&lt;&gt;"",Model!BS246,"")</f>
        <v/>
      </c>
      <c r="BT35" s="94" t="str">
        <f>IF(Model!BU246&lt;&gt;"",Model!BT246,"")</f>
        <v/>
      </c>
      <c r="BU35" s="94" t="str">
        <f>IF(Model!BU246&lt;&gt;"",Model!BU246,"")</f>
        <v/>
      </c>
      <c r="BV35" s="94" t="str">
        <f>IF(Model!BV246&lt;&gt;"",Model!BV246,"")</f>
        <v/>
      </c>
      <c r="BW35" s="94" t="str">
        <f>IF(Model!BX246&lt;&gt;"",Model!BW246,"")</f>
        <v/>
      </c>
      <c r="BX35" s="94" t="str">
        <f>IF(Model!BX246&lt;&gt;"",Model!BX246,"")</f>
        <v/>
      </c>
      <c r="BY35" s="94" t="str">
        <f>IF(Model!BY246&lt;&gt;"",Model!BY246,"")</f>
        <v/>
      </c>
      <c r="BZ35" s="94" t="str">
        <f>IF(Model!CA246&lt;&gt;"",Model!BZ246,"")</f>
        <v/>
      </c>
      <c r="CA35" s="94" t="str">
        <f>IF(Model!CA246&lt;&gt;"",Model!CA246,"")</f>
        <v/>
      </c>
      <c r="CB35" s="94" t="str">
        <f>IF(Model!CB246&lt;&gt;"",Model!CB246,"")</f>
        <v/>
      </c>
      <c r="CC35" s="94" t="str">
        <f>IF(Model!CD246&lt;&gt;"",Model!CC246,"")</f>
        <v/>
      </c>
      <c r="CD35" s="94" t="str">
        <f>IF(Model!CD246&lt;&gt;"",Model!CD246,"")</f>
        <v/>
      </c>
      <c r="CE35" s="94" t="str">
        <f>IF(Model!CE246&lt;&gt;"",Model!CE246,"")</f>
        <v/>
      </c>
      <c r="CF35" s="94" t="str">
        <f>IF(Model!CG246&lt;&gt;"",Model!CF246,"")</f>
        <v/>
      </c>
      <c r="CG35" s="94" t="str">
        <f>IF(Model!CG246&lt;&gt;"",Model!CG246,"")</f>
        <v/>
      </c>
      <c r="CH35" s="94" t="str">
        <f>IF(Model!CH246&lt;&gt;"",Model!CH246,"")</f>
        <v/>
      </c>
      <c r="CI35" s="94" t="str">
        <f>IF(Model!CJ246&lt;&gt;"",Model!CI246,"")</f>
        <v/>
      </c>
      <c r="CJ35" s="94" t="str">
        <f>IF(Model!CJ246&lt;&gt;"",Model!CJ246,"")</f>
        <v/>
      </c>
      <c r="CK35" s="94" t="str">
        <f>IF(Model!CK246&lt;&gt;"",Model!CK246,"")</f>
        <v/>
      </c>
      <c r="CL35" s="94" t="str">
        <f>IF(Model!CM246&lt;&gt;"",Model!CL246,"")</f>
        <v/>
      </c>
      <c r="CM35" s="94" t="str">
        <f>IF(Model!CM246&lt;&gt;"",Model!CM246,"")</f>
        <v/>
      </c>
      <c r="CN35" s="94" t="str">
        <f>IF(Model!CN246&lt;&gt;"",Model!CN246,"")</f>
        <v/>
      </c>
      <c r="CO35" s="94" t="str">
        <f>IF(Model!CP246&lt;&gt;"",Model!CO246,"")</f>
        <v/>
      </c>
      <c r="CP35" s="94" t="str">
        <f>IF(Model!CP246&lt;&gt;"",Model!CP246,"")</f>
        <v/>
      </c>
      <c r="CQ35" s="94" t="str">
        <f>IF(Model!CQ246&lt;&gt;"",Model!CQ246,"")</f>
        <v/>
      </c>
      <c r="CR35" s="94" t="str">
        <f>IF(Model!CS246&lt;&gt;"",Model!CR246,"")</f>
        <v/>
      </c>
      <c r="CS35" s="94" t="str">
        <f>IF(Model!CS246&lt;&gt;"",Model!CS246,"")</f>
        <v/>
      </c>
      <c r="CT35" s="94" t="str">
        <f>IF(Model!CT246&lt;&gt;"",Model!CT246,"")</f>
        <v/>
      </c>
      <c r="CU35" s="94" t="str">
        <f>IF(Model!CV246&lt;&gt;"",Model!CU246,"")</f>
        <v/>
      </c>
      <c r="CV35" s="94" t="str">
        <f>IF(Model!CV246&lt;&gt;"",Model!CV246,"")</f>
        <v/>
      </c>
      <c r="CW35" s="94" t="str">
        <f>IF(Model!CW246&lt;&gt;"",Model!CW246,"")</f>
        <v/>
      </c>
      <c r="CX35" s="94" t="str">
        <f>IF(Model!CY246&lt;&gt;"",Model!CX246,"")</f>
        <v/>
      </c>
      <c r="CY35" s="94" t="str">
        <f>IF(Model!CY246&lt;&gt;"",Model!CY246,"")</f>
        <v/>
      </c>
      <c r="CZ35" s="94">
        <f>IF(Model!CZ246&lt;&gt;"",Model!CZ246,"")</f>
        <v>0</v>
      </c>
      <c r="DA35" s="94">
        <f>IF(Model!DB246&lt;&gt;"",Model!DA246,"")</f>
        <v>0</v>
      </c>
      <c r="DB35" s="94">
        <f>IF(Model!DB246&lt;&gt;"",Model!DB246,"")</f>
        <v>0</v>
      </c>
      <c r="DC35" s="94" t="str">
        <f>IF(Model!DC246&lt;&gt;"",Model!DC246,"")</f>
        <v/>
      </c>
      <c r="DD35" s="94" t="str">
        <f>IF(Model!DE246&lt;&gt;"",Model!DD246,"")</f>
        <v/>
      </c>
      <c r="DE35" s="143" t="str">
        <f>IF(Model!DE246&lt;&gt;"",Model!DE246,"")</f>
        <v/>
      </c>
      <c r="DF35" s="94" t="str">
        <f>IF(Model!DF246&lt;&gt;"",Model!DF246,"")</f>
        <v/>
      </c>
      <c r="DG35" s="94" t="str">
        <f>IF(Model!DH246&lt;&gt;"",Model!DG246,"")</f>
        <v/>
      </c>
      <c r="DH35" s="143" t="str">
        <f>IF(Model!DH246&lt;&gt;"",Model!DH246,"")</f>
        <v/>
      </c>
      <c r="DI35" s="94" t="str">
        <f>IF(Model!DI246&lt;&gt;"",Model!DI246,"")</f>
        <v/>
      </c>
      <c r="DJ35" s="94" t="str">
        <f>IF(Model!DK246&lt;&gt;"",Model!DJ246,"")</f>
        <v/>
      </c>
      <c r="DK35" s="143" t="str">
        <f>IF(Model!DK246&lt;&gt;"",Model!DK246,"")</f>
        <v/>
      </c>
      <c r="DL35" s="94" t="str">
        <f>IF(Model!DL246&lt;&gt;"",Model!DL246,"")</f>
        <v/>
      </c>
      <c r="DM35" s="94" t="str">
        <f>IF(Model!DN246&lt;&gt;"",Model!DM246,"")</f>
        <v/>
      </c>
      <c r="DN35" s="143" t="str">
        <f>IF(Model!DN246&lt;&gt;"",Model!DN246,"")</f>
        <v/>
      </c>
      <c r="DO35" s="94" t="str">
        <f>IF(Model!DO246&lt;&gt;"",Model!DO246,"")</f>
        <v/>
      </c>
      <c r="DP35" s="94" t="str">
        <f>IF(Model!DQ246&lt;&gt;"",Model!DP246,"")</f>
        <v/>
      </c>
      <c r="DQ35" s="143" t="str">
        <f>IF(Model!DQ246&lt;&gt;"",Model!DQ246,"")</f>
        <v/>
      </c>
      <c r="DR35" s="94" t="str">
        <f>IF(Model!DR246&lt;&gt;"",Model!DR246,"")</f>
        <v/>
      </c>
      <c r="DS35" s="94" t="str">
        <f>IF(Model!DT246&lt;&gt;"",Model!DS246,"")</f>
        <v/>
      </c>
      <c r="DT35" s="143" t="str">
        <f>IF(Model!DT246&lt;&gt;"",Model!DT246,"")</f>
        <v/>
      </c>
      <c r="DU35" s="94" t="str">
        <f>IF(Model!DU246&lt;&gt;"",Model!DU246,"")</f>
        <v/>
      </c>
      <c r="DV35" s="94">
        <f>IF(Model!DW246&lt;&gt;"",Model!DV246,"")</f>
        <v>0</v>
      </c>
      <c r="DW35" s="143">
        <f>IF(Model!DW246&lt;&gt;"",Model!DW246,"")</f>
        <v>0</v>
      </c>
      <c r="DX35" s="94" t="str">
        <f>IF(Model!DX246&lt;&gt;"",Model!DX246,"")</f>
        <v/>
      </c>
      <c r="DY35" s="94">
        <f>IF(Model!DZ246&lt;&gt;"",Model!DY246,"")</f>
        <v>0</v>
      </c>
      <c r="DZ35" s="143">
        <f>IF(Model!DZ246&lt;&gt;"",Model!DZ246,"")</f>
        <v>0</v>
      </c>
      <c r="EA35" s="94">
        <f>IF(Model!EA246&lt;&gt;"",Model!EA246,"")</f>
        <v>0</v>
      </c>
      <c r="EB35" s="94">
        <f>IF(Model!EC246&lt;&gt;"",Model!EB246,"")</f>
        <v>0</v>
      </c>
      <c r="EC35" s="143">
        <f>IF(Model!EC246&lt;&gt;"",Model!EC246,"")</f>
        <v>0</v>
      </c>
      <c r="ED35" s="94">
        <f>IF(Model!ED246&lt;&gt;"",Model!ED246,"")</f>
        <v>0</v>
      </c>
      <c r="EE35" s="94">
        <f>IF(Model!EF246&lt;&gt;"",Model!EE246,"")</f>
        <v>0</v>
      </c>
      <c r="EF35" s="143">
        <f>IF(Model!EF246&lt;&gt;"",Model!EF246,"")</f>
        <v>0</v>
      </c>
      <c r="EG35" s="94">
        <f>IF(Model!EG246&lt;&gt;"",Model!EG246,"")</f>
        <v>0</v>
      </c>
      <c r="EH35" s="94">
        <f>IF(Model!EI246&lt;&gt;"",Model!EH246,"")</f>
        <v>0</v>
      </c>
      <c r="EI35" s="143">
        <f>IF(Model!EI246&lt;&gt;"",Model!EI246,"")</f>
        <v>0</v>
      </c>
      <c r="EJ35" s="94">
        <f>IF(Model!EJ246&lt;&gt;"",Model!EJ246,"")</f>
        <v>0</v>
      </c>
      <c r="EK35" s="94">
        <f>IF(Model!EL246&lt;&gt;"",Model!EK246,"")</f>
        <v>0</v>
      </c>
      <c r="EL35" s="143">
        <f>IF(Model!EL246&lt;&gt;"",Model!EL246,"")</f>
        <v>0</v>
      </c>
      <c r="EM35" s="94">
        <f>IF(Model!EM246&lt;&gt;"",Model!EM246,"")</f>
        <v>0</v>
      </c>
      <c r="EN35" s="94">
        <f>IF(Model!EO246&lt;&gt;"",Model!EN246,"")</f>
        <v>0</v>
      </c>
      <c r="EO35" s="143">
        <f>IF(Model!EO246&lt;&gt;"",Model!EO246,"")</f>
        <v>0</v>
      </c>
      <c r="EP35" s="94">
        <f>IF(Model!EP246&lt;&gt;"",Model!EP246,"")</f>
        <v>0</v>
      </c>
      <c r="EQ35" s="94">
        <f>IF(Model!ER246&lt;&gt;"",Model!EQ246,"")</f>
        <v>0</v>
      </c>
      <c r="ER35" s="143">
        <f>IF(Model!ER246&lt;&gt;"",Model!ER246,"")</f>
        <v>0</v>
      </c>
      <c r="ES35" s="94">
        <f>IF(Model!ES246&lt;&gt;"",Model!ES246,"")</f>
        <v>0</v>
      </c>
      <c r="ET35" s="94">
        <f>IF(Model!EU246&lt;&gt;"",Model!ET246,"")</f>
        <v>0</v>
      </c>
      <c r="EU35" s="143">
        <f>IF(Model!EU246&lt;&gt;"",Model!EU246,"")</f>
        <v>0</v>
      </c>
      <c r="EV35" s="94">
        <f>IF(Model!EV246&lt;&gt;"",Model!EV246,"")</f>
        <v>0</v>
      </c>
      <c r="EW35" s="94">
        <f>IF(Model!EX246&lt;&gt;"",Model!EW246,"")</f>
        <v>0</v>
      </c>
      <c r="EX35" s="143">
        <f>IF(Model!EX246&lt;&gt;"",Model!EX246,"")</f>
        <v>0</v>
      </c>
      <c r="EY35" s="94">
        <f>IF(Model!EY246&lt;&gt;"",Model!EY246,"")</f>
        <v>0</v>
      </c>
      <c r="EZ35" s="94">
        <f>IF(Model!FA246&lt;&gt;"",Model!EZ246,"")</f>
        <v>0</v>
      </c>
      <c r="FA35" s="143">
        <f>IF(Model!FA246&lt;&gt;"",Model!FA246,"")</f>
        <v>0</v>
      </c>
    </row>
    <row r="36" spans="1:157" ht="13.35" customHeight="1" outlineLevel="1">
      <c r="A36" s="3"/>
      <c r="B36" s="4" t="s">
        <v>479</v>
      </c>
      <c r="C36" s="4"/>
      <c r="D36" s="4"/>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c r="AF36" s="93"/>
      <c r="AG36" s="93"/>
      <c r="AH36" s="93"/>
      <c r="AI36" s="93"/>
      <c r="AJ36" s="93"/>
      <c r="AK36" s="93"/>
      <c r="AL36" s="92" t="str">
        <f>IF(AND(AK33&lt;&gt;"",AL33&lt;&gt;""),(AK33+AL33)/2,"")</f>
        <v/>
      </c>
      <c r="AM36" s="92" t="str">
        <f>IF(AND(AL33&lt;&gt;"",AM33&lt;&gt;""),(AL33+AM33)/2,"")</f>
        <v/>
      </c>
      <c r="AN36" s="92" t="str">
        <f>IF(AND(AK33&lt;&gt;"",AN33&lt;&gt;""),(AK33+AN33)/2,"")</f>
        <v/>
      </c>
      <c r="AO36" s="92" t="str">
        <f>IF(AND(AN33&lt;&gt;"",AO33&lt;&gt;""),(AN33+AO33)/2,"")</f>
        <v/>
      </c>
      <c r="AP36" s="92" t="str">
        <f>IF(AND(AO33&lt;&gt;"",AP33&lt;&gt;""),(AO33+AP33)/2,"")</f>
        <v/>
      </c>
      <c r="AQ36" s="92" t="str">
        <f>IF(AND(AN33&lt;&gt;"",AQ33&lt;&gt;""),(AN33+AQ33)/2,"")</f>
        <v/>
      </c>
      <c r="AR36" s="92" t="str">
        <f>IF(AND(AQ33&lt;&gt;"",AR33&lt;&gt;""),(AQ33+AR33)/2,"")</f>
        <v/>
      </c>
      <c r="AS36" s="92" t="str">
        <f>IF(AND(AR33&lt;&gt;"",AS33&lt;&gt;""),(AR33+AS33)/2,"")</f>
        <v/>
      </c>
      <c r="AT36" s="92" t="str">
        <f>IF(AND(AQ33&lt;&gt;"",AT33&lt;&gt;""),(AQ33+AT33)/2,"")</f>
        <v/>
      </c>
      <c r="AU36" s="92" t="str">
        <f>IF(AND(AT33&lt;&gt;"",AU33&lt;&gt;""),(AT33+AU33)/2,"")</f>
        <v/>
      </c>
      <c r="AV36" s="92" t="str">
        <f>IF(AND(AU33&lt;&gt;"",AV33&lt;&gt;""),(AU33+AV33)/2,"")</f>
        <v/>
      </c>
      <c r="AW36" s="92" t="str">
        <f>IF(AND(AT33&lt;&gt;"",AW33&lt;&gt;""),(AT33+AW33)/2,"")</f>
        <v/>
      </c>
      <c r="AX36" s="92" t="str">
        <f>IF(AND(AW33&lt;&gt;"",AX33&lt;&gt;""),(AW33+AX33)/2,"")</f>
        <v/>
      </c>
      <c r="AY36" s="92" t="str">
        <f>IF(AND(AX33&lt;&gt;"",AY33&lt;&gt;""),(AX33+AY33)/2,"")</f>
        <v/>
      </c>
      <c r="AZ36" s="92" t="str">
        <f>IF(AND(AW33&lt;&gt;"",AZ33&lt;&gt;""),(AW33+AZ33)/2,"")</f>
        <v/>
      </c>
      <c r="BA36" s="92" t="str">
        <f>IF(AND(AZ33&lt;&gt;"",BA33&lt;&gt;""),(AZ33+BA33)/2,"")</f>
        <v/>
      </c>
      <c r="BB36" s="92" t="str">
        <f>IF(AND(BA33&lt;&gt;"",BB33&lt;&gt;""),(BA33+BB33)/2,"")</f>
        <v/>
      </c>
      <c r="BC36" s="92" t="str">
        <f>IF(AND(AZ33&lt;&gt;"",BC33&lt;&gt;""),(AZ33+BC33)/2,"")</f>
        <v/>
      </c>
      <c r="BD36" s="92" t="str">
        <f>IF(AND(BC33&lt;&gt;"",BD33&lt;&gt;""),(BC33+BD33)/2,"")</f>
        <v/>
      </c>
      <c r="BE36" s="92" t="str">
        <f>IF(AND(BD33&lt;&gt;"",BE33&lt;&gt;""),(BD33+BE33)/2,"")</f>
        <v/>
      </c>
      <c r="BF36" s="92" t="str">
        <f>IF(AND(BC33&lt;&gt;"",BF33&lt;&gt;""),(BC33+BF33)/2,"")</f>
        <v/>
      </c>
      <c r="BG36" s="92" t="str">
        <f>IF(AND(BF33&lt;&gt;"",BG33&lt;&gt;""),(BF33+BG33)/2,"")</f>
        <v/>
      </c>
      <c r="BH36" s="92" t="str">
        <f>IF(AND(BG33&lt;&gt;"",BH33&lt;&gt;""),(BG33+BH33)/2,"")</f>
        <v/>
      </c>
      <c r="BI36" s="92" t="str">
        <f>IF(AND(BF33&lt;&gt;"",BI33&lt;&gt;""),(BF33+BI33)/2,"")</f>
        <v/>
      </c>
      <c r="BJ36" s="92" t="str">
        <f>IF(AND(BI33&lt;&gt;"",BJ33&lt;&gt;""),(BI33+BJ33)/2,"")</f>
        <v/>
      </c>
      <c r="BK36" s="92" t="str">
        <f>IF(AND(BJ33&lt;&gt;"",BK33&lt;&gt;""),(BJ33+BK33)/2,"")</f>
        <v/>
      </c>
      <c r="BL36" s="92" t="str">
        <f>IF(AND(BI33&lt;&gt;"",BL33&lt;&gt;""),(BI33+BL33)/2,"")</f>
        <v/>
      </c>
      <c r="BM36" s="92" t="str">
        <f>IF(AND(BL33&lt;&gt;"",BM33&lt;&gt;""),(BL33+BM33)/2,"")</f>
        <v/>
      </c>
      <c r="BN36" s="92" t="str">
        <f>IF(AND(BM33&lt;&gt;"",BN33&lt;&gt;""),(BM33+BN33)/2,"")</f>
        <v/>
      </c>
      <c r="BO36" s="92" t="str">
        <f>IF(AND(BL33&lt;&gt;"",BO33&lt;&gt;""),(BL33+BO33)/2,"")</f>
        <v/>
      </c>
      <c r="BP36" s="92" t="str">
        <f>IF(AND(BO33&lt;&gt;"",BP33&lt;&gt;""),(BO33+BP33)/2,"")</f>
        <v/>
      </c>
      <c r="BQ36" s="92" t="str">
        <f>IF(AND(BP33&lt;&gt;"",BQ33&lt;&gt;""),(BP33+BQ33)/2,"")</f>
        <v/>
      </c>
      <c r="BR36" s="92" t="str">
        <f>IF(AND(BO33&lt;&gt;"",BR33&lt;&gt;""),(BO33+BR33)/2,"")</f>
        <v/>
      </c>
      <c r="BS36" s="92" t="str">
        <f>IF(AND(BR33&lt;&gt;"",BS33&lt;&gt;""),(BR33+BS33)/2,"")</f>
        <v/>
      </c>
      <c r="BT36" s="92" t="str">
        <f>IF(AND(BS33&lt;&gt;"",BT33&lt;&gt;""),(BS33+BT33)/2,"")</f>
        <v/>
      </c>
      <c r="BU36" s="92" t="str">
        <f>IF(AND(BR33&lt;&gt;"",BU33&lt;&gt;""),(BR33+BU33)/2,"")</f>
        <v/>
      </c>
      <c r="BV36" s="92" t="str">
        <f>IF(AND(BU33&lt;&gt;"",BV33&lt;&gt;""),(BU33+BV33)/2,"")</f>
        <v/>
      </c>
      <c r="BW36" s="92" t="str">
        <f>IF(AND(BV33&lt;&gt;"",BW33&lt;&gt;""),(BV33+BW33)/2,"")</f>
        <v/>
      </c>
      <c r="BX36" s="92" t="str">
        <f>IF(AND(BU33&lt;&gt;"",BX33&lt;&gt;""),(BU33+BX33)/2,"")</f>
        <v/>
      </c>
      <c r="BY36" s="92" t="str">
        <f>IF(AND(BX33&lt;&gt;"",BY33&lt;&gt;""),(BX33+BY33)/2,"")</f>
        <v/>
      </c>
      <c r="BZ36" s="92" t="str">
        <f>IF(AND(BY33&lt;&gt;"",BZ33&lt;&gt;""),(BY33+BZ33)/2,"")</f>
        <v/>
      </c>
      <c r="CA36" s="92" t="str">
        <f>IF(AND(BX33&lt;&gt;"",CA33&lt;&gt;""),(BX33+CA33)/2,"")</f>
        <v/>
      </c>
      <c r="CB36" s="92" t="str">
        <f>IF(AND(CA33&lt;&gt;"",CB33&lt;&gt;""),(CA33+CB33)/2,"")</f>
        <v/>
      </c>
      <c r="CC36" s="92" t="str">
        <f>IF(AND(CB33&lt;&gt;"",CC33&lt;&gt;""),(CB33+CC33)/2,"")</f>
        <v/>
      </c>
      <c r="CD36" s="92" t="str">
        <f>IF(AND(CA33&lt;&gt;"",CD33&lt;&gt;""),(CA33+CD33)/2,"")</f>
        <v/>
      </c>
      <c r="CE36" s="92" t="str">
        <f>IF(AND(CD33&lt;&gt;"",CE33&lt;&gt;""),(CD33+CE33)/2,"")</f>
        <v/>
      </c>
      <c r="CF36" s="92" t="str">
        <f>IF(AND(CE33&lt;&gt;"",CF33&lt;&gt;""),(CE33+CF33)/2,"")</f>
        <v/>
      </c>
      <c r="CG36" s="92" t="str">
        <f>IF(AND(CD33&lt;&gt;"",CG33&lt;&gt;""),(CD33+CG33)/2,"")</f>
        <v/>
      </c>
      <c r="CH36" s="92" t="str">
        <f>IF(AND(CG33&lt;&gt;"",CH33&lt;&gt;""),(CG33+CH33)/2,"")</f>
        <v/>
      </c>
      <c r="CI36" s="92" t="str">
        <f>IF(AND(CH33&lt;&gt;"",CI33&lt;&gt;""),(CH33+CI33)/2,"")</f>
        <v/>
      </c>
      <c r="CJ36" s="92" t="str">
        <f>IF(AND(CG33&lt;&gt;"",CJ33&lt;&gt;""),(CG33+CJ33)/2,"")</f>
        <v/>
      </c>
      <c r="CK36" s="92" t="str">
        <f>IF(AND(CJ33&lt;&gt;"",CK33&lt;&gt;""),(CJ33+CK33)/2,"")</f>
        <v/>
      </c>
      <c r="CL36" s="92" t="str">
        <f>IF(AND(CK33&lt;&gt;"",CL33&lt;&gt;""),(CK33+CL33)/2,"")</f>
        <v/>
      </c>
      <c r="CM36" s="92" t="str">
        <f>IF(AND(CJ33&lt;&gt;"",CM33&lt;&gt;""),(CJ33+CM33)/2,"")</f>
        <v/>
      </c>
      <c r="CN36" s="92" t="str">
        <f>IF(AND(CM33&lt;&gt;"",CN33&lt;&gt;""),(CM33+CN33)/2,"")</f>
        <v/>
      </c>
      <c r="CO36" s="92" t="str">
        <f>IF(AND(CN33&lt;&gt;"",CO33&lt;&gt;""),(CN33+CO33)/2,"")</f>
        <v/>
      </c>
      <c r="CP36" s="92" t="str">
        <f>IF(AND(CM33&lt;&gt;"",CP33&lt;&gt;""),(CM33+CP33)/2,"")</f>
        <v/>
      </c>
      <c r="CQ36" s="92" t="str">
        <f>IF(AND(CP33&lt;&gt;"",CQ33&lt;&gt;""),(CP33+CQ33)/2,"")</f>
        <v/>
      </c>
      <c r="CR36" s="92" t="str">
        <f>IF(AND(CQ33&lt;&gt;"",CR33&lt;&gt;""),(CQ33+CR33)/2,"")</f>
        <v/>
      </c>
      <c r="CS36" s="92" t="str">
        <f>IF(AND(CP33&lt;&gt;"",CS33&lt;&gt;""),(CP33+CS33)/2,"")</f>
        <v/>
      </c>
      <c r="CT36" s="92" t="str">
        <f>IF(AND(CS33&lt;&gt;"",CT33&lt;&gt;""),(CS33+CT33)/2,"")</f>
        <v/>
      </c>
      <c r="CU36" s="92" t="str">
        <f>IF(AND(CT33&lt;&gt;"",CU33&lt;&gt;""),(CT33+CU33)/2,"")</f>
        <v/>
      </c>
      <c r="CV36" s="92" t="str">
        <f>IF(AND(CS33&lt;&gt;"",CV33&lt;&gt;""),(CS33+CV33)/2,"")</f>
        <v/>
      </c>
      <c r="CW36" s="92" t="str">
        <f>IF(AND(CV33&lt;&gt;"",CW33&lt;&gt;""),(CV33+CW33)/2,"")</f>
        <v/>
      </c>
      <c r="CX36" s="92" t="str">
        <f>IF(AND(CW33&lt;&gt;"",CX33&lt;&gt;""),(CW33+CX33)/2,"")</f>
        <v/>
      </c>
      <c r="CY36" s="92" t="str">
        <f>IF(AND(CV33&lt;&gt;"",CY33&lt;&gt;""),(CV33+CY33)/2,"")</f>
        <v/>
      </c>
      <c r="CZ36" s="92" t="str">
        <f>IF(AND(CY33&lt;&gt;"",CZ33&lt;&gt;""),(CY33+CZ33)/2,"")</f>
        <v/>
      </c>
      <c r="DA36" s="92">
        <f>IF(AND(CZ33&lt;&gt;"",DA33&lt;&gt;""),(CZ33+DA33)/2,"")</f>
        <v>0</v>
      </c>
      <c r="DB36" s="92" t="str">
        <f>IF(AND(CY33&lt;&gt;"",DB33&lt;&gt;""),(CY33+DB33)/2,"")</f>
        <v/>
      </c>
      <c r="DC36" s="92" t="str">
        <f>IF(AND(DB33&lt;&gt;"",DC33&lt;&gt;""),(DB33+DC33)/2,"")</f>
        <v/>
      </c>
      <c r="DD36" s="92" t="str">
        <f>IF(AND(DC33&lt;&gt;"",DD33&lt;&gt;""),(DC33+DD33)/2,"")</f>
        <v/>
      </c>
      <c r="DE36" s="144" t="str">
        <f>IF(AND(DB33&lt;&gt;"",DE33&lt;&gt;""),(DB33+DE33)/2,"")</f>
        <v/>
      </c>
      <c r="DF36" s="92" t="str">
        <f>IF(AND(DE33&lt;&gt;"",DF33&lt;&gt;""),(DE33+DF33)/2,"")</f>
        <v/>
      </c>
      <c r="DG36" s="92" t="str">
        <f>IF(AND(DF33&lt;&gt;"",DG33&lt;&gt;""),(DF33+DG33)/2,"")</f>
        <v/>
      </c>
      <c r="DH36" s="144" t="str">
        <f>IF(AND(DE33&lt;&gt;"",DH33&lt;&gt;""),(DE33+DH33)/2,"")</f>
        <v/>
      </c>
      <c r="DI36" s="92" t="str">
        <f>IF(AND(DH33&lt;&gt;"",DI33&lt;&gt;""),(DH33+DI33)/2,"")</f>
        <v/>
      </c>
      <c r="DJ36" s="92" t="str">
        <f>IF(AND(DI33&lt;&gt;"",DJ33&lt;&gt;""),(DI33+DJ33)/2,"")</f>
        <v/>
      </c>
      <c r="DK36" s="144" t="str">
        <f>IF(AND(DH33&lt;&gt;"",DK33&lt;&gt;""),(DH33+DK33)/2,"")</f>
        <v/>
      </c>
      <c r="DL36" s="92" t="str">
        <f>IF(AND(DK33&lt;&gt;"",DL33&lt;&gt;""),(DK33+DL33)/2,"")</f>
        <v/>
      </c>
      <c r="DM36" s="92" t="str">
        <f>IF(AND(DL33&lt;&gt;"",DM33&lt;&gt;""),(DL33+DM33)/2,"")</f>
        <v/>
      </c>
      <c r="DN36" s="144" t="str">
        <f>IF(AND(DK33&lt;&gt;"",DN33&lt;&gt;""),(DK33+DN33)/2,"")</f>
        <v/>
      </c>
      <c r="DO36" s="92" t="str">
        <f>IF(AND(DN33&lt;&gt;"",DO33&lt;&gt;""),(DN33+DO33)/2,"")</f>
        <v/>
      </c>
      <c r="DP36" s="92" t="str">
        <f>IF(AND(DO33&lt;&gt;"",DP33&lt;&gt;""),(DO33+DP33)/2,"")</f>
        <v/>
      </c>
      <c r="DQ36" s="144" t="str">
        <f>IF(AND(DN33&lt;&gt;"",DQ33&lt;&gt;""),(DN33+DQ33)/2,"")</f>
        <v/>
      </c>
      <c r="DR36" s="92" t="str">
        <f>IF(AND(DQ33&lt;&gt;"",DR33&lt;&gt;""),(DQ33+DR33)/2,"")</f>
        <v/>
      </c>
      <c r="DS36" s="92" t="str">
        <f>IF(AND(DR33&lt;&gt;"",DS33&lt;&gt;""),(DR33+DS33)/2,"")</f>
        <v/>
      </c>
      <c r="DT36" s="144" t="str">
        <f>IF(AND(DQ33&lt;&gt;"",DT33&lt;&gt;""),(DQ33+DT33)/2,"")</f>
        <v/>
      </c>
      <c r="DU36" s="92" t="str">
        <f>IF(AND(DT33&lt;&gt;"",DU33&lt;&gt;""),(DT33+DU33)/2,"")</f>
        <v/>
      </c>
      <c r="DV36" s="92" t="str">
        <f>IF(AND(DU33&lt;&gt;"",DV33&lt;&gt;""),(DU33+DV33)/2,"")</f>
        <v/>
      </c>
      <c r="DW36" s="144" t="str">
        <f>IF(AND(DT33&lt;&gt;"",DW33&lt;&gt;""),(DT33+DW33)/2,"")</f>
        <v/>
      </c>
      <c r="DX36" s="92" t="str">
        <f>IF(AND(DW33&lt;&gt;"",DX33&lt;&gt;""),(DW33+DX33)/2,"")</f>
        <v/>
      </c>
      <c r="DY36" s="92" t="str">
        <f>IF(AND(DX33&lt;&gt;"",DY33&lt;&gt;""),(DX33+DY33)/2,"")</f>
        <v/>
      </c>
      <c r="DZ36" s="144">
        <f>IF(AND(DW33&lt;&gt;"",DZ33&lt;&gt;""),(DW33+DZ33)/2,"")</f>
        <v>0</v>
      </c>
      <c r="EA36" s="92">
        <f>IF(AND(DZ33&lt;&gt;"",EA33&lt;&gt;""),(DZ33+EA33)/2,"")</f>
        <v>0</v>
      </c>
      <c r="EB36" s="92">
        <f>IF(AND(EA33&lt;&gt;"",EB33&lt;&gt;""),(EA33+EB33)/2,"")</f>
        <v>0</v>
      </c>
      <c r="EC36" s="144">
        <f>IF(AND(DZ33&lt;&gt;"",EC33&lt;&gt;""),(DZ33+EC33)/2,"")</f>
        <v>0</v>
      </c>
      <c r="ED36" s="92">
        <f>IF(AND(EC33&lt;&gt;"",ED33&lt;&gt;""),(EC33+ED33)/2,"")</f>
        <v>0</v>
      </c>
      <c r="EE36" s="92">
        <f>IF(AND(ED33&lt;&gt;"",EE33&lt;&gt;""),(ED33+EE33)/2,"")</f>
        <v>0</v>
      </c>
      <c r="EF36" s="144">
        <f>IF(AND(EC33&lt;&gt;"",EF33&lt;&gt;""),(EC33+EF33)/2,"")</f>
        <v>0</v>
      </c>
      <c r="EG36" s="92">
        <f>IF(AND(EF33&lt;&gt;"",EG33&lt;&gt;""),(EF33+EG33)/2,"")</f>
        <v>0</v>
      </c>
      <c r="EH36" s="92">
        <f>IF(AND(EG33&lt;&gt;"",EH33&lt;&gt;""),(EG33+EH33)/2,"")</f>
        <v>0</v>
      </c>
      <c r="EI36" s="144">
        <f>IF(AND(EF33&lt;&gt;"",EI33&lt;&gt;""),(EF33+EI33)/2,"")</f>
        <v>0</v>
      </c>
      <c r="EJ36" s="92">
        <f>IF(AND(EI33&lt;&gt;"",EJ33&lt;&gt;""),(EI33+EJ33)/2,"")</f>
        <v>0</v>
      </c>
      <c r="EK36" s="92">
        <f>IF(AND(EJ33&lt;&gt;"",EK33&lt;&gt;""),(EJ33+EK33)/2,"")</f>
        <v>0</v>
      </c>
      <c r="EL36" s="144">
        <f>IF(AND(EI33&lt;&gt;"",EL33&lt;&gt;""),(EI33+EL33)/2,"")</f>
        <v>0</v>
      </c>
      <c r="EM36" s="92">
        <f>IF(AND(EL33&lt;&gt;"",EM33&lt;&gt;""),(EL33+EM33)/2,"")</f>
        <v>0</v>
      </c>
      <c r="EN36" s="92">
        <f>IF(AND(EM33&lt;&gt;"",EN33&lt;&gt;""),(EM33+EN33)/2,"")</f>
        <v>0</v>
      </c>
      <c r="EO36" s="144">
        <f>IF(AND(EL33&lt;&gt;"",EO33&lt;&gt;""),(EL33+EO33)/2,"")</f>
        <v>0</v>
      </c>
      <c r="EP36" s="92">
        <f>IF(AND(EO33&lt;&gt;"",EP33&lt;&gt;""),(EO33+EP33)/2,"")</f>
        <v>0</v>
      </c>
      <c r="EQ36" s="92">
        <f>IF(AND(EP33&lt;&gt;"",EQ33&lt;&gt;""),(EP33+EQ33)/2,"")</f>
        <v>0</v>
      </c>
      <c r="ER36" s="144">
        <f>IF(AND(EO33&lt;&gt;"",ER33&lt;&gt;""),(EO33+ER33)/2,"")</f>
        <v>0</v>
      </c>
      <c r="ES36" s="92">
        <f>IF(AND(ER33&lt;&gt;"",ES33&lt;&gt;""),(ER33+ES33)/2,"")</f>
        <v>0</v>
      </c>
      <c r="ET36" s="92">
        <f>IF(AND(ES33&lt;&gt;"",ET33&lt;&gt;""),(ES33+ET33)/2,"")</f>
        <v>0</v>
      </c>
      <c r="EU36" s="144">
        <f>IF(AND(ER33&lt;&gt;"",EU33&lt;&gt;""),(ER33+EU33)/2,"")</f>
        <v>0</v>
      </c>
      <c r="EV36" s="92">
        <f>IF(AND(EU33&lt;&gt;"",EV33&lt;&gt;""),(EU33+EV33)/2,"")</f>
        <v>0</v>
      </c>
      <c r="EW36" s="92">
        <f>IF(AND(EV33&lt;&gt;"",EW33&lt;&gt;""),(EV33+EW33)/2,"")</f>
        <v>0</v>
      </c>
      <c r="EX36" s="144">
        <f>IF(AND(EU33&lt;&gt;"",EX33&lt;&gt;""),(EU33+EX33)/2,"")</f>
        <v>0</v>
      </c>
      <c r="EY36" s="92">
        <f>IF(AND(EX33&lt;&gt;"",EY33&lt;&gt;""),(EX33+EY33)/2,"")</f>
        <v>0</v>
      </c>
      <c r="EZ36" s="92">
        <f>IF(AND(EY33&lt;&gt;"",EZ33&lt;&gt;""),(EY33+EZ33)/2,"")</f>
        <v>0</v>
      </c>
      <c r="FA36" s="144">
        <f>IF(AND(EX33&lt;&gt;"",FA33&lt;&gt;""),(EX33+FA33)/2,"")</f>
        <v>0</v>
      </c>
    </row>
    <row r="37" spans="1:157" ht="13.35" customHeight="1" outlineLevel="1">
      <c r="A37" s="3"/>
      <c r="B37" s="4" t="s">
        <v>9</v>
      </c>
      <c r="C37" s="4"/>
      <c r="D37" s="4"/>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c r="AF37" s="93"/>
      <c r="AG37" s="93"/>
      <c r="AH37" s="93"/>
      <c r="AI37" s="93"/>
      <c r="AJ37" s="93"/>
      <c r="AK37" s="93"/>
      <c r="AL37" s="92" t="str">
        <f>IF(AND(AK35&lt;&gt;"",AL35&lt;&gt;""),(AK35+AL35)/2,"")</f>
        <v/>
      </c>
      <c r="AM37" s="92" t="str">
        <f>IF(AND(AL35&lt;&gt;"",AM35&lt;&gt;""),(AL35+AM35)/2,"")</f>
        <v/>
      </c>
      <c r="AN37" s="92" t="str">
        <f>IF(AND(AK35&lt;&gt;"",AN35&lt;&gt;""),(AK35+AN35)/2,"")</f>
        <v/>
      </c>
      <c r="AO37" s="92" t="str">
        <f>IF(AND(AN35&lt;&gt;"",AO35&lt;&gt;""),(AN35+AO35)/2,"")</f>
        <v/>
      </c>
      <c r="AP37" s="92" t="str">
        <f>IF(AND(AO35&lt;&gt;"",AP35&lt;&gt;""),(AO35+AP35)/2,"")</f>
        <v/>
      </c>
      <c r="AQ37" s="92" t="str">
        <f>IF(AND(AN35&lt;&gt;"",AQ35&lt;&gt;""),(AN35+AQ35)/2,"")</f>
        <v/>
      </c>
      <c r="AR37" s="92" t="str">
        <f>IF(AND(AQ35&lt;&gt;"",AR35&lt;&gt;""),(AQ35+AR35)/2,"")</f>
        <v/>
      </c>
      <c r="AS37" s="92" t="str">
        <f>IF(AND(AR35&lt;&gt;"",AS35&lt;&gt;""),(AR35+AS35)/2,"")</f>
        <v/>
      </c>
      <c r="AT37" s="92" t="str">
        <f>IF(AND(AQ35&lt;&gt;"",AT35&lt;&gt;""),(AQ35+AT35)/2,"")</f>
        <v/>
      </c>
      <c r="AU37" s="92" t="str">
        <f>IF(AND(AT35&lt;&gt;"",AU35&lt;&gt;""),(AT35+AU35)/2,"")</f>
        <v/>
      </c>
      <c r="AV37" s="92" t="str">
        <f>IF(AND(AU35&lt;&gt;"",AV35&lt;&gt;""),(AU35+AV35)/2,"")</f>
        <v/>
      </c>
      <c r="AW37" s="92" t="str">
        <f>IF(AND(AT35&lt;&gt;"",AW35&lt;&gt;""),(AT35+AW35)/2,"")</f>
        <v/>
      </c>
      <c r="AX37" s="92" t="str">
        <f>IF(AND(AW35&lt;&gt;"",AX35&lt;&gt;""),(AW35+AX35)/2,"")</f>
        <v/>
      </c>
      <c r="AY37" s="92" t="str">
        <f>IF(AND(AX35&lt;&gt;"",AY35&lt;&gt;""),(AX35+AY35)/2,"")</f>
        <v/>
      </c>
      <c r="AZ37" s="92" t="str">
        <f>IF(AND(AW35&lt;&gt;"",AZ35&lt;&gt;""),(AW35+AZ35)/2,"")</f>
        <v/>
      </c>
      <c r="BA37" s="92"/>
      <c r="BB37" s="92" t="str">
        <f>IF(AND(BA35&lt;&gt;"",BB35&lt;&gt;""),(BA35+BB35)/2,"")</f>
        <v/>
      </c>
      <c r="BC37" s="92" t="str">
        <f>IF(AND(AZ35&lt;&gt;"",BC35&lt;&gt;""),(AZ35+BC35)/2,"")</f>
        <v/>
      </c>
      <c r="BD37" s="92" t="str">
        <f>IF(AND(BC35&lt;&gt;"",BD35&lt;&gt;""),(BC35+BD35)/2,"")</f>
        <v/>
      </c>
      <c r="BE37" s="92" t="str">
        <f>IF(AND(BD35&lt;&gt;"",BE35&lt;&gt;""),(BD35+BE35)/2,"")</f>
        <v/>
      </c>
      <c r="BF37" s="92" t="str">
        <f>IF(AND(BC35&lt;&gt;"",BF35&lt;&gt;""),(BC35+BF35)/2,"")</f>
        <v/>
      </c>
      <c r="BG37" s="92" t="str">
        <f>IF(AND(BF35&lt;&gt;"",BG35&lt;&gt;""),(BF35+BG35)/2,"")</f>
        <v/>
      </c>
      <c r="BH37" s="92" t="str">
        <f>IF(AND(BG35&lt;&gt;"",BH35&lt;&gt;""),(BG35+BH35)/2,"")</f>
        <v/>
      </c>
      <c r="BI37" s="92" t="str">
        <f>IF(AND(BF35&lt;&gt;"",BI35&lt;&gt;""),(BF35+BI35)/2,"")</f>
        <v/>
      </c>
      <c r="BJ37" s="92" t="str">
        <f>IF(AND(BI35&lt;&gt;"",BJ35&lt;&gt;""),(BI35+BJ35)/2,"")</f>
        <v/>
      </c>
      <c r="BK37" s="92" t="str">
        <f>IF(AND(BJ35&lt;&gt;"",BK35&lt;&gt;""),(BJ35+BK35)/2,"")</f>
        <v/>
      </c>
      <c r="BL37" s="92" t="str">
        <f>IF(AND(BI35&lt;&gt;"",BL35&lt;&gt;""),(BI35+BL35)/2,"")</f>
        <v/>
      </c>
      <c r="BM37" s="92" t="str">
        <f>IF(AND(BL35&lt;&gt;"",BM35&lt;&gt;""),(BL35+BM35)/2,"")</f>
        <v/>
      </c>
      <c r="BN37" s="92" t="str">
        <f>IF(AND(BM35&lt;&gt;"",BN35&lt;&gt;""),(BM35+BN35)/2,"")</f>
        <v/>
      </c>
      <c r="BO37" s="92" t="str">
        <f>IF(AND(BL35&lt;&gt;"",BO35&lt;&gt;""),(BL35+BO35)/2,"")</f>
        <v/>
      </c>
      <c r="BP37" s="92" t="str">
        <f>IF(AND(BO35&lt;&gt;"",BP35&lt;&gt;""),(BO35+BP35)/2,"")</f>
        <v/>
      </c>
      <c r="BQ37" s="92" t="str">
        <f>IF(AND(BP35&lt;&gt;"",BQ35&lt;&gt;""),(BP35+BQ35)/2,"")</f>
        <v/>
      </c>
      <c r="BR37" s="92" t="str">
        <f>IF(AND(BO35&lt;&gt;"",BR35&lt;&gt;""),(BO35+BR35)/2,"")</f>
        <v/>
      </c>
      <c r="BS37" s="92" t="str">
        <f>IF(AND(BR35&lt;&gt;"",BS35&lt;&gt;""),(BR35+BS35)/2,"")</f>
        <v/>
      </c>
      <c r="BT37" s="92" t="str">
        <f>IF(AND(BS35&lt;&gt;"",BT35&lt;&gt;""),(BS35+BT35)/2,"")</f>
        <v/>
      </c>
      <c r="BU37" s="92" t="str">
        <f>IF(AND(BR35&lt;&gt;"",BU35&lt;&gt;""),(BR35+BU35)/2,"")</f>
        <v/>
      </c>
      <c r="BV37" s="92" t="str">
        <f>IF(AND(BU35&lt;&gt;"",BV35&lt;&gt;""),(BU35+BV35)/2,"")</f>
        <v/>
      </c>
      <c r="BW37" s="92" t="str">
        <f>IF(AND(BV35&lt;&gt;"",BW35&lt;&gt;""),(BV35+BW35)/2,"")</f>
        <v/>
      </c>
      <c r="BX37" s="92" t="str">
        <f>IF(AND(BU35&lt;&gt;"",BX35&lt;&gt;""),(BU35+BX35)/2,"")</f>
        <v/>
      </c>
      <c r="BY37" s="92" t="str">
        <f>IF(AND(BX35&lt;&gt;"",BY35&lt;&gt;""),(BX35+BY35)/2,"")</f>
        <v/>
      </c>
      <c r="BZ37" s="92" t="str">
        <f>IF(AND(BY35&lt;&gt;"",BZ35&lt;&gt;""),(BY35+BZ35)/2,"")</f>
        <v/>
      </c>
      <c r="CA37" s="92" t="str">
        <f>IF(AND(BX35&lt;&gt;"",CA35&lt;&gt;""),(BX35+CA35)/2,"")</f>
        <v/>
      </c>
      <c r="CB37" s="92" t="str">
        <f>IF(AND(CA35&lt;&gt;"",CB35&lt;&gt;""),(CA35+CB35)/2,"")</f>
        <v/>
      </c>
      <c r="CC37" s="92" t="str">
        <f>IF(AND(CB35&lt;&gt;"",CC35&lt;&gt;""),(CB35+CC35)/2,"")</f>
        <v/>
      </c>
      <c r="CD37" s="92" t="str">
        <f>IF(AND(CA35&lt;&gt;"",CD35&lt;&gt;""),(CA35+CD35)/2,"")</f>
        <v/>
      </c>
      <c r="CE37" s="92" t="str">
        <f>IF(AND(CD35&lt;&gt;"",CE35&lt;&gt;""),(CD35+CE35)/2,"")</f>
        <v/>
      </c>
      <c r="CF37" s="92" t="str">
        <f>IF(AND(CE35&lt;&gt;"",CF35&lt;&gt;""),(CE35+CF35)/2,"")</f>
        <v/>
      </c>
      <c r="CG37" s="92" t="str">
        <f>IF(AND(CD35&lt;&gt;"",CG35&lt;&gt;""),(CD35+CG35)/2,"")</f>
        <v/>
      </c>
      <c r="CH37" s="92" t="str">
        <f>IF(AND(CG35&lt;&gt;"",CH35&lt;&gt;""),(CG35+CH35)/2,"")</f>
        <v/>
      </c>
      <c r="CI37" s="92" t="str">
        <f>IF(AND(CH35&lt;&gt;"",CI35&lt;&gt;""),(CH35+CI35)/2,"")</f>
        <v/>
      </c>
      <c r="CJ37" s="92" t="str">
        <f>IF(AND(CG35&lt;&gt;"",CJ35&lt;&gt;""),(CG35+CJ35)/2,"")</f>
        <v/>
      </c>
      <c r="CK37" s="92" t="str">
        <f>IF(AND(CJ35&lt;&gt;"",CK35&lt;&gt;""),(CJ35+CK35)/2,"")</f>
        <v/>
      </c>
      <c r="CL37" s="92" t="str">
        <f>IF(AND(CK35&lt;&gt;"",CL35&lt;&gt;""),(CK35+CL35)/2,"")</f>
        <v/>
      </c>
      <c r="CM37" s="92" t="str">
        <f>IF(AND(CJ35&lt;&gt;"",CM35&lt;&gt;""),(CJ35+CM35)/2,"")</f>
        <v/>
      </c>
      <c r="CN37" s="92" t="str">
        <f>IF(AND(CM35&lt;&gt;"",CN35&lt;&gt;""),(CM35+CN35)/2,"")</f>
        <v/>
      </c>
      <c r="CO37" s="92" t="str">
        <f>IF(AND(CN35&lt;&gt;"",CO35&lt;&gt;""),(CN35+CO35)/2,"")</f>
        <v/>
      </c>
      <c r="CP37" s="92" t="str">
        <f>IF(AND(CM35&lt;&gt;"",CP35&lt;&gt;""),(CM35+CP35)/2,"")</f>
        <v/>
      </c>
      <c r="CQ37" s="92" t="str">
        <f>IF(AND(CP35&lt;&gt;"",CQ35&lt;&gt;""),(CP35+CQ35)/2,"")</f>
        <v/>
      </c>
      <c r="CR37" s="92" t="str">
        <f>IF(AND(CQ35&lt;&gt;"",CR35&lt;&gt;""),(CQ35+CR35)/2,"")</f>
        <v/>
      </c>
      <c r="CS37" s="92" t="str">
        <f>IF(AND(CP35&lt;&gt;"",CS35&lt;&gt;""),(CP35+CS35)/2,"")</f>
        <v/>
      </c>
      <c r="CT37" s="92" t="str">
        <f>IF(AND(CS35&lt;&gt;"",CT35&lt;&gt;""),(CS35+CT35)/2,"")</f>
        <v/>
      </c>
      <c r="CU37" s="92" t="str">
        <f>IF(AND(CT35&lt;&gt;"",CU35&lt;&gt;""),(CT35+CU35)/2,"")</f>
        <v/>
      </c>
      <c r="CV37" s="92" t="str">
        <f>IF(AND(CS35&lt;&gt;"",CV35&lt;&gt;""),(CS35+CV35)/2,"")</f>
        <v/>
      </c>
      <c r="CW37" s="92" t="str">
        <f>IF(AND(CV35&lt;&gt;"",CW35&lt;&gt;""),(CV35+CW35)/2,"")</f>
        <v/>
      </c>
      <c r="CX37" s="92" t="str">
        <f>IF(AND(CW35&lt;&gt;"",CX35&lt;&gt;""),(CW35+CX35)/2,"")</f>
        <v/>
      </c>
      <c r="CY37" s="92" t="str">
        <f>IF(AND(CV35&lt;&gt;"",CY35&lt;&gt;""),(CV35+CY35)/2,"")</f>
        <v/>
      </c>
      <c r="CZ37" s="92" t="str">
        <f>IF(AND(CY35&lt;&gt;"",CZ35&lt;&gt;""),(CY35+CZ35)/2,"")</f>
        <v/>
      </c>
      <c r="DA37" s="92">
        <f>IF(AND(CZ35&lt;&gt;"",DA35&lt;&gt;""),(CZ35+DA35)/2,"")</f>
        <v>0</v>
      </c>
      <c r="DB37" s="92" t="str">
        <f>IF(AND(CY35&lt;&gt;"",DB35&lt;&gt;""),(CY35+DB35)/2,"")</f>
        <v/>
      </c>
      <c r="DC37" s="92" t="str">
        <f>IF(AND(DB35&lt;&gt;"",DC35&lt;&gt;""),(DB35+DC35)/2,"")</f>
        <v/>
      </c>
      <c r="DD37" s="92" t="str">
        <f>IF(AND(DC35&lt;&gt;"",DD35&lt;&gt;""),(DC35+DD35)/2,"")</f>
        <v/>
      </c>
      <c r="DE37" s="144" t="str">
        <f>IF(AND(DB35&lt;&gt;"",DE35&lt;&gt;""),(DB35+DE35)/2,"")</f>
        <v/>
      </c>
      <c r="DF37" s="92" t="str">
        <f>IF(AND(DE35&lt;&gt;"",DF35&lt;&gt;""),(DE35+DF35)/2,"")</f>
        <v/>
      </c>
      <c r="DG37" s="92" t="str">
        <f>IF(AND(DF35&lt;&gt;"",DG35&lt;&gt;""),(DF35+DG35)/2,"")</f>
        <v/>
      </c>
      <c r="DH37" s="144" t="str">
        <f>IF(AND(DE35&lt;&gt;"",DH35&lt;&gt;""),(DE35+DH35)/2,"")</f>
        <v/>
      </c>
      <c r="DI37" s="92" t="str">
        <f>IF(AND(DH35&lt;&gt;"",DI35&lt;&gt;""),(DH35+DI35)/2,"")</f>
        <v/>
      </c>
      <c r="DJ37" s="92" t="str">
        <f>IF(AND(DI35&lt;&gt;"",DJ35&lt;&gt;""),(DI35+DJ35)/2,"")</f>
        <v/>
      </c>
      <c r="DK37" s="144" t="str">
        <f>IF(AND(DH35&lt;&gt;"",DK35&lt;&gt;""),(DH35+DK35)/2,"")</f>
        <v/>
      </c>
      <c r="DL37" s="92" t="str">
        <f>IF(AND(DK35&lt;&gt;"",DL35&lt;&gt;""),(DK35+DL35)/2,"")</f>
        <v/>
      </c>
      <c r="DM37" s="92" t="str">
        <f>IF(AND(DL35&lt;&gt;"",DM35&lt;&gt;""),(DL35+DM35)/2,"")</f>
        <v/>
      </c>
      <c r="DN37" s="144" t="str">
        <f>IF(AND(DK35&lt;&gt;"",DN35&lt;&gt;""),(DK35+DN35)/2,"")</f>
        <v/>
      </c>
      <c r="DO37" s="92" t="str">
        <f>IF(AND(DN35&lt;&gt;"",DO35&lt;&gt;""),(DN35+DO35)/2,"")</f>
        <v/>
      </c>
      <c r="DP37" s="92" t="str">
        <f>IF(AND(DO35&lt;&gt;"",DP35&lt;&gt;""),(DO35+DP35)/2,"")</f>
        <v/>
      </c>
      <c r="DQ37" s="144" t="str">
        <f>IF(AND(DN35&lt;&gt;"",DQ35&lt;&gt;""),(DN35+DQ35)/2,"")</f>
        <v/>
      </c>
      <c r="DR37" s="92" t="str">
        <f>IF(AND(DQ35&lt;&gt;"",DR35&lt;&gt;""),(DQ35+DR35)/2,"")</f>
        <v/>
      </c>
      <c r="DS37" s="92" t="str">
        <f>IF(AND(DR35&lt;&gt;"",DS35&lt;&gt;""),(DR35+DS35)/2,"")</f>
        <v/>
      </c>
      <c r="DT37" s="144" t="str">
        <f>IF(AND(DQ35&lt;&gt;"",DT35&lt;&gt;""),(DQ35+DT35)/2,"")</f>
        <v/>
      </c>
      <c r="DU37" s="92" t="str">
        <f>IF(AND(DT35&lt;&gt;"",DU35&lt;&gt;""),(DT35+DU35)/2,"")</f>
        <v/>
      </c>
      <c r="DV37" s="92" t="str">
        <f>IF(AND(DU35&lt;&gt;"",DV35&lt;&gt;""),(DU35+DV35)/2,"")</f>
        <v/>
      </c>
      <c r="DW37" s="144" t="str">
        <f>IF(AND(DT35&lt;&gt;"",DW35&lt;&gt;""),(DT35+DW35)/2,"")</f>
        <v/>
      </c>
      <c r="DX37" s="92" t="str">
        <f>IF(AND(DW35&lt;&gt;"",DX35&lt;&gt;""),(DW35+DX35)/2,"")</f>
        <v/>
      </c>
      <c r="DY37" s="92" t="str">
        <f>IF(AND(DX35&lt;&gt;"",DY35&lt;&gt;""),(DX35+DY35)/2,"")</f>
        <v/>
      </c>
      <c r="DZ37" s="144">
        <f>IF(AND(DW35&lt;&gt;"",DZ35&lt;&gt;""),(DW35+DZ35)/2,"")</f>
        <v>0</v>
      </c>
      <c r="EA37" s="92">
        <f>IF(AND(DZ35&lt;&gt;"",EA35&lt;&gt;""),(DZ35+EA35)/2,"")</f>
        <v>0</v>
      </c>
      <c r="EB37" s="92">
        <f>IF(AND(EA35&lt;&gt;"",EB35&lt;&gt;""),(EA35+EB35)/2,"")</f>
        <v>0</v>
      </c>
      <c r="EC37" s="144">
        <f>IF(AND(DZ35&lt;&gt;"",EC35&lt;&gt;""),(DZ35+EC35)/2,"")</f>
        <v>0</v>
      </c>
      <c r="ED37" s="92">
        <f>IF(AND(EC35&lt;&gt;"",ED35&lt;&gt;""),(EC35+ED35)/2,"")</f>
        <v>0</v>
      </c>
      <c r="EE37" s="92">
        <f>IF(AND(ED35&lt;&gt;"",EE35&lt;&gt;""),(ED35+EE35)/2,"")</f>
        <v>0</v>
      </c>
      <c r="EF37" s="144">
        <f>IF(AND(EC35&lt;&gt;"",EF35&lt;&gt;""),(EC35+EF35)/2,"")</f>
        <v>0</v>
      </c>
      <c r="EG37" s="92">
        <f>IF(AND(EF35&lt;&gt;"",EG35&lt;&gt;""),(EF35+EG35)/2,"")</f>
        <v>0</v>
      </c>
      <c r="EH37" s="92">
        <f>IF(AND(EG35&lt;&gt;"",EH35&lt;&gt;""),(EG35+EH35)/2,"")</f>
        <v>0</v>
      </c>
      <c r="EI37" s="144">
        <f>IF(AND(EF35&lt;&gt;"",EI35&lt;&gt;""),(EF35+EI35)/2,"")</f>
        <v>0</v>
      </c>
      <c r="EJ37" s="92">
        <f>IF(AND(EI35&lt;&gt;"",EJ35&lt;&gt;""),(EI35+EJ35)/2,"")</f>
        <v>0</v>
      </c>
      <c r="EK37" s="92">
        <f>IF(AND(EJ35&lt;&gt;"",EK35&lt;&gt;""),(EJ35+EK35)/2,"")</f>
        <v>0</v>
      </c>
      <c r="EL37" s="144">
        <f>IF(AND(EI35&lt;&gt;"",EL35&lt;&gt;""),(EI35+EL35)/2,"")</f>
        <v>0</v>
      </c>
      <c r="EM37" s="92">
        <f>IF(AND(EL35&lt;&gt;"",EM35&lt;&gt;""),(EL35+EM35)/2,"")</f>
        <v>0</v>
      </c>
      <c r="EN37" s="92">
        <f>IF(AND(EM35&lt;&gt;"",EN35&lt;&gt;""),(EM35+EN35)/2,"")</f>
        <v>0</v>
      </c>
      <c r="EO37" s="144">
        <f>IF(AND(EL35&lt;&gt;"",EO35&lt;&gt;""),(EL35+EO35)/2,"")</f>
        <v>0</v>
      </c>
      <c r="EP37" s="92">
        <f>IF(AND(EO35&lt;&gt;"",EP35&lt;&gt;""),(EO35+EP35)/2,"")</f>
        <v>0</v>
      </c>
      <c r="EQ37" s="92">
        <f>IF(AND(EP35&lt;&gt;"",EQ35&lt;&gt;""),(EP35+EQ35)/2,"")</f>
        <v>0</v>
      </c>
      <c r="ER37" s="144">
        <f>IF(AND(EO35&lt;&gt;"",ER35&lt;&gt;""),(EO35+ER35)/2,"")</f>
        <v>0</v>
      </c>
      <c r="ES37" s="92">
        <f>IF(AND(ER35&lt;&gt;"",ES35&lt;&gt;""),(ER35+ES35)/2,"")</f>
        <v>0</v>
      </c>
      <c r="ET37" s="92">
        <f>IF(AND(ES35&lt;&gt;"",ET35&lt;&gt;""),(ES35+ET35)/2,"")</f>
        <v>0</v>
      </c>
      <c r="EU37" s="144">
        <f>IF(AND(ER35&lt;&gt;"",EU35&lt;&gt;""),(ER35+EU35)/2,"")</f>
        <v>0</v>
      </c>
      <c r="EV37" s="92">
        <f>IF(AND(EU35&lt;&gt;"",EV35&lt;&gt;""),(EU35+EV35)/2,"")</f>
        <v>0</v>
      </c>
      <c r="EW37" s="92">
        <f>IF(AND(EV35&lt;&gt;"",EW35&lt;&gt;""),(EV35+EW35)/2,"")</f>
        <v>0</v>
      </c>
      <c r="EX37" s="144">
        <f>IF(AND(EU35&lt;&gt;"",EX35&lt;&gt;""),(EU35+EX35)/2,"")</f>
        <v>0</v>
      </c>
      <c r="EY37" s="92">
        <f>IF(AND(EX35&lt;&gt;"",EY35&lt;&gt;""),(EX35+EY35)/2,"")</f>
        <v>0</v>
      </c>
      <c r="EZ37" s="92">
        <f>IF(AND(EY35&lt;&gt;"",EZ35&lt;&gt;""),(EY35+EZ35)/2,"")</f>
        <v>0</v>
      </c>
      <c r="FA37" s="144">
        <f>IF(AND(EX35&lt;&gt;"",FA35&lt;&gt;""),(EX35+FA35)/2,"")</f>
        <v>0</v>
      </c>
    </row>
    <row r="38" spans="1:157" ht="13.35" customHeight="1">
      <c r="A38" s="3"/>
      <c r="B38" s="4" t="s">
        <v>10</v>
      </c>
      <c r="C38" s="4"/>
      <c r="D38" s="4"/>
      <c r="E38" s="82"/>
      <c r="F38" s="8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c r="AV38" s="82"/>
      <c r="AW38" s="82"/>
      <c r="AX38" s="82"/>
      <c r="AY38" s="82"/>
      <c r="AZ38" s="82"/>
      <c r="BA38" s="95">
        <f>(1/20)/2</f>
        <v>2.5000000000000001E-2</v>
      </c>
      <c r="BB38" s="95">
        <f>(1/20)/2</f>
        <v>2.5000000000000001E-2</v>
      </c>
      <c r="BC38" s="95">
        <f>(1/20)</f>
        <v>0.05</v>
      </c>
      <c r="BD38" s="95">
        <f>(1/20)/2</f>
        <v>2.5000000000000001E-2</v>
      </c>
      <c r="BE38" s="95">
        <f>(1/20)/2</f>
        <v>2.5000000000000001E-2</v>
      </c>
      <c r="BF38" s="95">
        <f>(1/20)</f>
        <v>0.05</v>
      </c>
      <c r="BG38" s="95">
        <f>(1/20)/2</f>
        <v>2.5000000000000001E-2</v>
      </c>
      <c r="BH38" s="95">
        <f>(1/20)/2</f>
        <v>2.5000000000000001E-2</v>
      </c>
      <c r="BI38" s="95">
        <f>(1/20)</f>
        <v>0.05</v>
      </c>
      <c r="BJ38" s="95">
        <f>(1/20)/2</f>
        <v>2.5000000000000001E-2</v>
      </c>
      <c r="BK38" s="95">
        <f>(1/20)/2</f>
        <v>2.5000000000000001E-2</v>
      </c>
      <c r="BL38" s="95">
        <f>(1/20)</f>
        <v>0.05</v>
      </c>
      <c r="BM38" s="95">
        <f>(1/20)/2</f>
        <v>2.5000000000000001E-2</v>
      </c>
      <c r="BN38" s="95">
        <f>(1/20)/2</f>
        <v>2.5000000000000001E-2</v>
      </c>
      <c r="BO38" s="95">
        <f>(1/20)</f>
        <v>0.05</v>
      </c>
      <c r="BP38" s="95">
        <f>(1/20)/2</f>
        <v>2.5000000000000001E-2</v>
      </c>
      <c r="BQ38" s="95">
        <f>(1/20)/2</f>
        <v>2.5000000000000001E-2</v>
      </c>
      <c r="BR38" s="95">
        <f>(1/20)</f>
        <v>0.05</v>
      </c>
      <c r="BS38" s="95">
        <f>(1/20)/2</f>
        <v>2.5000000000000001E-2</v>
      </c>
      <c r="BT38" s="95">
        <f>(1/20)/2</f>
        <v>2.5000000000000001E-2</v>
      </c>
      <c r="BU38" s="95">
        <f>(1/20)</f>
        <v>0.05</v>
      </c>
      <c r="BV38" s="95">
        <f>(1/20)/2</f>
        <v>2.5000000000000001E-2</v>
      </c>
      <c r="BW38" s="95">
        <f>(1/20)/2</f>
        <v>2.5000000000000001E-2</v>
      </c>
      <c r="BX38" s="95">
        <f>(1/20)</f>
        <v>0.05</v>
      </c>
      <c r="BY38" s="95">
        <f>(1/20)/2</f>
        <v>2.5000000000000001E-2</v>
      </c>
      <c r="BZ38" s="95">
        <f>(1/20)/2</f>
        <v>2.5000000000000001E-2</v>
      </c>
      <c r="CA38" s="95">
        <f>(1/20)</f>
        <v>0.05</v>
      </c>
      <c r="CB38" s="95">
        <f>(1/20)/2</f>
        <v>2.5000000000000001E-2</v>
      </c>
      <c r="CC38" s="95">
        <f>(1/20)/2</f>
        <v>2.5000000000000001E-2</v>
      </c>
      <c r="CD38" s="95">
        <f>(1/20)</f>
        <v>0.05</v>
      </c>
      <c r="CE38" s="95">
        <f>(1/20)/2</f>
        <v>2.5000000000000001E-2</v>
      </c>
      <c r="CF38" s="95">
        <f>(1/20)/2</f>
        <v>2.5000000000000001E-2</v>
      </c>
      <c r="CG38" s="95">
        <f>(1/20)</f>
        <v>0.05</v>
      </c>
      <c r="CH38" s="95">
        <f>(1/20)/2</f>
        <v>2.5000000000000001E-2</v>
      </c>
      <c r="CI38" s="95">
        <f>(1/20)/2</f>
        <v>2.5000000000000001E-2</v>
      </c>
      <c r="CJ38" s="95">
        <f>(1/20)</f>
        <v>0.05</v>
      </c>
      <c r="CK38" s="95">
        <f>(1/20)/2</f>
        <v>2.5000000000000001E-2</v>
      </c>
      <c r="CL38" s="95">
        <f>(1/20)/2</f>
        <v>2.5000000000000001E-2</v>
      </c>
      <c r="CM38" s="95">
        <f>(1/20)</f>
        <v>0.05</v>
      </c>
      <c r="CN38" s="95">
        <f>(1/20)/2</f>
        <v>2.5000000000000001E-2</v>
      </c>
      <c r="CO38" s="95">
        <f>(1/20)/2</f>
        <v>2.5000000000000001E-2</v>
      </c>
      <c r="CP38" s="95">
        <f>(1/20)</f>
        <v>0.05</v>
      </c>
      <c r="CQ38" s="95">
        <f>(1/20)/2</f>
        <v>2.5000000000000001E-2</v>
      </c>
      <c r="CR38" s="95">
        <f>(1/20)/2</f>
        <v>2.5000000000000001E-2</v>
      </c>
      <c r="CS38" s="95">
        <f>(1/20)</f>
        <v>0.05</v>
      </c>
      <c r="CT38" s="95">
        <f>(1/20)/2</f>
        <v>2.5000000000000001E-2</v>
      </c>
      <c r="CU38" s="95">
        <f>(1/20)/2</f>
        <v>2.5000000000000001E-2</v>
      </c>
      <c r="CV38" s="95">
        <f>(1/20)</f>
        <v>0.05</v>
      </c>
      <c r="CW38" s="95">
        <f>(1/20)/2</f>
        <v>2.5000000000000001E-2</v>
      </c>
      <c r="CX38" s="95">
        <f>(1/20)/2</f>
        <v>2.5000000000000001E-2</v>
      </c>
      <c r="CY38" s="95">
        <f>(1/20)</f>
        <v>0.05</v>
      </c>
      <c r="CZ38" s="95">
        <f>(1/20)/2</f>
        <v>2.5000000000000001E-2</v>
      </c>
      <c r="DA38" s="95">
        <f>(1/20)/2</f>
        <v>2.5000000000000001E-2</v>
      </c>
      <c r="DB38" s="95">
        <f>(1/20)</f>
        <v>0.05</v>
      </c>
      <c r="DC38" s="95">
        <f>(1/20)/2</f>
        <v>2.5000000000000001E-2</v>
      </c>
      <c r="DD38" s="95">
        <f>(1/20)/2</f>
        <v>2.5000000000000001E-2</v>
      </c>
      <c r="DE38" s="138">
        <f>(1/20)</f>
        <v>0.05</v>
      </c>
      <c r="DF38" s="95">
        <f>(1/20)/2</f>
        <v>2.5000000000000001E-2</v>
      </c>
      <c r="DG38" s="95">
        <f>(1/20)/2</f>
        <v>2.5000000000000001E-2</v>
      </c>
      <c r="DH38" s="138">
        <f>(1/20)</f>
        <v>0.05</v>
      </c>
      <c r="DI38" s="95">
        <f>(1/20)/2</f>
        <v>2.5000000000000001E-2</v>
      </c>
      <c r="DJ38" s="95">
        <f>(1/20)/2</f>
        <v>2.5000000000000001E-2</v>
      </c>
      <c r="DK38" s="138">
        <f>(1/20)</f>
        <v>0.05</v>
      </c>
      <c r="DL38" s="95">
        <f>(1/20)/2</f>
        <v>2.5000000000000001E-2</v>
      </c>
      <c r="DM38" s="95">
        <f>(1/20)/2</f>
        <v>2.5000000000000001E-2</v>
      </c>
      <c r="DN38" s="138">
        <f>(1/20)</f>
        <v>0.05</v>
      </c>
      <c r="DO38" s="95">
        <f>(1/20)/2</f>
        <v>2.5000000000000001E-2</v>
      </c>
      <c r="DP38" s="95">
        <f>(1/20)/2</f>
        <v>2.5000000000000001E-2</v>
      </c>
      <c r="DQ38" s="138">
        <f>(1/20)</f>
        <v>0.05</v>
      </c>
      <c r="DR38" s="95">
        <f>(1/20)/2</f>
        <v>2.5000000000000001E-2</v>
      </c>
      <c r="DS38" s="95">
        <f>(1/20)/2</f>
        <v>2.5000000000000001E-2</v>
      </c>
      <c r="DT38" s="138">
        <f>(1/20)</f>
        <v>0.05</v>
      </c>
      <c r="DU38" s="171">
        <f>(1/20)/2</f>
        <v>2.5000000000000001E-2</v>
      </c>
      <c r="DV38" s="95">
        <f>(1/20)/2</f>
        <v>2.5000000000000001E-2</v>
      </c>
      <c r="DW38" s="138">
        <f>(1/20)</f>
        <v>0.05</v>
      </c>
      <c r="DX38" s="171">
        <f>(1/20)/2</f>
        <v>2.5000000000000001E-2</v>
      </c>
      <c r="DY38" s="171">
        <f>(1/20)/2</f>
        <v>2.5000000000000001E-2</v>
      </c>
      <c r="DZ38" s="172">
        <f>(1/20)</f>
        <v>0.05</v>
      </c>
      <c r="EA38" s="171">
        <f>(1/20)/2</f>
        <v>2.5000000000000001E-2</v>
      </c>
      <c r="EB38" s="171">
        <f>(1/20)/2</f>
        <v>2.5000000000000001E-2</v>
      </c>
      <c r="EC38" s="172">
        <f>(1/20)</f>
        <v>0.05</v>
      </c>
      <c r="ED38" s="171">
        <f>(1/20)/2</f>
        <v>2.5000000000000001E-2</v>
      </c>
      <c r="EE38" s="171">
        <f>(1/20)/2</f>
        <v>2.5000000000000001E-2</v>
      </c>
      <c r="EF38" s="172">
        <f>(1/20)</f>
        <v>0.05</v>
      </c>
      <c r="EG38" s="171">
        <f>(1/20)/2</f>
        <v>2.5000000000000001E-2</v>
      </c>
      <c r="EH38" s="171">
        <f>(1/20)/2</f>
        <v>2.5000000000000001E-2</v>
      </c>
      <c r="EI38" s="172">
        <f>(1/20)</f>
        <v>0.05</v>
      </c>
      <c r="EJ38" s="171">
        <f>(1/20)/2</f>
        <v>2.5000000000000001E-2</v>
      </c>
      <c r="EK38" s="171">
        <f>(1/20)/2</f>
        <v>2.5000000000000001E-2</v>
      </c>
      <c r="EL38" s="172">
        <f>(1/20)</f>
        <v>0.05</v>
      </c>
      <c r="EM38" s="171">
        <f>(1/20)/2</f>
        <v>2.5000000000000001E-2</v>
      </c>
      <c r="EN38" s="171">
        <f>(1/20)/2</f>
        <v>2.5000000000000001E-2</v>
      </c>
      <c r="EO38" s="172">
        <f>(1/20)</f>
        <v>0.05</v>
      </c>
      <c r="EP38" s="171">
        <f>(1/20)/2</f>
        <v>2.5000000000000001E-2</v>
      </c>
      <c r="EQ38" s="171">
        <f>(1/20)/2</f>
        <v>2.5000000000000001E-2</v>
      </c>
      <c r="ER38" s="172">
        <f>(1/20)</f>
        <v>0.05</v>
      </c>
      <c r="ES38" s="171">
        <f>(1/20)/2</f>
        <v>2.5000000000000001E-2</v>
      </c>
      <c r="ET38" s="171">
        <f>(1/20)/2</f>
        <v>2.5000000000000001E-2</v>
      </c>
      <c r="EU38" s="172">
        <f>(1/20)</f>
        <v>0.05</v>
      </c>
      <c r="EV38" s="171">
        <f>(1/20)/2</f>
        <v>2.5000000000000001E-2</v>
      </c>
      <c r="EW38" s="171">
        <f>(1/20)/2</f>
        <v>2.5000000000000001E-2</v>
      </c>
      <c r="EX38" s="172">
        <f>(1/20)</f>
        <v>0.05</v>
      </c>
      <c r="EY38" s="171">
        <f>(1/20)/2</f>
        <v>2.5000000000000001E-2</v>
      </c>
      <c r="EZ38" s="171">
        <f>(1/20)/2</f>
        <v>2.5000000000000001E-2</v>
      </c>
      <c r="FA38" s="172">
        <f>(1/20)</f>
        <v>0.05</v>
      </c>
    </row>
    <row r="39" spans="1:157" ht="13.35" customHeight="1">
      <c r="A39" s="3"/>
      <c r="B39" s="4" t="s">
        <v>11</v>
      </c>
      <c r="C39" s="4"/>
      <c r="D39" s="4"/>
      <c r="E39" s="93"/>
      <c r="F39" s="9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c r="AF39" s="93"/>
      <c r="AG39" s="93"/>
      <c r="AH39" s="93"/>
      <c r="AI39" s="93"/>
      <c r="AJ39" s="93"/>
      <c r="AK39" s="93"/>
      <c r="AL39" s="93"/>
      <c r="AM39" s="93"/>
      <c r="AN39" s="93"/>
      <c r="AO39" s="93"/>
      <c r="AP39" s="93"/>
      <c r="AQ39" s="93"/>
      <c r="AR39" s="93"/>
      <c r="AS39" s="93"/>
      <c r="AT39" s="93"/>
      <c r="AU39" s="93"/>
      <c r="AV39" s="93"/>
      <c r="AW39" s="93"/>
      <c r="AX39" s="93"/>
      <c r="AY39" s="93"/>
      <c r="AZ39" s="93"/>
      <c r="BA39" s="92" t="str">
        <f>IF(AND(BA38&lt;&gt;"",BA36&lt;&gt;""),IF(((BA38/2)*BA36)&lt;BA35,(BA38/2)*BA36,BA35),"")</f>
        <v/>
      </c>
      <c r="BB39" s="92" t="str">
        <f>IF(BC39&lt;&gt;"",BC39-BA39,"")</f>
        <v/>
      </c>
      <c r="BC39" s="92" t="str">
        <f>IF(AND(BC38&lt;&gt;"",BC36&lt;&gt;""),IF((BC38*BC36)&lt;BC35,BC38*BC36,BC35),"")</f>
        <v/>
      </c>
      <c r="BD39" s="92" t="str">
        <f>IF(AND(BD38&lt;&gt;"",BD36&lt;&gt;""),IF(((BD38/2)*BD36)&lt;BD35,(BD38/2)*BD36,BD35),"")</f>
        <v/>
      </c>
      <c r="BE39" s="92" t="str">
        <f>IF(BF39&lt;&gt;"",BF39-BD39,"")</f>
        <v/>
      </c>
      <c r="BF39" s="92" t="str">
        <f>IF(AND(BF38&lt;&gt;"",BF36&lt;&gt;""),IF((BF38*BF36)&lt;BF35,BF38*BF36,BF35),"")</f>
        <v/>
      </c>
      <c r="BG39" s="92" t="str">
        <f>IF(AND(BG38&lt;&gt;"",BG36&lt;&gt;""),IF(((BG38/2)*BG36)&lt;BG35,(BG38/2)*BG36,BG35),"")</f>
        <v/>
      </c>
      <c r="BH39" s="92" t="str">
        <f>IF(BI39&lt;&gt;"",BI39-BG39,"")</f>
        <v/>
      </c>
      <c r="BI39" s="92" t="str">
        <f>IF(AND(BI38&lt;&gt;"",BI36&lt;&gt;""),IF((BI38*BI36)&lt;BI35,BI38*BI36,BI35),"")</f>
        <v/>
      </c>
      <c r="BJ39" s="92" t="str">
        <f>IF(AND(BJ38&lt;&gt;"",BJ36&lt;&gt;""),IF(((BJ38/2)*BJ36)&lt;BJ35,(BJ38/2)*BJ36,BJ35),"")</f>
        <v/>
      </c>
      <c r="BK39" s="92" t="str">
        <f>IF(BL39&lt;&gt;"",BL39-BJ39,"")</f>
        <v/>
      </c>
      <c r="BL39" s="92" t="str">
        <f>IF(AND(BL38&lt;&gt;"",BL36&lt;&gt;""),IF((BL38*BL36)&lt;BL35,BL38*BL36,BL35),"")</f>
        <v/>
      </c>
      <c r="BM39" s="92" t="str">
        <f>IF(AND(BM38&lt;&gt;"",BM36&lt;&gt;""),IF(((BM38/2)*BM36)&lt;BM35,(BM38/2)*BM36,BM35),"")</f>
        <v/>
      </c>
      <c r="BN39" s="92" t="str">
        <f>IF(BO39&lt;&gt;"",BO39-BM39,"")</f>
        <v/>
      </c>
      <c r="BO39" s="92" t="str">
        <f>IF(AND(BO38&lt;&gt;"",BO36&lt;&gt;""),IF((BO38*BO36)&lt;BO35,BO38*BO36,BO35),"")</f>
        <v/>
      </c>
      <c r="BP39" s="92" t="str">
        <f>IF(AND(BP38&lt;&gt;"",BP36&lt;&gt;""),IF(((BP38/2)*BP36)&lt;BP35,(BP38/2)*BP36,BP35),"")</f>
        <v/>
      </c>
      <c r="BQ39" s="92" t="str">
        <f>IF(BR39&lt;&gt;"",BR39-BP39,"")</f>
        <v/>
      </c>
      <c r="BR39" s="92" t="str">
        <f>IF(AND(BR38&lt;&gt;"",BR36&lt;&gt;""),IF((BR38*BR36)&lt;BR35,BR38*BR36,BR35),"")</f>
        <v/>
      </c>
      <c r="BS39" s="92" t="str">
        <f>IF(AND(BS38&lt;&gt;"",BS36&lt;&gt;""),IF(((BS38/2)*BS36)&lt;BS35,(BS38/2)*BS36,BS35),"")</f>
        <v/>
      </c>
      <c r="BT39" s="92" t="str">
        <f>IF(BU39&lt;&gt;"",BU39-BS39,"")</f>
        <v/>
      </c>
      <c r="BU39" s="92" t="str">
        <f>IF(AND(BU38&lt;&gt;"",BU36&lt;&gt;""),IF((BU38*BU36)&lt;BU35,BU38*BU36,BU35),"")</f>
        <v/>
      </c>
      <c r="BV39" s="92" t="str">
        <f>IF(AND(BV38&lt;&gt;"",BV36&lt;&gt;""),IF(((BV38/2)*BV36)&lt;BV35,(BV38/2)*BV36,BV35),"")</f>
        <v/>
      </c>
      <c r="BW39" s="92" t="str">
        <f>IF(BX39&lt;&gt;"",BX39-BV39,"")</f>
        <v/>
      </c>
      <c r="BX39" s="92" t="str">
        <f>IF(AND(BX38&lt;&gt;"",BX36&lt;&gt;""),IF((BX38*BX36)&lt;BX35,BX38*BX36,BX35),"")</f>
        <v/>
      </c>
      <c r="BY39" s="92" t="str">
        <f>IF(AND(BY38&lt;&gt;"",BY36&lt;&gt;""),IF(((BY38/2)*BY36)&lt;BY35,(BY38/2)*BY36,BY35),"")</f>
        <v/>
      </c>
      <c r="BZ39" s="92" t="str">
        <f>IF(CA39&lt;&gt;"",CA39-BY39,"")</f>
        <v/>
      </c>
      <c r="CA39" s="92" t="str">
        <f>IF(AND(CA38&lt;&gt;"",CA36&lt;&gt;""),IF((CA38*CA36)&lt;CA35,CA38*CA36,CA35),"")</f>
        <v/>
      </c>
      <c r="CB39" s="92" t="str">
        <f>IF(AND(CB38&lt;&gt;"",CB36&lt;&gt;""),IF(((CB38/2)*CB36)&lt;CB35,(CB38/2)*CB36,CB35),"")</f>
        <v/>
      </c>
      <c r="CC39" s="92" t="str">
        <f>IF(CD39&lt;&gt;"",CD39-CB39,"")</f>
        <v/>
      </c>
      <c r="CD39" s="92" t="str">
        <f>IF(AND(CD38&lt;&gt;"",CD36&lt;&gt;""),IF((CD38*CD36)&lt;CD35,CD38*CD36,CD35),"")</f>
        <v/>
      </c>
      <c r="CE39" s="92" t="str">
        <f>IF(AND(CE38&lt;&gt;"",CE36&lt;&gt;""),IF(((CE38/2)*CE36)&lt;CE35,(CE38/2)*CE36,CE35),"")</f>
        <v/>
      </c>
      <c r="CF39" s="92" t="str">
        <f>IF(CG39&lt;&gt;"",CG39-CE39,"")</f>
        <v/>
      </c>
      <c r="CG39" s="92" t="str">
        <f>IF(AND(CG38&lt;&gt;"",CG36&lt;&gt;""),IF((CG38*CG36)&lt;CG35,CG38*CG36,CG35),"")</f>
        <v/>
      </c>
      <c r="CH39" s="92" t="str">
        <f>IF(AND(CH38&lt;&gt;"",CH36&lt;&gt;""),IF(((CH38/2)*CH36)&lt;CH35,(CH38/2)*CH36,CH35),"")</f>
        <v/>
      </c>
      <c r="CI39" s="92" t="str">
        <f>IF(CJ39&lt;&gt;"",CJ39-CH39,"")</f>
        <v/>
      </c>
      <c r="CJ39" s="92" t="str">
        <f>IF(AND(CJ38&lt;&gt;"",CJ36&lt;&gt;""),IF((CJ38*CJ36)&lt;CJ35,CJ38*CJ36,CJ35),"")</f>
        <v/>
      </c>
      <c r="CK39" s="92" t="str">
        <f>IF(AND(CK38&lt;&gt;"",CK36&lt;&gt;""),IF(((CK38/2)*CK36)&lt;CK35,(CK38/2)*CK36,CK35),"")</f>
        <v/>
      </c>
      <c r="CL39" s="92" t="str">
        <f>IF(CM39&lt;&gt;"",CM39-CK39,"")</f>
        <v/>
      </c>
      <c r="CM39" s="92" t="str">
        <f>IF(AND(CM38&lt;&gt;"",CM36&lt;&gt;""),IF((CM38*CM36)&lt;CM35,CM38*CM36,CM35),"")</f>
        <v/>
      </c>
      <c r="CN39" s="92" t="str">
        <f>IF(AND(CN38&lt;&gt;"",CN36&lt;&gt;""),IF(((CN38/2)*CN36)&lt;CN35,(CN38/2)*CN36,CN35),"")</f>
        <v/>
      </c>
      <c r="CO39" s="92" t="str">
        <f>IF(CP39&lt;&gt;"",CP39-CN39,"")</f>
        <v/>
      </c>
      <c r="CP39" s="92" t="str">
        <f>IF(AND(CP38&lt;&gt;"",CP36&lt;&gt;""),IF((CP38*CP36)&lt;CP35,CP38*CP36,CP35),"")</f>
        <v/>
      </c>
      <c r="CQ39" s="92" t="str">
        <f>IF(AND(CQ38&lt;&gt;"",CQ36&lt;&gt;""),IF(((CQ38/2)*CQ36)&lt;CQ35,(CQ38/2)*CQ36,CQ35),"")</f>
        <v/>
      </c>
      <c r="CR39" s="92" t="str">
        <f>IF(CS39&lt;&gt;"",CS39-CQ39,"")</f>
        <v/>
      </c>
      <c r="CS39" s="92" t="str">
        <f>IF(AND(CS38&lt;&gt;"",CS36&lt;&gt;""),IF((CS38*CS36)&lt;CS35,CS38*CS36,CS35),"")</f>
        <v/>
      </c>
      <c r="CT39" s="92" t="str">
        <f>IF(AND(CT38&lt;&gt;"",CT36&lt;&gt;""),IF(((CT38/2)*CT36)&lt;CT35,(CT38/2)*CT36,CT35),"")</f>
        <v/>
      </c>
      <c r="CU39" s="92" t="str">
        <f>IF(CV39&lt;&gt;"",CV39-CT39,"")</f>
        <v/>
      </c>
      <c r="CV39" s="92" t="str">
        <f>IF(AND(CV38&lt;&gt;"",CV36&lt;&gt;""),IF((CV38*CV36)&lt;CV35,CV38*CV36,CV35),"")</f>
        <v/>
      </c>
      <c r="CW39" s="92" t="str">
        <f>IF(AND(CW38&lt;&gt;"",CW36&lt;&gt;""),IF(((CW38/2)*CW36)&lt;CW35,(CW38/2)*CW36,CW35),"")</f>
        <v/>
      </c>
      <c r="CX39" s="92" t="str">
        <f>IF(CY39&lt;&gt;"",CY39-CW39,"")</f>
        <v/>
      </c>
      <c r="CY39" s="92" t="str">
        <f>IF(AND(CY38&lt;&gt;"",CY36&lt;&gt;""),IF((CY38*CY36)&lt;CY35,CY38*CY36,CY35),"")</f>
        <v/>
      </c>
      <c r="CZ39" s="92" t="str">
        <f>IF(AND(CZ38&lt;&gt;"",CZ36&lt;&gt;""),IF(((CZ38/2)*CZ36)&lt;CZ35,(CZ38/2)*CZ36,CZ35),"")</f>
        <v/>
      </c>
      <c r="DA39" s="92" t="str">
        <f>IF(DB39&lt;&gt;"",DB39-CZ39,"")</f>
        <v/>
      </c>
      <c r="DB39" s="92" t="str">
        <f>IF(AND(DB38&lt;&gt;"",DB36&lt;&gt;""),IF((DB38*DB36)&lt;DB35,DB38*DB36,DB35),"")</f>
        <v/>
      </c>
      <c r="DC39" s="92" t="str">
        <f>IF(AND(DC38&lt;&gt;"",DC36&lt;&gt;""),IF(((DC38/2)*DC36)&lt;DC35,(DC38/2)*DC36,DC35),"")</f>
        <v/>
      </c>
      <c r="DD39" s="92"/>
      <c r="DE39" s="144" t="str">
        <f>IF(AND(DE38&lt;&gt;"",DE36&lt;&gt;""),IF((DE38*DE36)&lt;DE35,DE38*DE36,DE35),"")</f>
        <v/>
      </c>
      <c r="DF39" s="92" t="str">
        <f>IF(AND(DF38&lt;&gt;"",DF36&lt;&gt;""),IF(((DF38/2)*DF36)&lt;DF35,(DF38/2)*DF36,DF35),"")</f>
        <v/>
      </c>
      <c r="DG39" s="92" t="str">
        <f>IF(DH39&lt;&gt;"",DH39-DF39,"")</f>
        <v/>
      </c>
      <c r="DH39" s="144" t="str">
        <f>IF(AND(DH38&lt;&gt;"",DH36&lt;&gt;""),IF((DH38*DH36)&lt;DH35,DH38*DH36,DH35),"")</f>
        <v/>
      </c>
      <c r="DI39" s="92" t="str">
        <f>IF(AND(DI38&lt;&gt;"",DI36&lt;&gt;""),IF(((DI38/2)*DI36)&lt;DI35,(DI38/2)*DI36,DI35),"")</f>
        <v/>
      </c>
      <c r="DJ39" s="92" t="str">
        <f>IF(DK39&lt;&gt;"",DK39-DI39,"")</f>
        <v/>
      </c>
      <c r="DK39" s="144" t="str">
        <f>IF(AND(DK38&lt;&gt;"",DK36&lt;&gt;""),IF((DK38*DK36)&lt;DK35,DK38*DK36,DK35),"")</f>
        <v/>
      </c>
      <c r="DL39" s="92" t="str">
        <f>IF(AND(DL38&lt;&gt;"",DL36&lt;&gt;""),IF(((DL38/2)*DL36)&lt;DL35,(DL38/2)*DL36,DL35),"")</f>
        <v/>
      </c>
      <c r="DM39" s="92" t="str">
        <f>IF(DN39&lt;&gt;"",DN39-DL39,"")</f>
        <v/>
      </c>
      <c r="DN39" s="144" t="str">
        <f>IF(AND(DN38&lt;&gt;"",DN36&lt;&gt;""),IF((DN38*DN36)&lt;DN35,DN38*DN36,DN35),"")</f>
        <v/>
      </c>
      <c r="DO39" s="92" t="str">
        <f>IF(AND(DO38&lt;&gt;"",DO36&lt;&gt;""),IF(((DO38/2)*DO36)&lt;DO35,(DO38/2)*DO36,DO35),"")</f>
        <v/>
      </c>
      <c r="DP39" s="92" t="str">
        <f>IF(DQ39&lt;&gt;"",DQ39-DO39,"")</f>
        <v/>
      </c>
      <c r="DQ39" s="144" t="str">
        <f>IF(AND(DQ38&lt;&gt;"",DQ36&lt;&gt;""),IF((DQ38*DQ36)&lt;DQ35,DQ38*DQ36,DQ35),"")</f>
        <v/>
      </c>
      <c r="DR39" s="92" t="str">
        <f>IF(AND(DR38&lt;&gt;"",DR36&lt;&gt;""),IF(((DR38/2)*DR36)&lt;DR35,(DR38/2)*DR36,DR35),"")</f>
        <v/>
      </c>
      <c r="DS39" s="92" t="str">
        <f>IF(DT39&lt;&gt;"",DT39-DR39,"")</f>
        <v/>
      </c>
      <c r="DT39" s="144" t="str">
        <f>IF(AND(DT38&lt;&gt;"",DT36&lt;&gt;""),IF((DT38*DT36)&lt;DT35,DT38*DT36,DT35),"")</f>
        <v/>
      </c>
      <c r="DU39" s="92" t="str">
        <f>IF(AND(DU38&lt;&gt;"",DU36&lt;&gt;""),IF(((DU38/2)*DU36)&lt;DU35,(DU38/2)*DU36,DU35),"")</f>
        <v/>
      </c>
      <c r="DV39" s="92" t="str">
        <f>IF(DW39&lt;&gt;"",DW39-DU39,"")</f>
        <v/>
      </c>
      <c r="DW39" s="144" t="str">
        <f>IF(AND(DW38&lt;&gt;"",DW36&lt;&gt;""),IF((DW38*DW36)&lt;DW35,DW38*DW36,DW35),"")</f>
        <v/>
      </c>
      <c r="DX39" s="92" t="str">
        <f>IF(AND(DX38&lt;&gt;"",DX36&lt;&gt;""),IF(((DX38/2)*DX36)&lt;DX35,(DX38/2)*DX36,DX35),"")</f>
        <v/>
      </c>
      <c r="DY39" s="92" t="e">
        <f>IF(DZ39&lt;&gt;"",DZ39-DX39,"")</f>
        <v>#VALUE!</v>
      </c>
      <c r="DZ39" s="144">
        <f>IF(AND(DZ38&lt;&gt;"",DZ36&lt;&gt;""),IF((DZ38*DZ36)&lt;DZ35,DZ38*DZ36,DZ35),"")</f>
        <v>0</v>
      </c>
      <c r="EA39" s="92">
        <f>IF(AND(EA38&lt;&gt;"",EA36&lt;&gt;""),IF(((EA38/2)*EA36)&lt;EA35,(EA38/2)*EA36,EA35),"")</f>
        <v>0</v>
      </c>
      <c r="EB39" s="92">
        <f>IF(EC39&lt;&gt;"",EC39-EA39,"")</f>
        <v>0</v>
      </c>
      <c r="EC39" s="144">
        <f>IF(AND(EC38&lt;&gt;"",EC36&lt;&gt;""),IF((EC38*EC36)&lt;EC35,EC38*EC36,EC35),"")</f>
        <v>0</v>
      </c>
      <c r="ED39" s="92">
        <f>IF(AND(ED38&lt;&gt;"",ED36&lt;&gt;""),IF(((ED38/2)*ED36)&lt;ED35,(ED38/2)*ED36,ED35),"")</f>
        <v>0</v>
      </c>
      <c r="EE39" s="92">
        <f>IF(EF39&lt;&gt;"",EF39-ED39,"")</f>
        <v>0</v>
      </c>
      <c r="EF39" s="144">
        <f>IF(AND(EF38&lt;&gt;"",EF36&lt;&gt;""),IF((EF38*EF36)&lt;EF35,EF38*EF36,EF35),"")</f>
        <v>0</v>
      </c>
      <c r="EG39" s="92">
        <f>IF(AND(EG38&lt;&gt;"",EG36&lt;&gt;""),IF(((EG38/2)*EG36)&lt;EG35,(EG38/2)*EG36,EG35),"")</f>
        <v>0</v>
      </c>
      <c r="EH39" s="92">
        <f>IF(EI39&lt;&gt;"",EI39-EG39,"")</f>
        <v>0</v>
      </c>
      <c r="EI39" s="144">
        <f>IF(AND(EI38&lt;&gt;"",EI36&lt;&gt;""),IF((EI38*EI36)&lt;EI35,EI38*EI36,EI35),"")</f>
        <v>0</v>
      </c>
      <c r="EJ39" s="92">
        <f>IF(AND(EJ38&lt;&gt;"",EJ36&lt;&gt;""),IF(((EJ38/2)*EJ36)&lt;EJ35,(EJ38/2)*EJ36,EJ35),"")</f>
        <v>0</v>
      </c>
      <c r="EK39" s="92">
        <f>IF(EL39&lt;&gt;"",EL39-EJ39,"")</f>
        <v>0</v>
      </c>
      <c r="EL39" s="144">
        <f>IF(AND(EL38&lt;&gt;"",EL36&lt;&gt;""),IF((EL38*EL36)&lt;EL35,EL38*EL36,EL35),"")</f>
        <v>0</v>
      </c>
      <c r="EM39" s="92">
        <f>IF(AND(EM38&lt;&gt;"",EM36&lt;&gt;""),IF(((EM38/2)*EM36)&lt;EM35,(EM38/2)*EM36,EM35),"")</f>
        <v>0</v>
      </c>
      <c r="EN39" s="92">
        <f>IF(EO39&lt;&gt;"",EO39-EM39,"")</f>
        <v>0</v>
      </c>
      <c r="EO39" s="144">
        <f>IF(AND(EO38&lt;&gt;"",EO36&lt;&gt;""),IF((EO38*EO36)&lt;EO35,EO38*EO36,EO35),"")</f>
        <v>0</v>
      </c>
      <c r="EP39" s="92">
        <f>IF(AND(EP38&lt;&gt;"",EP36&lt;&gt;""),IF(((EP38/2)*EP36)&lt;EP35,(EP38/2)*EP36,EP35),"")</f>
        <v>0</v>
      </c>
      <c r="EQ39" s="92">
        <f>IF(ER39&lt;&gt;"",ER39-EP39,"")</f>
        <v>0</v>
      </c>
      <c r="ER39" s="144">
        <f>IF(AND(ER38&lt;&gt;"",ER36&lt;&gt;""),IF((ER38*ER36)&lt;ER35,ER38*ER36,ER35),"")</f>
        <v>0</v>
      </c>
      <c r="ES39" s="92">
        <f>IF(AND(ES38&lt;&gt;"",ES36&lt;&gt;""),IF(((ES38/2)*ES36)&lt;ES35,(ES38/2)*ES36,ES35),"")</f>
        <v>0</v>
      </c>
      <c r="ET39" s="92">
        <f>IF(EU39&lt;&gt;"",EU39-ES39,"")</f>
        <v>0</v>
      </c>
      <c r="EU39" s="144">
        <f>IF(AND(EU38&lt;&gt;"",EU36&lt;&gt;""),IF((EU38*EU36)&lt;EU35,EU38*EU36,EU35),"")</f>
        <v>0</v>
      </c>
      <c r="EV39" s="92">
        <f>IF(AND(EV38&lt;&gt;"",EV36&lt;&gt;""),IF(((EV38/2)*EV36)&lt;EV35,(EV38/2)*EV36,EV35),"")</f>
        <v>0</v>
      </c>
      <c r="EW39" s="92">
        <f>IF(EX39&lt;&gt;"",EX39-EV39,"")</f>
        <v>0</v>
      </c>
      <c r="EX39" s="144">
        <f>IF(AND(EX38&lt;&gt;"",EX36&lt;&gt;""),IF((EX38*EX36)&lt;EX35,EX38*EX36,EX35),"")</f>
        <v>0</v>
      </c>
      <c r="EY39" s="92">
        <f>IF(AND(EY38&lt;&gt;"",EY36&lt;&gt;""),IF(((EY38/2)*EY36)&lt;EY35,(EY38/2)*EY36,EY35),"")</f>
        <v>0</v>
      </c>
      <c r="EZ39" s="92">
        <f>IF(FA39&lt;&gt;"",FA39-EY39,"")</f>
        <v>0</v>
      </c>
      <c r="FA39" s="144">
        <f>IF(AND(FA38&lt;&gt;"",FA36&lt;&gt;""),IF((FA38*FA36)&lt;FA35,FA38*FA36,FA35),"")</f>
        <v>0</v>
      </c>
    </row>
    <row r="40" spans="1:157" ht="13.35" customHeight="1">
      <c r="A40" s="3"/>
      <c r="B40" s="5" t="s">
        <v>12</v>
      </c>
      <c r="C40" s="5"/>
      <c r="D40" s="5"/>
      <c r="E40" s="92" t="s">
        <v>187</v>
      </c>
      <c r="F40" s="92" t="str">
        <f>IF(AND(G40&lt;&gt;"",E40&lt;&gt;""),G40-E40,"")</f>
        <v/>
      </c>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c r="AF40" s="93"/>
      <c r="AG40" s="93"/>
      <c r="AH40" s="93"/>
      <c r="AI40" s="93"/>
      <c r="AJ40" s="93"/>
      <c r="AK40" s="93"/>
      <c r="AL40" s="92" t="str">
        <f>IF(Model!AL58&lt;&gt;"",Model!AL58,"")</f>
        <v/>
      </c>
      <c r="AM40" s="92" t="str">
        <f>IF(AND(AN40&lt;&gt;"",AL40&lt;&gt;""),AN40-AL40,"")</f>
        <v/>
      </c>
      <c r="AN40" s="92">
        <f>IF(Model!AN58&lt;&gt;"",Model!AN58,"")</f>
        <v>6.9160000000000004</v>
      </c>
      <c r="AO40" s="92" t="str">
        <f>IF(Model!AO58&lt;&gt;"",Model!AO58,"")</f>
        <v/>
      </c>
      <c r="AP40" s="92" t="str">
        <f>IF(AND(AQ40&lt;&gt;"",AO40&lt;&gt;""),AQ40-AO40,"")</f>
        <v/>
      </c>
      <c r="AQ40" s="92">
        <f>IF(Model!AQ58&lt;&gt;"",Model!AQ58,"")</f>
        <v>6.1749999999999998</v>
      </c>
      <c r="AR40" s="92" t="str">
        <f>IF(Model!AR58&lt;&gt;"",Model!AR58,"")</f>
        <v/>
      </c>
      <c r="AS40" s="92" t="str">
        <f>IF(AND(AT40&lt;&gt;"",AR40&lt;&gt;""),AT40-AR40,"")</f>
        <v/>
      </c>
      <c r="AT40" s="92">
        <f>IF(Model!AT58&lt;&gt;"",Model!AT58,"")</f>
        <v>7.01</v>
      </c>
      <c r="AU40" s="92">
        <f>IF(Model!AU58&lt;&gt;"",Model!AU58,"")</f>
        <v>16.759</v>
      </c>
      <c r="AV40" s="92">
        <f>IF(AND(AW40&lt;&gt;"",AU40&lt;&gt;""),AW40-AU40,"")</f>
        <v>-8.9290000000000003</v>
      </c>
      <c r="AW40" s="92">
        <f>IF(Model!AW58&lt;&gt;"",Model!AW58,"")</f>
        <v>7.83</v>
      </c>
      <c r="AX40" s="92">
        <f>IF(Model!AX58&lt;&gt;"",Model!AX58,"")</f>
        <v>2</v>
      </c>
      <c r="AY40" s="92">
        <f>IF(AND(AZ40&lt;&gt;"",AX40&lt;&gt;""),AZ40-AX40,"")</f>
        <v>2.1239999999999997</v>
      </c>
      <c r="AZ40" s="92">
        <f>IF(Model!AZ58&lt;&gt;"",Model!AZ58,"")</f>
        <v>4.1239999999999997</v>
      </c>
      <c r="BA40" s="92"/>
      <c r="BB40" s="92" t="str">
        <f>IF(AND(BC40&lt;&gt;"",BA40&lt;&gt;""),BC40-BA40,"")</f>
        <v/>
      </c>
      <c r="BC40" s="93"/>
      <c r="BD40" s="93"/>
      <c r="BE40" s="92" t="str">
        <f>IF(AND(BF40&lt;&gt;"",BD40&lt;&gt;""),BF40-BD40,"")</f>
        <v/>
      </c>
      <c r="BF40" s="93"/>
      <c r="BG40" s="93"/>
      <c r="BH40" s="92" t="str">
        <f>IF(AND(BI40&lt;&gt;"",BG40&lt;&gt;""),BI40-BG40,"")</f>
        <v/>
      </c>
      <c r="BI40" s="93"/>
      <c r="BJ40" s="93"/>
      <c r="BK40" s="92" t="str">
        <f>IF(AND(BL40&lt;&gt;"",BJ40&lt;&gt;""),BL40-BJ40,"")</f>
        <v/>
      </c>
      <c r="BL40" s="93"/>
      <c r="BM40" s="93"/>
      <c r="BN40" s="92" t="str">
        <f>IF(AND(BO40&lt;&gt;"",BM40&lt;&gt;""),BO40-BM40,"")</f>
        <v/>
      </c>
      <c r="BO40" s="93"/>
      <c r="BP40" s="93"/>
      <c r="BQ40" s="92" t="str">
        <f>IF(AND(BR40&lt;&gt;"",BP40&lt;&gt;""),BR40-BP40,"")</f>
        <v/>
      </c>
      <c r="BR40" s="93"/>
      <c r="BS40" s="93"/>
      <c r="BT40" s="92" t="str">
        <f>IF(AND(BU40&lt;&gt;"",BS40&lt;&gt;""),BU40-BS40,"")</f>
        <v/>
      </c>
      <c r="BU40" s="93"/>
      <c r="BV40" s="93"/>
      <c r="BW40" s="92" t="str">
        <f>IF(AND(BX40&lt;&gt;"",BV40&lt;&gt;""),BX40-BV40,"")</f>
        <v/>
      </c>
      <c r="BX40" s="93"/>
      <c r="BY40" s="93"/>
      <c r="BZ40" s="92" t="str">
        <f>IF(AND(CA40&lt;&gt;"",BY40&lt;&gt;""),CA40-BY40,"")</f>
        <v/>
      </c>
      <c r="CA40" s="93"/>
      <c r="CB40" s="93"/>
      <c r="CC40" s="92" t="str">
        <f>IF(AND(CD40&lt;&gt;"",CB40&lt;&gt;""),CD40-CB40,"")</f>
        <v/>
      </c>
      <c r="CD40" s="93"/>
      <c r="CE40" s="93"/>
      <c r="CF40" s="92" t="str">
        <f>IF(AND(CG40&lt;&gt;"",CE40&lt;&gt;""),CG40-CE40,"")</f>
        <v/>
      </c>
      <c r="CG40" s="93"/>
      <c r="CH40" s="93"/>
      <c r="CI40" s="92" t="str">
        <f>IF(AND(CJ40&lt;&gt;"",CH40&lt;&gt;""),CJ40-CH40,"")</f>
        <v/>
      </c>
      <c r="CJ40" s="93"/>
      <c r="CK40" s="93"/>
      <c r="CL40" s="92" t="str">
        <f>IF(AND(CM40&lt;&gt;"",CK40&lt;&gt;""),CM40-CK40,"")</f>
        <v/>
      </c>
      <c r="CM40" s="93"/>
      <c r="CN40" s="93"/>
      <c r="CO40" s="92" t="str">
        <f>IF(AND(CP40&lt;&gt;"",CN40&lt;&gt;""),CP40-CN40,"")</f>
        <v/>
      </c>
      <c r="CP40" s="93"/>
      <c r="CQ40" s="93"/>
      <c r="CR40" s="92" t="str">
        <f>IF(AND(CS40&lt;&gt;"",CQ40&lt;&gt;""),CS40-CQ40,"")</f>
        <v/>
      </c>
      <c r="CS40" s="93"/>
      <c r="CT40" s="93"/>
      <c r="CU40" s="92" t="str">
        <f>IF(AND(CV40&lt;&gt;"",CT40&lt;&gt;""),CV40-CT40,"")</f>
        <v/>
      </c>
      <c r="CV40" s="93"/>
      <c r="CW40" s="93"/>
      <c r="CX40" s="92" t="str">
        <f>IF(AND(CY40&lt;&gt;"",CW40&lt;&gt;""),CY40-CW40,"")</f>
        <v/>
      </c>
      <c r="CY40" s="93"/>
      <c r="CZ40" s="93"/>
      <c r="DA40" s="92" t="str">
        <f>IF(AND(DB40&lt;&gt;"",CZ40&lt;&gt;""),DB40-CZ40,"")</f>
        <v/>
      </c>
      <c r="DB40" s="93"/>
      <c r="DC40" s="93"/>
      <c r="DD40" s="92" t="str">
        <f>IF(AND(DE40&lt;&gt;"",DC40&lt;&gt;""),DE40-DC40,"")</f>
        <v/>
      </c>
      <c r="DE40" s="144"/>
      <c r="DF40" s="93"/>
      <c r="DG40" s="92" t="str">
        <f>IF(AND(DH40&lt;&gt;"",DF40&lt;&gt;""),DH40-DF40,"")</f>
        <v/>
      </c>
      <c r="DH40" s="144"/>
      <c r="DI40" s="93"/>
      <c r="DJ40" s="92" t="str">
        <f>IF(AND(DK40&lt;&gt;"",DI40&lt;&gt;""),DK40-DI40,"")</f>
        <v/>
      </c>
      <c r="DK40" s="144"/>
      <c r="DL40" s="93"/>
      <c r="DM40" s="92" t="str">
        <f>IF(AND(DN40&lt;&gt;"",DL40&lt;&gt;""),DN40-DL40,"")</f>
        <v/>
      </c>
      <c r="DN40" s="144"/>
      <c r="DO40" s="93"/>
      <c r="DP40" s="92" t="str">
        <f>IF(AND(DQ40&lt;&gt;"",DO40&lt;&gt;""),DQ40-DO40,"")</f>
        <v/>
      </c>
      <c r="DQ40" s="144"/>
      <c r="DR40" s="93"/>
      <c r="DS40" s="92" t="str">
        <f>IF(AND(DT40&lt;&gt;"",DR40&lt;&gt;""),DT40-DR40,"")</f>
        <v/>
      </c>
      <c r="DT40" s="144"/>
      <c r="DU40" s="93"/>
      <c r="DV40" s="92" t="str">
        <f>IF(AND(DW40&lt;&gt;"",DU40&lt;&gt;""),DW40-DU40,"")</f>
        <v/>
      </c>
      <c r="DW40" s="144"/>
      <c r="DX40" s="93"/>
      <c r="DY40" s="92" t="str">
        <f>IF(AND(DZ40&lt;&gt;"",DX40&lt;&gt;""),DZ40-DX40,"")</f>
        <v/>
      </c>
      <c r="DZ40" s="144"/>
      <c r="EA40" s="93"/>
      <c r="EB40" s="92" t="str">
        <f>IF(AND(EC40&lt;&gt;"",EA40&lt;&gt;""),EC40-EA40,"")</f>
        <v/>
      </c>
      <c r="EC40" s="144"/>
      <c r="ED40" s="93"/>
      <c r="EE40" s="92" t="str">
        <f>IF(AND(EF40&lt;&gt;"",ED40&lt;&gt;""),EF40-ED40,"")</f>
        <v/>
      </c>
      <c r="EF40" s="144"/>
      <c r="EG40" s="93"/>
      <c r="EH40" s="92" t="str">
        <f>IF(AND(EI40&lt;&gt;"",EG40&lt;&gt;""),EI40-EG40,"")</f>
        <v/>
      </c>
      <c r="EI40" s="144"/>
      <c r="EJ40" s="93"/>
      <c r="EK40" s="92" t="str">
        <f>IF(AND(EL40&lt;&gt;"",EJ40&lt;&gt;""),EL40-EJ40,"")</f>
        <v/>
      </c>
      <c r="EL40" s="144"/>
      <c r="EM40" s="93"/>
      <c r="EN40" s="92" t="str">
        <f>IF(AND(EO40&lt;&gt;"",EM40&lt;&gt;""),EO40-EM40,"")</f>
        <v/>
      </c>
      <c r="EO40" s="144"/>
      <c r="EP40" s="93"/>
      <c r="EQ40" s="92" t="str">
        <f>IF(AND(ER40&lt;&gt;"",EP40&lt;&gt;""),ER40-EP40,"")</f>
        <v/>
      </c>
      <c r="ER40" s="144"/>
      <c r="ES40" s="93"/>
      <c r="ET40" s="92" t="str">
        <f>IF(AND(EU40&lt;&gt;"",ES40&lt;&gt;""),EU40-ES40,"")</f>
        <v/>
      </c>
      <c r="EU40" s="144"/>
      <c r="EV40" s="93"/>
      <c r="EW40" s="92" t="str">
        <f>IF(AND(EX40&lt;&gt;"",EV40&lt;&gt;""),EX40-EV40,"")</f>
        <v/>
      </c>
      <c r="EX40" s="144"/>
      <c r="EY40" s="93"/>
      <c r="EZ40" s="92" t="str">
        <f>IF(AND(FA40&lt;&gt;"",EY40&lt;&gt;""),FA40-EY40,"")</f>
        <v/>
      </c>
      <c r="FA40" s="144"/>
    </row>
    <row r="41" spans="1:157" ht="13.35" customHeight="1">
      <c r="A41" s="3"/>
      <c r="B41" s="4" t="s">
        <v>13</v>
      </c>
      <c r="C41" s="4"/>
      <c r="D41" s="91"/>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c r="AF41" s="93"/>
      <c r="AG41" s="93"/>
      <c r="AH41" s="93"/>
      <c r="AI41" s="93"/>
      <c r="AJ41" s="93"/>
      <c r="AK41" s="93"/>
      <c r="AL41" s="93"/>
      <c r="AM41" s="93"/>
      <c r="AN41" s="93"/>
      <c r="AO41" s="93"/>
      <c r="AP41" s="93"/>
      <c r="AQ41" s="93"/>
      <c r="AR41" s="93"/>
      <c r="AS41" s="93"/>
      <c r="AT41" s="93"/>
      <c r="AU41" s="93"/>
      <c r="AV41" s="93"/>
      <c r="AW41" s="93"/>
      <c r="AX41" s="93"/>
      <c r="AY41" s="93"/>
      <c r="AZ41" s="8"/>
      <c r="BA41" s="8"/>
      <c r="BB41" s="92"/>
      <c r="BC41" s="8"/>
      <c r="BD41" s="8"/>
      <c r="BE41" s="92"/>
      <c r="BF41" s="8"/>
      <c r="BG41" s="8"/>
      <c r="BH41" s="92"/>
      <c r="BI41" s="8"/>
      <c r="BJ41" s="8"/>
      <c r="BK41" s="92"/>
      <c r="BL41" s="8"/>
      <c r="BM41" s="8"/>
      <c r="BN41" s="92"/>
      <c r="BO41" s="8"/>
      <c r="BP41" s="8"/>
      <c r="BQ41" s="92"/>
      <c r="BR41" s="8"/>
      <c r="BS41" s="8"/>
      <c r="BT41" s="92"/>
      <c r="BU41" s="8"/>
      <c r="BV41" s="8"/>
      <c r="BW41" s="92"/>
      <c r="BX41" s="8"/>
      <c r="BY41" s="8"/>
      <c r="BZ41" s="92"/>
      <c r="CA41" s="8"/>
      <c r="CB41" s="8"/>
      <c r="CC41" s="92"/>
      <c r="CD41" s="8"/>
      <c r="CE41" s="8"/>
      <c r="CF41" s="92"/>
      <c r="CG41" s="8"/>
      <c r="CH41" s="8"/>
      <c r="CI41" s="92"/>
      <c r="CJ41" s="8"/>
      <c r="CK41" s="8"/>
      <c r="CL41" s="92"/>
      <c r="CM41" s="8"/>
      <c r="CN41" s="8"/>
      <c r="CO41" s="92"/>
      <c r="CP41" s="8"/>
      <c r="CQ41" s="8"/>
      <c r="CR41" s="92"/>
      <c r="CS41" s="8"/>
      <c r="CT41" s="8"/>
      <c r="CU41" s="92"/>
      <c r="CV41" s="8"/>
      <c r="CW41" s="8"/>
      <c r="CX41" s="92"/>
      <c r="CY41" s="8"/>
      <c r="CZ41" s="8"/>
      <c r="DA41" s="92"/>
      <c r="DB41" s="8"/>
      <c r="DC41" s="8"/>
      <c r="DD41" s="92"/>
      <c r="DE41" s="145"/>
      <c r="DF41" s="8"/>
      <c r="DG41" s="92"/>
      <c r="DH41" s="145"/>
      <c r="DI41" s="8"/>
      <c r="DJ41" s="92"/>
      <c r="DK41" s="145"/>
      <c r="DL41" s="8"/>
      <c r="DM41" s="92"/>
      <c r="DN41" s="145"/>
      <c r="DO41" s="8"/>
      <c r="DP41" s="92"/>
      <c r="DQ41" s="145"/>
      <c r="DR41" s="8"/>
      <c r="DS41" s="92"/>
      <c r="DT41" s="145"/>
      <c r="DU41" s="8"/>
      <c r="DV41" s="92"/>
      <c r="DW41" s="145"/>
      <c r="DX41" s="8"/>
      <c r="DY41" s="92"/>
      <c r="DZ41" s="145"/>
      <c r="EA41" s="8"/>
      <c r="EB41" s="92"/>
      <c r="EC41" s="145"/>
      <c r="ED41" s="8"/>
      <c r="EE41" s="92"/>
      <c r="EF41" s="145"/>
      <c r="EG41" s="8"/>
      <c r="EH41" s="92"/>
      <c r="EI41" s="145"/>
      <c r="EJ41" s="8"/>
      <c r="EK41" s="92"/>
      <c r="EL41" s="145"/>
      <c r="EM41" s="8"/>
      <c r="EN41" s="92"/>
      <c r="EO41" s="145"/>
      <c r="EP41" s="8"/>
      <c r="EQ41" s="92"/>
      <c r="ER41" s="145"/>
      <c r="ES41" s="8"/>
      <c r="ET41" s="92"/>
      <c r="EU41" s="145"/>
      <c r="EV41" s="8"/>
      <c r="EW41" s="92"/>
      <c r="EX41" s="145"/>
      <c r="EY41" s="8"/>
      <c r="EZ41" s="92"/>
      <c r="FA41" s="145"/>
    </row>
    <row r="42" spans="1:157" ht="13.35" customHeight="1" outlineLevel="1">
      <c r="A42" s="3"/>
      <c r="B42" s="4" t="s">
        <v>423</v>
      </c>
      <c r="C42" s="4"/>
      <c r="D42" s="4"/>
      <c r="E42" s="92"/>
      <c r="F42" s="92" t="str">
        <f>IF(G42&lt;&gt;"",G42,"")</f>
        <v/>
      </c>
      <c r="G42" s="93"/>
      <c r="H42" s="93"/>
      <c r="I42" s="92" t="str">
        <f>IF(J42&lt;&gt;"",J42,"")</f>
        <v/>
      </c>
      <c r="J42" s="93"/>
      <c r="K42" s="93"/>
      <c r="L42" s="92" t="str">
        <f>IF(M42&lt;&gt;"",M42,"")</f>
        <v/>
      </c>
      <c r="M42" s="93"/>
      <c r="N42" s="93"/>
      <c r="O42" s="92" t="str">
        <f>IF(P42&lt;&gt;"",P42,"")</f>
        <v/>
      </c>
      <c r="P42" s="93"/>
      <c r="Q42" s="93"/>
      <c r="R42" s="92" t="str">
        <f>IF(S42&lt;&gt;"",S42,"")</f>
        <v/>
      </c>
      <c r="S42" s="93"/>
      <c r="T42" s="93"/>
      <c r="U42" s="92" t="str">
        <f>IF(V42&lt;&gt;"",V42,"")</f>
        <v/>
      </c>
      <c r="V42" s="93"/>
      <c r="W42" s="93"/>
      <c r="X42" s="92" t="str">
        <f>IF(Y42&lt;&gt;"",Y42,"")</f>
        <v/>
      </c>
      <c r="Y42" s="93"/>
      <c r="Z42" s="93"/>
      <c r="AA42" s="92" t="str">
        <f>IF(AB42&lt;&gt;"",AB42,"")</f>
        <v/>
      </c>
      <c r="AB42" s="93"/>
      <c r="AC42" s="93"/>
      <c r="AD42" s="92" t="str">
        <f>IF(AE42&lt;&gt;"",AE42,"")</f>
        <v/>
      </c>
      <c r="AE42" s="93"/>
      <c r="AF42" s="93"/>
      <c r="AG42" s="92" t="str">
        <f>IF(AH42&lt;&gt;"",AH42,"")</f>
        <v/>
      </c>
      <c r="AH42" s="93"/>
      <c r="AI42" s="93"/>
      <c r="AJ42" s="92" t="str">
        <f>IF(AK42&lt;&gt;"",AK42,"")</f>
        <v/>
      </c>
      <c r="AK42" s="93"/>
      <c r="AL42" s="93"/>
      <c r="AM42" s="92" t="str">
        <f>IF(AN42&lt;&gt;"",AN42,"")</f>
        <v/>
      </c>
      <c r="AN42" s="93"/>
      <c r="AO42" s="93"/>
      <c r="AP42" s="92" t="str">
        <f>IF(AQ42&lt;&gt;"",AQ42,"")</f>
        <v/>
      </c>
      <c r="AQ42" s="93"/>
      <c r="AR42" s="93"/>
      <c r="AS42" s="92" t="str">
        <f>IF(AT42&lt;&gt;"",AT42,"")</f>
        <v/>
      </c>
      <c r="AT42" s="93"/>
      <c r="AU42" s="93"/>
      <c r="AV42" s="92" t="str">
        <f>IF(AW42&lt;&gt;"",AW42,"")</f>
        <v/>
      </c>
      <c r="AW42" s="93"/>
      <c r="AX42" s="93"/>
      <c r="AY42" s="92" t="str">
        <f>IF(AZ42&lt;&gt;"",AZ42,"")</f>
        <v/>
      </c>
      <c r="AZ42" s="96"/>
      <c r="BA42" s="94" t="str">
        <f>IF(Model!BA247&lt;&gt;"",Model!BA247,"")</f>
        <v/>
      </c>
      <c r="BB42" s="94">
        <f>IF(Model!BB247&lt;&gt;"",Model!BB247,"")</f>
        <v>0</v>
      </c>
      <c r="BC42" s="94" t="str">
        <f>IF(Model!BC247&lt;&gt;"",Model!BC247,"")</f>
        <v/>
      </c>
      <c r="BD42" s="94" t="str">
        <f>IF(Model!BD247&lt;&gt;"",Model!BD247,"")</f>
        <v/>
      </c>
      <c r="BE42" s="94">
        <f>IF(Model!BE247&lt;&gt;"",Model!BE247,"")</f>
        <v>0</v>
      </c>
      <c r="BF42" s="94" t="str">
        <f>IF(Model!BF247&lt;&gt;"",Model!BF247,"")</f>
        <v/>
      </c>
      <c r="BG42" s="94" t="str">
        <f>IF(Model!BG247&lt;&gt;"",Model!BG247,"")</f>
        <v/>
      </c>
      <c r="BH42" s="94">
        <f>IF(Model!BH247&lt;&gt;"",Model!BH247,"")</f>
        <v>0</v>
      </c>
      <c r="BI42" s="94" t="str">
        <f>IF(Model!BI247&lt;&gt;"",Model!BI247,"")</f>
        <v/>
      </c>
      <c r="BJ42" s="94" t="str">
        <f>IF(Model!BJ247&lt;&gt;"",Model!BJ247,"")</f>
        <v/>
      </c>
      <c r="BK42" s="94">
        <f>IF(Model!BK247&lt;&gt;"",Model!BK247,"")</f>
        <v>0</v>
      </c>
      <c r="BL42" s="94" t="str">
        <f>IF(Model!BL247&lt;&gt;"",Model!BL247,"")</f>
        <v/>
      </c>
      <c r="BM42" s="94" t="str">
        <f>IF(Model!BM247&lt;&gt;"",Model!BM247,"")</f>
        <v/>
      </c>
      <c r="BN42" s="94">
        <f>IF(Model!BN247&lt;&gt;"",Model!BN247,"")</f>
        <v>0</v>
      </c>
      <c r="BO42" s="94" t="str">
        <f>IF(Model!BO247&lt;&gt;"",Model!BO247,"")</f>
        <v/>
      </c>
      <c r="BP42" s="94" t="str">
        <f>IF(Model!BP247&lt;&gt;"",Model!BP247,"")</f>
        <v/>
      </c>
      <c r="BQ42" s="94">
        <f>IF(Model!BQ247&lt;&gt;"",Model!BQ247,"")</f>
        <v>0</v>
      </c>
      <c r="BR42" s="94" t="str">
        <f>IF(Model!BR247&lt;&gt;"",Model!BR247,"")</f>
        <v/>
      </c>
      <c r="BS42" s="94" t="str">
        <f>IF(Model!BS247&lt;&gt;"",Model!BS247,"")</f>
        <v/>
      </c>
      <c r="BT42" s="94">
        <f>IF(Model!BT247&lt;&gt;"",Model!BT247,"")</f>
        <v>0</v>
      </c>
      <c r="BU42" s="94" t="str">
        <f>IF(Model!BU247&lt;&gt;"",Model!BU247,"")</f>
        <v/>
      </c>
      <c r="BV42" s="94" t="str">
        <f>IF(Model!BV247&lt;&gt;"",Model!BV247,"")</f>
        <v/>
      </c>
      <c r="BW42" s="94">
        <f>IF(Model!BW247&lt;&gt;"",Model!BW247,"")</f>
        <v>939</v>
      </c>
      <c r="BX42" s="94">
        <f>IF(Model!BX247&lt;&gt;"",Model!BX247,"")</f>
        <v>939</v>
      </c>
      <c r="BY42" s="94" t="str">
        <f>IF(Model!BY247&lt;&gt;"",Model!BY247,"")</f>
        <v/>
      </c>
      <c r="BZ42" s="94">
        <f>IF(Model!BZ247&lt;&gt;"",Model!BZ247,"")</f>
        <v>972</v>
      </c>
      <c r="CA42" s="94">
        <f>IF(Model!CA247&lt;&gt;"",Model!CA247,"")</f>
        <v>972</v>
      </c>
      <c r="CB42" s="94" t="str">
        <f>IF(Model!CB247&lt;&gt;"",Model!CB247,"")</f>
        <v/>
      </c>
      <c r="CC42" s="94">
        <f>IF(Model!CC247&lt;&gt;"",Model!CC247,"")</f>
        <v>1029</v>
      </c>
      <c r="CD42" s="94">
        <f>IF(Model!CD247&lt;&gt;"",Model!CD247,"")</f>
        <v>1029</v>
      </c>
      <c r="CE42" s="94" t="str">
        <f>IF(Model!CE247&lt;&gt;"",Model!CE247,"")</f>
        <v/>
      </c>
      <c r="CF42" s="94">
        <f>IF(Model!CF247&lt;&gt;"",Model!CF247,"")</f>
        <v>1297</v>
      </c>
      <c r="CG42" s="94">
        <f>IF(Model!CG247&lt;&gt;"",Model!CG247,"")</f>
        <v>1297</v>
      </c>
      <c r="CH42" s="94">
        <f>IF(Model!CH247&lt;&gt;"",Model!CH247,"")</f>
        <v>1262.326</v>
      </c>
      <c r="CI42" s="94">
        <f>IF(Model!CI247&lt;&gt;"",Model!CI247,"")</f>
        <v>1361.7</v>
      </c>
      <c r="CJ42" s="94">
        <f>IF(Model!CJ247&lt;&gt;"",Model!CJ247,"")</f>
        <v>1361.7</v>
      </c>
      <c r="CK42" s="94">
        <f>IF(Model!CK247&lt;&gt;"",Model!CK247,"")</f>
        <v>1587.2</v>
      </c>
      <c r="CL42" s="94">
        <f>IF(Model!CL247&lt;&gt;"",Model!CL247,"")</f>
        <v>1587.2</v>
      </c>
      <c r="CM42" s="94">
        <f>IF(Model!CM247&lt;&gt;"",Model!CM247,"")</f>
        <v>1587.2</v>
      </c>
      <c r="CN42" s="94">
        <f>IF(Model!CN247&lt;&gt;"",Model!CN247,"")</f>
        <v>1684.4</v>
      </c>
      <c r="CO42" s="94">
        <f>IF(Model!CO247&lt;&gt;"",Model!CO247,"")</f>
        <v>1831</v>
      </c>
      <c r="CP42" s="94">
        <f>IF(Model!CP247&lt;&gt;"",Model!CP247,"")</f>
        <v>1831</v>
      </c>
      <c r="CQ42" s="94">
        <f>IF(Model!CQ247&lt;&gt;"",Model!CQ247,"")</f>
        <v>1752.6</v>
      </c>
      <c r="CR42" s="94">
        <f>IF(Model!CR247&lt;&gt;"",Model!CR247,"")</f>
        <v>1841.3</v>
      </c>
      <c r="CS42" s="94">
        <f>IF(Model!CS247&lt;&gt;"",Model!CS247,"")</f>
        <v>1841.3</v>
      </c>
      <c r="CT42" s="94">
        <f>IF(Model!CT247&lt;&gt;"",Model!CT247,"")</f>
        <v>2146.8000000000002</v>
      </c>
      <c r="CU42" s="94">
        <f>IF(Model!CU247&lt;&gt;"",Model!CU247,"")</f>
        <v>2389.6</v>
      </c>
      <c r="CV42" s="94">
        <f>IF(Model!CV247&lt;&gt;"",Model!CV247,"")</f>
        <v>2389.6</v>
      </c>
      <c r="CW42" s="94">
        <f>IF(Model!CW247&lt;&gt;"",Model!CW247,"")</f>
        <v>2521.4</v>
      </c>
      <c r="CX42" s="94">
        <f>IF(Model!CX247&lt;&gt;"",Model!CX247,"")</f>
        <v>2942.7</v>
      </c>
      <c r="CY42" s="94">
        <f>IF(Model!CY247&lt;&gt;"",Model!CY247,"")</f>
        <v>2942.7</v>
      </c>
      <c r="CZ42" s="94">
        <f>IF(Model!CZ247&lt;&gt;"",Model!CZ247,"")</f>
        <v>3193</v>
      </c>
      <c r="DA42" s="94">
        <f>IF(Model!DA247&lt;&gt;"",Model!DA247,"")</f>
        <v>3551.4</v>
      </c>
      <c r="DB42" s="94">
        <f>IF(Model!DB247&lt;&gt;"",Model!DB247,"")</f>
        <v>3551.4</v>
      </c>
      <c r="DC42" s="94">
        <f>IF(Model!DC247&lt;&gt;"",Model!DC247,"")</f>
        <v>3786.9</v>
      </c>
      <c r="DD42" s="94">
        <f>IF(Model!DD247&lt;&gt;"",Model!DD247,"")</f>
        <v>4484.3</v>
      </c>
      <c r="DE42" s="143">
        <f>IF(Model!DE247&lt;&gt;"",Model!DE247,"")</f>
        <v>4484.3</v>
      </c>
      <c r="DF42" s="94">
        <f>IF(Model!DF247&lt;&gt;"",Model!DF247,"")</f>
        <v>5868.2</v>
      </c>
      <c r="DG42" s="94">
        <f>IF(Model!DG247&lt;&gt;"",Model!DG247,"")</f>
        <v>6305.4</v>
      </c>
      <c r="DH42" s="143">
        <f>IF(Model!DH247&lt;&gt;"",Model!DH247,"")</f>
        <v>6305.4</v>
      </c>
      <c r="DI42" s="94">
        <f>IF(Model!DI247&lt;&gt;"",Model!DI247,"")</f>
        <v>6842.9000000000005</v>
      </c>
      <c r="DJ42" s="94">
        <f>IF(Model!DJ247&lt;&gt;"",Model!DJ247,"")</f>
        <v>7536</v>
      </c>
      <c r="DK42" s="143">
        <f>IF(Model!DK247&lt;&gt;"",Model!DK247,"")</f>
        <v>7536</v>
      </c>
      <c r="DL42" s="94">
        <f>IF(Model!DL247&lt;&gt;"",Model!DL247,"")</f>
        <v>7734.7999999999993</v>
      </c>
      <c r="DM42" s="94">
        <f>IF(Model!DM247&lt;&gt;"",Model!DM247,"")</f>
        <v>8308.6</v>
      </c>
      <c r="DN42" s="143">
        <f>IF(Model!DN247&lt;&gt;"",Model!DN247,"")</f>
        <v>8308.6</v>
      </c>
      <c r="DO42" s="94">
        <f>IF(Model!DO247&lt;&gt;"",Model!DO247,"")</f>
        <v>8740.1999999999989</v>
      </c>
      <c r="DP42" s="94">
        <f>IF(Model!DP247&lt;&gt;"",Model!DP247,"")</f>
        <v>9352</v>
      </c>
      <c r="DQ42" s="143">
        <f>IF(Model!DQ247&lt;&gt;"",Model!DQ247,"")</f>
        <v>9352</v>
      </c>
      <c r="DR42" s="94">
        <f>IF(Model!DR247&lt;&gt;"",Model!DR247,"")</f>
        <v>9562</v>
      </c>
      <c r="DS42" s="94">
        <f>IF(Model!DS247&lt;&gt;"",Model!DS247,"")</f>
        <v>9658</v>
      </c>
      <c r="DT42" s="143">
        <f>IF(Model!DT247&lt;&gt;"",Model!DT247,"")</f>
        <v>9658</v>
      </c>
      <c r="DU42" s="94">
        <f>IF(Model!DU247&lt;&gt;"",Model!DU247,"")</f>
        <v>9601</v>
      </c>
      <c r="DV42" s="94">
        <f>IF(Model!DV247&lt;&gt;"",Model!DV247,"")</f>
        <v>9797</v>
      </c>
      <c r="DW42" s="143">
        <f>IF(Model!DW247&lt;&gt;"",Model!DW247,"")</f>
        <v>9797</v>
      </c>
      <c r="DX42" s="94">
        <f>IF(Model!DX247&lt;&gt;"",Model!DX247,"")</f>
        <v>9315</v>
      </c>
      <c r="DY42" s="94">
        <f>IF(Model!DY247&lt;&gt;"",Model!DY247,"")</f>
        <v>9521.6172259852574</v>
      </c>
      <c r="DZ42" s="143">
        <f>IF(Model!DZ247&lt;&gt;"",Model!DZ247,"")</f>
        <v>9521.6172259852574</v>
      </c>
      <c r="EA42" s="94">
        <f>IF(Model!EA247&lt;&gt;"",Model!EA247,"")</f>
        <v>9665.3941853724955</v>
      </c>
      <c r="EB42" s="94">
        <f>IF(Model!EB247&lt;&gt;"",Model!EB247,"")</f>
        <v>9800.8562596785923</v>
      </c>
      <c r="EC42" s="143">
        <f>IF(Model!EC247&lt;&gt;"",Model!EC247,"")</f>
        <v>9800.8562596785923</v>
      </c>
      <c r="ED42" s="94">
        <f>IF(Model!ED247&lt;&gt;"",Model!ED247,"")</f>
        <v>10018.337450803869</v>
      </c>
      <c r="EE42" s="94">
        <f>IF(Model!EE247&lt;&gt;"",Model!EE247,"")</f>
        <v>10224.690022037781</v>
      </c>
      <c r="EF42" s="143">
        <f>IF(Model!EF247&lt;&gt;"",Model!EF247,"")</f>
        <v>10224.690022037781</v>
      </c>
      <c r="EG42" s="94">
        <f>IF(Model!EG247&lt;&gt;"",Model!EG247,"")</f>
        <v>10430.341330284591</v>
      </c>
      <c r="EH42" s="94">
        <f>IF(Model!EH247&lt;&gt;"",Model!EH247,"")</f>
        <v>10629.398326449314</v>
      </c>
      <c r="EI42" s="143">
        <f>IF(Model!EI247&lt;&gt;"",Model!EI247,"")</f>
        <v>10629.398326449314</v>
      </c>
      <c r="EJ42" s="94">
        <f>IF(Model!EJ247&lt;&gt;"",Model!EJ247,"")</f>
        <v>10745.300917564302</v>
      </c>
      <c r="EK42" s="94">
        <f>IF(Model!EK247&lt;&gt;"",Model!EK247,"")</f>
        <v>10865.363284392764</v>
      </c>
      <c r="EL42" s="143">
        <f>IF(Model!EL247&lt;&gt;"",Model!EL247,"")</f>
        <v>10865.363284392764</v>
      </c>
      <c r="EM42" s="94">
        <f>IF(Model!EM247&lt;&gt;"",Model!EM247,"")</f>
        <v>10880.162512139568</v>
      </c>
      <c r="EN42" s="94">
        <f>IF(Model!EN247&lt;&gt;"",Model!EN247,"")</f>
        <v>10909.182789202179</v>
      </c>
      <c r="EO42" s="143">
        <f>IF(Model!EO247&lt;&gt;"",Model!EO247,"")</f>
        <v>10909.182789202179</v>
      </c>
      <c r="EP42" s="94">
        <f>IF(Model!EP247&lt;&gt;"",Model!EP247,"")</f>
        <v>10924.304520168049</v>
      </c>
      <c r="EQ42" s="94">
        <f>IF(Model!EQ247&lt;&gt;"",Model!EQ247,"")</f>
        <v>10955.657509092371</v>
      </c>
      <c r="ER42" s="143">
        <f>IF(Model!ER247&lt;&gt;"",Model!ER247,"")</f>
        <v>10955.657509092371</v>
      </c>
      <c r="ES42" s="94">
        <f>IF(Model!ES247&lt;&gt;"",Model!ES247,"")</f>
        <v>10971.2104520298</v>
      </c>
      <c r="ET42" s="94">
        <f>IF(Model!ET247&lt;&gt;"",Model!ET247,"")</f>
        <v>11003.982534130344</v>
      </c>
      <c r="EU42" s="143">
        <f>IF(Model!EU247&lt;&gt;"",Model!EU247,"")</f>
        <v>11003.982534130344</v>
      </c>
      <c r="EV42" s="94">
        <f>IF(Model!EV247&lt;&gt;"",Model!EV247,"")</f>
        <v>11021.055901281192</v>
      </c>
      <c r="EW42" s="94">
        <f>IF(Model!EW247&lt;&gt;"",Model!EW247,"")</f>
        <v>11055.339228917221</v>
      </c>
      <c r="EX42" s="143">
        <f>IF(Model!EX247&lt;&gt;"",Model!EX247,"")</f>
        <v>11055.339228917221</v>
      </c>
      <c r="EY42" s="94">
        <f>IF(Model!EY247&lt;&gt;"",Model!EY247,"")</f>
        <v>11074.028082700388</v>
      </c>
      <c r="EZ42" s="94">
        <f>IF(Model!EZ247&lt;&gt;"",Model!EZ247,"")</f>
        <v>11109.920973899303</v>
      </c>
      <c r="FA42" s="143">
        <f>IF(Model!FA247&lt;&gt;"",Model!FA247,"")</f>
        <v>11109.920973899303</v>
      </c>
    </row>
    <row r="43" spans="1:157" ht="13.35" customHeight="1" outlineLevel="1">
      <c r="A43" s="3"/>
      <c r="B43" s="4" t="s">
        <v>424</v>
      </c>
      <c r="C43" s="4"/>
      <c r="D43" s="4"/>
      <c r="E43" s="92"/>
      <c r="F43" s="92" t="str">
        <f>IF(G43&lt;&gt;"",G43,"")</f>
        <v/>
      </c>
      <c r="G43" s="93"/>
      <c r="H43" s="93"/>
      <c r="I43" s="92" t="str">
        <f>IF(J43&lt;&gt;"",J43,"")</f>
        <v/>
      </c>
      <c r="J43" s="93"/>
      <c r="K43" s="93"/>
      <c r="L43" s="92" t="str">
        <f>IF(M43&lt;&gt;"",M43,"")</f>
        <v/>
      </c>
      <c r="M43" s="93"/>
      <c r="N43" s="93"/>
      <c r="O43" s="92" t="str">
        <f>IF(P43&lt;&gt;"",P43,"")</f>
        <v/>
      </c>
      <c r="P43" s="93"/>
      <c r="Q43" s="93"/>
      <c r="R43" s="92" t="str">
        <f>IF(S43&lt;&gt;"",S43,"")</f>
        <v/>
      </c>
      <c r="S43" s="93"/>
      <c r="T43" s="93"/>
      <c r="U43" s="92" t="str">
        <f>IF(V43&lt;&gt;"",V43,"")</f>
        <v/>
      </c>
      <c r="V43" s="93"/>
      <c r="W43" s="93"/>
      <c r="X43" s="92" t="str">
        <f>IF(Y43&lt;&gt;"",Y43,"")</f>
        <v/>
      </c>
      <c r="Y43" s="93"/>
      <c r="Z43" s="93"/>
      <c r="AA43" s="92" t="str">
        <f>IF(AB43&lt;&gt;"",AB43,"")</f>
        <v/>
      </c>
      <c r="AB43" s="93"/>
      <c r="AC43" s="93"/>
      <c r="AD43" s="92" t="str">
        <f>IF(AE43&lt;&gt;"",AE43,"")</f>
        <v/>
      </c>
      <c r="AE43" s="93"/>
      <c r="AF43" s="93"/>
      <c r="AG43" s="92" t="str">
        <f>IF(AH43&lt;&gt;"",AH43,"")</f>
        <v/>
      </c>
      <c r="AH43" s="93"/>
      <c r="AI43" s="93"/>
      <c r="AJ43" s="92" t="str">
        <f>IF(AK43&lt;&gt;"",AK43,"")</f>
        <v/>
      </c>
      <c r="AK43" s="93"/>
      <c r="AL43" s="93"/>
      <c r="AM43" s="92" t="str">
        <f>IF(AN43&lt;&gt;"",AN43,"")</f>
        <v/>
      </c>
      <c r="AN43" s="93"/>
      <c r="AO43" s="93"/>
      <c r="AP43" s="92" t="str">
        <f>IF(AQ43&lt;&gt;"",AQ43,"")</f>
        <v/>
      </c>
      <c r="AQ43" s="93"/>
      <c r="AR43" s="93"/>
      <c r="AS43" s="92" t="str">
        <f>IF(AT43&lt;&gt;"",AT43,"")</f>
        <v/>
      </c>
      <c r="AT43" s="93"/>
      <c r="AU43" s="93"/>
      <c r="AV43" s="92" t="str">
        <f>IF(AW43&lt;&gt;"",AW43,"")</f>
        <v/>
      </c>
      <c r="AW43" s="93"/>
      <c r="AX43" s="93"/>
      <c r="AY43" s="92" t="str">
        <f>IF(AZ43&lt;&gt;"",AZ43,"")</f>
        <v/>
      </c>
      <c r="AZ43" s="8"/>
      <c r="BA43" s="8"/>
      <c r="BB43" s="92" t="str">
        <f>IF(BC43&lt;&gt;"",BC43,"")</f>
        <v/>
      </c>
      <c r="BC43" s="8"/>
      <c r="BD43" s="8"/>
      <c r="BE43" s="92" t="str">
        <f>IF(BF43&lt;&gt;"",BF43,"")</f>
        <v/>
      </c>
      <c r="BF43" s="8"/>
      <c r="BG43" s="8"/>
      <c r="BH43" s="92" t="str">
        <f>IF(BI43&lt;&gt;"",BI43,"")</f>
        <v/>
      </c>
      <c r="BI43" s="8"/>
      <c r="BJ43" s="8"/>
      <c r="BK43" s="92" t="str">
        <f>IF(BL43&lt;&gt;"",BL43,"")</f>
        <v/>
      </c>
      <c r="BL43" s="8"/>
      <c r="BM43" s="8"/>
      <c r="BN43" s="92" t="str">
        <f>IF(BO43&lt;&gt;"",BO43,"")</f>
        <v/>
      </c>
      <c r="BO43" s="8"/>
      <c r="BP43" s="8"/>
      <c r="BQ43" s="92" t="str">
        <f>IF(BR43&lt;&gt;"",BR43,"")</f>
        <v/>
      </c>
      <c r="BR43" s="8"/>
      <c r="BS43" s="8"/>
      <c r="BT43" s="92" t="str">
        <f>IF(BU43&lt;&gt;"",BU43,"")</f>
        <v/>
      </c>
      <c r="BU43" s="8"/>
      <c r="BV43" s="8"/>
      <c r="BW43" s="92" t="str">
        <f>IF(BX43&lt;&gt;"",BX43,"")</f>
        <v/>
      </c>
      <c r="BX43" s="8"/>
      <c r="BY43" s="8"/>
      <c r="BZ43" s="92" t="str">
        <f>IF(CA43&lt;&gt;"",CA43,"")</f>
        <v/>
      </c>
      <c r="CA43" s="8"/>
      <c r="CB43" s="8"/>
      <c r="CC43" s="92" t="str">
        <f>IF(CD43&lt;&gt;"",CD43,"")</f>
        <v/>
      </c>
      <c r="CD43" s="8"/>
      <c r="CE43" s="8"/>
      <c r="CF43" s="92" t="str">
        <f>IF(CG43&lt;&gt;"",CG43,"")</f>
        <v/>
      </c>
      <c r="CG43" s="8"/>
      <c r="CH43" s="8"/>
      <c r="CI43" s="92" t="str">
        <f>IF(CJ43&lt;&gt;"",CJ43,"")</f>
        <v/>
      </c>
      <c r="CJ43" s="8"/>
      <c r="CK43" s="8"/>
      <c r="CL43" s="92" t="str">
        <f>IF(CM43&lt;&gt;"",CM43,"")</f>
        <v/>
      </c>
      <c r="CM43" s="8"/>
      <c r="CN43" s="8"/>
      <c r="CO43" s="92" t="str">
        <f>IF(CP43&lt;&gt;"",CP43,"")</f>
        <v/>
      </c>
      <c r="CP43" s="8"/>
      <c r="CQ43" s="8"/>
      <c r="CR43" s="92" t="str">
        <f>IF(CS43&lt;&gt;"",CS43,"")</f>
        <v/>
      </c>
      <c r="CS43" s="8"/>
      <c r="CT43" s="8"/>
      <c r="CU43" s="92" t="str">
        <f>IF(CV43&lt;&gt;"",CV43,"")</f>
        <v/>
      </c>
      <c r="CV43" s="8"/>
      <c r="CW43" s="8"/>
      <c r="CX43" s="92" t="str">
        <f>IF(CY43&lt;&gt;"",CY43,"")</f>
        <v/>
      </c>
      <c r="CY43" s="8"/>
      <c r="CZ43" s="8"/>
      <c r="DA43" s="92" t="str">
        <f>IF(DB43&lt;&gt;"",DB43,"")</f>
        <v/>
      </c>
      <c r="DB43" s="8"/>
      <c r="DC43" s="8"/>
      <c r="DD43" s="92" t="str">
        <f>IF(DE43&lt;&gt;"",DE43,"")</f>
        <v/>
      </c>
      <c r="DE43" s="145"/>
      <c r="DF43" s="8"/>
      <c r="DG43" s="92" t="str">
        <f>IF(DH43&lt;&gt;"",DH43,"")</f>
        <v/>
      </c>
      <c r="DH43" s="145"/>
      <c r="DI43" s="8"/>
      <c r="DJ43" s="92" t="str">
        <f>IF(DK43&lt;&gt;"",DK43,"")</f>
        <v/>
      </c>
      <c r="DK43" s="145"/>
      <c r="DL43" s="8"/>
      <c r="DM43" s="92" t="str">
        <f>IF(DN43&lt;&gt;"",DN43,"")</f>
        <v/>
      </c>
      <c r="DN43" s="145"/>
      <c r="DO43" s="8"/>
      <c r="DP43" s="92" t="str">
        <f>IF(DQ43&lt;&gt;"",DQ43,"")</f>
        <v/>
      </c>
      <c r="DQ43" s="145"/>
      <c r="DR43" s="8"/>
      <c r="DS43" s="92" t="str">
        <f>IF(DT43&lt;&gt;"",DT43,"")</f>
        <v/>
      </c>
      <c r="DT43" s="145"/>
      <c r="DU43" s="8"/>
      <c r="DV43" s="92" t="str">
        <f>IF(DW43&lt;&gt;"",DW43,"")</f>
        <v/>
      </c>
      <c r="DW43" s="145"/>
      <c r="DX43" s="8"/>
      <c r="DY43" s="92" t="str">
        <f>IF(DZ43&lt;&gt;"",DZ43,"")</f>
        <v/>
      </c>
      <c r="DZ43" s="145"/>
      <c r="EA43" s="8"/>
      <c r="EB43" s="92" t="str">
        <f>IF(EC43&lt;&gt;"",EC43,"")</f>
        <v/>
      </c>
      <c r="EC43" s="145"/>
      <c r="ED43" s="8"/>
      <c r="EE43" s="92" t="str">
        <f>IF(EF43&lt;&gt;"",EF43,"")</f>
        <v/>
      </c>
      <c r="EF43" s="145"/>
      <c r="EG43" s="8"/>
      <c r="EH43" s="92" t="str">
        <f>IF(EI43&lt;&gt;"",EI43,"")</f>
        <v/>
      </c>
      <c r="EI43" s="145"/>
      <c r="EJ43" s="8"/>
      <c r="EK43" s="92" t="str">
        <f>IF(EL43&lt;&gt;"",EL43,"")</f>
        <v/>
      </c>
      <c r="EL43" s="145"/>
      <c r="EM43" s="8"/>
      <c r="EN43" s="92" t="str">
        <f>IF(EO43&lt;&gt;"",EO43,"")</f>
        <v/>
      </c>
      <c r="EO43" s="145"/>
      <c r="EP43" s="8"/>
      <c r="EQ43" s="92" t="str">
        <f>IF(ER43&lt;&gt;"",ER43,"")</f>
        <v/>
      </c>
      <c r="ER43" s="145"/>
      <c r="ES43" s="8"/>
      <c r="ET43" s="92" t="str">
        <f>IF(EU43&lt;&gt;"",EU43,"")</f>
        <v/>
      </c>
      <c r="EU43" s="145"/>
      <c r="EV43" s="8"/>
      <c r="EW43" s="92" t="str">
        <f>IF(EX43&lt;&gt;"",EX43,"")</f>
        <v/>
      </c>
      <c r="EX43" s="145"/>
      <c r="EY43" s="8"/>
      <c r="EZ43" s="92" t="str">
        <f>IF(FA43&lt;&gt;"",FA43,"")</f>
        <v/>
      </c>
      <c r="FA43" s="145"/>
    </row>
    <row r="44" spans="1:157" ht="13.35" customHeight="1" outlineLevel="1">
      <c r="A44" s="3"/>
      <c r="B44" s="4" t="s">
        <v>425</v>
      </c>
      <c r="C44" s="4"/>
      <c r="D44" s="91"/>
      <c r="E44" s="94" t="s">
        <v>187</v>
      </c>
      <c r="F44" s="94" t="s">
        <v>187</v>
      </c>
      <c r="G44" s="94" t="s">
        <v>187</v>
      </c>
      <c r="H44" s="94" t="s">
        <v>187</v>
      </c>
      <c r="I44" s="94" t="s">
        <v>187</v>
      </c>
      <c r="J44" s="94" t="s">
        <v>187</v>
      </c>
      <c r="K44" s="94" t="s">
        <v>187</v>
      </c>
      <c r="L44" s="94" t="s">
        <v>187</v>
      </c>
      <c r="M44" s="94" t="s">
        <v>187</v>
      </c>
      <c r="N44" s="94" t="s">
        <v>187</v>
      </c>
      <c r="O44" s="94" t="s">
        <v>187</v>
      </c>
      <c r="P44" s="94" t="s">
        <v>187</v>
      </c>
      <c r="Q44" s="94" t="s">
        <v>187</v>
      </c>
      <c r="R44" s="94" t="s">
        <v>187</v>
      </c>
      <c r="S44" s="94" t="s">
        <v>187</v>
      </c>
      <c r="T44" s="94" t="s">
        <v>187</v>
      </c>
      <c r="U44" s="94" t="s">
        <v>187</v>
      </c>
      <c r="V44" s="94" t="s">
        <v>187</v>
      </c>
      <c r="W44" s="94" t="s">
        <v>187</v>
      </c>
      <c r="X44" s="94" t="s">
        <v>187</v>
      </c>
      <c r="Y44" s="94" t="s">
        <v>187</v>
      </c>
      <c r="Z44" s="94" t="s">
        <v>187</v>
      </c>
      <c r="AA44" s="94" t="s">
        <v>187</v>
      </c>
      <c r="AB44" s="94" t="s">
        <v>187</v>
      </c>
      <c r="AC44" s="94" t="s">
        <v>187</v>
      </c>
      <c r="AD44" s="94" t="s">
        <v>187</v>
      </c>
      <c r="AE44" s="94" t="s">
        <v>187</v>
      </c>
      <c r="AF44" s="94" t="s">
        <v>187</v>
      </c>
      <c r="AG44" s="94" t="s">
        <v>187</v>
      </c>
      <c r="AH44" s="94" t="s">
        <v>187</v>
      </c>
      <c r="AI44" s="94" t="s">
        <v>187</v>
      </c>
      <c r="AJ44" s="94" t="s">
        <v>187</v>
      </c>
      <c r="AK44" s="94" t="s">
        <v>187</v>
      </c>
      <c r="AL44" s="94" t="s">
        <v>187</v>
      </c>
      <c r="AM44" s="94" t="s">
        <v>187</v>
      </c>
      <c r="AN44" s="94" t="s">
        <v>187</v>
      </c>
      <c r="AO44" s="94" t="s">
        <v>187</v>
      </c>
      <c r="AP44" s="94" t="s">
        <v>187</v>
      </c>
      <c r="AQ44" s="94" t="s">
        <v>187</v>
      </c>
      <c r="AR44" s="94" t="s">
        <v>187</v>
      </c>
      <c r="AS44" s="94">
        <v>1.462</v>
      </c>
      <c r="AT44" s="94">
        <v>1.462</v>
      </c>
      <c r="AU44" s="94">
        <v>1.462</v>
      </c>
      <c r="AV44" s="94">
        <v>2.1560000000000001</v>
      </c>
      <c r="AW44" s="94">
        <v>2.1560000000000001</v>
      </c>
      <c r="AX44" s="94">
        <v>2.9470000000000001</v>
      </c>
      <c r="AY44" s="94">
        <v>3.056</v>
      </c>
      <c r="AZ44" s="94">
        <v>3.056</v>
      </c>
      <c r="BA44" s="94" t="str">
        <f>IF(Model!BA247&lt;&gt;"",Model!BA247,"")</f>
        <v/>
      </c>
      <c r="BB44" s="94">
        <f>IF(Model!BB247&lt;&gt;"",Model!BB247,"")</f>
        <v>0</v>
      </c>
      <c r="BC44" s="94" t="str">
        <f>IF(Model!BC247&lt;&gt;"",Model!BC247,"")</f>
        <v/>
      </c>
      <c r="BD44" s="94" t="str">
        <f>IF(Model!BD247&lt;&gt;"",Model!BD247,"")</f>
        <v/>
      </c>
      <c r="BE44" s="94">
        <f>IF(Model!BE247&lt;&gt;"",Model!BE247,"")</f>
        <v>0</v>
      </c>
      <c r="BF44" s="94" t="str">
        <f>IF(Model!BF247&lt;&gt;"",Model!BF247,"")</f>
        <v/>
      </c>
      <c r="BG44" s="94" t="str">
        <f>IF(Model!BG247&lt;&gt;"",Model!BG247,"")</f>
        <v/>
      </c>
      <c r="BH44" s="94">
        <f>IF(Model!BH247&lt;&gt;"",Model!BH247,"")</f>
        <v>0</v>
      </c>
      <c r="BI44" s="94" t="str">
        <f>IF(Model!BI247&lt;&gt;"",Model!BI247,"")</f>
        <v/>
      </c>
      <c r="BJ44" s="94" t="str">
        <f>IF(Model!BJ247&lt;&gt;"",Model!BJ247,"")</f>
        <v/>
      </c>
      <c r="BK44" s="94">
        <f>IF(Model!BK247&lt;&gt;"",Model!BK247,"")</f>
        <v>0</v>
      </c>
      <c r="BL44" s="94" t="str">
        <f>IF(Model!BL247&lt;&gt;"",Model!BL247,"")</f>
        <v/>
      </c>
      <c r="BM44" s="94" t="str">
        <f>IF(Model!BM247&lt;&gt;"",Model!BM247,"")</f>
        <v/>
      </c>
      <c r="BN44" s="94">
        <f>IF(Model!BN247&lt;&gt;"",Model!BN247,"")</f>
        <v>0</v>
      </c>
      <c r="BO44" s="94" t="str">
        <f>IF(Model!BO247&lt;&gt;"",Model!BO247,"")</f>
        <v/>
      </c>
      <c r="BP44" s="94" t="str">
        <f>IF(Model!BP247&lt;&gt;"",Model!BP247,"")</f>
        <v/>
      </c>
      <c r="BQ44" s="94">
        <f>IF(Model!BQ247&lt;&gt;"",Model!BQ247,"")</f>
        <v>0</v>
      </c>
      <c r="BR44" s="94" t="str">
        <f>IF(Model!BR247&lt;&gt;"",Model!BR247,"")</f>
        <v/>
      </c>
      <c r="BS44" s="94" t="str">
        <f>IF(Model!BS247&lt;&gt;"",Model!BS247,"")</f>
        <v/>
      </c>
      <c r="BT44" s="94">
        <f>IF(Model!BT247&lt;&gt;"",Model!BT247,"")</f>
        <v>0</v>
      </c>
      <c r="BU44" s="94" t="str">
        <f>IF(Model!BU247&lt;&gt;"",Model!BU247,"")</f>
        <v/>
      </c>
      <c r="BV44" s="94" t="str">
        <f>IF(Model!BV247&lt;&gt;"",Model!BV247,"")</f>
        <v/>
      </c>
      <c r="BW44" s="94">
        <f>IF(Model!BW247&lt;&gt;"",Model!BW247,"")</f>
        <v>939</v>
      </c>
      <c r="BX44" s="94">
        <f>IF(Model!BX247&lt;&gt;"",Model!BX247,"")</f>
        <v>939</v>
      </c>
      <c r="BY44" s="94" t="str">
        <f>IF(Model!BY247&lt;&gt;"",Model!BY247,"")</f>
        <v/>
      </c>
      <c r="BZ44" s="94">
        <f>IF(Model!BZ247&lt;&gt;"",Model!BZ247,"")</f>
        <v>972</v>
      </c>
      <c r="CA44" s="94">
        <f>IF(Model!CA247&lt;&gt;"",Model!CA247,"")</f>
        <v>972</v>
      </c>
      <c r="CB44" s="94" t="str">
        <f>IF(Model!CB247&lt;&gt;"",Model!CB247,"")</f>
        <v/>
      </c>
      <c r="CC44" s="94">
        <f>IF(Model!CC247&lt;&gt;"",Model!CC247,"")</f>
        <v>1029</v>
      </c>
      <c r="CD44" s="94">
        <f>IF(Model!CD247&lt;&gt;"",Model!CD247,"")</f>
        <v>1029</v>
      </c>
      <c r="CE44" s="94" t="str">
        <f>IF(Model!CE247&lt;&gt;"",Model!CE247,"")</f>
        <v/>
      </c>
      <c r="CF44" s="94">
        <f>IF(Model!CF247&lt;&gt;"",Model!CF247,"")</f>
        <v>1297</v>
      </c>
      <c r="CG44" s="94">
        <f>IF(Model!CG247&lt;&gt;"",Model!CG247,"")</f>
        <v>1297</v>
      </c>
      <c r="CH44" s="94">
        <f>IF(Model!CH247&lt;&gt;"",Model!CH247,"")</f>
        <v>1262.326</v>
      </c>
      <c r="CI44" s="94">
        <f>IF(Model!CI247&lt;&gt;"",Model!CI247,"")</f>
        <v>1361.7</v>
      </c>
      <c r="CJ44" s="94">
        <f>IF(Model!CJ247&lt;&gt;"",Model!CJ247,"")</f>
        <v>1361.7</v>
      </c>
      <c r="CK44" s="94">
        <f>IF(Model!CK247&lt;&gt;"",Model!CK247,"")</f>
        <v>1587.2</v>
      </c>
      <c r="CL44" s="94">
        <f>IF(Model!CL247&lt;&gt;"",Model!CL247,"")</f>
        <v>1587.2</v>
      </c>
      <c r="CM44" s="94">
        <f>IF(Model!CM247&lt;&gt;"",Model!CM247,"")</f>
        <v>1587.2</v>
      </c>
      <c r="CN44" s="94">
        <f>IF(Model!CN247&lt;&gt;"",Model!CN247,"")</f>
        <v>1684.4</v>
      </c>
      <c r="CO44" s="94">
        <f>IF(Model!CO247&lt;&gt;"",Model!CO247,"")</f>
        <v>1831</v>
      </c>
      <c r="CP44" s="94">
        <f>IF(Model!CP247&lt;&gt;"",Model!CP247,"")</f>
        <v>1831</v>
      </c>
      <c r="CQ44" s="94">
        <f>IF(Model!CQ247&lt;&gt;"",Model!CQ247,"")</f>
        <v>1752.6</v>
      </c>
      <c r="CR44" s="94">
        <f>IF(Model!CR247&lt;&gt;"",Model!CR247,"")</f>
        <v>1841.3</v>
      </c>
      <c r="CS44" s="94">
        <f>IF(Model!CS247&lt;&gt;"",Model!CS247,"")</f>
        <v>1841.3</v>
      </c>
      <c r="CT44" s="94">
        <f>IF(Model!CT247&lt;&gt;"",Model!CT247,"")</f>
        <v>2146.8000000000002</v>
      </c>
      <c r="CU44" s="94">
        <f>IF(Model!CU247&lt;&gt;"",Model!CU247,"")</f>
        <v>2389.6</v>
      </c>
      <c r="CV44" s="94">
        <f>IF(Model!CV247&lt;&gt;"",Model!CV247,"")</f>
        <v>2389.6</v>
      </c>
      <c r="CW44" s="94">
        <f>IF(Model!CW247&lt;&gt;"",Model!CW247,"")</f>
        <v>2521.4</v>
      </c>
      <c r="CX44" s="94">
        <f>IF(Model!CX247&lt;&gt;"",Model!CX247,"")</f>
        <v>2942.7</v>
      </c>
      <c r="CY44" s="94">
        <f>IF(Model!CY247&lt;&gt;"",Model!CY247,"")</f>
        <v>2942.7</v>
      </c>
      <c r="CZ44" s="94">
        <f>IF(Model!CZ247&lt;&gt;"",Model!CZ247,"")</f>
        <v>3193</v>
      </c>
      <c r="DA44" s="94">
        <f>IF(Model!DA247&lt;&gt;"",Model!DA247,"")</f>
        <v>3551.4</v>
      </c>
      <c r="DB44" s="94">
        <f>IF(Model!DB247&lt;&gt;"",Model!DB247,"")</f>
        <v>3551.4</v>
      </c>
      <c r="DC44" s="94">
        <f>IF(Model!DC247&lt;&gt;"",Model!DC247,"")</f>
        <v>3786.9</v>
      </c>
      <c r="DD44" s="94">
        <f>IF(Model!DD247&lt;&gt;"",Model!DD247,"")</f>
        <v>4484.3</v>
      </c>
      <c r="DE44" s="143">
        <f>IF(Model!DE247&lt;&gt;"",Model!DE247,"")</f>
        <v>4484.3</v>
      </c>
      <c r="DF44" s="94">
        <f>IF(Model!DF247&lt;&gt;"",Model!DF247,"")</f>
        <v>5868.2</v>
      </c>
      <c r="DG44" s="94">
        <f>IF(Model!DG247&lt;&gt;"",Model!DG247,"")</f>
        <v>6305.4</v>
      </c>
      <c r="DH44" s="143">
        <f>IF(Model!DH247&lt;&gt;"",Model!DH247,"")</f>
        <v>6305.4</v>
      </c>
      <c r="DI44" s="94">
        <f>IF(Model!DI247&lt;&gt;"",Model!DI247,"")</f>
        <v>6842.9000000000005</v>
      </c>
      <c r="DJ44" s="94">
        <f>IF(Model!DJ247&lt;&gt;"",Model!DJ247,"")</f>
        <v>7536</v>
      </c>
      <c r="DK44" s="143">
        <f>IF(Model!DK247&lt;&gt;"",Model!DK247,"")</f>
        <v>7536</v>
      </c>
      <c r="DL44" s="94">
        <f>IF(Model!DL247&lt;&gt;"",Model!DL247,"")</f>
        <v>7734.7999999999993</v>
      </c>
      <c r="DM44" s="94">
        <f>IF(Model!DM247&lt;&gt;"",Model!DM247,"")</f>
        <v>8308.6</v>
      </c>
      <c r="DN44" s="143">
        <f>IF(Model!DN247&lt;&gt;"",Model!DN247,"")</f>
        <v>8308.6</v>
      </c>
      <c r="DO44" s="94">
        <f>IF(Model!DO247&lt;&gt;"",Model!DO247,"")</f>
        <v>8740.1999999999989</v>
      </c>
      <c r="DP44" s="94">
        <f>IF(Model!DP247&lt;&gt;"",Model!DP247,"")</f>
        <v>9352</v>
      </c>
      <c r="DQ44" s="143">
        <f>IF(Model!DQ247&lt;&gt;"",Model!DQ247,"")</f>
        <v>9352</v>
      </c>
      <c r="DR44" s="94">
        <f>IF(Model!DR247&lt;&gt;"",Model!DR247,"")</f>
        <v>9562</v>
      </c>
      <c r="DS44" s="94">
        <f>IF(Model!DS247&lt;&gt;"",Model!DS247,"")</f>
        <v>9658</v>
      </c>
      <c r="DT44" s="143">
        <f>IF(Model!DT247&lt;&gt;"",Model!DT247,"")</f>
        <v>9658</v>
      </c>
      <c r="DU44" s="94">
        <f>IF(Model!DU247&lt;&gt;"",Model!DU247,"")</f>
        <v>9601</v>
      </c>
      <c r="DV44" s="94">
        <f>IF(Model!DV247&lt;&gt;"",Model!DV247,"")</f>
        <v>9797</v>
      </c>
      <c r="DW44" s="143">
        <f>IF(Model!DW247&lt;&gt;"",Model!DW247,"")</f>
        <v>9797</v>
      </c>
      <c r="DX44" s="94">
        <f>IF(Model!DX247&lt;&gt;"",Model!DX247,"")</f>
        <v>9315</v>
      </c>
      <c r="DY44" s="94">
        <f>IF(Model!DY247&lt;&gt;"",Model!DY247,"")</f>
        <v>9521.6172259852574</v>
      </c>
      <c r="DZ44" s="143">
        <f>IF(Model!DZ247&lt;&gt;"",Model!DZ247,"")</f>
        <v>9521.6172259852574</v>
      </c>
      <c r="EA44" s="94">
        <f>IF(Model!EA247&lt;&gt;"",Model!EA247,"")</f>
        <v>9665.3941853724955</v>
      </c>
      <c r="EB44" s="94">
        <f>IF(Model!EB247&lt;&gt;"",Model!EB247,"")</f>
        <v>9800.8562596785923</v>
      </c>
      <c r="EC44" s="143">
        <f>IF(Model!EC247&lt;&gt;"",Model!EC247,"")</f>
        <v>9800.8562596785923</v>
      </c>
      <c r="ED44" s="94">
        <f>IF(Model!ED247&lt;&gt;"",Model!ED247,"")</f>
        <v>10018.337450803869</v>
      </c>
      <c r="EE44" s="94">
        <f>IF(Model!EE247&lt;&gt;"",Model!EE247,"")</f>
        <v>10224.690022037781</v>
      </c>
      <c r="EF44" s="143">
        <f>IF(Model!EF247&lt;&gt;"",Model!EF247,"")</f>
        <v>10224.690022037781</v>
      </c>
      <c r="EG44" s="94">
        <f>IF(Model!EG247&lt;&gt;"",Model!EG247,"")</f>
        <v>10430.341330284591</v>
      </c>
      <c r="EH44" s="94">
        <f>IF(Model!EH247&lt;&gt;"",Model!EH247,"")</f>
        <v>10629.398326449314</v>
      </c>
      <c r="EI44" s="143">
        <f>IF(Model!EI247&lt;&gt;"",Model!EI247,"")</f>
        <v>10629.398326449314</v>
      </c>
      <c r="EJ44" s="94">
        <f>IF(Model!EJ247&lt;&gt;"",Model!EJ247,"")</f>
        <v>10745.300917564302</v>
      </c>
      <c r="EK44" s="94">
        <f>IF(Model!EK247&lt;&gt;"",Model!EK247,"")</f>
        <v>10865.363284392764</v>
      </c>
      <c r="EL44" s="143">
        <f>IF(Model!EL247&lt;&gt;"",Model!EL247,"")</f>
        <v>10865.363284392764</v>
      </c>
      <c r="EM44" s="94">
        <f>IF(Model!EM247&lt;&gt;"",Model!EM247,"")</f>
        <v>10880.162512139568</v>
      </c>
      <c r="EN44" s="94">
        <f>IF(Model!EN247&lt;&gt;"",Model!EN247,"")</f>
        <v>10909.182789202179</v>
      </c>
      <c r="EO44" s="143">
        <f>IF(Model!EO247&lt;&gt;"",Model!EO247,"")</f>
        <v>10909.182789202179</v>
      </c>
      <c r="EP44" s="94">
        <f>IF(Model!EP247&lt;&gt;"",Model!EP247,"")</f>
        <v>10924.304520168049</v>
      </c>
      <c r="EQ44" s="94">
        <f>IF(Model!EQ247&lt;&gt;"",Model!EQ247,"")</f>
        <v>10955.657509092371</v>
      </c>
      <c r="ER44" s="143">
        <f>IF(Model!ER247&lt;&gt;"",Model!ER247,"")</f>
        <v>10955.657509092371</v>
      </c>
      <c r="ES44" s="94">
        <f>IF(Model!ES247&lt;&gt;"",Model!ES247,"")</f>
        <v>10971.2104520298</v>
      </c>
      <c r="ET44" s="94">
        <f>IF(Model!ET247&lt;&gt;"",Model!ET247,"")</f>
        <v>11003.982534130344</v>
      </c>
      <c r="EU44" s="143">
        <f>IF(Model!EU247&lt;&gt;"",Model!EU247,"")</f>
        <v>11003.982534130344</v>
      </c>
      <c r="EV44" s="94">
        <f>IF(Model!EV247&lt;&gt;"",Model!EV247,"")</f>
        <v>11021.055901281192</v>
      </c>
      <c r="EW44" s="94">
        <f>IF(Model!EW247&lt;&gt;"",Model!EW247,"")</f>
        <v>11055.339228917221</v>
      </c>
      <c r="EX44" s="143">
        <f>IF(Model!EX247&lt;&gt;"",Model!EX247,"")</f>
        <v>11055.339228917221</v>
      </c>
      <c r="EY44" s="94">
        <f>IF(Model!EY247&lt;&gt;"",Model!EY247,"")</f>
        <v>11074.028082700388</v>
      </c>
      <c r="EZ44" s="94">
        <f>IF(Model!EZ247&lt;&gt;"",Model!EZ247,"")</f>
        <v>11109.920973899303</v>
      </c>
      <c r="FA44" s="143">
        <f>IF(Model!FA247&lt;&gt;"",Model!FA247,"")</f>
        <v>11109.920973899303</v>
      </c>
    </row>
    <row r="45" spans="1:157" ht="13.35" customHeight="1" outlineLevel="1">
      <c r="A45" s="3"/>
      <c r="B45" s="4" t="s">
        <v>426</v>
      </c>
      <c r="C45" s="4"/>
      <c r="D45" s="4"/>
      <c r="E45" s="93"/>
      <c r="F45" s="93"/>
      <c r="G45" s="93"/>
      <c r="H45" s="92" t="str">
        <f>IF(AND(G42&lt;&gt;"",H42&lt;&gt;""),(G42+H42)/2,"")</f>
        <v/>
      </c>
      <c r="I45" s="92" t="str">
        <f>IF(AND(H42&lt;&gt;"",I42&lt;&gt;""),(H42+I42)/2,"")</f>
        <v/>
      </c>
      <c r="J45" s="92" t="str">
        <f>IF(AND(G42&lt;&gt;"",J42&lt;&gt;""),(G42+J42)/2,"")</f>
        <v/>
      </c>
      <c r="K45" s="92" t="str">
        <f>IF(AND(J42&lt;&gt;"",K42&lt;&gt;""),(J42+K42)/2,"")</f>
        <v/>
      </c>
      <c r="L45" s="92" t="str">
        <f>IF(AND(K42&lt;&gt;"",L42&lt;&gt;""),(K42+L42)/2,"")</f>
        <v/>
      </c>
      <c r="M45" s="92" t="str">
        <f>IF(AND(J42&lt;&gt;"",M42&lt;&gt;""),(J42+M42)/2,"")</f>
        <v/>
      </c>
      <c r="N45" s="92" t="str">
        <f>IF(AND(M42&lt;&gt;"",N42&lt;&gt;""),(M42+N42)/2,"")</f>
        <v/>
      </c>
      <c r="O45" s="92" t="str">
        <f>IF(AND(N42&lt;&gt;"",O42&lt;&gt;""),(N42+O42)/2,"")</f>
        <v/>
      </c>
      <c r="P45" s="92" t="str">
        <f>IF(AND(M42&lt;&gt;"",P42&lt;&gt;""),(M42+P42)/2,"")</f>
        <v/>
      </c>
      <c r="Q45" s="92" t="str">
        <f>IF(AND(P42&lt;&gt;"",Q42&lt;&gt;""),(P42+Q42)/2,"")</f>
        <v/>
      </c>
      <c r="R45" s="92" t="str">
        <f>IF(AND(Q42&lt;&gt;"",R42&lt;&gt;""),(Q42+R42)/2,"")</f>
        <v/>
      </c>
      <c r="S45" s="92" t="str">
        <f>IF(AND(P42&lt;&gt;"",S42&lt;&gt;""),(P42+S42)/2,"")</f>
        <v/>
      </c>
      <c r="T45" s="92" t="str">
        <f>IF(AND(S42&lt;&gt;"",T42&lt;&gt;""),(S42+T42)/2,"")</f>
        <v/>
      </c>
      <c r="U45" s="92" t="str">
        <f>IF(AND(T42&lt;&gt;"",U42&lt;&gt;""),(T42+U42)/2,"")</f>
        <v/>
      </c>
      <c r="V45" s="92" t="str">
        <f>IF(AND(S42&lt;&gt;"",V42&lt;&gt;""),(S42+V42)/2,"")</f>
        <v/>
      </c>
      <c r="W45" s="92" t="str">
        <f>IF(AND(V42&lt;&gt;"",W42&lt;&gt;""),(V42+W42)/2,"")</f>
        <v/>
      </c>
      <c r="X45" s="92" t="str">
        <f>IF(AND(W42&lt;&gt;"",X42&lt;&gt;""),(W42+X42)/2,"")</f>
        <v/>
      </c>
      <c r="Y45" s="92" t="str">
        <f>IF(AND(V42&lt;&gt;"",Y42&lt;&gt;""),(V42+Y42)/2,"")</f>
        <v/>
      </c>
      <c r="Z45" s="92" t="str">
        <f>IF(AND(Y42&lt;&gt;"",Z42&lt;&gt;""),(Y42+Z42)/2,"")</f>
        <v/>
      </c>
      <c r="AA45" s="92" t="str">
        <f>IF(AND(Z42&lt;&gt;"",AA42&lt;&gt;""),(Z42+AA42)/2,"")</f>
        <v/>
      </c>
      <c r="AB45" s="92" t="str">
        <f>IF(AND(Y42&lt;&gt;"",AB42&lt;&gt;""),(Y42+AB42)/2,"")</f>
        <v/>
      </c>
      <c r="AC45" s="92" t="str">
        <f>IF(AND(AB42&lt;&gt;"",AC42&lt;&gt;""),(AB42+AC42)/2,"")</f>
        <v/>
      </c>
      <c r="AD45" s="92" t="str">
        <f>IF(AND(AC42&lt;&gt;"",AD42&lt;&gt;""),(AC42+AD42)/2,"")</f>
        <v/>
      </c>
      <c r="AE45" s="92" t="str">
        <f>IF(AND(AB42&lt;&gt;"",AE42&lt;&gt;""),(AB42+AE42)/2,"")</f>
        <v/>
      </c>
      <c r="AF45" s="92" t="str">
        <f>IF(AND(AE42&lt;&gt;"",AF42&lt;&gt;""),(AE42+AF42)/2,"")</f>
        <v/>
      </c>
      <c r="AG45" s="92" t="str">
        <f>IF(AND(AF42&lt;&gt;"",AG42&lt;&gt;""),(AF42+AG42)/2,"")</f>
        <v/>
      </c>
      <c r="AH45" s="92" t="str">
        <f>IF(AND(AE42&lt;&gt;"",AH42&lt;&gt;""),(AE42+AH42)/2,"")</f>
        <v/>
      </c>
      <c r="AI45" s="92" t="str">
        <f>IF(AND(AH42&lt;&gt;"",AI42&lt;&gt;""),(AH42+AI42)/2,"")</f>
        <v/>
      </c>
      <c r="AJ45" s="92" t="str">
        <f>IF(AND(AI42&lt;&gt;"",AJ42&lt;&gt;""),(AI42+AJ42)/2,"")</f>
        <v/>
      </c>
      <c r="AK45" s="92" t="str">
        <f>IF(AND(AH42&lt;&gt;"",AK42&lt;&gt;""),(AH42+AK42)/2,"")</f>
        <v/>
      </c>
      <c r="AL45" s="92" t="str">
        <f>IF(AND(AK42&lt;&gt;"",AL42&lt;&gt;""),(AK42+AL42)/2,"")</f>
        <v/>
      </c>
      <c r="AM45" s="92" t="str">
        <f>IF(AND(AL42&lt;&gt;"",AM42&lt;&gt;""),(AL42+AM42)/2,"")</f>
        <v/>
      </c>
      <c r="AN45" s="92" t="str">
        <f>IF(AND(AK42&lt;&gt;"",AN42&lt;&gt;""),(AK42+AN42)/2,"")</f>
        <v/>
      </c>
      <c r="AO45" s="92" t="str">
        <f>IF(AND(AN42&lt;&gt;"",AO42&lt;&gt;""),(AN42+AO42)/2,"")</f>
        <v/>
      </c>
      <c r="AP45" s="92" t="str">
        <f>IF(AND(AO42&lt;&gt;"",AP42&lt;&gt;""),(AO42+AP42)/2,"")</f>
        <v/>
      </c>
      <c r="AQ45" s="92" t="str">
        <f>IF(AND(AN42&lt;&gt;"",AQ42&lt;&gt;""),(AN42+AQ42)/2,"")</f>
        <v/>
      </c>
      <c r="AR45" s="92" t="str">
        <f>IF(AND(AQ42&lt;&gt;"",AR42&lt;&gt;""),(AQ42+AR42)/2,"")</f>
        <v/>
      </c>
      <c r="AS45" s="92" t="str">
        <f>IF(AND(AR42&lt;&gt;"",AS42&lt;&gt;""),(AR42+AS42)/2,"")</f>
        <v/>
      </c>
      <c r="AT45" s="92" t="str">
        <f>IF(AND(AQ42&lt;&gt;"",AT42&lt;&gt;""),(AQ42+AT42)/2,"")</f>
        <v/>
      </c>
      <c r="AU45" s="92" t="str">
        <f>IF(AND(AT42&lt;&gt;"",AU42&lt;&gt;""),(AT42+AU42)/2,"")</f>
        <v/>
      </c>
      <c r="AV45" s="92" t="str">
        <f>IF(AND(AU42&lt;&gt;"",AV42&lt;&gt;""),(AU42+AV42)/2,"")</f>
        <v/>
      </c>
      <c r="AW45" s="92" t="str">
        <f>IF(AND(AT42&lt;&gt;"",AW42&lt;&gt;""),(AT42+AW42)/2,"")</f>
        <v/>
      </c>
      <c r="AX45" s="92" t="str">
        <f>IF(AND(AW42&lt;&gt;"",AX42&lt;&gt;""),(AW42+AX42)/2,"")</f>
        <v/>
      </c>
      <c r="AY45" s="92" t="str">
        <f>IF(AND(AX42&lt;&gt;"",AY42&lt;&gt;""),(AX42+AY42)/2,"")</f>
        <v/>
      </c>
      <c r="AZ45" s="92" t="str">
        <f>IF(AND(AW42&lt;&gt;"",AZ42&lt;&gt;""),(AW42+AZ42)/2,"")</f>
        <v/>
      </c>
      <c r="BA45" s="92" t="str">
        <f>IF(AND(AZ42&lt;&gt;"",BA42&lt;&gt;""),(AZ42+BA42)/2,"")</f>
        <v/>
      </c>
      <c r="BB45" s="92" t="str">
        <f>IF(AND(BA42&lt;&gt;"",BB42&lt;&gt;""),(BA42+BB42)/2,"")</f>
        <v/>
      </c>
      <c r="BC45" s="92" t="str">
        <f>IF(AND(AZ42&lt;&gt;"",BC42&lt;&gt;""),(AZ42+BC42)/2,"")</f>
        <v/>
      </c>
      <c r="BD45" s="92" t="str">
        <f>IF(AND(BC42&lt;&gt;"",BD42&lt;&gt;""),(BC42+BD42)/2,"")</f>
        <v/>
      </c>
      <c r="BE45" s="92" t="str">
        <f>IF(AND(BD42&lt;&gt;"",BE42&lt;&gt;""),(BD42+BE42)/2,"")</f>
        <v/>
      </c>
      <c r="BF45" s="92" t="str">
        <f>IF(AND(BC42&lt;&gt;"",BF42&lt;&gt;""),(BC42+BF42)/2,"")</f>
        <v/>
      </c>
      <c r="BG45" s="92" t="str">
        <f>IF(AND(BF42&lt;&gt;"",BG42&lt;&gt;""),(BF42+BG42)/2,"")</f>
        <v/>
      </c>
      <c r="BH45" s="92" t="str">
        <f>IF(AND(BG42&lt;&gt;"",BH42&lt;&gt;""),(BG42+BH42)/2,"")</f>
        <v/>
      </c>
      <c r="BI45" s="92" t="str">
        <f>IF(AND(BF42&lt;&gt;"",BI42&lt;&gt;""),(BF42+BI42)/2,"")</f>
        <v/>
      </c>
      <c r="BJ45" s="92" t="str">
        <f>IF(AND(BI42&lt;&gt;"",BJ42&lt;&gt;""),(BI42+BJ42)/2,"")</f>
        <v/>
      </c>
      <c r="BK45" s="92" t="str">
        <f>IF(AND(BJ42&lt;&gt;"",BK42&lt;&gt;""),(BJ42+BK42)/2,"")</f>
        <v/>
      </c>
      <c r="BL45" s="92" t="str">
        <f>IF(AND(BI42&lt;&gt;"",BL42&lt;&gt;""),(BI42+BL42)/2,"")</f>
        <v/>
      </c>
      <c r="BM45" s="92" t="str">
        <f>IF(AND(BL42&lt;&gt;"",BM42&lt;&gt;""),(BL42+BM42)/2,"")</f>
        <v/>
      </c>
      <c r="BN45" s="92" t="str">
        <f>IF(AND(BM42&lt;&gt;"",BN42&lt;&gt;""),(BM42+BN42)/2,"")</f>
        <v/>
      </c>
      <c r="BO45" s="92" t="str">
        <f>IF(AND(BL42&lt;&gt;"",BO42&lt;&gt;""),(BL42+BO42)/2,"")</f>
        <v/>
      </c>
      <c r="BP45" s="92" t="str">
        <f>IF(AND(BO42&lt;&gt;"",BP42&lt;&gt;""),(BO42+BP42)/2,"")</f>
        <v/>
      </c>
      <c r="BQ45" s="92" t="str">
        <f>IF(AND(BP42&lt;&gt;"",BQ42&lt;&gt;""),(BP42+BQ42)/2,"")</f>
        <v/>
      </c>
      <c r="BR45" s="92" t="str">
        <f>IF(AND(BO42&lt;&gt;"",BR42&lt;&gt;""),(BO42+BR42)/2,"")</f>
        <v/>
      </c>
      <c r="BS45" s="92" t="str">
        <f>IF(AND(BR42&lt;&gt;"",BS42&lt;&gt;""),(BR42+BS42)/2,"")</f>
        <v/>
      </c>
      <c r="BT45" s="92" t="str">
        <f>IF(AND(BS42&lt;&gt;"",BT42&lt;&gt;""),(BS42+BT42)/2,"")</f>
        <v/>
      </c>
      <c r="BU45" s="92" t="str">
        <f>IF(AND(BR42&lt;&gt;"",BU42&lt;&gt;""),(BR42+BU42)/2,"")</f>
        <v/>
      </c>
      <c r="BV45" s="92" t="str">
        <f>IF(AND(BU42&lt;&gt;"",BV42&lt;&gt;""),(BU42+BV42)/2,"")</f>
        <v/>
      </c>
      <c r="BW45" s="92" t="str">
        <f>IF(AND(BV42&lt;&gt;"",BW42&lt;&gt;""),(BV42+BW42)/2,"")</f>
        <v/>
      </c>
      <c r="BX45" s="92" t="str">
        <f>IF(AND(BU42&lt;&gt;"",BX42&lt;&gt;""),(BU42+BX42)/2,"")</f>
        <v/>
      </c>
      <c r="BY45" s="92" t="str">
        <f>IF(AND(BX42&lt;&gt;"",BY42&lt;&gt;""),(BX42+BY42)/2,"")</f>
        <v/>
      </c>
      <c r="BZ45" s="92" t="str">
        <f>IF(AND(BY42&lt;&gt;"",BZ42&lt;&gt;""),(BY42+BZ42)/2,"")</f>
        <v/>
      </c>
      <c r="CA45" s="92">
        <f>IF(AND(BX42&lt;&gt;"",CA42&lt;&gt;""),(BX42+CA42)/2,"")</f>
        <v>955.5</v>
      </c>
      <c r="CB45" s="92" t="str">
        <f>IF(AND(CA42&lt;&gt;"",CB42&lt;&gt;""),(CA42+CB42)/2,"")</f>
        <v/>
      </c>
      <c r="CC45" s="92" t="str">
        <f>IF(AND(CB42&lt;&gt;"",CC42&lt;&gt;""),(CB42+CC42)/2,"")</f>
        <v/>
      </c>
      <c r="CD45" s="92">
        <f>IF(AND(CA42&lt;&gt;"",CD42&lt;&gt;""),(CA42+CD42)/2,"")</f>
        <v>1000.5</v>
      </c>
      <c r="CE45" s="92" t="str">
        <f>IF(AND(CD42&lt;&gt;"",CE42&lt;&gt;""),(CD42+CE42)/2,"")</f>
        <v/>
      </c>
      <c r="CF45" s="92" t="str">
        <f>IF(AND(CE42&lt;&gt;"",CF42&lt;&gt;""),(CE42+CF42)/2,"")</f>
        <v/>
      </c>
      <c r="CG45" s="92">
        <f>IF(AND(CD42&lt;&gt;"",CG42&lt;&gt;""),(CD42+CG42)/2,"")</f>
        <v>1163</v>
      </c>
      <c r="CH45" s="92">
        <f>IF(AND(CG42&lt;&gt;"",CH42&lt;&gt;""),(CG42+CH42)/2,"")</f>
        <v>1279.663</v>
      </c>
      <c r="CI45" s="92">
        <f>IF(AND(CH42&lt;&gt;"",CI42&lt;&gt;""),(CH42+CI42)/2,"")</f>
        <v>1312.0129999999999</v>
      </c>
      <c r="CJ45" s="92">
        <f>IF(AND(CG42&lt;&gt;"",CJ42&lt;&gt;""),(CG42+CJ42)/2,"")</f>
        <v>1329.35</v>
      </c>
      <c r="CK45" s="92">
        <f>IF(AND(CJ42&lt;&gt;"",CK42&lt;&gt;""),(CJ42+CK42)/2,"")</f>
        <v>1474.45</v>
      </c>
      <c r="CL45" s="92">
        <f>IF(AND(CK42&lt;&gt;"",CL42&lt;&gt;""),(CK42+CL42)/2,"")</f>
        <v>1587.2</v>
      </c>
      <c r="CM45" s="92">
        <f>IF(AND(CJ42&lt;&gt;"",CM42&lt;&gt;""),(CJ42+CM42)/2,"")</f>
        <v>1474.45</v>
      </c>
      <c r="CN45" s="92">
        <f>IF(AND(CM42&lt;&gt;"",CN42&lt;&gt;""),(CM42+CN42)/2,"")</f>
        <v>1635.8000000000002</v>
      </c>
      <c r="CO45" s="92">
        <f>IF(AND(CN42&lt;&gt;"",CO42&lt;&gt;""),(CN42+CO42)/2,"")</f>
        <v>1757.7</v>
      </c>
      <c r="CP45" s="92">
        <f>IF(AND(CM42&lt;&gt;"",CP42&lt;&gt;""),(CM42+CP42)/2,"")</f>
        <v>1709.1</v>
      </c>
      <c r="CQ45" s="92">
        <f>IF(AND(CP42&lt;&gt;"",CQ42&lt;&gt;""),(CP42+CQ42)/2,"")</f>
        <v>1791.8</v>
      </c>
      <c r="CR45" s="92">
        <f>IF(AND(CQ42&lt;&gt;"",CR42&lt;&gt;""),(CQ42+CR42)/2,"")</f>
        <v>1796.9499999999998</v>
      </c>
      <c r="CS45" s="92">
        <f>IF(AND(CP42&lt;&gt;"",CS42&lt;&gt;""),(CP42+CS42)/2,"")</f>
        <v>1836.15</v>
      </c>
      <c r="CT45" s="92">
        <f>IF(AND(CS42&lt;&gt;"",CT42&lt;&gt;""),(CS42+CT42)/2,"")</f>
        <v>1994.0500000000002</v>
      </c>
      <c r="CU45" s="92">
        <f>IF(AND(CT42&lt;&gt;"",CU42&lt;&gt;""),(CT42+CU42)/2,"")</f>
        <v>2268.1999999999998</v>
      </c>
      <c r="CV45" s="92">
        <f>IF(AND(CS42&lt;&gt;"",CV42&lt;&gt;""),(CS42+CV42)/2,"")</f>
        <v>2115.4499999999998</v>
      </c>
      <c r="CW45" s="92">
        <f>IF(AND(CV42&lt;&gt;"",CW42&lt;&gt;""),(CV42+CW42)/2,"")</f>
        <v>2455.5</v>
      </c>
      <c r="CX45" s="92">
        <f>IF(AND(CW42&lt;&gt;"",CX42&lt;&gt;""),(CW42+CX42)/2,"")</f>
        <v>2732.05</v>
      </c>
      <c r="CY45" s="92">
        <f>IF(AND(CV42&lt;&gt;"",CY42&lt;&gt;""),(CV42+CY42)/2,"")</f>
        <v>2666.1499999999996</v>
      </c>
      <c r="CZ45" s="92">
        <f>IF(AND(CY42&lt;&gt;"",CZ42&lt;&gt;""),(CY42+CZ42)/2,"")</f>
        <v>3067.85</v>
      </c>
      <c r="DA45" s="92">
        <f>IF(AND(CZ42&lt;&gt;"",DA42&lt;&gt;""),(CZ42+DA42)/2,"")</f>
        <v>3372.2</v>
      </c>
      <c r="DB45" s="92">
        <f>IF(AND(CY42&lt;&gt;"",DB42&lt;&gt;""),(CY42+DB42)/2,"")</f>
        <v>3247.05</v>
      </c>
      <c r="DC45" s="92">
        <f>IF(AND(DB42&lt;&gt;"",DC42&lt;&gt;""),(DB42+DC42)/2,"")</f>
        <v>3669.15</v>
      </c>
      <c r="DD45" s="92">
        <f>IF(AND(DC42&lt;&gt;"",DD42&lt;&gt;""),(DC42+DD42)/2,"")</f>
        <v>4135.6000000000004</v>
      </c>
      <c r="DE45" s="144">
        <f>IF(AND(DB42&lt;&gt;"",DE42&lt;&gt;""),(DB42+DE42)/2,"")</f>
        <v>4017.8500000000004</v>
      </c>
      <c r="DF45" s="92">
        <f>IF(AND(DE42&lt;&gt;"",DF42&lt;&gt;""),(DE42+DF42)/2,"")</f>
        <v>5176.25</v>
      </c>
      <c r="DG45" s="92">
        <f>IF(AND(DF42&lt;&gt;"",DG42&lt;&gt;""),(DF42+DG42)/2,"")</f>
        <v>6086.7999999999993</v>
      </c>
      <c r="DH45" s="144">
        <f>IF(AND(DE42&lt;&gt;"",DH42&lt;&gt;""),(DE42+DH42)/2,"")</f>
        <v>5394.85</v>
      </c>
      <c r="DI45" s="92">
        <f>IF(AND(DH42&lt;&gt;"",DI42&lt;&gt;""),(DH42+DI42)/2,"")</f>
        <v>6574.15</v>
      </c>
      <c r="DJ45" s="92">
        <f>IF(AND(DI42&lt;&gt;"",DJ42&lt;&gt;""),(DI42+DJ42)/2,"")</f>
        <v>7189.4500000000007</v>
      </c>
      <c r="DK45" s="144">
        <f>IF(AND(DH42&lt;&gt;"",DK42&lt;&gt;""),(DH42+DK42)/2,"")</f>
        <v>6920.7</v>
      </c>
      <c r="DL45" s="92">
        <f>IF(AND(DK42&lt;&gt;"",DL42&lt;&gt;""),(DK42+DL42)/2,"")</f>
        <v>7635.4</v>
      </c>
      <c r="DM45" s="92">
        <f>IF(AND(DL42&lt;&gt;"",DM42&lt;&gt;""),(DL42+DM42)/2,"")</f>
        <v>8021.7</v>
      </c>
      <c r="DN45" s="144">
        <f>IF(AND(DK42&lt;&gt;"",DN42&lt;&gt;""),(DK42+DN42)/2,"")</f>
        <v>7922.3</v>
      </c>
      <c r="DO45" s="92">
        <f>IF(AND(DN42&lt;&gt;"",DO42&lt;&gt;""),(DN42+DO42)/2,"")</f>
        <v>8524.4</v>
      </c>
      <c r="DP45" s="92">
        <f>IF(AND(DO42&lt;&gt;"",DP42&lt;&gt;""),(DO42+DP42)/2,"")</f>
        <v>9046.0999999999985</v>
      </c>
      <c r="DQ45" s="144">
        <f>IF(AND(DN42&lt;&gt;"",DQ42&lt;&gt;""),(DN42+DQ42)/2,"")</f>
        <v>8830.2999999999993</v>
      </c>
      <c r="DR45" s="92">
        <f>IF(AND(DQ42&lt;&gt;"",DR42&lt;&gt;""),(DQ42+DR42)/2,"")</f>
        <v>9457</v>
      </c>
      <c r="DS45" s="92">
        <f>IF(AND(DR42&lt;&gt;"",DS42&lt;&gt;""),(DR42+DS42)/2,"")</f>
        <v>9610</v>
      </c>
      <c r="DT45" s="144">
        <f>IF(AND(DQ42&lt;&gt;"",DT42&lt;&gt;""),(DQ42+DT42)/2,"")</f>
        <v>9505</v>
      </c>
      <c r="DU45" s="92">
        <f>IF(AND(DT42&lt;&gt;"",DU42&lt;&gt;""),(DT42+DU42)/2,"")</f>
        <v>9629.5</v>
      </c>
      <c r="DV45" s="92">
        <f>IF(AND(DU42&lt;&gt;"",DV42&lt;&gt;""),(DU42+DV42)/2,"")</f>
        <v>9699</v>
      </c>
      <c r="DW45" s="144">
        <f>IF(AND(DT42&lt;&gt;"",DW42&lt;&gt;""),(DT42+DW42)/2,"")</f>
        <v>9727.5</v>
      </c>
      <c r="DX45" s="92">
        <f>IF(AND(DW42&lt;&gt;"",DX42&lt;&gt;""),(DW42+DX42)/2,"")</f>
        <v>9556</v>
      </c>
      <c r="DY45" s="92">
        <f>IF(AND(DX42&lt;&gt;"",DY42&lt;&gt;""),(DX42+DY42)/2,"")</f>
        <v>9418.3086129926287</v>
      </c>
      <c r="DZ45" s="144">
        <f>IF(AND(DW42&lt;&gt;"",DZ42&lt;&gt;""),(DW42+DZ42)/2,"")</f>
        <v>9659.3086129926287</v>
      </c>
      <c r="EA45" s="92">
        <f>IF(AND(DZ42&lt;&gt;"",EA42&lt;&gt;""),(DZ42+EA42)/2,"")</f>
        <v>9593.5057056788755</v>
      </c>
      <c r="EB45" s="92">
        <f>IF(AND(EA42&lt;&gt;"",EB42&lt;&gt;""),(EA42+EB42)/2,"")</f>
        <v>9733.1252225255448</v>
      </c>
      <c r="EC45" s="144">
        <f>IF(AND(DZ42&lt;&gt;"",EC42&lt;&gt;""),(DZ42+EC42)/2,"")</f>
        <v>9661.2367428319249</v>
      </c>
      <c r="ED45" s="92">
        <f>IF(AND(EC42&lt;&gt;"",ED42&lt;&gt;""),(EC42+ED42)/2,"")</f>
        <v>9909.5968552412305</v>
      </c>
      <c r="EE45" s="92">
        <f>IF(AND(ED42&lt;&gt;"",EE42&lt;&gt;""),(ED42+EE42)/2,"")</f>
        <v>10121.513736420824</v>
      </c>
      <c r="EF45" s="144">
        <f>IF(AND(EC42&lt;&gt;"",EF42&lt;&gt;""),(EC42+EF42)/2,"")</f>
        <v>10012.773140858186</v>
      </c>
      <c r="EG45" s="92">
        <f>IF(AND(EF42&lt;&gt;"",EG42&lt;&gt;""),(EF42+EG42)/2,"")</f>
        <v>10327.515676161187</v>
      </c>
      <c r="EH45" s="92">
        <f>IF(AND(EG42&lt;&gt;"",EH42&lt;&gt;""),(EG42+EH42)/2,"")</f>
        <v>10529.869828366953</v>
      </c>
      <c r="EI45" s="144">
        <f>IF(AND(EF42&lt;&gt;"",EI42&lt;&gt;""),(EF42+EI42)/2,"")</f>
        <v>10427.044174243547</v>
      </c>
      <c r="EJ45" s="92">
        <f>IF(AND(EI42&lt;&gt;"",EJ42&lt;&gt;""),(EI42+EJ42)/2,"")</f>
        <v>10687.349622006808</v>
      </c>
      <c r="EK45" s="92">
        <f>IF(AND(EJ42&lt;&gt;"",EK42&lt;&gt;""),(EJ42+EK42)/2,"")</f>
        <v>10805.332100978532</v>
      </c>
      <c r="EL45" s="144">
        <f>IF(AND(EI42&lt;&gt;"",EL42&lt;&gt;""),(EI42+EL42)/2,"")</f>
        <v>10747.380805421039</v>
      </c>
      <c r="EM45" s="92">
        <f>IF(AND(EL42&lt;&gt;"",EM42&lt;&gt;""),(EL42+EM42)/2,"")</f>
        <v>10872.762898266166</v>
      </c>
      <c r="EN45" s="92">
        <f>IF(AND(EM42&lt;&gt;"",EN42&lt;&gt;""),(EM42+EN42)/2,"")</f>
        <v>10894.672650670873</v>
      </c>
      <c r="EO45" s="144">
        <f>IF(AND(EL42&lt;&gt;"",EO42&lt;&gt;""),(EL42+EO42)/2,"")</f>
        <v>10887.273036797473</v>
      </c>
      <c r="EP45" s="92">
        <f>IF(AND(EO42&lt;&gt;"",EP42&lt;&gt;""),(EO42+EP42)/2,"")</f>
        <v>10916.743654685113</v>
      </c>
      <c r="EQ45" s="92">
        <f>IF(AND(EP42&lt;&gt;"",EQ42&lt;&gt;""),(EP42+EQ42)/2,"")</f>
        <v>10939.98101463021</v>
      </c>
      <c r="ER45" s="144">
        <f>IF(AND(EO42&lt;&gt;"",ER42&lt;&gt;""),(EO42+ER42)/2,"")</f>
        <v>10932.420149147274</v>
      </c>
      <c r="ES45" s="92">
        <f>IF(AND(ER42&lt;&gt;"",ES42&lt;&gt;""),(ER42+ES42)/2,"")</f>
        <v>10963.433980561085</v>
      </c>
      <c r="ET45" s="92">
        <f>IF(AND(ES42&lt;&gt;"",ET42&lt;&gt;""),(ES42+ET42)/2,"")</f>
        <v>10987.596493080073</v>
      </c>
      <c r="EU45" s="144">
        <f>IF(AND(ER42&lt;&gt;"",EU42&lt;&gt;""),(ER42+EU42)/2,"")</f>
        <v>10979.820021611358</v>
      </c>
      <c r="EV45" s="92">
        <f>IF(AND(EU42&lt;&gt;"",EV42&lt;&gt;""),(EU42+EV42)/2,"")</f>
        <v>11012.519217705769</v>
      </c>
      <c r="EW45" s="92">
        <f>IF(AND(EV42&lt;&gt;"",EW42&lt;&gt;""),(EV42+EW42)/2,"")</f>
        <v>11038.197565099206</v>
      </c>
      <c r="EX45" s="144">
        <f>IF(AND(EU42&lt;&gt;"",EX42&lt;&gt;""),(EU42+EX42)/2,"")</f>
        <v>11029.660881523781</v>
      </c>
      <c r="EY45" s="92">
        <f>IF(AND(EX42&lt;&gt;"",EY42&lt;&gt;""),(EX42+EY42)/2,"")</f>
        <v>11064.683655808803</v>
      </c>
      <c r="EZ45" s="92">
        <f>IF(AND(EY42&lt;&gt;"",EZ42&lt;&gt;""),(EY42+EZ42)/2,"")</f>
        <v>11091.974528299845</v>
      </c>
      <c r="FA45" s="144">
        <f>IF(AND(EX42&lt;&gt;"",FA42&lt;&gt;""),(EX42+FA42)/2,"")</f>
        <v>11082.630101408262</v>
      </c>
    </row>
    <row r="46" spans="1:157" ht="13.35" customHeight="1" outlineLevel="1">
      <c r="A46" s="3"/>
      <c r="B46" s="4" t="s">
        <v>427</v>
      </c>
      <c r="C46" s="4"/>
      <c r="D46" s="4"/>
      <c r="E46" s="93"/>
      <c r="F46" s="93"/>
      <c r="G46" s="93"/>
      <c r="H46" s="92" t="str">
        <f>IF(AND(G44&lt;&gt;"",H44&lt;&gt;""),(G44+H44)/2,"")</f>
        <v/>
      </c>
      <c r="I46" s="92" t="str">
        <f>IF(AND(H44&lt;&gt;"",I44&lt;&gt;""),(H44+I44)/2,"")</f>
        <v/>
      </c>
      <c r="J46" s="92" t="str">
        <f>IF(AND(G44&lt;&gt;"",J44&lt;&gt;""),(G44+J44)/2,"")</f>
        <v/>
      </c>
      <c r="K46" s="92" t="str">
        <f>IF(AND(J44&lt;&gt;"",K44&lt;&gt;""),(J44+K44)/2,"")</f>
        <v/>
      </c>
      <c r="L46" s="92" t="str">
        <f>IF(AND(K44&lt;&gt;"",L44&lt;&gt;""),(K44+L44)/2,"")</f>
        <v/>
      </c>
      <c r="M46" s="92" t="str">
        <f>IF(AND(J44&lt;&gt;"",M44&lt;&gt;""),(J44+M44)/2,"")</f>
        <v/>
      </c>
      <c r="N46" s="92" t="str">
        <f>IF(AND(M44&lt;&gt;"",N44&lt;&gt;""),(M44+N44)/2,"")</f>
        <v/>
      </c>
      <c r="O46" s="92" t="str">
        <f>IF(AND(N44&lt;&gt;"",O44&lt;&gt;""),(N44+O44)/2,"")</f>
        <v/>
      </c>
      <c r="P46" s="92" t="str">
        <f>IF(AND(M44&lt;&gt;"",P44&lt;&gt;""),(M44+P44)/2,"")</f>
        <v/>
      </c>
      <c r="Q46" s="92" t="str">
        <f>IF(AND(P44&lt;&gt;"",Q44&lt;&gt;""),(P44+Q44)/2,"")</f>
        <v/>
      </c>
      <c r="R46" s="92" t="str">
        <f>IF(AND(Q44&lt;&gt;"",R44&lt;&gt;""),(Q44+R44)/2,"")</f>
        <v/>
      </c>
      <c r="S46" s="92" t="str">
        <f>IF(AND(P44&lt;&gt;"",S44&lt;&gt;""),(P44+S44)/2,"")</f>
        <v/>
      </c>
      <c r="T46" s="92" t="str">
        <f>IF(AND(S44&lt;&gt;"",T44&lt;&gt;""),(S44+T44)/2,"")</f>
        <v/>
      </c>
      <c r="U46" s="92" t="str">
        <f>IF(AND(T44&lt;&gt;"",U44&lt;&gt;""),(T44+U44)/2,"")</f>
        <v/>
      </c>
      <c r="V46" s="92" t="str">
        <f>IF(AND(S44&lt;&gt;"",V44&lt;&gt;""),(S44+V44)/2,"")</f>
        <v/>
      </c>
      <c r="W46" s="92" t="str">
        <f>IF(AND(V44&lt;&gt;"",W44&lt;&gt;""),(V44+W44)/2,"")</f>
        <v/>
      </c>
      <c r="X46" s="92" t="str">
        <f>IF(AND(W44&lt;&gt;"",X44&lt;&gt;""),(W44+X44)/2,"")</f>
        <v/>
      </c>
      <c r="Y46" s="92" t="str">
        <f>IF(AND(V44&lt;&gt;"",Y44&lt;&gt;""),(V44+Y44)/2,"")</f>
        <v/>
      </c>
      <c r="Z46" s="92" t="str">
        <f>IF(AND(Y44&lt;&gt;"",Z44&lt;&gt;""),(Y44+Z44)/2,"")</f>
        <v/>
      </c>
      <c r="AA46" s="92" t="str">
        <f>IF(AND(Z44&lt;&gt;"",AA44&lt;&gt;""),(Z44+AA44)/2,"")</f>
        <v/>
      </c>
      <c r="AB46" s="92" t="str">
        <f>IF(AND(Y44&lt;&gt;"",AB44&lt;&gt;""),(Y44+AB44)/2,"")</f>
        <v/>
      </c>
      <c r="AC46" s="92" t="str">
        <f>IF(AND(AB44&lt;&gt;"",AC44&lt;&gt;""),(AB44+AC44)/2,"")</f>
        <v/>
      </c>
      <c r="AD46" s="92" t="str">
        <f>IF(AND(AC44&lt;&gt;"",AD44&lt;&gt;""),(AC44+AD44)/2,"")</f>
        <v/>
      </c>
      <c r="AE46" s="92" t="str">
        <f>IF(AND(AB44&lt;&gt;"",AE44&lt;&gt;""),(AB44+AE44)/2,"")</f>
        <v/>
      </c>
      <c r="AF46" s="92" t="str">
        <f>IF(AND(AE44&lt;&gt;"",AF44&lt;&gt;""),(AE44+AF44)/2,"")</f>
        <v/>
      </c>
      <c r="AG46" s="92" t="str">
        <f>IF(AND(AF44&lt;&gt;"",AG44&lt;&gt;""),(AF44+AG44)/2,"")</f>
        <v/>
      </c>
      <c r="AH46" s="92" t="str">
        <f>IF(AND(AE44&lt;&gt;"",AH44&lt;&gt;""),(AE44+AH44)/2,"")</f>
        <v/>
      </c>
      <c r="AI46" s="92" t="str">
        <f>IF(AND(AH44&lt;&gt;"",AI44&lt;&gt;""),(AH44+AI44)/2,"")</f>
        <v/>
      </c>
      <c r="AJ46" s="92" t="str">
        <f>IF(AND(AI44&lt;&gt;"",AJ44&lt;&gt;""),(AI44+AJ44)/2,"")</f>
        <v/>
      </c>
      <c r="AK46" s="92" t="str">
        <f>IF(AND(AH44&lt;&gt;"",AK44&lt;&gt;""),(AH44+AK44)/2,"")</f>
        <v/>
      </c>
      <c r="AL46" s="92" t="str">
        <f>IF(AND(AK44&lt;&gt;"",AL44&lt;&gt;""),(AK44+AL44)/2,"")</f>
        <v/>
      </c>
      <c r="AM46" s="92" t="str">
        <f>IF(AND(AL44&lt;&gt;"",AM44&lt;&gt;""),(AL44+AM44)/2,"")</f>
        <v/>
      </c>
      <c r="AN46" s="92" t="str">
        <f>IF(AND(AK44&lt;&gt;"",AN44&lt;&gt;""),(AK44+AN44)/2,"")</f>
        <v/>
      </c>
      <c r="AO46" s="92" t="str">
        <f>IF(AND(AN44&lt;&gt;"",AO44&lt;&gt;""),(AN44+AO44)/2,"")</f>
        <v/>
      </c>
      <c r="AP46" s="92" t="str">
        <f>IF(AND(AO44&lt;&gt;"",AP44&lt;&gt;""),(AO44+AP44)/2,"")</f>
        <v/>
      </c>
      <c r="AQ46" s="92" t="str">
        <f>IF(AND(AN44&lt;&gt;"",AQ44&lt;&gt;""),(AN44+AQ44)/2,"")</f>
        <v/>
      </c>
      <c r="AR46" s="92" t="str">
        <f>IF(AND(AQ44&lt;&gt;"",AR44&lt;&gt;""),(AQ44+AR44)/2,"")</f>
        <v/>
      </c>
      <c r="AS46" s="92" t="str">
        <f>IF(AND(AR44&lt;&gt;"",AS44&lt;&gt;""),(AR44+AS44)/2,"")</f>
        <v/>
      </c>
      <c r="AT46" s="92" t="str">
        <f>IF(AND(AQ44&lt;&gt;"",AT44&lt;&gt;""),(AQ44+AT44)/2,"")</f>
        <v/>
      </c>
      <c r="AU46" s="92">
        <f>IF(AND(AT44&lt;&gt;"",AU44&lt;&gt;""),(AT44+AU44)/2,"")</f>
        <v>1.462</v>
      </c>
      <c r="AV46" s="92">
        <f>IF(AND(AU44&lt;&gt;"",AV44&lt;&gt;""),(AU44+AV44)/2,"")</f>
        <v>1.8090000000000002</v>
      </c>
      <c r="AW46" s="92">
        <f>IF(AND(AT44&lt;&gt;"",AW44&lt;&gt;""),(AT44+AW44)/2,"")</f>
        <v>1.8090000000000002</v>
      </c>
      <c r="AX46" s="92">
        <f>IF(AND(AW44&lt;&gt;"",AX44&lt;&gt;""),(AW44+AX44)/2,"")</f>
        <v>2.5514999999999999</v>
      </c>
      <c r="AY46" s="92">
        <f>IF(AND(AX44&lt;&gt;"",AY44&lt;&gt;""),(AX44+AY44)/2,"")</f>
        <v>3.0015000000000001</v>
      </c>
      <c r="AZ46" s="92">
        <f>IF(AND(AW44&lt;&gt;"",AZ44&lt;&gt;""),(AW44+AZ44)/2,"")</f>
        <v>2.6059999999999999</v>
      </c>
      <c r="BA46" s="92" t="str">
        <f>IF(AND(AZ44&lt;&gt;"",BA44&lt;&gt;""),(AZ44+BA44)/2,"")</f>
        <v/>
      </c>
      <c r="BB46" s="92" t="str">
        <f>IF(AND(BA44&lt;&gt;"",BB44&lt;&gt;""),(BA44+BB44)/2,"")</f>
        <v/>
      </c>
      <c r="BC46" s="92" t="str">
        <f>IF(AND(AZ44&lt;&gt;"",BC44&lt;&gt;""),(AZ44+BC44)/2,"")</f>
        <v/>
      </c>
      <c r="BD46" s="92" t="str">
        <f>IF(AND(BC44&lt;&gt;"",BD44&lt;&gt;""),(BC44+BD44)/2,"")</f>
        <v/>
      </c>
      <c r="BE46" s="92" t="str">
        <f>IF(AND(BD44&lt;&gt;"",BE44&lt;&gt;""),(BD44+BE44)/2,"")</f>
        <v/>
      </c>
      <c r="BF46" s="92" t="str">
        <f>IF(AND(BC44&lt;&gt;"",BF44&lt;&gt;""),(BC44+BF44)/2,"")</f>
        <v/>
      </c>
      <c r="BG46" s="92" t="str">
        <f>IF(AND(BF44&lt;&gt;"",BG44&lt;&gt;""),(BF44+BG44)/2,"")</f>
        <v/>
      </c>
      <c r="BH46" s="92" t="str">
        <f>IF(AND(BG44&lt;&gt;"",BH44&lt;&gt;""),(BG44+BH44)/2,"")</f>
        <v/>
      </c>
      <c r="BI46" s="92" t="str">
        <f>IF(AND(BF44&lt;&gt;"",BI44&lt;&gt;""),(BF44+BI44)/2,"")</f>
        <v/>
      </c>
      <c r="BJ46" s="92" t="str">
        <f>IF(AND(BI44&lt;&gt;"",BJ44&lt;&gt;""),(BI44+BJ44)/2,"")</f>
        <v/>
      </c>
      <c r="BK46" s="92" t="str">
        <f>IF(AND(BJ44&lt;&gt;"",BK44&lt;&gt;""),(BJ44+BK44)/2,"")</f>
        <v/>
      </c>
      <c r="BL46" s="92" t="str">
        <f>IF(AND(BI44&lt;&gt;"",BL44&lt;&gt;""),(BI44+BL44)/2,"")</f>
        <v/>
      </c>
      <c r="BM46" s="92" t="str">
        <f>IF(AND(BL44&lt;&gt;"",BM44&lt;&gt;""),(BL44+BM44)/2,"")</f>
        <v/>
      </c>
      <c r="BN46" s="92" t="str">
        <f>IF(AND(BM44&lt;&gt;"",BN44&lt;&gt;""),(BM44+BN44)/2,"")</f>
        <v/>
      </c>
      <c r="BO46" s="92" t="str">
        <f>IF(AND(BL44&lt;&gt;"",BO44&lt;&gt;""),(BL44+BO44)/2,"")</f>
        <v/>
      </c>
      <c r="BP46" s="92" t="str">
        <f>IF(AND(BO44&lt;&gt;"",BP44&lt;&gt;""),(BO44+BP44)/2,"")</f>
        <v/>
      </c>
      <c r="BQ46" s="92" t="str">
        <f>IF(AND(BP44&lt;&gt;"",BQ44&lt;&gt;""),(BP44+BQ44)/2,"")</f>
        <v/>
      </c>
      <c r="BR46" s="92" t="str">
        <f>IF(AND(BO44&lt;&gt;"",BR44&lt;&gt;""),(BO44+BR44)/2,"")</f>
        <v/>
      </c>
      <c r="BS46" s="92" t="str">
        <f>IF(AND(BR44&lt;&gt;"",BS44&lt;&gt;""),(BR44+BS44)/2,"")</f>
        <v/>
      </c>
      <c r="BT46" s="92" t="str">
        <f>IF(AND(BS44&lt;&gt;"",BT44&lt;&gt;""),(BS44+BT44)/2,"")</f>
        <v/>
      </c>
      <c r="BU46" s="92" t="str">
        <f>IF(AND(BR44&lt;&gt;"",BU44&lt;&gt;""),(BR44+BU44)/2,"")</f>
        <v/>
      </c>
      <c r="BV46" s="92" t="str">
        <f>IF(AND(BU44&lt;&gt;"",BV44&lt;&gt;""),(BU44+BV44)/2,"")</f>
        <v/>
      </c>
      <c r="BW46" s="92" t="str">
        <f>IF(AND(BV44&lt;&gt;"",BW44&lt;&gt;""),(BV44+BW44)/2,"")</f>
        <v/>
      </c>
      <c r="BX46" s="92" t="str">
        <f>IF(AND(BU44&lt;&gt;"",BX44&lt;&gt;""),(BU44+BX44)/2,"")</f>
        <v/>
      </c>
      <c r="BY46" s="92" t="str">
        <f>IF(AND(BX44&lt;&gt;"",BY44&lt;&gt;""),(BX44+BY44)/2,"")</f>
        <v/>
      </c>
      <c r="BZ46" s="92" t="str">
        <f>IF(AND(BY44&lt;&gt;"",BZ44&lt;&gt;""),(BY44+BZ44)/2,"")</f>
        <v/>
      </c>
      <c r="CA46" s="92">
        <f>IF(AND(BX44&lt;&gt;"",CA44&lt;&gt;""),(BX44+CA44)/2,"")</f>
        <v>955.5</v>
      </c>
      <c r="CB46" s="92" t="str">
        <f>IF(AND(CA44&lt;&gt;"",CB44&lt;&gt;""),(CA44+CB44)/2,"")</f>
        <v/>
      </c>
      <c r="CC46" s="92" t="str">
        <f>IF(AND(CB44&lt;&gt;"",CC44&lt;&gt;""),(CB44+CC44)/2,"")</f>
        <v/>
      </c>
      <c r="CD46" s="92">
        <f>IF(AND(CA44&lt;&gt;"",CD44&lt;&gt;""),(CA44+CD44)/2,"")</f>
        <v>1000.5</v>
      </c>
      <c r="CE46" s="92" t="str">
        <f>IF(AND(CD44&lt;&gt;"",CE44&lt;&gt;""),(CD44+CE44)/2,"")</f>
        <v/>
      </c>
      <c r="CF46" s="92" t="str">
        <f>IF(AND(CE44&lt;&gt;"",CF44&lt;&gt;""),(CE44+CF44)/2,"")</f>
        <v/>
      </c>
      <c r="CG46" s="92">
        <f>IF(AND(CD44&lt;&gt;"",CG44&lt;&gt;""),(CD44+CG44)/2,"")</f>
        <v>1163</v>
      </c>
      <c r="CH46" s="92">
        <f>IF(AND(CG44&lt;&gt;"",CH44&lt;&gt;""),(CG44+CH44)/2,"")</f>
        <v>1279.663</v>
      </c>
      <c r="CI46" s="92">
        <f>IF(AND(CH44&lt;&gt;"",CI44&lt;&gt;""),(CH44+CI44)/2,"")</f>
        <v>1312.0129999999999</v>
      </c>
      <c r="CJ46" s="92">
        <f>IF(AND(CG44&lt;&gt;"",CJ44&lt;&gt;""),(CG44+CJ44)/2,"")</f>
        <v>1329.35</v>
      </c>
      <c r="CK46" s="92">
        <f>IF(AND(CJ44&lt;&gt;"",CK44&lt;&gt;""),(CJ44+CK44)/2,"")</f>
        <v>1474.45</v>
      </c>
      <c r="CL46" s="92">
        <f>IF(AND(CK44&lt;&gt;"",CL44&lt;&gt;""),(CK44+CL44)/2,"")</f>
        <v>1587.2</v>
      </c>
      <c r="CM46" s="92">
        <f>IF(AND(CJ44&lt;&gt;"",CM44&lt;&gt;""),(CJ44+CM44)/2,"")</f>
        <v>1474.45</v>
      </c>
      <c r="CN46" s="92">
        <f>IF(AND(CM44&lt;&gt;"",CN44&lt;&gt;""),(CM44+CN44)/2,"")</f>
        <v>1635.8000000000002</v>
      </c>
      <c r="CO46" s="92">
        <f>IF(AND(CN44&lt;&gt;"",CO44&lt;&gt;""),(CN44+CO44)/2,"")</f>
        <v>1757.7</v>
      </c>
      <c r="CP46" s="92">
        <f>IF(AND(CM44&lt;&gt;"",CP44&lt;&gt;""),(CM44+CP44)/2,"")</f>
        <v>1709.1</v>
      </c>
      <c r="CQ46" s="92">
        <f>IF(AND(CP44&lt;&gt;"",CQ44&lt;&gt;""),(CP44+CQ44)/2,"")</f>
        <v>1791.8</v>
      </c>
      <c r="CR46" s="92">
        <f>IF(AND(CQ44&lt;&gt;"",CR44&lt;&gt;""),(CQ44+CR44)/2,"")</f>
        <v>1796.9499999999998</v>
      </c>
      <c r="CS46" s="92">
        <f>IF(AND(CP44&lt;&gt;"",CS44&lt;&gt;""),(CP44+CS44)/2,"")</f>
        <v>1836.15</v>
      </c>
      <c r="CT46" s="92">
        <f>IF(AND(CS44&lt;&gt;"",CT44&lt;&gt;""),(CS44+CT44)/2,"")</f>
        <v>1994.0500000000002</v>
      </c>
      <c r="CU46" s="92">
        <f>IF(AND(CT44&lt;&gt;"",CU44&lt;&gt;""),(CT44+CU44)/2,"")</f>
        <v>2268.1999999999998</v>
      </c>
      <c r="CV46" s="92">
        <f>IF(AND(CS44&lt;&gt;"",CV44&lt;&gt;""),(CS44+CV44)/2,"")</f>
        <v>2115.4499999999998</v>
      </c>
      <c r="CW46" s="92">
        <f>IF(AND(CV44&lt;&gt;"",CW44&lt;&gt;""),(CV44+CW44)/2,"")</f>
        <v>2455.5</v>
      </c>
      <c r="CX46" s="92">
        <f>IF(AND(CW44&lt;&gt;"",CX44&lt;&gt;""),(CW44+CX44)/2,"")</f>
        <v>2732.05</v>
      </c>
      <c r="CY46" s="92">
        <f>IF(AND(CV44&lt;&gt;"",CY44&lt;&gt;""),(CV44+CY44)/2,"")</f>
        <v>2666.1499999999996</v>
      </c>
      <c r="CZ46" s="92">
        <f>IF(AND(CY44&lt;&gt;"",CZ44&lt;&gt;""),(CY44+CZ44)/2,"")</f>
        <v>3067.85</v>
      </c>
      <c r="DA46" s="92">
        <f>IF(AND(CZ44&lt;&gt;"",DA44&lt;&gt;""),(CZ44+DA44)/2,"")</f>
        <v>3372.2</v>
      </c>
      <c r="DB46" s="92">
        <f>IF(AND(CY44&lt;&gt;"",DB44&lt;&gt;""),(CY44+DB44)/2,"")</f>
        <v>3247.05</v>
      </c>
      <c r="DC46" s="92">
        <f>IF(AND(DB44&lt;&gt;"",DC44&lt;&gt;""),(DB44+DC44)/2,"")</f>
        <v>3669.15</v>
      </c>
      <c r="DD46" s="92">
        <f>IF(AND(DC44&lt;&gt;"",DD44&lt;&gt;""),(DC44+DD44)/2,"")</f>
        <v>4135.6000000000004</v>
      </c>
      <c r="DE46" s="144">
        <f>IF(AND(DB44&lt;&gt;"",DE44&lt;&gt;""),(DB44+DE44)/2,"")</f>
        <v>4017.8500000000004</v>
      </c>
      <c r="DF46" s="92">
        <f>IF(AND(DE44&lt;&gt;"",DF44&lt;&gt;""),(DE44+DF44)/2,"")</f>
        <v>5176.25</v>
      </c>
      <c r="DG46" s="92">
        <f>IF(AND(DF44&lt;&gt;"",DG44&lt;&gt;""),(DF44+DG44)/2,"")</f>
        <v>6086.7999999999993</v>
      </c>
      <c r="DH46" s="144">
        <f>IF(AND(DE44&lt;&gt;"",DH44&lt;&gt;""),(DE44+DH44)/2,"")</f>
        <v>5394.85</v>
      </c>
      <c r="DI46" s="92">
        <f>IF(AND(DH44&lt;&gt;"",DI44&lt;&gt;""),(DH44+DI44)/2,"")</f>
        <v>6574.15</v>
      </c>
      <c r="DJ46" s="92">
        <f>IF(AND(DI44&lt;&gt;"",DJ44&lt;&gt;""),(DI44+DJ44)/2,"")</f>
        <v>7189.4500000000007</v>
      </c>
      <c r="DK46" s="144">
        <f>IF(AND(DH44&lt;&gt;"",DK44&lt;&gt;""),(DH44+DK44)/2,"")</f>
        <v>6920.7</v>
      </c>
      <c r="DL46" s="92">
        <f>IF(AND(DK44&lt;&gt;"",DL44&lt;&gt;""),(DK44+DL44)/2,"")</f>
        <v>7635.4</v>
      </c>
      <c r="DM46" s="92">
        <f>IF(AND(DL44&lt;&gt;"",DM44&lt;&gt;""),(DL44+DM44)/2,"")</f>
        <v>8021.7</v>
      </c>
      <c r="DN46" s="144">
        <f>IF(AND(DK44&lt;&gt;"",DN44&lt;&gt;""),(DK44+DN44)/2,"")</f>
        <v>7922.3</v>
      </c>
      <c r="DO46" s="92">
        <f>IF(AND(DN44&lt;&gt;"",DO44&lt;&gt;""),(DN44+DO44)/2,"")</f>
        <v>8524.4</v>
      </c>
      <c r="DP46" s="92">
        <f>IF(AND(DO44&lt;&gt;"",DP44&lt;&gt;""),(DO44+DP44)/2,"")</f>
        <v>9046.0999999999985</v>
      </c>
      <c r="DQ46" s="144">
        <f>IF(AND(DN44&lt;&gt;"",DQ44&lt;&gt;""),(DN44+DQ44)/2,"")</f>
        <v>8830.2999999999993</v>
      </c>
      <c r="DR46" s="92">
        <f>IF(AND(DQ44&lt;&gt;"",DR44&lt;&gt;""),(DQ44+DR44)/2,"")</f>
        <v>9457</v>
      </c>
      <c r="DS46" s="92">
        <f>IF(AND(DR44&lt;&gt;"",DS44&lt;&gt;""),(DR44+DS44)/2,"")</f>
        <v>9610</v>
      </c>
      <c r="DT46" s="144">
        <f>IF(AND(DQ44&lt;&gt;"",DT44&lt;&gt;""),(DQ44+DT44)/2,"")</f>
        <v>9505</v>
      </c>
      <c r="DU46" s="92">
        <f>IF(AND(DT44&lt;&gt;"",DU44&lt;&gt;""),(DT44+DU44)/2,"")</f>
        <v>9629.5</v>
      </c>
      <c r="DV46" s="92">
        <f>IF(AND(DU44&lt;&gt;"",DV44&lt;&gt;""),(DU44+DV44)/2,"")</f>
        <v>9699</v>
      </c>
      <c r="DW46" s="144">
        <f>IF(AND(DT44&lt;&gt;"",DW44&lt;&gt;""),(DT44+DW44)/2,"")</f>
        <v>9727.5</v>
      </c>
      <c r="DX46" s="92">
        <f>IF(AND(DW44&lt;&gt;"",DX44&lt;&gt;""),(DW44+DX44)/2,"")</f>
        <v>9556</v>
      </c>
      <c r="DY46" s="92">
        <f>IF(AND(DX44&lt;&gt;"",DY44&lt;&gt;""),(DX44+DY44)/2,"")</f>
        <v>9418.3086129926287</v>
      </c>
      <c r="DZ46" s="144">
        <f>IF(AND(DW44&lt;&gt;"",DZ44&lt;&gt;""),(DW44+DZ44)/2,"")</f>
        <v>9659.3086129926287</v>
      </c>
      <c r="EA46" s="92">
        <f>IF(AND(DZ44&lt;&gt;"",EA44&lt;&gt;""),(DZ44+EA44)/2,"")</f>
        <v>9593.5057056788755</v>
      </c>
      <c r="EB46" s="92">
        <f>IF(AND(EA44&lt;&gt;"",EB44&lt;&gt;""),(EA44+EB44)/2,"")</f>
        <v>9733.1252225255448</v>
      </c>
      <c r="EC46" s="144">
        <f>IF(AND(DZ44&lt;&gt;"",EC44&lt;&gt;""),(DZ44+EC44)/2,"")</f>
        <v>9661.2367428319249</v>
      </c>
      <c r="ED46" s="92">
        <f>IF(AND(EC44&lt;&gt;"",ED44&lt;&gt;""),(EC44+ED44)/2,"")</f>
        <v>9909.5968552412305</v>
      </c>
      <c r="EE46" s="92">
        <f>IF(AND(ED44&lt;&gt;"",EE44&lt;&gt;""),(ED44+EE44)/2,"")</f>
        <v>10121.513736420824</v>
      </c>
      <c r="EF46" s="144">
        <f>IF(AND(EC44&lt;&gt;"",EF44&lt;&gt;""),(EC44+EF44)/2,"")</f>
        <v>10012.773140858186</v>
      </c>
      <c r="EG46" s="92">
        <f>IF(AND(EF44&lt;&gt;"",EG44&lt;&gt;""),(EF44+EG44)/2,"")</f>
        <v>10327.515676161187</v>
      </c>
      <c r="EH46" s="92">
        <f>IF(AND(EG44&lt;&gt;"",EH44&lt;&gt;""),(EG44+EH44)/2,"")</f>
        <v>10529.869828366953</v>
      </c>
      <c r="EI46" s="144">
        <f>IF(AND(EF44&lt;&gt;"",EI44&lt;&gt;""),(EF44+EI44)/2,"")</f>
        <v>10427.044174243547</v>
      </c>
      <c r="EJ46" s="92">
        <f>IF(AND(EI44&lt;&gt;"",EJ44&lt;&gt;""),(EI44+EJ44)/2,"")</f>
        <v>10687.349622006808</v>
      </c>
      <c r="EK46" s="92">
        <f>IF(AND(EJ44&lt;&gt;"",EK44&lt;&gt;""),(EJ44+EK44)/2,"")</f>
        <v>10805.332100978532</v>
      </c>
      <c r="EL46" s="144">
        <f>IF(AND(EI44&lt;&gt;"",EL44&lt;&gt;""),(EI44+EL44)/2,"")</f>
        <v>10747.380805421039</v>
      </c>
      <c r="EM46" s="92">
        <f>IF(AND(EL44&lt;&gt;"",EM44&lt;&gt;""),(EL44+EM44)/2,"")</f>
        <v>10872.762898266166</v>
      </c>
      <c r="EN46" s="92">
        <f>IF(AND(EM44&lt;&gt;"",EN44&lt;&gt;""),(EM44+EN44)/2,"")</f>
        <v>10894.672650670873</v>
      </c>
      <c r="EO46" s="144">
        <f>IF(AND(EL44&lt;&gt;"",EO44&lt;&gt;""),(EL44+EO44)/2,"")</f>
        <v>10887.273036797473</v>
      </c>
      <c r="EP46" s="92">
        <f>IF(AND(EO44&lt;&gt;"",EP44&lt;&gt;""),(EO44+EP44)/2,"")</f>
        <v>10916.743654685113</v>
      </c>
      <c r="EQ46" s="92">
        <f>IF(AND(EP44&lt;&gt;"",EQ44&lt;&gt;""),(EP44+EQ44)/2,"")</f>
        <v>10939.98101463021</v>
      </c>
      <c r="ER46" s="144">
        <f>IF(AND(EO44&lt;&gt;"",ER44&lt;&gt;""),(EO44+ER44)/2,"")</f>
        <v>10932.420149147274</v>
      </c>
      <c r="ES46" s="92">
        <f>IF(AND(ER44&lt;&gt;"",ES44&lt;&gt;""),(ER44+ES44)/2,"")</f>
        <v>10963.433980561085</v>
      </c>
      <c r="ET46" s="92">
        <f>IF(AND(ES44&lt;&gt;"",ET44&lt;&gt;""),(ES44+ET44)/2,"")</f>
        <v>10987.596493080073</v>
      </c>
      <c r="EU46" s="144">
        <f>IF(AND(ER44&lt;&gt;"",EU44&lt;&gt;""),(ER44+EU44)/2,"")</f>
        <v>10979.820021611358</v>
      </c>
      <c r="EV46" s="92">
        <f>IF(AND(EU44&lt;&gt;"",EV44&lt;&gt;""),(EU44+EV44)/2,"")</f>
        <v>11012.519217705769</v>
      </c>
      <c r="EW46" s="92">
        <f>IF(AND(EV44&lt;&gt;"",EW44&lt;&gt;""),(EV44+EW44)/2,"")</f>
        <v>11038.197565099206</v>
      </c>
      <c r="EX46" s="144">
        <f>IF(AND(EU44&lt;&gt;"",EX44&lt;&gt;""),(EU44+EX44)/2,"")</f>
        <v>11029.660881523781</v>
      </c>
      <c r="EY46" s="92">
        <f>IF(AND(EX44&lt;&gt;"",EY44&lt;&gt;""),(EX44+EY44)/2,"")</f>
        <v>11064.683655808803</v>
      </c>
      <c r="EZ46" s="92">
        <f>IF(AND(EY44&lt;&gt;"",EZ44&lt;&gt;""),(EY44+EZ44)/2,"")</f>
        <v>11091.974528299845</v>
      </c>
      <c r="FA46" s="144">
        <f>IF(AND(EX44&lt;&gt;"",FA44&lt;&gt;""),(EX44+FA44)/2,"")</f>
        <v>11082.630101408262</v>
      </c>
    </row>
    <row r="47" spans="1:157" ht="13.35" customHeight="1">
      <c r="A47" s="3"/>
      <c r="B47" s="4" t="s">
        <v>428</v>
      </c>
      <c r="C47" s="4"/>
      <c r="D47" s="4"/>
      <c r="E47" s="82"/>
      <c r="F47" s="8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95">
        <f>AU50/AU46</f>
        <v>0.13337893296853626</v>
      </c>
      <c r="AV47" s="95">
        <f>AV50/AV46</f>
        <v>0.14814814814814814</v>
      </c>
      <c r="AW47" s="95">
        <f>AW50/AW46</f>
        <v>0.25594250967385296</v>
      </c>
      <c r="AX47" s="95">
        <f>AX50/AX46</f>
        <v>0.16108171663727219</v>
      </c>
      <c r="AY47" s="95">
        <f>AY50/AY46</f>
        <v>0.19623521572547059</v>
      </c>
      <c r="AZ47" s="7">
        <v>0.25</v>
      </c>
      <c r="BA47" s="7">
        <f t="shared" ref="BA47:CF47" si="48">1/10</f>
        <v>0.1</v>
      </c>
      <c r="BB47" s="7">
        <f t="shared" si="48"/>
        <v>0.1</v>
      </c>
      <c r="BC47" s="7">
        <f t="shared" si="48"/>
        <v>0.1</v>
      </c>
      <c r="BD47" s="7">
        <f t="shared" si="48"/>
        <v>0.1</v>
      </c>
      <c r="BE47" s="7">
        <f t="shared" si="48"/>
        <v>0.1</v>
      </c>
      <c r="BF47" s="7">
        <f t="shared" si="48"/>
        <v>0.1</v>
      </c>
      <c r="BG47" s="7">
        <f t="shared" si="48"/>
        <v>0.1</v>
      </c>
      <c r="BH47" s="7">
        <f t="shared" si="48"/>
        <v>0.1</v>
      </c>
      <c r="BI47" s="7">
        <f t="shared" si="48"/>
        <v>0.1</v>
      </c>
      <c r="BJ47" s="7">
        <f t="shared" si="48"/>
        <v>0.1</v>
      </c>
      <c r="BK47" s="7">
        <f t="shared" si="48"/>
        <v>0.1</v>
      </c>
      <c r="BL47" s="7">
        <f t="shared" si="48"/>
        <v>0.1</v>
      </c>
      <c r="BM47" s="7">
        <f t="shared" si="48"/>
        <v>0.1</v>
      </c>
      <c r="BN47" s="7">
        <f t="shared" si="48"/>
        <v>0.1</v>
      </c>
      <c r="BO47" s="7">
        <f t="shared" si="48"/>
        <v>0.1</v>
      </c>
      <c r="BP47" s="7">
        <f t="shared" si="48"/>
        <v>0.1</v>
      </c>
      <c r="BQ47" s="7">
        <f t="shared" si="48"/>
        <v>0.1</v>
      </c>
      <c r="BR47" s="7">
        <f t="shared" si="48"/>
        <v>0.1</v>
      </c>
      <c r="BS47" s="7">
        <f t="shared" si="48"/>
        <v>0.1</v>
      </c>
      <c r="BT47" s="7">
        <f t="shared" si="48"/>
        <v>0.1</v>
      </c>
      <c r="BU47" s="7">
        <f t="shared" si="48"/>
        <v>0.1</v>
      </c>
      <c r="BV47" s="7">
        <f t="shared" si="48"/>
        <v>0.1</v>
      </c>
      <c r="BW47" s="7">
        <f t="shared" si="48"/>
        <v>0.1</v>
      </c>
      <c r="BX47" s="7">
        <f t="shared" si="48"/>
        <v>0.1</v>
      </c>
      <c r="BY47" s="7">
        <f t="shared" si="48"/>
        <v>0.1</v>
      </c>
      <c r="BZ47" s="7">
        <f t="shared" si="48"/>
        <v>0.1</v>
      </c>
      <c r="CA47" s="7">
        <f t="shared" si="48"/>
        <v>0.1</v>
      </c>
      <c r="CB47" s="7">
        <f t="shared" si="48"/>
        <v>0.1</v>
      </c>
      <c r="CC47" s="7">
        <f t="shared" si="48"/>
        <v>0.1</v>
      </c>
      <c r="CD47" s="7">
        <f t="shared" si="48"/>
        <v>0.1</v>
      </c>
      <c r="CE47" s="7">
        <f t="shared" si="48"/>
        <v>0.1</v>
      </c>
      <c r="CF47" s="7">
        <f t="shared" si="48"/>
        <v>0.1</v>
      </c>
      <c r="CG47" s="7">
        <f t="shared" ref="CG47:ES47" si="49">1/10</f>
        <v>0.1</v>
      </c>
      <c r="CH47" s="7">
        <f t="shared" si="49"/>
        <v>0.1</v>
      </c>
      <c r="CI47" s="7">
        <f t="shared" si="49"/>
        <v>0.1</v>
      </c>
      <c r="CJ47" s="7">
        <f t="shared" si="49"/>
        <v>0.1</v>
      </c>
      <c r="CK47" s="7">
        <f t="shared" si="49"/>
        <v>0.1</v>
      </c>
      <c r="CL47" s="7">
        <f t="shared" si="49"/>
        <v>0.1</v>
      </c>
      <c r="CM47" s="7">
        <f t="shared" si="49"/>
        <v>0.1</v>
      </c>
      <c r="CN47" s="7">
        <f t="shared" si="49"/>
        <v>0.1</v>
      </c>
      <c r="CO47" s="7">
        <f t="shared" si="49"/>
        <v>0.1</v>
      </c>
      <c r="CP47" s="7">
        <f t="shared" si="49"/>
        <v>0.1</v>
      </c>
      <c r="CQ47" s="7">
        <f t="shared" si="49"/>
        <v>0.1</v>
      </c>
      <c r="CR47" s="7">
        <f t="shared" si="49"/>
        <v>0.1</v>
      </c>
      <c r="CS47" s="7">
        <f t="shared" si="49"/>
        <v>0.1</v>
      </c>
      <c r="CT47" s="7">
        <f t="shared" si="49"/>
        <v>0.1</v>
      </c>
      <c r="CU47" s="7">
        <f t="shared" si="49"/>
        <v>0.1</v>
      </c>
      <c r="CV47" s="7">
        <f t="shared" si="49"/>
        <v>0.1</v>
      </c>
      <c r="CW47" s="7">
        <f t="shared" si="49"/>
        <v>0.1</v>
      </c>
      <c r="CX47" s="7">
        <f t="shared" si="49"/>
        <v>0.1</v>
      </c>
      <c r="CY47" s="7">
        <f t="shared" si="49"/>
        <v>0.1</v>
      </c>
      <c r="CZ47" s="7">
        <f t="shared" si="49"/>
        <v>0.1</v>
      </c>
      <c r="DA47" s="7">
        <f t="shared" si="49"/>
        <v>0.1</v>
      </c>
      <c r="DB47" s="7">
        <f t="shared" si="49"/>
        <v>0.1</v>
      </c>
      <c r="DC47" s="7">
        <f t="shared" si="49"/>
        <v>0.1</v>
      </c>
      <c r="DD47" s="7">
        <f t="shared" si="49"/>
        <v>0.1</v>
      </c>
      <c r="DE47" s="146">
        <f t="shared" si="49"/>
        <v>0.1</v>
      </c>
      <c r="DF47" s="7">
        <f t="shared" si="49"/>
        <v>0.1</v>
      </c>
      <c r="DG47" s="7">
        <f t="shared" si="49"/>
        <v>0.1</v>
      </c>
      <c r="DH47" s="146">
        <f t="shared" si="49"/>
        <v>0.1</v>
      </c>
      <c r="DI47" s="7">
        <f t="shared" si="49"/>
        <v>0.1</v>
      </c>
      <c r="DJ47" s="7">
        <f t="shared" si="49"/>
        <v>0.1</v>
      </c>
      <c r="DK47" s="146">
        <f t="shared" si="49"/>
        <v>0.1</v>
      </c>
      <c r="DL47" s="7">
        <f t="shared" si="49"/>
        <v>0.1</v>
      </c>
      <c r="DM47" s="7">
        <f t="shared" si="49"/>
        <v>0.1</v>
      </c>
      <c r="DN47" s="146">
        <f t="shared" si="49"/>
        <v>0.1</v>
      </c>
      <c r="DO47" s="7">
        <f t="shared" si="49"/>
        <v>0.1</v>
      </c>
      <c r="DP47" s="7">
        <f t="shared" si="49"/>
        <v>0.1</v>
      </c>
      <c r="DQ47" s="146">
        <f t="shared" si="49"/>
        <v>0.1</v>
      </c>
      <c r="DR47" s="7">
        <f t="shared" si="49"/>
        <v>0.1</v>
      </c>
      <c r="DS47" s="7">
        <f t="shared" si="49"/>
        <v>0.1</v>
      </c>
      <c r="DT47" s="146">
        <f t="shared" si="49"/>
        <v>0.1</v>
      </c>
      <c r="DU47" s="7">
        <f t="shared" si="49"/>
        <v>0.1</v>
      </c>
      <c r="DV47" s="7">
        <f t="shared" si="49"/>
        <v>0.1</v>
      </c>
      <c r="DW47" s="146">
        <f t="shared" si="49"/>
        <v>0.1</v>
      </c>
      <c r="DX47" s="7">
        <f t="shared" si="49"/>
        <v>0.1</v>
      </c>
      <c r="DY47" s="7">
        <f t="shared" si="49"/>
        <v>0.1</v>
      </c>
      <c r="DZ47" s="146">
        <f t="shared" si="49"/>
        <v>0.1</v>
      </c>
      <c r="EA47" s="7">
        <f t="shared" si="49"/>
        <v>0.1</v>
      </c>
      <c r="EB47" s="7">
        <f t="shared" si="49"/>
        <v>0.1</v>
      </c>
      <c r="EC47" s="146">
        <f t="shared" si="49"/>
        <v>0.1</v>
      </c>
      <c r="ED47" s="7">
        <f t="shared" si="49"/>
        <v>0.1</v>
      </c>
      <c r="EE47" s="7">
        <f t="shared" si="49"/>
        <v>0.1</v>
      </c>
      <c r="EF47" s="146">
        <f t="shared" si="49"/>
        <v>0.1</v>
      </c>
      <c r="EG47" s="7">
        <f t="shared" si="49"/>
        <v>0.1</v>
      </c>
      <c r="EH47" s="7">
        <f t="shared" si="49"/>
        <v>0.1</v>
      </c>
      <c r="EI47" s="146">
        <f t="shared" si="49"/>
        <v>0.1</v>
      </c>
      <c r="EJ47" s="7">
        <f t="shared" si="49"/>
        <v>0.1</v>
      </c>
      <c r="EK47" s="7">
        <f t="shared" si="49"/>
        <v>0.1</v>
      </c>
      <c r="EL47" s="146">
        <f t="shared" si="49"/>
        <v>0.1</v>
      </c>
      <c r="EM47" s="7">
        <f t="shared" si="49"/>
        <v>0.1</v>
      </c>
      <c r="EN47" s="7">
        <f t="shared" si="49"/>
        <v>0.1</v>
      </c>
      <c r="EO47" s="146">
        <f t="shared" si="49"/>
        <v>0.1</v>
      </c>
      <c r="EP47" s="7">
        <f t="shared" si="49"/>
        <v>0.1</v>
      </c>
      <c r="EQ47" s="7">
        <f t="shared" si="49"/>
        <v>0.1</v>
      </c>
      <c r="ER47" s="146">
        <f t="shared" si="49"/>
        <v>0.1</v>
      </c>
      <c r="ES47" s="7">
        <f t="shared" si="49"/>
        <v>0.1</v>
      </c>
      <c r="ET47" s="7">
        <f t="shared" ref="ET47:FA47" si="50">1/10</f>
        <v>0.1</v>
      </c>
      <c r="EU47" s="146">
        <f t="shared" si="50"/>
        <v>0.1</v>
      </c>
      <c r="EV47" s="7">
        <f t="shared" si="50"/>
        <v>0.1</v>
      </c>
      <c r="EW47" s="7">
        <f t="shared" si="50"/>
        <v>0.1</v>
      </c>
      <c r="EX47" s="146">
        <f t="shared" si="50"/>
        <v>0.1</v>
      </c>
      <c r="EY47" s="7">
        <f t="shared" si="50"/>
        <v>0.1</v>
      </c>
      <c r="EZ47" s="7">
        <f t="shared" si="50"/>
        <v>0.1</v>
      </c>
      <c r="FA47" s="146">
        <f t="shared" si="50"/>
        <v>0.1</v>
      </c>
    </row>
    <row r="48" spans="1:157" ht="13.35" customHeight="1">
      <c r="A48" s="3"/>
      <c r="B48" s="4" t="s">
        <v>429</v>
      </c>
      <c r="C48" s="4"/>
      <c r="D48" s="4"/>
      <c r="E48" s="97"/>
      <c r="F48" s="97"/>
      <c r="G48" s="97"/>
      <c r="H48" s="97"/>
      <c r="I48" s="97"/>
      <c r="J48" s="97"/>
      <c r="K48" s="97"/>
      <c r="L48" s="97"/>
      <c r="M48" s="97"/>
      <c r="N48" s="97"/>
      <c r="O48" s="97"/>
      <c r="P48" s="97"/>
      <c r="Q48" s="97"/>
      <c r="R48" s="97"/>
      <c r="S48" s="97"/>
      <c r="T48" s="97"/>
      <c r="U48" s="97"/>
      <c r="V48" s="97"/>
      <c r="W48" s="97"/>
      <c r="X48" s="97"/>
      <c r="Y48" s="97"/>
      <c r="Z48" s="97"/>
      <c r="AA48" s="97"/>
      <c r="AB48" s="97"/>
      <c r="AC48" s="97"/>
      <c r="AD48" s="97"/>
      <c r="AE48" s="97"/>
      <c r="AF48" s="97"/>
      <c r="AG48" s="97"/>
      <c r="AH48" s="97"/>
      <c r="AI48" s="97"/>
      <c r="AJ48" s="97"/>
      <c r="AK48" s="97"/>
      <c r="AL48" s="97"/>
      <c r="AM48" s="97"/>
      <c r="AN48" s="97"/>
      <c r="AO48" s="97"/>
      <c r="AP48" s="97"/>
      <c r="AQ48" s="97"/>
      <c r="AR48" s="97"/>
      <c r="AS48" s="97"/>
      <c r="AT48" s="97"/>
      <c r="AU48" s="97"/>
      <c r="AV48" s="97"/>
      <c r="AW48" s="97"/>
      <c r="AX48" s="97"/>
      <c r="AY48" s="97"/>
      <c r="AZ48" s="98"/>
      <c r="BA48" s="98"/>
      <c r="BB48" s="99"/>
      <c r="BC48" s="98"/>
      <c r="BD48" s="98"/>
      <c r="BE48" s="99"/>
      <c r="BF48" s="98"/>
      <c r="BG48" s="98"/>
      <c r="BH48" s="99"/>
      <c r="BI48" s="98"/>
      <c r="BJ48" s="98"/>
      <c r="BK48" s="99"/>
      <c r="BL48" s="98"/>
      <c r="BM48" s="98"/>
      <c r="BN48" s="99"/>
      <c r="BO48" s="98"/>
      <c r="BP48" s="98"/>
      <c r="BQ48" s="99"/>
      <c r="BR48" s="98"/>
      <c r="BS48" s="98"/>
      <c r="BT48" s="99"/>
      <c r="BU48" s="98"/>
      <c r="BV48" s="98"/>
      <c r="BW48" s="99"/>
      <c r="BX48" s="98"/>
      <c r="BY48" s="98"/>
      <c r="BZ48" s="99"/>
      <c r="CA48" s="98"/>
      <c r="CB48" s="98"/>
      <c r="CC48" s="99"/>
      <c r="CD48" s="98"/>
      <c r="CE48" s="98"/>
      <c r="CF48" s="99"/>
      <c r="CG48" s="98"/>
      <c r="CH48" s="98"/>
      <c r="CI48" s="99"/>
      <c r="CJ48" s="98"/>
      <c r="CK48" s="98"/>
      <c r="CL48" s="99"/>
      <c r="CM48" s="98"/>
      <c r="CN48" s="98"/>
      <c r="CO48" s="99"/>
      <c r="CP48" s="98"/>
      <c r="CQ48" s="98"/>
      <c r="CR48" s="99"/>
      <c r="CS48" s="98"/>
      <c r="CT48" s="98"/>
      <c r="CU48" s="99"/>
      <c r="CV48" s="98"/>
      <c r="CW48" s="98"/>
      <c r="CX48" s="99"/>
      <c r="CY48" s="98"/>
      <c r="CZ48" s="98"/>
      <c r="DA48" s="99"/>
      <c r="DB48" s="98"/>
      <c r="DC48" s="98"/>
      <c r="DD48" s="99"/>
      <c r="DE48" s="147"/>
      <c r="DF48" s="98"/>
      <c r="DG48" s="99"/>
      <c r="DH48" s="147"/>
      <c r="DI48" s="98"/>
      <c r="DJ48" s="99"/>
      <c r="DK48" s="147"/>
      <c r="DL48" s="98"/>
      <c r="DM48" s="99"/>
      <c r="DN48" s="147"/>
      <c r="DO48" s="98"/>
      <c r="DP48" s="99"/>
      <c r="DQ48" s="147"/>
      <c r="DR48" s="98"/>
      <c r="DS48" s="99"/>
      <c r="DT48" s="147"/>
      <c r="DU48" s="98"/>
      <c r="DV48" s="99"/>
      <c r="DW48" s="147"/>
      <c r="DX48" s="98"/>
      <c r="DY48" s="99"/>
      <c r="DZ48" s="147"/>
      <c r="EA48" s="98"/>
      <c r="EB48" s="99"/>
      <c r="EC48" s="147"/>
      <c r="ED48" s="98"/>
      <c r="EE48" s="99"/>
      <c r="EF48" s="147"/>
      <c r="EG48" s="98"/>
      <c r="EH48" s="99"/>
      <c r="EI48" s="147"/>
      <c r="EJ48" s="98"/>
      <c r="EK48" s="99"/>
      <c r="EL48" s="147"/>
      <c r="EM48" s="98"/>
      <c r="EN48" s="99"/>
      <c r="EO48" s="147"/>
      <c r="EP48" s="98"/>
      <c r="EQ48" s="99"/>
      <c r="ER48" s="147"/>
      <c r="ES48" s="98"/>
      <c r="ET48" s="99"/>
      <c r="EU48" s="147"/>
      <c r="EV48" s="98"/>
      <c r="EW48" s="99"/>
      <c r="EX48" s="147"/>
      <c r="EY48" s="98"/>
      <c r="EZ48" s="99"/>
      <c r="FA48" s="147"/>
    </row>
    <row r="49" spans="1:157" ht="13.35" customHeight="1">
      <c r="A49" s="3"/>
      <c r="B49" s="4" t="s">
        <v>472</v>
      </c>
      <c r="C49" s="4"/>
      <c r="D49" s="4"/>
      <c r="E49" s="93"/>
      <c r="F49" s="93"/>
      <c r="G49" s="93"/>
      <c r="H49" s="93"/>
      <c r="I49" s="93"/>
      <c r="J49" s="93"/>
      <c r="K49" s="93"/>
      <c r="L49" s="93"/>
      <c r="M49" s="93"/>
      <c r="N49" s="93"/>
      <c r="O49" s="93"/>
      <c r="P49" s="93"/>
      <c r="Q49" s="93"/>
      <c r="R49" s="93"/>
      <c r="S49" s="93"/>
      <c r="T49" s="93"/>
      <c r="U49" s="93"/>
      <c r="V49" s="93"/>
      <c r="W49" s="93"/>
      <c r="X49" s="93"/>
      <c r="Y49" s="93"/>
      <c r="Z49" s="93"/>
      <c r="AA49" s="93"/>
      <c r="AB49" s="93"/>
      <c r="AC49" s="93"/>
      <c r="AD49" s="93"/>
      <c r="AE49" s="93"/>
      <c r="AF49" s="93"/>
      <c r="AG49" s="93"/>
      <c r="AH49" s="93"/>
      <c r="AI49" s="93"/>
      <c r="AJ49" s="93"/>
      <c r="AK49" s="93"/>
      <c r="AL49" s="93"/>
      <c r="AM49" s="93"/>
      <c r="AN49" s="93"/>
      <c r="AO49" s="93"/>
      <c r="AP49" s="93"/>
      <c r="AQ49" s="93"/>
      <c r="AR49" s="93"/>
      <c r="AS49" s="93"/>
      <c r="AT49" s="93"/>
      <c r="AU49" s="93"/>
      <c r="AV49" s="93"/>
      <c r="AW49" s="93"/>
      <c r="AX49" s="93"/>
      <c r="AY49" s="93"/>
      <c r="AZ49" s="96">
        <f>AZ47*AZ46</f>
        <v>0.65149999999999997</v>
      </c>
      <c r="BA49" s="92" t="str">
        <f>IF(AND(BA38&lt;&gt;"",BA44&lt;&gt;""),IF(((BA38/2)*BA44)&lt;BA44,(BA38/2)*BA44,BA44),"")</f>
        <v/>
      </c>
      <c r="BB49" s="92" t="str">
        <f>IF(BC49&lt;&gt;"",BC49-BA49,"")</f>
        <v/>
      </c>
      <c r="BC49" s="92" t="str">
        <f>IF(AND(BC48&lt;&gt;"",BC46&lt;&gt;""),IF((BC48*BC46)&lt;BC45,BC48*BC46,BC45),"")</f>
        <v/>
      </c>
      <c r="BD49" s="92" t="str">
        <f>IF(AND(BD48&lt;&gt;"",BD46&lt;&gt;""),IF(((BD48/2)*BD46)&lt;BD45,(BD48/2)*BD46,BD45),"")</f>
        <v/>
      </c>
      <c r="BE49" s="92" t="str">
        <f>IF(BF49&lt;&gt;"",BF49-BD49,"")</f>
        <v/>
      </c>
      <c r="BF49" s="92" t="str">
        <f>IF(AND(BF48&lt;&gt;"",BF46&lt;&gt;""),IF((BF48*BF46)&lt;BF45,BF48*BF46,BF45),"")</f>
        <v/>
      </c>
      <c r="BG49" s="92" t="str">
        <f>IF(AND(BG48&lt;&gt;"",BG46&lt;&gt;""),IF(((BG48/2)*BG46)&lt;BG45,(BG48/2)*BG46,BG45),"")</f>
        <v/>
      </c>
      <c r="BH49" s="92" t="str">
        <f>IF(BI49&lt;&gt;"",BI49-BG49,"")</f>
        <v/>
      </c>
      <c r="BI49" s="92" t="str">
        <f>IF(AND(BI48&lt;&gt;"",BI46&lt;&gt;""),IF((BI48*BI46)&lt;BI45,BI48*BI46,BI45),"")</f>
        <v/>
      </c>
      <c r="BJ49" s="92" t="str">
        <f>IF(AND(BJ48&lt;&gt;"",BJ46&lt;&gt;""),IF(((BJ48/2)*BJ46)&lt;BJ45,(BJ48/2)*BJ46,BJ45),"")</f>
        <v/>
      </c>
      <c r="BK49" s="92" t="str">
        <f>IF(BL49&lt;&gt;"",BL49-BJ49,"")</f>
        <v/>
      </c>
      <c r="BL49" s="92" t="str">
        <f>IF(AND(BL48&lt;&gt;"",BL46&lt;&gt;""),IF((BL48*BL46)&lt;BL45,BL48*BL46,BL45),"")</f>
        <v/>
      </c>
      <c r="BM49" s="92" t="str">
        <f>IF(AND(BM48&lt;&gt;"",BM46&lt;&gt;""),IF(((BM48/2)*BM46)&lt;BM45,(BM48/2)*BM46,BM45),"")</f>
        <v/>
      </c>
      <c r="BN49" s="92" t="str">
        <f>IF(BO49&lt;&gt;"",BO49-BM49,"")</f>
        <v/>
      </c>
      <c r="BO49" s="92" t="str">
        <f>IF(AND(BO48&lt;&gt;"",BO46&lt;&gt;""),IF((BO48*BO46)&lt;BO45,BO48*BO46,BO45),"")</f>
        <v/>
      </c>
      <c r="BP49" s="92" t="str">
        <f>IF(AND(BP48&lt;&gt;"",BP46&lt;&gt;""),IF(((BP48/2)*BP46)&lt;BP45,(BP48/2)*BP46,BP45),"")</f>
        <v/>
      </c>
      <c r="BQ49" s="92" t="str">
        <f>IF(BR49&lt;&gt;"",BR49-BP49,"")</f>
        <v/>
      </c>
      <c r="BR49" s="92" t="str">
        <f>IF(AND(BR48&lt;&gt;"",BR46&lt;&gt;""),IF((BR48*BR46)&lt;BR45,BR48*BR46,BR45),"")</f>
        <v/>
      </c>
      <c r="BS49" s="92" t="str">
        <f>IF(AND(BS48&lt;&gt;"",BS46&lt;&gt;""),IF(((BS48/2)*BS46)&lt;BS45,(BS48/2)*BS46,BS45),"")</f>
        <v/>
      </c>
      <c r="BT49" s="92" t="str">
        <f>IF(BU49&lt;&gt;"",BU49-BS49,"")</f>
        <v/>
      </c>
      <c r="BU49" s="92" t="str">
        <f>IF(AND(BU48&lt;&gt;"",BU46&lt;&gt;""),IF((BU48*BU46)&lt;BU45,BU48*BU46,BU45),"")</f>
        <v/>
      </c>
      <c r="BV49" s="92" t="str">
        <f>IF(AND(BV48&lt;&gt;"",BV46&lt;&gt;""),IF(((BV48/2)*BV46)&lt;BV45,(BV48/2)*BV46,BV45),"")</f>
        <v/>
      </c>
      <c r="BW49" s="92" t="str">
        <f>IF(BX49&lt;&gt;"",BX49-BV49,"")</f>
        <v/>
      </c>
      <c r="BX49" s="92" t="str">
        <f>IF(AND(BX48&lt;&gt;"",BX46&lt;&gt;""),IF((BX48*BX46)&lt;BX45,BX48*BX46,BX45),"")</f>
        <v/>
      </c>
      <c r="BY49" s="92" t="str">
        <f>IF(AND(BY48&lt;&gt;"",BY46&lt;&gt;""),IF(((BY48/2)*BY46)&lt;BY45,(BY48/2)*BY46,BY45),"")</f>
        <v/>
      </c>
      <c r="BZ49" s="92" t="str">
        <f>IF(CA49&lt;&gt;"",CA49-BY49,"")</f>
        <v/>
      </c>
      <c r="CA49" s="92" t="str">
        <f>IF(AND(CA48&lt;&gt;"",CA46&lt;&gt;""),IF((CA48*CA46)&lt;CA45,CA48*CA46,CA45),"")</f>
        <v/>
      </c>
      <c r="CB49" s="92" t="str">
        <f>IF(AND(CB48&lt;&gt;"",CB46&lt;&gt;""),IF(((CB48/2)*CB46)&lt;CB45,(CB48/2)*CB46,CB45),"")</f>
        <v/>
      </c>
      <c r="CC49" s="92" t="str">
        <f>IF(CD49&lt;&gt;"",CD49-CB49,"")</f>
        <v/>
      </c>
      <c r="CD49" s="92" t="str">
        <f>IF(AND(CD48&lt;&gt;"",CD46&lt;&gt;""),IF((CD48*CD46)&lt;CD45,CD48*CD46,CD45),"")</f>
        <v/>
      </c>
      <c r="CE49" s="92" t="str">
        <f>IF(AND(CE48&lt;&gt;"",CE46&lt;&gt;""),IF(((CE48/2)*CE46)&lt;CE45,(CE48/2)*CE46,CE45),"")</f>
        <v/>
      </c>
      <c r="CF49" s="92" t="str">
        <f>IF(CG49&lt;&gt;"",CG49-CE49,"")</f>
        <v/>
      </c>
      <c r="CG49" s="92" t="str">
        <f>IF(AND(CG48&lt;&gt;"",CG46&lt;&gt;""),IF((CG48*CG46)&lt;CG45,CG48*CG46,CG45),"")</f>
        <v/>
      </c>
      <c r="CH49" s="92" t="str">
        <f>IF(AND(CH48&lt;&gt;"",CH46&lt;&gt;""),IF(((CH48/2)*CH46)&lt;CH45,(CH48/2)*CH46,CH45),"")</f>
        <v/>
      </c>
      <c r="CI49" s="92" t="str">
        <f>IF(CJ49&lt;&gt;"",CJ49-CH49,"")</f>
        <v/>
      </c>
      <c r="CJ49" s="92" t="str">
        <f>IF(AND(CJ48&lt;&gt;"",CJ46&lt;&gt;""),IF((CJ48*CJ46)&lt;CJ45,CJ48*CJ46,CJ45),"")</f>
        <v/>
      </c>
      <c r="CK49" s="92" t="str">
        <f>IF(AND(CK48&lt;&gt;"",CK46&lt;&gt;""),IF(((CK48/2)*CK46)&lt;CK45,(CK48/2)*CK46,CK45),"")</f>
        <v/>
      </c>
      <c r="CL49" s="92" t="str">
        <f>IF(CM49&lt;&gt;"",CM49-CK49,"")</f>
        <v/>
      </c>
      <c r="CM49" s="92" t="str">
        <f>IF(AND(CM48&lt;&gt;"",CM46&lt;&gt;""),IF((CM48*CM46)&lt;CM45,CM48*CM46,CM45),"")</f>
        <v/>
      </c>
      <c r="CN49" s="92" t="str">
        <f>IF(AND(CN48&lt;&gt;"",CN46&lt;&gt;""),IF(((CN48/2)*CN46)&lt;CN45,(CN48/2)*CN46,CN45),"")</f>
        <v/>
      </c>
      <c r="CO49" s="92" t="str">
        <f>IF(CP49&lt;&gt;"",CP49-CN49,"")</f>
        <v/>
      </c>
      <c r="CP49" s="92" t="str">
        <f>IF(AND(CP48&lt;&gt;"",CP46&lt;&gt;""),IF((CP48*CP46)&lt;CP45,CP48*CP46,CP45),"")</f>
        <v/>
      </c>
      <c r="CQ49" s="92" t="str">
        <f>IF(AND(CQ48&lt;&gt;"",CQ46&lt;&gt;""),IF(((CQ48/2)*CQ46)&lt;CQ45,(CQ48/2)*CQ46,CQ45),"")</f>
        <v/>
      </c>
      <c r="CR49" s="92" t="str">
        <f>IF(CS49&lt;&gt;"",CS49-CQ49,"")</f>
        <v/>
      </c>
      <c r="CS49" s="92" t="str">
        <f>IF(AND(CS48&lt;&gt;"",CS46&lt;&gt;""),IF((CS48*CS46)&lt;CS45,CS48*CS46,CS45),"")</f>
        <v/>
      </c>
      <c r="CT49" s="92" t="str">
        <f>IF(AND(CT48&lt;&gt;"",CT46&lt;&gt;""),IF(((CT48/2)*CT46)&lt;CT45,(CT48/2)*CT46,CT45),"")</f>
        <v/>
      </c>
      <c r="CU49" s="92" t="str">
        <f>IF(CV49&lt;&gt;"",CV49-CT49,"")</f>
        <v/>
      </c>
      <c r="CV49" s="92" t="str">
        <f>IF(AND(CV48&lt;&gt;"",CV46&lt;&gt;""),IF((CV48*CV46)&lt;CV45,CV48*CV46,CV45),"")</f>
        <v/>
      </c>
      <c r="CW49" s="92" t="str">
        <f>IF(AND(CW48&lt;&gt;"",CW46&lt;&gt;""),IF(((CW48/2)*CW46)&lt;CW45,(CW48/2)*CW46,CW45),"")</f>
        <v/>
      </c>
      <c r="CX49" s="92" t="str">
        <f>IF(CY49&lt;&gt;"",CY49-CW49,"")</f>
        <v/>
      </c>
      <c r="CY49" s="92" t="str">
        <f>IF(AND(CY48&lt;&gt;"",CY46&lt;&gt;""),IF((CY48*CY46)&lt;CY45,CY48*CY46,CY45),"")</f>
        <v/>
      </c>
      <c r="CZ49" s="92" t="str">
        <f>IF(AND(CZ48&lt;&gt;"",CZ46&lt;&gt;""),IF(((CZ48/2)*CZ46)&lt;CZ45,(CZ48/2)*CZ46,CZ45),"")</f>
        <v/>
      </c>
      <c r="DA49" s="92" t="str">
        <f>IF(DB49&lt;&gt;"",DB49-CZ49,"")</f>
        <v/>
      </c>
      <c r="DB49" s="92" t="str">
        <f>IF(AND(DB48&lt;&gt;"",DB46&lt;&gt;""),IF((DB48*DB46)&lt;DB45,DB48*DB46,DB45),"")</f>
        <v/>
      </c>
      <c r="DC49" s="92" t="str">
        <f>IF(AND(DC48&lt;&gt;"",DC46&lt;&gt;""),IF(((DC48/2)*DC46)&lt;DC45,(DC48/2)*DC46,DC45),"")</f>
        <v/>
      </c>
      <c r="DD49" s="92" t="str">
        <f>IF(DE49&lt;&gt;"",DE49-DC49,"")</f>
        <v/>
      </c>
      <c r="DE49" s="144" t="str">
        <f>IF(AND(DE48&lt;&gt;"",DE46&lt;&gt;""),IF((DE48*DE46)&lt;DE45,DE48*DE46,DE45),"")</f>
        <v/>
      </c>
      <c r="DF49" s="92" t="str">
        <f>IF(AND(DF48&lt;&gt;"",DF46&lt;&gt;""),IF(((DF48/2)*DF46)&lt;DF45,(DF48/2)*DF46,DF45),"")</f>
        <v/>
      </c>
      <c r="DG49" s="92" t="str">
        <f>IF(DH49&lt;&gt;"",DH49-DF49,"")</f>
        <v/>
      </c>
      <c r="DH49" s="144" t="str">
        <f>IF(AND(DH48&lt;&gt;"",DH46&lt;&gt;""),IF((DH48*DH46)&lt;DH45,DH48*DH46,DH45),"")</f>
        <v/>
      </c>
      <c r="DI49" s="92" t="str">
        <f>IF(AND(DI48&lt;&gt;"",DI46&lt;&gt;""),IF(((DI48/2)*DI46)&lt;DI45,(DI48/2)*DI46,DI45),"")</f>
        <v/>
      </c>
      <c r="DJ49" s="92" t="str">
        <f>IF(DK49&lt;&gt;"",DK49-DI49,"")</f>
        <v/>
      </c>
      <c r="DK49" s="144" t="str">
        <f>IF(AND(DK48&lt;&gt;"",DK46&lt;&gt;""),IF((DK48*DK46)&lt;DK45,DK48*DK46,DK45),"")</f>
        <v/>
      </c>
      <c r="DL49" s="92" t="str">
        <f>IF(AND(DL48&lt;&gt;"",DL46&lt;&gt;""),IF(((DL48/2)*DL46)&lt;DL45,(DL48/2)*DL46,DL45),"")</f>
        <v/>
      </c>
      <c r="DM49" s="92" t="str">
        <f>IF(DN49&lt;&gt;"",DN49-DL49,"")</f>
        <v/>
      </c>
      <c r="DN49" s="144" t="str">
        <f>IF(AND(DN48&lt;&gt;"",DN46&lt;&gt;""),IF((DN48*DN46)&lt;DN45,DN48*DN46,DN45),"")</f>
        <v/>
      </c>
      <c r="DO49" s="92" t="str">
        <f>IF(AND(DO48&lt;&gt;"",DO46&lt;&gt;""),IF(((DO48/2)*DO46)&lt;DO45,(DO48/2)*DO46,DO45),"")</f>
        <v/>
      </c>
      <c r="DP49" s="92" t="str">
        <f>IF(DQ49&lt;&gt;"",DQ49-DO49,"")</f>
        <v/>
      </c>
      <c r="DQ49" s="144" t="str">
        <f>IF(AND(DQ48&lt;&gt;"",DQ46&lt;&gt;""),IF((DQ48*DQ46)&lt;DQ45,DQ48*DQ46,DQ45),"")</f>
        <v/>
      </c>
      <c r="DR49" s="92" t="str">
        <f>IF(AND(DR48&lt;&gt;"",DR46&lt;&gt;""),IF(((DR48/2)*DR46)&lt;DR45,(DR48/2)*DR46,DR45),"")</f>
        <v/>
      </c>
      <c r="DS49" s="92" t="str">
        <f>IF(DT49&lt;&gt;"",DT49-DR49,"")</f>
        <v/>
      </c>
      <c r="DT49" s="144" t="str">
        <f>IF(AND(DT48&lt;&gt;"",DT46&lt;&gt;""),IF((DT48*DT46)&lt;DT45,DT48*DT46,DT45),"")</f>
        <v/>
      </c>
      <c r="DU49" s="92" t="str">
        <f>IF(AND(DU48&lt;&gt;"",DU46&lt;&gt;""),IF(((DU48/2)*DU46)&lt;DU45,(DU48/2)*DU46,DU45),"")</f>
        <v/>
      </c>
      <c r="DV49" s="92" t="str">
        <f>IF(DW49&lt;&gt;"",DW49-DU49,"")</f>
        <v/>
      </c>
      <c r="DW49" s="144" t="str">
        <f>IF(AND(DW48&lt;&gt;"",DW46&lt;&gt;""),IF((DW48*DW46)&lt;DW45,DW48*DW46,DW45),"")</f>
        <v/>
      </c>
      <c r="DX49" s="92" t="str">
        <f>IF(AND(DX48&lt;&gt;"",DX46&lt;&gt;""),IF(((DX48/2)*DX46)&lt;DX45,(DX48/2)*DX46,DX45),"")</f>
        <v/>
      </c>
      <c r="DY49" s="92" t="str">
        <f>IF(DZ49&lt;&gt;"",DZ49-DX49,"")</f>
        <v/>
      </c>
      <c r="DZ49" s="144" t="str">
        <f>IF(AND(DZ48&lt;&gt;"",DZ46&lt;&gt;""),IF((DZ48*DZ46)&lt;DZ45,DZ48*DZ46,DZ45),"")</f>
        <v/>
      </c>
      <c r="EA49" s="92" t="str">
        <f>IF(AND(EA48&lt;&gt;"",EA46&lt;&gt;""),IF(((EA48/2)*EA46)&lt;EA45,(EA48/2)*EA46,EA45),"")</f>
        <v/>
      </c>
      <c r="EB49" s="92" t="str">
        <f>IF(EC49&lt;&gt;"",EC49-EA49,"")</f>
        <v/>
      </c>
      <c r="EC49" s="144" t="str">
        <f>IF(AND(EC48&lt;&gt;"",EC46&lt;&gt;""),IF((EC48*EC46)&lt;EC45,EC48*EC46,EC45),"")</f>
        <v/>
      </c>
      <c r="ED49" s="92" t="str">
        <f>IF(AND(ED48&lt;&gt;"",ED46&lt;&gt;""),IF(((ED48/2)*ED46)&lt;ED45,(ED48/2)*ED46,ED45),"")</f>
        <v/>
      </c>
      <c r="EE49" s="92" t="str">
        <f>IF(EF49&lt;&gt;"",EF49-ED49,"")</f>
        <v/>
      </c>
      <c r="EF49" s="144" t="str">
        <f>IF(AND(EF48&lt;&gt;"",EF46&lt;&gt;""),IF((EF48*EF46)&lt;EF45,EF48*EF46,EF45),"")</f>
        <v/>
      </c>
      <c r="EG49" s="92" t="str">
        <f>IF(AND(EG48&lt;&gt;"",EG46&lt;&gt;""),IF(((EG48/2)*EG46)&lt;EG45,(EG48/2)*EG46,EG45),"")</f>
        <v/>
      </c>
      <c r="EH49" s="92" t="str">
        <f>IF(EI49&lt;&gt;"",EI49-EG49,"")</f>
        <v/>
      </c>
      <c r="EI49" s="144" t="str">
        <f>IF(AND(EI48&lt;&gt;"",EI46&lt;&gt;""),IF((EI48*EI46)&lt;EI45,EI48*EI46,EI45),"")</f>
        <v/>
      </c>
      <c r="EJ49" s="92" t="str">
        <f>IF(AND(EJ48&lt;&gt;"",EJ46&lt;&gt;""),IF(((EJ48/2)*EJ46)&lt;EJ45,(EJ48/2)*EJ46,EJ45),"")</f>
        <v/>
      </c>
      <c r="EK49" s="92" t="str">
        <f>IF(EL49&lt;&gt;"",EL49-EJ49,"")</f>
        <v/>
      </c>
      <c r="EL49" s="144" t="str">
        <f>IF(AND(EL48&lt;&gt;"",EL46&lt;&gt;""),IF((EL48*EL46)&lt;EL45,EL48*EL46,EL45),"")</f>
        <v/>
      </c>
      <c r="EM49" s="92" t="str">
        <f>IF(AND(EM48&lt;&gt;"",EM46&lt;&gt;""),IF(((EM48/2)*EM46)&lt;EM45,(EM48/2)*EM46,EM45),"")</f>
        <v/>
      </c>
      <c r="EN49" s="92" t="str">
        <f>IF(EO49&lt;&gt;"",EO49-EM49,"")</f>
        <v/>
      </c>
      <c r="EO49" s="144" t="str">
        <f>IF(AND(EO48&lt;&gt;"",EO46&lt;&gt;""),IF((EO48*EO46)&lt;EO45,EO48*EO46,EO45),"")</f>
        <v/>
      </c>
      <c r="EP49" s="92" t="str">
        <f>IF(AND(EP48&lt;&gt;"",EP46&lt;&gt;""),IF(((EP48/2)*EP46)&lt;EP45,(EP48/2)*EP46,EP45),"")</f>
        <v/>
      </c>
      <c r="EQ49" s="92" t="str">
        <f>IF(ER49&lt;&gt;"",ER49-EP49,"")</f>
        <v/>
      </c>
      <c r="ER49" s="144" t="str">
        <f>IF(AND(ER48&lt;&gt;"",ER46&lt;&gt;""),IF((ER48*ER46)&lt;ER45,ER48*ER46,ER45),"")</f>
        <v/>
      </c>
      <c r="ES49" s="92" t="str">
        <f>IF(AND(ES48&lt;&gt;"",ES46&lt;&gt;""),IF(((ES48/2)*ES46)&lt;ES45,(ES48/2)*ES46,ES45),"")</f>
        <v/>
      </c>
      <c r="ET49" s="92" t="str">
        <f>IF(EU49&lt;&gt;"",EU49-ES49,"")</f>
        <v/>
      </c>
      <c r="EU49" s="144" t="str">
        <f>IF(AND(EU48&lt;&gt;"",EU46&lt;&gt;""),IF((EU48*EU46)&lt;EU45,EU48*EU46,EU45),"")</f>
        <v/>
      </c>
      <c r="EV49" s="92" t="str">
        <f>IF(AND(EV48&lt;&gt;"",EV46&lt;&gt;""),IF(((EV48/2)*EV46)&lt;EV45,(EV48/2)*EV46,EV45),"")</f>
        <v/>
      </c>
      <c r="EW49" s="92" t="str">
        <f>IF(EX49&lt;&gt;"",EX49-EV49,"")</f>
        <v/>
      </c>
      <c r="EX49" s="144" t="str">
        <f>IF(AND(EX48&lt;&gt;"",EX46&lt;&gt;""),IF((EX48*EX46)&lt;EX45,EX48*EX46,EX45),"")</f>
        <v/>
      </c>
      <c r="EY49" s="92" t="str">
        <f>IF(AND(EY48&lt;&gt;"",EY46&lt;&gt;""),IF(((EY48/2)*EY46)&lt;EY45,(EY48/2)*EY46,EY45),"")</f>
        <v/>
      </c>
      <c r="EZ49" s="92" t="str">
        <f>IF(FA49&lt;&gt;"",FA49-EY49,"")</f>
        <v/>
      </c>
      <c r="FA49" s="144" t="str">
        <f>IF(AND(FA48&lt;&gt;"",FA46&lt;&gt;""),IF((FA48*FA46)&lt;FA45,FA48*FA46,FA45),"")</f>
        <v/>
      </c>
    </row>
    <row r="50" spans="1:157" ht="13.35" customHeight="1">
      <c r="A50" s="3"/>
      <c r="B50" s="5" t="s">
        <v>555</v>
      </c>
      <c r="C50" s="5"/>
      <c r="D50" s="5"/>
      <c r="E50" s="92" t="s">
        <v>187</v>
      </c>
      <c r="F50" s="92" t="s">
        <v>187</v>
      </c>
      <c r="G50" s="92" t="s">
        <v>187</v>
      </c>
      <c r="H50" s="92" t="s">
        <v>187</v>
      </c>
      <c r="I50" s="92" t="s">
        <v>187</v>
      </c>
      <c r="J50" s="92" t="s">
        <v>187</v>
      </c>
      <c r="K50" s="92" t="s">
        <v>187</v>
      </c>
      <c r="L50" s="92" t="s">
        <v>187</v>
      </c>
      <c r="M50" s="92" t="s">
        <v>187</v>
      </c>
      <c r="N50" s="92" t="s">
        <v>187</v>
      </c>
      <c r="O50" s="92" t="s">
        <v>187</v>
      </c>
      <c r="P50" s="92" t="s">
        <v>187</v>
      </c>
      <c r="Q50" s="92" t="s">
        <v>187</v>
      </c>
      <c r="R50" s="92" t="s">
        <v>187</v>
      </c>
      <c r="S50" s="92" t="s">
        <v>187</v>
      </c>
      <c r="T50" s="92" t="s">
        <v>187</v>
      </c>
      <c r="U50" s="92" t="s">
        <v>187</v>
      </c>
      <c r="V50" s="92" t="s">
        <v>187</v>
      </c>
      <c r="W50" s="92" t="s">
        <v>187</v>
      </c>
      <c r="X50" s="92" t="s">
        <v>187</v>
      </c>
      <c r="Y50" s="92" t="s">
        <v>187</v>
      </c>
      <c r="Z50" s="92" t="s">
        <v>187</v>
      </c>
      <c r="AA50" s="92" t="s">
        <v>187</v>
      </c>
      <c r="AB50" s="92" t="s">
        <v>187</v>
      </c>
      <c r="AC50" s="92" t="s">
        <v>187</v>
      </c>
      <c r="AD50" s="92" t="s">
        <v>187</v>
      </c>
      <c r="AE50" s="92" t="s">
        <v>187</v>
      </c>
      <c r="AF50" s="92" t="s">
        <v>187</v>
      </c>
      <c r="AG50" s="92" t="s">
        <v>187</v>
      </c>
      <c r="AH50" s="92" t="s">
        <v>187</v>
      </c>
      <c r="AI50" s="92" t="s">
        <v>187</v>
      </c>
      <c r="AJ50" s="92" t="s">
        <v>187</v>
      </c>
      <c r="AK50" s="92" t="s">
        <v>187</v>
      </c>
      <c r="AL50" s="92" t="s">
        <v>187</v>
      </c>
      <c r="AM50" s="92" t="s">
        <v>187</v>
      </c>
      <c r="AN50" s="92" t="s">
        <v>187</v>
      </c>
      <c r="AO50" s="92" t="s">
        <v>187</v>
      </c>
      <c r="AP50" s="92" t="s">
        <v>187</v>
      </c>
      <c r="AQ50" s="92">
        <v>0.311</v>
      </c>
      <c r="AR50" s="92" t="s">
        <v>187</v>
      </c>
      <c r="AS50" s="92" t="s">
        <v>187</v>
      </c>
      <c r="AT50" s="92">
        <v>0.34499999999999997</v>
      </c>
      <c r="AU50" s="92">
        <v>0.19500000000000001</v>
      </c>
      <c r="AV50" s="92">
        <v>0.26800000000000002</v>
      </c>
      <c r="AW50" s="92">
        <v>0.46300000000000002</v>
      </c>
      <c r="AX50" s="92">
        <v>0.41099999999999998</v>
      </c>
      <c r="AY50" s="92">
        <f>IF(AND(AZ50&lt;&gt;"",AX50&lt;&gt;""),AZ50-AX50,"")</f>
        <v>0.58899999999999997</v>
      </c>
      <c r="AZ50" s="96">
        <v>1</v>
      </c>
      <c r="BA50" s="96">
        <v>0.6</v>
      </c>
      <c r="BB50" s="92">
        <f>IF(AND(BC50&lt;&gt;"",BA50&lt;&gt;""),BC50-BA50,"")</f>
        <v>0.50000000000000011</v>
      </c>
      <c r="BC50" s="96">
        <v>1.1000000000000001</v>
      </c>
      <c r="BD50" s="96">
        <v>0.7</v>
      </c>
      <c r="BE50" s="92">
        <f>IF(AND(BF50&lt;&gt;"",BD50&lt;&gt;""),BF50-BD50,"")</f>
        <v>0.5</v>
      </c>
      <c r="BF50" s="96">
        <v>1.2</v>
      </c>
      <c r="BG50" s="96"/>
      <c r="BH50" s="92" t="str">
        <f>IF(AND(BI50&lt;&gt;"",BG50&lt;&gt;""),BI50-BG50,"")</f>
        <v/>
      </c>
      <c r="BI50" s="8"/>
      <c r="BJ50" s="8"/>
      <c r="BK50" s="92" t="str">
        <f>IF(AND(BL50&lt;&gt;"",BJ50&lt;&gt;""),BL50-BJ50,"")</f>
        <v/>
      </c>
      <c r="BL50" s="8"/>
      <c r="BM50" s="8"/>
      <c r="BN50" s="92" t="str">
        <f>IF(AND(BO50&lt;&gt;"",BM50&lt;&gt;""),BO50-BM50,"")</f>
        <v/>
      </c>
      <c r="BO50" s="8"/>
      <c r="BP50" s="8"/>
      <c r="BQ50" s="92" t="str">
        <f>IF(AND(BR50&lt;&gt;"",BP50&lt;&gt;""),BR50-BP50,"")</f>
        <v/>
      </c>
      <c r="BR50" s="8"/>
      <c r="BS50" s="8"/>
      <c r="BT50" s="92" t="str">
        <f>IF(AND(BU50&lt;&gt;"",BS50&lt;&gt;""),BU50-BS50,"")</f>
        <v/>
      </c>
      <c r="BU50" s="8"/>
      <c r="BV50" s="8"/>
      <c r="BW50" s="92" t="str">
        <f>IF(AND(BX50&lt;&gt;"",BV50&lt;&gt;""),BX50-BV50,"")</f>
        <v/>
      </c>
      <c r="BX50" s="8"/>
      <c r="BY50" s="8"/>
      <c r="BZ50" s="92" t="str">
        <f>IF(AND(CA50&lt;&gt;"",BY50&lt;&gt;""),CA50-BY50,"")</f>
        <v/>
      </c>
      <c r="CA50" s="8"/>
      <c r="CB50" s="8"/>
      <c r="CC50" s="92" t="str">
        <f>IF(AND(CD50&lt;&gt;"",CB50&lt;&gt;""),CD50-CB50,"")</f>
        <v/>
      </c>
      <c r="CD50" s="8"/>
      <c r="CE50" s="8"/>
      <c r="CF50" s="92" t="str">
        <f>IF(AND(CG50&lt;&gt;"",CE50&lt;&gt;""),CG50-CE50,"")</f>
        <v/>
      </c>
      <c r="CG50" s="8"/>
      <c r="CH50" s="8"/>
      <c r="CI50" s="92" t="str">
        <f>IF(AND(CJ50&lt;&gt;"",CH50&lt;&gt;""),CJ50-CH50,"")</f>
        <v/>
      </c>
      <c r="CJ50" s="8"/>
      <c r="CK50" s="8"/>
      <c r="CL50" s="92" t="str">
        <f>IF(AND(CM50&lt;&gt;"",CK50&lt;&gt;""),CM50-CK50,"")</f>
        <v/>
      </c>
      <c r="CM50" s="8"/>
      <c r="CN50" s="8"/>
      <c r="CO50" s="92" t="str">
        <f>IF(AND(CP50&lt;&gt;"",CN50&lt;&gt;""),CP50-CN50,"")</f>
        <v/>
      </c>
      <c r="CP50" s="8"/>
      <c r="CQ50" s="8"/>
      <c r="CR50" s="92" t="str">
        <f>IF(AND(CS50&lt;&gt;"",CQ50&lt;&gt;""),CS50-CQ50,"")</f>
        <v/>
      </c>
      <c r="CS50" s="8"/>
      <c r="CT50" s="8"/>
      <c r="CU50" s="92" t="str">
        <f>IF(AND(CV50&lt;&gt;"",CT50&lt;&gt;""),CV50-CT50,"")</f>
        <v/>
      </c>
      <c r="CV50" s="8"/>
      <c r="CW50" s="8"/>
      <c r="CX50" s="92" t="str">
        <f>IF(AND(CY50&lt;&gt;"",CW50&lt;&gt;""),CY50-CW50,"")</f>
        <v/>
      </c>
      <c r="CY50" s="8"/>
      <c r="CZ50" s="8"/>
      <c r="DA50" s="92" t="str">
        <f>IF(AND(DB50&lt;&gt;"",CZ50&lt;&gt;""),DB50-CZ50,"")</f>
        <v/>
      </c>
      <c r="DB50" s="8"/>
      <c r="DC50" s="8"/>
      <c r="DD50" s="92" t="str">
        <f>IF(AND(DE50&lt;&gt;"",DC50&lt;&gt;""),DE50-DC50,"")</f>
        <v/>
      </c>
      <c r="DE50" s="145"/>
      <c r="DF50" s="8"/>
      <c r="DG50" s="92" t="str">
        <f>IF(AND(DH50&lt;&gt;"",DF50&lt;&gt;""),DH50-DF50,"")</f>
        <v/>
      </c>
      <c r="DH50" s="145"/>
      <c r="DI50" s="8"/>
      <c r="DJ50" s="92" t="str">
        <f>IF(AND(DK50&lt;&gt;"",DI50&lt;&gt;""),DK50-DI50,"")</f>
        <v/>
      </c>
      <c r="DK50" s="145"/>
      <c r="DL50" s="8"/>
      <c r="DM50" s="92" t="str">
        <f>IF(AND(DN50&lt;&gt;"",DL50&lt;&gt;""),DN50-DL50,"")</f>
        <v/>
      </c>
      <c r="DN50" s="145"/>
      <c r="DO50" s="8"/>
      <c r="DP50" s="92" t="str">
        <f>IF(AND(DQ50&lt;&gt;"",DO50&lt;&gt;""),DQ50-DO50,"")</f>
        <v/>
      </c>
      <c r="DQ50" s="145"/>
      <c r="DR50" s="8"/>
      <c r="DS50" s="92" t="str">
        <f>IF(AND(DT50&lt;&gt;"",DR50&lt;&gt;""),DT50-DR50,"")</f>
        <v/>
      </c>
      <c r="DT50" s="145"/>
      <c r="DU50" s="8"/>
      <c r="DV50" s="92" t="str">
        <f>IF(AND(DW50&lt;&gt;"",DU50&lt;&gt;""),DW50-DU50,"")</f>
        <v/>
      </c>
      <c r="DW50" s="145"/>
      <c r="DX50" s="8"/>
      <c r="DY50" s="92" t="str">
        <f>IF(AND(DZ50&lt;&gt;"",DX50&lt;&gt;""),DZ50-DX50,"")</f>
        <v/>
      </c>
      <c r="DZ50" s="145"/>
      <c r="EA50" s="8"/>
      <c r="EB50" s="92" t="str">
        <f>IF(AND(EC50&lt;&gt;"",EA50&lt;&gt;""),EC50-EA50,"")</f>
        <v/>
      </c>
      <c r="EC50" s="145"/>
      <c r="ED50" s="8"/>
      <c r="EE50" s="92" t="str">
        <f>IF(AND(EF50&lt;&gt;"",ED50&lt;&gt;""),EF50-ED50,"")</f>
        <v/>
      </c>
      <c r="EF50" s="145"/>
      <c r="EG50" s="8"/>
      <c r="EH50" s="92" t="str">
        <f>IF(AND(EI50&lt;&gt;"",EG50&lt;&gt;""),EI50-EG50,"")</f>
        <v/>
      </c>
      <c r="EI50" s="145"/>
      <c r="EJ50" s="8"/>
      <c r="EK50" s="92" t="str">
        <f>IF(AND(EL50&lt;&gt;"",EJ50&lt;&gt;""),EL50-EJ50,"")</f>
        <v/>
      </c>
      <c r="EL50" s="145"/>
      <c r="EM50" s="8"/>
      <c r="EN50" s="92" t="str">
        <f>IF(AND(EO50&lt;&gt;"",EM50&lt;&gt;""),EO50-EM50,"")</f>
        <v/>
      </c>
      <c r="EO50" s="145"/>
      <c r="EP50" s="8"/>
      <c r="EQ50" s="92" t="str">
        <f>IF(AND(ER50&lt;&gt;"",EP50&lt;&gt;""),ER50-EP50,"")</f>
        <v/>
      </c>
      <c r="ER50" s="145"/>
      <c r="ES50" s="8"/>
      <c r="ET50" s="92" t="str">
        <f>IF(AND(EU50&lt;&gt;"",ES50&lt;&gt;""),EU50-ES50,"")</f>
        <v/>
      </c>
      <c r="EU50" s="145"/>
      <c r="EV50" s="8"/>
      <c r="EW50" s="92" t="str">
        <f>IF(AND(EX50&lt;&gt;"",EV50&lt;&gt;""),EX50-EV50,"")</f>
        <v/>
      </c>
      <c r="EX50" s="145"/>
      <c r="EY50" s="8"/>
      <c r="EZ50" s="92" t="str">
        <f>IF(AND(FA50&lt;&gt;"",EY50&lt;&gt;""),FA50-EY50,"")</f>
        <v/>
      </c>
      <c r="FA50" s="145"/>
    </row>
    <row r="51" spans="1:157" ht="13.35" customHeight="1">
      <c r="A51" s="3"/>
      <c r="B51" s="5" t="s">
        <v>556</v>
      </c>
      <c r="C51" s="5"/>
      <c r="D51" s="5"/>
      <c r="E51" s="93"/>
      <c r="F51" s="93"/>
      <c r="G51" s="93"/>
      <c r="H51" s="93"/>
      <c r="I51" s="93"/>
      <c r="J51" s="93"/>
      <c r="K51" s="93"/>
      <c r="L51" s="93"/>
      <c r="M51" s="93"/>
      <c r="N51" s="93"/>
      <c r="O51" s="93"/>
      <c r="P51" s="93"/>
      <c r="Q51" s="93"/>
      <c r="R51" s="93"/>
      <c r="S51" s="93"/>
      <c r="T51" s="93"/>
      <c r="U51" s="93"/>
      <c r="V51" s="93"/>
      <c r="W51" s="93"/>
      <c r="X51" s="93"/>
      <c r="Y51" s="93"/>
      <c r="Z51" s="93"/>
      <c r="AA51" s="93"/>
      <c r="AB51" s="93"/>
      <c r="AC51" s="93"/>
      <c r="AD51" s="93"/>
      <c r="AE51" s="93"/>
      <c r="AF51" s="93"/>
      <c r="AG51" s="93"/>
      <c r="AH51" s="93"/>
      <c r="AI51" s="93"/>
      <c r="AJ51" s="93"/>
      <c r="AK51" s="93"/>
      <c r="AL51" s="93"/>
      <c r="AM51" s="93"/>
      <c r="AN51" s="93"/>
      <c r="AO51" s="93"/>
      <c r="AP51" s="93"/>
      <c r="AQ51" s="93"/>
      <c r="AR51" s="93"/>
      <c r="AS51" s="93"/>
      <c r="AT51" s="93"/>
      <c r="AU51" s="93"/>
      <c r="AV51" s="93"/>
      <c r="AW51" s="93"/>
      <c r="AX51" s="93"/>
      <c r="AY51" s="93"/>
      <c r="AZ51" s="93"/>
      <c r="BA51" s="100"/>
      <c r="BB51" s="92"/>
      <c r="BC51" s="101"/>
      <c r="BD51" s="101"/>
      <c r="BE51" s="92"/>
      <c r="BF51" s="101"/>
      <c r="BG51" s="101"/>
      <c r="BH51" s="92"/>
      <c r="BI51" s="101"/>
      <c r="BJ51" s="101"/>
      <c r="BK51" s="92"/>
      <c r="BL51" s="101"/>
      <c r="BM51" s="101"/>
      <c r="BN51" s="92"/>
      <c r="BO51" s="101"/>
      <c r="BP51" s="101"/>
      <c r="BQ51" s="92"/>
      <c r="BR51" s="101"/>
      <c r="BS51" s="101"/>
      <c r="BT51" s="92"/>
      <c r="BU51" s="101"/>
      <c r="BV51" s="101"/>
      <c r="BW51" s="92"/>
      <c r="BX51" s="101"/>
      <c r="BY51" s="101"/>
      <c r="BZ51" s="92"/>
      <c r="CA51" s="101"/>
      <c r="CB51" s="101"/>
      <c r="CC51" s="92"/>
      <c r="CD51" s="101"/>
      <c r="CE51" s="101"/>
      <c r="CF51" s="92"/>
      <c r="CG51" s="101"/>
      <c r="CH51" s="101"/>
      <c r="CI51" s="92"/>
      <c r="CJ51" s="101"/>
      <c r="CK51" s="101"/>
      <c r="CL51" s="92"/>
      <c r="CM51" s="101"/>
      <c r="CN51" s="101"/>
      <c r="CO51" s="92"/>
      <c r="CP51" s="101"/>
      <c r="CQ51" s="101"/>
      <c r="CR51" s="92"/>
      <c r="CS51" s="101"/>
      <c r="CT51" s="101"/>
      <c r="CU51" s="92"/>
      <c r="CV51" s="101"/>
      <c r="CW51" s="101"/>
      <c r="CX51" s="92"/>
      <c r="CY51" s="101"/>
      <c r="CZ51" s="101"/>
      <c r="DA51" s="92"/>
      <c r="DB51" s="101"/>
      <c r="DC51" s="101"/>
      <c r="DD51" s="92"/>
      <c r="DE51" s="148"/>
      <c r="DF51" s="101"/>
      <c r="DG51" s="92"/>
      <c r="DH51" s="148"/>
      <c r="DI51" s="101"/>
      <c r="DJ51" s="92"/>
      <c r="DK51" s="148"/>
      <c r="DL51" s="101"/>
      <c r="DM51" s="92"/>
      <c r="DN51" s="148"/>
      <c r="DO51" s="101"/>
      <c r="DP51" s="92"/>
      <c r="DQ51" s="148"/>
      <c r="DR51" s="101"/>
      <c r="DS51" s="92"/>
      <c r="DT51" s="148"/>
      <c r="DU51" s="101"/>
      <c r="DV51" s="92"/>
      <c r="DW51" s="148"/>
      <c r="DX51" s="101"/>
      <c r="DY51" s="92"/>
      <c r="DZ51" s="148"/>
      <c r="EA51" s="101"/>
      <c r="EB51" s="92"/>
      <c r="EC51" s="148"/>
      <c r="ED51" s="101"/>
      <c r="EE51" s="92"/>
      <c r="EF51" s="148"/>
      <c r="EG51" s="101"/>
      <c r="EH51" s="92"/>
      <c r="EI51" s="148"/>
      <c r="EJ51" s="101"/>
      <c r="EK51" s="92"/>
      <c r="EL51" s="148"/>
      <c r="EM51" s="101"/>
      <c r="EN51" s="92"/>
      <c r="EO51" s="148"/>
      <c r="EP51" s="101"/>
      <c r="EQ51" s="92"/>
      <c r="ER51" s="148"/>
      <c r="ES51" s="101"/>
      <c r="ET51" s="92"/>
      <c r="EU51" s="148"/>
      <c r="EV51" s="101"/>
      <c r="EW51" s="92"/>
      <c r="EX51" s="148"/>
      <c r="EY51" s="101"/>
      <c r="EZ51" s="92"/>
      <c r="FA51" s="148"/>
    </row>
    <row r="52" spans="1:157" ht="13.35" customHeight="1">
      <c r="A52" s="3"/>
      <c r="B52" s="4" t="s">
        <v>557</v>
      </c>
      <c r="C52" s="4"/>
      <c r="D52" s="4"/>
      <c r="E52" s="93"/>
      <c r="F52" s="93"/>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c r="AF52" s="93"/>
      <c r="AG52" s="93"/>
      <c r="AH52" s="93"/>
      <c r="AI52" s="93"/>
      <c r="AJ52" s="93"/>
      <c r="AK52" s="93"/>
      <c r="AL52" s="93"/>
      <c r="AM52" s="93"/>
      <c r="AN52" s="93"/>
      <c r="AO52" s="93"/>
      <c r="AP52" s="93"/>
      <c r="AQ52" s="93"/>
      <c r="AR52" s="93"/>
      <c r="AS52" s="93"/>
      <c r="AT52" s="93"/>
      <c r="AU52" s="93"/>
      <c r="AV52" s="93"/>
      <c r="AW52" s="93"/>
      <c r="AX52" s="93"/>
      <c r="AY52" s="93"/>
      <c r="AZ52" s="93"/>
      <c r="BA52" s="100"/>
      <c r="BB52" s="92"/>
      <c r="BC52" s="101"/>
      <c r="BD52" s="101"/>
      <c r="BE52" s="92"/>
      <c r="BF52" s="101"/>
      <c r="BG52" s="101"/>
      <c r="BH52" s="92"/>
      <c r="BI52" s="101"/>
      <c r="BJ52" s="101"/>
      <c r="BK52" s="92"/>
      <c r="BL52" s="101"/>
      <c r="BM52" s="101"/>
      <c r="BN52" s="92"/>
      <c r="BO52" s="101"/>
      <c r="BP52" s="101"/>
      <c r="BQ52" s="92"/>
      <c r="BR52" s="101"/>
      <c r="BS52" s="101"/>
      <c r="BT52" s="92"/>
      <c r="BU52" s="101"/>
      <c r="BV52" s="101"/>
      <c r="BW52" s="92"/>
      <c r="BX52" s="101"/>
      <c r="BY52" s="101"/>
      <c r="BZ52" s="92"/>
      <c r="CA52" s="101"/>
      <c r="CB52" s="101"/>
      <c r="CC52" s="92"/>
      <c r="CD52" s="101"/>
      <c r="CE52" s="101"/>
      <c r="CF52" s="92"/>
      <c r="CG52" s="101"/>
      <c r="CH52" s="101"/>
      <c r="CI52" s="92"/>
      <c r="CJ52" s="101"/>
      <c r="CK52" s="101"/>
      <c r="CL52" s="92"/>
      <c r="CM52" s="101"/>
      <c r="CN52" s="101"/>
      <c r="CO52" s="92"/>
      <c r="CP52" s="101"/>
      <c r="CQ52" s="101"/>
      <c r="CR52" s="92"/>
      <c r="CS52" s="101"/>
      <c r="CT52" s="101"/>
      <c r="CU52" s="92"/>
      <c r="CV52" s="101"/>
      <c r="CW52" s="101"/>
      <c r="CX52" s="92"/>
      <c r="CY52" s="101"/>
      <c r="CZ52" s="101"/>
      <c r="DA52" s="92"/>
      <c r="DB52" s="101"/>
      <c r="DC52" s="101"/>
      <c r="DD52" s="92"/>
      <c r="DE52" s="148"/>
      <c r="DF52" s="101"/>
      <c r="DG52" s="92"/>
      <c r="DH52" s="148"/>
      <c r="DI52" s="101"/>
      <c r="DJ52" s="92"/>
      <c r="DK52" s="148"/>
      <c r="DL52" s="101"/>
      <c r="DM52" s="92"/>
      <c r="DN52" s="148"/>
      <c r="DO52" s="101"/>
      <c r="DP52" s="92"/>
      <c r="DQ52" s="148"/>
      <c r="DR52" s="101"/>
      <c r="DS52" s="92"/>
      <c r="DT52" s="148"/>
      <c r="DU52" s="101"/>
      <c r="DV52" s="92"/>
      <c r="DW52" s="148"/>
      <c r="DX52" s="101"/>
      <c r="DY52" s="92"/>
      <c r="DZ52" s="148"/>
      <c r="EA52" s="101"/>
      <c r="EB52" s="92"/>
      <c r="EC52" s="148"/>
      <c r="ED52" s="101"/>
      <c r="EE52" s="92"/>
      <c r="EF52" s="148"/>
      <c r="EG52" s="101"/>
      <c r="EH52" s="92"/>
      <c r="EI52" s="148"/>
      <c r="EJ52" s="101"/>
      <c r="EK52" s="92"/>
      <c r="EL52" s="148"/>
      <c r="EM52" s="101"/>
      <c r="EN52" s="92"/>
      <c r="EO52" s="148"/>
      <c r="EP52" s="101"/>
      <c r="EQ52" s="92"/>
      <c r="ER52" s="148"/>
      <c r="ES52" s="101"/>
      <c r="ET52" s="92"/>
      <c r="EU52" s="148"/>
      <c r="EV52" s="101"/>
      <c r="EW52" s="92"/>
      <c r="EX52" s="148"/>
      <c r="EY52" s="101"/>
      <c r="EZ52" s="92"/>
      <c r="FA52" s="148"/>
    </row>
    <row r="53" spans="1:157" ht="13.35" customHeight="1">
      <c r="A53" s="3"/>
      <c r="B53" s="4" t="s">
        <v>558</v>
      </c>
      <c r="C53" s="4"/>
      <c r="D53" s="4"/>
      <c r="E53" s="97"/>
      <c r="F53" s="97"/>
      <c r="G53" s="97"/>
      <c r="H53" s="97"/>
      <c r="I53" s="97"/>
      <c r="J53" s="97"/>
      <c r="K53" s="97"/>
      <c r="L53" s="97"/>
      <c r="M53" s="97"/>
      <c r="N53" s="97"/>
      <c r="O53" s="97"/>
      <c r="P53" s="97"/>
      <c r="Q53" s="97"/>
      <c r="R53" s="97"/>
      <c r="S53" s="97"/>
      <c r="T53" s="97"/>
      <c r="U53" s="97"/>
      <c r="V53" s="97"/>
      <c r="W53" s="97"/>
      <c r="X53" s="97"/>
      <c r="Y53" s="97"/>
      <c r="Z53" s="97"/>
      <c r="AA53" s="97"/>
      <c r="AB53" s="97"/>
      <c r="AC53" s="97"/>
      <c r="AD53" s="97"/>
      <c r="AE53" s="97"/>
      <c r="AF53" s="97"/>
      <c r="AG53" s="97"/>
      <c r="AH53" s="97"/>
      <c r="AI53" s="97"/>
      <c r="AJ53" s="97"/>
      <c r="AK53" s="97"/>
      <c r="AL53" s="97"/>
      <c r="AM53" s="97"/>
      <c r="AN53" s="97"/>
      <c r="AO53" s="97"/>
      <c r="AP53" s="97"/>
      <c r="AQ53" s="97"/>
      <c r="AR53" s="97"/>
      <c r="AS53" s="97"/>
      <c r="AT53" s="97"/>
      <c r="AU53" s="97"/>
      <c r="AV53" s="97"/>
      <c r="AW53" s="97"/>
      <c r="AX53" s="97"/>
      <c r="AY53" s="97"/>
      <c r="AZ53" s="97"/>
      <c r="BA53" s="99" t="str">
        <f>IF(BA48&lt;&gt;"",100-BA48,"")</f>
        <v/>
      </c>
      <c r="BB53" s="99"/>
      <c r="BC53" s="99" t="str">
        <f>IF(BC48&lt;&gt;"",100-BC48,"")</f>
        <v/>
      </c>
      <c r="BD53" s="99" t="str">
        <f>IF(BD48&lt;&gt;"",100-BD48,"")</f>
        <v/>
      </c>
      <c r="BE53" s="99"/>
      <c r="BF53" s="99" t="str">
        <f>IF(BF48&lt;&gt;"",100-BF48,"")</f>
        <v/>
      </c>
      <c r="BG53" s="99" t="str">
        <f>IF(BG48&lt;&gt;"",100-BG48,"")</f>
        <v/>
      </c>
      <c r="BH53" s="99"/>
      <c r="BI53" s="99" t="str">
        <f>IF(BI48&lt;&gt;"",100-BI48,"")</f>
        <v/>
      </c>
      <c r="BJ53" s="99" t="str">
        <f>IF(BJ48&lt;&gt;"",100-BJ48,"")</f>
        <v/>
      </c>
      <c r="BK53" s="99"/>
      <c r="BL53" s="99" t="str">
        <f>IF(BL48&lt;&gt;"",100-BL48,"")</f>
        <v/>
      </c>
      <c r="BM53" s="99" t="str">
        <f>IF(BM48&lt;&gt;"",100-BM48,"")</f>
        <v/>
      </c>
      <c r="BN53" s="99"/>
      <c r="BO53" s="99" t="str">
        <f>IF(BO48&lt;&gt;"",100-BO48,"")</f>
        <v/>
      </c>
      <c r="BP53" s="99" t="str">
        <f>IF(BP48&lt;&gt;"",100-BP48,"")</f>
        <v/>
      </c>
      <c r="BQ53" s="99"/>
      <c r="BR53" s="99" t="str">
        <f>IF(BR48&lt;&gt;"",100-BR48,"")</f>
        <v/>
      </c>
      <c r="BS53" s="99" t="str">
        <f>IF(BS48&lt;&gt;"",100-BS48,"")</f>
        <v/>
      </c>
      <c r="BT53" s="99"/>
      <c r="BU53" s="99" t="str">
        <f>IF(BU48&lt;&gt;"",100-BU48,"")</f>
        <v/>
      </c>
      <c r="BV53" s="99" t="str">
        <f>IF(BV48&lt;&gt;"",100-BV48,"")</f>
        <v/>
      </c>
      <c r="BW53" s="99"/>
      <c r="BX53" s="99" t="str">
        <f>IF(BX48&lt;&gt;"",100-BX48,"")</f>
        <v/>
      </c>
      <c r="BY53" s="99" t="str">
        <f>IF(BY48&lt;&gt;"",100-BY48,"")</f>
        <v/>
      </c>
      <c r="BZ53" s="99"/>
      <c r="CA53" s="99" t="str">
        <f>IF(CA48&lt;&gt;"",100-CA48,"")</f>
        <v/>
      </c>
      <c r="CB53" s="99" t="str">
        <f>IF(CB48&lt;&gt;"",100-CB48,"")</f>
        <v/>
      </c>
      <c r="CC53" s="99"/>
      <c r="CD53" s="99" t="str">
        <f>IF(CD48&lt;&gt;"",100-CD48,"")</f>
        <v/>
      </c>
      <c r="CE53" s="99" t="str">
        <f>IF(CE48&lt;&gt;"",100-CE48,"")</f>
        <v/>
      </c>
      <c r="CF53" s="99"/>
      <c r="CG53" s="99" t="str">
        <f>IF(CG48&lt;&gt;"",100-CG48,"")</f>
        <v/>
      </c>
      <c r="CH53" s="99" t="str">
        <f>IF(CH48&lt;&gt;"",100-CH48,"")</f>
        <v/>
      </c>
      <c r="CI53" s="99"/>
      <c r="CJ53" s="99" t="str">
        <f>IF(CJ48&lt;&gt;"",100-CJ48,"")</f>
        <v/>
      </c>
      <c r="CK53" s="99" t="str">
        <f>IF(CK48&lt;&gt;"",100-CK48,"")</f>
        <v/>
      </c>
      <c r="CL53" s="99"/>
      <c r="CM53" s="99" t="str">
        <f>IF(CM48&lt;&gt;"",100-CM48,"")</f>
        <v/>
      </c>
      <c r="CN53" s="99" t="str">
        <f>IF(CN48&lt;&gt;"",100-CN48,"")</f>
        <v/>
      </c>
      <c r="CO53" s="99"/>
      <c r="CP53" s="99" t="str">
        <f>IF(CP48&lt;&gt;"",100-CP48,"")</f>
        <v/>
      </c>
      <c r="CQ53" s="99" t="str">
        <f>IF(CQ48&lt;&gt;"",100-CQ48,"")</f>
        <v/>
      </c>
      <c r="CR53" s="99"/>
      <c r="CS53" s="99" t="str">
        <f>IF(CS48&lt;&gt;"",100-CS48,"")</f>
        <v/>
      </c>
      <c r="CT53" s="99" t="str">
        <f>IF(CT48&lt;&gt;"",100-CT48,"")</f>
        <v/>
      </c>
      <c r="CU53" s="99"/>
      <c r="CV53" s="99" t="str">
        <f>IF(CV48&lt;&gt;"",100-CV48,"")</f>
        <v/>
      </c>
      <c r="CW53" s="99" t="str">
        <f>IF(CW48&lt;&gt;"",100-CW48,"")</f>
        <v/>
      </c>
      <c r="CX53" s="99"/>
      <c r="CY53" s="99" t="str">
        <f>IF(CY48&lt;&gt;"",100-CY48,"")</f>
        <v/>
      </c>
      <c r="CZ53" s="99" t="str">
        <f>IF(CZ48&lt;&gt;"",100-CZ48,"")</f>
        <v/>
      </c>
      <c r="DA53" s="99"/>
      <c r="DB53" s="99" t="str">
        <f>IF(DB48&lt;&gt;"",100-DB48,"")</f>
        <v/>
      </c>
      <c r="DC53" s="99" t="str">
        <f>IF(DC48&lt;&gt;"",100-DC48,"")</f>
        <v/>
      </c>
      <c r="DD53" s="99"/>
      <c r="DE53" s="149" t="str">
        <f>IF(DE48&lt;&gt;"",100-DE48,"")</f>
        <v/>
      </c>
      <c r="DF53" s="99" t="str">
        <f>IF(DF48&lt;&gt;"",100-DF48,"")</f>
        <v/>
      </c>
      <c r="DG53" s="99"/>
      <c r="DH53" s="149" t="str">
        <f>IF(DH48&lt;&gt;"",100-DH48,"")</f>
        <v/>
      </c>
      <c r="DI53" s="99" t="str">
        <f>IF(DI48&lt;&gt;"",100-DI48,"")</f>
        <v/>
      </c>
      <c r="DJ53" s="99"/>
      <c r="DK53" s="149" t="str">
        <f>IF(DK48&lt;&gt;"",100-DK48,"")</f>
        <v/>
      </c>
      <c r="DL53" s="99" t="str">
        <f>IF(DL48&lt;&gt;"",100-DL48,"")</f>
        <v/>
      </c>
      <c r="DM53" s="99"/>
      <c r="DN53" s="149" t="str">
        <f>IF(DN48&lt;&gt;"",100-DN48,"")</f>
        <v/>
      </c>
      <c r="DO53" s="99" t="str">
        <f>IF(DO48&lt;&gt;"",100-DO48,"")</f>
        <v/>
      </c>
      <c r="DP53" s="99"/>
      <c r="DQ53" s="149" t="str">
        <f>IF(DQ48&lt;&gt;"",100-DQ48,"")</f>
        <v/>
      </c>
      <c r="DR53" s="99" t="str">
        <f>IF(DR48&lt;&gt;"",100-DR48,"")</f>
        <v/>
      </c>
      <c r="DS53" s="99"/>
      <c r="DT53" s="149" t="str">
        <f>IF(DT48&lt;&gt;"",100-DT48,"")</f>
        <v/>
      </c>
      <c r="DU53" s="99" t="str">
        <f>IF(DU48&lt;&gt;"",100-DU48,"")</f>
        <v/>
      </c>
      <c r="DV53" s="99"/>
      <c r="DW53" s="149" t="str">
        <f>IF(DW48&lt;&gt;"",100-DW48,"")</f>
        <v/>
      </c>
      <c r="DX53" s="99" t="str">
        <f>IF(DX48&lt;&gt;"",100-DX48,"")</f>
        <v/>
      </c>
      <c r="DY53" s="99"/>
      <c r="DZ53" s="149" t="str">
        <f>IF(DZ48&lt;&gt;"",100-DZ48,"")</f>
        <v/>
      </c>
      <c r="EA53" s="99" t="str">
        <f>IF(EA48&lt;&gt;"",100-EA48,"")</f>
        <v/>
      </c>
      <c r="EB53" s="99"/>
      <c r="EC53" s="149" t="str">
        <f>IF(EC48&lt;&gt;"",100-EC48,"")</f>
        <v/>
      </c>
      <c r="ED53" s="99" t="str">
        <f>IF(ED48&lt;&gt;"",100-ED48,"")</f>
        <v/>
      </c>
      <c r="EE53" s="99"/>
      <c r="EF53" s="149" t="str">
        <f>IF(EF48&lt;&gt;"",100-EF48,"")</f>
        <v/>
      </c>
      <c r="EG53" s="99" t="str">
        <f>IF(EG48&lt;&gt;"",100-EG48,"")</f>
        <v/>
      </c>
      <c r="EH53" s="99"/>
      <c r="EI53" s="149" t="str">
        <f>IF(EI48&lt;&gt;"",100-EI48,"")</f>
        <v/>
      </c>
      <c r="EJ53" s="99" t="str">
        <f>IF(EJ48&lt;&gt;"",100-EJ48,"")</f>
        <v/>
      </c>
      <c r="EK53" s="99"/>
      <c r="EL53" s="149" t="str">
        <f>IF(EL48&lt;&gt;"",100-EL48,"")</f>
        <v/>
      </c>
      <c r="EM53" s="99" t="str">
        <f>IF(EM48&lt;&gt;"",100-EM48,"")</f>
        <v/>
      </c>
      <c r="EN53" s="99"/>
      <c r="EO53" s="149" t="str">
        <f>IF(EO48&lt;&gt;"",100-EO48,"")</f>
        <v/>
      </c>
      <c r="EP53" s="99" t="str">
        <f>IF(EP48&lt;&gt;"",100-EP48,"")</f>
        <v/>
      </c>
      <c r="EQ53" s="99"/>
      <c r="ER53" s="149" t="str">
        <f>IF(ER48&lt;&gt;"",100-ER48,"")</f>
        <v/>
      </c>
      <c r="ES53" s="99" t="str">
        <f>IF(ES48&lt;&gt;"",100-ES48,"")</f>
        <v/>
      </c>
      <c r="ET53" s="99"/>
      <c r="EU53" s="149" t="str">
        <f>IF(EU48&lt;&gt;"",100-EU48,"")</f>
        <v/>
      </c>
      <c r="EV53" s="99" t="str">
        <f>IF(EV48&lt;&gt;"",100-EV48,"")</f>
        <v/>
      </c>
      <c r="EW53" s="99"/>
      <c r="EX53" s="149" t="str">
        <f>IF(EX48&lt;&gt;"",100-EX48,"")</f>
        <v/>
      </c>
      <c r="EY53" s="99" t="str">
        <f>IF(EY48&lt;&gt;"",100-EY48,"")</f>
        <v/>
      </c>
      <c r="EZ53" s="99"/>
      <c r="FA53" s="149" t="str">
        <f>IF(FA48&lt;&gt;"",100-FA48,"")</f>
        <v/>
      </c>
    </row>
    <row r="54" spans="1:157" ht="13.35" customHeight="1">
      <c r="A54" s="3"/>
      <c r="B54" s="4" t="s">
        <v>261</v>
      </c>
      <c r="C54" s="4"/>
      <c r="D54" s="4"/>
      <c r="E54" s="4"/>
      <c r="F54" s="93"/>
      <c r="G54" s="93"/>
      <c r="H54" s="93"/>
      <c r="I54" s="93"/>
      <c r="J54" s="93"/>
      <c r="K54" s="93"/>
      <c r="L54" s="93"/>
      <c r="M54" s="93"/>
      <c r="N54" s="93"/>
      <c r="O54" s="93"/>
      <c r="P54" s="93"/>
      <c r="Q54" s="93"/>
      <c r="R54" s="93"/>
      <c r="S54" s="93"/>
      <c r="T54" s="93"/>
      <c r="U54" s="93"/>
      <c r="V54" s="93"/>
      <c r="W54" s="93"/>
      <c r="X54" s="93"/>
      <c r="Y54" s="93"/>
      <c r="Z54" s="93"/>
      <c r="AA54" s="93"/>
      <c r="AB54" s="93"/>
      <c r="AC54" s="93"/>
      <c r="AD54" s="93"/>
      <c r="AE54" s="93"/>
      <c r="AF54" s="93"/>
      <c r="AG54" s="93"/>
      <c r="AH54" s="93"/>
      <c r="AI54" s="93"/>
      <c r="AJ54" s="93"/>
      <c r="AK54" s="93"/>
      <c r="AL54" s="93"/>
      <c r="AM54" s="93"/>
      <c r="AN54" s="93"/>
      <c r="AO54" s="93"/>
      <c r="AP54" s="93"/>
      <c r="AQ54" s="93"/>
      <c r="AR54" s="93"/>
      <c r="AS54" s="93"/>
      <c r="AT54" s="93"/>
      <c r="AU54" s="93"/>
      <c r="AV54" s="93"/>
      <c r="AW54" s="93"/>
      <c r="AX54" s="93"/>
      <c r="AY54" s="93"/>
      <c r="AZ54" s="93"/>
      <c r="BA54" s="100"/>
      <c r="BB54" s="92"/>
      <c r="BC54" s="101"/>
      <c r="BD54" s="101"/>
      <c r="BE54" s="92"/>
      <c r="BF54" s="101"/>
      <c r="BG54" s="101"/>
      <c r="BH54" s="92"/>
      <c r="BI54" s="101"/>
      <c r="BJ54" s="101"/>
      <c r="BK54" s="92"/>
      <c r="BL54" s="101"/>
      <c r="BM54" s="101"/>
      <c r="BN54" s="92"/>
      <c r="BO54" s="101"/>
      <c r="BP54" s="101"/>
      <c r="BQ54" s="92"/>
      <c r="BR54" s="101"/>
      <c r="BS54" s="101"/>
      <c r="BT54" s="87">
        <v>0</v>
      </c>
      <c r="BU54" s="101"/>
      <c r="BV54" s="101"/>
      <c r="BW54" s="92"/>
      <c r="BX54" s="101"/>
      <c r="BY54" s="101"/>
      <c r="BZ54" s="92"/>
      <c r="CA54" s="101"/>
      <c r="CB54" s="101"/>
      <c r="CC54" s="92"/>
      <c r="CD54" s="101"/>
      <c r="CE54" s="101"/>
      <c r="CF54" s="92"/>
      <c r="CG54" s="101"/>
      <c r="CH54" s="101"/>
      <c r="CI54" s="92"/>
      <c r="CJ54" s="101"/>
      <c r="CK54" s="101"/>
      <c r="CL54" s="92"/>
      <c r="CM54" s="101"/>
      <c r="CN54" s="101"/>
      <c r="CO54" s="92"/>
      <c r="CP54" s="101"/>
      <c r="CQ54" s="101"/>
      <c r="CR54" s="92"/>
      <c r="CS54" s="101"/>
      <c r="CT54" s="101"/>
      <c r="CU54" s="92"/>
      <c r="CV54" s="101"/>
      <c r="CW54" s="101"/>
      <c r="CX54" s="92"/>
      <c r="CY54" s="101"/>
      <c r="CZ54" s="101"/>
      <c r="DA54" s="92"/>
      <c r="DB54" s="101"/>
      <c r="DC54" s="101"/>
      <c r="DD54" s="92"/>
      <c r="DE54" s="148"/>
      <c r="DF54" s="101"/>
      <c r="DG54" s="92"/>
      <c r="DH54" s="148"/>
      <c r="DI54" s="101"/>
      <c r="DJ54" s="92"/>
      <c r="DK54" s="148"/>
      <c r="DL54" s="101"/>
      <c r="DM54" s="92"/>
      <c r="DN54" s="148"/>
      <c r="DO54" s="101"/>
      <c r="DP54" s="92"/>
      <c r="DQ54" s="148"/>
      <c r="DR54" s="101"/>
      <c r="DS54" s="92"/>
      <c r="DT54" s="148"/>
      <c r="DU54" s="101"/>
      <c r="DV54" s="92"/>
      <c r="DW54" s="148"/>
      <c r="DX54" s="101"/>
      <c r="DY54" s="92"/>
      <c r="DZ54" s="148"/>
      <c r="EA54" s="101"/>
      <c r="EB54" s="92"/>
      <c r="EC54" s="148"/>
      <c r="ED54" s="101"/>
      <c r="EE54" s="92"/>
      <c r="EF54" s="148"/>
      <c r="EG54" s="101"/>
      <c r="EH54" s="92"/>
      <c r="EI54" s="148"/>
      <c r="EJ54" s="101"/>
      <c r="EK54" s="92"/>
      <c r="EL54" s="148"/>
      <c r="EM54" s="101"/>
      <c r="EN54" s="92"/>
      <c r="EO54" s="148"/>
      <c r="EP54" s="101"/>
      <c r="EQ54" s="92"/>
      <c r="ER54" s="148"/>
      <c r="ES54" s="101"/>
      <c r="ET54" s="92"/>
      <c r="EU54" s="148"/>
      <c r="EV54" s="101"/>
      <c r="EW54" s="92"/>
      <c r="EX54" s="148"/>
      <c r="EY54" s="101"/>
      <c r="EZ54" s="92"/>
      <c r="FA54" s="148"/>
    </row>
    <row r="55" spans="1:157" ht="13.35" customHeight="1">
      <c r="A55" s="3"/>
      <c r="B55" s="5" t="s">
        <v>262</v>
      </c>
      <c r="C55" s="5"/>
      <c r="D55" s="5"/>
      <c r="E55" s="92" t="str">
        <f>IF(Model!E66&lt;&gt;"",Model!E66,"")</f>
        <v/>
      </c>
      <c r="F55" s="92" t="str">
        <f>IF(AND(G55&lt;&gt;"",E55&lt;&gt;""),G55-E55,"")</f>
        <v/>
      </c>
      <c r="G55" s="92" t="str">
        <f>IF(Model!G66&lt;&gt;"",Model!G66,"")</f>
        <v/>
      </c>
      <c r="H55" s="92" t="str">
        <f>IF(Model!H66&lt;&gt;"",Model!H66,"")</f>
        <v/>
      </c>
      <c r="I55" s="92" t="str">
        <f>IF(AND(J55&lt;&gt;"",H55&lt;&gt;""),J55-H55,"")</f>
        <v/>
      </c>
      <c r="J55" s="92" t="str">
        <f>IF(Model!J66&lt;&gt;"",Model!J66,"")</f>
        <v/>
      </c>
      <c r="K55" s="92" t="str">
        <f>IF(Model!K66&lt;&gt;"",Model!K66,"")</f>
        <v/>
      </c>
      <c r="L55" s="92" t="str">
        <f>IF(AND(M55&lt;&gt;"",K55&lt;&gt;""),M55-K55,"")</f>
        <v/>
      </c>
      <c r="M55" s="92" t="str">
        <f>IF(Model!M66&lt;&gt;"",Model!M66,"")</f>
        <v/>
      </c>
      <c r="N55" s="92" t="str">
        <f>IF(Model!N66&lt;&gt;"",Model!N66,"")</f>
        <v/>
      </c>
      <c r="O55" s="92" t="str">
        <f>IF(AND(P55&lt;&gt;"",N55&lt;&gt;""),P55-N55,"")</f>
        <v/>
      </c>
      <c r="P55" s="92" t="str">
        <f>IF(Model!P66&lt;&gt;"",Model!P66,"")</f>
        <v/>
      </c>
      <c r="Q55" s="92" t="str">
        <f>IF(Model!Q66&lt;&gt;"",Model!Q66,"")</f>
        <v/>
      </c>
      <c r="R55" s="92" t="str">
        <f>IF(AND(S55&lt;&gt;"",Q55&lt;&gt;""),S55-Q55,"")</f>
        <v/>
      </c>
      <c r="S55" s="92" t="str">
        <f>IF(Model!S66&lt;&gt;"",Model!S66,"")</f>
        <v/>
      </c>
      <c r="T55" s="92" t="str">
        <f>IF(Model!T66&lt;&gt;"",Model!T66,"")</f>
        <v/>
      </c>
      <c r="U55" s="92" t="str">
        <f>IF(AND(V55&lt;&gt;"",T55&lt;&gt;""),V55-T55,"")</f>
        <v/>
      </c>
      <c r="V55" s="92" t="str">
        <f>IF(Model!V66&lt;&gt;"",Model!V66,"")</f>
        <v/>
      </c>
      <c r="W55" s="92" t="str">
        <f>IF(Model!W66&lt;&gt;"",Model!W66,"")</f>
        <v/>
      </c>
      <c r="X55" s="92" t="str">
        <f>IF(AND(Y55&lt;&gt;"",W55&lt;&gt;""),Y55-W55,"")</f>
        <v/>
      </c>
      <c r="Y55" s="92" t="str">
        <f>IF(Model!Y66&lt;&gt;"",Model!Y66,"")</f>
        <v/>
      </c>
      <c r="Z55" s="92" t="str">
        <f>IF(Model!Z66&lt;&gt;"",Model!Z66,"")</f>
        <v/>
      </c>
      <c r="AA55" s="92" t="str">
        <f>IF(AND(AB55&lt;&gt;"",Z55&lt;&gt;""),AB55-Z55,"")</f>
        <v/>
      </c>
      <c r="AB55" s="92" t="str">
        <f>IF(Model!AB66&lt;&gt;"",Model!AB66,"")</f>
        <v/>
      </c>
      <c r="AC55" s="92" t="str">
        <f>IF(Model!AC66&lt;&gt;"",Model!AC66,"")</f>
        <v/>
      </c>
      <c r="AD55" s="92" t="str">
        <f>IF(AND(AE55&lt;&gt;"",AC55&lt;&gt;""),AE55-AC55,"")</f>
        <v/>
      </c>
      <c r="AE55" s="92" t="str">
        <f>IF(Model!AE66&lt;&gt;"",Model!AE66,"")</f>
        <v/>
      </c>
      <c r="AF55" s="92" t="str">
        <f>IF(Model!AF66&lt;&gt;"",Model!AF66,"")</f>
        <v/>
      </c>
      <c r="AG55" s="92" t="str">
        <f>IF(AND(AH55&lt;&gt;"",AF55&lt;&gt;""),AH55-AF55,"")</f>
        <v/>
      </c>
      <c r="AH55" s="92" t="str">
        <f>IF(Model!AH66&lt;&gt;"",Model!AH66,"")</f>
        <v/>
      </c>
      <c r="AI55" s="92" t="str">
        <f>IF(Model!AI66&lt;&gt;"",Model!AI66,"")</f>
        <v/>
      </c>
      <c r="AJ55" s="92" t="str">
        <f>IF(AND(AK55&lt;&gt;"",AI55&lt;&gt;""),AK55-AI55,"")</f>
        <v/>
      </c>
      <c r="AK55" s="92" t="str">
        <f>IF(Model!AK66&lt;&gt;"",Model!AK66,"")</f>
        <v/>
      </c>
      <c r="AL55" s="92" t="str">
        <f>IF(Model!AL66&lt;&gt;"",Model!AL66,"")</f>
        <v/>
      </c>
      <c r="AM55" s="92" t="str">
        <f>IF(AND(AN55&lt;&gt;"",AL55&lt;&gt;""),AN55-AL55,"")</f>
        <v/>
      </c>
      <c r="AN55" s="92">
        <f>IF(Model!AN66&lt;&gt;"",Model!AN66,"")</f>
        <v>0.03</v>
      </c>
      <c r="AO55" s="92" t="str">
        <f>IF(Model!AO66&lt;&gt;"",Model!AO66,"")</f>
        <v/>
      </c>
      <c r="AP55" s="92" t="str">
        <f>IF(AND(AQ55&lt;&gt;"",AO55&lt;&gt;""),AQ55-AO55,"")</f>
        <v/>
      </c>
      <c r="AQ55" s="92">
        <f>IF(Model!AQ66&lt;&gt;"",Model!AQ66,"")</f>
        <v>7.0000000000000007E-2</v>
      </c>
      <c r="AR55" s="92" t="str">
        <f>IF(Model!AR66&lt;&gt;"",Model!AR66,"")</f>
        <v/>
      </c>
      <c r="AS55" s="92" t="str">
        <f>IF(AND(AT55&lt;&gt;"",AR55&lt;&gt;""),AT55-AR55,"")</f>
        <v/>
      </c>
      <c r="AT55" s="92">
        <f>IF(Model!AT66&lt;&gt;"",Model!AT66,"")</f>
        <v>0.192</v>
      </c>
      <c r="AU55" s="92">
        <f>IF(Model!AU66&lt;&gt;"",Model!AU66,"")</f>
        <v>0</v>
      </c>
      <c r="AV55" s="92">
        <f>IF(AND(AW55&lt;&gt;"",AU55&lt;&gt;""),AW55-AU55,"")</f>
        <v>0.27500000000000002</v>
      </c>
      <c r="AW55" s="92">
        <f>IF(Model!AW66&lt;&gt;"",Model!AW66,"")</f>
        <v>0.27500000000000002</v>
      </c>
      <c r="AX55" s="92">
        <f>IF(Model!AX66&lt;&gt;"",Model!AX66,"")</f>
        <v>0</v>
      </c>
      <c r="AY55" s="92">
        <f>IF(AND(AZ55&lt;&gt;"",AX55&lt;&gt;""),AZ55-AX55,"")</f>
        <v>0.312</v>
      </c>
      <c r="AZ55" s="92">
        <f>IF(Model!AZ66&lt;&gt;"",Model!AZ66,"")</f>
        <v>0.312</v>
      </c>
      <c r="BA55" s="96"/>
      <c r="BB55" s="92" t="str">
        <f>IF(AND(BC55&lt;&gt;"",BA55&lt;&gt;""),BC55-BA55,"")</f>
        <v/>
      </c>
      <c r="BC55" s="96">
        <v>0</v>
      </c>
      <c r="BD55" s="96"/>
      <c r="BE55" s="92" t="str">
        <f>IF(AND(BF55&lt;&gt;"",BD55&lt;&gt;""),BF55-BD55,"")</f>
        <v/>
      </c>
      <c r="BF55" s="96">
        <v>0</v>
      </c>
      <c r="BG55" s="96"/>
      <c r="BH55" s="92" t="str">
        <f>IF(AND(BI55&lt;&gt;"",BG55&lt;&gt;""),BI55-BG55,"")</f>
        <v/>
      </c>
      <c r="BI55" s="8"/>
      <c r="BJ55" s="8"/>
      <c r="BK55" s="92" t="str">
        <f>IF(AND(BL55&lt;&gt;"",BJ55&lt;&gt;""),BL55-BJ55,"")</f>
        <v/>
      </c>
      <c r="BL55" s="8"/>
      <c r="BM55" s="8">
        <f>Segment!BM89</f>
        <v>0</v>
      </c>
      <c r="BN55" s="8">
        <f>Segment!BN89</f>
        <v>0</v>
      </c>
      <c r="BO55" s="8">
        <f>Segment!BO89</f>
        <v>0</v>
      </c>
      <c r="BP55" s="8">
        <f>Segment!BP89</f>
        <v>0</v>
      </c>
      <c r="BQ55" s="8">
        <f>Segment!BQ89</f>
        <v>0</v>
      </c>
      <c r="BR55" s="8">
        <f>Segment!BR89</f>
        <v>0</v>
      </c>
      <c r="BS55" s="8">
        <f>Segment!BS89</f>
        <v>0</v>
      </c>
      <c r="BT55" s="8">
        <f>Segment!BT89</f>
        <v>0</v>
      </c>
      <c r="BU55" s="8">
        <f>Segment!BU89</f>
        <v>0</v>
      </c>
      <c r="BV55" s="8">
        <f>Segment!BV89</f>
        <v>11.423</v>
      </c>
      <c r="BW55" s="8">
        <f>Segment!BW89</f>
        <v>11.423</v>
      </c>
      <c r="BX55" s="8">
        <f>Segment!BX89</f>
        <v>22.846</v>
      </c>
      <c r="BY55" s="8">
        <f>Segment!BY89</f>
        <v>11.423</v>
      </c>
      <c r="BZ55" s="8">
        <f>Segment!BZ89</f>
        <v>12.4</v>
      </c>
      <c r="CA55" s="8">
        <f>Segment!CA89</f>
        <v>23.823</v>
      </c>
      <c r="CB55" s="8">
        <f>Segment!CB89</f>
        <v>11.706750000000012</v>
      </c>
      <c r="CC55" s="8">
        <f>Segment!CC89</f>
        <v>11.706750000000012</v>
      </c>
      <c r="CD55" s="8">
        <f>Segment!CD89</f>
        <v>23.413500000000024</v>
      </c>
      <c r="CE55" s="8">
        <f>Segment!CE89</f>
        <v>13.138999999999999</v>
      </c>
      <c r="CF55" s="8">
        <f>Segment!CF89</f>
        <v>13.138999999999999</v>
      </c>
      <c r="CG55" s="8">
        <f>Segment!CG89</f>
        <v>26.277999999999999</v>
      </c>
      <c r="CH55" s="8">
        <f>Segment!CH89</f>
        <v>14.8</v>
      </c>
      <c r="CI55" s="8">
        <f>Segment!CI89</f>
        <v>14.899999999999999</v>
      </c>
      <c r="CJ55" s="8">
        <f>Segment!CJ89</f>
        <v>29.7</v>
      </c>
      <c r="CK55" s="8">
        <f>Segment!CK89</f>
        <v>14.8</v>
      </c>
      <c r="CL55" s="8">
        <f>Segment!CL89</f>
        <v>16.3</v>
      </c>
      <c r="CM55" s="8">
        <f>Segment!CM89</f>
        <v>31.1</v>
      </c>
      <c r="CN55" s="8">
        <f>Segment!CN89</f>
        <v>15</v>
      </c>
      <c r="CO55" s="8">
        <f>Segment!CO89</f>
        <v>14.4</v>
      </c>
      <c r="CP55" s="8">
        <f>Segment!CP89</f>
        <v>29.4</v>
      </c>
      <c r="CQ55" s="8">
        <f>Segment!CQ89</f>
        <v>12.3</v>
      </c>
      <c r="CR55" s="8">
        <f>Segment!CR89</f>
        <v>12.700000000000001</v>
      </c>
      <c r="CS55" s="8">
        <f>Segment!CS89</f>
        <v>25</v>
      </c>
      <c r="CT55" s="8">
        <f>Segment!CT89</f>
        <v>14.549364887261516</v>
      </c>
      <c r="CU55" s="8">
        <f>Segment!CU89</f>
        <v>21.950635112738482</v>
      </c>
      <c r="CV55" s="8">
        <f>Segment!CV89</f>
        <v>36.5</v>
      </c>
      <c r="CW55" s="8">
        <f>Segment!CW89</f>
        <v>30.3</v>
      </c>
      <c r="CX55" s="8">
        <f>Segment!CX89</f>
        <v>41.100000000000009</v>
      </c>
      <c r="CY55" s="8">
        <f>Segment!CY89</f>
        <v>71.400000000000006</v>
      </c>
      <c r="CZ55" s="8">
        <f>Segment!CZ89</f>
        <v>27.099999999999998</v>
      </c>
      <c r="DA55" s="8">
        <f>Segment!DA89</f>
        <v>30.7</v>
      </c>
      <c r="DB55" s="8">
        <f>Segment!DB89</f>
        <v>57.8</v>
      </c>
      <c r="DC55" s="8">
        <f>Segment!DC89</f>
        <v>36.200000000000003</v>
      </c>
      <c r="DD55" s="8">
        <f>Segment!DD89</f>
        <v>66.100000000000009</v>
      </c>
      <c r="DE55" s="145">
        <f>Segment!DE89</f>
        <v>102.30000000000001</v>
      </c>
      <c r="DF55" s="8">
        <f>Segment!DF89</f>
        <v>36.400000000000006</v>
      </c>
      <c r="DG55" s="8">
        <f>Segment!DG89</f>
        <v>36.099999999999994</v>
      </c>
      <c r="DH55" s="145">
        <f>Segment!DH89</f>
        <v>72.5</v>
      </c>
      <c r="DI55" s="8">
        <f>Segment!DI89</f>
        <v>47.95</v>
      </c>
      <c r="DJ55" s="8">
        <f>Segment!DJ89</f>
        <v>47.95</v>
      </c>
      <c r="DK55" s="145">
        <f>Segment!DK89</f>
        <v>95.9</v>
      </c>
      <c r="DL55" s="8">
        <f>Segment!DL89</f>
        <v>47.2</v>
      </c>
      <c r="DM55" s="8">
        <f>Segment!DM89</f>
        <v>49.599999999999994</v>
      </c>
      <c r="DN55" s="145">
        <f>Segment!DN89</f>
        <v>96.8</v>
      </c>
      <c r="DO55" s="8">
        <f>Segment!DO89</f>
        <v>53.3</v>
      </c>
      <c r="DP55" s="8">
        <f>Segment!DP89</f>
        <v>52.7</v>
      </c>
      <c r="DQ55" s="145">
        <f>Segment!DQ89</f>
        <v>106</v>
      </c>
      <c r="DR55" s="8">
        <f>Segment!DR89</f>
        <v>50</v>
      </c>
      <c r="DS55" s="8">
        <f>Segment!DS89</f>
        <v>59</v>
      </c>
      <c r="DT55" s="145">
        <f>Segment!DT89</f>
        <v>109</v>
      </c>
      <c r="DU55" s="8">
        <f>Segment!DU89</f>
        <v>54</v>
      </c>
      <c r="DV55" s="8">
        <f>Segment!DV89</f>
        <v>50</v>
      </c>
      <c r="DW55" s="145">
        <f>Segment!DW89</f>
        <v>104</v>
      </c>
      <c r="DX55" s="8">
        <f>Segment!DX89</f>
        <v>49</v>
      </c>
      <c r="DY55" s="8">
        <f>Segment!DY89</f>
        <v>58.453681862485666</v>
      </c>
      <c r="DZ55" s="145">
        <f>Segment!DZ89</f>
        <v>107.45368186248567</v>
      </c>
      <c r="EA55" s="8">
        <f>Segment!EA89</f>
        <v>68.32179261744156</v>
      </c>
      <c r="EB55" s="8">
        <f>Segment!EB89</f>
        <v>60.817125558205269</v>
      </c>
      <c r="EC55" s="145">
        <f>Segment!EC89</f>
        <v>129.13891817564684</v>
      </c>
      <c r="ED55" s="8">
        <f>Segment!ED89</f>
        <v>71.398012285872142</v>
      </c>
      <c r="EE55" s="8">
        <f>Segment!EE89</f>
        <v>64.616989233916158</v>
      </c>
      <c r="EF55" s="145">
        <f>Segment!EF89</f>
        <v>136.01500151978831</v>
      </c>
      <c r="EG55" s="8">
        <f>Segment!EG89</f>
        <v>75.474952459705975</v>
      </c>
      <c r="EH55" s="8">
        <f>Segment!EH89</f>
        <v>68.827307760913527</v>
      </c>
      <c r="EI55" s="145">
        <f>Segment!EI89</f>
        <v>144.3022602206195</v>
      </c>
      <c r="EJ55" s="8">
        <f>Segment!EJ89</f>
        <v>79.84515684810961</v>
      </c>
      <c r="EK55" s="8">
        <f>Segment!EK89</f>
        <v>73.410031734728193</v>
      </c>
      <c r="EL55" s="145">
        <f>Segment!EL89</f>
        <v>153.2551885828378</v>
      </c>
      <c r="EM55" s="8">
        <f>Segment!EM89</f>
        <v>84.134084183063678</v>
      </c>
      <c r="EN55" s="8">
        <f>Segment!EN89</f>
        <v>77.442376469020786</v>
      </c>
      <c r="EO55" s="145">
        <f>Segment!EO89</f>
        <v>161.57646065208445</v>
      </c>
      <c r="EP55" s="8">
        <f>Segment!EP89</f>
        <v>88.597509893377449</v>
      </c>
      <c r="EQ55" s="8">
        <f>Segment!EQ89</f>
        <v>81.939426311818949</v>
      </c>
      <c r="ER55" s="145">
        <f>Segment!ER89</f>
        <v>170.53693620519641</v>
      </c>
      <c r="ES55" s="8">
        <f>Segment!ES89</f>
        <v>93.425318205878156</v>
      </c>
      <c r="ET55" s="8">
        <f>Segment!ET89</f>
        <v>86.726378308390906</v>
      </c>
      <c r="EU55" s="145">
        <f>Segment!EU89</f>
        <v>180.15169651426908</v>
      </c>
      <c r="EV55" s="8">
        <f>Segment!EV89</f>
        <v>98.552246912479745</v>
      </c>
      <c r="EW55" s="8">
        <f>Segment!EW89</f>
        <v>91.822577983894348</v>
      </c>
      <c r="EX55" s="145">
        <f>Segment!EX89</f>
        <v>190.37482489637409</v>
      </c>
      <c r="EY55" s="8">
        <f>Segment!EY89</f>
        <v>103.99789040812914</v>
      </c>
      <c r="EZ55" s="8">
        <f>Segment!EZ89</f>
        <v>97.248693141934012</v>
      </c>
      <c r="FA55" s="145">
        <f>Segment!FA89</f>
        <v>201.24658355006315</v>
      </c>
    </row>
    <row r="56" spans="1:157" ht="13.35" customHeight="1">
      <c r="A56" s="3"/>
      <c r="B56" s="4" t="s">
        <v>604</v>
      </c>
      <c r="C56" s="4"/>
      <c r="D56" s="91"/>
      <c r="E56" s="79"/>
      <c r="F56" s="79"/>
      <c r="G56" s="79"/>
      <c r="H56" s="79"/>
      <c r="I56" s="79"/>
      <c r="J56" s="79"/>
      <c r="K56" s="79"/>
      <c r="L56" s="79"/>
      <c r="M56" s="79"/>
      <c r="N56" s="79"/>
      <c r="O56" s="79"/>
      <c r="P56" s="79"/>
      <c r="Q56" s="79"/>
      <c r="R56" s="79"/>
      <c r="S56" s="79"/>
      <c r="T56" s="79"/>
      <c r="U56" s="79"/>
      <c r="V56" s="79"/>
      <c r="W56" s="79"/>
      <c r="X56" s="79"/>
      <c r="Y56" s="79"/>
      <c r="Z56" s="79"/>
      <c r="AA56" s="79"/>
      <c r="AB56" s="79"/>
      <c r="AC56" s="79"/>
      <c r="AD56" s="79"/>
      <c r="AE56" s="79"/>
      <c r="AF56" s="79"/>
      <c r="AG56" s="79"/>
      <c r="AH56" s="79"/>
      <c r="AI56" s="79"/>
      <c r="AJ56" s="79"/>
      <c r="AK56" s="79"/>
      <c r="AL56" s="79"/>
      <c r="AM56" s="79"/>
      <c r="AN56" s="79"/>
      <c r="AO56" s="79"/>
      <c r="AP56" s="79"/>
      <c r="AQ56" s="79"/>
      <c r="AR56" s="79"/>
      <c r="AS56" s="79"/>
      <c r="AT56" s="79"/>
      <c r="AU56" s="79"/>
      <c r="AV56" s="79"/>
      <c r="AW56" s="79"/>
      <c r="AX56" s="79"/>
      <c r="AY56" s="79"/>
      <c r="AZ56" s="79"/>
      <c r="BA56" s="88">
        <v>544.07500000000005</v>
      </c>
      <c r="BB56" s="88">
        <v>544.07500000000005</v>
      </c>
      <c r="BC56" s="88">
        <v>544.07500000000005</v>
      </c>
      <c r="BD56" s="88">
        <f>544.075</f>
        <v>544.07500000000005</v>
      </c>
      <c r="BE56" s="88">
        <v>544.07500000000005</v>
      </c>
      <c r="BF56" s="88">
        <v>544.07500000000005</v>
      </c>
      <c r="BG56" s="88">
        <v>544.07500000000005</v>
      </c>
      <c r="BH56" s="88">
        <v>544.07500000000005</v>
      </c>
      <c r="BI56" s="88">
        <v>544.07500000000005</v>
      </c>
      <c r="BJ56" s="88">
        <v>544.07500000000005</v>
      </c>
      <c r="BK56" s="88">
        <v>544.07500000000005</v>
      </c>
      <c r="BL56" s="88">
        <v>544.07500000000005</v>
      </c>
      <c r="BM56" s="88">
        <v>544.07500000000005</v>
      </c>
      <c r="BN56" s="88">
        <v>544.07500000000005</v>
      </c>
      <c r="BO56" s="88">
        <v>544.07500000000005</v>
      </c>
      <c r="BP56" s="88">
        <v>544.07500000000005</v>
      </c>
      <c r="BQ56" s="88">
        <v>544.07500000000005</v>
      </c>
      <c r="BR56" s="88">
        <v>544.07500000000005</v>
      </c>
      <c r="BS56" s="88">
        <v>544.07500000000005</v>
      </c>
      <c r="BT56" s="88">
        <v>544.07500000000005</v>
      </c>
      <c r="BU56" s="88">
        <v>544.07500000000005</v>
      </c>
      <c r="BV56" s="88">
        <v>544.07500000000005</v>
      </c>
      <c r="BW56" s="88">
        <v>544.07500000000005</v>
      </c>
      <c r="BX56" s="88">
        <v>544.07500000000005</v>
      </c>
      <c r="BY56" s="88">
        <v>544.07500000000005</v>
      </c>
      <c r="BZ56" s="88">
        <v>544.07500000000005</v>
      </c>
      <c r="CA56" s="88">
        <v>544.07500000000005</v>
      </c>
      <c r="CB56" s="88">
        <v>544.07500000000005</v>
      </c>
      <c r="CC56" s="88">
        <v>544.07500000000005</v>
      </c>
      <c r="CD56" s="88">
        <v>544.07500000000005</v>
      </c>
      <c r="CE56" s="88">
        <v>544.07500000000005</v>
      </c>
      <c r="CF56" s="88">
        <v>544.07500000000005</v>
      </c>
      <c r="CG56" s="88">
        <v>544.07500000000005</v>
      </c>
      <c r="CH56" s="88">
        <v>544.07500000000005</v>
      </c>
      <c r="CI56" s="88">
        <v>544.07500000000005</v>
      </c>
      <c r="CJ56" s="88">
        <v>544.07500000000005</v>
      </c>
      <c r="CK56" s="88">
        <v>544.07500000000005</v>
      </c>
      <c r="CL56" s="88">
        <v>544.07500000000005</v>
      </c>
      <c r="CM56" s="88">
        <v>544.07500000000005</v>
      </c>
      <c r="CN56" s="88">
        <v>544.07500000000005</v>
      </c>
      <c r="CO56" s="88">
        <v>544.07500000000005</v>
      </c>
      <c r="CP56" s="88">
        <v>544.07500000000005</v>
      </c>
      <c r="CQ56" s="88">
        <v>544.07500000000005</v>
      </c>
      <c r="CR56" s="88">
        <v>544.07500000000005</v>
      </c>
      <c r="CS56" s="88">
        <v>544.07500000000005</v>
      </c>
      <c r="CT56" s="88">
        <v>544.07500000000005</v>
      </c>
      <c r="CU56" s="88">
        <v>544.07500000000005</v>
      </c>
      <c r="CV56" s="88">
        <v>544.07500000000005</v>
      </c>
      <c r="CW56" s="88">
        <v>544.07500000000005</v>
      </c>
      <c r="CX56" s="88">
        <v>544.07500000000005</v>
      </c>
      <c r="CY56" s="88">
        <v>544.07500000000005</v>
      </c>
      <c r="CZ56" s="88">
        <v>544.07500000000005</v>
      </c>
      <c r="DA56" s="88">
        <v>544.07500000000005</v>
      </c>
      <c r="DB56" s="88">
        <v>544.07500000000005</v>
      </c>
      <c r="DC56" s="88">
        <v>544.07500000000005</v>
      </c>
      <c r="DD56" s="88">
        <v>544.07500000000005</v>
      </c>
      <c r="DE56" s="141">
        <v>544.07500000000005</v>
      </c>
      <c r="DF56" s="88">
        <v>544.07500000000005</v>
      </c>
      <c r="DG56" s="88">
        <v>544.07500000000005</v>
      </c>
      <c r="DH56" s="141">
        <v>544.07500000000005</v>
      </c>
      <c r="DI56" s="88">
        <v>544.07500000000005</v>
      </c>
      <c r="DJ56" s="88">
        <v>544.07500000000005</v>
      </c>
      <c r="DK56" s="141">
        <v>544.07500000000005</v>
      </c>
      <c r="DL56" s="88">
        <v>544.07500000000005</v>
      </c>
      <c r="DM56" s="88">
        <v>544.07500000000005</v>
      </c>
      <c r="DN56" s="141">
        <v>544.07500000000005</v>
      </c>
      <c r="DO56" s="88">
        <v>544.07500000000005</v>
      </c>
      <c r="DP56" s="88">
        <v>544.07500000000005</v>
      </c>
      <c r="DQ56" s="141">
        <v>544.07500000000005</v>
      </c>
      <c r="DR56" s="88">
        <v>544.07500000000005</v>
      </c>
      <c r="DS56" s="88">
        <v>544.07500000000005</v>
      </c>
      <c r="DT56" s="141">
        <v>544.07500000000005</v>
      </c>
      <c r="DU56" s="88">
        <v>544.07500000000005</v>
      </c>
      <c r="DV56" s="88">
        <v>544.07500000000005</v>
      </c>
      <c r="DW56" s="141">
        <v>544.07500000000005</v>
      </c>
      <c r="DX56" s="88">
        <v>544.07500000000005</v>
      </c>
      <c r="DY56" s="88">
        <v>544.07500000000005</v>
      </c>
      <c r="DZ56" s="141">
        <v>544.07500000000005</v>
      </c>
      <c r="EA56" s="88">
        <v>544.07500000000005</v>
      </c>
      <c r="EB56" s="88">
        <v>544.07500000000005</v>
      </c>
      <c r="EC56" s="141">
        <v>544.07500000000005</v>
      </c>
      <c r="ED56" s="88">
        <v>544.07500000000005</v>
      </c>
      <c r="EE56" s="88">
        <v>544.07500000000005</v>
      </c>
      <c r="EF56" s="141">
        <v>544.07500000000005</v>
      </c>
      <c r="EG56" s="88">
        <v>544.07500000000005</v>
      </c>
      <c r="EH56" s="88">
        <v>544.07500000000005</v>
      </c>
      <c r="EI56" s="141">
        <v>544.07500000000005</v>
      </c>
      <c r="EJ56" s="88">
        <v>544.07500000000005</v>
      </c>
      <c r="EK56" s="88">
        <v>544.07500000000005</v>
      </c>
      <c r="EL56" s="141">
        <v>544.07500000000005</v>
      </c>
      <c r="EM56" s="88">
        <v>544.07500000000005</v>
      </c>
      <c r="EN56" s="88">
        <v>544.07500000000005</v>
      </c>
      <c r="EO56" s="141">
        <v>544.07500000000005</v>
      </c>
      <c r="EP56" s="88">
        <v>544.07500000000005</v>
      </c>
      <c r="EQ56" s="88">
        <v>544.07500000000005</v>
      </c>
      <c r="ER56" s="141">
        <v>544.07500000000005</v>
      </c>
      <c r="ES56" s="88">
        <v>544.07500000000005</v>
      </c>
      <c r="ET56" s="88">
        <v>544.07500000000005</v>
      </c>
      <c r="EU56" s="141">
        <v>544.07500000000005</v>
      </c>
      <c r="EV56" s="88">
        <v>544.07500000000005</v>
      </c>
      <c r="EW56" s="88">
        <v>544.07500000000005</v>
      </c>
      <c r="EX56" s="141">
        <v>544.07500000000005</v>
      </c>
      <c r="EY56" s="88">
        <v>544.07500000000005</v>
      </c>
      <c r="EZ56" s="88">
        <v>544.07500000000005</v>
      </c>
      <c r="FA56" s="141">
        <v>544.07500000000005</v>
      </c>
    </row>
    <row r="57" spans="1:157" ht="13.35" customHeight="1" outlineLevel="1">
      <c r="A57" s="3"/>
      <c r="B57" s="4" t="s">
        <v>699</v>
      </c>
      <c r="C57" s="4"/>
      <c r="D57" s="4"/>
      <c r="E57" s="92"/>
      <c r="F57" s="92" t="str">
        <f>IF(G57&lt;&gt;"",G57,"")</f>
        <v/>
      </c>
      <c r="G57" s="93"/>
      <c r="H57" s="93"/>
      <c r="I57" s="92" t="str">
        <f>IF(J57&lt;&gt;"",J57,"")</f>
        <v/>
      </c>
      <c r="J57" s="93"/>
      <c r="K57" s="93"/>
      <c r="L57" s="92" t="str">
        <f>IF(M57&lt;&gt;"",M57,"")</f>
        <v/>
      </c>
      <c r="M57" s="93"/>
      <c r="N57" s="93"/>
      <c r="O57" s="92" t="str">
        <f>IF(P57&lt;&gt;"",P57,"")</f>
        <v/>
      </c>
      <c r="P57" s="93"/>
      <c r="Q57" s="93"/>
      <c r="R57" s="92" t="str">
        <f>IF(S57&lt;&gt;"",S57,"")</f>
        <v/>
      </c>
      <c r="S57" s="93"/>
      <c r="T57" s="93"/>
      <c r="U57" s="92" t="str">
        <f>IF(V57&lt;&gt;"",V57,"")</f>
        <v/>
      </c>
      <c r="V57" s="93"/>
      <c r="W57" s="93"/>
      <c r="X57" s="92" t="str">
        <f>IF(Y57&lt;&gt;"",Y57,"")</f>
        <v/>
      </c>
      <c r="Y57" s="93"/>
      <c r="Z57" s="93"/>
      <c r="AA57" s="92" t="str">
        <f>IF(AB57&lt;&gt;"",AB57,"")</f>
        <v/>
      </c>
      <c r="AB57" s="93"/>
      <c r="AC57" s="93"/>
      <c r="AD57" s="92" t="str">
        <f>IF(AE57&lt;&gt;"",AE57,"")</f>
        <v/>
      </c>
      <c r="AE57" s="93"/>
      <c r="AF57" s="93"/>
      <c r="AG57" s="92" t="str">
        <f>IF(AH57&lt;&gt;"",AH57,"")</f>
        <v/>
      </c>
      <c r="AH57" s="93"/>
      <c r="AI57" s="93"/>
      <c r="AJ57" s="92" t="str">
        <f>IF(AK57&lt;&gt;"",AK57,"")</f>
        <v/>
      </c>
      <c r="AK57" s="93"/>
      <c r="AL57" s="93"/>
      <c r="AM57" s="92" t="str">
        <f>IF(AN57&lt;&gt;"",AN57,"")</f>
        <v/>
      </c>
      <c r="AN57" s="93"/>
      <c r="AO57" s="93"/>
      <c r="AP57" s="93"/>
      <c r="AQ57" s="93"/>
      <c r="AR57" s="93"/>
      <c r="AS57" s="93"/>
      <c r="AT57" s="93"/>
      <c r="AU57" s="93"/>
      <c r="AV57" s="93"/>
      <c r="AW57" s="93"/>
      <c r="AX57" s="93"/>
      <c r="AY57" s="93"/>
      <c r="AZ57" s="93"/>
      <c r="BA57" s="93"/>
      <c r="BB57" s="93"/>
      <c r="BC57" s="93"/>
      <c r="BD57" s="93"/>
      <c r="BE57" s="93"/>
      <c r="BF57" s="93"/>
      <c r="BG57" s="93"/>
      <c r="BH57" s="93"/>
      <c r="BI57" s="93"/>
      <c r="BJ57" s="93"/>
      <c r="BK57" s="93"/>
      <c r="BL57" s="93"/>
      <c r="BM57" s="93"/>
      <c r="BN57" s="93"/>
      <c r="BO57" s="93"/>
      <c r="BP57" s="93"/>
      <c r="BQ57" s="93"/>
      <c r="BR57" s="93"/>
      <c r="BS57" s="93"/>
      <c r="BT57" s="93"/>
      <c r="BU57" s="93"/>
      <c r="BV57" s="93"/>
      <c r="BW57" s="93"/>
      <c r="BX57" s="93"/>
      <c r="BY57" s="93"/>
      <c r="BZ57" s="93"/>
      <c r="CA57" s="93"/>
      <c r="CB57" s="93"/>
      <c r="CC57" s="93"/>
      <c r="CD57" s="93"/>
      <c r="CE57" s="93"/>
      <c r="CF57" s="93"/>
      <c r="CG57" s="93"/>
      <c r="CH57" s="93"/>
      <c r="CI57" s="93"/>
      <c r="CJ57" s="93"/>
      <c r="CK57" s="93"/>
      <c r="CL57" s="93"/>
      <c r="CM57" s="93"/>
      <c r="CN57" s="93"/>
      <c r="CO57" s="93"/>
      <c r="CP57" s="93"/>
      <c r="CQ57" s="93"/>
      <c r="CR57" s="93"/>
      <c r="CS57" s="93"/>
      <c r="CT57" s="93"/>
      <c r="CU57" s="93"/>
      <c r="CV57" s="93"/>
      <c r="CW57" s="93"/>
      <c r="CX57" s="93"/>
      <c r="CY57" s="93"/>
      <c r="CZ57" s="93"/>
      <c r="DA57" s="93"/>
      <c r="DB57" s="93"/>
      <c r="DC57" s="93"/>
      <c r="DD57" s="93"/>
      <c r="DE57" s="144"/>
      <c r="DF57" s="93"/>
      <c r="DG57" s="93"/>
      <c r="DH57" s="144"/>
      <c r="DI57" s="93"/>
      <c r="DJ57" s="93"/>
      <c r="DK57" s="144"/>
      <c r="DL57" s="93"/>
      <c r="DM57" s="93"/>
      <c r="DN57" s="144"/>
      <c r="DO57" s="93"/>
      <c r="DP57" s="93"/>
      <c r="DQ57" s="144"/>
      <c r="DR57" s="93"/>
      <c r="DS57" s="93"/>
      <c r="DT57" s="144"/>
      <c r="DU57" s="93"/>
      <c r="DV57" s="93"/>
      <c r="DW57" s="144"/>
      <c r="DX57" s="93"/>
      <c r="DY57" s="93"/>
      <c r="DZ57" s="144"/>
      <c r="EA57" s="93"/>
      <c r="EB57" s="93"/>
      <c r="EC57" s="144"/>
      <c r="ED57" s="93"/>
      <c r="EE57" s="93"/>
      <c r="EF57" s="144"/>
      <c r="EG57" s="93"/>
      <c r="EH57" s="93"/>
      <c r="EI57" s="144"/>
      <c r="EJ57" s="93"/>
      <c r="EK57" s="93"/>
      <c r="EL57" s="144"/>
      <c r="EM57" s="93"/>
      <c r="EN57" s="93"/>
      <c r="EO57" s="144"/>
      <c r="EP57" s="93"/>
      <c r="EQ57" s="93"/>
      <c r="ER57" s="144"/>
      <c r="ES57" s="93"/>
      <c r="ET57" s="93"/>
      <c r="EU57" s="144"/>
      <c r="EV57" s="93"/>
      <c r="EW57" s="93"/>
      <c r="EX57" s="144"/>
      <c r="EY57" s="93"/>
      <c r="EZ57" s="93"/>
      <c r="FA57" s="144"/>
    </row>
    <row r="58" spans="1:157" ht="13.35" customHeight="1" outlineLevel="1">
      <c r="A58" s="3"/>
      <c r="B58" s="4" t="s">
        <v>98</v>
      </c>
      <c r="C58" s="4"/>
      <c r="D58" s="4"/>
      <c r="E58" s="92"/>
      <c r="F58" s="92" t="str">
        <f>IF(G58&lt;&gt;"",G58,"")</f>
        <v/>
      </c>
      <c r="G58" s="93"/>
      <c r="H58" s="93"/>
      <c r="I58" s="92" t="str">
        <f>IF(J58&lt;&gt;"",J58,"")</f>
        <v/>
      </c>
      <c r="J58" s="93"/>
      <c r="K58" s="93"/>
      <c r="L58" s="92" t="str">
        <f>IF(M58&lt;&gt;"",M58,"")</f>
        <v/>
      </c>
      <c r="M58" s="93"/>
      <c r="N58" s="93"/>
      <c r="O58" s="92" t="str">
        <f>IF(P58&lt;&gt;"",P58,"")</f>
        <v/>
      </c>
      <c r="P58" s="93"/>
      <c r="Q58" s="93"/>
      <c r="R58" s="92" t="str">
        <f>IF(S58&lt;&gt;"",S58,"")</f>
        <v/>
      </c>
      <c r="S58" s="93"/>
      <c r="T58" s="93"/>
      <c r="U58" s="92" t="str">
        <f>IF(V58&lt;&gt;"",V58,"")</f>
        <v/>
      </c>
      <c r="V58" s="93"/>
      <c r="W58" s="93"/>
      <c r="X58" s="92" t="str">
        <f>IF(Y58&lt;&gt;"",Y58,"")</f>
        <v/>
      </c>
      <c r="Y58" s="93"/>
      <c r="Z58" s="93"/>
      <c r="AA58" s="92" t="str">
        <f>IF(AB58&lt;&gt;"",AB58,"")</f>
        <v/>
      </c>
      <c r="AB58" s="93"/>
      <c r="AC58" s="93"/>
      <c r="AD58" s="92" t="str">
        <f>IF(AE58&lt;&gt;"",AE58,"")</f>
        <v/>
      </c>
      <c r="AE58" s="93"/>
      <c r="AF58" s="93"/>
      <c r="AG58" s="92" t="str">
        <f>IF(AH58&lt;&gt;"",AH58,"")</f>
        <v/>
      </c>
      <c r="AH58" s="93"/>
      <c r="AI58" s="93"/>
      <c r="AJ58" s="92" t="str">
        <f>IF(AK58&lt;&gt;"",AK58,"")</f>
        <v/>
      </c>
      <c r="AK58" s="93"/>
      <c r="AL58" s="93"/>
      <c r="AM58" s="92" t="str">
        <f>IF(AN58&lt;&gt;"",AN58,"")</f>
        <v/>
      </c>
      <c r="AN58" s="93"/>
      <c r="AO58" s="93"/>
      <c r="AP58" s="92" t="str">
        <f>IF(AQ58&lt;&gt;"",AQ58,"")</f>
        <v/>
      </c>
      <c r="AQ58" s="93"/>
      <c r="AR58" s="93"/>
      <c r="AS58" s="92" t="str">
        <f>IF(AT58&lt;&gt;"",AT58,"")</f>
        <v/>
      </c>
      <c r="AT58" s="93"/>
      <c r="AU58" s="93"/>
      <c r="AV58" s="92" t="str">
        <f>IF(AW58&lt;&gt;"",AW58,"")</f>
        <v/>
      </c>
      <c r="AW58" s="93"/>
      <c r="AX58" s="93"/>
      <c r="AY58" s="92" t="str">
        <f>IF(AZ58&lt;&gt;"",AZ58,"")</f>
        <v/>
      </c>
      <c r="AZ58" s="93"/>
      <c r="BA58" s="93"/>
      <c r="BB58" s="93"/>
      <c r="BC58" s="93"/>
      <c r="BD58" s="93"/>
      <c r="BE58" s="93"/>
      <c r="BF58" s="93"/>
      <c r="BG58" s="93"/>
      <c r="BH58" s="93"/>
      <c r="BI58" s="93"/>
      <c r="BJ58" s="93"/>
      <c r="BK58" s="93"/>
      <c r="BL58" s="93"/>
      <c r="BM58" s="93"/>
      <c r="BN58" s="93"/>
      <c r="BO58" s="93"/>
      <c r="BP58" s="93"/>
      <c r="BQ58" s="93"/>
      <c r="BR58" s="93"/>
      <c r="BS58" s="93"/>
      <c r="BT58" s="93"/>
      <c r="BU58" s="93"/>
      <c r="BV58" s="93"/>
      <c r="BW58" s="93"/>
      <c r="BX58" s="93"/>
      <c r="BY58" s="93"/>
      <c r="BZ58" s="93"/>
      <c r="CA58" s="93"/>
      <c r="CB58" s="93"/>
      <c r="CC58" s="93"/>
      <c r="CD58" s="93"/>
      <c r="CE58" s="93"/>
      <c r="CF58" s="93"/>
      <c r="CG58" s="93"/>
      <c r="CH58" s="93"/>
      <c r="CI58" s="93"/>
      <c r="CJ58" s="93"/>
      <c r="CK58" s="93"/>
      <c r="CL58" s="93"/>
      <c r="CM58" s="93"/>
      <c r="CN58" s="93"/>
      <c r="CO58" s="93"/>
      <c r="CP58" s="93"/>
      <c r="CQ58" s="93"/>
      <c r="CR58" s="93"/>
      <c r="CS58" s="93"/>
      <c r="CT58" s="93"/>
      <c r="CU58" s="93"/>
      <c r="CV58" s="93"/>
      <c r="CW58" s="93"/>
      <c r="CX58" s="93"/>
      <c r="CY58" s="93"/>
      <c r="CZ58" s="93"/>
      <c r="DA58" s="93"/>
      <c r="DB58" s="93"/>
      <c r="DC58" s="93"/>
      <c r="DD58" s="93"/>
      <c r="DE58" s="144"/>
      <c r="DF58" s="93"/>
      <c r="DG58" s="93"/>
      <c r="DH58" s="144"/>
      <c r="DI58" s="93"/>
      <c r="DJ58" s="93"/>
      <c r="DK58" s="144"/>
      <c r="DL58" s="93"/>
      <c r="DM58" s="93"/>
      <c r="DN58" s="144"/>
      <c r="DO58" s="93"/>
      <c r="DP58" s="93"/>
      <c r="DQ58" s="144"/>
      <c r="DR58" s="93"/>
      <c r="DS58" s="93"/>
      <c r="DT58" s="144"/>
      <c r="DU58" s="93"/>
      <c r="DV58" s="93"/>
      <c r="DW58" s="144"/>
      <c r="DX58" s="93"/>
      <c r="DY58" s="93"/>
      <c r="DZ58" s="144"/>
      <c r="EA58" s="93"/>
      <c r="EB58" s="93"/>
      <c r="EC58" s="144"/>
      <c r="ED58" s="93"/>
      <c r="EE58" s="93"/>
      <c r="EF58" s="144"/>
      <c r="EG58" s="93"/>
      <c r="EH58" s="93"/>
      <c r="EI58" s="144"/>
      <c r="EJ58" s="93"/>
      <c r="EK58" s="93"/>
      <c r="EL58" s="144"/>
      <c r="EM58" s="93"/>
      <c r="EN58" s="93"/>
      <c r="EO58" s="144"/>
      <c r="EP58" s="93"/>
      <c r="EQ58" s="93"/>
      <c r="ER58" s="144"/>
      <c r="ES58" s="93"/>
      <c r="ET58" s="93"/>
      <c r="EU58" s="144"/>
      <c r="EV58" s="93"/>
      <c r="EW58" s="93"/>
      <c r="EX58" s="144"/>
      <c r="EY58" s="93"/>
      <c r="EZ58" s="93"/>
      <c r="FA58" s="144"/>
    </row>
    <row r="59" spans="1:157" ht="13.35" customHeight="1" outlineLevel="1">
      <c r="A59" s="3"/>
      <c r="B59" s="4" t="s">
        <v>99</v>
      </c>
      <c r="C59" s="4"/>
      <c r="D59" s="91"/>
      <c r="E59" s="94"/>
      <c r="F59" s="94"/>
      <c r="G59" s="94"/>
      <c r="H59" s="94"/>
      <c r="I59" s="94"/>
      <c r="J59" s="94"/>
      <c r="K59" s="94"/>
      <c r="L59" s="94"/>
      <c r="M59" s="94"/>
      <c r="N59" s="94"/>
      <c r="O59" s="94"/>
      <c r="P59" s="94"/>
      <c r="Q59" s="94"/>
      <c r="R59" s="94"/>
      <c r="S59" s="94"/>
      <c r="T59" s="94"/>
      <c r="U59" s="94"/>
      <c r="V59" s="94"/>
      <c r="W59" s="94"/>
      <c r="X59" s="94"/>
      <c r="Y59" s="94"/>
      <c r="Z59" s="94"/>
      <c r="AA59" s="94"/>
      <c r="AB59" s="94"/>
      <c r="AC59" s="94"/>
      <c r="AD59" s="94"/>
      <c r="AE59" s="94"/>
      <c r="AF59" s="94"/>
      <c r="AG59" s="94"/>
      <c r="AH59" s="94"/>
      <c r="AI59" s="94"/>
      <c r="AJ59" s="94"/>
      <c r="AK59" s="94"/>
      <c r="AL59" s="94"/>
      <c r="AM59" s="94"/>
      <c r="AN59" s="94"/>
      <c r="AO59" s="94"/>
      <c r="AP59" s="94"/>
      <c r="AQ59" s="94"/>
      <c r="AR59" s="94"/>
      <c r="AS59" s="94"/>
      <c r="AT59" s="94"/>
      <c r="AU59" s="94"/>
      <c r="AV59" s="94"/>
      <c r="AW59" s="94"/>
      <c r="AX59" s="94"/>
      <c r="AY59" s="94"/>
      <c r="AZ59" s="94"/>
      <c r="BA59" s="94"/>
      <c r="BB59" s="94"/>
      <c r="BC59" s="94"/>
      <c r="BD59" s="94"/>
      <c r="BE59" s="94"/>
      <c r="BF59" s="94"/>
      <c r="BG59" s="94"/>
      <c r="BH59" s="94"/>
      <c r="BI59" s="94"/>
      <c r="BJ59" s="94"/>
      <c r="BK59" s="94"/>
      <c r="BL59" s="94"/>
      <c r="BM59" s="94"/>
      <c r="BN59" s="94"/>
      <c r="BO59" s="94"/>
      <c r="BP59" s="94"/>
      <c r="BQ59" s="94"/>
      <c r="BR59" s="94"/>
      <c r="BS59" s="94"/>
      <c r="BT59" s="94"/>
      <c r="BU59" s="94"/>
      <c r="BV59" s="94"/>
      <c r="BW59" s="94"/>
      <c r="BX59" s="94"/>
      <c r="BY59" s="94"/>
      <c r="BZ59" s="94"/>
      <c r="CA59" s="94"/>
      <c r="CB59" s="94"/>
      <c r="CC59" s="94"/>
      <c r="CD59" s="94"/>
      <c r="CE59" s="94"/>
      <c r="CF59" s="94"/>
      <c r="CG59" s="94"/>
      <c r="CH59" s="94"/>
      <c r="CI59" s="94"/>
      <c r="CJ59" s="94"/>
      <c r="CK59" s="94"/>
      <c r="CL59" s="94"/>
      <c r="CM59" s="94"/>
      <c r="CN59" s="94"/>
      <c r="CO59" s="94"/>
      <c r="CP59" s="94"/>
      <c r="CQ59" s="94"/>
      <c r="CR59" s="94"/>
      <c r="CS59" s="94"/>
      <c r="CT59" s="94"/>
      <c r="CU59" s="94"/>
      <c r="CV59" s="94"/>
      <c r="CW59" s="94"/>
      <c r="CX59" s="94"/>
      <c r="CY59" s="94"/>
      <c r="CZ59" s="94"/>
      <c r="DA59" s="94"/>
      <c r="DB59" s="94"/>
      <c r="DC59" s="94"/>
      <c r="DD59" s="94"/>
      <c r="DE59" s="143"/>
      <c r="DF59" s="94"/>
      <c r="DG59" s="94"/>
      <c r="DH59" s="143"/>
      <c r="DI59" s="94"/>
      <c r="DJ59" s="94"/>
      <c r="DK59" s="143"/>
      <c r="DL59" s="94"/>
      <c r="DM59" s="94"/>
      <c r="DN59" s="143"/>
      <c r="DO59" s="94"/>
      <c r="DP59" s="94"/>
      <c r="DQ59" s="143"/>
      <c r="DR59" s="94"/>
      <c r="DS59" s="94"/>
      <c r="DT59" s="143"/>
      <c r="DU59" s="94"/>
      <c r="DV59" s="94"/>
      <c r="DW59" s="143"/>
      <c r="DX59" s="94"/>
      <c r="DY59" s="94"/>
      <c r="DZ59" s="143"/>
      <c r="EA59" s="94"/>
      <c r="EB59" s="94"/>
      <c r="EC59" s="143"/>
      <c r="ED59" s="94"/>
      <c r="EE59" s="94"/>
      <c r="EF59" s="143"/>
      <c r="EG59" s="94"/>
      <c r="EH59" s="94"/>
      <c r="EI59" s="143"/>
      <c r="EJ59" s="94"/>
      <c r="EK59" s="94"/>
      <c r="EL59" s="143"/>
      <c r="EM59" s="94"/>
      <c r="EN59" s="94"/>
      <c r="EO59" s="143"/>
      <c r="EP59" s="94"/>
      <c r="EQ59" s="94"/>
      <c r="ER59" s="143"/>
      <c r="ES59" s="94"/>
      <c r="ET59" s="94"/>
      <c r="EU59" s="143"/>
      <c r="EV59" s="94"/>
      <c r="EW59" s="94"/>
      <c r="EX59" s="143"/>
      <c r="EY59" s="94"/>
      <c r="EZ59" s="94"/>
      <c r="FA59" s="143"/>
    </row>
    <row r="60" spans="1:157" ht="13.35" customHeight="1" outlineLevel="1">
      <c r="A60" s="3"/>
      <c r="B60" s="4" t="s">
        <v>100</v>
      </c>
      <c r="C60" s="4"/>
      <c r="D60" s="4"/>
      <c r="E60" s="93"/>
      <c r="F60" s="93"/>
      <c r="G60" s="93"/>
      <c r="H60" s="93"/>
      <c r="I60" s="93"/>
      <c r="J60" s="93"/>
      <c r="K60" s="93"/>
      <c r="L60" s="93"/>
      <c r="M60" s="93"/>
      <c r="N60" s="93"/>
      <c r="O60" s="93"/>
      <c r="P60" s="93"/>
      <c r="Q60" s="93"/>
      <c r="R60" s="93"/>
      <c r="S60" s="93"/>
      <c r="T60" s="93"/>
      <c r="U60" s="93"/>
      <c r="V60" s="93"/>
      <c r="W60" s="93"/>
      <c r="X60" s="93"/>
      <c r="Y60" s="93"/>
      <c r="Z60" s="93"/>
      <c r="AA60" s="93"/>
      <c r="AB60" s="93"/>
      <c r="AC60" s="93"/>
      <c r="AD60" s="93"/>
      <c r="AE60" s="93"/>
      <c r="AF60" s="93"/>
      <c r="AG60" s="93"/>
      <c r="AH60" s="93"/>
      <c r="AI60" s="93"/>
      <c r="AJ60" s="93"/>
      <c r="AK60" s="93"/>
      <c r="AL60" s="93"/>
      <c r="AM60" s="93"/>
      <c r="AN60" s="93"/>
      <c r="AO60" s="93"/>
      <c r="AP60" s="93"/>
      <c r="AQ60" s="93"/>
      <c r="AR60" s="93"/>
      <c r="AS60" s="93"/>
      <c r="AT60" s="92" t="str">
        <f>IF(AND(AQ57&lt;&gt;"",AT57&lt;&gt;""),(AQ57+AT57)/2,"")</f>
        <v/>
      </c>
      <c r="AU60" s="92" t="str">
        <f>IF(AND(AT57&lt;&gt;"",AU57&lt;&gt;""),(AT57+AU57)/2,"")</f>
        <v/>
      </c>
      <c r="AV60" s="92" t="str">
        <f>IF(AND(AU57&lt;&gt;"",AV57&lt;&gt;""),(AU57+AV57)/2,"")</f>
        <v/>
      </c>
      <c r="AW60" s="92"/>
      <c r="AX60" s="92" t="str">
        <f>IF(AND(AW57&lt;&gt;"",AX57&lt;&gt;""),(AW57+AX57)/2,"")</f>
        <v/>
      </c>
      <c r="AY60" s="92" t="str">
        <f>IF(AND(AX57&lt;&gt;"",AY57&lt;&gt;""),(AX57+AY57)/2,"")</f>
        <v/>
      </c>
      <c r="AZ60" s="92"/>
      <c r="BA60" s="92" t="str">
        <f t="shared" ref="BA60:CF60" si="51">IF(AND(AZ57&lt;&gt;"",BA57&lt;&gt;""),(AZ57+BA57)/2,"")</f>
        <v/>
      </c>
      <c r="BB60" s="92" t="str">
        <f t="shared" si="51"/>
        <v/>
      </c>
      <c r="BC60" s="92" t="str">
        <f t="shared" si="51"/>
        <v/>
      </c>
      <c r="BD60" s="92" t="str">
        <f t="shared" si="51"/>
        <v/>
      </c>
      <c r="BE60" s="92" t="str">
        <f t="shared" si="51"/>
        <v/>
      </c>
      <c r="BF60" s="92" t="str">
        <f t="shared" si="51"/>
        <v/>
      </c>
      <c r="BG60" s="92" t="str">
        <f t="shared" si="51"/>
        <v/>
      </c>
      <c r="BH60" s="92" t="str">
        <f t="shared" si="51"/>
        <v/>
      </c>
      <c r="BI60" s="92" t="str">
        <f t="shared" si="51"/>
        <v/>
      </c>
      <c r="BJ60" s="92" t="str">
        <f t="shared" si="51"/>
        <v/>
      </c>
      <c r="BK60" s="92" t="str">
        <f t="shared" si="51"/>
        <v/>
      </c>
      <c r="BL60" s="92" t="str">
        <f t="shared" si="51"/>
        <v/>
      </c>
      <c r="BM60" s="92" t="str">
        <f t="shared" si="51"/>
        <v/>
      </c>
      <c r="BN60" s="92" t="str">
        <f t="shared" si="51"/>
        <v/>
      </c>
      <c r="BO60" s="92" t="str">
        <f t="shared" si="51"/>
        <v/>
      </c>
      <c r="BP60" s="92" t="str">
        <f t="shared" si="51"/>
        <v/>
      </c>
      <c r="BQ60" s="92" t="str">
        <f t="shared" si="51"/>
        <v/>
      </c>
      <c r="BR60" s="92" t="str">
        <f t="shared" si="51"/>
        <v/>
      </c>
      <c r="BS60" s="92" t="str">
        <f t="shared" si="51"/>
        <v/>
      </c>
      <c r="BT60" s="92" t="str">
        <f t="shared" si="51"/>
        <v/>
      </c>
      <c r="BU60" s="92" t="str">
        <f t="shared" si="51"/>
        <v/>
      </c>
      <c r="BV60" s="92" t="str">
        <f t="shared" si="51"/>
        <v/>
      </c>
      <c r="BW60" s="92" t="str">
        <f t="shared" si="51"/>
        <v/>
      </c>
      <c r="BX60" s="92" t="str">
        <f t="shared" si="51"/>
        <v/>
      </c>
      <c r="BY60" s="92" t="str">
        <f t="shared" si="51"/>
        <v/>
      </c>
      <c r="BZ60" s="92" t="str">
        <f t="shared" si="51"/>
        <v/>
      </c>
      <c r="CA60" s="92" t="str">
        <f t="shared" si="51"/>
        <v/>
      </c>
      <c r="CB60" s="92" t="str">
        <f t="shared" si="51"/>
        <v/>
      </c>
      <c r="CC60" s="92" t="str">
        <f t="shared" si="51"/>
        <v/>
      </c>
      <c r="CD60" s="92" t="str">
        <f t="shared" si="51"/>
        <v/>
      </c>
      <c r="CE60" s="92" t="str">
        <f t="shared" si="51"/>
        <v/>
      </c>
      <c r="CF60" s="92" t="str">
        <f t="shared" si="51"/>
        <v/>
      </c>
      <c r="CG60" s="92" t="str">
        <f t="shared" ref="CG60:DQ60" si="52">IF(AND(CF57&lt;&gt;"",CG57&lt;&gt;""),(CF57+CG57)/2,"")</f>
        <v/>
      </c>
      <c r="CH60" s="92" t="str">
        <f t="shared" si="52"/>
        <v/>
      </c>
      <c r="CI60" s="92" t="str">
        <f t="shared" si="52"/>
        <v/>
      </c>
      <c r="CJ60" s="92" t="str">
        <f t="shared" si="52"/>
        <v/>
      </c>
      <c r="CK60" s="92" t="str">
        <f t="shared" si="52"/>
        <v/>
      </c>
      <c r="CL60" s="92" t="str">
        <f t="shared" si="52"/>
        <v/>
      </c>
      <c r="CM60" s="92" t="str">
        <f t="shared" si="52"/>
        <v/>
      </c>
      <c r="CN60" s="92" t="str">
        <f t="shared" si="52"/>
        <v/>
      </c>
      <c r="CO60" s="92" t="str">
        <f t="shared" si="52"/>
        <v/>
      </c>
      <c r="CP60" s="92" t="str">
        <f t="shared" si="52"/>
        <v/>
      </c>
      <c r="CQ60" s="92" t="str">
        <f t="shared" si="52"/>
        <v/>
      </c>
      <c r="CR60" s="92" t="str">
        <f t="shared" si="52"/>
        <v/>
      </c>
      <c r="CS60" s="92" t="str">
        <f t="shared" si="52"/>
        <v/>
      </c>
      <c r="CT60" s="92" t="str">
        <f t="shared" si="52"/>
        <v/>
      </c>
      <c r="CU60" s="92" t="str">
        <f t="shared" si="52"/>
        <v/>
      </c>
      <c r="CV60" s="92" t="str">
        <f t="shared" si="52"/>
        <v/>
      </c>
      <c r="CW60" s="92" t="str">
        <f t="shared" si="52"/>
        <v/>
      </c>
      <c r="CX60" s="92" t="str">
        <f t="shared" si="52"/>
        <v/>
      </c>
      <c r="CY60" s="92" t="str">
        <f t="shared" si="52"/>
        <v/>
      </c>
      <c r="CZ60" s="92" t="str">
        <f t="shared" si="52"/>
        <v/>
      </c>
      <c r="DA60" s="92" t="str">
        <f t="shared" si="52"/>
        <v/>
      </c>
      <c r="DB60" s="92" t="str">
        <f t="shared" si="52"/>
        <v/>
      </c>
      <c r="DC60" s="92" t="str">
        <f t="shared" si="52"/>
        <v/>
      </c>
      <c r="DD60" s="92" t="str">
        <f t="shared" si="52"/>
        <v/>
      </c>
      <c r="DE60" s="144" t="str">
        <f t="shared" si="52"/>
        <v/>
      </c>
      <c r="DF60" s="92" t="str">
        <f t="shared" si="52"/>
        <v/>
      </c>
      <c r="DG60" s="92" t="str">
        <f t="shared" si="52"/>
        <v/>
      </c>
      <c r="DH60" s="144" t="str">
        <f t="shared" si="52"/>
        <v/>
      </c>
      <c r="DI60" s="92" t="str">
        <f t="shared" si="52"/>
        <v/>
      </c>
      <c r="DJ60" s="92" t="str">
        <f t="shared" si="52"/>
        <v/>
      </c>
      <c r="DK60" s="144" t="str">
        <f t="shared" si="52"/>
        <v/>
      </c>
      <c r="DL60" s="92" t="str">
        <f t="shared" si="52"/>
        <v/>
      </c>
      <c r="DM60" s="92" t="str">
        <f t="shared" si="52"/>
        <v/>
      </c>
      <c r="DN60" s="144" t="str">
        <f t="shared" si="52"/>
        <v/>
      </c>
      <c r="DO60" s="92" t="str">
        <f t="shared" si="52"/>
        <v/>
      </c>
      <c r="DP60" s="92" t="str">
        <f t="shared" si="52"/>
        <v/>
      </c>
      <c r="DQ60" s="144" t="str">
        <f t="shared" si="52"/>
        <v/>
      </c>
      <c r="DR60" s="92" t="str">
        <f t="shared" ref="DR60:DZ60" si="53">IF(AND(DQ57&lt;&gt;"",DR57&lt;&gt;""),(DQ57+DR57)/2,"")</f>
        <v/>
      </c>
      <c r="DS60" s="92" t="str">
        <f t="shared" si="53"/>
        <v/>
      </c>
      <c r="DT60" s="144" t="str">
        <f t="shared" si="53"/>
        <v/>
      </c>
      <c r="DU60" s="92" t="str">
        <f t="shared" si="53"/>
        <v/>
      </c>
      <c r="DV60" s="92" t="str">
        <f>IF(AND(DU57&lt;&gt;"",DV57&lt;&gt;""),(DU57+DV57)/2,"")</f>
        <v/>
      </c>
      <c r="DW60" s="144" t="str">
        <f>IF(AND(DV57&lt;&gt;"",DW57&lt;&gt;""),(DV57+DW57)/2,"")</f>
        <v/>
      </c>
      <c r="DX60" s="92" t="str">
        <f t="shared" si="53"/>
        <v/>
      </c>
      <c r="DY60" s="92" t="str">
        <f t="shared" si="53"/>
        <v/>
      </c>
      <c r="DZ60" s="144" t="str">
        <f t="shared" si="53"/>
        <v/>
      </c>
      <c r="EA60" s="92" t="str">
        <f t="shared" ref="EA60:EF60" si="54">IF(AND(DZ57&lt;&gt;"",EA57&lt;&gt;""),(DZ57+EA57)/2,"")</f>
        <v/>
      </c>
      <c r="EB60" s="92" t="str">
        <f t="shared" si="54"/>
        <v/>
      </c>
      <c r="EC60" s="144" t="str">
        <f t="shared" si="54"/>
        <v/>
      </c>
      <c r="ED60" s="92" t="str">
        <f t="shared" si="54"/>
        <v/>
      </c>
      <c r="EE60" s="92" t="str">
        <f t="shared" si="54"/>
        <v/>
      </c>
      <c r="EF60" s="144" t="str">
        <f t="shared" si="54"/>
        <v/>
      </c>
      <c r="EG60" s="92" t="str">
        <f t="shared" ref="EG60:EL60" si="55">IF(AND(EF57&lt;&gt;"",EG57&lt;&gt;""),(EF57+EG57)/2,"")</f>
        <v/>
      </c>
      <c r="EH60" s="92" t="str">
        <f t="shared" si="55"/>
        <v/>
      </c>
      <c r="EI60" s="144" t="str">
        <f t="shared" si="55"/>
        <v/>
      </c>
      <c r="EJ60" s="92" t="str">
        <f t="shared" si="55"/>
        <v/>
      </c>
      <c r="EK60" s="92" t="str">
        <f t="shared" si="55"/>
        <v/>
      </c>
      <c r="EL60" s="144" t="str">
        <f t="shared" si="55"/>
        <v/>
      </c>
      <c r="EM60" s="92" t="str">
        <f t="shared" ref="EM60:FA60" si="56">IF(AND(EL57&lt;&gt;"",EM57&lt;&gt;""),(EL57+EM57)/2,"")</f>
        <v/>
      </c>
      <c r="EN60" s="92" t="str">
        <f t="shared" si="56"/>
        <v/>
      </c>
      <c r="EO60" s="144" t="str">
        <f t="shared" si="56"/>
        <v/>
      </c>
      <c r="EP60" s="92" t="str">
        <f t="shared" si="56"/>
        <v/>
      </c>
      <c r="EQ60" s="92" t="str">
        <f t="shared" si="56"/>
        <v/>
      </c>
      <c r="ER60" s="144" t="str">
        <f t="shared" si="56"/>
        <v/>
      </c>
      <c r="ES60" s="92" t="str">
        <f t="shared" si="56"/>
        <v/>
      </c>
      <c r="ET60" s="92" t="str">
        <f t="shared" si="56"/>
        <v/>
      </c>
      <c r="EU60" s="144" t="str">
        <f t="shared" si="56"/>
        <v/>
      </c>
      <c r="EV60" s="92" t="str">
        <f t="shared" si="56"/>
        <v/>
      </c>
      <c r="EW60" s="92" t="str">
        <f t="shared" si="56"/>
        <v/>
      </c>
      <c r="EX60" s="144" t="str">
        <f t="shared" si="56"/>
        <v/>
      </c>
      <c r="EY60" s="92" t="str">
        <f t="shared" si="56"/>
        <v/>
      </c>
      <c r="EZ60" s="92" t="str">
        <f t="shared" si="56"/>
        <v/>
      </c>
      <c r="FA60" s="144" t="str">
        <f t="shared" si="56"/>
        <v/>
      </c>
    </row>
    <row r="61" spans="1:157" ht="13.35" customHeight="1" outlineLevel="1">
      <c r="A61" s="3"/>
      <c r="B61" s="4" t="s">
        <v>101</v>
      </c>
      <c r="C61" s="4"/>
      <c r="D61" s="91"/>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c r="AF61" s="93"/>
      <c r="AG61" s="93"/>
      <c r="AH61" s="93"/>
      <c r="AI61" s="93"/>
      <c r="AJ61" s="93"/>
      <c r="AK61" s="93"/>
      <c r="AL61" s="93"/>
      <c r="AM61" s="93"/>
      <c r="AN61" s="93"/>
      <c r="AO61" s="93"/>
      <c r="AP61" s="93"/>
      <c r="AQ61" s="93"/>
      <c r="AR61" s="93"/>
      <c r="AS61" s="93"/>
      <c r="AT61" s="92" t="str">
        <f>IF(AND(AQ59&lt;&gt;"",AT59&lt;&gt;""),(AQ59+AT59)/2,"")</f>
        <v/>
      </c>
      <c r="AU61" s="92" t="str">
        <f>IF(AND(AT59&lt;&gt;"",AU59&lt;&gt;""),(AT59+AU59)/2,"")</f>
        <v/>
      </c>
      <c r="AV61" s="92" t="str">
        <f>IF(AND(AU59&lt;&gt;"",AV59&lt;&gt;""),(AU59+AV59)/2,"")</f>
        <v/>
      </c>
      <c r="AW61" s="92" t="str">
        <f>IF(AND(AT59&lt;&gt;"",AW59&lt;&gt;""),(AT59+AW59)/2,"")</f>
        <v/>
      </c>
      <c r="AX61" s="92" t="str">
        <f>IF(AND(AW59&lt;&gt;"",AX59&lt;&gt;""),(AW59+AX59)/2,"")</f>
        <v/>
      </c>
      <c r="AY61" s="92" t="str">
        <f>IF(AND(AX59&lt;&gt;"",AY59&lt;&gt;""),(AX59+AY59)/2,"")</f>
        <v/>
      </c>
      <c r="AZ61" s="92" t="str">
        <f>IF(AND(AW59&lt;&gt;"",AZ59&lt;&gt;""),(AW59+AZ59)/2,"")</f>
        <v/>
      </c>
      <c r="BA61" s="92" t="str">
        <f t="shared" ref="BA61:CF61" si="57">IF(AND(AZ59&lt;&gt;"",BA59&lt;&gt;""),(AZ59+BA59)/2,"")</f>
        <v/>
      </c>
      <c r="BB61" s="92" t="str">
        <f t="shared" si="57"/>
        <v/>
      </c>
      <c r="BC61" s="92" t="str">
        <f t="shared" si="57"/>
        <v/>
      </c>
      <c r="BD61" s="92" t="str">
        <f t="shared" si="57"/>
        <v/>
      </c>
      <c r="BE61" s="92" t="str">
        <f t="shared" si="57"/>
        <v/>
      </c>
      <c r="BF61" s="92" t="str">
        <f t="shared" si="57"/>
        <v/>
      </c>
      <c r="BG61" s="92" t="str">
        <f t="shared" si="57"/>
        <v/>
      </c>
      <c r="BH61" s="92" t="str">
        <f t="shared" si="57"/>
        <v/>
      </c>
      <c r="BI61" s="92" t="str">
        <f t="shared" si="57"/>
        <v/>
      </c>
      <c r="BJ61" s="92" t="str">
        <f t="shared" si="57"/>
        <v/>
      </c>
      <c r="BK61" s="92" t="str">
        <f t="shared" si="57"/>
        <v/>
      </c>
      <c r="BL61" s="92" t="str">
        <f t="shared" si="57"/>
        <v/>
      </c>
      <c r="BM61" s="92" t="str">
        <f t="shared" si="57"/>
        <v/>
      </c>
      <c r="BN61" s="92" t="str">
        <f t="shared" si="57"/>
        <v/>
      </c>
      <c r="BO61" s="92" t="str">
        <f t="shared" si="57"/>
        <v/>
      </c>
      <c r="BP61" s="92" t="str">
        <f t="shared" si="57"/>
        <v/>
      </c>
      <c r="BQ61" s="92" t="str">
        <f t="shared" si="57"/>
        <v/>
      </c>
      <c r="BR61" s="92" t="str">
        <f t="shared" si="57"/>
        <v/>
      </c>
      <c r="BS61" s="92" t="str">
        <f t="shared" si="57"/>
        <v/>
      </c>
      <c r="BT61" s="92" t="str">
        <f t="shared" si="57"/>
        <v/>
      </c>
      <c r="BU61" s="92" t="str">
        <f t="shared" si="57"/>
        <v/>
      </c>
      <c r="BV61" s="92" t="str">
        <f t="shared" si="57"/>
        <v/>
      </c>
      <c r="BW61" s="92" t="str">
        <f t="shared" si="57"/>
        <v/>
      </c>
      <c r="BX61" s="92" t="str">
        <f t="shared" si="57"/>
        <v/>
      </c>
      <c r="BY61" s="92" t="str">
        <f t="shared" si="57"/>
        <v/>
      </c>
      <c r="BZ61" s="92" t="str">
        <f t="shared" si="57"/>
        <v/>
      </c>
      <c r="CA61" s="92" t="str">
        <f t="shared" si="57"/>
        <v/>
      </c>
      <c r="CB61" s="92" t="str">
        <f t="shared" si="57"/>
        <v/>
      </c>
      <c r="CC61" s="92" t="str">
        <f t="shared" si="57"/>
        <v/>
      </c>
      <c r="CD61" s="92" t="str">
        <f t="shared" si="57"/>
        <v/>
      </c>
      <c r="CE61" s="92" t="str">
        <f t="shared" si="57"/>
        <v/>
      </c>
      <c r="CF61" s="92" t="str">
        <f t="shared" si="57"/>
        <v/>
      </c>
      <c r="CG61" s="92" t="str">
        <f t="shared" ref="CG61:DQ61" si="58">IF(AND(CF59&lt;&gt;"",CG59&lt;&gt;""),(CF59+CG59)/2,"")</f>
        <v/>
      </c>
      <c r="CH61" s="92" t="str">
        <f t="shared" si="58"/>
        <v/>
      </c>
      <c r="CI61" s="92" t="str">
        <f t="shared" si="58"/>
        <v/>
      </c>
      <c r="CJ61" s="92" t="str">
        <f t="shared" si="58"/>
        <v/>
      </c>
      <c r="CK61" s="92" t="str">
        <f t="shared" si="58"/>
        <v/>
      </c>
      <c r="CL61" s="92" t="str">
        <f t="shared" si="58"/>
        <v/>
      </c>
      <c r="CM61" s="92" t="str">
        <f t="shared" si="58"/>
        <v/>
      </c>
      <c r="CN61" s="92" t="str">
        <f t="shared" si="58"/>
        <v/>
      </c>
      <c r="CO61" s="92" t="str">
        <f t="shared" si="58"/>
        <v/>
      </c>
      <c r="CP61" s="92" t="str">
        <f t="shared" si="58"/>
        <v/>
      </c>
      <c r="CQ61" s="92" t="str">
        <f t="shared" si="58"/>
        <v/>
      </c>
      <c r="CR61" s="92" t="str">
        <f t="shared" si="58"/>
        <v/>
      </c>
      <c r="CS61" s="92" t="str">
        <f t="shared" si="58"/>
        <v/>
      </c>
      <c r="CT61" s="92" t="str">
        <f t="shared" si="58"/>
        <v/>
      </c>
      <c r="CU61" s="92" t="str">
        <f t="shared" si="58"/>
        <v/>
      </c>
      <c r="CV61" s="92" t="str">
        <f t="shared" si="58"/>
        <v/>
      </c>
      <c r="CW61" s="92" t="str">
        <f t="shared" si="58"/>
        <v/>
      </c>
      <c r="CX61" s="92" t="str">
        <f t="shared" si="58"/>
        <v/>
      </c>
      <c r="CY61" s="92" t="str">
        <f t="shared" si="58"/>
        <v/>
      </c>
      <c r="CZ61" s="92" t="str">
        <f t="shared" si="58"/>
        <v/>
      </c>
      <c r="DA61" s="92" t="str">
        <f t="shared" si="58"/>
        <v/>
      </c>
      <c r="DB61" s="92" t="str">
        <f t="shared" si="58"/>
        <v/>
      </c>
      <c r="DC61" s="92" t="str">
        <f t="shared" si="58"/>
        <v/>
      </c>
      <c r="DD61" s="92" t="str">
        <f t="shared" si="58"/>
        <v/>
      </c>
      <c r="DE61" s="144" t="str">
        <f t="shared" si="58"/>
        <v/>
      </c>
      <c r="DF61" s="92" t="str">
        <f t="shared" si="58"/>
        <v/>
      </c>
      <c r="DG61" s="92" t="str">
        <f t="shared" si="58"/>
        <v/>
      </c>
      <c r="DH61" s="144" t="str">
        <f t="shared" si="58"/>
        <v/>
      </c>
      <c r="DI61" s="92" t="str">
        <f t="shared" si="58"/>
        <v/>
      </c>
      <c r="DJ61" s="92" t="str">
        <f t="shared" si="58"/>
        <v/>
      </c>
      <c r="DK61" s="144" t="str">
        <f t="shared" si="58"/>
        <v/>
      </c>
      <c r="DL61" s="92" t="str">
        <f t="shared" si="58"/>
        <v/>
      </c>
      <c r="DM61" s="92" t="str">
        <f t="shared" si="58"/>
        <v/>
      </c>
      <c r="DN61" s="144" t="str">
        <f t="shared" si="58"/>
        <v/>
      </c>
      <c r="DO61" s="92" t="str">
        <f t="shared" si="58"/>
        <v/>
      </c>
      <c r="DP61" s="92" t="str">
        <f t="shared" si="58"/>
        <v/>
      </c>
      <c r="DQ61" s="144" t="str">
        <f t="shared" si="58"/>
        <v/>
      </c>
      <c r="DR61" s="92" t="str">
        <f t="shared" ref="DR61:DZ61" si="59">IF(AND(DQ59&lt;&gt;"",DR59&lt;&gt;""),(DQ59+DR59)/2,"")</f>
        <v/>
      </c>
      <c r="DS61" s="92" t="str">
        <f t="shared" si="59"/>
        <v/>
      </c>
      <c r="DT61" s="144" t="str">
        <f t="shared" si="59"/>
        <v/>
      </c>
      <c r="DU61" s="92" t="str">
        <f t="shared" si="59"/>
        <v/>
      </c>
      <c r="DV61" s="92" t="str">
        <f>IF(AND(DU59&lt;&gt;"",DV59&lt;&gt;""),(DU59+DV59)/2,"")</f>
        <v/>
      </c>
      <c r="DW61" s="144" t="str">
        <f>IF(AND(DV59&lt;&gt;"",DW59&lt;&gt;""),(DV59+DW59)/2,"")</f>
        <v/>
      </c>
      <c r="DX61" s="92" t="str">
        <f t="shared" si="59"/>
        <v/>
      </c>
      <c r="DY61" s="92" t="str">
        <f t="shared" si="59"/>
        <v/>
      </c>
      <c r="DZ61" s="144" t="str">
        <f t="shared" si="59"/>
        <v/>
      </c>
      <c r="EA61" s="92" t="str">
        <f t="shared" ref="EA61:EF61" si="60">IF(AND(DZ59&lt;&gt;"",EA59&lt;&gt;""),(DZ59+EA59)/2,"")</f>
        <v/>
      </c>
      <c r="EB61" s="92" t="str">
        <f t="shared" si="60"/>
        <v/>
      </c>
      <c r="EC61" s="144" t="str">
        <f t="shared" si="60"/>
        <v/>
      </c>
      <c r="ED61" s="92" t="str">
        <f t="shared" si="60"/>
        <v/>
      </c>
      <c r="EE61" s="92" t="str">
        <f t="shared" si="60"/>
        <v/>
      </c>
      <c r="EF61" s="144" t="str">
        <f t="shared" si="60"/>
        <v/>
      </c>
      <c r="EG61" s="92" t="str">
        <f t="shared" ref="EG61:EL61" si="61">IF(AND(EF59&lt;&gt;"",EG59&lt;&gt;""),(EF59+EG59)/2,"")</f>
        <v/>
      </c>
      <c r="EH61" s="92" t="str">
        <f t="shared" si="61"/>
        <v/>
      </c>
      <c r="EI61" s="144" t="str">
        <f t="shared" si="61"/>
        <v/>
      </c>
      <c r="EJ61" s="92" t="str">
        <f t="shared" si="61"/>
        <v/>
      </c>
      <c r="EK61" s="92" t="str">
        <f t="shared" si="61"/>
        <v/>
      </c>
      <c r="EL61" s="144" t="str">
        <f t="shared" si="61"/>
        <v/>
      </c>
      <c r="EM61" s="92" t="str">
        <f t="shared" ref="EM61:FA61" si="62">IF(AND(EL59&lt;&gt;"",EM59&lt;&gt;""),(EL59+EM59)/2,"")</f>
        <v/>
      </c>
      <c r="EN61" s="92" t="str">
        <f t="shared" si="62"/>
        <v/>
      </c>
      <c r="EO61" s="144" t="str">
        <f t="shared" si="62"/>
        <v/>
      </c>
      <c r="EP61" s="92" t="str">
        <f t="shared" si="62"/>
        <v/>
      </c>
      <c r="EQ61" s="92" t="str">
        <f t="shared" si="62"/>
        <v/>
      </c>
      <c r="ER61" s="144" t="str">
        <f t="shared" si="62"/>
        <v/>
      </c>
      <c r="ES61" s="92" t="str">
        <f t="shared" si="62"/>
        <v/>
      </c>
      <c r="ET61" s="92" t="str">
        <f t="shared" si="62"/>
        <v/>
      </c>
      <c r="EU61" s="144" t="str">
        <f t="shared" si="62"/>
        <v/>
      </c>
      <c r="EV61" s="92" t="str">
        <f t="shared" si="62"/>
        <v/>
      </c>
      <c r="EW61" s="92" t="str">
        <f t="shared" si="62"/>
        <v/>
      </c>
      <c r="EX61" s="144" t="str">
        <f t="shared" si="62"/>
        <v/>
      </c>
      <c r="EY61" s="92" t="str">
        <f t="shared" si="62"/>
        <v/>
      </c>
      <c r="EZ61" s="92" t="str">
        <f t="shared" si="62"/>
        <v/>
      </c>
      <c r="FA61" s="144" t="str">
        <f t="shared" si="62"/>
        <v/>
      </c>
    </row>
    <row r="62" spans="1:157" ht="13.35" customHeight="1">
      <c r="A62" s="3"/>
      <c r="B62" s="4" t="s">
        <v>102</v>
      </c>
      <c r="C62" s="4"/>
      <c r="D62" s="91"/>
      <c r="E62" s="82"/>
      <c r="F62" s="8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c r="AV62" s="82"/>
      <c r="AW62" s="82"/>
      <c r="AX62" s="82"/>
      <c r="AY62" s="82"/>
      <c r="AZ62" s="82"/>
      <c r="BA62" s="166">
        <v>2.5000000000000001E-2</v>
      </c>
      <c r="BB62" s="166">
        <v>2.5000000000000001E-2</v>
      </c>
      <c r="BC62" s="166">
        <v>2.5000000000000001E-2</v>
      </c>
      <c r="BD62" s="166">
        <v>2.75E-2</v>
      </c>
      <c r="BE62" s="166">
        <v>2.75E-2</v>
      </c>
      <c r="BF62" s="166">
        <v>5.5E-2</v>
      </c>
      <c r="BG62" s="166">
        <v>3.5000000000000003E-2</v>
      </c>
      <c r="BH62" s="166">
        <v>3.5000000000000003E-2</v>
      </c>
      <c r="BI62" s="166">
        <v>7.0000000000000007E-2</v>
      </c>
      <c r="BJ62" s="166">
        <v>3.5000000000000003E-2</v>
      </c>
      <c r="BK62" s="166">
        <v>3.5000000000000003E-2</v>
      </c>
      <c r="BL62" s="166">
        <v>7.0000000000000007E-2</v>
      </c>
      <c r="BM62" s="166">
        <v>3.5000000000000003E-2</v>
      </c>
      <c r="BN62" s="166">
        <v>3.5000000000000003E-2</v>
      </c>
      <c r="BO62" s="166">
        <v>7.0000000000000007E-2</v>
      </c>
      <c r="BP62" s="166">
        <v>3.5000000000000003E-2</v>
      </c>
      <c r="BQ62" s="166">
        <v>3.5000000000000003E-2</v>
      </c>
      <c r="BR62" s="166">
        <v>7.0000000000000007E-2</v>
      </c>
      <c r="BS62" s="166">
        <v>3.5000000000000003E-2</v>
      </c>
      <c r="BT62" s="166">
        <v>3.5000000000000003E-2</v>
      </c>
      <c r="BU62" s="166">
        <v>7.0000000000000007E-2</v>
      </c>
      <c r="BV62" s="166">
        <v>3.5000000000000003E-2</v>
      </c>
      <c r="BW62" s="166">
        <v>3.5000000000000003E-2</v>
      </c>
      <c r="BX62" s="166">
        <v>7.0000000000000007E-2</v>
      </c>
      <c r="BY62" s="166">
        <v>3.5000000000000003E-2</v>
      </c>
      <c r="BZ62" s="166">
        <v>3.5000000000000003E-2</v>
      </c>
      <c r="CA62" s="166">
        <v>7.0000000000000007E-2</v>
      </c>
      <c r="CB62" s="166">
        <v>3.5000000000000003E-2</v>
      </c>
      <c r="CC62" s="166">
        <v>3.5000000000000003E-2</v>
      </c>
      <c r="CD62" s="166">
        <v>7.0000000000000007E-2</v>
      </c>
      <c r="CE62" s="166">
        <v>3.5000000000000003E-2</v>
      </c>
      <c r="CF62" s="166">
        <v>3.5000000000000003E-2</v>
      </c>
      <c r="CG62" s="166">
        <v>7.0000000000000007E-2</v>
      </c>
      <c r="CH62" s="166">
        <v>3.5000000000000003E-2</v>
      </c>
      <c r="CI62" s="166">
        <v>3.5000000000000003E-2</v>
      </c>
      <c r="CJ62" s="166">
        <v>7.0000000000000007E-2</v>
      </c>
      <c r="CK62" s="166">
        <v>3.5000000000000003E-2</v>
      </c>
      <c r="CL62" s="166">
        <v>3.5000000000000003E-2</v>
      </c>
      <c r="CM62" s="166">
        <v>7.0000000000000007E-2</v>
      </c>
      <c r="CN62" s="166">
        <v>8.1666666666666707E-2</v>
      </c>
      <c r="CO62" s="166">
        <v>9.9166666666666695E-2</v>
      </c>
      <c r="CP62" s="166">
        <v>0.116666666666667</v>
      </c>
      <c r="CQ62" s="166">
        <v>0.13416666666666699</v>
      </c>
      <c r="CR62" s="166">
        <v>0.151666666666667</v>
      </c>
      <c r="CS62" s="166">
        <v>0.16916666666666699</v>
      </c>
      <c r="CT62" s="166">
        <v>0.18666666666666701</v>
      </c>
      <c r="CU62" s="166">
        <v>0.204166666666667</v>
      </c>
      <c r="CV62" s="166">
        <v>0.22166666666666701</v>
      </c>
      <c r="CW62" s="166">
        <v>0.239166666666667</v>
      </c>
      <c r="CX62" s="166">
        <v>0.25666666666666699</v>
      </c>
      <c r="CY62" s="166">
        <v>0.274166666666667</v>
      </c>
      <c r="CZ62" s="166">
        <v>0.29166666666666702</v>
      </c>
      <c r="DA62" s="166">
        <v>0.30916666666666698</v>
      </c>
      <c r="DB62" s="166">
        <v>0.32666666666666699</v>
      </c>
      <c r="DC62" s="166">
        <v>0.34416666666666701</v>
      </c>
      <c r="DD62" s="166">
        <v>0.36166666666666702</v>
      </c>
      <c r="DE62" s="167">
        <v>0.37916666666666698</v>
      </c>
      <c r="DF62" s="166">
        <v>0.396666666666667</v>
      </c>
      <c r="DG62" s="166">
        <v>0.41416666666666702</v>
      </c>
      <c r="DH62" s="167">
        <v>0.43166666666666698</v>
      </c>
      <c r="DI62" s="166">
        <v>0.44916666666666699</v>
      </c>
      <c r="DJ62" s="166">
        <v>0.46666666666666701</v>
      </c>
      <c r="DK62" s="167">
        <v>0.48416666666666702</v>
      </c>
      <c r="DL62" s="166">
        <v>0.50166666666666704</v>
      </c>
      <c r="DM62" s="166">
        <v>0.519166666666667</v>
      </c>
      <c r="DN62" s="167">
        <v>0.53666666666666696</v>
      </c>
      <c r="DO62" s="166">
        <v>0.55416666666666703</v>
      </c>
      <c r="DP62" s="166">
        <v>0.57166666666666699</v>
      </c>
      <c r="DQ62" s="167">
        <v>0.58916666666666695</v>
      </c>
      <c r="DR62" s="166">
        <v>0.55416666666666703</v>
      </c>
      <c r="DS62" s="166">
        <v>0.57166666666666699</v>
      </c>
      <c r="DT62" s="167">
        <v>0.58916666666666695</v>
      </c>
      <c r="DU62" s="166">
        <v>0.55416666666666703</v>
      </c>
      <c r="DV62" s="166">
        <v>0.57166666666666699</v>
      </c>
      <c r="DW62" s="167">
        <v>0.58916666666666695</v>
      </c>
      <c r="DX62" s="166">
        <v>0.55416666666666703</v>
      </c>
      <c r="DY62" s="166">
        <v>0.57166666666666699</v>
      </c>
      <c r="DZ62" s="167">
        <v>0.58916666666666695</v>
      </c>
      <c r="EA62" s="166">
        <v>0.55416666666666703</v>
      </c>
      <c r="EB62" s="166">
        <v>0.57166666666666699</v>
      </c>
      <c r="EC62" s="167">
        <v>0.58916666666666695</v>
      </c>
      <c r="ED62" s="166">
        <v>0.55416666666666703</v>
      </c>
      <c r="EE62" s="166">
        <v>0.57166666666666699</v>
      </c>
      <c r="EF62" s="167">
        <v>0.58916666666666695</v>
      </c>
      <c r="EG62" s="166">
        <v>0.55416666666666703</v>
      </c>
      <c r="EH62" s="166">
        <v>0.57166666666666699</v>
      </c>
      <c r="EI62" s="167">
        <v>0.58916666666666695</v>
      </c>
      <c r="EJ62" s="166">
        <v>0.55416666666666703</v>
      </c>
      <c r="EK62" s="166">
        <v>0.57166666666666699</v>
      </c>
      <c r="EL62" s="167">
        <v>0.58916666666666695</v>
      </c>
      <c r="EM62" s="166">
        <v>0.55416666666666703</v>
      </c>
      <c r="EN62" s="166">
        <v>0.57166666666666699</v>
      </c>
      <c r="EO62" s="167">
        <v>0.58916666666666695</v>
      </c>
      <c r="EP62" s="166">
        <v>0.55416666666666703</v>
      </c>
      <c r="EQ62" s="166">
        <v>0.57166666666666699</v>
      </c>
      <c r="ER62" s="167">
        <v>0.58916666666666695</v>
      </c>
      <c r="ES62" s="166">
        <v>0.60666666666666702</v>
      </c>
      <c r="ET62" s="166">
        <v>0.62416666666666698</v>
      </c>
      <c r="EU62" s="167">
        <v>0.64166666666666705</v>
      </c>
      <c r="EV62" s="166">
        <v>0.60666666666666702</v>
      </c>
      <c r="EW62" s="166">
        <v>0.62416666666666698</v>
      </c>
      <c r="EX62" s="167">
        <v>0.64166666666666705</v>
      </c>
      <c r="EY62" s="166">
        <v>0.60666666666666702</v>
      </c>
      <c r="EZ62" s="166">
        <v>0.62416666666666698</v>
      </c>
      <c r="FA62" s="167">
        <v>0.64166666666666705</v>
      </c>
    </row>
    <row r="63" spans="1:157" ht="13.35" customHeight="1">
      <c r="A63" s="3"/>
      <c r="B63" s="4" t="s">
        <v>103</v>
      </c>
      <c r="C63" s="4"/>
      <c r="D63" s="4"/>
      <c r="E63" s="93"/>
      <c r="F63" s="93"/>
      <c r="G63" s="93"/>
      <c r="H63" s="93"/>
      <c r="I63" s="93"/>
      <c r="J63" s="93"/>
      <c r="K63" s="93"/>
      <c r="L63" s="93"/>
      <c r="M63" s="93"/>
      <c r="N63" s="93"/>
      <c r="O63" s="93"/>
      <c r="P63" s="93"/>
      <c r="Q63" s="93"/>
      <c r="R63" s="93"/>
      <c r="S63" s="93"/>
      <c r="T63" s="93"/>
      <c r="U63" s="93"/>
      <c r="V63" s="93"/>
      <c r="W63" s="93"/>
      <c r="X63" s="93"/>
      <c r="Y63" s="93"/>
      <c r="Z63" s="93"/>
      <c r="AA63" s="93"/>
      <c r="AB63" s="93"/>
      <c r="AC63" s="93"/>
      <c r="AD63" s="93"/>
      <c r="AE63" s="93"/>
      <c r="AF63" s="93"/>
      <c r="AG63" s="93"/>
      <c r="AH63" s="93"/>
      <c r="AI63" s="93"/>
      <c r="AJ63" s="93"/>
      <c r="AK63" s="93"/>
      <c r="AL63" s="93"/>
      <c r="AM63" s="93"/>
      <c r="AN63" s="93"/>
      <c r="AO63" s="93"/>
      <c r="AP63" s="93"/>
      <c r="AQ63" s="93"/>
      <c r="AR63" s="93"/>
      <c r="AS63" s="93"/>
      <c r="AT63" s="93"/>
      <c r="AU63" s="93"/>
      <c r="AV63" s="93"/>
      <c r="AW63" s="92"/>
      <c r="AX63" s="92"/>
      <c r="AY63" s="92"/>
      <c r="AZ63" s="92"/>
      <c r="BA63" s="92">
        <f>(BA56*BA62)/1.36</f>
        <v>10.001378676470589</v>
      </c>
      <c r="BB63" s="92">
        <v>15</v>
      </c>
      <c r="BC63" s="92">
        <f>(BC62*BC56)*(10/12)</f>
        <v>11.334895833333334</v>
      </c>
      <c r="BD63" s="92">
        <f t="shared" ref="BD63:CI63" si="63">BD62*BD56</f>
        <v>14.962062500000002</v>
      </c>
      <c r="BE63" s="92">
        <f t="shared" si="63"/>
        <v>14.962062500000002</v>
      </c>
      <c r="BF63" s="92">
        <f t="shared" si="63"/>
        <v>29.924125000000004</v>
      </c>
      <c r="BG63" s="92">
        <f t="shared" si="63"/>
        <v>19.042625000000005</v>
      </c>
      <c r="BH63" s="92">
        <f t="shared" si="63"/>
        <v>19.042625000000005</v>
      </c>
      <c r="BI63" s="92">
        <f t="shared" si="63"/>
        <v>38.085250000000009</v>
      </c>
      <c r="BJ63" s="92">
        <f t="shared" si="63"/>
        <v>19.042625000000005</v>
      </c>
      <c r="BK63" s="92">
        <f t="shared" si="63"/>
        <v>19.042625000000005</v>
      </c>
      <c r="BL63" s="92">
        <f t="shared" si="63"/>
        <v>38.085250000000009</v>
      </c>
      <c r="BM63" s="92">
        <f t="shared" si="63"/>
        <v>19.042625000000005</v>
      </c>
      <c r="BN63" s="92">
        <f t="shared" si="63"/>
        <v>19.042625000000005</v>
      </c>
      <c r="BO63" s="92">
        <f t="shared" si="63"/>
        <v>38.085250000000009</v>
      </c>
      <c r="BP63" s="92">
        <f t="shared" si="63"/>
        <v>19.042625000000005</v>
      </c>
      <c r="BQ63" s="92">
        <f t="shared" si="63"/>
        <v>19.042625000000005</v>
      </c>
      <c r="BR63" s="92">
        <f t="shared" si="63"/>
        <v>38.085250000000009</v>
      </c>
      <c r="BS63" s="92">
        <f t="shared" si="63"/>
        <v>19.042625000000005</v>
      </c>
      <c r="BT63" s="92">
        <f t="shared" si="63"/>
        <v>19.042625000000005</v>
      </c>
      <c r="BU63" s="92">
        <f t="shared" si="63"/>
        <v>38.085250000000009</v>
      </c>
      <c r="BV63" s="92">
        <f t="shared" si="63"/>
        <v>19.042625000000005</v>
      </c>
      <c r="BW63" s="92">
        <f t="shared" si="63"/>
        <v>19.042625000000005</v>
      </c>
      <c r="BX63" s="92">
        <f t="shared" si="63"/>
        <v>38.085250000000009</v>
      </c>
      <c r="BY63" s="92">
        <f t="shared" si="63"/>
        <v>19.042625000000005</v>
      </c>
      <c r="BZ63" s="92">
        <f t="shared" si="63"/>
        <v>19.042625000000005</v>
      </c>
      <c r="CA63" s="92">
        <f t="shared" si="63"/>
        <v>38.085250000000009</v>
      </c>
      <c r="CB63" s="92">
        <f t="shared" si="63"/>
        <v>19.042625000000005</v>
      </c>
      <c r="CC63" s="92">
        <f t="shared" si="63"/>
        <v>19.042625000000005</v>
      </c>
      <c r="CD63" s="92">
        <f t="shared" si="63"/>
        <v>38.085250000000009</v>
      </c>
      <c r="CE63" s="92">
        <f t="shared" si="63"/>
        <v>19.042625000000005</v>
      </c>
      <c r="CF63" s="92">
        <f t="shared" si="63"/>
        <v>19.042625000000005</v>
      </c>
      <c r="CG63" s="92">
        <f t="shared" si="63"/>
        <v>38.085250000000009</v>
      </c>
      <c r="CH63" s="92">
        <f t="shared" si="63"/>
        <v>19.042625000000005</v>
      </c>
      <c r="CI63" s="92">
        <f t="shared" si="63"/>
        <v>19.042625000000005</v>
      </c>
      <c r="CJ63" s="92">
        <f t="shared" ref="CJ63:DQ63" si="64">CJ62*CJ56</f>
        <v>38.085250000000009</v>
      </c>
      <c r="CK63" s="92">
        <f t="shared" si="64"/>
        <v>19.042625000000005</v>
      </c>
      <c r="CL63" s="92">
        <f t="shared" si="64"/>
        <v>19.042625000000005</v>
      </c>
      <c r="CM63" s="92">
        <f t="shared" si="64"/>
        <v>38.085250000000009</v>
      </c>
      <c r="CN63" s="92">
        <f t="shared" si="64"/>
        <v>44.432791666666695</v>
      </c>
      <c r="CO63" s="92">
        <f t="shared" si="64"/>
        <v>53.954104166666689</v>
      </c>
      <c r="CP63" s="92">
        <f t="shared" si="64"/>
        <v>63.475416666666852</v>
      </c>
      <c r="CQ63" s="92">
        <f t="shared" si="64"/>
        <v>72.996729166666853</v>
      </c>
      <c r="CR63" s="92">
        <f t="shared" si="64"/>
        <v>82.518041666666861</v>
      </c>
      <c r="CS63" s="92">
        <f t="shared" si="64"/>
        <v>92.039354166666854</v>
      </c>
      <c r="CT63" s="92">
        <f t="shared" si="64"/>
        <v>101.56066666666686</v>
      </c>
      <c r="CU63" s="92">
        <f t="shared" si="64"/>
        <v>111.08197916666686</v>
      </c>
      <c r="CV63" s="92">
        <f t="shared" si="64"/>
        <v>120.60329166666686</v>
      </c>
      <c r="CW63" s="92">
        <f t="shared" si="64"/>
        <v>130.12460416666687</v>
      </c>
      <c r="CX63" s="92">
        <f t="shared" si="64"/>
        <v>139.64591666666686</v>
      </c>
      <c r="CY63" s="92">
        <f t="shared" si="64"/>
        <v>149.16722916666686</v>
      </c>
      <c r="CZ63" s="92">
        <f t="shared" si="64"/>
        <v>158.68854166666688</v>
      </c>
      <c r="DA63" s="92">
        <f t="shared" si="64"/>
        <v>168.20985416666684</v>
      </c>
      <c r="DB63" s="92">
        <f t="shared" si="64"/>
        <v>177.73116666666687</v>
      </c>
      <c r="DC63" s="92">
        <f t="shared" si="64"/>
        <v>187.25247916666686</v>
      </c>
      <c r="DD63" s="92">
        <f t="shared" si="64"/>
        <v>196.77379166666688</v>
      </c>
      <c r="DE63" s="144">
        <f t="shared" si="64"/>
        <v>206.29510416666685</v>
      </c>
      <c r="DF63" s="92">
        <f t="shared" si="64"/>
        <v>215.81641666666687</v>
      </c>
      <c r="DG63" s="92">
        <f t="shared" si="64"/>
        <v>225.33772916666689</v>
      </c>
      <c r="DH63" s="144">
        <f t="shared" si="64"/>
        <v>234.85904166666685</v>
      </c>
      <c r="DI63" s="92">
        <f t="shared" si="64"/>
        <v>244.38035416666688</v>
      </c>
      <c r="DJ63" s="92">
        <f t="shared" si="64"/>
        <v>253.90166666666687</v>
      </c>
      <c r="DK63" s="144">
        <f t="shared" si="64"/>
        <v>263.42297916666689</v>
      </c>
      <c r="DL63" s="92">
        <f t="shared" si="64"/>
        <v>272.94429166666691</v>
      </c>
      <c r="DM63" s="92">
        <f t="shared" si="64"/>
        <v>282.46560416666688</v>
      </c>
      <c r="DN63" s="144">
        <f t="shared" si="64"/>
        <v>291.98691666666684</v>
      </c>
      <c r="DO63" s="92">
        <f t="shared" si="64"/>
        <v>301.50822916666687</v>
      </c>
      <c r="DP63" s="92">
        <f t="shared" si="64"/>
        <v>311.02954166666689</v>
      </c>
      <c r="DQ63" s="144">
        <f t="shared" si="64"/>
        <v>320.55085416666685</v>
      </c>
      <c r="DR63" s="92">
        <f t="shared" ref="DR63:DZ63" si="65">DR62*DR56</f>
        <v>301.50822916666687</v>
      </c>
      <c r="DS63" s="92">
        <f t="shared" si="65"/>
        <v>311.02954166666689</v>
      </c>
      <c r="DT63" s="144">
        <f t="shared" si="65"/>
        <v>320.55085416666685</v>
      </c>
      <c r="DU63" s="92">
        <f t="shared" si="65"/>
        <v>301.50822916666687</v>
      </c>
      <c r="DV63" s="92">
        <f>DV62*DV56</f>
        <v>311.02954166666689</v>
      </c>
      <c r="DW63" s="144">
        <f>DW62*DW56</f>
        <v>320.55085416666685</v>
      </c>
      <c r="DX63" s="92">
        <f t="shared" ref="DX63" si="66">DX62*DX56</f>
        <v>301.50822916666687</v>
      </c>
      <c r="DY63" s="92">
        <f t="shared" si="65"/>
        <v>311.02954166666689</v>
      </c>
      <c r="DZ63" s="144">
        <f t="shared" si="65"/>
        <v>320.55085416666685</v>
      </c>
      <c r="EA63" s="92">
        <f t="shared" ref="EA63:EF63" si="67">EA62*EA56</f>
        <v>301.50822916666687</v>
      </c>
      <c r="EB63" s="92">
        <f t="shared" si="67"/>
        <v>311.02954166666689</v>
      </c>
      <c r="EC63" s="144">
        <f t="shared" si="67"/>
        <v>320.55085416666685</v>
      </c>
      <c r="ED63" s="92">
        <f t="shared" si="67"/>
        <v>301.50822916666687</v>
      </c>
      <c r="EE63" s="92">
        <f t="shared" si="67"/>
        <v>311.02954166666689</v>
      </c>
      <c r="EF63" s="144">
        <f t="shared" si="67"/>
        <v>320.55085416666685</v>
      </c>
      <c r="EG63" s="92">
        <f t="shared" ref="EG63:EL63" si="68">EG62*EG56</f>
        <v>301.50822916666687</v>
      </c>
      <c r="EH63" s="92">
        <f t="shared" si="68"/>
        <v>311.02954166666689</v>
      </c>
      <c r="EI63" s="144">
        <f t="shared" si="68"/>
        <v>320.55085416666685</v>
      </c>
      <c r="EJ63" s="92">
        <f t="shared" si="68"/>
        <v>301.50822916666687</v>
      </c>
      <c r="EK63" s="92">
        <f t="shared" si="68"/>
        <v>311.02954166666689</v>
      </c>
      <c r="EL63" s="144">
        <f t="shared" si="68"/>
        <v>320.55085416666685</v>
      </c>
      <c r="EM63" s="92">
        <f t="shared" ref="EM63:ER63" si="69">EM62*EM56</f>
        <v>301.50822916666687</v>
      </c>
      <c r="EN63" s="92">
        <f t="shared" si="69"/>
        <v>311.02954166666689</v>
      </c>
      <c r="EO63" s="144">
        <f t="shared" si="69"/>
        <v>320.55085416666685</v>
      </c>
      <c r="EP63" s="92">
        <f t="shared" si="69"/>
        <v>301.50822916666687</v>
      </c>
      <c r="EQ63" s="92">
        <f t="shared" si="69"/>
        <v>311.02954166666689</v>
      </c>
      <c r="ER63" s="144">
        <f t="shared" si="69"/>
        <v>320.55085416666685</v>
      </c>
      <c r="ES63" s="92">
        <f t="shared" ref="ES63:FA63" si="70">ES62*ES56</f>
        <v>330.07216666666687</v>
      </c>
      <c r="ET63" s="92">
        <f t="shared" si="70"/>
        <v>339.59347916666684</v>
      </c>
      <c r="EU63" s="144">
        <f t="shared" si="70"/>
        <v>349.11479166666692</v>
      </c>
      <c r="EV63" s="92">
        <f t="shared" si="70"/>
        <v>330.07216666666687</v>
      </c>
      <c r="EW63" s="92">
        <f t="shared" si="70"/>
        <v>339.59347916666684</v>
      </c>
      <c r="EX63" s="144">
        <f t="shared" si="70"/>
        <v>349.11479166666692</v>
      </c>
      <c r="EY63" s="92">
        <f t="shared" si="70"/>
        <v>330.07216666666687</v>
      </c>
      <c r="EZ63" s="92">
        <f t="shared" si="70"/>
        <v>339.59347916666684</v>
      </c>
      <c r="FA63" s="144">
        <f t="shared" si="70"/>
        <v>349.11479166666692</v>
      </c>
    </row>
    <row r="64" spans="1:157" ht="13.35" customHeight="1">
      <c r="A64" s="3"/>
      <c r="B64" s="5" t="s">
        <v>104</v>
      </c>
      <c r="C64" s="5"/>
      <c r="D64" s="5"/>
      <c r="E64" s="92" t="str">
        <f>IF(Model!E71&lt;&gt;"",Model!E71,"")</f>
        <v/>
      </c>
      <c r="F64" s="92" t="str">
        <f>IF(AND(G64&lt;&gt;"",E64&lt;&gt;""),G64-E64,"")</f>
        <v/>
      </c>
      <c r="G64" s="92" t="str">
        <f>IF(Model!G71&lt;&gt;"",Model!G71,"")</f>
        <v/>
      </c>
      <c r="H64" s="92" t="str">
        <f>IF(Model!H71&lt;&gt;"",Model!H71,"")</f>
        <v/>
      </c>
      <c r="I64" s="92" t="str">
        <f>IF(AND(J64&lt;&gt;"",H64&lt;&gt;""),J64-H64,"")</f>
        <v/>
      </c>
      <c r="J64" s="92" t="str">
        <f>IF(Model!J71&lt;&gt;"",Model!J71,"")</f>
        <v/>
      </c>
      <c r="K64" s="92" t="str">
        <f>IF(Model!K71&lt;&gt;"",Model!K71,"")</f>
        <v/>
      </c>
      <c r="L64" s="92" t="str">
        <f>IF(AND(M64&lt;&gt;"",K64&lt;&gt;""),M64-K64,"")</f>
        <v/>
      </c>
      <c r="M64" s="92" t="str">
        <f>IF(Model!M71&lt;&gt;"",Model!M71,"")</f>
        <v/>
      </c>
      <c r="N64" s="92" t="str">
        <f>IF(Model!N71&lt;&gt;"",Model!N71,"")</f>
        <v/>
      </c>
      <c r="O64" s="92" t="str">
        <f>IF(AND(P64&lt;&gt;"",N64&lt;&gt;""),P64-N64,"")</f>
        <v/>
      </c>
      <c r="P64" s="92" t="str">
        <f>IF(Model!P71&lt;&gt;"",Model!P71,"")</f>
        <v/>
      </c>
      <c r="Q64" s="92" t="str">
        <f>IF(Model!Q71&lt;&gt;"",Model!Q71,"")</f>
        <v/>
      </c>
      <c r="R64" s="92" t="str">
        <f>IF(AND(S64&lt;&gt;"",Q64&lt;&gt;""),S64-Q64,"")</f>
        <v/>
      </c>
      <c r="S64" s="92" t="str">
        <f>IF(Model!S71&lt;&gt;"",Model!S71,"")</f>
        <v/>
      </c>
      <c r="T64" s="92" t="str">
        <f>IF(Model!T71&lt;&gt;"",Model!T71,"")</f>
        <v/>
      </c>
      <c r="U64" s="92" t="str">
        <f>IF(AND(V64&lt;&gt;"",T64&lt;&gt;""),V64-T64,"")</f>
        <v/>
      </c>
      <c r="V64" s="92" t="str">
        <f>IF(Model!V71&lt;&gt;"",Model!V71,"")</f>
        <v/>
      </c>
      <c r="W64" s="92" t="str">
        <f>IF(Model!W71&lt;&gt;"",Model!W71,"")</f>
        <v/>
      </c>
      <c r="X64" s="92" t="str">
        <f>IF(AND(Y64&lt;&gt;"",W64&lt;&gt;""),Y64-W64,"")</f>
        <v/>
      </c>
      <c r="Y64" s="92" t="str">
        <f>IF(Model!Y71&lt;&gt;"",Model!Y71,"")</f>
        <v/>
      </c>
      <c r="Z64" s="92" t="str">
        <f>IF(Model!Z71&lt;&gt;"",Model!Z71,"")</f>
        <v/>
      </c>
      <c r="AA64" s="92" t="str">
        <f>IF(AND(AB64&lt;&gt;"",Z64&lt;&gt;""),AB64-Z64,"")</f>
        <v/>
      </c>
      <c r="AB64" s="92" t="str">
        <f>IF(Model!AB71&lt;&gt;"",Model!AB71,"")</f>
        <v/>
      </c>
      <c r="AC64" s="92" t="str">
        <f>IF(Model!AC71&lt;&gt;"",Model!AC71,"")</f>
        <v/>
      </c>
      <c r="AD64" s="92" t="str">
        <f>IF(AND(AE64&lt;&gt;"",AC64&lt;&gt;""),AE64-AC64,"")</f>
        <v/>
      </c>
      <c r="AE64" s="92" t="str">
        <f>IF(Model!AE71&lt;&gt;"",Model!AE71,"")</f>
        <v/>
      </c>
      <c r="AF64" s="92" t="str">
        <f>IF(Model!AF71&lt;&gt;"",Model!AF71,"")</f>
        <v/>
      </c>
      <c r="AG64" s="92" t="str">
        <f>IF(AND(AH64&lt;&gt;"",AF64&lt;&gt;""),AH64-AF64,"")</f>
        <v/>
      </c>
      <c r="AH64" s="92" t="str">
        <f>IF(Model!AH71&lt;&gt;"",Model!AH71,"")</f>
        <v/>
      </c>
      <c r="AI64" s="92" t="str">
        <f>IF(Model!AI71&lt;&gt;"",Model!AI71,"")</f>
        <v/>
      </c>
      <c r="AJ64" s="92" t="str">
        <f>IF(AND(AK64&lt;&gt;"",AI64&lt;&gt;""),AK64-AI64,"")</f>
        <v/>
      </c>
      <c r="AK64" s="92" t="str">
        <f>IF(Model!AK71&lt;&gt;"",Model!AK71,"")</f>
        <v/>
      </c>
      <c r="AL64" s="92" t="str">
        <f>IF(Model!AL71&lt;&gt;"",Model!AL71,"")</f>
        <v/>
      </c>
      <c r="AM64" s="92" t="str">
        <f>IF(AND(AN64&lt;&gt;"",AL64&lt;&gt;""),AN64-AL64,"")</f>
        <v/>
      </c>
      <c r="AN64" s="92">
        <f>IF(Model!AN71&lt;&gt;"",Model!AN71,"")</f>
        <v>1.3180000000000001</v>
      </c>
      <c r="AO64" s="92" t="str">
        <f>IF(Model!AO71&lt;&gt;"",Model!AO71,"")</f>
        <v/>
      </c>
      <c r="AP64" s="92" t="str">
        <f>IF(AND(AQ64&lt;&gt;"",AO64&lt;&gt;""),AQ64-AO64,"")</f>
        <v/>
      </c>
      <c r="AQ64" s="92">
        <f>IF(Model!AQ71&lt;&gt;"",Model!AQ71,"")</f>
        <v>0.40600000000000003</v>
      </c>
      <c r="AR64" s="92">
        <v>0</v>
      </c>
      <c r="AS64" s="92">
        <v>0</v>
      </c>
      <c r="AT64" s="92">
        <v>0</v>
      </c>
      <c r="AU64" s="92">
        <v>0</v>
      </c>
      <c r="AV64" s="92">
        <v>0</v>
      </c>
      <c r="AW64" s="92">
        <v>0</v>
      </c>
      <c r="AX64" s="92">
        <v>0</v>
      </c>
      <c r="AY64" s="92">
        <v>0</v>
      </c>
      <c r="AZ64" s="92">
        <v>0</v>
      </c>
      <c r="BA64" s="96">
        <f>BA63</f>
        <v>10.001378676470589</v>
      </c>
      <c r="BB64" s="96">
        <f>BB63</f>
        <v>15</v>
      </c>
      <c r="BC64" s="96">
        <f>BA64+BB64</f>
        <v>25.001378676470587</v>
      </c>
      <c r="BD64" s="96">
        <f>Model!BD71</f>
        <v>20.018000000000001</v>
      </c>
      <c r="BE64" s="96">
        <f>Model!BE71</f>
        <v>29.116</v>
      </c>
      <c r="BF64" s="96">
        <f>Model!BF71</f>
        <v>49.134</v>
      </c>
      <c r="BG64" s="96">
        <f>Model!BG71</f>
        <v>26.364000000000001</v>
      </c>
      <c r="BH64" s="96">
        <f>Model!BH71</f>
        <v>25.123000000000001</v>
      </c>
      <c r="BI64" s="96">
        <f>2*BG64</f>
        <v>52.728000000000002</v>
      </c>
      <c r="BJ64" s="96">
        <f>BG64</f>
        <v>26.364000000000001</v>
      </c>
      <c r="BK64" s="96">
        <f>BH64+(0.5*9.975)</f>
        <v>30.110500000000002</v>
      </c>
      <c r="BL64" s="96">
        <f>SUM(BJ64:BK64)</f>
        <v>56.474500000000006</v>
      </c>
      <c r="BM64" s="96">
        <f>Model!BM71</f>
        <v>0</v>
      </c>
      <c r="BN64" s="96">
        <f>Model!BN71</f>
        <v>0</v>
      </c>
      <c r="BO64" s="96">
        <f>SUM(BM64:BN64)</f>
        <v>0</v>
      </c>
      <c r="BP64" s="8"/>
      <c r="BQ64" s="8"/>
      <c r="BR64" s="8"/>
      <c r="BS64" s="8"/>
      <c r="BT64" s="8"/>
      <c r="BU64" s="8"/>
      <c r="BV64" s="8"/>
      <c r="BW64" s="8"/>
      <c r="BX64" s="8"/>
      <c r="BY64" s="8"/>
      <c r="BZ64" s="8"/>
      <c r="CA64" s="8"/>
      <c r="CB64" s="8"/>
      <c r="CC64" s="8"/>
      <c r="CD64" s="8"/>
      <c r="CE64" s="8"/>
      <c r="CF64" s="8"/>
      <c r="CG64" s="8"/>
      <c r="CH64" s="8"/>
      <c r="CI64" s="8"/>
      <c r="CJ64" s="8"/>
      <c r="CK64" s="8"/>
      <c r="CL64" s="8"/>
      <c r="CM64" s="8"/>
      <c r="CN64" s="8"/>
      <c r="CO64" s="8"/>
      <c r="CP64" s="8"/>
      <c r="CQ64" s="8"/>
      <c r="CR64" s="8"/>
      <c r="CS64" s="8"/>
      <c r="CT64" s="8"/>
      <c r="CU64" s="8"/>
      <c r="CV64" s="8"/>
      <c r="CW64" s="8"/>
      <c r="CX64" s="8"/>
      <c r="CY64" s="8"/>
      <c r="CZ64" s="8"/>
      <c r="DA64" s="8"/>
      <c r="DB64" s="8"/>
      <c r="DC64" s="8"/>
      <c r="DD64" s="8"/>
      <c r="DE64" s="145"/>
      <c r="DF64" s="8"/>
      <c r="DG64" s="8"/>
      <c r="DH64" s="145"/>
      <c r="DI64" s="8"/>
      <c r="DJ64" s="8"/>
      <c r="DK64" s="145"/>
      <c r="DL64" s="8"/>
      <c r="DM64" s="8"/>
      <c r="DN64" s="145"/>
      <c r="DO64" s="8"/>
      <c r="DP64" s="8"/>
      <c r="DQ64" s="145"/>
      <c r="DR64" s="8"/>
      <c r="DS64" s="8"/>
      <c r="DT64" s="145"/>
      <c r="DU64" s="8"/>
      <c r="DV64" s="8"/>
      <c r="DW64" s="145"/>
      <c r="DX64" s="8"/>
      <c r="DY64" s="8"/>
      <c r="DZ64" s="145"/>
      <c r="EA64" s="8"/>
      <c r="EB64" s="8"/>
      <c r="EC64" s="145"/>
      <c r="ED64" s="8"/>
      <c r="EE64" s="8"/>
      <c r="EF64" s="145"/>
      <c r="EG64" s="8"/>
      <c r="EH64" s="8"/>
      <c r="EI64" s="145"/>
      <c r="EJ64" s="8"/>
      <c r="EK64" s="8"/>
      <c r="EL64" s="145"/>
      <c r="EM64" s="8"/>
      <c r="EN64" s="8"/>
      <c r="EO64" s="145"/>
      <c r="EP64" s="8"/>
      <c r="EQ64" s="8"/>
      <c r="ER64" s="145"/>
      <c r="ES64" s="8"/>
      <c r="ET64" s="8"/>
      <c r="EU64" s="145"/>
      <c r="EV64" s="8"/>
      <c r="EW64" s="8"/>
      <c r="EX64" s="145"/>
      <c r="EY64" s="8"/>
      <c r="EZ64" s="8"/>
      <c r="FA64" s="145"/>
    </row>
    <row r="65" spans="1:157" ht="13.35" customHeight="1">
      <c r="A65" s="3"/>
      <c r="B65" s="4" t="s">
        <v>23</v>
      </c>
      <c r="C65" s="4"/>
      <c r="D65" s="91"/>
      <c r="E65" s="79"/>
      <c r="F65" s="79"/>
      <c r="G65" s="79"/>
      <c r="H65" s="79"/>
      <c r="I65" s="79"/>
      <c r="J65" s="79"/>
      <c r="K65" s="79"/>
      <c r="L65" s="79"/>
      <c r="M65" s="79"/>
      <c r="N65" s="79"/>
      <c r="O65" s="79"/>
      <c r="P65" s="79"/>
      <c r="Q65" s="79"/>
      <c r="R65" s="79"/>
      <c r="S65" s="79"/>
      <c r="T65" s="79"/>
      <c r="U65" s="79"/>
      <c r="V65" s="79"/>
      <c r="W65" s="79"/>
      <c r="X65" s="79"/>
      <c r="Y65" s="79"/>
      <c r="Z65" s="79"/>
      <c r="AA65" s="79"/>
      <c r="AB65" s="79"/>
      <c r="AC65" s="79"/>
      <c r="AD65" s="79"/>
      <c r="AE65" s="79"/>
      <c r="AF65" s="79"/>
      <c r="AG65" s="79"/>
      <c r="AH65" s="79"/>
      <c r="AI65" s="79"/>
      <c r="AJ65" s="79"/>
      <c r="AK65" s="79"/>
      <c r="AL65" s="79"/>
      <c r="AM65" s="79"/>
      <c r="AN65" s="79"/>
      <c r="AO65" s="79"/>
      <c r="AP65" s="79"/>
      <c r="AQ65" s="79"/>
      <c r="AR65" s="79"/>
      <c r="AS65" s="79"/>
      <c r="AT65" s="79"/>
      <c r="AU65" s="79"/>
      <c r="AV65" s="79"/>
      <c r="AW65" s="79"/>
      <c r="AX65" s="79"/>
      <c r="AY65" s="79"/>
      <c r="AZ65" s="79"/>
      <c r="BA65" s="89"/>
      <c r="BB65" s="89"/>
      <c r="BC65" s="89"/>
      <c r="BD65" s="89"/>
      <c r="BE65" s="89"/>
      <c r="BF65" s="89"/>
      <c r="BG65" s="89"/>
      <c r="BH65" s="89"/>
      <c r="BI65" s="89"/>
      <c r="BJ65" s="89"/>
      <c r="BK65" s="89"/>
      <c r="BL65" s="89"/>
      <c r="BM65" s="89"/>
      <c r="BN65" s="89"/>
      <c r="BO65" s="89"/>
      <c r="BP65" s="89"/>
      <c r="BQ65" s="89"/>
      <c r="BR65" s="89"/>
      <c r="BS65" s="89"/>
      <c r="BT65" s="89"/>
      <c r="BU65" s="89"/>
      <c r="BV65" s="89"/>
      <c r="BW65" s="89"/>
      <c r="BX65" s="89"/>
      <c r="BY65" s="89"/>
      <c r="BZ65" s="89"/>
      <c r="CA65" s="89"/>
      <c r="CB65" s="89"/>
      <c r="CC65" s="89"/>
      <c r="CD65" s="89"/>
      <c r="CE65" s="89"/>
      <c r="CF65" s="89"/>
      <c r="CG65" s="89"/>
      <c r="CH65" s="89"/>
      <c r="CI65" s="89"/>
      <c r="CJ65" s="89"/>
      <c r="CK65" s="89"/>
      <c r="CL65" s="89"/>
      <c r="CM65" s="89"/>
      <c r="CN65" s="89"/>
      <c r="CO65" s="89"/>
      <c r="CP65" s="89"/>
      <c r="CQ65" s="89"/>
      <c r="CR65" s="89"/>
      <c r="CS65" s="89"/>
      <c r="CT65" s="89"/>
      <c r="CU65" s="89"/>
      <c r="CV65" s="89"/>
      <c r="CW65" s="89"/>
      <c r="CX65" s="89"/>
      <c r="CY65" s="89"/>
      <c r="CZ65" s="89"/>
      <c r="DA65" s="89"/>
      <c r="DB65" s="89"/>
      <c r="DC65" s="89"/>
      <c r="DD65" s="89"/>
      <c r="DE65" s="141"/>
      <c r="DF65" s="89"/>
      <c r="DG65" s="89"/>
      <c r="DH65" s="141"/>
      <c r="DI65" s="89"/>
      <c r="DJ65" s="89"/>
      <c r="DK65" s="141"/>
      <c r="DL65" s="89"/>
      <c r="DM65" s="89"/>
      <c r="DN65" s="141"/>
      <c r="DO65" s="89"/>
      <c r="DP65" s="89"/>
      <c r="DQ65" s="141"/>
      <c r="DR65" s="89"/>
      <c r="DS65" s="89"/>
      <c r="DT65" s="141"/>
      <c r="DU65" s="89"/>
      <c r="DV65" s="89"/>
      <c r="DW65" s="141"/>
      <c r="DX65" s="89"/>
      <c r="DY65" s="89"/>
      <c r="DZ65" s="141"/>
      <c r="EA65" s="89"/>
      <c r="EB65" s="89"/>
      <c r="EC65" s="141"/>
      <c r="ED65" s="89"/>
      <c r="EE65" s="89"/>
      <c r="EF65" s="141"/>
      <c r="EG65" s="89"/>
      <c r="EH65" s="89"/>
      <c r="EI65" s="141"/>
      <c r="EJ65" s="89"/>
      <c r="EK65" s="89"/>
      <c r="EL65" s="141"/>
      <c r="EM65" s="89"/>
      <c r="EN65" s="89"/>
      <c r="EO65" s="141"/>
      <c r="EP65" s="89"/>
      <c r="EQ65" s="89"/>
      <c r="ER65" s="141"/>
      <c r="ES65" s="89"/>
      <c r="ET65" s="89"/>
      <c r="EU65" s="141"/>
      <c r="EV65" s="89"/>
      <c r="EW65" s="89"/>
      <c r="EX65" s="141"/>
      <c r="EY65" s="89"/>
      <c r="EZ65" s="89"/>
      <c r="FA65" s="141"/>
    </row>
    <row r="66" spans="1:157" ht="13.35" customHeight="1" outlineLevel="1">
      <c r="A66" s="3"/>
      <c r="B66" s="4" t="s">
        <v>105</v>
      </c>
      <c r="C66" s="4"/>
      <c r="D66" s="4"/>
      <c r="E66" s="92"/>
      <c r="F66" s="92" t="str">
        <f>IF(G66&lt;&gt;"",G66,"")</f>
        <v/>
      </c>
      <c r="G66" s="93"/>
      <c r="H66" s="93"/>
      <c r="I66" s="92" t="str">
        <f>IF(J66&lt;&gt;"",J66,"")</f>
        <v/>
      </c>
      <c r="J66" s="93"/>
      <c r="K66" s="93"/>
      <c r="L66" s="92" t="str">
        <f>IF(M66&lt;&gt;"",M66,"")</f>
        <v/>
      </c>
      <c r="M66" s="93"/>
      <c r="N66" s="93"/>
      <c r="O66" s="92" t="str">
        <f>IF(P66&lt;&gt;"",P66,"")</f>
        <v/>
      </c>
      <c r="P66" s="93"/>
      <c r="Q66" s="93"/>
      <c r="R66" s="92" t="str">
        <f>IF(S66&lt;&gt;"",S66,"")</f>
        <v/>
      </c>
      <c r="S66" s="93"/>
      <c r="T66" s="93"/>
      <c r="U66" s="92" t="str">
        <f>IF(V66&lt;&gt;"",V66,"")</f>
        <v/>
      </c>
      <c r="V66" s="93"/>
      <c r="W66" s="93"/>
      <c r="X66" s="92" t="str">
        <f>IF(Y66&lt;&gt;"",Y66,"")</f>
        <v/>
      </c>
      <c r="Y66" s="93"/>
      <c r="Z66" s="93"/>
      <c r="AA66" s="92" t="str">
        <f>IF(AB66&lt;&gt;"",AB66,"")</f>
        <v/>
      </c>
      <c r="AB66" s="93"/>
      <c r="AC66" s="93"/>
      <c r="AD66" s="92" t="str">
        <f>IF(AE66&lt;&gt;"",AE66,"")</f>
        <v/>
      </c>
      <c r="AE66" s="93"/>
      <c r="AF66" s="93"/>
      <c r="AG66" s="92" t="str">
        <f>IF(AH66&lt;&gt;"",AH66,"")</f>
        <v/>
      </c>
      <c r="AH66" s="93"/>
      <c r="AI66" s="93"/>
      <c r="AJ66" s="92" t="str">
        <f>IF(AK66&lt;&gt;"",AK66,"")</f>
        <v/>
      </c>
      <c r="AK66" s="93"/>
      <c r="AL66" s="93"/>
      <c r="AM66" s="92" t="str">
        <f>IF(AN66&lt;&gt;"",AN66,"")</f>
        <v/>
      </c>
      <c r="AN66" s="93"/>
      <c r="AO66" s="93"/>
      <c r="AP66" s="93"/>
      <c r="AQ66" s="93"/>
      <c r="AR66" s="93"/>
      <c r="AS66" s="93"/>
      <c r="AT66" s="93"/>
      <c r="AU66" s="93"/>
      <c r="AV66" s="93"/>
      <c r="AW66" s="93"/>
      <c r="AX66" s="93"/>
      <c r="AY66" s="93"/>
      <c r="AZ66" s="93"/>
      <c r="BA66" s="93"/>
      <c r="BB66" s="92" t="str">
        <f>IF(BC66&lt;&gt;"",BC66,"")</f>
        <v/>
      </c>
      <c r="BC66" s="93"/>
      <c r="BD66" s="93"/>
      <c r="BE66" s="92" t="str">
        <f>IF(BF66&lt;&gt;"",BF66,"")</f>
        <v/>
      </c>
      <c r="BF66" s="93"/>
      <c r="BG66" s="93"/>
      <c r="BH66" s="92" t="str">
        <f>IF(BI66&lt;&gt;"",BI66,"")</f>
        <v/>
      </c>
      <c r="BI66" s="93"/>
      <c r="BJ66" s="93"/>
      <c r="BK66" s="92" t="str">
        <f>IF(BL66&lt;&gt;"",BL66,"")</f>
        <v/>
      </c>
      <c r="BL66" s="93"/>
      <c r="BM66" s="93"/>
      <c r="BN66" s="92" t="str">
        <f>IF(BO66&lt;&gt;"",BO66,"")</f>
        <v/>
      </c>
      <c r="BO66" s="93"/>
      <c r="BP66" s="93"/>
      <c r="BQ66" s="92" t="str">
        <f>IF(BR66&lt;&gt;"",BR66,"")</f>
        <v/>
      </c>
      <c r="BR66" s="93"/>
      <c r="BS66" s="93"/>
      <c r="BT66" s="92" t="str">
        <f>IF(BU66&lt;&gt;"",BU66,"")</f>
        <v/>
      </c>
      <c r="BU66" s="93"/>
      <c r="BV66" s="93"/>
      <c r="BW66" s="92" t="str">
        <f>IF(BX66&lt;&gt;"",BX66,"")</f>
        <v/>
      </c>
      <c r="BX66" s="93"/>
      <c r="BY66" s="93"/>
      <c r="BZ66" s="92" t="str">
        <f>IF(CA66&lt;&gt;"",CA66,"")</f>
        <v/>
      </c>
      <c r="CA66" s="93"/>
      <c r="CB66" s="93"/>
      <c r="CC66" s="92" t="str">
        <f>IF(CD66&lt;&gt;"",CD66,"")</f>
        <v/>
      </c>
      <c r="CD66" s="93"/>
      <c r="CE66" s="93"/>
      <c r="CF66" s="92" t="str">
        <f>IF(CG66&lt;&gt;"",CG66,"")</f>
        <v/>
      </c>
      <c r="CG66" s="93"/>
      <c r="CH66" s="93"/>
      <c r="CI66" s="92" t="str">
        <f>IF(CJ66&lt;&gt;"",CJ66,"")</f>
        <v/>
      </c>
      <c r="CJ66" s="93"/>
      <c r="CK66" s="93"/>
      <c r="CL66" s="92" t="str">
        <f>IF(CM66&lt;&gt;"",CM66,"")</f>
        <v/>
      </c>
      <c r="CM66" s="93"/>
      <c r="CN66" s="93"/>
      <c r="CO66" s="92" t="str">
        <f>IF(CP66&lt;&gt;"",CP66,"")</f>
        <v/>
      </c>
      <c r="CP66" s="93"/>
      <c r="CQ66" s="93"/>
      <c r="CR66" s="92" t="str">
        <f>IF(CS66&lt;&gt;"",CS66,"")</f>
        <v/>
      </c>
      <c r="CS66" s="93"/>
      <c r="CT66" s="93"/>
      <c r="CU66" s="92" t="str">
        <f>IF(CV66&lt;&gt;"",CV66,"")</f>
        <v/>
      </c>
      <c r="CV66" s="93"/>
      <c r="CW66" s="93"/>
      <c r="CX66" s="92" t="str">
        <f>IF(CY66&lt;&gt;"",CY66,"")</f>
        <v/>
      </c>
      <c r="CY66" s="93"/>
      <c r="CZ66" s="93"/>
      <c r="DA66" s="92" t="str">
        <f>IF(DB66&lt;&gt;"",DB66,"")</f>
        <v/>
      </c>
      <c r="DB66" s="93"/>
      <c r="DC66" s="93"/>
      <c r="DD66" s="92" t="str">
        <f>IF(DE66&lt;&gt;"",DE66,"")</f>
        <v/>
      </c>
      <c r="DE66" s="144"/>
      <c r="DF66" s="93"/>
      <c r="DG66" s="92" t="str">
        <f>IF(DH66&lt;&gt;"",DH66,"")</f>
        <v/>
      </c>
      <c r="DH66" s="144"/>
      <c r="DI66" s="93"/>
      <c r="DJ66" s="92" t="str">
        <f>IF(DK66&lt;&gt;"",DK66,"")</f>
        <v/>
      </c>
      <c r="DK66" s="144"/>
      <c r="DL66" s="93"/>
      <c r="DM66" s="92" t="str">
        <f>IF(DN66&lt;&gt;"",DN66,"")</f>
        <v/>
      </c>
      <c r="DN66" s="144"/>
      <c r="DO66" s="93"/>
      <c r="DP66" s="92" t="str">
        <f>IF(DQ66&lt;&gt;"",DQ66,"")</f>
        <v/>
      </c>
      <c r="DQ66" s="144"/>
      <c r="DR66" s="93"/>
      <c r="DS66" s="92" t="str">
        <f>IF(DT66&lt;&gt;"",DT66,"")</f>
        <v/>
      </c>
      <c r="DT66" s="144"/>
      <c r="DU66" s="93"/>
      <c r="DV66" s="92" t="str">
        <f>IF(DW66&lt;&gt;"",DW66,"")</f>
        <v/>
      </c>
      <c r="DW66" s="144"/>
      <c r="DX66" s="93"/>
      <c r="DY66" s="92" t="str">
        <f>IF(DZ66&lt;&gt;"",DZ66,"")</f>
        <v/>
      </c>
      <c r="DZ66" s="144"/>
      <c r="EA66" s="93"/>
      <c r="EB66" s="92" t="str">
        <f>IF(EC66&lt;&gt;"",EC66,"")</f>
        <v/>
      </c>
      <c r="EC66" s="144"/>
      <c r="ED66" s="93"/>
      <c r="EE66" s="92" t="str">
        <f>IF(EF66&lt;&gt;"",EF66,"")</f>
        <v/>
      </c>
      <c r="EF66" s="144"/>
      <c r="EG66" s="93"/>
      <c r="EH66" s="92" t="str">
        <f>IF(EI66&lt;&gt;"",EI66,"")</f>
        <v/>
      </c>
      <c r="EI66" s="144"/>
      <c r="EJ66" s="93"/>
      <c r="EK66" s="92" t="str">
        <f>IF(EL66&lt;&gt;"",EL66,"")</f>
        <v/>
      </c>
      <c r="EL66" s="144"/>
      <c r="EM66" s="93"/>
      <c r="EN66" s="92" t="str">
        <f>IF(EO66&lt;&gt;"",EO66,"")</f>
        <v/>
      </c>
      <c r="EO66" s="144"/>
      <c r="EP66" s="93"/>
      <c r="EQ66" s="92" t="str">
        <f>IF(ER66&lt;&gt;"",ER66,"")</f>
        <v/>
      </c>
      <c r="ER66" s="144"/>
      <c r="ES66" s="93"/>
      <c r="ET66" s="92" t="str">
        <f>IF(EU66&lt;&gt;"",EU66,"")</f>
        <v/>
      </c>
      <c r="EU66" s="144"/>
      <c r="EV66" s="93"/>
      <c r="EW66" s="92" t="str">
        <f>IF(EX66&lt;&gt;"",EX66,"")</f>
        <v/>
      </c>
      <c r="EX66" s="144"/>
      <c r="EY66" s="93"/>
      <c r="EZ66" s="92" t="str">
        <f>IF(FA66&lt;&gt;"",FA66,"")</f>
        <v/>
      </c>
      <c r="FA66" s="144"/>
    </row>
    <row r="67" spans="1:157" ht="13.35" customHeight="1" outlineLevel="1">
      <c r="A67" s="3"/>
      <c r="B67" s="4" t="s">
        <v>106</v>
      </c>
      <c r="C67" s="4"/>
      <c r="D67" s="4"/>
      <c r="E67" s="92"/>
      <c r="F67" s="92" t="str">
        <f>IF(G67&lt;&gt;"",G67,"")</f>
        <v/>
      </c>
      <c r="G67" s="93"/>
      <c r="H67" s="93"/>
      <c r="I67" s="92" t="str">
        <f>IF(J67&lt;&gt;"",J67,"")</f>
        <v/>
      </c>
      <c r="J67" s="93"/>
      <c r="K67" s="93"/>
      <c r="L67" s="92" t="str">
        <f>IF(M67&lt;&gt;"",M67,"")</f>
        <v/>
      </c>
      <c r="M67" s="93"/>
      <c r="N67" s="93"/>
      <c r="O67" s="92" t="str">
        <f>IF(P67&lt;&gt;"",P67,"")</f>
        <v/>
      </c>
      <c r="P67" s="93"/>
      <c r="Q67" s="93"/>
      <c r="R67" s="92" t="str">
        <f>IF(S67&lt;&gt;"",S67,"")</f>
        <v/>
      </c>
      <c r="S67" s="93"/>
      <c r="T67" s="93"/>
      <c r="U67" s="92" t="str">
        <f>IF(V67&lt;&gt;"",V67,"")</f>
        <v/>
      </c>
      <c r="V67" s="93"/>
      <c r="W67" s="93"/>
      <c r="X67" s="92" t="str">
        <f>IF(Y67&lt;&gt;"",Y67,"")</f>
        <v/>
      </c>
      <c r="Y67" s="93"/>
      <c r="Z67" s="93"/>
      <c r="AA67" s="92" t="str">
        <f>IF(AB67&lt;&gt;"",AB67,"")</f>
        <v/>
      </c>
      <c r="AB67" s="93"/>
      <c r="AC67" s="93"/>
      <c r="AD67" s="92" t="str">
        <f>IF(AE67&lt;&gt;"",AE67,"")</f>
        <v/>
      </c>
      <c r="AE67" s="93"/>
      <c r="AF67" s="93"/>
      <c r="AG67" s="92" t="str">
        <f>IF(AH67&lt;&gt;"",AH67,"")</f>
        <v/>
      </c>
      <c r="AH67" s="93"/>
      <c r="AI67" s="93"/>
      <c r="AJ67" s="92" t="str">
        <f>IF(AK67&lt;&gt;"",AK67,"")</f>
        <v/>
      </c>
      <c r="AK67" s="93"/>
      <c r="AL67" s="93"/>
      <c r="AM67" s="92" t="str">
        <f>IF(AN67&lt;&gt;"",AN67,"")</f>
        <v/>
      </c>
      <c r="AN67" s="93"/>
      <c r="AO67" s="93"/>
      <c r="AP67" s="92" t="str">
        <f>IF(AQ67&lt;&gt;"",AQ67,"")</f>
        <v/>
      </c>
      <c r="AQ67" s="93"/>
      <c r="AR67" s="93"/>
      <c r="AS67" s="92" t="str">
        <f>IF(AT67&lt;&gt;"",AT67,"")</f>
        <v/>
      </c>
      <c r="AT67" s="93"/>
      <c r="AU67" s="93"/>
      <c r="AV67" s="92" t="str">
        <f>IF(AW67&lt;&gt;"",AW67,"")</f>
        <v/>
      </c>
      <c r="AW67" s="93"/>
      <c r="AX67" s="93"/>
      <c r="AY67" s="92" t="str">
        <f>IF(AZ67&lt;&gt;"",AZ67,"")</f>
        <v/>
      </c>
      <c r="AZ67" s="93"/>
      <c r="BA67" s="93"/>
      <c r="BB67" s="92" t="str">
        <f>IF(BC67&lt;&gt;"",BC67,"")</f>
        <v/>
      </c>
      <c r="BC67" s="93"/>
      <c r="BD67" s="93"/>
      <c r="BE67" s="92" t="str">
        <f>IF(BF67&lt;&gt;"",BF67,"")</f>
        <v/>
      </c>
      <c r="BF67" s="93"/>
      <c r="BG67" s="93"/>
      <c r="BH67" s="92" t="str">
        <f>IF(BI67&lt;&gt;"",BI67,"")</f>
        <v/>
      </c>
      <c r="BI67" s="93"/>
      <c r="BJ67" s="93"/>
      <c r="BK67" s="92" t="str">
        <f>IF(BL67&lt;&gt;"",BL67,"")</f>
        <v/>
      </c>
      <c r="BL67" s="93"/>
      <c r="BM67" s="93"/>
      <c r="BN67" s="92" t="str">
        <f>IF(BO67&lt;&gt;"",BO67,"")</f>
        <v/>
      </c>
      <c r="BO67" s="93"/>
      <c r="BP67" s="93"/>
      <c r="BQ67" s="92" t="str">
        <f>IF(BR67&lt;&gt;"",BR67,"")</f>
        <v/>
      </c>
      <c r="BR67" s="93"/>
      <c r="BS67" s="93"/>
      <c r="BT67" s="92" t="str">
        <f>IF(BU67&lt;&gt;"",BU67,"")</f>
        <v/>
      </c>
      <c r="BU67" s="93"/>
      <c r="BV67" s="93"/>
      <c r="BW67" s="92" t="str">
        <f>IF(BX67&lt;&gt;"",BX67,"")</f>
        <v/>
      </c>
      <c r="BX67" s="93"/>
      <c r="BY67" s="93"/>
      <c r="BZ67" s="92" t="str">
        <f>IF(CA67&lt;&gt;"",CA67,"")</f>
        <v/>
      </c>
      <c r="CA67" s="93"/>
      <c r="CB67" s="93"/>
      <c r="CC67" s="92" t="str">
        <f>IF(CD67&lt;&gt;"",CD67,"")</f>
        <v/>
      </c>
      <c r="CD67" s="93"/>
      <c r="CE67" s="93"/>
      <c r="CF67" s="92" t="str">
        <f>IF(CG67&lt;&gt;"",CG67,"")</f>
        <v/>
      </c>
      <c r="CG67" s="93"/>
      <c r="CH67" s="93"/>
      <c r="CI67" s="92" t="str">
        <f>IF(CJ67&lt;&gt;"",CJ67,"")</f>
        <v/>
      </c>
      <c r="CJ67" s="93"/>
      <c r="CK67" s="93"/>
      <c r="CL67" s="92" t="str">
        <f>IF(CM67&lt;&gt;"",CM67,"")</f>
        <v/>
      </c>
      <c r="CM67" s="93"/>
      <c r="CN67" s="93"/>
      <c r="CO67" s="92" t="str">
        <f>IF(CP67&lt;&gt;"",CP67,"")</f>
        <v/>
      </c>
      <c r="CP67" s="93"/>
      <c r="CQ67" s="93"/>
      <c r="CR67" s="92" t="str">
        <f>IF(CS67&lt;&gt;"",CS67,"")</f>
        <v/>
      </c>
      <c r="CS67" s="93"/>
      <c r="CT67" s="93"/>
      <c r="CU67" s="92" t="str">
        <f>IF(CV67&lt;&gt;"",CV67,"")</f>
        <v/>
      </c>
      <c r="CV67" s="93"/>
      <c r="CW67" s="93"/>
      <c r="CX67" s="92" t="str">
        <f>IF(CY67&lt;&gt;"",CY67,"")</f>
        <v/>
      </c>
      <c r="CY67" s="93"/>
      <c r="CZ67" s="93"/>
      <c r="DA67" s="92" t="str">
        <f>IF(DB67&lt;&gt;"",DB67,"")</f>
        <v/>
      </c>
      <c r="DB67" s="93"/>
      <c r="DC67" s="93"/>
      <c r="DD67" s="92" t="str">
        <f>IF(DE67&lt;&gt;"",DE67,"")</f>
        <v/>
      </c>
      <c r="DE67" s="144"/>
      <c r="DF67" s="93"/>
      <c r="DG67" s="92" t="str">
        <f>IF(DH67&lt;&gt;"",DH67,"")</f>
        <v/>
      </c>
      <c r="DH67" s="144"/>
      <c r="DI67" s="93"/>
      <c r="DJ67" s="92" t="str">
        <f>IF(DK67&lt;&gt;"",DK67,"")</f>
        <v/>
      </c>
      <c r="DK67" s="144"/>
      <c r="DL67" s="93"/>
      <c r="DM67" s="92" t="str">
        <f>IF(DN67&lt;&gt;"",DN67,"")</f>
        <v/>
      </c>
      <c r="DN67" s="144"/>
      <c r="DO67" s="93"/>
      <c r="DP67" s="92" t="str">
        <f>IF(DQ67&lt;&gt;"",DQ67,"")</f>
        <v/>
      </c>
      <c r="DQ67" s="144"/>
      <c r="DR67" s="93"/>
      <c r="DS67" s="92" t="str">
        <f>IF(DT67&lt;&gt;"",DT67,"")</f>
        <v/>
      </c>
      <c r="DT67" s="144"/>
      <c r="DU67" s="93"/>
      <c r="DV67" s="92" t="str">
        <f>IF(DW67&lt;&gt;"",DW67,"")</f>
        <v/>
      </c>
      <c r="DW67" s="144"/>
      <c r="DX67" s="93"/>
      <c r="DY67" s="92" t="str">
        <f>IF(DZ67&lt;&gt;"",DZ67,"")</f>
        <v/>
      </c>
      <c r="DZ67" s="144"/>
      <c r="EA67" s="93"/>
      <c r="EB67" s="92" t="str">
        <f>IF(EC67&lt;&gt;"",EC67,"")</f>
        <v/>
      </c>
      <c r="EC67" s="144"/>
      <c r="ED67" s="93"/>
      <c r="EE67" s="92" t="str">
        <f>IF(EF67&lt;&gt;"",EF67,"")</f>
        <v/>
      </c>
      <c r="EF67" s="144"/>
      <c r="EG67" s="93"/>
      <c r="EH67" s="92" t="str">
        <f>IF(EI67&lt;&gt;"",EI67,"")</f>
        <v/>
      </c>
      <c r="EI67" s="144"/>
      <c r="EJ67" s="93"/>
      <c r="EK67" s="92" t="str">
        <f>IF(EL67&lt;&gt;"",EL67,"")</f>
        <v/>
      </c>
      <c r="EL67" s="144"/>
      <c r="EM67" s="93"/>
      <c r="EN67" s="92" t="str">
        <f>IF(EO67&lt;&gt;"",EO67,"")</f>
        <v/>
      </c>
      <c r="EO67" s="144"/>
      <c r="EP67" s="93"/>
      <c r="EQ67" s="92" t="str">
        <f>IF(ER67&lt;&gt;"",ER67,"")</f>
        <v/>
      </c>
      <c r="ER67" s="144"/>
      <c r="ES67" s="93"/>
      <c r="ET67" s="92" t="str">
        <f>IF(EU67&lt;&gt;"",EU67,"")</f>
        <v/>
      </c>
      <c r="EU67" s="144"/>
      <c r="EV67" s="93"/>
      <c r="EW67" s="92" t="str">
        <f>IF(EX67&lt;&gt;"",EX67,"")</f>
        <v/>
      </c>
      <c r="EX67" s="144"/>
      <c r="EY67" s="93"/>
      <c r="EZ67" s="92" t="str">
        <f>IF(FA67&lt;&gt;"",FA67,"")</f>
        <v/>
      </c>
      <c r="FA67" s="144"/>
    </row>
    <row r="68" spans="1:157" ht="13.35" customHeight="1" outlineLevel="1">
      <c r="A68" s="3"/>
      <c r="B68" s="4" t="s">
        <v>107</v>
      </c>
      <c r="C68" s="4"/>
      <c r="D68" s="91"/>
      <c r="E68" s="94" t="str">
        <f>IF(Model!E275&lt;&gt;"",Model!E275,"")</f>
        <v/>
      </c>
      <c r="F68" s="94" t="str">
        <f>IF(Model!G275&lt;&gt;"",Model!F275,"")</f>
        <v/>
      </c>
      <c r="G68" s="94" t="str">
        <f>IF(Model!G275&lt;&gt;"",Model!G275,"")</f>
        <v/>
      </c>
      <c r="H68" s="94" t="str">
        <f>IF(Model!H275&lt;&gt;"",Model!H275,"")</f>
        <v/>
      </c>
      <c r="I68" s="94" t="str">
        <f>IF(Model!J275&lt;&gt;"",Model!I275,"")</f>
        <v/>
      </c>
      <c r="J68" s="94" t="str">
        <f>IF(Model!J275&lt;&gt;"",Model!J275,"")</f>
        <v/>
      </c>
      <c r="K68" s="94" t="str">
        <f>IF(Model!K275&lt;&gt;"",Model!K275,"")</f>
        <v/>
      </c>
      <c r="L68" s="94" t="str">
        <f>IF(Model!M275&lt;&gt;"",Model!L275,"")</f>
        <v/>
      </c>
      <c r="M68" s="94" t="str">
        <f>IF(Model!M275&lt;&gt;"",Model!M275,"")</f>
        <v/>
      </c>
      <c r="N68" s="94" t="str">
        <f>IF(Model!N275&lt;&gt;"",Model!N275,"")</f>
        <v/>
      </c>
      <c r="O68" s="94" t="str">
        <f>IF(Model!P275&lt;&gt;"",Model!O275,"")</f>
        <v/>
      </c>
      <c r="P68" s="94" t="str">
        <f>IF(Model!P275&lt;&gt;"",Model!P275,"")</f>
        <v/>
      </c>
      <c r="Q68" s="94" t="str">
        <f>IF(Model!Q275&lt;&gt;"",Model!Q275,"")</f>
        <v/>
      </c>
      <c r="R68" s="94" t="str">
        <f>IF(Model!S275&lt;&gt;"",Model!R275,"")</f>
        <v/>
      </c>
      <c r="S68" s="94" t="str">
        <f>IF(Model!S275&lt;&gt;"",Model!S275,"")</f>
        <v/>
      </c>
      <c r="T68" s="94" t="str">
        <f>IF(Model!T275&lt;&gt;"",Model!T275,"")</f>
        <v/>
      </c>
      <c r="U68" s="94" t="str">
        <f>IF(Model!V275&lt;&gt;"",Model!U275,"")</f>
        <v/>
      </c>
      <c r="V68" s="94" t="str">
        <f>IF(Model!V275&lt;&gt;"",Model!V275,"")</f>
        <v/>
      </c>
      <c r="W68" s="94" t="str">
        <f>IF(Model!W275&lt;&gt;"",Model!W275,"")</f>
        <v/>
      </c>
      <c r="X68" s="94" t="str">
        <f>IF(Model!Y275&lt;&gt;"",Model!X275,"")</f>
        <v/>
      </c>
      <c r="Y68" s="94" t="str">
        <f>IF(Model!Y275&lt;&gt;"",Model!Y275,"")</f>
        <v/>
      </c>
      <c r="Z68" s="94" t="str">
        <f>IF(Model!Z275&lt;&gt;"",Model!Z275,"")</f>
        <v/>
      </c>
      <c r="AA68" s="94" t="str">
        <f>IF(Model!AB275&lt;&gt;"",Model!AA275,"")</f>
        <v/>
      </c>
      <c r="AB68" s="94" t="str">
        <f>IF(Model!AB275&lt;&gt;"",Model!AB275,"")</f>
        <v/>
      </c>
      <c r="AC68" s="94" t="str">
        <f>IF(Model!AC275&lt;&gt;"",Model!AC275,"")</f>
        <v/>
      </c>
      <c r="AD68" s="94" t="str">
        <f>IF(Model!AE275&lt;&gt;"",Model!AD275,"")</f>
        <v/>
      </c>
      <c r="AE68" s="94" t="str">
        <f>IF(Model!AE275&lt;&gt;"",Model!AE275,"")</f>
        <v/>
      </c>
      <c r="AF68" s="94" t="str">
        <f>IF(Model!AF275&lt;&gt;"",Model!AF275,"")</f>
        <v/>
      </c>
      <c r="AG68" s="94" t="str">
        <f>IF(Model!AH275&lt;&gt;"",Model!AG275,"")</f>
        <v/>
      </c>
      <c r="AH68" s="94" t="str">
        <f>IF(Model!AH275&lt;&gt;"",Model!AH275,"")</f>
        <v/>
      </c>
      <c r="AI68" s="94" t="str">
        <f>IF(Model!AI275&lt;&gt;"",Model!AI275,"")</f>
        <v/>
      </c>
      <c r="AJ68" s="94" t="str">
        <f>IF(Model!AK275&lt;&gt;"",Model!AJ275,"")</f>
        <v/>
      </c>
      <c r="AK68" s="94" t="str">
        <f>IF(Model!AK275&lt;&gt;"",Model!AK275,"")</f>
        <v/>
      </c>
      <c r="AL68" s="94" t="str">
        <f>IF(Model!AL275&lt;&gt;"",Model!AL275,"")</f>
        <v/>
      </c>
      <c r="AM68" s="94" t="str">
        <f>IF(Model!AN275&lt;&gt;"",Model!AM275,"")</f>
        <v/>
      </c>
      <c r="AN68" s="94" t="str">
        <f>IF(Model!AN275&lt;&gt;"",Model!AN275,"")</f>
        <v/>
      </c>
      <c r="AO68" s="94" t="str">
        <f>IF(Model!AO275&lt;&gt;"",Model!AO275,"")</f>
        <v/>
      </c>
      <c r="AP68" s="94" t="str">
        <f>IF(Model!AQ275&lt;&gt;"",Model!AP275,"")</f>
        <v/>
      </c>
      <c r="AQ68" s="94" t="str">
        <f>IF(Model!AQ275&lt;&gt;"",Model!AQ275,"")</f>
        <v/>
      </c>
      <c r="AR68" s="94" t="str">
        <f>IF(Model!AR275&lt;&gt;"",Model!AR275,"")</f>
        <v/>
      </c>
      <c r="AS68" s="94" t="str">
        <f>IF(Model!AT275&lt;&gt;"",Model!AS275,"")</f>
        <v/>
      </c>
      <c r="AT68" s="94" t="str">
        <f>IF(Model!AT275&lt;&gt;"",Model!AT275,"")</f>
        <v/>
      </c>
      <c r="AU68" s="94" t="str">
        <f>IF(Model!AU275&lt;&gt;"",Model!AU275,"")</f>
        <v/>
      </c>
      <c r="AV68" s="94" t="str">
        <f>IF(Model!AW275&lt;&gt;"",Model!AV275,"")</f>
        <v/>
      </c>
      <c r="AW68" s="94" t="str">
        <f>IF(Model!AW275&lt;&gt;"",Model!AW275,"")</f>
        <v/>
      </c>
      <c r="AX68" s="94" t="str">
        <f>IF(Model!AX275&lt;&gt;"",Model!AX275,"")</f>
        <v/>
      </c>
      <c r="AY68" s="94" t="str">
        <f>IF(Model!AZ275&lt;&gt;"",Model!AY275,"")</f>
        <v/>
      </c>
      <c r="AZ68" s="94" t="str">
        <f>IF(Model!AZ275&lt;&gt;"",Model!AZ275,"")</f>
        <v/>
      </c>
      <c r="BA68" s="94" t="str">
        <f>IF(Model!BA275&lt;&gt;"",Model!BA275,"")</f>
        <v/>
      </c>
      <c r="BB68" s="94" t="str">
        <f>IF(Model!BC275&lt;&gt;"",Model!BB275,"")</f>
        <v/>
      </c>
      <c r="BC68" s="94" t="str">
        <f>IF(Model!BC275&lt;&gt;"",Model!BC275,"")</f>
        <v/>
      </c>
      <c r="BD68" s="94" t="str">
        <f>IF(Model!BD275&lt;&gt;"",Model!BD275,"")</f>
        <v/>
      </c>
      <c r="BE68" s="94" t="str">
        <f>IF(Model!BF275&lt;&gt;"",Model!BE275,"")</f>
        <v/>
      </c>
      <c r="BF68" s="94" t="str">
        <f>IF(Model!BF275&lt;&gt;"",Model!BF275,"")</f>
        <v/>
      </c>
      <c r="BG68" s="94" t="str">
        <f>IF(Model!BG275&lt;&gt;"",Model!BG275,"")</f>
        <v/>
      </c>
      <c r="BH68" s="94" t="str">
        <f>IF(Model!BI275&lt;&gt;"",Model!BH275,"")</f>
        <v/>
      </c>
      <c r="BI68" s="94" t="str">
        <f>IF(Model!BI275&lt;&gt;"",Model!BI275,"")</f>
        <v/>
      </c>
      <c r="BJ68" s="94" t="str">
        <f>IF(Model!BJ275&lt;&gt;"",Model!BJ275,"")</f>
        <v/>
      </c>
      <c r="BK68" s="94" t="str">
        <f>IF(Model!BL275&lt;&gt;"",Model!BK275,"")</f>
        <v/>
      </c>
      <c r="BL68" s="94" t="str">
        <f>IF(Model!BL275&lt;&gt;"",Model!BL275,"")</f>
        <v/>
      </c>
      <c r="BM68" s="94" t="str">
        <f>IF(Model!BM275&lt;&gt;"",Model!BM275,"")</f>
        <v/>
      </c>
      <c r="BN68" s="94" t="str">
        <f>IF(Model!BO275&lt;&gt;"",Model!BN275,"")</f>
        <v/>
      </c>
      <c r="BO68" s="94" t="str">
        <f>IF(Model!BO275&lt;&gt;"",Model!BO275,"")</f>
        <v/>
      </c>
      <c r="BP68" s="94" t="str">
        <f>IF(Model!BP275&lt;&gt;"",Model!BP275,"")</f>
        <v/>
      </c>
      <c r="BQ68" s="94" t="str">
        <f>IF(Model!BR275&lt;&gt;"",Model!BQ275,"")</f>
        <v/>
      </c>
      <c r="BR68" s="94" t="str">
        <f>IF(Model!BR275&lt;&gt;"",Model!BR275,"")</f>
        <v/>
      </c>
      <c r="BS68" s="94" t="str">
        <f>IF(Model!BS275&lt;&gt;"",Model!BS275,"")</f>
        <v/>
      </c>
      <c r="BT68" s="94" t="str">
        <f>IF(Model!BU275&lt;&gt;"",Model!BT275,"")</f>
        <v/>
      </c>
      <c r="BU68" s="94" t="str">
        <f>IF(Model!BU275&lt;&gt;"",Model!BU275,"")</f>
        <v/>
      </c>
      <c r="BV68" s="94" t="str">
        <f>IF(Model!BV275&lt;&gt;"",Model!BV275,"")</f>
        <v/>
      </c>
      <c r="BW68" s="94">
        <f>IF(Model!BX275&lt;&gt;"",Model!BW275,"")</f>
        <v>0</v>
      </c>
      <c r="BX68" s="94">
        <f>IF(Model!BX275&lt;&gt;"",Model!BX275,"")</f>
        <v>0</v>
      </c>
      <c r="BY68" s="94" t="str">
        <f>IF(Model!BY275&lt;&gt;"",Model!BY275,"")</f>
        <v/>
      </c>
      <c r="BZ68" s="94">
        <f>IF(Model!CA275&lt;&gt;"",Model!BZ275,"")</f>
        <v>0</v>
      </c>
      <c r="CA68" s="94">
        <f>IF(Model!CA275&lt;&gt;"",Model!CA275,"")</f>
        <v>0</v>
      </c>
      <c r="CB68" s="94" t="str">
        <f>IF(Model!CB275&lt;&gt;"",Model!CB275,"")</f>
        <v/>
      </c>
      <c r="CC68" s="94">
        <f>IF(Model!CD275&lt;&gt;"",Model!CC275,"")</f>
        <v>0</v>
      </c>
      <c r="CD68" s="94">
        <f>IF(Model!CD275&lt;&gt;"",Model!CD275,"")</f>
        <v>0</v>
      </c>
      <c r="CE68" s="94" t="str">
        <f>IF(Model!CE275&lt;&gt;"",Model!CE275,"")</f>
        <v/>
      </c>
      <c r="CF68" s="94">
        <f>IF(Model!CG275&lt;&gt;"",Model!CF275,"")</f>
        <v>0</v>
      </c>
      <c r="CG68" s="94">
        <f>IF(Model!CG275&lt;&gt;"",Model!CG275,"")</f>
        <v>0</v>
      </c>
      <c r="CH68" s="94">
        <f>IF(Model!CH275&lt;&gt;"",Model!CH275,"")</f>
        <v>120</v>
      </c>
      <c r="CI68" s="94">
        <f>IF(Model!CJ275&lt;&gt;"",Model!CI275,"")</f>
        <v>139.80000000000001</v>
      </c>
      <c r="CJ68" s="94">
        <f>IF(Model!CJ275&lt;&gt;"",Model!CJ275,"")</f>
        <v>139.80000000000001</v>
      </c>
      <c r="CK68" s="94">
        <f>IF(Model!CK275&lt;&gt;"",Model!CK275,"")</f>
        <v>159.9</v>
      </c>
      <c r="CL68" s="94">
        <f>IF(Model!CM275&lt;&gt;"",Model!CL275,"")</f>
        <v>159.9</v>
      </c>
      <c r="CM68" s="94">
        <f>IF(Model!CM275&lt;&gt;"",Model!CM275,"")</f>
        <v>159.9</v>
      </c>
      <c r="CN68" s="94">
        <f>IF(Model!CN275&lt;&gt;"",Model!CN275,"")</f>
        <v>156.19999999999999</v>
      </c>
      <c r="CO68" s="94">
        <f>IF(Model!CP275&lt;&gt;"",Model!CO275,"")</f>
        <v>114.6</v>
      </c>
      <c r="CP68" s="94">
        <f>IF(Model!CP275&lt;&gt;"",Model!CP275,"")</f>
        <v>114.6</v>
      </c>
      <c r="CQ68" s="94">
        <f>IF(Model!CQ275&lt;&gt;"",Model!CQ275,"")</f>
        <v>77.5</v>
      </c>
      <c r="CR68" s="94">
        <f>IF(Model!CS275&lt;&gt;"",Model!CR275,"")</f>
        <v>143.9</v>
      </c>
      <c r="CS68" s="94">
        <f>IF(Model!CS275&lt;&gt;"",Model!CS275,"")</f>
        <v>143.9</v>
      </c>
      <c r="CT68" s="94">
        <f>IF(Model!CT275&lt;&gt;"",Model!CT275,"")</f>
        <v>151.1</v>
      </c>
      <c r="CU68" s="94">
        <f>IF(Model!CV275&lt;&gt;"",Model!CU275,"")</f>
        <v>207.3</v>
      </c>
      <c r="CV68" s="94">
        <f>IF(Model!CV275&lt;&gt;"",Model!CV275,"")</f>
        <v>207.3</v>
      </c>
      <c r="CW68" s="94">
        <f>IF(Model!CW275&lt;&gt;"",Model!CW275,"")</f>
        <v>166.1</v>
      </c>
      <c r="CX68" s="94">
        <f>IF(Model!CY275&lt;&gt;"",Model!CX275,"")</f>
        <v>202.5</v>
      </c>
      <c r="CY68" s="94">
        <f>IF(Model!CY275&lt;&gt;"",Model!CY275,"")</f>
        <v>202.5</v>
      </c>
      <c r="CZ68" s="94">
        <f>IF(Model!CZ275&lt;&gt;"",Model!CZ275,"")</f>
        <v>283</v>
      </c>
      <c r="DA68" s="94">
        <f>IF(Model!DB275&lt;&gt;"",Model!DA275,"")</f>
        <v>248.4</v>
      </c>
      <c r="DB68" s="94">
        <f>IF(Model!DB275&lt;&gt;"",Model!DB275,"")</f>
        <v>248.4</v>
      </c>
      <c r="DC68" s="94">
        <f>IF(Model!DC275&lt;&gt;"",Model!DC275,"")</f>
        <v>78.2</v>
      </c>
      <c r="DD68" s="94">
        <f>IF(Model!DE275&lt;&gt;"",Model!DD275,"")</f>
        <v>162.19999999999999</v>
      </c>
      <c r="DE68" s="143">
        <f>IF(Model!DE275&lt;&gt;"",Model!DE275,"")</f>
        <v>162.19999999999999</v>
      </c>
      <c r="DF68" s="94">
        <f>IF(Model!DF275&lt;&gt;"",Model!DF275,"")</f>
        <v>246.5</v>
      </c>
      <c r="DG68" s="94">
        <f>IF(Model!DH275&lt;&gt;"",Model!DG275,"")</f>
        <v>253.7</v>
      </c>
      <c r="DH68" s="143">
        <f>IF(Model!DH275&lt;&gt;"",Model!DH275,"")</f>
        <v>253.7</v>
      </c>
      <c r="DI68" s="94">
        <f>IF(Model!DI275&lt;&gt;"",Model!DI275,"")</f>
        <v>351.3</v>
      </c>
      <c r="DJ68" s="94">
        <f>IF(Model!DK275&lt;&gt;"",Model!DJ275,"")</f>
        <v>313</v>
      </c>
      <c r="DK68" s="143">
        <f>IF(Model!DK275&lt;&gt;"",Model!DK275,"")</f>
        <v>313</v>
      </c>
      <c r="DL68" s="94">
        <f>IF(Model!DL275&lt;&gt;"",Model!DL275,"")</f>
        <v>207.4</v>
      </c>
      <c r="DM68" s="94">
        <f>IF(Model!DN275&lt;&gt;"",Model!DM275,"")</f>
        <v>131.5</v>
      </c>
      <c r="DN68" s="143">
        <f>IF(Model!DN275&lt;&gt;"",Model!DN275,"")</f>
        <v>131.5</v>
      </c>
      <c r="DO68" s="94">
        <f>IF(Model!DO275&lt;&gt;"",Model!DO275,"")</f>
        <v>359.3</v>
      </c>
      <c r="DP68" s="94">
        <f>IF(Model!DQ275&lt;&gt;"",Model!DP275,"")</f>
        <v>296</v>
      </c>
      <c r="DQ68" s="143">
        <f>IF(Model!DQ275&lt;&gt;"",Model!DQ275,"")</f>
        <v>296</v>
      </c>
      <c r="DR68" s="94">
        <f>IF(Model!DR275&lt;&gt;"",Model!DR275,"")</f>
        <v>132</v>
      </c>
      <c r="DS68" s="94">
        <f>IF(Model!DT275&lt;&gt;"",Model!DS275,"")</f>
        <v>176</v>
      </c>
      <c r="DT68" s="143">
        <f>IF(Model!DT275&lt;&gt;"",Model!DT275,"")</f>
        <v>176</v>
      </c>
      <c r="DU68" s="94">
        <f>IF(Model!DU275&lt;&gt;"",Model!DU275,"")</f>
        <v>205</v>
      </c>
      <c r="DV68" s="94">
        <f>IF(Model!DW275&lt;&gt;"",Model!DV275,"")</f>
        <v>280</v>
      </c>
      <c r="DW68" s="143">
        <f>IF(Model!DW275&lt;&gt;"",Model!DW275,"")</f>
        <v>280</v>
      </c>
      <c r="DX68" s="94">
        <f>IF(Model!DX275&lt;&gt;"",Model!DX275,"")</f>
        <v>302</v>
      </c>
      <c r="DY68" s="94">
        <f>IF(Model!DZ275&lt;&gt;"",Model!DY275,"")</f>
        <v>302</v>
      </c>
      <c r="DZ68" s="143">
        <f>IF(Model!DZ275&lt;&gt;"",Model!DZ275,"")</f>
        <v>302</v>
      </c>
      <c r="EA68" s="94">
        <f>IF(Model!EA275&lt;&gt;"",Model!EA275,"")</f>
        <v>302</v>
      </c>
      <c r="EB68" s="94">
        <f>IF(Model!EC275&lt;&gt;"",Model!EB275,"")</f>
        <v>302</v>
      </c>
      <c r="EC68" s="143">
        <f>IF(Model!EC275&lt;&gt;"",Model!EC275,"")</f>
        <v>302</v>
      </c>
      <c r="ED68" s="94">
        <f>IF(Model!ED275&lt;&gt;"",Model!ED275,"")</f>
        <v>302</v>
      </c>
      <c r="EE68" s="94">
        <f>IF(Model!EF275&lt;&gt;"",Model!EE275,"")</f>
        <v>302</v>
      </c>
      <c r="EF68" s="143">
        <f>IF(Model!EF275&lt;&gt;"",Model!EF275,"")</f>
        <v>302</v>
      </c>
      <c r="EG68" s="94">
        <f>IF(Model!EG275&lt;&gt;"",Model!EG275,"")</f>
        <v>302</v>
      </c>
      <c r="EH68" s="94">
        <f>IF(Model!EI275&lt;&gt;"",Model!EH275,"")</f>
        <v>302</v>
      </c>
      <c r="EI68" s="143">
        <f>IF(Model!EI275&lt;&gt;"",Model!EI275,"")</f>
        <v>302</v>
      </c>
      <c r="EJ68" s="94">
        <f>IF(Model!EJ275&lt;&gt;"",Model!EJ275,"")</f>
        <v>302</v>
      </c>
      <c r="EK68" s="94">
        <f>IF(Model!EL275&lt;&gt;"",Model!EK275,"")</f>
        <v>302</v>
      </c>
      <c r="EL68" s="143">
        <f>IF(Model!EL275&lt;&gt;"",Model!EL275,"")</f>
        <v>302</v>
      </c>
      <c r="EM68" s="94">
        <f>IF(Model!EM275&lt;&gt;"",Model!EM275,"")</f>
        <v>302</v>
      </c>
      <c r="EN68" s="94">
        <f>IF(Model!EO275&lt;&gt;"",Model!EN275,"")</f>
        <v>302</v>
      </c>
      <c r="EO68" s="143">
        <f>IF(Model!EO275&lt;&gt;"",Model!EO275,"")</f>
        <v>302</v>
      </c>
      <c r="EP68" s="94">
        <f>IF(Model!EP275&lt;&gt;"",Model!EP275,"")</f>
        <v>302</v>
      </c>
      <c r="EQ68" s="94">
        <f>IF(Model!ER275&lt;&gt;"",Model!EQ275,"")</f>
        <v>302</v>
      </c>
      <c r="ER68" s="143">
        <f>IF(Model!ER275&lt;&gt;"",Model!ER275,"")</f>
        <v>302</v>
      </c>
      <c r="ES68" s="94">
        <f>IF(Model!ES275&lt;&gt;"",Model!ES275,"")</f>
        <v>302</v>
      </c>
      <c r="ET68" s="94">
        <f>IF(Model!EU275&lt;&gt;"",Model!ET275,"")</f>
        <v>302</v>
      </c>
      <c r="EU68" s="143">
        <f>IF(Model!EU275&lt;&gt;"",Model!EU275,"")</f>
        <v>302</v>
      </c>
      <c r="EV68" s="94">
        <f>IF(Model!EV275&lt;&gt;"",Model!EV275,"")</f>
        <v>302</v>
      </c>
      <c r="EW68" s="94">
        <f>IF(Model!EX275&lt;&gt;"",Model!EW275,"")</f>
        <v>302</v>
      </c>
      <c r="EX68" s="143">
        <f>IF(Model!EX275&lt;&gt;"",Model!EX275,"")</f>
        <v>302</v>
      </c>
      <c r="EY68" s="94">
        <f>IF(Model!EY275&lt;&gt;"",Model!EY275,"")</f>
        <v>302</v>
      </c>
      <c r="EZ68" s="94">
        <f>IF(Model!FA275&lt;&gt;"",Model!EZ275,"")</f>
        <v>302</v>
      </c>
      <c r="FA68" s="143">
        <f>IF(Model!FA275&lt;&gt;"",Model!FA275,"")</f>
        <v>302</v>
      </c>
    </row>
    <row r="69" spans="1:157" ht="13.35" customHeight="1" outlineLevel="1">
      <c r="A69" s="3"/>
      <c r="B69" s="4" t="s">
        <v>108</v>
      </c>
      <c r="C69" s="4"/>
      <c r="D69" s="4"/>
      <c r="E69" s="93"/>
      <c r="F69" s="93"/>
      <c r="G69" s="93"/>
      <c r="H69" s="92" t="str">
        <f>IF(AND(G66&lt;&gt;"",H66&lt;&gt;""),(G66+H66)/2,"")</f>
        <v/>
      </c>
      <c r="I69" s="92" t="str">
        <f>IF(AND(H66&lt;&gt;"",I66&lt;&gt;""),(H66+I66)/2,"")</f>
        <v/>
      </c>
      <c r="J69" s="92" t="str">
        <f>IF(AND(G66&lt;&gt;"",J66&lt;&gt;""),(G66+J66)/2,"")</f>
        <v/>
      </c>
      <c r="K69" s="92" t="str">
        <f>IF(AND(J66&lt;&gt;"",K66&lt;&gt;""),(J66+K66)/2,"")</f>
        <v/>
      </c>
      <c r="L69" s="92" t="str">
        <f>IF(AND(K66&lt;&gt;"",L66&lt;&gt;""),(K66+L66)/2,"")</f>
        <v/>
      </c>
      <c r="M69" s="92" t="str">
        <f>IF(AND(J66&lt;&gt;"",M66&lt;&gt;""),(J66+M66)/2,"")</f>
        <v/>
      </c>
      <c r="N69" s="92" t="str">
        <f>IF(AND(M66&lt;&gt;"",N66&lt;&gt;""),(M66+N66)/2,"")</f>
        <v/>
      </c>
      <c r="O69" s="92" t="str">
        <f>IF(AND(N66&lt;&gt;"",O66&lt;&gt;""),(N66+O66)/2,"")</f>
        <v/>
      </c>
      <c r="P69" s="92" t="str">
        <f>IF(AND(M66&lt;&gt;"",P66&lt;&gt;""),(M66+P66)/2,"")</f>
        <v/>
      </c>
      <c r="Q69" s="92" t="str">
        <f>IF(AND(P66&lt;&gt;"",Q66&lt;&gt;""),(P66+Q66)/2,"")</f>
        <v/>
      </c>
      <c r="R69" s="92" t="str">
        <f>IF(AND(Q66&lt;&gt;"",R66&lt;&gt;""),(Q66+R66)/2,"")</f>
        <v/>
      </c>
      <c r="S69" s="92" t="str">
        <f>IF(AND(P66&lt;&gt;"",S66&lt;&gt;""),(P66+S66)/2,"")</f>
        <v/>
      </c>
      <c r="T69" s="92" t="str">
        <f>IF(AND(S66&lt;&gt;"",T66&lt;&gt;""),(S66+T66)/2,"")</f>
        <v/>
      </c>
      <c r="U69" s="92" t="str">
        <f>IF(AND(T66&lt;&gt;"",U66&lt;&gt;""),(T66+U66)/2,"")</f>
        <v/>
      </c>
      <c r="V69" s="92" t="str">
        <f>IF(AND(S66&lt;&gt;"",V66&lt;&gt;""),(S66+V66)/2,"")</f>
        <v/>
      </c>
      <c r="W69" s="92" t="str">
        <f>IF(AND(V66&lt;&gt;"",W66&lt;&gt;""),(V66+W66)/2,"")</f>
        <v/>
      </c>
      <c r="X69" s="92" t="str">
        <f>IF(AND(W66&lt;&gt;"",X66&lt;&gt;""),(W66+X66)/2,"")</f>
        <v/>
      </c>
      <c r="Y69" s="92" t="str">
        <f>IF(AND(V66&lt;&gt;"",Y66&lt;&gt;""),(V66+Y66)/2,"")</f>
        <v/>
      </c>
      <c r="Z69" s="92" t="str">
        <f>IF(AND(Y66&lt;&gt;"",Z66&lt;&gt;""),(Y66+Z66)/2,"")</f>
        <v/>
      </c>
      <c r="AA69" s="92" t="str">
        <f>IF(AND(Z66&lt;&gt;"",AA66&lt;&gt;""),(Z66+AA66)/2,"")</f>
        <v/>
      </c>
      <c r="AB69" s="92" t="str">
        <f>IF(AND(Y66&lt;&gt;"",AB66&lt;&gt;""),(Y66+AB66)/2,"")</f>
        <v/>
      </c>
      <c r="AC69" s="92" t="str">
        <f>IF(AND(AB66&lt;&gt;"",AC66&lt;&gt;""),(AB66+AC66)/2,"")</f>
        <v/>
      </c>
      <c r="AD69" s="92" t="str">
        <f>IF(AND(AC66&lt;&gt;"",AD66&lt;&gt;""),(AC66+AD66)/2,"")</f>
        <v/>
      </c>
      <c r="AE69" s="92" t="str">
        <f>IF(AND(AB66&lt;&gt;"",AE66&lt;&gt;""),(AB66+AE66)/2,"")</f>
        <v/>
      </c>
      <c r="AF69" s="92" t="str">
        <f>IF(AND(AE66&lt;&gt;"",AF66&lt;&gt;""),(AE66+AF66)/2,"")</f>
        <v/>
      </c>
      <c r="AG69" s="92" t="str">
        <f>IF(AND(AF66&lt;&gt;"",AG66&lt;&gt;""),(AF66+AG66)/2,"")</f>
        <v/>
      </c>
      <c r="AH69" s="92" t="str">
        <f>IF(AND(AE66&lt;&gt;"",AH66&lt;&gt;""),(AE66+AH66)/2,"")</f>
        <v/>
      </c>
      <c r="AI69" s="92" t="str">
        <f>IF(AND(AH66&lt;&gt;"",AI66&lt;&gt;""),(AH66+AI66)/2,"")</f>
        <v/>
      </c>
      <c r="AJ69" s="92" t="str">
        <f>IF(AND(AI66&lt;&gt;"",AJ66&lt;&gt;""),(AI66+AJ66)/2,"")</f>
        <v/>
      </c>
      <c r="AK69" s="92" t="str">
        <f>IF(AND(AH66&lt;&gt;"",AK66&lt;&gt;""),(AH66+AK66)/2,"")</f>
        <v/>
      </c>
      <c r="AL69" s="92" t="str">
        <f>IF(AND(AK66&lt;&gt;"",AL66&lt;&gt;""),(AK66+AL66)/2,"")</f>
        <v/>
      </c>
      <c r="AM69" s="92" t="str">
        <f>IF(AND(AL66&lt;&gt;"",AM66&lt;&gt;""),(AL66+AM66)/2,"")</f>
        <v/>
      </c>
      <c r="AN69" s="92" t="str">
        <f>IF(AND(AK66&lt;&gt;"",AN66&lt;&gt;""),(AK66+AN66)/2,"")</f>
        <v/>
      </c>
      <c r="AO69" s="92" t="str">
        <f>IF(AND(AN66&lt;&gt;"",AO66&lt;&gt;""),(AN66+AO66)/2,"")</f>
        <v/>
      </c>
      <c r="AP69" s="92" t="str">
        <f>IF(AND(AO66&lt;&gt;"",AP66&lt;&gt;""),(AO66+AP66)/2,"")</f>
        <v/>
      </c>
      <c r="AQ69" s="92" t="str">
        <f>IF(AND(AN66&lt;&gt;"",AQ66&lt;&gt;""),(AN66+AQ66)/2,"")</f>
        <v/>
      </c>
      <c r="AR69" s="92" t="str">
        <f>IF(AND(AQ66&lt;&gt;"",AR66&lt;&gt;""),(AQ66+AR66)/2,"")</f>
        <v/>
      </c>
      <c r="AS69" s="92" t="str">
        <f>IF(AND(AR66&lt;&gt;"",AS66&lt;&gt;""),(AR66+AS66)/2,"")</f>
        <v/>
      </c>
      <c r="AT69" s="92" t="str">
        <f>IF(AND(AQ66&lt;&gt;"",AT66&lt;&gt;""),(AQ66+AT66)/2,"")</f>
        <v/>
      </c>
      <c r="AU69" s="92" t="str">
        <f>IF(AND(AT66&lt;&gt;"",AU66&lt;&gt;""),(AT66+AU66)/2,"")</f>
        <v/>
      </c>
      <c r="AV69" s="92" t="str">
        <f>IF(AND(AU66&lt;&gt;"",AV66&lt;&gt;""),(AU66+AV66)/2,"")</f>
        <v/>
      </c>
      <c r="AW69" s="92" t="str">
        <f>IF(AND(AT66&lt;&gt;"",AW66&lt;&gt;""),(AT66+AW66)/2,"")</f>
        <v/>
      </c>
      <c r="AX69" s="92" t="str">
        <f>IF(AND(AW66&lt;&gt;"",AX66&lt;&gt;""),(AW66+AX66)/2,"")</f>
        <v/>
      </c>
      <c r="AY69" s="92" t="str">
        <f>IF(AND(AX66&lt;&gt;"",AY66&lt;&gt;""),(AX66+AY66)/2,"")</f>
        <v/>
      </c>
      <c r="AZ69" s="92" t="str">
        <f>IF(AND(AW66&lt;&gt;"",AZ66&lt;&gt;""),(AW66+AZ66)/2,"")</f>
        <v/>
      </c>
      <c r="BA69" s="92" t="str">
        <f>IF(AND(AZ66&lt;&gt;"",BA66&lt;&gt;""),(AZ66+BA66)/2,"")</f>
        <v/>
      </c>
      <c r="BB69" s="92" t="str">
        <f>IF(AND(BA66&lt;&gt;"",BB66&lt;&gt;""),(BA66+BB66)/2,"")</f>
        <v/>
      </c>
      <c r="BC69" s="92" t="str">
        <f>IF(AND(AZ66&lt;&gt;"",BC66&lt;&gt;""),(AZ66+BC66)/2,"")</f>
        <v/>
      </c>
      <c r="BD69" s="92" t="str">
        <f>IF(AND(BC66&lt;&gt;"",BD66&lt;&gt;""),(BC66+BD66)/2,"")</f>
        <v/>
      </c>
      <c r="BE69" s="92" t="str">
        <f>IF(AND(BD66&lt;&gt;"",BE66&lt;&gt;""),(BD66+BE66)/2,"")</f>
        <v/>
      </c>
      <c r="BF69" s="92" t="str">
        <f>IF(AND(BC66&lt;&gt;"",BF66&lt;&gt;""),(BC66+BF66)/2,"")</f>
        <v/>
      </c>
      <c r="BG69" s="92" t="str">
        <f>IF(AND(BF66&lt;&gt;"",BG66&lt;&gt;""),(BF66+BG66)/2,"")</f>
        <v/>
      </c>
      <c r="BH69" s="92" t="str">
        <f>IF(AND(BG66&lt;&gt;"",BH66&lt;&gt;""),(BG66+BH66)/2,"")</f>
        <v/>
      </c>
      <c r="BI69" s="92" t="str">
        <f>IF(AND(BF66&lt;&gt;"",BI66&lt;&gt;""),(BF66+BI66)/2,"")</f>
        <v/>
      </c>
      <c r="BJ69" s="92" t="str">
        <f>IF(AND(BI66&lt;&gt;"",BJ66&lt;&gt;""),(BI66+BJ66)/2,"")</f>
        <v/>
      </c>
      <c r="BK69" s="92" t="str">
        <f>IF(AND(BJ66&lt;&gt;"",BK66&lt;&gt;""),(BJ66+BK66)/2,"")</f>
        <v/>
      </c>
      <c r="BL69" s="92" t="str">
        <f>IF(AND(BI66&lt;&gt;"",BL66&lt;&gt;""),(BI66+BL66)/2,"")</f>
        <v/>
      </c>
      <c r="BM69" s="92" t="str">
        <f>IF(AND(BL66&lt;&gt;"",BM66&lt;&gt;""),(BL66+BM66)/2,"")</f>
        <v/>
      </c>
      <c r="BN69" s="92" t="str">
        <f>IF(AND(BM66&lt;&gt;"",BN66&lt;&gt;""),(BM66+BN66)/2,"")</f>
        <v/>
      </c>
      <c r="BO69" s="92" t="str">
        <f>IF(AND(BL66&lt;&gt;"",BO66&lt;&gt;""),(BL66+BO66)/2,"")</f>
        <v/>
      </c>
      <c r="BP69" s="92" t="str">
        <f>IF(AND(BO66&lt;&gt;"",BP66&lt;&gt;""),(BO66+BP66)/2,"")</f>
        <v/>
      </c>
      <c r="BQ69" s="92" t="str">
        <f>IF(AND(BP66&lt;&gt;"",BQ66&lt;&gt;""),(BP66+BQ66)/2,"")</f>
        <v/>
      </c>
      <c r="BR69" s="92" t="str">
        <f>IF(AND(BO66&lt;&gt;"",BR66&lt;&gt;""),(BO66+BR66)/2,"")</f>
        <v/>
      </c>
      <c r="BS69" s="92" t="str">
        <f>IF(AND(BR66&lt;&gt;"",BS66&lt;&gt;""),(BR66+BS66)/2,"")</f>
        <v/>
      </c>
      <c r="BT69" s="92" t="str">
        <f>IF(AND(BS66&lt;&gt;"",BT66&lt;&gt;""),(BS66+BT66)/2,"")</f>
        <v/>
      </c>
      <c r="BU69" s="92" t="str">
        <f>IF(AND(BR66&lt;&gt;"",BU66&lt;&gt;""),(BR66+BU66)/2,"")</f>
        <v/>
      </c>
      <c r="BV69" s="92" t="str">
        <f>IF(AND(BU66&lt;&gt;"",BV66&lt;&gt;""),(BU66+BV66)/2,"")</f>
        <v/>
      </c>
      <c r="BW69" s="92" t="str">
        <f>IF(AND(BV66&lt;&gt;"",BW66&lt;&gt;""),(BV66+BW66)/2,"")</f>
        <v/>
      </c>
      <c r="BX69" s="92" t="str">
        <f>IF(AND(BU66&lt;&gt;"",BX66&lt;&gt;""),(BU66+BX66)/2,"")</f>
        <v/>
      </c>
      <c r="BY69" s="92" t="str">
        <f>IF(AND(BX66&lt;&gt;"",BY66&lt;&gt;""),(BX66+BY66)/2,"")</f>
        <v/>
      </c>
      <c r="BZ69" s="92" t="str">
        <f>IF(AND(BY66&lt;&gt;"",BZ66&lt;&gt;""),(BY66+BZ66)/2,"")</f>
        <v/>
      </c>
      <c r="CA69" s="92" t="str">
        <f>IF(AND(BX66&lt;&gt;"",CA66&lt;&gt;""),(BX66+CA66)/2,"")</f>
        <v/>
      </c>
      <c r="CB69" s="92" t="str">
        <f>IF(AND(CA66&lt;&gt;"",CB66&lt;&gt;""),(CA66+CB66)/2,"")</f>
        <v/>
      </c>
      <c r="CC69" s="92" t="str">
        <f>IF(AND(CB66&lt;&gt;"",CC66&lt;&gt;""),(CB66+CC66)/2,"")</f>
        <v/>
      </c>
      <c r="CD69" s="92" t="str">
        <f>IF(AND(CA66&lt;&gt;"",CD66&lt;&gt;""),(CA66+CD66)/2,"")</f>
        <v/>
      </c>
      <c r="CE69" s="92" t="str">
        <f>IF(AND(CD66&lt;&gt;"",CE66&lt;&gt;""),(CD66+CE66)/2,"")</f>
        <v/>
      </c>
      <c r="CF69" s="92" t="str">
        <f>IF(AND(CE66&lt;&gt;"",CF66&lt;&gt;""),(CE66+CF66)/2,"")</f>
        <v/>
      </c>
      <c r="CG69" s="92" t="str">
        <f>IF(AND(CD66&lt;&gt;"",CG66&lt;&gt;""),(CD66+CG66)/2,"")</f>
        <v/>
      </c>
      <c r="CH69" s="92" t="str">
        <f>IF(AND(CG66&lt;&gt;"",CH66&lt;&gt;""),(CG66+CH66)/2,"")</f>
        <v/>
      </c>
      <c r="CI69" s="92" t="str">
        <f>IF(AND(CH66&lt;&gt;"",CI66&lt;&gt;""),(CH66+CI66)/2,"")</f>
        <v/>
      </c>
      <c r="CJ69" s="92" t="str">
        <f>IF(AND(CG66&lt;&gt;"",CJ66&lt;&gt;""),(CG66+CJ66)/2,"")</f>
        <v/>
      </c>
      <c r="CK69" s="92" t="str">
        <f>IF(AND(CJ66&lt;&gt;"",CK66&lt;&gt;""),(CJ66+CK66)/2,"")</f>
        <v/>
      </c>
      <c r="CL69" s="92" t="str">
        <f>IF(AND(CK66&lt;&gt;"",CL66&lt;&gt;""),(CK66+CL66)/2,"")</f>
        <v/>
      </c>
      <c r="CM69" s="92" t="str">
        <f>IF(AND(CJ66&lt;&gt;"",CM66&lt;&gt;""),(CJ66+CM66)/2,"")</f>
        <v/>
      </c>
      <c r="CN69" s="92" t="str">
        <f>IF(AND(CM66&lt;&gt;"",CN66&lt;&gt;""),(CM66+CN66)/2,"")</f>
        <v/>
      </c>
      <c r="CO69" s="92" t="str">
        <f>IF(AND(CN66&lt;&gt;"",CO66&lt;&gt;""),(CN66+CO66)/2,"")</f>
        <v/>
      </c>
      <c r="CP69" s="92" t="str">
        <f>IF(AND(CM66&lt;&gt;"",CP66&lt;&gt;""),(CM66+CP66)/2,"")</f>
        <v/>
      </c>
      <c r="CQ69" s="92" t="str">
        <f>IF(AND(CP66&lt;&gt;"",CQ66&lt;&gt;""),(CP66+CQ66)/2,"")</f>
        <v/>
      </c>
      <c r="CR69" s="92" t="str">
        <f>IF(AND(CQ66&lt;&gt;"",CR66&lt;&gt;""),(CQ66+CR66)/2,"")</f>
        <v/>
      </c>
      <c r="CS69" s="92" t="str">
        <f>IF(AND(CP66&lt;&gt;"",CS66&lt;&gt;""),(CP66+CS66)/2,"")</f>
        <v/>
      </c>
      <c r="CT69" s="92" t="str">
        <f>IF(AND(CS66&lt;&gt;"",CT66&lt;&gt;""),(CS66+CT66)/2,"")</f>
        <v/>
      </c>
      <c r="CU69" s="92" t="str">
        <f>IF(AND(CT66&lt;&gt;"",CU66&lt;&gt;""),(CT66+CU66)/2,"")</f>
        <v/>
      </c>
      <c r="CV69" s="92" t="str">
        <f>IF(AND(CS66&lt;&gt;"",CV66&lt;&gt;""),(CS66+CV66)/2,"")</f>
        <v/>
      </c>
      <c r="CW69" s="92" t="str">
        <f>IF(AND(CV66&lt;&gt;"",CW66&lt;&gt;""),(CV66+CW66)/2,"")</f>
        <v/>
      </c>
      <c r="CX69" s="92" t="str">
        <f>IF(AND(CW66&lt;&gt;"",CX66&lt;&gt;""),(CW66+CX66)/2,"")</f>
        <v/>
      </c>
      <c r="CY69" s="92" t="str">
        <f>IF(AND(CV66&lt;&gt;"",CY66&lt;&gt;""),(CV66+CY66)/2,"")</f>
        <v/>
      </c>
      <c r="CZ69" s="92" t="str">
        <f>IF(AND(CY66&lt;&gt;"",CZ66&lt;&gt;""),(CY66+CZ66)/2,"")</f>
        <v/>
      </c>
      <c r="DA69" s="92" t="str">
        <f>IF(AND(CZ66&lt;&gt;"",DA66&lt;&gt;""),(CZ66+DA66)/2,"")</f>
        <v/>
      </c>
      <c r="DB69" s="92" t="str">
        <f>IF(AND(CY66&lt;&gt;"",DB66&lt;&gt;""),(CY66+DB66)/2,"")</f>
        <v/>
      </c>
      <c r="DC69" s="92" t="str">
        <f>IF(AND(DB66&lt;&gt;"",DC66&lt;&gt;""),(DB66+DC66)/2,"")</f>
        <v/>
      </c>
      <c r="DD69" s="92" t="str">
        <f>IF(AND(DC66&lt;&gt;"",DD66&lt;&gt;""),(DC66+DD66)/2,"")</f>
        <v/>
      </c>
      <c r="DE69" s="144" t="str">
        <f>IF(AND(DB66&lt;&gt;"",DE66&lt;&gt;""),(DB66+DE66)/2,"")</f>
        <v/>
      </c>
      <c r="DF69" s="92" t="str">
        <f>IF(AND(DE66&lt;&gt;"",DF66&lt;&gt;""),(DE66+DF66)/2,"")</f>
        <v/>
      </c>
      <c r="DG69" s="92" t="str">
        <f>IF(AND(DF66&lt;&gt;"",DG66&lt;&gt;""),(DF66+DG66)/2,"")</f>
        <v/>
      </c>
      <c r="DH69" s="144" t="str">
        <f>IF(AND(DE66&lt;&gt;"",DH66&lt;&gt;""),(DE66+DH66)/2,"")</f>
        <v/>
      </c>
      <c r="DI69" s="92" t="str">
        <f>IF(AND(DH66&lt;&gt;"",DI66&lt;&gt;""),(DH66+DI66)/2,"")</f>
        <v/>
      </c>
      <c r="DJ69" s="92" t="str">
        <f>IF(AND(DI66&lt;&gt;"",DJ66&lt;&gt;""),(DI66+DJ66)/2,"")</f>
        <v/>
      </c>
      <c r="DK69" s="144" t="str">
        <f>IF(AND(DH66&lt;&gt;"",DK66&lt;&gt;""),(DH66+DK66)/2,"")</f>
        <v/>
      </c>
      <c r="DL69" s="92" t="str">
        <f>IF(AND(DK66&lt;&gt;"",DL66&lt;&gt;""),(DK66+DL66)/2,"")</f>
        <v/>
      </c>
      <c r="DM69" s="92" t="str">
        <f>IF(AND(DL66&lt;&gt;"",DM66&lt;&gt;""),(DL66+DM66)/2,"")</f>
        <v/>
      </c>
      <c r="DN69" s="144" t="str">
        <f>IF(AND(DK66&lt;&gt;"",DN66&lt;&gt;""),(DK66+DN66)/2,"")</f>
        <v/>
      </c>
      <c r="DO69" s="92" t="str">
        <f>IF(AND(DN66&lt;&gt;"",DO66&lt;&gt;""),(DN66+DO66)/2,"")</f>
        <v/>
      </c>
      <c r="DP69" s="92" t="str">
        <f>IF(AND(DO66&lt;&gt;"",DP66&lt;&gt;""),(DO66+DP66)/2,"")</f>
        <v/>
      </c>
      <c r="DQ69" s="144" t="str">
        <f>IF(AND(DN66&lt;&gt;"",DQ66&lt;&gt;""),(DN66+DQ66)/2,"")</f>
        <v/>
      </c>
      <c r="DR69" s="92" t="str">
        <f>IF(AND(DQ66&lt;&gt;"",DR66&lt;&gt;""),(DQ66+DR66)/2,"")</f>
        <v/>
      </c>
      <c r="DS69" s="92" t="str">
        <f>IF(AND(DR66&lt;&gt;"",DS66&lt;&gt;""),(DR66+DS66)/2,"")</f>
        <v/>
      </c>
      <c r="DT69" s="144" t="str">
        <f>IF(AND(DQ66&lt;&gt;"",DT66&lt;&gt;""),(DQ66+DT66)/2,"")</f>
        <v/>
      </c>
      <c r="DU69" s="92" t="str">
        <f>IF(AND(DT66&lt;&gt;"",DU66&lt;&gt;""),(DT66+DU66)/2,"")</f>
        <v/>
      </c>
      <c r="DV69" s="92" t="str">
        <f>IF(AND(DU66&lt;&gt;"",DV66&lt;&gt;""),(DU66+DV66)/2,"")</f>
        <v/>
      </c>
      <c r="DW69" s="144" t="str">
        <f>IF(AND(DT66&lt;&gt;"",DW66&lt;&gt;""),(DT66+DW66)/2,"")</f>
        <v/>
      </c>
      <c r="DX69" s="92" t="str">
        <f>IF(AND(DW66&lt;&gt;"",DX66&lt;&gt;""),(DW66+DX66)/2,"")</f>
        <v/>
      </c>
      <c r="DY69" s="92" t="str">
        <f>IF(AND(DX66&lt;&gt;"",DY66&lt;&gt;""),(DX66+DY66)/2,"")</f>
        <v/>
      </c>
      <c r="DZ69" s="144" t="str">
        <f>IF(AND(DW66&lt;&gt;"",DZ66&lt;&gt;""),(DW66+DZ66)/2,"")</f>
        <v/>
      </c>
      <c r="EA69" s="92" t="str">
        <f>IF(AND(DZ66&lt;&gt;"",EA66&lt;&gt;""),(DZ66+EA66)/2,"")</f>
        <v/>
      </c>
      <c r="EB69" s="92" t="str">
        <f>IF(AND(EA66&lt;&gt;"",EB66&lt;&gt;""),(EA66+EB66)/2,"")</f>
        <v/>
      </c>
      <c r="EC69" s="144" t="str">
        <f>IF(AND(DZ66&lt;&gt;"",EC66&lt;&gt;""),(DZ66+EC66)/2,"")</f>
        <v/>
      </c>
      <c r="ED69" s="92" t="str">
        <f>IF(AND(EC66&lt;&gt;"",ED66&lt;&gt;""),(EC66+ED66)/2,"")</f>
        <v/>
      </c>
      <c r="EE69" s="92" t="str">
        <f>IF(AND(ED66&lt;&gt;"",EE66&lt;&gt;""),(ED66+EE66)/2,"")</f>
        <v/>
      </c>
      <c r="EF69" s="144" t="str">
        <f>IF(AND(EC66&lt;&gt;"",EF66&lt;&gt;""),(EC66+EF66)/2,"")</f>
        <v/>
      </c>
      <c r="EG69" s="92" t="str">
        <f>IF(AND(EF66&lt;&gt;"",EG66&lt;&gt;""),(EF66+EG66)/2,"")</f>
        <v/>
      </c>
      <c r="EH69" s="92" t="str">
        <f>IF(AND(EG66&lt;&gt;"",EH66&lt;&gt;""),(EG66+EH66)/2,"")</f>
        <v/>
      </c>
      <c r="EI69" s="144" t="str">
        <f>IF(AND(EF66&lt;&gt;"",EI66&lt;&gt;""),(EF66+EI66)/2,"")</f>
        <v/>
      </c>
      <c r="EJ69" s="92" t="str">
        <f>IF(AND(EI66&lt;&gt;"",EJ66&lt;&gt;""),(EI66+EJ66)/2,"")</f>
        <v/>
      </c>
      <c r="EK69" s="92" t="str">
        <f>IF(AND(EJ66&lt;&gt;"",EK66&lt;&gt;""),(EJ66+EK66)/2,"")</f>
        <v/>
      </c>
      <c r="EL69" s="144" t="str">
        <f>IF(AND(EI66&lt;&gt;"",EL66&lt;&gt;""),(EI66+EL66)/2,"")</f>
        <v/>
      </c>
      <c r="EM69" s="92" t="str">
        <f>IF(AND(EL66&lt;&gt;"",EM66&lt;&gt;""),(EL66+EM66)/2,"")</f>
        <v/>
      </c>
      <c r="EN69" s="92" t="str">
        <f>IF(AND(EM66&lt;&gt;"",EN66&lt;&gt;""),(EM66+EN66)/2,"")</f>
        <v/>
      </c>
      <c r="EO69" s="144" t="str">
        <f>IF(AND(EL66&lt;&gt;"",EO66&lt;&gt;""),(EL66+EO66)/2,"")</f>
        <v/>
      </c>
      <c r="EP69" s="92" t="str">
        <f>IF(AND(EO66&lt;&gt;"",EP66&lt;&gt;""),(EO66+EP66)/2,"")</f>
        <v/>
      </c>
      <c r="EQ69" s="92" t="str">
        <f>IF(AND(EP66&lt;&gt;"",EQ66&lt;&gt;""),(EP66+EQ66)/2,"")</f>
        <v/>
      </c>
      <c r="ER69" s="144" t="str">
        <f>IF(AND(EO66&lt;&gt;"",ER66&lt;&gt;""),(EO66+ER66)/2,"")</f>
        <v/>
      </c>
      <c r="ES69" s="92" t="str">
        <f>IF(AND(ER66&lt;&gt;"",ES66&lt;&gt;""),(ER66+ES66)/2,"")</f>
        <v/>
      </c>
      <c r="ET69" s="92" t="str">
        <f>IF(AND(ES66&lt;&gt;"",ET66&lt;&gt;""),(ES66+ET66)/2,"")</f>
        <v/>
      </c>
      <c r="EU69" s="144" t="str">
        <f>IF(AND(ER66&lt;&gt;"",EU66&lt;&gt;""),(ER66+EU66)/2,"")</f>
        <v/>
      </c>
      <c r="EV69" s="92" t="str">
        <f>IF(AND(EU66&lt;&gt;"",EV66&lt;&gt;""),(EU66+EV66)/2,"")</f>
        <v/>
      </c>
      <c r="EW69" s="92" t="str">
        <f>IF(AND(EV66&lt;&gt;"",EW66&lt;&gt;""),(EV66+EW66)/2,"")</f>
        <v/>
      </c>
      <c r="EX69" s="144" t="str">
        <f>IF(AND(EU66&lt;&gt;"",EX66&lt;&gt;""),(EU66+EX66)/2,"")</f>
        <v/>
      </c>
      <c r="EY69" s="92" t="str">
        <f>IF(AND(EX66&lt;&gt;"",EY66&lt;&gt;""),(EX66+EY66)/2,"")</f>
        <v/>
      </c>
      <c r="EZ69" s="92" t="str">
        <f>IF(AND(EY66&lt;&gt;"",EZ66&lt;&gt;""),(EY66+EZ66)/2,"")</f>
        <v/>
      </c>
      <c r="FA69" s="144" t="str">
        <f>IF(AND(EX66&lt;&gt;"",FA66&lt;&gt;""),(EX66+FA66)/2,"")</f>
        <v/>
      </c>
    </row>
    <row r="70" spans="1:157" ht="13.35" customHeight="1" outlineLevel="1">
      <c r="A70" s="3"/>
      <c r="B70" s="4" t="s">
        <v>109</v>
      </c>
      <c r="C70" s="4"/>
      <c r="D70" s="4"/>
      <c r="E70" s="93"/>
      <c r="F70" s="93"/>
      <c r="G70" s="93"/>
      <c r="H70" s="92" t="str">
        <f>IF(AND(G68&lt;&gt;"",H68&lt;&gt;""),(G68+H68)/2,"")</f>
        <v/>
      </c>
      <c r="I70" s="92" t="str">
        <f>IF(AND(H68&lt;&gt;"",I68&lt;&gt;""),(H68+I68)/2,"")</f>
        <v/>
      </c>
      <c r="J70" s="92" t="str">
        <f>IF(AND(G68&lt;&gt;"",J68&lt;&gt;""),(G68+J68)/2,"")</f>
        <v/>
      </c>
      <c r="K70" s="92" t="str">
        <f>IF(AND(J68&lt;&gt;"",K68&lt;&gt;""),(J68+K68)/2,"")</f>
        <v/>
      </c>
      <c r="L70" s="92" t="str">
        <f>IF(AND(K68&lt;&gt;"",L68&lt;&gt;""),(K68+L68)/2,"")</f>
        <v/>
      </c>
      <c r="M70" s="92" t="str">
        <f>IF(AND(J68&lt;&gt;"",M68&lt;&gt;""),(J68+M68)/2,"")</f>
        <v/>
      </c>
      <c r="N70" s="92" t="str">
        <f>IF(AND(M68&lt;&gt;"",N68&lt;&gt;""),(M68+N68)/2,"")</f>
        <v/>
      </c>
      <c r="O70" s="92" t="str">
        <f>IF(AND(N68&lt;&gt;"",O68&lt;&gt;""),(N68+O68)/2,"")</f>
        <v/>
      </c>
      <c r="P70" s="92" t="str">
        <f>IF(AND(M68&lt;&gt;"",P68&lt;&gt;""),(M68+P68)/2,"")</f>
        <v/>
      </c>
      <c r="Q70" s="92" t="str">
        <f>IF(AND(P68&lt;&gt;"",Q68&lt;&gt;""),(P68+Q68)/2,"")</f>
        <v/>
      </c>
      <c r="R70" s="92" t="str">
        <f>IF(AND(Q68&lt;&gt;"",R68&lt;&gt;""),(Q68+R68)/2,"")</f>
        <v/>
      </c>
      <c r="S70" s="92" t="str">
        <f>IF(AND(P68&lt;&gt;"",S68&lt;&gt;""),(P68+S68)/2,"")</f>
        <v/>
      </c>
      <c r="T70" s="92" t="str">
        <f>IF(AND(S68&lt;&gt;"",T68&lt;&gt;""),(S68+T68)/2,"")</f>
        <v/>
      </c>
      <c r="U70" s="92" t="str">
        <f>IF(AND(T68&lt;&gt;"",U68&lt;&gt;""),(T68+U68)/2,"")</f>
        <v/>
      </c>
      <c r="V70" s="92" t="str">
        <f>IF(AND(S68&lt;&gt;"",V68&lt;&gt;""),(S68+V68)/2,"")</f>
        <v/>
      </c>
      <c r="W70" s="92" t="str">
        <f>IF(AND(V68&lt;&gt;"",W68&lt;&gt;""),(V68+W68)/2,"")</f>
        <v/>
      </c>
      <c r="X70" s="92" t="str">
        <f>IF(AND(W68&lt;&gt;"",X68&lt;&gt;""),(W68+X68)/2,"")</f>
        <v/>
      </c>
      <c r="Y70" s="92" t="str">
        <f>IF(AND(V68&lt;&gt;"",Y68&lt;&gt;""),(V68+Y68)/2,"")</f>
        <v/>
      </c>
      <c r="Z70" s="92" t="str">
        <f>IF(AND(Y68&lt;&gt;"",Z68&lt;&gt;""),(Y68+Z68)/2,"")</f>
        <v/>
      </c>
      <c r="AA70" s="92" t="str">
        <f>IF(AND(Z68&lt;&gt;"",AA68&lt;&gt;""),(Z68+AA68)/2,"")</f>
        <v/>
      </c>
      <c r="AB70" s="92" t="str">
        <f>IF(AND(Y68&lt;&gt;"",AB68&lt;&gt;""),(Y68+AB68)/2,"")</f>
        <v/>
      </c>
      <c r="AC70" s="92" t="str">
        <f>IF(AND(AB68&lt;&gt;"",AC68&lt;&gt;""),(AB68+AC68)/2,"")</f>
        <v/>
      </c>
      <c r="AD70" s="92" t="str">
        <f>IF(AND(AC68&lt;&gt;"",AD68&lt;&gt;""),(AC68+AD68)/2,"")</f>
        <v/>
      </c>
      <c r="AE70" s="92" t="str">
        <f>IF(AND(AB68&lt;&gt;"",AE68&lt;&gt;""),(AB68+AE68)/2,"")</f>
        <v/>
      </c>
      <c r="AF70" s="92" t="str">
        <f>IF(AND(AE68&lt;&gt;"",AF68&lt;&gt;""),(AE68+AF68)/2,"")</f>
        <v/>
      </c>
      <c r="AG70" s="92" t="str">
        <f>IF(AND(AF68&lt;&gt;"",AG68&lt;&gt;""),(AF68+AG68)/2,"")</f>
        <v/>
      </c>
      <c r="AH70" s="92" t="str">
        <f>IF(AND(AE68&lt;&gt;"",AH68&lt;&gt;""),(AE68+AH68)/2,"")</f>
        <v/>
      </c>
      <c r="AI70" s="92" t="str">
        <f>IF(AND(AH68&lt;&gt;"",AI68&lt;&gt;""),(AH68+AI68)/2,"")</f>
        <v/>
      </c>
      <c r="AJ70" s="92" t="str">
        <f>IF(AND(AI68&lt;&gt;"",AJ68&lt;&gt;""),(AI68+AJ68)/2,"")</f>
        <v/>
      </c>
      <c r="AK70" s="92" t="str">
        <f>IF(AND(AH68&lt;&gt;"",AK68&lt;&gt;""),(AH68+AK68)/2,"")</f>
        <v/>
      </c>
      <c r="AL70" s="92" t="str">
        <f>IF(AND(AK68&lt;&gt;"",AL68&lt;&gt;""),(AK68+AL68)/2,"")</f>
        <v/>
      </c>
      <c r="AM70" s="92" t="str">
        <f>IF(AND(AL68&lt;&gt;"",AM68&lt;&gt;""),(AL68+AM68)/2,"")</f>
        <v/>
      </c>
      <c r="AN70" s="92" t="str">
        <f>IF(AND(AK68&lt;&gt;"",AN68&lt;&gt;""),(AK68+AN68)/2,"")</f>
        <v/>
      </c>
      <c r="AO70" s="92" t="str">
        <f>IF(AND(AN68&lt;&gt;"",AO68&lt;&gt;""),(AN68+AO68)/2,"")</f>
        <v/>
      </c>
      <c r="AP70" s="92" t="str">
        <f>IF(AND(AO68&lt;&gt;"",AP68&lt;&gt;""),(AO68+AP68)/2,"")</f>
        <v/>
      </c>
      <c r="AQ70" s="92" t="str">
        <f>IF(AND(AN68&lt;&gt;"",AQ68&lt;&gt;""),(AN68+AQ68)/2,"")</f>
        <v/>
      </c>
      <c r="AR70" s="92" t="str">
        <f>IF(AND(AQ68&lt;&gt;"",AR68&lt;&gt;""),(AQ68+AR68)/2,"")</f>
        <v/>
      </c>
      <c r="AS70" s="92" t="str">
        <f>IF(AND(AR68&lt;&gt;"",AS68&lt;&gt;""),(AR68+AS68)/2,"")</f>
        <v/>
      </c>
      <c r="AT70" s="92" t="str">
        <f>IF(AND(AQ68&lt;&gt;"",AT68&lt;&gt;""),(AQ68+AT68)/2,"")</f>
        <v/>
      </c>
      <c r="AU70" s="92" t="str">
        <f>IF(AND(AT68&lt;&gt;"",AU68&lt;&gt;""),(AT68+AU68)/2,"")</f>
        <v/>
      </c>
      <c r="AV70" s="92" t="str">
        <f>IF(AND(AU68&lt;&gt;"",AV68&lt;&gt;""),(AU68+AV68)/2,"")</f>
        <v/>
      </c>
      <c r="AW70" s="92" t="str">
        <f>IF(AND(AT68&lt;&gt;"",AW68&lt;&gt;""),(AT68+AW68)/2,"")</f>
        <v/>
      </c>
      <c r="AX70" s="92" t="str">
        <f>IF(AND(AW68&lt;&gt;"",AX68&lt;&gt;""),(AW68+AX68)/2,"")</f>
        <v/>
      </c>
      <c r="AY70" s="92" t="str">
        <f>IF(AND(AX68&lt;&gt;"",AY68&lt;&gt;""),(AX68+AY68)/2,"")</f>
        <v/>
      </c>
      <c r="AZ70" s="92" t="str">
        <f>IF(AND(AW68&lt;&gt;"",AZ68&lt;&gt;""),(AW68+AZ68)/2,"")</f>
        <v/>
      </c>
      <c r="BA70" s="92" t="str">
        <f>IF(AND(AZ68&lt;&gt;"",BA68&lt;&gt;""),(AZ68+BA68)/2,"")</f>
        <v/>
      </c>
      <c r="BB70" s="92" t="str">
        <f>IF(AND(BA68&lt;&gt;"",BB68&lt;&gt;""),(BA68+BB68)/2,"")</f>
        <v/>
      </c>
      <c r="BC70" s="92" t="str">
        <f>IF(AND(AZ68&lt;&gt;"",BC68&lt;&gt;""),(AZ68+BC68)/2,"")</f>
        <v/>
      </c>
      <c r="BD70" s="92" t="str">
        <f>IF(AND(BC68&lt;&gt;"",BD68&lt;&gt;""),(BC68+BD68)/2,"")</f>
        <v/>
      </c>
      <c r="BE70" s="92" t="str">
        <f>IF(AND(BD68&lt;&gt;"",BE68&lt;&gt;""),(BD68+BE68)/2,"")</f>
        <v/>
      </c>
      <c r="BF70" s="92" t="str">
        <f>IF(AND(BC68&lt;&gt;"",BF68&lt;&gt;""),(BC68+BF68)/2,"")</f>
        <v/>
      </c>
      <c r="BG70" s="92" t="str">
        <f>IF(AND(BF68&lt;&gt;"",BG68&lt;&gt;""),(BF68+BG68)/2,"")</f>
        <v/>
      </c>
      <c r="BH70" s="92" t="str">
        <f>IF(AND(BG68&lt;&gt;"",BH68&lt;&gt;""),(BG68+BH68)/2,"")</f>
        <v/>
      </c>
      <c r="BI70" s="92" t="str">
        <f>IF(AND(BF68&lt;&gt;"",BI68&lt;&gt;""),(BF68+BI68)/2,"")</f>
        <v/>
      </c>
      <c r="BJ70" s="92" t="str">
        <f>IF(AND(BI68&lt;&gt;"",BJ68&lt;&gt;""),(BI68+BJ68)/2,"")</f>
        <v/>
      </c>
      <c r="BK70" s="92" t="str">
        <f>IF(AND(BJ68&lt;&gt;"",BK68&lt;&gt;""),(BJ68+BK68)/2,"")</f>
        <v/>
      </c>
      <c r="BL70" s="92" t="str">
        <f>IF(AND(BI68&lt;&gt;"",BL68&lt;&gt;""),(BI68+BL68)/2,"")</f>
        <v/>
      </c>
      <c r="BM70" s="92" t="str">
        <f>IF(AND(BL68&lt;&gt;"",BM68&lt;&gt;""),(BL68+BM68)/2,"")</f>
        <v/>
      </c>
      <c r="BN70" s="92" t="str">
        <f>IF(AND(BM68&lt;&gt;"",BN68&lt;&gt;""),(BM68+BN68)/2,"")</f>
        <v/>
      </c>
      <c r="BO70" s="92" t="str">
        <f>IF(AND(BL68&lt;&gt;"",BO68&lt;&gt;""),(BL68+BO68)/2,"")</f>
        <v/>
      </c>
      <c r="BP70" s="92" t="str">
        <f>IF(AND(BO68&lt;&gt;"",BP68&lt;&gt;""),(BO68+BP68)/2,"")</f>
        <v/>
      </c>
      <c r="BQ70" s="92" t="str">
        <f>IF(AND(BP68&lt;&gt;"",BQ68&lt;&gt;""),(BP68+BQ68)/2,"")</f>
        <v/>
      </c>
      <c r="BR70" s="92" t="str">
        <f>IF(AND(BO68&lt;&gt;"",BR68&lt;&gt;""),(BO68+BR68)/2,"")</f>
        <v/>
      </c>
      <c r="BS70" s="92" t="str">
        <f>IF(AND(BR68&lt;&gt;"",BS68&lt;&gt;""),(BR68+BS68)/2,"")</f>
        <v/>
      </c>
      <c r="BT70" s="92" t="str">
        <f>IF(AND(BS68&lt;&gt;"",BT68&lt;&gt;""),(BS68+BT68)/2,"")</f>
        <v/>
      </c>
      <c r="BU70" s="92" t="str">
        <f>IF(AND(BR68&lt;&gt;"",BU68&lt;&gt;""),(BR68+BU68)/2,"")</f>
        <v/>
      </c>
      <c r="BV70" s="92" t="str">
        <f>IF(AND(BU68&lt;&gt;"",BV68&lt;&gt;""),(BU68+BV68)/2,"")</f>
        <v/>
      </c>
      <c r="BW70" s="92" t="str">
        <f>IF(AND(BV68&lt;&gt;"",BW68&lt;&gt;""),(BV68+BW68)/2,"")</f>
        <v/>
      </c>
      <c r="BX70" s="92" t="str">
        <f>IF(AND(BU68&lt;&gt;"",BX68&lt;&gt;""),(BU68+BX68)/2,"")</f>
        <v/>
      </c>
      <c r="BY70" s="92" t="str">
        <f>IF(AND(BX68&lt;&gt;"",BY68&lt;&gt;""),(BX68+BY68)/2,"")</f>
        <v/>
      </c>
      <c r="BZ70" s="92" t="str">
        <f>IF(AND(BY68&lt;&gt;"",BZ68&lt;&gt;""),(BY68+BZ68)/2,"")</f>
        <v/>
      </c>
      <c r="CA70" s="92">
        <f>IF(AND(BX68&lt;&gt;"",CA68&lt;&gt;""),(BX68+CA68)/2,"")</f>
        <v>0</v>
      </c>
      <c r="CB70" s="92" t="str">
        <f>IF(AND(CA68&lt;&gt;"",CB68&lt;&gt;""),(CA68+CB68)/2,"")</f>
        <v/>
      </c>
      <c r="CC70" s="92" t="str">
        <f>IF(AND(CB68&lt;&gt;"",CC68&lt;&gt;""),(CB68+CC68)/2,"")</f>
        <v/>
      </c>
      <c r="CD70" s="92">
        <f>IF(AND(CA68&lt;&gt;"",CD68&lt;&gt;""),(CA68+CD68)/2,"")</f>
        <v>0</v>
      </c>
      <c r="CE70" s="92" t="str">
        <f>IF(AND(CD68&lt;&gt;"",CE68&lt;&gt;""),(CD68+CE68)/2,"")</f>
        <v/>
      </c>
      <c r="CF70" s="92" t="str">
        <f>IF(AND(CE68&lt;&gt;"",CF68&lt;&gt;""),(CE68+CF68)/2,"")</f>
        <v/>
      </c>
      <c r="CG70" s="92">
        <f>IF(AND(CD68&lt;&gt;"",CG68&lt;&gt;""),(CD68+CG68)/2,"")</f>
        <v>0</v>
      </c>
      <c r="CH70" s="92">
        <f>IF(AND(CG68&lt;&gt;"",CH68&lt;&gt;""),(CG68+CH68)/2,"")</f>
        <v>60</v>
      </c>
      <c r="CI70" s="92">
        <f>IF(AND(CH68&lt;&gt;"",CI68&lt;&gt;""),(CH68+CI68)/2,"")</f>
        <v>129.9</v>
      </c>
      <c r="CJ70" s="92">
        <f>IF(AND(CG68&lt;&gt;"",CJ68&lt;&gt;""),(CG68+CJ68)/2,"")</f>
        <v>69.900000000000006</v>
      </c>
      <c r="CK70" s="92">
        <f>IF(AND(CJ68&lt;&gt;"",CK68&lt;&gt;""),(CJ68+CK68)/2,"")</f>
        <v>149.85000000000002</v>
      </c>
      <c r="CL70" s="92">
        <f>IF(AND(CK68&lt;&gt;"",CL68&lt;&gt;""),(CK68+CL68)/2,"")</f>
        <v>159.9</v>
      </c>
      <c r="CM70" s="92">
        <f>IF(AND(CJ68&lt;&gt;"",CM68&lt;&gt;""),(CJ68+CM68)/2,"")</f>
        <v>149.85000000000002</v>
      </c>
      <c r="CN70" s="92">
        <f>IF(AND(CM68&lt;&gt;"",CN68&lt;&gt;""),(CM68+CN68)/2,"")</f>
        <v>158.05000000000001</v>
      </c>
      <c r="CO70" s="92">
        <f>IF(AND(CN68&lt;&gt;"",CO68&lt;&gt;""),(CN68+CO68)/2,"")</f>
        <v>135.39999999999998</v>
      </c>
      <c r="CP70" s="92">
        <f>IF(AND(CM68&lt;&gt;"",CP68&lt;&gt;""),(CM68+CP68)/2,"")</f>
        <v>137.25</v>
      </c>
      <c r="CQ70" s="92">
        <f>IF(AND(CP68&lt;&gt;"",CQ68&lt;&gt;""),(CP68+CQ68)/2,"")</f>
        <v>96.05</v>
      </c>
      <c r="CR70" s="92">
        <f>IF(AND(CQ68&lt;&gt;"",CR68&lt;&gt;""),(CQ68+CR68)/2,"")</f>
        <v>110.7</v>
      </c>
      <c r="CS70" s="92">
        <f>IF(AND(CP68&lt;&gt;"",CS68&lt;&gt;""),(CP68+CS68)/2,"")</f>
        <v>129.25</v>
      </c>
      <c r="CT70" s="92">
        <f>IF(AND(CS68&lt;&gt;"",CT68&lt;&gt;""),(CS68+CT68)/2,"")</f>
        <v>147.5</v>
      </c>
      <c r="CU70" s="92">
        <f>IF(AND(CT68&lt;&gt;"",CU68&lt;&gt;""),(CT68+CU68)/2,"")</f>
        <v>179.2</v>
      </c>
      <c r="CV70" s="92">
        <f>IF(AND(CS68&lt;&gt;"",CV68&lt;&gt;""),(CS68+CV68)/2,"")</f>
        <v>175.60000000000002</v>
      </c>
      <c r="CW70" s="92">
        <f>IF(AND(CV68&lt;&gt;"",CW68&lt;&gt;""),(CV68+CW68)/2,"")</f>
        <v>186.7</v>
      </c>
      <c r="CX70" s="92">
        <f>IF(AND(CW68&lt;&gt;"",CX68&lt;&gt;""),(CW68+CX68)/2,"")</f>
        <v>184.3</v>
      </c>
      <c r="CY70" s="92">
        <f>IF(AND(CV68&lt;&gt;"",CY68&lt;&gt;""),(CV68+CY68)/2,"")</f>
        <v>204.9</v>
      </c>
      <c r="CZ70" s="92">
        <f>IF(AND(CY68&lt;&gt;"",CZ68&lt;&gt;""),(CY68+CZ68)/2,"")</f>
        <v>242.75</v>
      </c>
      <c r="DA70" s="92">
        <f>IF(AND(CZ68&lt;&gt;"",DA68&lt;&gt;""),(CZ68+DA68)/2,"")</f>
        <v>265.7</v>
      </c>
      <c r="DB70" s="92">
        <f>IF(AND(CY68&lt;&gt;"",DB68&lt;&gt;""),(CY68+DB68)/2,"")</f>
        <v>225.45</v>
      </c>
      <c r="DC70" s="92">
        <f>IF(AND(DB68&lt;&gt;"",DC68&lt;&gt;""),(DB68+DC68)/2,"")</f>
        <v>163.30000000000001</v>
      </c>
      <c r="DD70" s="92">
        <f>IF(AND(DC68&lt;&gt;"",DD68&lt;&gt;""),(DC68+DD68)/2,"")</f>
        <v>120.19999999999999</v>
      </c>
      <c r="DE70" s="144">
        <f>IF(AND(DB68&lt;&gt;"",DE68&lt;&gt;""),(DB68+DE68)/2,"")</f>
        <v>205.3</v>
      </c>
      <c r="DF70" s="92">
        <f>IF(AND(DE68&lt;&gt;"",DF68&lt;&gt;""),(DE68+DF68)/2,"")</f>
        <v>204.35</v>
      </c>
      <c r="DG70" s="92">
        <f>IF(AND(DF68&lt;&gt;"",DG68&lt;&gt;""),(DF68+DG68)/2,"")</f>
        <v>250.1</v>
      </c>
      <c r="DH70" s="144">
        <f>IF(AND(DE68&lt;&gt;"",DH68&lt;&gt;""),(DE68+DH68)/2,"")</f>
        <v>207.95</v>
      </c>
      <c r="DI70" s="92">
        <f>IF(AND(DH68&lt;&gt;"",DI68&lt;&gt;""),(DH68+DI68)/2,"")</f>
        <v>302.5</v>
      </c>
      <c r="DJ70" s="92">
        <f>IF(AND(DI68&lt;&gt;"",DJ68&lt;&gt;""),(DI68+DJ68)/2,"")</f>
        <v>332.15</v>
      </c>
      <c r="DK70" s="144">
        <f>IF(AND(DH68&lt;&gt;"",DK68&lt;&gt;""),(DH68+DK68)/2,"")</f>
        <v>283.35000000000002</v>
      </c>
      <c r="DL70" s="92">
        <f>IF(AND(DK68&lt;&gt;"",DL68&lt;&gt;""),(DK68+DL68)/2,"")</f>
        <v>260.2</v>
      </c>
      <c r="DM70" s="92">
        <f>IF(AND(DL68&lt;&gt;"",DM68&lt;&gt;""),(DL68+DM68)/2,"")</f>
        <v>169.45</v>
      </c>
      <c r="DN70" s="144">
        <f>IF(AND(DK68&lt;&gt;"",DN68&lt;&gt;""),(DK68+DN68)/2,"")</f>
        <v>222.25</v>
      </c>
      <c r="DO70" s="92">
        <f>IF(AND(DN68&lt;&gt;"",DO68&lt;&gt;""),(DN68+DO68)/2,"")</f>
        <v>245.4</v>
      </c>
      <c r="DP70" s="92">
        <f>IF(AND(DO68&lt;&gt;"",DP68&lt;&gt;""),(DO68+DP68)/2,"")</f>
        <v>327.64999999999998</v>
      </c>
      <c r="DQ70" s="144">
        <f>IF(AND(DN68&lt;&gt;"",DQ68&lt;&gt;""),(DN68+DQ68)/2,"")</f>
        <v>213.75</v>
      </c>
      <c r="DR70" s="92">
        <f>IF(AND(DQ68&lt;&gt;"",DR68&lt;&gt;""),(DQ68+DR68)/2,"")</f>
        <v>214</v>
      </c>
      <c r="DS70" s="92">
        <f>IF(AND(DR68&lt;&gt;"",DS68&lt;&gt;""),(DR68+DS68)/2,"")</f>
        <v>154</v>
      </c>
      <c r="DT70" s="144">
        <f>IF(AND(DQ68&lt;&gt;"",DT68&lt;&gt;""),(DQ68+DT68)/2,"")</f>
        <v>236</v>
      </c>
      <c r="DU70" s="92">
        <f>IF(AND(DT68&lt;&gt;"",DU68&lt;&gt;""),(DT68+DU68)/2,"")</f>
        <v>190.5</v>
      </c>
      <c r="DV70" s="92">
        <f>IF(AND(DU68&lt;&gt;"",DV68&lt;&gt;""),(DU68+DV68)/2,"")</f>
        <v>242.5</v>
      </c>
      <c r="DW70" s="144">
        <f>IF(AND(DT68&lt;&gt;"",DW68&lt;&gt;""),(DT68+DW68)/2,"")</f>
        <v>228</v>
      </c>
      <c r="DX70" s="92">
        <f>IF(AND(DW68&lt;&gt;"",DX68&lt;&gt;""),(DW68+DX68)/2,"")</f>
        <v>291</v>
      </c>
      <c r="DY70" s="92">
        <f>IF(AND(DX68&lt;&gt;"",DY68&lt;&gt;""),(DX68+DY68)/2,"")</f>
        <v>302</v>
      </c>
      <c r="DZ70" s="144">
        <f>IF(AND(DW68&lt;&gt;"",DZ68&lt;&gt;""),(DW68+DZ68)/2,"")</f>
        <v>291</v>
      </c>
      <c r="EA70" s="92">
        <f>IF(AND(DZ68&lt;&gt;"",EA68&lt;&gt;""),(DZ68+EA68)/2,"")</f>
        <v>302</v>
      </c>
      <c r="EB70" s="92">
        <f>IF(AND(EA68&lt;&gt;"",EB68&lt;&gt;""),(EA68+EB68)/2,"")</f>
        <v>302</v>
      </c>
      <c r="EC70" s="144">
        <f>IF(AND(DZ68&lt;&gt;"",EC68&lt;&gt;""),(DZ68+EC68)/2,"")</f>
        <v>302</v>
      </c>
      <c r="ED70" s="92">
        <f>IF(AND(EC68&lt;&gt;"",ED68&lt;&gt;""),(EC68+ED68)/2,"")</f>
        <v>302</v>
      </c>
      <c r="EE70" s="92">
        <f>IF(AND(ED68&lt;&gt;"",EE68&lt;&gt;""),(ED68+EE68)/2,"")</f>
        <v>302</v>
      </c>
      <c r="EF70" s="144">
        <f>IF(AND(EC68&lt;&gt;"",EF68&lt;&gt;""),(EC68+EF68)/2,"")</f>
        <v>302</v>
      </c>
      <c r="EG70" s="92">
        <f>IF(AND(EF68&lt;&gt;"",EG68&lt;&gt;""),(EF68+EG68)/2,"")</f>
        <v>302</v>
      </c>
      <c r="EH70" s="92">
        <f>IF(AND(EG68&lt;&gt;"",EH68&lt;&gt;""),(EG68+EH68)/2,"")</f>
        <v>302</v>
      </c>
      <c r="EI70" s="144">
        <f>IF(AND(EF68&lt;&gt;"",EI68&lt;&gt;""),(EF68+EI68)/2,"")</f>
        <v>302</v>
      </c>
      <c r="EJ70" s="92">
        <f>IF(AND(EI68&lt;&gt;"",EJ68&lt;&gt;""),(EI68+EJ68)/2,"")</f>
        <v>302</v>
      </c>
      <c r="EK70" s="92">
        <f>IF(AND(EJ68&lt;&gt;"",EK68&lt;&gt;""),(EJ68+EK68)/2,"")</f>
        <v>302</v>
      </c>
      <c r="EL70" s="144">
        <f>IF(AND(EI68&lt;&gt;"",EL68&lt;&gt;""),(EI68+EL68)/2,"")</f>
        <v>302</v>
      </c>
      <c r="EM70" s="92">
        <f>IF(AND(EL68&lt;&gt;"",EM68&lt;&gt;""),(EL68+EM68)/2,"")</f>
        <v>302</v>
      </c>
      <c r="EN70" s="92">
        <f>IF(AND(EM68&lt;&gt;"",EN68&lt;&gt;""),(EM68+EN68)/2,"")</f>
        <v>302</v>
      </c>
      <c r="EO70" s="144">
        <f>IF(AND(EL68&lt;&gt;"",EO68&lt;&gt;""),(EL68+EO68)/2,"")</f>
        <v>302</v>
      </c>
      <c r="EP70" s="92">
        <f>IF(AND(EO68&lt;&gt;"",EP68&lt;&gt;""),(EO68+EP68)/2,"")</f>
        <v>302</v>
      </c>
      <c r="EQ70" s="92">
        <f>IF(AND(EP68&lt;&gt;"",EQ68&lt;&gt;""),(EP68+EQ68)/2,"")</f>
        <v>302</v>
      </c>
      <c r="ER70" s="144">
        <f>IF(AND(EO68&lt;&gt;"",ER68&lt;&gt;""),(EO68+ER68)/2,"")</f>
        <v>302</v>
      </c>
      <c r="ES70" s="92">
        <f>IF(AND(ER68&lt;&gt;"",ES68&lt;&gt;""),(ER68+ES68)/2,"")</f>
        <v>302</v>
      </c>
      <c r="ET70" s="92">
        <f>IF(AND(ES68&lt;&gt;"",ET68&lt;&gt;""),(ES68+ET68)/2,"")</f>
        <v>302</v>
      </c>
      <c r="EU70" s="144">
        <f>IF(AND(ER68&lt;&gt;"",EU68&lt;&gt;""),(ER68+EU68)/2,"")</f>
        <v>302</v>
      </c>
      <c r="EV70" s="92">
        <f>IF(AND(EU68&lt;&gt;"",EV68&lt;&gt;""),(EU68+EV68)/2,"")</f>
        <v>302</v>
      </c>
      <c r="EW70" s="92">
        <f>IF(AND(EV68&lt;&gt;"",EW68&lt;&gt;""),(EV68+EW68)/2,"")</f>
        <v>302</v>
      </c>
      <c r="EX70" s="144">
        <f>IF(AND(EU68&lt;&gt;"",EX68&lt;&gt;""),(EU68+EX68)/2,"")</f>
        <v>302</v>
      </c>
      <c r="EY70" s="92">
        <f>IF(AND(EX68&lt;&gt;"",EY68&lt;&gt;""),(EX68+EY68)/2,"")</f>
        <v>302</v>
      </c>
      <c r="EZ70" s="92">
        <f>IF(AND(EY68&lt;&gt;"",EZ68&lt;&gt;""),(EY68+EZ68)/2,"")</f>
        <v>302</v>
      </c>
      <c r="FA70" s="144">
        <f>IF(AND(EX68&lt;&gt;"",FA68&lt;&gt;""),(EX68+FA68)/2,"")</f>
        <v>302</v>
      </c>
    </row>
    <row r="71" spans="1:157" ht="13.35" customHeight="1">
      <c r="A71" s="3"/>
      <c r="B71" s="4" t="s">
        <v>110</v>
      </c>
      <c r="C71" s="4"/>
      <c r="D71" s="4"/>
      <c r="E71" s="82"/>
      <c r="F71" s="82"/>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c r="AV71" s="82"/>
      <c r="AW71" s="82"/>
      <c r="AX71" s="82"/>
      <c r="AY71" s="82"/>
      <c r="AZ71" s="82"/>
      <c r="BA71" s="102"/>
      <c r="BB71" s="102"/>
      <c r="BC71" s="102"/>
      <c r="BD71" s="102"/>
      <c r="BE71" s="102"/>
      <c r="BF71" s="102"/>
      <c r="BG71" s="102"/>
      <c r="BH71" s="102"/>
      <c r="BI71" s="102"/>
      <c r="BJ71" s="102"/>
      <c r="BK71" s="102"/>
      <c r="BL71" s="102"/>
      <c r="BM71" s="102"/>
      <c r="BN71" s="102"/>
      <c r="BO71" s="102"/>
      <c r="BP71" s="102"/>
      <c r="BQ71" s="102"/>
      <c r="BR71" s="102"/>
      <c r="BS71" s="102"/>
      <c r="BT71" s="102"/>
      <c r="BU71" s="102"/>
      <c r="BV71" s="102"/>
      <c r="BW71" s="102"/>
      <c r="BX71" s="102"/>
      <c r="BY71" s="102"/>
      <c r="BZ71" s="102"/>
      <c r="CA71" s="102"/>
      <c r="CB71" s="102"/>
      <c r="CC71" s="102"/>
      <c r="CD71" s="102"/>
      <c r="CE71" s="102"/>
      <c r="CF71" s="102"/>
      <c r="CG71" s="102"/>
      <c r="CH71" s="102"/>
      <c r="CI71" s="102"/>
      <c r="CJ71" s="102"/>
      <c r="CK71" s="102"/>
      <c r="CL71" s="102"/>
      <c r="CM71" s="102"/>
      <c r="CN71" s="102"/>
      <c r="CO71" s="102"/>
      <c r="CP71" s="102"/>
      <c r="CQ71" s="102"/>
      <c r="CR71" s="102"/>
      <c r="CS71" s="102"/>
      <c r="CT71" s="102"/>
      <c r="CU71" s="102"/>
      <c r="CV71" s="102"/>
      <c r="CW71" s="102"/>
      <c r="CX71" s="102"/>
      <c r="CY71" s="102"/>
      <c r="CZ71" s="102"/>
      <c r="DA71" s="102"/>
      <c r="DB71" s="102"/>
      <c r="DC71" s="102"/>
      <c r="DD71" s="102"/>
      <c r="DE71" s="146"/>
      <c r="DF71" s="102"/>
      <c r="DG71" s="102"/>
      <c r="DH71" s="146"/>
      <c r="DI71" s="102"/>
      <c r="DJ71" s="102"/>
      <c r="DK71" s="146"/>
      <c r="DL71" s="102"/>
      <c r="DM71" s="102"/>
      <c r="DN71" s="146"/>
      <c r="DO71" s="102"/>
      <c r="DP71" s="102"/>
      <c r="DQ71" s="146"/>
      <c r="DR71" s="102"/>
      <c r="DS71" s="102"/>
      <c r="DT71" s="146"/>
      <c r="DU71" s="102"/>
      <c r="DV71" s="102"/>
      <c r="DW71" s="146"/>
      <c r="DX71" s="102"/>
      <c r="DY71" s="102"/>
      <c r="DZ71" s="146"/>
      <c r="EA71" s="102"/>
      <c r="EB71" s="102"/>
      <c r="EC71" s="146"/>
      <c r="ED71" s="102"/>
      <c r="EE71" s="102"/>
      <c r="EF71" s="146"/>
      <c r="EG71" s="102"/>
      <c r="EH71" s="102"/>
      <c r="EI71" s="146"/>
      <c r="EJ71" s="102"/>
      <c r="EK71" s="102"/>
      <c r="EL71" s="146"/>
      <c r="EM71" s="102"/>
      <c r="EN71" s="102"/>
      <c r="EO71" s="146"/>
      <c r="EP71" s="102"/>
      <c r="EQ71" s="102"/>
      <c r="ER71" s="146"/>
      <c r="ES71" s="102"/>
      <c r="ET71" s="102"/>
      <c r="EU71" s="146"/>
      <c r="EV71" s="102"/>
      <c r="EW71" s="102"/>
      <c r="EX71" s="146"/>
      <c r="EY71" s="102"/>
      <c r="EZ71" s="102"/>
      <c r="FA71" s="146"/>
    </row>
    <row r="72" spans="1:157" ht="13.35" customHeight="1">
      <c r="A72" s="3"/>
      <c r="B72" s="4" t="s">
        <v>111</v>
      </c>
      <c r="C72" s="4"/>
      <c r="D72" s="4"/>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c r="AF72" s="93"/>
      <c r="AG72" s="93"/>
      <c r="AH72" s="93"/>
      <c r="AI72" s="93"/>
      <c r="AJ72" s="93"/>
      <c r="AK72" s="93"/>
      <c r="AL72" s="93"/>
      <c r="AM72" s="93"/>
      <c r="AN72" s="93"/>
      <c r="AO72" s="93"/>
      <c r="AP72" s="93"/>
      <c r="AQ72" s="93"/>
      <c r="AR72" s="93"/>
      <c r="AS72" s="93"/>
      <c r="AT72" s="93"/>
      <c r="AU72" s="93"/>
      <c r="AV72" s="93"/>
      <c r="AW72" s="93"/>
      <c r="AX72" s="93"/>
      <c r="AY72" s="93"/>
      <c r="AZ72" s="93"/>
      <c r="BA72" s="92" t="str">
        <f>IF(AND(BA71&lt;&gt;"",BA69&lt;&gt;""),IF(((BA71/2)*BA69)&lt;BA68,(BA71/2)*BA69,BA68),"")</f>
        <v/>
      </c>
      <c r="BB72" s="92" t="str">
        <f>IF(BC72&lt;&gt;"",BC72-BA72,"")</f>
        <v/>
      </c>
      <c r="BC72" s="92" t="str">
        <f>IF(AND(BC71&lt;&gt;"",BC69&lt;&gt;""),IF((BC71*BC69)&lt;BC68,BC71*BC69,BC68),"")</f>
        <v/>
      </c>
      <c r="BD72" s="92" t="str">
        <f>IF(AND(BD71&lt;&gt;"",BD69&lt;&gt;""),IF(((BD71/2)*BD69)&lt;BD68,(BD71/2)*BD69,BD68),"")</f>
        <v/>
      </c>
      <c r="BE72" s="92" t="str">
        <f>IF(BF72&lt;&gt;"",BF72-BD72,"")</f>
        <v/>
      </c>
      <c r="BF72" s="92" t="str">
        <f>IF(AND(BF71&lt;&gt;"",BF69&lt;&gt;""),IF((BF71*BF69)&lt;BF68,BF71*BF69,BF68),"")</f>
        <v/>
      </c>
      <c r="BG72" s="92" t="str">
        <f>IF(AND(BG71&lt;&gt;"",BG69&lt;&gt;""),IF(((BG71/2)*BG69)&lt;BG68,(BG71/2)*BG69,BG68),"")</f>
        <v/>
      </c>
      <c r="BH72" s="92" t="str">
        <f>IF(BI72&lt;&gt;"",BI72-BG72,"")</f>
        <v/>
      </c>
      <c r="BI72" s="92" t="str">
        <f>IF(AND(BI71&lt;&gt;"",BI69&lt;&gt;""),IF((BI71*BI69)&lt;BI68,BI71*BI69,BI68),"")</f>
        <v/>
      </c>
      <c r="BJ72" s="92" t="str">
        <f>IF(AND(BJ71&lt;&gt;"",BJ69&lt;&gt;""),IF(((BJ71/2)*BJ69)&lt;BJ68,(BJ71/2)*BJ69,BJ68),"")</f>
        <v/>
      </c>
      <c r="BK72" s="92" t="str">
        <f>IF(BL72&lt;&gt;"",BL72-BJ72,"")</f>
        <v/>
      </c>
      <c r="BL72" s="92" t="str">
        <f>IF(AND(BL71&lt;&gt;"",BL69&lt;&gt;""),IF((BL71*BL69)&lt;BL68,BL71*BL69,BL68),"")</f>
        <v/>
      </c>
      <c r="BM72" s="92" t="str">
        <f>IF(AND(BM71&lt;&gt;"",BM69&lt;&gt;""),IF(((BM71/2)*BM69)&lt;BM68,(BM71/2)*BM69,BM68),"")</f>
        <v/>
      </c>
      <c r="BN72" s="92" t="str">
        <f>IF(BO72&lt;&gt;"",BO72-BM72,"")</f>
        <v/>
      </c>
      <c r="BO72" s="92" t="str">
        <f>IF(AND(BO71&lt;&gt;"",BO69&lt;&gt;""),IF((BO71*BO69)&lt;BO68,BO71*BO69,BO68),"")</f>
        <v/>
      </c>
      <c r="BP72" s="92" t="str">
        <f>IF(AND(BP71&lt;&gt;"",BP69&lt;&gt;""),IF(((BP71/2)*BP69)&lt;BP68,(BP71/2)*BP69,BP68),"")</f>
        <v/>
      </c>
      <c r="BQ72" s="92" t="str">
        <f>IF(BR72&lt;&gt;"",BR72-BP72,"")</f>
        <v/>
      </c>
      <c r="BR72" s="92" t="str">
        <f>IF(AND(BR71&lt;&gt;"",BR69&lt;&gt;""),IF((BR71*BR69)&lt;BR68,BR71*BR69,BR68),"")</f>
        <v/>
      </c>
      <c r="BS72" s="92" t="str">
        <f>IF(AND(BS71&lt;&gt;"",BS69&lt;&gt;""),IF(((BS71/2)*BS69)&lt;BS68,(BS71/2)*BS69,BS68),"")</f>
        <v/>
      </c>
      <c r="BT72" s="92" t="str">
        <f>IF(BU72&lt;&gt;"",BU72-BS72,"")</f>
        <v/>
      </c>
      <c r="BU72" s="92" t="str">
        <f>IF(AND(BU71&lt;&gt;"",BU69&lt;&gt;""),IF((BU71*BU69)&lt;BU68,BU71*BU69,BU68),"")</f>
        <v/>
      </c>
      <c r="BV72" s="92" t="str">
        <f>IF(AND(BV71&lt;&gt;"",BV69&lt;&gt;""),IF(((BV71/2)*BV69)&lt;BV68,(BV71/2)*BV69,BV68),"")</f>
        <v/>
      </c>
      <c r="BW72" s="92" t="str">
        <f>IF(BX72&lt;&gt;"",BX72-BV72,"")</f>
        <v/>
      </c>
      <c r="BX72" s="92" t="str">
        <f>IF(AND(BX71&lt;&gt;"",BX69&lt;&gt;""),IF((BX71*BX69)&lt;BX68,BX71*BX69,BX68),"")</f>
        <v/>
      </c>
      <c r="BY72" s="92" t="str">
        <f>IF(AND(BY71&lt;&gt;"",BY69&lt;&gt;""),IF(((BY71/2)*BY69)&lt;BY68,(BY71/2)*BY69,BY68),"")</f>
        <v/>
      </c>
      <c r="BZ72" s="92" t="str">
        <f>IF(CA72&lt;&gt;"",CA72-BY72,"")</f>
        <v/>
      </c>
      <c r="CA72" s="92" t="str">
        <f>IF(AND(CA71&lt;&gt;"",CA69&lt;&gt;""),IF((CA71*CA69)&lt;CA68,CA71*CA69,CA68),"")</f>
        <v/>
      </c>
      <c r="CB72" s="92" t="str">
        <f>IF(AND(CB71&lt;&gt;"",CB69&lt;&gt;""),IF(((CB71/2)*CB69)&lt;CB68,(CB71/2)*CB69,CB68),"")</f>
        <v/>
      </c>
      <c r="CC72" s="92" t="str">
        <f>IF(CD72&lt;&gt;"",CD72-CB72,"")</f>
        <v/>
      </c>
      <c r="CD72" s="92" t="str">
        <f>IF(AND(CD71&lt;&gt;"",CD69&lt;&gt;""),IF((CD71*CD69)&lt;CD68,CD71*CD69,CD68),"")</f>
        <v/>
      </c>
      <c r="CE72" s="92" t="str">
        <f>IF(AND(CE71&lt;&gt;"",CE69&lt;&gt;""),IF(((CE71/2)*CE69)&lt;CE68,(CE71/2)*CE69,CE68),"")</f>
        <v/>
      </c>
      <c r="CF72" s="92" t="str">
        <f>IF(CG72&lt;&gt;"",CG72-CE72,"")</f>
        <v/>
      </c>
      <c r="CG72" s="92" t="str">
        <f>IF(AND(CG71&lt;&gt;"",CG69&lt;&gt;""),IF((CG71*CG69)&lt;CG68,CG71*CG69,CG68),"")</f>
        <v/>
      </c>
      <c r="CH72" s="92" t="str">
        <f>IF(AND(CH71&lt;&gt;"",CH69&lt;&gt;""),IF(((CH71/2)*CH69)&lt;CH68,(CH71/2)*CH69,CH68),"")</f>
        <v/>
      </c>
      <c r="CI72" s="92" t="str">
        <f>IF(CJ72&lt;&gt;"",CJ72-CH72,"")</f>
        <v/>
      </c>
      <c r="CJ72" s="92" t="str">
        <f>IF(AND(CJ71&lt;&gt;"",CJ69&lt;&gt;""),IF((CJ71*CJ69)&lt;CJ68,CJ71*CJ69,CJ68),"")</f>
        <v/>
      </c>
      <c r="CK72" s="92" t="str">
        <f>IF(AND(CK71&lt;&gt;"",CK69&lt;&gt;""),IF(((CK71/2)*CK69)&lt;CK68,(CK71/2)*CK69,CK68),"")</f>
        <v/>
      </c>
      <c r="CL72" s="92" t="str">
        <f>IF(CM72&lt;&gt;"",CM72-CK72,"")</f>
        <v/>
      </c>
      <c r="CM72" s="92" t="str">
        <f>IF(AND(CM71&lt;&gt;"",CM69&lt;&gt;""),IF((CM71*CM69)&lt;CM68,CM71*CM69,CM68),"")</f>
        <v/>
      </c>
      <c r="CN72" s="92" t="str">
        <f>IF(AND(CN71&lt;&gt;"",CN69&lt;&gt;""),IF(((CN71/2)*CN69)&lt;CN68,(CN71/2)*CN69,CN68),"")</f>
        <v/>
      </c>
      <c r="CO72" s="92" t="str">
        <f>IF(CP72&lt;&gt;"",CP72-CN72,"")</f>
        <v/>
      </c>
      <c r="CP72" s="92" t="str">
        <f>IF(AND(CP71&lt;&gt;"",CP69&lt;&gt;""),IF((CP71*CP69)&lt;CP68,CP71*CP69,CP68),"")</f>
        <v/>
      </c>
      <c r="CQ72" s="92" t="str">
        <f>IF(AND(CQ71&lt;&gt;"",CQ69&lt;&gt;""),IF(((CQ71/2)*CQ69)&lt;CQ68,(CQ71/2)*CQ69,CQ68),"")</f>
        <v/>
      </c>
      <c r="CR72" s="92" t="str">
        <f>IF(CS72&lt;&gt;"",CS72-CQ72,"")</f>
        <v/>
      </c>
      <c r="CS72" s="92" t="str">
        <f>IF(AND(CS71&lt;&gt;"",CS69&lt;&gt;""),IF((CS71*CS69)&lt;CS68,CS71*CS69,CS68),"")</f>
        <v/>
      </c>
      <c r="CT72" s="92" t="str">
        <f>IF(AND(CT71&lt;&gt;"",CT69&lt;&gt;""),IF(((CT71/2)*CT69)&lt;CT68,(CT71/2)*CT69,CT68),"")</f>
        <v/>
      </c>
      <c r="CU72" s="92" t="str">
        <f>IF(CV72&lt;&gt;"",CV72-CT72,"")</f>
        <v/>
      </c>
      <c r="CV72" s="92" t="str">
        <f>IF(AND(CV71&lt;&gt;"",CV69&lt;&gt;""),IF((CV71*CV69)&lt;CV68,CV71*CV69,CV68),"")</f>
        <v/>
      </c>
      <c r="CW72" s="92" t="str">
        <f>IF(AND(CW71&lt;&gt;"",CW69&lt;&gt;""),IF(((CW71/2)*CW69)&lt;CW68,(CW71/2)*CW69,CW68),"")</f>
        <v/>
      </c>
      <c r="CX72" s="92" t="str">
        <f>IF(CY72&lt;&gt;"",CY72-CW72,"")</f>
        <v/>
      </c>
      <c r="CY72" s="92" t="str">
        <f>IF(AND(CY71&lt;&gt;"",CY69&lt;&gt;""),IF((CY71*CY69)&lt;CY68,CY71*CY69,CY68),"")</f>
        <v/>
      </c>
      <c r="CZ72" s="92" t="str">
        <f>IF(AND(CZ71&lt;&gt;"",CZ69&lt;&gt;""),IF(((CZ71/2)*CZ69)&lt;CZ68,(CZ71/2)*CZ69,CZ68),"")</f>
        <v/>
      </c>
      <c r="DA72" s="92" t="str">
        <f>IF(DB72&lt;&gt;"",DB72-CZ72,"")</f>
        <v/>
      </c>
      <c r="DB72" s="92" t="str">
        <f>IF(AND(DB71&lt;&gt;"",DB69&lt;&gt;""),IF((DB71*DB69)&lt;DB68,DB71*DB69,DB68),"")</f>
        <v/>
      </c>
      <c r="DC72" s="92" t="str">
        <f>IF(AND(DC71&lt;&gt;"",DC69&lt;&gt;""),IF(((DC71/2)*DC69)&lt;DC68,(DC71/2)*DC69,DC68),"")</f>
        <v/>
      </c>
      <c r="DD72" s="92" t="str">
        <f>IF(DE72&lt;&gt;"",DE72-DC72,"")</f>
        <v/>
      </c>
      <c r="DE72" s="144" t="str">
        <f>IF(AND(DE71&lt;&gt;"",DE69&lt;&gt;""),IF((DE71*DE69)&lt;DE68,DE71*DE69,DE68),"")</f>
        <v/>
      </c>
      <c r="DF72" s="92" t="str">
        <f>IF(AND(DF71&lt;&gt;"",DF69&lt;&gt;""),IF(((DF71/2)*DF69)&lt;DF68,(DF71/2)*DF69,DF68),"")</f>
        <v/>
      </c>
      <c r="DG72" s="92" t="str">
        <f>IF(DH72&lt;&gt;"",DH72-DF72,"")</f>
        <v/>
      </c>
      <c r="DH72" s="144" t="str">
        <f>IF(AND(DH71&lt;&gt;"",DH69&lt;&gt;""),IF((DH71*DH69)&lt;DH68,DH71*DH69,DH68),"")</f>
        <v/>
      </c>
      <c r="DI72" s="92" t="str">
        <f>IF(AND(DI71&lt;&gt;"",DI69&lt;&gt;""),IF(((DI71/2)*DI69)&lt;DI68,(DI71/2)*DI69,DI68),"")</f>
        <v/>
      </c>
      <c r="DJ72" s="92" t="str">
        <f>IF(DK72&lt;&gt;"",DK72-DI72,"")</f>
        <v/>
      </c>
      <c r="DK72" s="144" t="str">
        <f>IF(AND(DK71&lt;&gt;"",DK69&lt;&gt;""),IF((DK71*DK69)&lt;DK68,DK71*DK69,DK68),"")</f>
        <v/>
      </c>
      <c r="DL72" s="92" t="str">
        <f>IF(AND(DL71&lt;&gt;"",DL69&lt;&gt;""),IF(((DL71/2)*DL69)&lt;DL68,(DL71/2)*DL69,DL68),"")</f>
        <v/>
      </c>
      <c r="DM72" s="92" t="str">
        <f>IF(DN72&lt;&gt;"",DN72-DL72,"")</f>
        <v/>
      </c>
      <c r="DN72" s="144" t="str">
        <f>IF(AND(DN71&lt;&gt;"",DN69&lt;&gt;""),IF((DN71*DN69)&lt;DN68,DN71*DN69,DN68),"")</f>
        <v/>
      </c>
      <c r="DO72" s="92" t="str">
        <f>IF(AND(DO71&lt;&gt;"",DO69&lt;&gt;""),IF(((DO71/2)*DO69)&lt;DO68,(DO71/2)*DO69,DO68),"")</f>
        <v/>
      </c>
      <c r="DP72" s="92" t="str">
        <f>IF(DQ72&lt;&gt;"",DQ72-DO72,"")</f>
        <v/>
      </c>
      <c r="DQ72" s="144" t="str">
        <f>IF(AND(DQ71&lt;&gt;"",DQ69&lt;&gt;""),IF((DQ71*DQ69)&lt;DQ68,DQ71*DQ69,DQ68),"")</f>
        <v/>
      </c>
      <c r="DR72" s="92" t="str">
        <f>IF(AND(DR71&lt;&gt;"",DR69&lt;&gt;""),IF(((DR71/2)*DR69)&lt;DR68,(DR71/2)*DR69,DR68),"")</f>
        <v/>
      </c>
      <c r="DS72" s="92" t="str">
        <f>IF(DT72&lt;&gt;"",DT72-DR72,"")</f>
        <v/>
      </c>
      <c r="DT72" s="144" t="str">
        <f>IF(AND(DT71&lt;&gt;"",DT69&lt;&gt;""),IF((DT71*DT69)&lt;DT68,DT71*DT69,DT68),"")</f>
        <v/>
      </c>
      <c r="DU72" s="92" t="str">
        <f>IF(AND(DU71&lt;&gt;"",DU69&lt;&gt;""),IF(((DU71/2)*DU69)&lt;DU68,(DU71/2)*DU69,DU68),"")</f>
        <v/>
      </c>
      <c r="DV72" s="92" t="str">
        <f>IF(DW72&lt;&gt;"",DW72-DU72,"")</f>
        <v/>
      </c>
      <c r="DW72" s="144" t="str">
        <f>IF(AND(DW71&lt;&gt;"",DW69&lt;&gt;""),IF((DW71*DW69)&lt;DW68,DW71*DW69,DW68),"")</f>
        <v/>
      </c>
      <c r="DX72" s="92" t="str">
        <f>IF(AND(DX71&lt;&gt;"",DX69&lt;&gt;""),IF(((DX71/2)*DX69)&lt;DX68,(DX71/2)*DX69,DX68),"")</f>
        <v/>
      </c>
      <c r="DY72" s="92" t="str">
        <f>IF(DZ72&lt;&gt;"",DZ72-DX72,"")</f>
        <v/>
      </c>
      <c r="DZ72" s="144" t="str">
        <f>IF(AND(DZ71&lt;&gt;"",DZ69&lt;&gt;""),IF((DZ71*DZ69)&lt;DZ68,DZ71*DZ69,DZ68),"")</f>
        <v/>
      </c>
      <c r="EA72" s="92" t="str">
        <f>IF(AND(EA71&lt;&gt;"",EA69&lt;&gt;""),IF(((EA71/2)*EA69)&lt;EA68,(EA71/2)*EA69,EA68),"")</f>
        <v/>
      </c>
      <c r="EB72" s="92" t="str">
        <f>IF(EC72&lt;&gt;"",EC72-EA72,"")</f>
        <v/>
      </c>
      <c r="EC72" s="144" t="str">
        <f>IF(AND(EC71&lt;&gt;"",EC69&lt;&gt;""),IF((EC71*EC69)&lt;EC68,EC71*EC69,EC68),"")</f>
        <v/>
      </c>
      <c r="ED72" s="92" t="str">
        <f>IF(AND(ED71&lt;&gt;"",ED69&lt;&gt;""),IF(((ED71/2)*ED69)&lt;ED68,(ED71/2)*ED69,ED68),"")</f>
        <v/>
      </c>
      <c r="EE72" s="92" t="str">
        <f>IF(EF72&lt;&gt;"",EF72-ED72,"")</f>
        <v/>
      </c>
      <c r="EF72" s="144" t="str">
        <f>IF(AND(EF71&lt;&gt;"",EF69&lt;&gt;""),IF((EF71*EF69)&lt;EF68,EF71*EF69,EF68),"")</f>
        <v/>
      </c>
      <c r="EG72" s="92" t="str">
        <f>IF(AND(EG71&lt;&gt;"",EG69&lt;&gt;""),IF(((EG71/2)*EG69)&lt;EG68,(EG71/2)*EG69,EG68),"")</f>
        <v/>
      </c>
      <c r="EH72" s="92" t="str">
        <f>IF(EI72&lt;&gt;"",EI72-EG72,"")</f>
        <v/>
      </c>
      <c r="EI72" s="144" t="str">
        <f>IF(AND(EI71&lt;&gt;"",EI69&lt;&gt;""),IF((EI71*EI69)&lt;EI68,EI71*EI69,EI68),"")</f>
        <v/>
      </c>
      <c r="EJ72" s="92" t="str">
        <f>IF(AND(EJ71&lt;&gt;"",EJ69&lt;&gt;""),IF(((EJ71/2)*EJ69)&lt;EJ68,(EJ71/2)*EJ69,EJ68),"")</f>
        <v/>
      </c>
      <c r="EK72" s="92" t="str">
        <f>IF(EL72&lt;&gt;"",EL72-EJ72,"")</f>
        <v/>
      </c>
      <c r="EL72" s="144" t="str">
        <f>IF(AND(EL71&lt;&gt;"",EL69&lt;&gt;""),IF((EL71*EL69)&lt;EL68,EL71*EL69,EL68),"")</f>
        <v/>
      </c>
      <c r="EM72" s="92" t="str">
        <f>IF(AND(EM71&lt;&gt;"",EM69&lt;&gt;""),IF(((EM71/2)*EM69)&lt;EM68,(EM71/2)*EM69,EM68),"")</f>
        <v/>
      </c>
      <c r="EN72" s="92" t="str">
        <f>IF(EO72&lt;&gt;"",EO72-EM72,"")</f>
        <v/>
      </c>
      <c r="EO72" s="144" t="str">
        <f>IF(AND(EO71&lt;&gt;"",EO69&lt;&gt;""),IF((EO71*EO69)&lt;EO68,EO71*EO69,EO68),"")</f>
        <v/>
      </c>
      <c r="EP72" s="92" t="str">
        <f>IF(AND(EP71&lt;&gt;"",EP69&lt;&gt;""),IF(((EP71/2)*EP69)&lt;EP68,(EP71/2)*EP69,EP68),"")</f>
        <v/>
      </c>
      <c r="EQ72" s="92" t="str">
        <f>IF(ER72&lt;&gt;"",ER72-EP72,"")</f>
        <v/>
      </c>
      <c r="ER72" s="144" t="str">
        <f>IF(AND(ER71&lt;&gt;"",ER69&lt;&gt;""),IF((ER71*ER69)&lt;ER68,ER71*ER69,ER68),"")</f>
        <v/>
      </c>
      <c r="ES72" s="92" t="str">
        <f>IF(AND(ES71&lt;&gt;"",ES69&lt;&gt;""),IF(((ES71/2)*ES69)&lt;ES68,(ES71/2)*ES69,ES68),"")</f>
        <v/>
      </c>
      <c r="ET72" s="92" t="str">
        <f>IF(EU72&lt;&gt;"",EU72-ES72,"")</f>
        <v/>
      </c>
      <c r="EU72" s="144" t="str">
        <f>IF(AND(EU71&lt;&gt;"",EU69&lt;&gt;""),IF((EU71*EU69)&lt;EU68,EU71*EU69,EU68),"")</f>
        <v/>
      </c>
      <c r="EV72" s="92" t="str">
        <f>IF(AND(EV71&lt;&gt;"",EV69&lt;&gt;""),IF(((EV71/2)*EV69)&lt;EV68,(EV71/2)*EV69,EV68),"")</f>
        <v/>
      </c>
      <c r="EW72" s="92" t="str">
        <f>IF(EX72&lt;&gt;"",EX72-EV72,"")</f>
        <v/>
      </c>
      <c r="EX72" s="144" t="str">
        <f>IF(AND(EX71&lt;&gt;"",EX69&lt;&gt;""),IF((EX71*EX69)&lt;EX68,EX71*EX69,EX68),"")</f>
        <v/>
      </c>
      <c r="EY72" s="92" t="str">
        <f>IF(AND(EY71&lt;&gt;"",EY69&lt;&gt;""),IF(((EY71/2)*EY69)&lt;EY68,(EY71/2)*EY69,EY68),"")</f>
        <v/>
      </c>
      <c r="EZ72" s="92" t="str">
        <f>IF(FA72&lt;&gt;"",FA72-EY72,"")</f>
        <v/>
      </c>
      <c r="FA72" s="144" t="str">
        <f>IF(AND(FA71&lt;&gt;"",FA69&lt;&gt;""),IF((FA71*FA69)&lt;FA68,FA71*FA69,FA68),"")</f>
        <v/>
      </c>
    </row>
    <row r="73" spans="1:157" ht="13.35" customHeight="1">
      <c r="A73" s="3"/>
      <c r="B73" s="5" t="s">
        <v>112</v>
      </c>
      <c r="C73" s="5"/>
      <c r="D73" s="5"/>
      <c r="E73" s="92" t="str">
        <f>IF(Model!E64&lt;&gt;"",Model!E64,"")</f>
        <v/>
      </c>
      <c r="F73" s="92" t="str">
        <f>IF(AND(G73&lt;&gt;"",E73&lt;&gt;""),G73-E73,"")</f>
        <v/>
      </c>
      <c r="G73" s="92" t="str">
        <f>IF(Model!G64&lt;&gt;"",Model!G64,"")</f>
        <v/>
      </c>
      <c r="H73" s="92" t="str">
        <f>IF(Model!H64&lt;&gt;"",Model!H64,"")</f>
        <v/>
      </c>
      <c r="I73" s="92" t="str">
        <f>IF(AND(J73&lt;&gt;"",H73&lt;&gt;""),J73-H73,"")</f>
        <v/>
      </c>
      <c r="J73" s="92" t="str">
        <f>IF(Model!J64&lt;&gt;"",Model!J64,"")</f>
        <v/>
      </c>
      <c r="K73" s="92" t="str">
        <f>IF(Model!K64&lt;&gt;"",Model!K64,"")</f>
        <v/>
      </c>
      <c r="L73" s="92" t="str">
        <f>IF(AND(M73&lt;&gt;"",K73&lt;&gt;""),M73-K73,"")</f>
        <v/>
      </c>
      <c r="M73" s="92" t="str">
        <f>IF(Model!M64&lt;&gt;"",Model!M64,"")</f>
        <v/>
      </c>
      <c r="N73" s="92" t="str">
        <f>IF(Model!N64&lt;&gt;"",Model!N64,"")</f>
        <v/>
      </c>
      <c r="O73" s="92" t="str">
        <f>IF(AND(P73&lt;&gt;"",N73&lt;&gt;""),P73-N73,"")</f>
        <v/>
      </c>
      <c r="P73" s="92" t="str">
        <f>IF(Model!P64&lt;&gt;"",Model!P64,"")</f>
        <v/>
      </c>
      <c r="Q73" s="92" t="str">
        <f>IF(Model!Q64&lt;&gt;"",Model!Q64,"")</f>
        <v/>
      </c>
      <c r="R73" s="92" t="str">
        <f>IF(AND(S73&lt;&gt;"",Q73&lt;&gt;""),S73-Q73,"")</f>
        <v/>
      </c>
      <c r="S73" s="92" t="str">
        <f>IF(Model!S64&lt;&gt;"",Model!S64,"")</f>
        <v/>
      </c>
      <c r="T73" s="92" t="str">
        <f>IF(Model!T64&lt;&gt;"",Model!T64,"")</f>
        <v/>
      </c>
      <c r="U73" s="92" t="str">
        <f>IF(AND(V73&lt;&gt;"",T73&lt;&gt;""),V73-T73,"")</f>
        <v/>
      </c>
      <c r="V73" s="92" t="str">
        <f>IF(Model!V64&lt;&gt;"",Model!V64,"")</f>
        <v/>
      </c>
      <c r="W73" s="92" t="str">
        <f>IF(Model!W64&lt;&gt;"",Model!W64,"")</f>
        <v/>
      </c>
      <c r="X73" s="92" t="str">
        <f>IF(AND(Y73&lt;&gt;"",W73&lt;&gt;""),Y73-W73,"")</f>
        <v/>
      </c>
      <c r="Y73" s="92" t="str">
        <f>IF(Model!Y64&lt;&gt;"",Model!Y64,"")</f>
        <v/>
      </c>
      <c r="Z73" s="92" t="str">
        <f>IF(Model!Z64&lt;&gt;"",Model!Z64,"")</f>
        <v/>
      </c>
      <c r="AA73" s="92" t="str">
        <f>IF(AND(AB73&lt;&gt;"",Z73&lt;&gt;""),AB73-Z73,"")</f>
        <v/>
      </c>
      <c r="AB73" s="92" t="str">
        <f>IF(Model!AB64&lt;&gt;"",Model!AB64,"")</f>
        <v/>
      </c>
      <c r="AC73" s="92" t="str">
        <f>IF(Model!AC64&lt;&gt;"",Model!AC64,"")</f>
        <v/>
      </c>
      <c r="AD73" s="92" t="str">
        <f>IF(AND(AE73&lt;&gt;"",AC73&lt;&gt;""),AE73-AC73,"")</f>
        <v/>
      </c>
      <c r="AE73" s="92" t="str">
        <f>IF(Model!AE64&lt;&gt;"",Model!AE64,"")</f>
        <v/>
      </c>
      <c r="AF73" s="92" t="str">
        <f>IF(Model!AF64&lt;&gt;"",Model!AF64,"")</f>
        <v/>
      </c>
      <c r="AG73" s="92" t="str">
        <f>IF(AND(AH73&lt;&gt;"",AF73&lt;&gt;""),AH73-AF73,"")</f>
        <v/>
      </c>
      <c r="AH73" s="92" t="str">
        <f>IF(Model!AH64&lt;&gt;"",Model!AH64,"")</f>
        <v/>
      </c>
      <c r="AI73" s="92" t="str">
        <f>IF(Model!AI64&lt;&gt;"",Model!AI64,"")</f>
        <v/>
      </c>
      <c r="AJ73" s="92" t="str">
        <f>IF(AND(AK73&lt;&gt;"",AI73&lt;&gt;""),AK73-AI73,"")</f>
        <v/>
      </c>
      <c r="AK73" s="92" t="str">
        <f>IF(Model!AK64&lt;&gt;"",Model!AK64,"")</f>
        <v/>
      </c>
      <c r="AL73" s="92" t="str">
        <f>IF(Model!AL64&lt;&gt;"",Model!AL64,"")</f>
        <v/>
      </c>
      <c r="AM73" s="92" t="str">
        <f>IF(AND(AN73&lt;&gt;"",AL73&lt;&gt;""),AN73-AL73,"")</f>
        <v/>
      </c>
      <c r="AN73" s="92" t="str">
        <f>IF(Model!AN64&lt;&gt;"",Model!AN64,"")</f>
        <v/>
      </c>
      <c r="AO73" s="92" t="str">
        <f>IF(Model!AO64&lt;&gt;"",Model!AO64,"")</f>
        <v/>
      </c>
      <c r="AP73" s="92" t="str">
        <f>IF(AND(AQ73&lt;&gt;"",AO73&lt;&gt;""),AQ73-AO73,"")</f>
        <v/>
      </c>
      <c r="AQ73" s="92" t="str">
        <f>IF(Model!AQ64&lt;&gt;"",Model!AQ64,"")</f>
        <v/>
      </c>
      <c r="AR73" s="92" t="str">
        <f>IF(Model!AR64&lt;&gt;"",Model!AR64,"")</f>
        <v/>
      </c>
      <c r="AS73" s="92" t="str">
        <f>IF(AND(AT73&lt;&gt;"",AR73&lt;&gt;""),AT73-AR73,"")</f>
        <v/>
      </c>
      <c r="AT73" s="92">
        <f>IF(Model!AT64&lt;&gt;"",Model!AT64,"")</f>
        <v>0</v>
      </c>
      <c r="AU73" s="92">
        <f>IF(Model!AU64&lt;&gt;"",Model!AU64,"")</f>
        <v>0</v>
      </c>
      <c r="AV73" s="92">
        <f>IF(AND(AW73&lt;&gt;"",AU73&lt;&gt;""),AW73-AU73,"")</f>
        <v>0</v>
      </c>
      <c r="AW73" s="92">
        <f>IF(Model!AW64&lt;&gt;"",Model!AW64,"")</f>
        <v>0</v>
      </c>
      <c r="AX73" s="92">
        <f>IF(Model!AX64&lt;&gt;"",Model!AX64,"")</f>
        <v>0</v>
      </c>
      <c r="AY73" s="92">
        <f>IF(AND(AZ73&lt;&gt;"",AX73&lt;&gt;""),AZ73-AX73,"")</f>
        <v>0</v>
      </c>
      <c r="AZ73" s="92">
        <f>IF(Model!AZ64&lt;&gt;"",Model!AZ64,"")</f>
        <v>0</v>
      </c>
      <c r="BA73" s="96"/>
      <c r="BB73" s="92" t="str">
        <f>IF(AND(BC73&lt;&gt;"",BA73&lt;&gt;""),BC73-BA73,"")</f>
        <v/>
      </c>
      <c r="BC73" s="8"/>
      <c r="BD73" s="8"/>
      <c r="BE73" s="92" t="str">
        <f>IF(AND(BF73&lt;&gt;"",BD73&lt;&gt;""),BF73-BD73,"")</f>
        <v/>
      </c>
      <c r="BF73" s="8"/>
      <c r="BG73" s="8"/>
      <c r="BH73" s="92" t="str">
        <f>IF(AND(BI73&lt;&gt;"",BG73&lt;&gt;""),BI73-BG73,"")</f>
        <v/>
      </c>
      <c r="BI73" s="8"/>
      <c r="BJ73" s="8"/>
      <c r="BK73" s="92" t="str">
        <f>IF(AND(BL73&lt;&gt;"",BJ73&lt;&gt;""),BL73-BJ73,"")</f>
        <v/>
      </c>
      <c r="BL73" s="8"/>
      <c r="BM73" s="8"/>
      <c r="BN73" s="92" t="str">
        <f>IF(AND(BO73&lt;&gt;"",BM73&lt;&gt;""),BO73-BM73,"")</f>
        <v/>
      </c>
      <c r="BO73" s="8"/>
      <c r="BP73" s="8"/>
      <c r="BQ73" s="92" t="str">
        <f>IF(AND(BR73&lt;&gt;"",BP73&lt;&gt;""),BR73-BP73,"")</f>
        <v/>
      </c>
      <c r="BR73" s="8"/>
      <c r="BS73" s="8"/>
      <c r="BT73" s="92" t="str">
        <f>IF(AND(BU73&lt;&gt;"",BS73&lt;&gt;""),BU73-BS73,"")</f>
        <v/>
      </c>
      <c r="BU73" s="8"/>
      <c r="BV73" s="8"/>
      <c r="BW73" s="92" t="str">
        <f>IF(AND(BX73&lt;&gt;"",BV73&lt;&gt;""),BX73-BV73,"")</f>
        <v/>
      </c>
      <c r="BX73" s="8"/>
      <c r="BY73" s="8"/>
      <c r="BZ73" s="92" t="str">
        <f>IF(AND(CA73&lt;&gt;"",BY73&lt;&gt;""),CA73-BY73,"")</f>
        <v/>
      </c>
      <c r="CA73" s="8"/>
      <c r="CB73" s="8"/>
      <c r="CC73" s="92" t="str">
        <f>IF(AND(CD73&lt;&gt;"",CB73&lt;&gt;""),CD73-CB73,"")</f>
        <v/>
      </c>
      <c r="CD73" s="8"/>
      <c r="CE73" s="8"/>
      <c r="CF73" s="92" t="str">
        <f>IF(AND(CG73&lt;&gt;"",CE73&lt;&gt;""),CG73-CE73,"")</f>
        <v/>
      </c>
      <c r="CG73" s="8"/>
      <c r="CH73" s="8"/>
      <c r="CI73" s="92" t="str">
        <f>IF(AND(CJ73&lt;&gt;"",CH73&lt;&gt;""),CJ73-CH73,"")</f>
        <v/>
      </c>
      <c r="CJ73" s="8"/>
      <c r="CK73" s="8"/>
      <c r="CL73" s="92" t="str">
        <f>IF(AND(CM73&lt;&gt;"",CK73&lt;&gt;""),CM73-CK73,"")</f>
        <v/>
      </c>
      <c r="CM73" s="8"/>
      <c r="CN73" s="8"/>
      <c r="CO73" s="92" t="str">
        <f>IF(AND(CP73&lt;&gt;"",CN73&lt;&gt;""),CP73-CN73,"")</f>
        <v/>
      </c>
      <c r="CP73" s="8"/>
      <c r="CQ73" s="8"/>
      <c r="CR73" s="92" t="str">
        <f>IF(AND(CS73&lt;&gt;"",CQ73&lt;&gt;""),CS73-CQ73,"")</f>
        <v/>
      </c>
      <c r="CS73" s="8"/>
      <c r="CT73" s="8"/>
      <c r="CU73" s="92" t="str">
        <f>IF(AND(CV73&lt;&gt;"",CT73&lt;&gt;""),CV73-CT73,"")</f>
        <v/>
      </c>
      <c r="CV73" s="8"/>
      <c r="CW73" s="8"/>
      <c r="CX73" s="92" t="str">
        <f>IF(AND(CY73&lt;&gt;"",CW73&lt;&gt;""),CY73-CW73,"")</f>
        <v/>
      </c>
      <c r="CY73" s="8"/>
      <c r="CZ73" s="8"/>
      <c r="DA73" s="92" t="str">
        <f>IF(AND(DB73&lt;&gt;"",CZ73&lt;&gt;""),DB73-CZ73,"")</f>
        <v/>
      </c>
      <c r="DB73" s="8"/>
      <c r="DC73" s="8"/>
      <c r="DD73" s="92" t="str">
        <f>IF(AND(DE73&lt;&gt;"",DC73&lt;&gt;""),DE73-DC73,"")</f>
        <v/>
      </c>
      <c r="DE73" s="145"/>
      <c r="DF73" s="8"/>
      <c r="DG73" s="92" t="str">
        <f>IF(AND(DH73&lt;&gt;"",DF73&lt;&gt;""),DH73-DF73,"")</f>
        <v/>
      </c>
      <c r="DH73" s="145"/>
      <c r="DI73" s="8"/>
      <c r="DJ73" s="92" t="str">
        <f>IF(AND(DK73&lt;&gt;"",DI73&lt;&gt;""),DK73-DI73,"")</f>
        <v/>
      </c>
      <c r="DK73" s="145"/>
      <c r="DL73" s="8"/>
      <c r="DM73" s="92" t="str">
        <f>IF(AND(DN73&lt;&gt;"",DL73&lt;&gt;""),DN73-DL73,"")</f>
        <v/>
      </c>
      <c r="DN73" s="145"/>
      <c r="DO73" s="8"/>
      <c r="DP73" s="92" t="str">
        <f>IF(AND(DQ73&lt;&gt;"",DO73&lt;&gt;""),DQ73-DO73,"")</f>
        <v/>
      </c>
      <c r="DQ73" s="145"/>
      <c r="DR73" s="8"/>
      <c r="DS73" s="92" t="str">
        <f>IF(AND(DT73&lt;&gt;"",DR73&lt;&gt;""),DT73-DR73,"")</f>
        <v/>
      </c>
      <c r="DT73" s="145"/>
      <c r="DU73" s="8"/>
      <c r="DV73" s="92" t="str">
        <f>IF(AND(DW73&lt;&gt;"",DU73&lt;&gt;""),DW73-DU73,"")</f>
        <v/>
      </c>
      <c r="DW73" s="145"/>
      <c r="DX73" s="8"/>
      <c r="DY73" s="92" t="str">
        <f>IF(AND(DZ73&lt;&gt;"",DX73&lt;&gt;""),DZ73-DX73,"")</f>
        <v/>
      </c>
      <c r="DZ73" s="145"/>
      <c r="EA73" s="8"/>
      <c r="EB73" s="92" t="str">
        <f>IF(AND(EC73&lt;&gt;"",EA73&lt;&gt;""),EC73-EA73,"")</f>
        <v/>
      </c>
      <c r="EC73" s="145"/>
      <c r="ED73" s="8"/>
      <c r="EE73" s="92" t="str">
        <f>IF(AND(EF73&lt;&gt;"",ED73&lt;&gt;""),EF73-ED73,"")</f>
        <v/>
      </c>
      <c r="EF73" s="145"/>
      <c r="EG73" s="8"/>
      <c r="EH73" s="92" t="str">
        <f>IF(AND(EI73&lt;&gt;"",EG73&lt;&gt;""),EI73-EG73,"")</f>
        <v/>
      </c>
      <c r="EI73" s="145"/>
      <c r="EJ73" s="8"/>
      <c r="EK73" s="92" t="str">
        <f>IF(AND(EL73&lt;&gt;"",EJ73&lt;&gt;""),EL73-EJ73,"")</f>
        <v/>
      </c>
      <c r="EL73" s="145"/>
      <c r="EM73" s="8"/>
      <c r="EN73" s="92" t="str">
        <f>IF(AND(EO73&lt;&gt;"",EM73&lt;&gt;""),EO73-EM73,"")</f>
        <v/>
      </c>
      <c r="EO73" s="145"/>
      <c r="EP73" s="8"/>
      <c r="EQ73" s="92" t="str">
        <f>IF(AND(ER73&lt;&gt;"",EP73&lt;&gt;""),ER73-EP73,"")</f>
        <v/>
      </c>
      <c r="ER73" s="145"/>
      <c r="ES73" s="8"/>
      <c r="ET73" s="92" t="str">
        <f>IF(AND(EU73&lt;&gt;"",ES73&lt;&gt;""),EU73-ES73,"")</f>
        <v/>
      </c>
      <c r="EU73" s="145"/>
      <c r="EV73" s="8"/>
      <c r="EW73" s="92" t="str">
        <f>IF(AND(EX73&lt;&gt;"",EV73&lt;&gt;""),EX73-EV73,"")</f>
        <v/>
      </c>
      <c r="EX73" s="145"/>
      <c r="EY73" s="8"/>
      <c r="EZ73" s="92" t="str">
        <f>IF(AND(FA73&lt;&gt;"",EY73&lt;&gt;""),FA73-EY73,"")</f>
        <v/>
      </c>
      <c r="FA73" s="145"/>
    </row>
    <row r="74" spans="1:157" ht="13.35" customHeight="1">
      <c r="A74" s="3"/>
      <c r="B74" s="4" t="s">
        <v>147</v>
      </c>
      <c r="C74" s="4"/>
      <c r="D74" s="91"/>
      <c r="E74" s="79"/>
      <c r="F74" s="79"/>
      <c r="G74" s="79"/>
      <c r="H74" s="79"/>
      <c r="I74" s="79"/>
      <c r="J74" s="79"/>
      <c r="K74" s="79"/>
      <c r="L74" s="79"/>
      <c r="M74" s="79"/>
      <c r="N74" s="79"/>
      <c r="O74" s="79"/>
      <c r="P74" s="79"/>
      <c r="Q74" s="79"/>
      <c r="R74" s="79"/>
      <c r="S74" s="79"/>
      <c r="T74" s="79"/>
      <c r="U74" s="79"/>
      <c r="V74" s="79"/>
      <c r="W74" s="79"/>
      <c r="X74" s="79"/>
      <c r="Y74" s="79"/>
      <c r="Z74" s="79"/>
      <c r="AA74" s="79"/>
      <c r="AB74" s="79"/>
      <c r="AC74" s="79"/>
      <c r="AD74" s="79"/>
      <c r="AE74" s="79"/>
      <c r="AF74" s="79"/>
      <c r="AG74" s="79"/>
      <c r="AH74" s="79"/>
      <c r="AI74" s="79"/>
      <c r="AJ74" s="79"/>
      <c r="AK74" s="79"/>
      <c r="AL74" s="79"/>
      <c r="AM74" s="79"/>
      <c r="AN74" s="79"/>
      <c r="AO74" s="79"/>
      <c r="AP74" s="79"/>
      <c r="AQ74" s="79"/>
      <c r="AR74" s="79"/>
      <c r="AS74" s="79"/>
      <c r="AT74" s="79"/>
      <c r="AU74" s="79"/>
      <c r="AV74" s="79"/>
      <c r="AW74" s="79"/>
      <c r="AX74" s="79"/>
      <c r="AY74" s="79"/>
      <c r="AZ74" s="79"/>
      <c r="BA74" s="89"/>
      <c r="BB74" s="89"/>
      <c r="BC74" s="89"/>
      <c r="BD74" s="89"/>
      <c r="BE74" s="89"/>
      <c r="BF74" s="89"/>
      <c r="BG74" s="89"/>
      <c r="BH74" s="89"/>
      <c r="BI74" s="89"/>
      <c r="BJ74" s="89"/>
      <c r="BK74" s="89"/>
      <c r="BL74" s="89"/>
      <c r="BM74" s="89"/>
      <c r="BN74" s="89"/>
      <c r="BO74" s="89"/>
      <c r="BP74" s="89"/>
      <c r="BQ74" s="89"/>
      <c r="BR74" s="89"/>
      <c r="BS74" s="89"/>
      <c r="BT74" s="89"/>
      <c r="BU74" s="89"/>
      <c r="BV74" s="89"/>
      <c r="BW74" s="89"/>
      <c r="BX74" s="89"/>
      <c r="BY74" s="89"/>
      <c r="BZ74" s="89"/>
      <c r="CA74" s="89"/>
      <c r="CB74" s="89"/>
      <c r="CC74" s="89"/>
      <c r="CD74" s="89"/>
      <c r="CE74" s="89"/>
      <c r="CF74" s="89"/>
      <c r="CG74" s="89"/>
      <c r="CH74" s="89"/>
      <c r="CI74" s="89"/>
      <c r="CJ74" s="89"/>
      <c r="CK74" s="89"/>
      <c r="CL74" s="89"/>
      <c r="CM74" s="89"/>
      <c r="CN74" s="89"/>
      <c r="CO74" s="89"/>
      <c r="CP74" s="89"/>
      <c r="CQ74" s="89"/>
      <c r="CR74" s="89"/>
      <c r="CS74" s="89"/>
      <c r="CT74" s="89"/>
      <c r="CU74" s="89"/>
      <c r="CV74" s="89"/>
      <c r="CW74" s="89"/>
      <c r="CX74" s="89"/>
      <c r="CY74" s="89"/>
      <c r="CZ74" s="89"/>
      <c r="DA74" s="89"/>
      <c r="DB74" s="89"/>
      <c r="DC74" s="89"/>
      <c r="DD74" s="89"/>
      <c r="DE74" s="141"/>
      <c r="DF74" s="89"/>
      <c r="DG74" s="89"/>
      <c r="DH74" s="141"/>
      <c r="DI74" s="89"/>
      <c r="DJ74" s="89"/>
      <c r="DK74" s="141"/>
      <c r="DL74" s="89"/>
      <c r="DM74" s="89"/>
      <c r="DN74" s="141"/>
      <c r="DO74" s="89"/>
      <c r="DP74" s="89"/>
      <c r="DQ74" s="141"/>
      <c r="DR74" s="89"/>
      <c r="DS74" s="89"/>
      <c r="DT74" s="141"/>
      <c r="DU74" s="89"/>
      <c r="DV74" s="89"/>
      <c r="DW74" s="141"/>
      <c r="DX74" s="89"/>
      <c r="DY74" s="89"/>
      <c r="DZ74" s="141"/>
      <c r="EA74" s="89"/>
      <c r="EB74" s="89"/>
      <c r="EC74" s="141"/>
      <c r="ED74" s="89"/>
      <c r="EE74" s="89"/>
      <c r="EF74" s="141"/>
      <c r="EG74" s="89"/>
      <c r="EH74" s="89"/>
      <c r="EI74" s="141"/>
      <c r="EJ74" s="89"/>
      <c r="EK74" s="89"/>
      <c r="EL74" s="141"/>
      <c r="EM74" s="89"/>
      <c r="EN74" s="89"/>
      <c r="EO74" s="141"/>
      <c r="EP74" s="89"/>
      <c r="EQ74" s="89"/>
      <c r="ER74" s="141"/>
      <c r="ES74" s="89"/>
      <c r="ET74" s="89"/>
      <c r="EU74" s="141"/>
      <c r="EV74" s="89"/>
      <c r="EW74" s="89"/>
      <c r="EX74" s="141"/>
      <c r="EY74" s="89"/>
      <c r="EZ74" s="89"/>
      <c r="FA74" s="141"/>
    </row>
    <row r="75" spans="1:157" ht="13.35" customHeight="1" outlineLevel="1">
      <c r="A75" s="3"/>
      <c r="B75" s="4" t="s">
        <v>148</v>
      </c>
      <c r="C75" s="4"/>
      <c r="D75" s="4"/>
      <c r="E75" s="92"/>
      <c r="F75" s="92" t="str">
        <f>IF(G75&lt;&gt;"",G75,"")</f>
        <v/>
      </c>
      <c r="G75" s="93"/>
      <c r="H75" s="93"/>
      <c r="I75" s="92" t="str">
        <f>IF(J75&lt;&gt;"",J75,"")</f>
        <v/>
      </c>
      <c r="J75" s="93"/>
      <c r="K75" s="93"/>
      <c r="L75" s="92" t="str">
        <f>IF(M75&lt;&gt;"",M75,"")</f>
        <v/>
      </c>
      <c r="M75" s="93"/>
      <c r="N75" s="93"/>
      <c r="O75" s="92" t="str">
        <f>IF(P75&lt;&gt;"",P75,"")</f>
        <v/>
      </c>
      <c r="P75" s="93"/>
      <c r="Q75" s="93"/>
      <c r="R75" s="92" t="str">
        <f>IF(S75&lt;&gt;"",S75,"")</f>
        <v/>
      </c>
      <c r="S75" s="93"/>
      <c r="T75" s="93"/>
      <c r="U75" s="92" t="str">
        <f>IF(V75&lt;&gt;"",V75,"")</f>
        <v/>
      </c>
      <c r="V75" s="93"/>
      <c r="W75" s="93"/>
      <c r="X75" s="92" t="str">
        <f>IF(Y75&lt;&gt;"",Y75,"")</f>
        <v/>
      </c>
      <c r="Y75" s="93"/>
      <c r="Z75" s="93"/>
      <c r="AA75" s="92" t="str">
        <f>IF(AB75&lt;&gt;"",AB75,"")</f>
        <v/>
      </c>
      <c r="AB75" s="93"/>
      <c r="AC75" s="93"/>
      <c r="AD75" s="92" t="str">
        <f>IF(AE75&lt;&gt;"",AE75,"")</f>
        <v/>
      </c>
      <c r="AE75" s="93"/>
      <c r="AF75" s="93"/>
      <c r="AG75" s="92" t="str">
        <f>IF(AH75&lt;&gt;"",AH75,"")</f>
        <v/>
      </c>
      <c r="AH75" s="93"/>
      <c r="AI75" s="93"/>
      <c r="AJ75" s="92" t="str">
        <f>IF(AK75&lt;&gt;"",AK75,"")</f>
        <v/>
      </c>
      <c r="AK75" s="93"/>
      <c r="AL75" s="93"/>
      <c r="AM75" s="92" t="str">
        <f>IF(AN75&lt;&gt;"",AN75,"")</f>
        <v/>
      </c>
      <c r="AN75" s="93"/>
      <c r="AO75" s="93"/>
      <c r="AP75" s="93"/>
      <c r="AQ75" s="93"/>
      <c r="AR75" s="93"/>
      <c r="AS75" s="93"/>
      <c r="AT75" s="93"/>
      <c r="AU75" s="93"/>
      <c r="AV75" s="93"/>
      <c r="AW75" s="93"/>
      <c r="AX75" s="93"/>
      <c r="AY75" s="93"/>
      <c r="AZ75" s="93"/>
      <c r="BA75" s="93"/>
      <c r="BB75" s="92" t="str">
        <f>IF(BC75&lt;&gt;"",BC75,"")</f>
        <v/>
      </c>
      <c r="BC75" s="93"/>
      <c r="BD75" s="93"/>
      <c r="BE75" s="92" t="str">
        <f>IF(BF75&lt;&gt;"",BF75,"")</f>
        <v/>
      </c>
      <c r="BF75" s="93"/>
      <c r="BG75" s="93"/>
      <c r="BH75" s="92" t="str">
        <f>IF(BI75&lt;&gt;"",BI75,"")</f>
        <v/>
      </c>
      <c r="BI75" s="93"/>
      <c r="BJ75" s="93"/>
      <c r="BK75" s="92" t="str">
        <f>IF(BL75&lt;&gt;"",BL75,"")</f>
        <v/>
      </c>
      <c r="BL75" s="93"/>
      <c r="BM75" s="93"/>
      <c r="BN75" s="92" t="str">
        <f>IF(BO75&lt;&gt;"",BO75,"")</f>
        <v/>
      </c>
      <c r="BO75" s="93"/>
      <c r="BP75" s="93"/>
      <c r="BQ75" s="92" t="str">
        <f>IF(BR75&lt;&gt;"",BR75,"")</f>
        <v/>
      </c>
      <c r="BR75" s="93"/>
      <c r="BS75" s="93"/>
      <c r="BT75" s="92" t="str">
        <f>IF(BU75&lt;&gt;"",BU75,"")</f>
        <v/>
      </c>
      <c r="BU75" s="93"/>
      <c r="BV75" s="93"/>
      <c r="BW75" s="92" t="str">
        <f>IF(BX75&lt;&gt;"",BX75,"")</f>
        <v/>
      </c>
      <c r="BX75" s="93"/>
      <c r="BY75" s="93"/>
      <c r="BZ75" s="92" t="str">
        <f>IF(CA75&lt;&gt;"",CA75,"")</f>
        <v/>
      </c>
      <c r="CA75" s="93"/>
      <c r="CB75" s="93"/>
      <c r="CC75" s="92" t="str">
        <f>IF(CD75&lt;&gt;"",CD75,"")</f>
        <v/>
      </c>
      <c r="CD75" s="93"/>
      <c r="CE75" s="93"/>
      <c r="CF75" s="92" t="str">
        <f>IF(CG75&lt;&gt;"",CG75,"")</f>
        <v/>
      </c>
      <c r="CG75" s="93"/>
      <c r="CH75" s="93"/>
      <c r="CI75" s="92" t="str">
        <f>IF(CJ75&lt;&gt;"",CJ75,"")</f>
        <v/>
      </c>
      <c r="CJ75" s="93"/>
      <c r="CK75" s="93"/>
      <c r="CL75" s="92" t="str">
        <f>IF(CM75&lt;&gt;"",CM75,"")</f>
        <v/>
      </c>
      <c r="CM75" s="93"/>
      <c r="CN75" s="93"/>
      <c r="CO75" s="92" t="str">
        <f>IF(CP75&lt;&gt;"",CP75,"")</f>
        <v/>
      </c>
      <c r="CP75" s="93"/>
      <c r="CQ75" s="93"/>
      <c r="CR75" s="92" t="str">
        <f>IF(CS75&lt;&gt;"",CS75,"")</f>
        <v/>
      </c>
      <c r="CS75" s="93"/>
      <c r="CT75" s="93"/>
      <c r="CU75" s="92" t="str">
        <f>IF(CV75&lt;&gt;"",CV75,"")</f>
        <v/>
      </c>
      <c r="CV75" s="93"/>
      <c r="CW75" s="93"/>
      <c r="CX75" s="92" t="str">
        <f>IF(CY75&lt;&gt;"",CY75,"")</f>
        <v/>
      </c>
      <c r="CY75" s="93"/>
      <c r="CZ75" s="93"/>
      <c r="DA75" s="92" t="str">
        <f>IF(DB75&lt;&gt;"",DB75,"")</f>
        <v/>
      </c>
      <c r="DB75" s="93"/>
      <c r="DC75" s="93"/>
      <c r="DD75" s="92" t="str">
        <f>IF(DE75&lt;&gt;"",DE75,"")</f>
        <v/>
      </c>
      <c r="DE75" s="144"/>
      <c r="DF75" s="93"/>
      <c r="DG75" s="92" t="str">
        <f>IF(DH75&lt;&gt;"",DH75,"")</f>
        <v/>
      </c>
      <c r="DH75" s="144"/>
      <c r="DI75" s="93"/>
      <c r="DJ75" s="92" t="str">
        <f>IF(DK75&lt;&gt;"",DK75,"")</f>
        <v/>
      </c>
      <c r="DK75" s="144"/>
      <c r="DL75" s="93"/>
      <c r="DM75" s="92" t="str">
        <f>IF(DN75&lt;&gt;"",DN75,"")</f>
        <v/>
      </c>
      <c r="DN75" s="144"/>
      <c r="DO75" s="93"/>
      <c r="DP75" s="92" t="str">
        <f>IF(DQ75&lt;&gt;"",DQ75,"")</f>
        <v/>
      </c>
      <c r="DQ75" s="144"/>
      <c r="DR75" s="93"/>
      <c r="DS75" s="92" t="str">
        <f>IF(DT75&lt;&gt;"",DT75,"")</f>
        <v/>
      </c>
      <c r="DT75" s="144"/>
      <c r="DU75" s="93"/>
      <c r="DV75" s="92" t="str">
        <f>IF(DW75&lt;&gt;"",DW75,"")</f>
        <v/>
      </c>
      <c r="DW75" s="144"/>
      <c r="DX75" s="93"/>
      <c r="DY75" s="92" t="str">
        <f>IF(DZ75&lt;&gt;"",DZ75,"")</f>
        <v/>
      </c>
      <c r="DZ75" s="144"/>
      <c r="EA75" s="93"/>
      <c r="EB75" s="92" t="str">
        <f>IF(EC75&lt;&gt;"",EC75,"")</f>
        <v/>
      </c>
      <c r="EC75" s="144"/>
      <c r="ED75" s="93"/>
      <c r="EE75" s="92" t="str">
        <f>IF(EF75&lt;&gt;"",EF75,"")</f>
        <v/>
      </c>
      <c r="EF75" s="144"/>
      <c r="EG75" s="93"/>
      <c r="EH75" s="92" t="str">
        <f>IF(EI75&lt;&gt;"",EI75,"")</f>
        <v/>
      </c>
      <c r="EI75" s="144"/>
      <c r="EJ75" s="93"/>
      <c r="EK75" s="92" t="str">
        <f>IF(EL75&lt;&gt;"",EL75,"")</f>
        <v/>
      </c>
      <c r="EL75" s="144"/>
      <c r="EM75" s="93"/>
      <c r="EN75" s="92" t="str">
        <f>IF(EO75&lt;&gt;"",EO75,"")</f>
        <v/>
      </c>
      <c r="EO75" s="144"/>
      <c r="EP75" s="93"/>
      <c r="EQ75" s="92" t="str">
        <f>IF(ER75&lt;&gt;"",ER75,"")</f>
        <v/>
      </c>
      <c r="ER75" s="144"/>
      <c r="ES75" s="93"/>
      <c r="ET75" s="92" t="str">
        <f>IF(EU75&lt;&gt;"",EU75,"")</f>
        <v/>
      </c>
      <c r="EU75" s="144"/>
      <c r="EV75" s="93"/>
      <c r="EW75" s="92" t="str">
        <f>IF(EX75&lt;&gt;"",EX75,"")</f>
        <v/>
      </c>
      <c r="EX75" s="144"/>
      <c r="EY75" s="93"/>
      <c r="EZ75" s="92" t="str">
        <f>IF(FA75&lt;&gt;"",FA75,"")</f>
        <v/>
      </c>
      <c r="FA75" s="144"/>
    </row>
    <row r="76" spans="1:157" ht="13.35" customHeight="1" outlineLevel="1">
      <c r="A76" s="3"/>
      <c r="B76" s="4" t="s">
        <v>113</v>
      </c>
      <c r="C76" s="4"/>
      <c r="D76" s="4"/>
      <c r="E76" s="92"/>
      <c r="F76" s="92" t="str">
        <f>IF(G76&lt;&gt;"",G76,"")</f>
        <v/>
      </c>
      <c r="G76" s="93"/>
      <c r="H76" s="93"/>
      <c r="I76" s="92" t="str">
        <f>IF(J76&lt;&gt;"",J76,"")</f>
        <v/>
      </c>
      <c r="J76" s="93"/>
      <c r="K76" s="93"/>
      <c r="L76" s="92" t="str">
        <f>IF(M76&lt;&gt;"",M76,"")</f>
        <v/>
      </c>
      <c r="M76" s="93"/>
      <c r="N76" s="93"/>
      <c r="O76" s="92" t="str">
        <f>IF(P76&lt;&gt;"",P76,"")</f>
        <v/>
      </c>
      <c r="P76" s="93"/>
      <c r="Q76" s="93"/>
      <c r="R76" s="92" t="str">
        <f>IF(S76&lt;&gt;"",S76,"")</f>
        <v/>
      </c>
      <c r="S76" s="93"/>
      <c r="T76" s="93"/>
      <c r="U76" s="92" t="str">
        <f>IF(V76&lt;&gt;"",V76,"")</f>
        <v/>
      </c>
      <c r="V76" s="93"/>
      <c r="W76" s="93"/>
      <c r="X76" s="92" t="str">
        <f>IF(Y76&lt;&gt;"",Y76,"")</f>
        <v/>
      </c>
      <c r="Y76" s="93"/>
      <c r="Z76" s="93"/>
      <c r="AA76" s="92" t="str">
        <f>IF(AB76&lt;&gt;"",AB76,"")</f>
        <v/>
      </c>
      <c r="AB76" s="93"/>
      <c r="AC76" s="93"/>
      <c r="AD76" s="92" t="str">
        <f>IF(AE76&lt;&gt;"",AE76,"")</f>
        <v/>
      </c>
      <c r="AE76" s="93"/>
      <c r="AF76" s="93"/>
      <c r="AG76" s="92" t="str">
        <f>IF(AH76&lt;&gt;"",AH76,"")</f>
        <v/>
      </c>
      <c r="AH76" s="93"/>
      <c r="AI76" s="93"/>
      <c r="AJ76" s="92" t="str">
        <f>IF(AK76&lt;&gt;"",AK76,"")</f>
        <v/>
      </c>
      <c r="AK76" s="93"/>
      <c r="AL76" s="93"/>
      <c r="AM76" s="92" t="str">
        <f>IF(AN76&lt;&gt;"",AN76,"")</f>
        <v/>
      </c>
      <c r="AN76" s="93"/>
      <c r="AO76" s="93"/>
      <c r="AP76" s="92" t="str">
        <f>IF(AQ76&lt;&gt;"",AQ76,"")</f>
        <v/>
      </c>
      <c r="AQ76" s="93"/>
      <c r="AR76" s="93"/>
      <c r="AS76" s="92" t="str">
        <f>IF(AT76&lt;&gt;"",AT76,"")</f>
        <v/>
      </c>
      <c r="AT76" s="93"/>
      <c r="AU76" s="93"/>
      <c r="AV76" s="92" t="str">
        <f>IF(AW76&lt;&gt;"",AW76,"")</f>
        <v/>
      </c>
      <c r="AW76" s="93"/>
      <c r="AX76" s="93"/>
      <c r="AY76" s="92" t="str">
        <f>IF(AZ76&lt;&gt;"",AZ76,"")</f>
        <v/>
      </c>
      <c r="AZ76" s="93"/>
      <c r="BA76" s="93"/>
      <c r="BB76" s="92" t="str">
        <f>IF(BC76&lt;&gt;"",BC76,"")</f>
        <v/>
      </c>
      <c r="BC76" s="93"/>
      <c r="BD76" s="93"/>
      <c r="BE76" s="92" t="str">
        <f>IF(BF76&lt;&gt;"",BF76,"")</f>
        <v/>
      </c>
      <c r="BF76" s="93"/>
      <c r="BG76" s="93"/>
      <c r="BH76" s="92" t="str">
        <f>IF(BI76&lt;&gt;"",BI76,"")</f>
        <v/>
      </c>
      <c r="BI76" s="93"/>
      <c r="BJ76" s="93"/>
      <c r="BK76" s="92" t="str">
        <f>IF(BL76&lt;&gt;"",BL76,"")</f>
        <v/>
      </c>
      <c r="BL76" s="93"/>
      <c r="BM76" s="93"/>
      <c r="BN76" s="92" t="str">
        <f>IF(BO76&lt;&gt;"",BO76,"")</f>
        <v/>
      </c>
      <c r="BO76" s="93"/>
      <c r="BP76" s="93"/>
      <c r="BQ76" s="92" t="str">
        <f>IF(BR76&lt;&gt;"",BR76,"")</f>
        <v/>
      </c>
      <c r="BR76" s="93"/>
      <c r="BS76" s="93"/>
      <c r="BT76" s="92" t="str">
        <f>IF(BU76&lt;&gt;"",BU76,"")</f>
        <v/>
      </c>
      <c r="BU76" s="93"/>
      <c r="BV76" s="93"/>
      <c r="BW76" s="92" t="str">
        <f>IF(BX76&lt;&gt;"",BX76,"")</f>
        <v/>
      </c>
      <c r="BX76" s="93"/>
      <c r="BY76" s="93"/>
      <c r="BZ76" s="92" t="str">
        <f>IF(CA76&lt;&gt;"",CA76,"")</f>
        <v/>
      </c>
      <c r="CA76" s="93"/>
      <c r="CB76" s="93"/>
      <c r="CC76" s="92" t="str">
        <f>IF(CD76&lt;&gt;"",CD76,"")</f>
        <v/>
      </c>
      <c r="CD76" s="93"/>
      <c r="CE76" s="93"/>
      <c r="CF76" s="92" t="str">
        <f>IF(CG76&lt;&gt;"",CG76,"")</f>
        <v/>
      </c>
      <c r="CG76" s="93"/>
      <c r="CH76" s="93"/>
      <c r="CI76" s="92" t="str">
        <f>IF(CJ76&lt;&gt;"",CJ76,"")</f>
        <v/>
      </c>
      <c r="CJ76" s="93"/>
      <c r="CK76" s="93"/>
      <c r="CL76" s="92" t="str">
        <f>IF(CM76&lt;&gt;"",CM76,"")</f>
        <v/>
      </c>
      <c r="CM76" s="93"/>
      <c r="CN76" s="93"/>
      <c r="CO76" s="92" t="str">
        <f>IF(CP76&lt;&gt;"",CP76,"")</f>
        <v/>
      </c>
      <c r="CP76" s="93"/>
      <c r="CQ76" s="93"/>
      <c r="CR76" s="92" t="str">
        <f>IF(CS76&lt;&gt;"",CS76,"")</f>
        <v/>
      </c>
      <c r="CS76" s="93"/>
      <c r="CT76" s="93"/>
      <c r="CU76" s="92" t="str">
        <f>IF(CV76&lt;&gt;"",CV76,"")</f>
        <v/>
      </c>
      <c r="CV76" s="93"/>
      <c r="CW76" s="93"/>
      <c r="CX76" s="92" t="str">
        <f>IF(CY76&lt;&gt;"",CY76,"")</f>
        <v/>
      </c>
      <c r="CY76" s="93"/>
      <c r="CZ76" s="93"/>
      <c r="DA76" s="92" t="str">
        <f>IF(DB76&lt;&gt;"",DB76,"")</f>
        <v/>
      </c>
      <c r="DB76" s="93"/>
      <c r="DC76" s="93"/>
      <c r="DD76" s="92" t="str">
        <f>IF(DE76&lt;&gt;"",DE76,"")</f>
        <v/>
      </c>
      <c r="DE76" s="144"/>
      <c r="DF76" s="93"/>
      <c r="DG76" s="92" t="str">
        <f>IF(DH76&lt;&gt;"",DH76,"")</f>
        <v/>
      </c>
      <c r="DH76" s="144"/>
      <c r="DI76" s="93"/>
      <c r="DJ76" s="92" t="str">
        <f>IF(DK76&lt;&gt;"",DK76,"")</f>
        <v/>
      </c>
      <c r="DK76" s="144"/>
      <c r="DL76" s="93"/>
      <c r="DM76" s="92" t="str">
        <f>IF(DN76&lt;&gt;"",DN76,"")</f>
        <v/>
      </c>
      <c r="DN76" s="144"/>
      <c r="DO76" s="93"/>
      <c r="DP76" s="92" t="str">
        <f>IF(DQ76&lt;&gt;"",DQ76,"")</f>
        <v/>
      </c>
      <c r="DQ76" s="144"/>
      <c r="DR76" s="93"/>
      <c r="DS76" s="92" t="str">
        <f>IF(DT76&lt;&gt;"",DT76,"")</f>
        <v/>
      </c>
      <c r="DT76" s="144"/>
      <c r="DU76" s="93"/>
      <c r="DV76" s="92" t="str">
        <f>IF(DW76&lt;&gt;"",DW76,"")</f>
        <v/>
      </c>
      <c r="DW76" s="144"/>
      <c r="DX76" s="93"/>
      <c r="DY76" s="92" t="str">
        <f>IF(DZ76&lt;&gt;"",DZ76,"")</f>
        <v/>
      </c>
      <c r="DZ76" s="144"/>
      <c r="EA76" s="93"/>
      <c r="EB76" s="92" t="str">
        <f>IF(EC76&lt;&gt;"",EC76,"")</f>
        <v/>
      </c>
      <c r="EC76" s="144"/>
      <c r="ED76" s="93"/>
      <c r="EE76" s="92" t="str">
        <f>IF(EF76&lt;&gt;"",EF76,"")</f>
        <v/>
      </c>
      <c r="EF76" s="144"/>
      <c r="EG76" s="93"/>
      <c r="EH76" s="92" t="str">
        <f>IF(EI76&lt;&gt;"",EI76,"")</f>
        <v/>
      </c>
      <c r="EI76" s="144"/>
      <c r="EJ76" s="93"/>
      <c r="EK76" s="92" t="str">
        <f>IF(EL76&lt;&gt;"",EL76,"")</f>
        <v/>
      </c>
      <c r="EL76" s="144"/>
      <c r="EM76" s="93"/>
      <c r="EN76" s="92" t="str">
        <f>IF(EO76&lt;&gt;"",EO76,"")</f>
        <v/>
      </c>
      <c r="EO76" s="144"/>
      <c r="EP76" s="93"/>
      <c r="EQ76" s="92" t="str">
        <f>IF(ER76&lt;&gt;"",ER76,"")</f>
        <v/>
      </c>
      <c r="ER76" s="144"/>
      <c r="ES76" s="93"/>
      <c r="ET76" s="92" t="str">
        <f>IF(EU76&lt;&gt;"",EU76,"")</f>
        <v/>
      </c>
      <c r="EU76" s="144"/>
      <c r="EV76" s="93"/>
      <c r="EW76" s="92" t="str">
        <f>IF(EX76&lt;&gt;"",EX76,"")</f>
        <v/>
      </c>
      <c r="EX76" s="144"/>
      <c r="EY76" s="93"/>
      <c r="EZ76" s="92" t="str">
        <f>IF(FA76&lt;&gt;"",FA76,"")</f>
        <v/>
      </c>
      <c r="FA76" s="144"/>
    </row>
    <row r="77" spans="1:157" ht="13.35" customHeight="1" outlineLevel="1">
      <c r="A77" s="3"/>
      <c r="B77" s="4" t="s">
        <v>114</v>
      </c>
      <c r="C77" s="4"/>
      <c r="D77" s="91"/>
      <c r="E77" s="94" t="str">
        <f>IF(Model!E284&lt;&gt;"",Model!E284,"")</f>
        <v/>
      </c>
      <c r="F77" s="94" t="str">
        <f>IF(Model!G284&lt;&gt;"",Model!F284,"")</f>
        <v/>
      </c>
      <c r="G77" s="94" t="str">
        <f>IF(Model!G284&lt;&gt;"",Model!G284,"")</f>
        <v/>
      </c>
      <c r="H77" s="94" t="str">
        <f>IF(Model!H284&lt;&gt;"",Model!H284,"")</f>
        <v/>
      </c>
      <c r="I77" s="94" t="str">
        <f>IF(Model!J284&lt;&gt;"",Model!I284,"")</f>
        <v/>
      </c>
      <c r="J77" s="94" t="str">
        <f>IF(Model!J284&lt;&gt;"",Model!J284,"")</f>
        <v/>
      </c>
      <c r="K77" s="94" t="str">
        <f>IF(Model!K284&lt;&gt;"",Model!K284,"")</f>
        <v/>
      </c>
      <c r="L77" s="94" t="str">
        <f>IF(Model!M284&lt;&gt;"",Model!L284,"")</f>
        <v/>
      </c>
      <c r="M77" s="94" t="str">
        <f>IF(Model!M284&lt;&gt;"",Model!M284,"")</f>
        <v/>
      </c>
      <c r="N77" s="94" t="str">
        <f>IF(Model!N284&lt;&gt;"",Model!N284,"")</f>
        <v/>
      </c>
      <c r="O77" s="94" t="str">
        <f>IF(Model!P284&lt;&gt;"",Model!O284,"")</f>
        <v/>
      </c>
      <c r="P77" s="94" t="str">
        <f>IF(Model!P284&lt;&gt;"",Model!P284,"")</f>
        <v/>
      </c>
      <c r="Q77" s="94" t="str">
        <f>IF(Model!Q284&lt;&gt;"",Model!Q284,"")</f>
        <v/>
      </c>
      <c r="R77" s="94" t="str">
        <f>IF(Model!S284&lt;&gt;"",Model!R284,"")</f>
        <v/>
      </c>
      <c r="S77" s="94" t="str">
        <f>IF(Model!S284&lt;&gt;"",Model!S284,"")</f>
        <v/>
      </c>
      <c r="T77" s="94" t="str">
        <f>IF(Model!T284&lt;&gt;"",Model!T284,"")</f>
        <v/>
      </c>
      <c r="U77" s="94" t="str">
        <f>IF(Model!V284&lt;&gt;"",Model!U284,"")</f>
        <v/>
      </c>
      <c r="V77" s="94" t="str">
        <f>IF(Model!V284&lt;&gt;"",Model!V284,"")</f>
        <v/>
      </c>
      <c r="W77" s="94" t="str">
        <f>IF(Model!W284&lt;&gt;"",Model!W284,"")</f>
        <v/>
      </c>
      <c r="X77" s="94" t="str">
        <f>IF(Model!Y284&lt;&gt;"",Model!X284,"")</f>
        <v/>
      </c>
      <c r="Y77" s="94" t="str">
        <f>IF(Model!Y284&lt;&gt;"",Model!Y284,"")</f>
        <v/>
      </c>
      <c r="Z77" s="94" t="str">
        <f>IF(Model!Z284&lt;&gt;"",Model!Z284,"")</f>
        <v/>
      </c>
      <c r="AA77" s="94" t="str">
        <f>IF(Model!AB284&lt;&gt;"",Model!AA284,"")</f>
        <v/>
      </c>
      <c r="AB77" s="94" t="str">
        <f>IF(Model!AB284&lt;&gt;"",Model!AB284,"")</f>
        <v/>
      </c>
      <c r="AC77" s="94" t="str">
        <f>IF(Model!AC284&lt;&gt;"",Model!AC284,"")</f>
        <v/>
      </c>
      <c r="AD77" s="94" t="str">
        <f>IF(Model!AE284&lt;&gt;"",Model!AD284,"")</f>
        <v/>
      </c>
      <c r="AE77" s="94" t="str">
        <f>IF(Model!AE284&lt;&gt;"",Model!AE284,"")</f>
        <v/>
      </c>
      <c r="AF77" s="94" t="str">
        <f>IF(Model!AF284&lt;&gt;"",Model!AF284,"")</f>
        <v/>
      </c>
      <c r="AG77" s="94" t="str">
        <f>IF(Model!AH284&lt;&gt;"",Model!AG284,"")</f>
        <v/>
      </c>
      <c r="AH77" s="94" t="str">
        <f>IF(Model!AH284&lt;&gt;"",Model!AH284,"")</f>
        <v/>
      </c>
      <c r="AI77" s="94" t="str">
        <f>IF(Model!AI284&lt;&gt;"",Model!AI284,"")</f>
        <v/>
      </c>
      <c r="AJ77" s="94" t="str">
        <f>IF(Model!AK284&lt;&gt;"",Model!AJ284,"")</f>
        <v/>
      </c>
      <c r="AK77" s="94" t="str">
        <f>IF(Model!AK284&lt;&gt;"",Model!AK284,"")</f>
        <v/>
      </c>
      <c r="AL77" s="94" t="str">
        <f>IF(Model!AL284&lt;&gt;"",Model!AL284,"")</f>
        <v/>
      </c>
      <c r="AM77" s="94" t="str">
        <f>IF(Model!AN284&lt;&gt;"",Model!AM284,"")</f>
        <v/>
      </c>
      <c r="AN77" s="94" t="str">
        <f>IF(Model!AN284&lt;&gt;"",Model!AN284,"")</f>
        <v/>
      </c>
      <c r="AO77" s="94" t="str">
        <f>IF(Model!AO284&lt;&gt;"",Model!AO284,"")</f>
        <v/>
      </c>
      <c r="AP77" s="94" t="str">
        <f>IF(Model!AQ284&lt;&gt;"",Model!AP284,"")</f>
        <v/>
      </c>
      <c r="AQ77" s="94" t="str">
        <f>IF(Model!AQ284&lt;&gt;"",Model!AQ284,"")</f>
        <v/>
      </c>
      <c r="AR77" s="94" t="str">
        <f>IF(Model!AR284&lt;&gt;"",Model!AR284,"")</f>
        <v/>
      </c>
      <c r="AS77" s="94" t="str">
        <f>IF(Model!AT284&lt;&gt;"",Model!AS284,"")</f>
        <v/>
      </c>
      <c r="AT77" s="94" t="str">
        <f>IF(Model!AT284&lt;&gt;"",Model!AT284,"")</f>
        <v/>
      </c>
      <c r="AU77" s="94" t="str">
        <f>IF(Model!AU284&lt;&gt;"",Model!AU284,"")</f>
        <v/>
      </c>
      <c r="AV77" s="94" t="str">
        <f>IF(Model!AW284&lt;&gt;"",Model!AV284,"")</f>
        <v/>
      </c>
      <c r="AW77" s="94" t="str">
        <f>IF(Model!AW284&lt;&gt;"",Model!AW284,"")</f>
        <v/>
      </c>
      <c r="AX77" s="94" t="str">
        <f>IF(Model!AX284&lt;&gt;"",Model!AX284,"")</f>
        <v/>
      </c>
      <c r="AY77" s="94" t="str">
        <f>IF(Model!AZ284&lt;&gt;"",Model!AY284,"")</f>
        <v/>
      </c>
      <c r="AZ77" s="94" t="str">
        <f>IF(Model!AZ284&lt;&gt;"",Model!AZ284,"")</f>
        <v/>
      </c>
      <c r="BA77" s="94" t="str">
        <f>IF(Model!BA284&lt;&gt;"",Model!BA284,"")</f>
        <v/>
      </c>
      <c r="BB77" s="94" t="str">
        <f>IF(Model!BC284&lt;&gt;"",Model!BB284,"")</f>
        <v/>
      </c>
      <c r="BC77" s="94" t="str">
        <f>IF(Model!BC284&lt;&gt;"",Model!BC284,"")</f>
        <v/>
      </c>
      <c r="BD77" s="94" t="str">
        <f>IF(Model!BD284&lt;&gt;"",Model!BD284,"")</f>
        <v/>
      </c>
      <c r="BE77" s="94" t="str">
        <f>IF(Model!BF284&lt;&gt;"",Model!BE284,"")</f>
        <v/>
      </c>
      <c r="BF77" s="94" t="str">
        <f>IF(Model!BF284&lt;&gt;"",Model!BF284,"")</f>
        <v/>
      </c>
      <c r="BG77" s="94" t="str">
        <f>IF(Model!BG284&lt;&gt;"",Model!BG284,"")</f>
        <v/>
      </c>
      <c r="BH77" s="94" t="str">
        <f>IF(Model!BI284&lt;&gt;"",Model!BH284,"")</f>
        <v/>
      </c>
      <c r="BI77" s="94" t="str">
        <f>IF(Model!BI284&lt;&gt;"",Model!BI284,"")</f>
        <v/>
      </c>
      <c r="BJ77" s="94" t="str">
        <f>IF(Model!BJ284&lt;&gt;"",Model!BJ284,"")</f>
        <v/>
      </c>
      <c r="BK77" s="94" t="str">
        <f>IF(Model!BL284&lt;&gt;"",Model!BK284,"")</f>
        <v/>
      </c>
      <c r="BL77" s="94" t="str">
        <f>IF(Model!BL284&lt;&gt;"",Model!BL284,"")</f>
        <v/>
      </c>
      <c r="BM77" s="94" t="str">
        <f>IF(Model!BM284&lt;&gt;"",Model!BM284,"")</f>
        <v/>
      </c>
      <c r="BN77" s="94" t="str">
        <f>IF(Model!BO284&lt;&gt;"",Model!BN284,"")</f>
        <v/>
      </c>
      <c r="BO77" s="94" t="str">
        <f>IF(Model!BO284&lt;&gt;"",Model!BO284,"")</f>
        <v/>
      </c>
      <c r="BP77" s="94" t="str">
        <f>IF(Model!BP284&lt;&gt;"",Model!BP284,"")</f>
        <v/>
      </c>
      <c r="BQ77" s="94" t="str">
        <f>IF(Model!BR284&lt;&gt;"",Model!BQ284,"")</f>
        <v/>
      </c>
      <c r="BR77" s="94" t="str">
        <f>IF(Model!BR284&lt;&gt;"",Model!BR284,"")</f>
        <v/>
      </c>
      <c r="BS77" s="94" t="str">
        <f>IF(Model!BS284&lt;&gt;"",Model!BS284,"")</f>
        <v/>
      </c>
      <c r="BT77" s="94" t="str">
        <f>IF(Model!BU284&lt;&gt;"",Model!BT284,"")</f>
        <v/>
      </c>
      <c r="BU77" s="94" t="str">
        <f>IF(Model!BU284&lt;&gt;"",Model!BU284,"")</f>
        <v/>
      </c>
      <c r="BV77" s="94" t="str">
        <f>IF(Model!BV284&lt;&gt;"",Model!BV284,"")</f>
        <v/>
      </c>
      <c r="BW77" s="94" t="str">
        <f>IF(Model!BX284&lt;&gt;"",Model!BW284,"")</f>
        <v/>
      </c>
      <c r="BX77" s="94" t="str">
        <f>IF(Model!BX284&lt;&gt;"",Model!BX284,"")</f>
        <v/>
      </c>
      <c r="BY77" s="94" t="str">
        <f>IF(Model!BY284&lt;&gt;"",Model!BY284,"")</f>
        <v/>
      </c>
      <c r="BZ77" s="94" t="str">
        <f>IF(Model!CA284&lt;&gt;"",Model!BZ284,"")</f>
        <v/>
      </c>
      <c r="CA77" s="94" t="str">
        <f>IF(Model!CA284&lt;&gt;"",Model!CA284,"")</f>
        <v/>
      </c>
      <c r="CB77" s="94" t="str">
        <f>IF(Model!CB284&lt;&gt;"",Model!CB284,"")</f>
        <v/>
      </c>
      <c r="CC77" s="94" t="str">
        <f>IF(Model!CD284&lt;&gt;"",Model!CC284,"")</f>
        <v/>
      </c>
      <c r="CD77" s="94" t="str">
        <f>IF(Model!CD284&lt;&gt;"",Model!CD284,"")</f>
        <v/>
      </c>
      <c r="CE77" s="94" t="str">
        <f>IF(Model!CE284&lt;&gt;"",Model!CE284,"")</f>
        <v/>
      </c>
      <c r="CF77" s="94" t="str">
        <f>IF(Model!CG284&lt;&gt;"",Model!CF284,"")</f>
        <v/>
      </c>
      <c r="CG77" s="94" t="str">
        <f>IF(Model!CG284&lt;&gt;"",Model!CG284,"")</f>
        <v/>
      </c>
      <c r="CH77" s="94" t="str">
        <f>IF(Model!CH284&lt;&gt;"",Model!CH284,"")</f>
        <v/>
      </c>
      <c r="CI77" s="94" t="str">
        <f>IF(Model!CJ284&lt;&gt;"",Model!CI284,"")</f>
        <v/>
      </c>
      <c r="CJ77" s="94" t="str">
        <f>IF(Model!CJ284&lt;&gt;"",Model!CJ284,"")</f>
        <v/>
      </c>
      <c r="CK77" s="94" t="str">
        <f>IF(Model!CK284&lt;&gt;"",Model!CK284,"")</f>
        <v/>
      </c>
      <c r="CL77" s="94" t="str">
        <f>IF(Model!CM284&lt;&gt;"",Model!CL284,"")</f>
        <v/>
      </c>
      <c r="CM77" s="94" t="str">
        <f>IF(Model!CM284&lt;&gt;"",Model!CM284,"")</f>
        <v/>
      </c>
      <c r="CN77" s="94" t="str">
        <f>IF(Model!CN284&lt;&gt;"",Model!CN284,"")</f>
        <v/>
      </c>
      <c r="CO77" s="94" t="str">
        <f>IF(Model!CP284&lt;&gt;"",Model!CO284,"")</f>
        <v/>
      </c>
      <c r="CP77" s="94" t="str">
        <f>IF(Model!CP284&lt;&gt;"",Model!CP284,"")</f>
        <v/>
      </c>
      <c r="CQ77" s="94" t="str">
        <f>IF(Model!CQ284&lt;&gt;"",Model!CQ284,"")</f>
        <v/>
      </c>
      <c r="CR77" s="94" t="str">
        <f>IF(Model!CS284&lt;&gt;"",Model!CR284,"")</f>
        <v/>
      </c>
      <c r="CS77" s="94" t="str">
        <f>IF(Model!CS284&lt;&gt;"",Model!CS284,"")</f>
        <v/>
      </c>
      <c r="CT77" s="94" t="str">
        <f>IF(Model!CT284&lt;&gt;"",Model!CT284,"")</f>
        <v/>
      </c>
      <c r="CU77" s="94" t="str">
        <f>IF(Model!CV284&lt;&gt;"",Model!CU284,"")</f>
        <v/>
      </c>
      <c r="CV77" s="94" t="str">
        <f>IF(Model!CV284&lt;&gt;"",Model!CV284,"")</f>
        <v/>
      </c>
      <c r="CW77" s="94" t="str">
        <f>IF(Model!CW284&lt;&gt;"",Model!CW284,"")</f>
        <v/>
      </c>
      <c r="CX77" s="94" t="str">
        <f>IF(Model!CY284&lt;&gt;"",Model!CX284,"")</f>
        <v/>
      </c>
      <c r="CY77" s="94" t="str">
        <f>IF(Model!CY284&lt;&gt;"",Model!CY284,"")</f>
        <v/>
      </c>
      <c r="CZ77" s="94" t="str">
        <f>IF(Model!CZ284&lt;&gt;"",Model!CZ284,"")</f>
        <v/>
      </c>
      <c r="DA77" s="94" t="str">
        <f>IF(Model!DB284&lt;&gt;"",Model!DA284,"")</f>
        <v/>
      </c>
      <c r="DB77" s="94" t="str">
        <f>IF(Model!DB284&lt;&gt;"",Model!DB284,"")</f>
        <v/>
      </c>
      <c r="DC77" s="94" t="str">
        <f>IF(Model!DC284&lt;&gt;"",Model!DC284,"")</f>
        <v/>
      </c>
      <c r="DD77" s="94" t="str">
        <f>IF(Model!DE284&lt;&gt;"",Model!DD284,"")</f>
        <v/>
      </c>
      <c r="DE77" s="143" t="str">
        <f>IF(Model!DE284&lt;&gt;"",Model!DE284,"")</f>
        <v/>
      </c>
      <c r="DF77" s="94" t="str">
        <f>IF(Model!DF284&lt;&gt;"",Model!DF284,"")</f>
        <v/>
      </c>
      <c r="DG77" s="94" t="str">
        <f>IF(Model!DH284&lt;&gt;"",Model!DG284,"")</f>
        <v/>
      </c>
      <c r="DH77" s="143" t="str">
        <f>IF(Model!DH284&lt;&gt;"",Model!DH284,"")</f>
        <v/>
      </c>
      <c r="DI77" s="94" t="str">
        <f>IF(Model!DI284&lt;&gt;"",Model!DI284,"")</f>
        <v/>
      </c>
      <c r="DJ77" s="94" t="str">
        <f>IF(Model!DK284&lt;&gt;"",Model!DJ284,"")</f>
        <v/>
      </c>
      <c r="DK77" s="143" t="str">
        <f>IF(Model!DK284&lt;&gt;"",Model!DK284,"")</f>
        <v/>
      </c>
      <c r="DL77" s="94" t="str">
        <f>IF(Model!DL284&lt;&gt;"",Model!DL284,"")</f>
        <v/>
      </c>
      <c r="DM77" s="94" t="str">
        <f>IF(Model!DN284&lt;&gt;"",Model!DM284,"")</f>
        <v/>
      </c>
      <c r="DN77" s="143" t="str">
        <f>IF(Model!DN284&lt;&gt;"",Model!DN284,"")</f>
        <v/>
      </c>
      <c r="DO77" s="94" t="str">
        <f>IF(Model!DO284&lt;&gt;"",Model!DO284,"")</f>
        <v/>
      </c>
      <c r="DP77" s="94" t="str">
        <f>IF(Model!DQ284&lt;&gt;"",Model!DP284,"")</f>
        <v/>
      </c>
      <c r="DQ77" s="143" t="str">
        <f>IF(Model!DQ284&lt;&gt;"",Model!DQ284,"")</f>
        <v/>
      </c>
      <c r="DR77" s="94" t="str">
        <f>IF(Model!DR284&lt;&gt;"",Model!DR284,"")</f>
        <v/>
      </c>
      <c r="DS77" s="94" t="str">
        <f>IF(Model!DT284&lt;&gt;"",Model!DS284,"")</f>
        <v/>
      </c>
      <c r="DT77" s="143" t="str">
        <f>IF(Model!DT284&lt;&gt;"",Model!DT284,"")</f>
        <v/>
      </c>
      <c r="DU77" s="94" t="str">
        <f>IF(Model!DU284&lt;&gt;"",Model!DU284,"")</f>
        <v/>
      </c>
      <c r="DV77" s="94" t="str">
        <f>IF(Model!DW284&lt;&gt;"",Model!DV284,"")</f>
        <v/>
      </c>
      <c r="DW77" s="143" t="str">
        <f>IF(Model!DW284&lt;&gt;"",Model!DW284,"")</f>
        <v/>
      </c>
      <c r="DX77" s="94" t="str">
        <f>IF(Model!DX284&lt;&gt;"",Model!DX284,"")</f>
        <v/>
      </c>
      <c r="DY77" s="94" t="str">
        <f>IF(Model!DZ284&lt;&gt;"",Model!DY284,"")</f>
        <v/>
      </c>
      <c r="DZ77" s="143" t="str">
        <f>IF(Model!DZ284&lt;&gt;"",Model!DZ284,"")</f>
        <v/>
      </c>
      <c r="EA77" s="94" t="str">
        <f>IF(Model!EA284&lt;&gt;"",Model!EA284,"")</f>
        <v/>
      </c>
      <c r="EB77" s="94" t="str">
        <f>IF(Model!EC284&lt;&gt;"",Model!EB284,"")</f>
        <v/>
      </c>
      <c r="EC77" s="143" t="str">
        <f>IF(Model!EC284&lt;&gt;"",Model!EC284,"")</f>
        <v/>
      </c>
      <c r="ED77" s="94" t="str">
        <f>IF(Model!ED284&lt;&gt;"",Model!ED284,"")</f>
        <v/>
      </c>
      <c r="EE77" s="94" t="str">
        <f>IF(Model!EF284&lt;&gt;"",Model!EE284,"")</f>
        <v/>
      </c>
      <c r="EF77" s="143" t="str">
        <f>IF(Model!EF284&lt;&gt;"",Model!EF284,"")</f>
        <v/>
      </c>
      <c r="EG77" s="94" t="str">
        <f>IF(Model!EG284&lt;&gt;"",Model!EG284,"")</f>
        <v/>
      </c>
      <c r="EH77" s="94" t="str">
        <f>IF(Model!EI284&lt;&gt;"",Model!EH284,"")</f>
        <v/>
      </c>
      <c r="EI77" s="143" t="str">
        <f>IF(Model!EI284&lt;&gt;"",Model!EI284,"")</f>
        <v/>
      </c>
      <c r="EJ77" s="94" t="str">
        <f>IF(Model!EJ284&lt;&gt;"",Model!EJ284,"")</f>
        <v/>
      </c>
      <c r="EK77" s="94" t="str">
        <f>IF(Model!EL284&lt;&gt;"",Model!EK284,"")</f>
        <v/>
      </c>
      <c r="EL77" s="143" t="str">
        <f>IF(Model!EL284&lt;&gt;"",Model!EL284,"")</f>
        <v/>
      </c>
      <c r="EM77" s="94" t="str">
        <f>IF(Model!EM284&lt;&gt;"",Model!EM284,"")</f>
        <v/>
      </c>
      <c r="EN77" s="94" t="str">
        <f>IF(Model!EO284&lt;&gt;"",Model!EN284,"")</f>
        <v/>
      </c>
      <c r="EO77" s="143" t="str">
        <f>IF(Model!EO284&lt;&gt;"",Model!EO284,"")</f>
        <v/>
      </c>
      <c r="EP77" s="94" t="str">
        <f>IF(Model!EP284&lt;&gt;"",Model!EP284,"")</f>
        <v/>
      </c>
      <c r="EQ77" s="94" t="str">
        <f>IF(Model!ER284&lt;&gt;"",Model!EQ284,"")</f>
        <v/>
      </c>
      <c r="ER77" s="143" t="str">
        <f>IF(Model!ER284&lt;&gt;"",Model!ER284,"")</f>
        <v/>
      </c>
      <c r="ES77" s="94" t="str">
        <f>IF(Model!ES284&lt;&gt;"",Model!ES284,"")</f>
        <v/>
      </c>
      <c r="ET77" s="94" t="str">
        <f>IF(Model!EU284&lt;&gt;"",Model!ET284,"")</f>
        <v/>
      </c>
      <c r="EU77" s="143" t="str">
        <f>IF(Model!EU284&lt;&gt;"",Model!EU284,"")</f>
        <v/>
      </c>
      <c r="EV77" s="94" t="str">
        <f>IF(Model!EV284&lt;&gt;"",Model!EV284,"")</f>
        <v/>
      </c>
      <c r="EW77" s="94" t="str">
        <f>IF(Model!EX284&lt;&gt;"",Model!EW284,"")</f>
        <v/>
      </c>
      <c r="EX77" s="143" t="str">
        <f>IF(Model!EX284&lt;&gt;"",Model!EX284,"")</f>
        <v/>
      </c>
      <c r="EY77" s="94" t="str">
        <f>IF(Model!EY284&lt;&gt;"",Model!EY284,"")</f>
        <v/>
      </c>
      <c r="EZ77" s="94" t="str">
        <f>IF(Model!FA284&lt;&gt;"",Model!EZ284,"")</f>
        <v/>
      </c>
      <c r="FA77" s="143" t="str">
        <f>IF(Model!FA284&lt;&gt;"",Model!FA284,"")</f>
        <v/>
      </c>
    </row>
    <row r="78" spans="1:157" ht="13.35" customHeight="1" outlineLevel="1">
      <c r="A78" s="3"/>
      <c r="B78" s="4" t="s">
        <v>115</v>
      </c>
      <c r="C78" s="4"/>
      <c r="D78" s="4"/>
      <c r="E78" s="93"/>
      <c r="F78" s="93"/>
      <c r="G78" s="93"/>
      <c r="H78" s="92" t="str">
        <f>IF(AND(G75&lt;&gt;"",H75&lt;&gt;""),(G75+H75)/2,"")</f>
        <v/>
      </c>
      <c r="I78" s="92" t="str">
        <f>IF(AND(H75&lt;&gt;"",I75&lt;&gt;""),(H75+I75)/2,"")</f>
        <v/>
      </c>
      <c r="J78" s="92" t="str">
        <f>IF(AND(G75&lt;&gt;"",J75&lt;&gt;""),(G75+J75)/2,"")</f>
        <v/>
      </c>
      <c r="K78" s="92" t="str">
        <f>IF(AND(J75&lt;&gt;"",K75&lt;&gt;""),(J75+K75)/2,"")</f>
        <v/>
      </c>
      <c r="L78" s="92" t="str">
        <f>IF(AND(K75&lt;&gt;"",L75&lt;&gt;""),(K75+L75)/2,"")</f>
        <v/>
      </c>
      <c r="M78" s="92" t="str">
        <f>IF(AND(J75&lt;&gt;"",M75&lt;&gt;""),(J75+M75)/2,"")</f>
        <v/>
      </c>
      <c r="N78" s="92" t="str">
        <f>IF(AND(M75&lt;&gt;"",N75&lt;&gt;""),(M75+N75)/2,"")</f>
        <v/>
      </c>
      <c r="O78" s="92" t="str">
        <f>IF(AND(N75&lt;&gt;"",O75&lt;&gt;""),(N75+O75)/2,"")</f>
        <v/>
      </c>
      <c r="P78" s="92" t="str">
        <f>IF(AND(M75&lt;&gt;"",P75&lt;&gt;""),(M75+P75)/2,"")</f>
        <v/>
      </c>
      <c r="Q78" s="92" t="str">
        <f>IF(AND(P75&lt;&gt;"",Q75&lt;&gt;""),(P75+Q75)/2,"")</f>
        <v/>
      </c>
      <c r="R78" s="92" t="str">
        <f>IF(AND(Q75&lt;&gt;"",R75&lt;&gt;""),(Q75+R75)/2,"")</f>
        <v/>
      </c>
      <c r="S78" s="92" t="str">
        <f>IF(AND(P75&lt;&gt;"",S75&lt;&gt;""),(P75+S75)/2,"")</f>
        <v/>
      </c>
      <c r="T78" s="92" t="str">
        <f>IF(AND(S75&lt;&gt;"",T75&lt;&gt;""),(S75+T75)/2,"")</f>
        <v/>
      </c>
      <c r="U78" s="92" t="str">
        <f>IF(AND(T75&lt;&gt;"",U75&lt;&gt;""),(T75+U75)/2,"")</f>
        <v/>
      </c>
      <c r="V78" s="92" t="str">
        <f>IF(AND(S75&lt;&gt;"",V75&lt;&gt;""),(S75+V75)/2,"")</f>
        <v/>
      </c>
      <c r="W78" s="92" t="str">
        <f>IF(AND(V75&lt;&gt;"",W75&lt;&gt;""),(V75+W75)/2,"")</f>
        <v/>
      </c>
      <c r="X78" s="92" t="str">
        <f>IF(AND(W75&lt;&gt;"",X75&lt;&gt;""),(W75+X75)/2,"")</f>
        <v/>
      </c>
      <c r="Y78" s="92" t="str">
        <f>IF(AND(V75&lt;&gt;"",Y75&lt;&gt;""),(V75+Y75)/2,"")</f>
        <v/>
      </c>
      <c r="Z78" s="92" t="str">
        <f>IF(AND(Y75&lt;&gt;"",Z75&lt;&gt;""),(Y75+Z75)/2,"")</f>
        <v/>
      </c>
      <c r="AA78" s="92" t="str">
        <f>IF(AND(Z75&lt;&gt;"",AA75&lt;&gt;""),(Z75+AA75)/2,"")</f>
        <v/>
      </c>
      <c r="AB78" s="92" t="str">
        <f>IF(AND(Y75&lt;&gt;"",AB75&lt;&gt;""),(Y75+AB75)/2,"")</f>
        <v/>
      </c>
      <c r="AC78" s="92" t="str">
        <f>IF(AND(AB75&lt;&gt;"",AC75&lt;&gt;""),(AB75+AC75)/2,"")</f>
        <v/>
      </c>
      <c r="AD78" s="92" t="str">
        <f>IF(AND(AC75&lt;&gt;"",AD75&lt;&gt;""),(AC75+AD75)/2,"")</f>
        <v/>
      </c>
      <c r="AE78" s="92" t="str">
        <f>IF(AND(AB75&lt;&gt;"",AE75&lt;&gt;""),(AB75+AE75)/2,"")</f>
        <v/>
      </c>
      <c r="AF78" s="92" t="str">
        <f>IF(AND(AE75&lt;&gt;"",AF75&lt;&gt;""),(AE75+AF75)/2,"")</f>
        <v/>
      </c>
      <c r="AG78" s="92" t="str">
        <f>IF(AND(AF75&lt;&gt;"",AG75&lt;&gt;""),(AF75+AG75)/2,"")</f>
        <v/>
      </c>
      <c r="AH78" s="92" t="str">
        <f>IF(AND(AE75&lt;&gt;"",AH75&lt;&gt;""),(AE75+AH75)/2,"")</f>
        <v/>
      </c>
      <c r="AI78" s="92" t="str">
        <f>IF(AND(AH75&lt;&gt;"",AI75&lt;&gt;""),(AH75+AI75)/2,"")</f>
        <v/>
      </c>
      <c r="AJ78" s="92" t="str">
        <f>IF(AND(AI75&lt;&gt;"",AJ75&lt;&gt;""),(AI75+AJ75)/2,"")</f>
        <v/>
      </c>
      <c r="AK78" s="92" t="str">
        <f>IF(AND(AH75&lt;&gt;"",AK75&lt;&gt;""),(AH75+AK75)/2,"")</f>
        <v/>
      </c>
      <c r="AL78" s="92" t="str">
        <f>IF(AND(AK75&lt;&gt;"",AL75&lt;&gt;""),(AK75+AL75)/2,"")</f>
        <v/>
      </c>
      <c r="AM78" s="92" t="str">
        <f>IF(AND(AL75&lt;&gt;"",AM75&lt;&gt;""),(AL75+AM75)/2,"")</f>
        <v/>
      </c>
      <c r="AN78" s="92" t="str">
        <f>IF(AND(AK75&lt;&gt;"",AN75&lt;&gt;""),(AK75+AN75)/2,"")</f>
        <v/>
      </c>
      <c r="AO78" s="92" t="str">
        <f>IF(AND(AN75&lt;&gt;"",AO75&lt;&gt;""),(AN75+AO75)/2,"")</f>
        <v/>
      </c>
      <c r="AP78" s="92" t="str">
        <f>IF(AND(AO75&lt;&gt;"",AP75&lt;&gt;""),(AO75+AP75)/2,"")</f>
        <v/>
      </c>
      <c r="AQ78" s="92" t="str">
        <f>IF(AND(AN75&lt;&gt;"",AQ75&lt;&gt;""),(AN75+AQ75)/2,"")</f>
        <v/>
      </c>
      <c r="AR78" s="92" t="str">
        <f>IF(AND(AQ75&lt;&gt;"",AR75&lt;&gt;""),(AQ75+AR75)/2,"")</f>
        <v/>
      </c>
      <c r="AS78" s="92" t="str">
        <f>IF(AND(AR75&lt;&gt;"",AS75&lt;&gt;""),(AR75+AS75)/2,"")</f>
        <v/>
      </c>
      <c r="AT78" s="92" t="str">
        <f>IF(AND(AQ75&lt;&gt;"",AT75&lt;&gt;""),(AQ75+AT75)/2,"")</f>
        <v/>
      </c>
      <c r="AU78" s="92" t="str">
        <f>IF(AND(AT75&lt;&gt;"",AU75&lt;&gt;""),(AT75+AU75)/2,"")</f>
        <v/>
      </c>
      <c r="AV78" s="92" t="str">
        <f>IF(AND(AU75&lt;&gt;"",AV75&lt;&gt;""),(AU75+AV75)/2,"")</f>
        <v/>
      </c>
      <c r="AW78" s="92" t="str">
        <f>IF(AND(AT75&lt;&gt;"",AW75&lt;&gt;""),(AT75+AW75)/2,"")</f>
        <v/>
      </c>
      <c r="AX78" s="92" t="str">
        <f>IF(AND(AW75&lt;&gt;"",AX75&lt;&gt;""),(AW75+AX75)/2,"")</f>
        <v/>
      </c>
      <c r="AY78" s="92" t="str">
        <f>IF(AND(AX75&lt;&gt;"",AY75&lt;&gt;""),(AX75+AY75)/2,"")</f>
        <v/>
      </c>
      <c r="AZ78" s="92" t="str">
        <f>IF(AND(AW75&lt;&gt;"",AZ75&lt;&gt;""),(AW75+AZ75)/2,"")</f>
        <v/>
      </c>
      <c r="BA78" s="92" t="str">
        <f>IF(AND(AZ75&lt;&gt;"",BA75&lt;&gt;""),(AZ75+BA75)/2,"")</f>
        <v/>
      </c>
      <c r="BB78" s="92" t="str">
        <f>IF(AND(BA75&lt;&gt;"",BB75&lt;&gt;""),(BA75+BB75)/2,"")</f>
        <v/>
      </c>
      <c r="BC78" s="92" t="str">
        <f>IF(AND(AZ75&lt;&gt;"",BC75&lt;&gt;""),(AZ75+BC75)/2,"")</f>
        <v/>
      </c>
      <c r="BD78" s="92" t="str">
        <f>IF(AND(BC75&lt;&gt;"",BD75&lt;&gt;""),(BC75+BD75)/2,"")</f>
        <v/>
      </c>
      <c r="BE78" s="92" t="str">
        <f>IF(AND(BD75&lt;&gt;"",BE75&lt;&gt;""),(BD75+BE75)/2,"")</f>
        <v/>
      </c>
      <c r="BF78" s="92" t="str">
        <f>IF(AND(BC75&lt;&gt;"",BF75&lt;&gt;""),(BC75+BF75)/2,"")</f>
        <v/>
      </c>
      <c r="BG78" s="92" t="str">
        <f>IF(AND(BF75&lt;&gt;"",BG75&lt;&gt;""),(BF75+BG75)/2,"")</f>
        <v/>
      </c>
      <c r="BH78" s="92" t="str">
        <f>IF(AND(BG75&lt;&gt;"",BH75&lt;&gt;""),(BG75+BH75)/2,"")</f>
        <v/>
      </c>
      <c r="BI78" s="92" t="str">
        <f>IF(AND(BF75&lt;&gt;"",BI75&lt;&gt;""),(BF75+BI75)/2,"")</f>
        <v/>
      </c>
      <c r="BJ78" s="92" t="str">
        <f>IF(AND(BI75&lt;&gt;"",BJ75&lt;&gt;""),(BI75+BJ75)/2,"")</f>
        <v/>
      </c>
      <c r="BK78" s="92" t="str">
        <f>IF(AND(BJ75&lt;&gt;"",BK75&lt;&gt;""),(BJ75+BK75)/2,"")</f>
        <v/>
      </c>
      <c r="BL78" s="92" t="str">
        <f>IF(AND(BI75&lt;&gt;"",BL75&lt;&gt;""),(BI75+BL75)/2,"")</f>
        <v/>
      </c>
      <c r="BM78" s="92" t="str">
        <f>IF(AND(BL75&lt;&gt;"",BM75&lt;&gt;""),(BL75+BM75)/2,"")</f>
        <v/>
      </c>
      <c r="BN78" s="92" t="str">
        <f>IF(AND(BM75&lt;&gt;"",BN75&lt;&gt;""),(BM75+BN75)/2,"")</f>
        <v/>
      </c>
      <c r="BO78" s="92" t="str">
        <f>IF(AND(BL75&lt;&gt;"",BO75&lt;&gt;""),(BL75+BO75)/2,"")</f>
        <v/>
      </c>
      <c r="BP78" s="92" t="str">
        <f>IF(AND(BO75&lt;&gt;"",BP75&lt;&gt;""),(BO75+BP75)/2,"")</f>
        <v/>
      </c>
      <c r="BQ78" s="92" t="str">
        <f>IF(AND(BP75&lt;&gt;"",BQ75&lt;&gt;""),(BP75+BQ75)/2,"")</f>
        <v/>
      </c>
      <c r="BR78" s="92" t="str">
        <f>IF(AND(BO75&lt;&gt;"",BR75&lt;&gt;""),(BO75+BR75)/2,"")</f>
        <v/>
      </c>
      <c r="BS78" s="92" t="str">
        <f>IF(AND(BR75&lt;&gt;"",BS75&lt;&gt;""),(BR75+BS75)/2,"")</f>
        <v/>
      </c>
      <c r="BT78" s="92" t="str">
        <f>IF(AND(BS75&lt;&gt;"",BT75&lt;&gt;""),(BS75+BT75)/2,"")</f>
        <v/>
      </c>
      <c r="BU78" s="92" t="str">
        <f>IF(AND(BR75&lt;&gt;"",BU75&lt;&gt;""),(BR75+BU75)/2,"")</f>
        <v/>
      </c>
      <c r="BV78" s="92" t="str">
        <f>IF(AND(BU75&lt;&gt;"",BV75&lt;&gt;""),(BU75+BV75)/2,"")</f>
        <v/>
      </c>
      <c r="BW78" s="92" t="str">
        <f>IF(AND(BV75&lt;&gt;"",BW75&lt;&gt;""),(BV75+BW75)/2,"")</f>
        <v/>
      </c>
      <c r="BX78" s="92" t="str">
        <f>IF(AND(BU75&lt;&gt;"",BX75&lt;&gt;""),(BU75+BX75)/2,"")</f>
        <v/>
      </c>
      <c r="BY78" s="92" t="str">
        <f>IF(AND(BX75&lt;&gt;"",BY75&lt;&gt;""),(BX75+BY75)/2,"")</f>
        <v/>
      </c>
      <c r="BZ78" s="92" t="str">
        <f>IF(AND(BY75&lt;&gt;"",BZ75&lt;&gt;""),(BY75+BZ75)/2,"")</f>
        <v/>
      </c>
      <c r="CA78" s="92" t="str">
        <f>IF(AND(BX75&lt;&gt;"",CA75&lt;&gt;""),(BX75+CA75)/2,"")</f>
        <v/>
      </c>
      <c r="CB78" s="92" t="str">
        <f>IF(AND(CA75&lt;&gt;"",CB75&lt;&gt;""),(CA75+CB75)/2,"")</f>
        <v/>
      </c>
      <c r="CC78" s="92" t="str">
        <f>IF(AND(CB75&lt;&gt;"",CC75&lt;&gt;""),(CB75+CC75)/2,"")</f>
        <v/>
      </c>
      <c r="CD78" s="92" t="str">
        <f>IF(AND(CA75&lt;&gt;"",CD75&lt;&gt;""),(CA75+CD75)/2,"")</f>
        <v/>
      </c>
      <c r="CE78" s="92" t="str">
        <f>IF(AND(CD75&lt;&gt;"",CE75&lt;&gt;""),(CD75+CE75)/2,"")</f>
        <v/>
      </c>
      <c r="CF78" s="92" t="str">
        <f>IF(AND(CE75&lt;&gt;"",CF75&lt;&gt;""),(CE75+CF75)/2,"")</f>
        <v/>
      </c>
      <c r="CG78" s="92" t="str">
        <f>IF(AND(CD75&lt;&gt;"",CG75&lt;&gt;""),(CD75+CG75)/2,"")</f>
        <v/>
      </c>
      <c r="CH78" s="92" t="str">
        <f>IF(AND(CG75&lt;&gt;"",CH75&lt;&gt;""),(CG75+CH75)/2,"")</f>
        <v/>
      </c>
      <c r="CI78" s="92" t="str">
        <f>IF(AND(CH75&lt;&gt;"",CI75&lt;&gt;""),(CH75+CI75)/2,"")</f>
        <v/>
      </c>
      <c r="CJ78" s="92" t="str">
        <f>IF(AND(CG75&lt;&gt;"",CJ75&lt;&gt;""),(CG75+CJ75)/2,"")</f>
        <v/>
      </c>
      <c r="CK78" s="92" t="str">
        <f>IF(AND(CJ75&lt;&gt;"",CK75&lt;&gt;""),(CJ75+CK75)/2,"")</f>
        <v/>
      </c>
      <c r="CL78" s="92" t="str">
        <f>IF(AND(CK75&lt;&gt;"",CL75&lt;&gt;""),(CK75+CL75)/2,"")</f>
        <v/>
      </c>
      <c r="CM78" s="92" t="str">
        <f>IF(AND(CJ75&lt;&gt;"",CM75&lt;&gt;""),(CJ75+CM75)/2,"")</f>
        <v/>
      </c>
      <c r="CN78" s="92" t="str">
        <f>IF(AND(CM75&lt;&gt;"",CN75&lt;&gt;""),(CM75+CN75)/2,"")</f>
        <v/>
      </c>
      <c r="CO78" s="92" t="str">
        <f>IF(AND(CN75&lt;&gt;"",CO75&lt;&gt;""),(CN75+CO75)/2,"")</f>
        <v/>
      </c>
      <c r="CP78" s="92" t="str">
        <f>IF(AND(CM75&lt;&gt;"",CP75&lt;&gt;""),(CM75+CP75)/2,"")</f>
        <v/>
      </c>
      <c r="CQ78" s="92" t="str">
        <f>IF(AND(CP75&lt;&gt;"",CQ75&lt;&gt;""),(CP75+CQ75)/2,"")</f>
        <v/>
      </c>
      <c r="CR78" s="92" t="str">
        <f>IF(AND(CQ75&lt;&gt;"",CR75&lt;&gt;""),(CQ75+CR75)/2,"")</f>
        <v/>
      </c>
      <c r="CS78" s="92" t="str">
        <f>IF(AND(CP75&lt;&gt;"",CS75&lt;&gt;""),(CP75+CS75)/2,"")</f>
        <v/>
      </c>
      <c r="CT78" s="92" t="str">
        <f>IF(AND(CS75&lt;&gt;"",CT75&lt;&gt;""),(CS75+CT75)/2,"")</f>
        <v/>
      </c>
      <c r="CU78" s="92" t="str">
        <f>IF(AND(CT75&lt;&gt;"",CU75&lt;&gt;""),(CT75+CU75)/2,"")</f>
        <v/>
      </c>
      <c r="CV78" s="92" t="str">
        <f>IF(AND(CS75&lt;&gt;"",CV75&lt;&gt;""),(CS75+CV75)/2,"")</f>
        <v/>
      </c>
      <c r="CW78" s="92" t="str">
        <f>IF(AND(CV75&lt;&gt;"",CW75&lt;&gt;""),(CV75+CW75)/2,"")</f>
        <v/>
      </c>
      <c r="CX78" s="92" t="str">
        <f>IF(AND(CW75&lt;&gt;"",CX75&lt;&gt;""),(CW75+CX75)/2,"")</f>
        <v/>
      </c>
      <c r="CY78" s="92" t="str">
        <f>IF(AND(CV75&lt;&gt;"",CY75&lt;&gt;""),(CV75+CY75)/2,"")</f>
        <v/>
      </c>
      <c r="CZ78" s="92" t="str">
        <f>IF(AND(CY75&lt;&gt;"",CZ75&lt;&gt;""),(CY75+CZ75)/2,"")</f>
        <v/>
      </c>
      <c r="DA78" s="92" t="str">
        <f>IF(AND(CZ75&lt;&gt;"",DA75&lt;&gt;""),(CZ75+DA75)/2,"")</f>
        <v/>
      </c>
      <c r="DB78" s="92" t="str">
        <f>IF(AND(CY75&lt;&gt;"",DB75&lt;&gt;""),(CY75+DB75)/2,"")</f>
        <v/>
      </c>
      <c r="DC78" s="92" t="str">
        <f>IF(AND(DB75&lt;&gt;"",DC75&lt;&gt;""),(DB75+DC75)/2,"")</f>
        <v/>
      </c>
      <c r="DD78" s="92" t="str">
        <f>IF(AND(DC75&lt;&gt;"",DD75&lt;&gt;""),(DC75+DD75)/2,"")</f>
        <v/>
      </c>
      <c r="DE78" s="144" t="str">
        <f>IF(AND(DB75&lt;&gt;"",DE75&lt;&gt;""),(DB75+DE75)/2,"")</f>
        <v/>
      </c>
      <c r="DF78" s="92" t="str">
        <f>IF(AND(DE75&lt;&gt;"",DF75&lt;&gt;""),(DE75+DF75)/2,"")</f>
        <v/>
      </c>
      <c r="DG78" s="92" t="str">
        <f>IF(AND(DF75&lt;&gt;"",DG75&lt;&gt;""),(DF75+DG75)/2,"")</f>
        <v/>
      </c>
      <c r="DH78" s="144" t="str">
        <f>IF(AND(DE75&lt;&gt;"",DH75&lt;&gt;""),(DE75+DH75)/2,"")</f>
        <v/>
      </c>
      <c r="DI78" s="92" t="str">
        <f>IF(AND(DH75&lt;&gt;"",DI75&lt;&gt;""),(DH75+DI75)/2,"")</f>
        <v/>
      </c>
      <c r="DJ78" s="92" t="str">
        <f>IF(AND(DI75&lt;&gt;"",DJ75&lt;&gt;""),(DI75+DJ75)/2,"")</f>
        <v/>
      </c>
      <c r="DK78" s="144" t="str">
        <f>IF(AND(DH75&lt;&gt;"",DK75&lt;&gt;""),(DH75+DK75)/2,"")</f>
        <v/>
      </c>
      <c r="DL78" s="92" t="str">
        <f>IF(AND(DK75&lt;&gt;"",DL75&lt;&gt;""),(DK75+DL75)/2,"")</f>
        <v/>
      </c>
      <c r="DM78" s="92" t="str">
        <f>IF(AND(DL75&lt;&gt;"",DM75&lt;&gt;""),(DL75+DM75)/2,"")</f>
        <v/>
      </c>
      <c r="DN78" s="144" t="str">
        <f>IF(AND(DK75&lt;&gt;"",DN75&lt;&gt;""),(DK75+DN75)/2,"")</f>
        <v/>
      </c>
      <c r="DO78" s="92" t="str">
        <f>IF(AND(DN75&lt;&gt;"",DO75&lt;&gt;""),(DN75+DO75)/2,"")</f>
        <v/>
      </c>
      <c r="DP78" s="92" t="str">
        <f>IF(AND(DO75&lt;&gt;"",DP75&lt;&gt;""),(DO75+DP75)/2,"")</f>
        <v/>
      </c>
      <c r="DQ78" s="144" t="str">
        <f>IF(AND(DN75&lt;&gt;"",DQ75&lt;&gt;""),(DN75+DQ75)/2,"")</f>
        <v/>
      </c>
      <c r="DR78" s="92" t="str">
        <f>IF(AND(DQ75&lt;&gt;"",DR75&lt;&gt;""),(DQ75+DR75)/2,"")</f>
        <v/>
      </c>
      <c r="DS78" s="92" t="str">
        <f>IF(AND(DR75&lt;&gt;"",DS75&lt;&gt;""),(DR75+DS75)/2,"")</f>
        <v/>
      </c>
      <c r="DT78" s="144" t="str">
        <f>IF(AND(DQ75&lt;&gt;"",DT75&lt;&gt;""),(DQ75+DT75)/2,"")</f>
        <v/>
      </c>
      <c r="DU78" s="92" t="str">
        <f>IF(AND(DT75&lt;&gt;"",DU75&lt;&gt;""),(DT75+DU75)/2,"")</f>
        <v/>
      </c>
      <c r="DV78" s="92" t="str">
        <f>IF(AND(DU75&lt;&gt;"",DV75&lt;&gt;""),(DU75+DV75)/2,"")</f>
        <v/>
      </c>
      <c r="DW78" s="144" t="str">
        <f>IF(AND(DT75&lt;&gt;"",DW75&lt;&gt;""),(DT75+DW75)/2,"")</f>
        <v/>
      </c>
      <c r="DX78" s="92" t="str">
        <f>IF(AND(DW75&lt;&gt;"",DX75&lt;&gt;""),(DW75+DX75)/2,"")</f>
        <v/>
      </c>
      <c r="DY78" s="92" t="str">
        <f>IF(AND(DX75&lt;&gt;"",DY75&lt;&gt;""),(DX75+DY75)/2,"")</f>
        <v/>
      </c>
      <c r="DZ78" s="144" t="str">
        <f>IF(AND(DW75&lt;&gt;"",DZ75&lt;&gt;""),(DW75+DZ75)/2,"")</f>
        <v/>
      </c>
      <c r="EA78" s="92" t="str">
        <f>IF(AND(DZ75&lt;&gt;"",EA75&lt;&gt;""),(DZ75+EA75)/2,"")</f>
        <v/>
      </c>
      <c r="EB78" s="92" t="str">
        <f>IF(AND(EA75&lt;&gt;"",EB75&lt;&gt;""),(EA75+EB75)/2,"")</f>
        <v/>
      </c>
      <c r="EC78" s="144" t="str">
        <f>IF(AND(DZ75&lt;&gt;"",EC75&lt;&gt;""),(DZ75+EC75)/2,"")</f>
        <v/>
      </c>
      <c r="ED78" s="92" t="str">
        <f>IF(AND(EC75&lt;&gt;"",ED75&lt;&gt;""),(EC75+ED75)/2,"")</f>
        <v/>
      </c>
      <c r="EE78" s="92" t="str">
        <f>IF(AND(ED75&lt;&gt;"",EE75&lt;&gt;""),(ED75+EE75)/2,"")</f>
        <v/>
      </c>
      <c r="EF78" s="144" t="str">
        <f>IF(AND(EC75&lt;&gt;"",EF75&lt;&gt;""),(EC75+EF75)/2,"")</f>
        <v/>
      </c>
      <c r="EG78" s="92" t="str">
        <f>IF(AND(EF75&lt;&gt;"",EG75&lt;&gt;""),(EF75+EG75)/2,"")</f>
        <v/>
      </c>
      <c r="EH78" s="92" t="str">
        <f>IF(AND(EG75&lt;&gt;"",EH75&lt;&gt;""),(EG75+EH75)/2,"")</f>
        <v/>
      </c>
      <c r="EI78" s="144" t="str">
        <f>IF(AND(EF75&lt;&gt;"",EI75&lt;&gt;""),(EF75+EI75)/2,"")</f>
        <v/>
      </c>
      <c r="EJ78" s="92" t="str">
        <f>IF(AND(EI75&lt;&gt;"",EJ75&lt;&gt;""),(EI75+EJ75)/2,"")</f>
        <v/>
      </c>
      <c r="EK78" s="92" t="str">
        <f>IF(AND(EJ75&lt;&gt;"",EK75&lt;&gt;""),(EJ75+EK75)/2,"")</f>
        <v/>
      </c>
      <c r="EL78" s="144" t="str">
        <f>IF(AND(EI75&lt;&gt;"",EL75&lt;&gt;""),(EI75+EL75)/2,"")</f>
        <v/>
      </c>
      <c r="EM78" s="92" t="str">
        <f>IF(AND(EL75&lt;&gt;"",EM75&lt;&gt;""),(EL75+EM75)/2,"")</f>
        <v/>
      </c>
      <c r="EN78" s="92" t="str">
        <f>IF(AND(EM75&lt;&gt;"",EN75&lt;&gt;""),(EM75+EN75)/2,"")</f>
        <v/>
      </c>
      <c r="EO78" s="144" t="str">
        <f>IF(AND(EL75&lt;&gt;"",EO75&lt;&gt;""),(EL75+EO75)/2,"")</f>
        <v/>
      </c>
      <c r="EP78" s="92" t="str">
        <f>IF(AND(EO75&lt;&gt;"",EP75&lt;&gt;""),(EO75+EP75)/2,"")</f>
        <v/>
      </c>
      <c r="EQ78" s="92" t="str">
        <f>IF(AND(EP75&lt;&gt;"",EQ75&lt;&gt;""),(EP75+EQ75)/2,"")</f>
        <v/>
      </c>
      <c r="ER78" s="144" t="str">
        <f>IF(AND(EO75&lt;&gt;"",ER75&lt;&gt;""),(EO75+ER75)/2,"")</f>
        <v/>
      </c>
      <c r="ES78" s="92" t="str">
        <f>IF(AND(ER75&lt;&gt;"",ES75&lt;&gt;""),(ER75+ES75)/2,"")</f>
        <v/>
      </c>
      <c r="ET78" s="92" t="str">
        <f>IF(AND(ES75&lt;&gt;"",ET75&lt;&gt;""),(ES75+ET75)/2,"")</f>
        <v/>
      </c>
      <c r="EU78" s="144" t="str">
        <f>IF(AND(ER75&lt;&gt;"",EU75&lt;&gt;""),(ER75+EU75)/2,"")</f>
        <v/>
      </c>
      <c r="EV78" s="92" t="str">
        <f>IF(AND(EU75&lt;&gt;"",EV75&lt;&gt;""),(EU75+EV75)/2,"")</f>
        <v/>
      </c>
      <c r="EW78" s="92" t="str">
        <f>IF(AND(EV75&lt;&gt;"",EW75&lt;&gt;""),(EV75+EW75)/2,"")</f>
        <v/>
      </c>
      <c r="EX78" s="144" t="str">
        <f>IF(AND(EU75&lt;&gt;"",EX75&lt;&gt;""),(EU75+EX75)/2,"")</f>
        <v/>
      </c>
      <c r="EY78" s="92" t="str">
        <f>IF(AND(EX75&lt;&gt;"",EY75&lt;&gt;""),(EX75+EY75)/2,"")</f>
        <v/>
      </c>
      <c r="EZ78" s="92" t="str">
        <f>IF(AND(EY75&lt;&gt;"",EZ75&lt;&gt;""),(EY75+EZ75)/2,"")</f>
        <v/>
      </c>
      <c r="FA78" s="144" t="str">
        <f>IF(AND(EX75&lt;&gt;"",FA75&lt;&gt;""),(EX75+FA75)/2,"")</f>
        <v/>
      </c>
    </row>
    <row r="79" spans="1:157" ht="13.35" customHeight="1" outlineLevel="1">
      <c r="A79" s="3"/>
      <c r="B79" s="4" t="s">
        <v>116</v>
      </c>
      <c r="C79" s="4"/>
      <c r="D79" s="4"/>
      <c r="E79" s="93"/>
      <c r="F79" s="93"/>
      <c r="G79" s="93"/>
      <c r="H79" s="92" t="str">
        <f>IF(AND(G77&lt;&gt;"",H77&lt;&gt;""),(G77+H77)/2,"")</f>
        <v/>
      </c>
      <c r="I79" s="92" t="str">
        <f>IF(AND(H77&lt;&gt;"",I77&lt;&gt;""),(H77+I77)/2,"")</f>
        <v/>
      </c>
      <c r="J79" s="92" t="str">
        <f>IF(AND(G77&lt;&gt;"",J77&lt;&gt;""),(G77+J77)/2,"")</f>
        <v/>
      </c>
      <c r="K79" s="92" t="str">
        <f>IF(AND(J77&lt;&gt;"",K77&lt;&gt;""),(J77+K77)/2,"")</f>
        <v/>
      </c>
      <c r="L79" s="92" t="str">
        <f>IF(AND(K77&lt;&gt;"",L77&lt;&gt;""),(K77+L77)/2,"")</f>
        <v/>
      </c>
      <c r="M79" s="92" t="str">
        <f>IF(AND(J77&lt;&gt;"",M77&lt;&gt;""),(J77+M77)/2,"")</f>
        <v/>
      </c>
      <c r="N79" s="92" t="str">
        <f>IF(AND(M77&lt;&gt;"",N77&lt;&gt;""),(M77+N77)/2,"")</f>
        <v/>
      </c>
      <c r="O79" s="92" t="str">
        <f>IF(AND(N77&lt;&gt;"",O77&lt;&gt;""),(N77+O77)/2,"")</f>
        <v/>
      </c>
      <c r="P79" s="92" t="str">
        <f>IF(AND(M77&lt;&gt;"",P77&lt;&gt;""),(M77+P77)/2,"")</f>
        <v/>
      </c>
      <c r="Q79" s="92" t="str">
        <f>IF(AND(P77&lt;&gt;"",Q77&lt;&gt;""),(P77+Q77)/2,"")</f>
        <v/>
      </c>
      <c r="R79" s="92" t="str">
        <f>IF(AND(Q77&lt;&gt;"",R77&lt;&gt;""),(Q77+R77)/2,"")</f>
        <v/>
      </c>
      <c r="S79" s="92" t="str">
        <f>IF(AND(P77&lt;&gt;"",S77&lt;&gt;""),(P77+S77)/2,"")</f>
        <v/>
      </c>
      <c r="T79" s="92" t="str">
        <f>IF(AND(S77&lt;&gt;"",T77&lt;&gt;""),(S77+T77)/2,"")</f>
        <v/>
      </c>
      <c r="U79" s="92" t="str">
        <f>IF(AND(T77&lt;&gt;"",U77&lt;&gt;""),(T77+U77)/2,"")</f>
        <v/>
      </c>
      <c r="V79" s="92" t="str">
        <f>IF(AND(S77&lt;&gt;"",V77&lt;&gt;""),(S77+V77)/2,"")</f>
        <v/>
      </c>
      <c r="W79" s="92" t="str">
        <f>IF(AND(V77&lt;&gt;"",W77&lt;&gt;""),(V77+W77)/2,"")</f>
        <v/>
      </c>
      <c r="X79" s="92" t="str">
        <f>IF(AND(W77&lt;&gt;"",X77&lt;&gt;""),(W77+X77)/2,"")</f>
        <v/>
      </c>
      <c r="Y79" s="92" t="str">
        <f>IF(AND(V77&lt;&gt;"",Y77&lt;&gt;""),(V77+Y77)/2,"")</f>
        <v/>
      </c>
      <c r="Z79" s="92" t="str">
        <f>IF(AND(Y77&lt;&gt;"",Z77&lt;&gt;""),(Y77+Z77)/2,"")</f>
        <v/>
      </c>
      <c r="AA79" s="92" t="str">
        <f>IF(AND(Z77&lt;&gt;"",AA77&lt;&gt;""),(Z77+AA77)/2,"")</f>
        <v/>
      </c>
      <c r="AB79" s="92" t="str">
        <f>IF(AND(Y77&lt;&gt;"",AB77&lt;&gt;""),(Y77+AB77)/2,"")</f>
        <v/>
      </c>
      <c r="AC79" s="92" t="str">
        <f>IF(AND(AB77&lt;&gt;"",AC77&lt;&gt;""),(AB77+AC77)/2,"")</f>
        <v/>
      </c>
      <c r="AD79" s="92" t="str">
        <f>IF(AND(AC77&lt;&gt;"",AD77&lt;&gt;""),(AC77+AD77)/2,"")</f>
        <v/>
      </c>
      <c r="AE79" s="92" t="str">
        <f>IF(AND(AB77&lt;&gt;"",AE77&lt;&gt;""),(AB77+AE77)/2,"")</f>
        <v/>
      </c>
      <c r="AF79" s="92" t="str">
        <f>IF(AND(AE77&lt;&gt;"",AF77&lt;&gt;""),(AE77+AF77)/2,"")</f>
        <v/>
      </c>
      <c r="AG79" s="92" t="str">
        <f>IF(AND(AF77&lt;&gt;"",AG77&lt;&gt;""),(AF77+AG77)/2,"")</f>
        <v/>
      </c>
      <c r="AH79" s="92" t="str">
        <f>IF(AND(AE77&lt;&gt;"",AH77&lt;&gt;""),(AE77+AH77)/2,"")</f>
        <v/>
      </c>
      <c r="AI79" s="92" t="str">
        <f>IF(AND(AH77&lt;&gt;"",AI77&lt;&gt;""),(AH77+AI77)/2,"")</f>
        <v/>
      </c>
      <c r="AJ79" s="92" t="str">
        <f>IF(AND(AI77&lt;&gt;"",AJ77&lt;&gt;""),(AI77+AJ77)/2,"")</f>
        <v/>
      </c>
      <c r="AK79" s="92" t="str">
        <f>IF(AND(AH77&lt;&gt;"",AK77&lt;&gt;""),(AH77+AK77)/2,"")</f>
        <v/>
      </c>
      <c r="AL79" s="92" t="str">
        <f>IF(AND(AK77&lt;&gt;"",AL77&lt;&gt;""),(AK77+AL77)/2,"")</f>
        <v/>
      </c>
      <c r="AM79" s="92" t="str">
        <f>IF(AND(AL77&lt;&gt;"",AM77&lt;&gt;""),(AL77+AM77)/2,"")</f>
        <v/>
      </c>
      <c r="AN79" s="92" t="str">
        <f>IF(AND(AK77&lt;&gt;"",AN77&lt;&gt;""),(AK77+AN77)/2,"")</f>
        <v/>
      </c>
      <c r="AO79" s="92" t="str">
        <f>IF(AND(AN77&lt;&gt;"",AO77&lt;&gt;""),(AN77+AO77)/2,"")</f>
        <v/>
      </c>
      <c r="AP79" s="92" t="str">
        <f>IF(AND(AO77&lt;&gt;"",AP77&lt;&gt;""),(AO77+AP77)/2,"")</f>
        <v/>
      </c>
      <c r="AQ79" s="92" t="str">
        <f>IF(AND(AN77&lt;&gt;"",AQ77&lt;&gt;""),(AN77+AQ77)/2,"")</f>
        <v/>
      </c>
      <c r="AR79" s="92" t="str">
        <f>IF(AND(AQ77&lt;&gt;"",AR77&lt;&gt;""),(AQ77+AR77)/2,"")</f>
        <v/>
      </c>
      <c r="AS79" s="92" t="str">
        <f>IF(AND(AR77&lt;&gt;"",AS77&lt;&gt;""),(AR77+AS77)/2,"")</f>
        <v/>
      </c>
      <c r="AT79" s="92" t="str">
        <f>IF(AND(AQ77&lt;&gt;"",AT77&lt;&gt;""),(AQ77+AT77)/2,"")</f>
        <v/>
      </c>
      <c r="AU79" s="92" t="str">
        <f>IF(AND(AT77&lt;&gt;"",AU77&lt;&gt;""),(AT77+AU77)/2,"")</f>
        <v/>
      </c>
      <c r="AV79" s="92" t="str">
        <f>IF(AND(AU77&lt;&gt;"",AV77&lt;&gt;""),(AU77+AV77)/2,"")</f>
        <v/>
      </c>
      <c r="AW79" s="92" t="str">
        <f>IF(AND(AT77&lt;&gt;"",AW77&lt;&gt;""),(AT77+AW77)/2,"")</f>
        <v/>
      </c>
      <c r="AX79" s="92" t="str">
        <f>IF(AND(AW77&lt;&gt;"",AX77&lt;&gt;""),(AW77+AX77)/2,"")</f>
        <v/>
      </c>
      <c r="AY79" s="92" t="str">
        <f>IF(AND(AX77&lt;&gt;"",AY77&lt;&gt;""),(AX77+AY77)/2,"")</f>
        <v/>
      </c>
      <c r="AZ79" s="92" t="str">
        <f>IF(AND(AW77&lt;&gt;"",AZ77&lt;&gt;""),(AW77+AZ77)/2,"")</f>
        <v/>
      </c>
      <c r="BA79" s="92" t="str">
        <f>IF(AND(AZ77&lt;&gt;"",BA77&lt;&gt;""),(AZ77+BA77)/2,"")</f>
        <v/>
      </c>
      <c r="BB79" s="92" t="str">
        <f>IF(AND(BA77&lt;&gt;"",BB77&lt;&gt;""),(BA77+BB77)/2,"")</f>
        <v/>
      </c>
      <c r="BC79" s="92" t="str">
        <f>IF(AND(AZ77&lt;&gt;"",BC77&lt;&gt;""),(AZ77+BC77)/2,"")</f>
        <v/>
      </c>
      <c r="BD79" s="92" t="str">
        <f>IF(AND(BC77&lt;&gt;"",BD77&lt;&gt;""),(BC77+BD77)/2,"")</f>
        <v/>
      </c>
      <c r="BE79" s="92" t="str">
        <f>IF(AND(BD77&lt;&gt;"",BE77&lt;&gt;""),(BD77+BE77)/2,"")</f>
        <v/>
      </c>
      <c r="BF79" s="92" t="str">
        <f>IF(AND(BC77&lt;&gt;"",BF77&lt;&gt;""),(BC77+BF77)/2,"")</f>
        <v/>
      </c>
      <c r="BG79" s="92" t="str">
        <f>IF(AND(BF77&lt;&gt;"",BG77&lt;&gt;""),(BF77+BG77)/2,"")</f>
        <v/>
      </c>
      <c r="BH79" s="92" t="str">
        <f>IF(AND(BG77&lt;&gt;"",BH77&lt;&gt;""),(BG77+BH77)/2,"")</f>
        <v/>
      </c>
      <c r="BI79" s="92" t="str">
        <f>IF(AND(BF77&lt;&gt;"",BI77&lt;&gt;""),(BF77+BI77)/2,"")</f>
        <v/>
      </c>
      <c r="BJ79" s="92" t="str">
        <f>IF(AND(BI77&lt;&gt;"",BJ77&lt;&gt;""),(BI77+BJ77)/2,"")</f>
        <v/>
      </c>
      <c r="BK79" s="92" t="str">
        <f>IF(AND(BJ77&lt;&gt;"",BK77&lt;&gt;""),(BJ77+BK77)/2,"")</f>
        <v/>
      </c>
      <c r="BL79" s="92" t="str">
        <f>IF(AND(BI77&lt;&gt;"",BL77&lt;&gt;""),(BI77+BL77)/2,"")</f>
        <v/>
      </c>
      <c r="BM79" s="92" t="str">
        <f>IF(AND(BL77&lt;&gt;"",BM77&lt;&gt;""),(BL77+BM77)/2,"")</f>
        <v/>
      </c>
      <c r="BN79" s="92" t="str">
        <f>IF(AND(BM77&lt;&gt;"",BN77&lt;&gt;""),(BM77+BN77)/2,"")</f>
        <v/>
      </c>
      <c r="BO79" s="92" t="str">
        <f>IF(AND(BL77&lt;&gt;"",BO77&lt;&gt;""),(BL77+BO77)/2,"")</f>
        <v/>
      </c>
      <c r="BP79" s="92" t="str">
        <f>IF(AND(BO77&lt;&gt;"",BP77&lt;&gt;""),(BO77+BP77)/2,"")</f>
        <v/>
      </c>
      <c r="BQ79" s="92" t="str">
        <f>IF(AND(BP77&lt;&gt;"",BQ77&lt;&gt;""),(BP77+BQ77)/2,"")</f>
        <v/>
      </c>
      <c r="BR79" s="92" t="str">
        <f>IF(AND(BO77&lt;&gt;"",BR77&lt;&gt;""),(BO77+BR77)/2,"")</f>
        <v/>
      </c>
      <c r="BS79" s="92" t="str">
        <f>IF(AND(BR77&lt;&gt;"",BS77&lt;&gt;""),(BR77+BS77)/2,"")</f>
        <v/>
      </c>
      <c r="BT79" s="92" t="str">
        <f>IF(AND(BS77&lt;&gt;"",BT77&lt;&gt;""),(BS77+BT77)/2,"")</f>
        <v/>
      </c>
      <c r="BU79" s="92" t="str">
        <f>IF(AND(BR77&lt;&gt;"",BU77&lt;&gt;""),(BR77+BU77)/2,"")</f>
        <v/>
      </c>
      <c r="BV79" s="92" t="str">
        <f>IF(AND(BU77&lt;&gt;"",BV77&lt;&gt;""),(BU77+BV77)/2,"")</f>
        <v/>
      </c>
      <c r="BW79" s="92" t="str">
        <f>IF(AND(BV77&lt;&gt;"",BW77&lt;&gt;""),(BV77+BW77)/2,"")</f>
        <v/>
      </c>
      <c r="BX79" s="92" t="str">
        <f>IF(AND(BU77&lt;&gt;"",BX77&lt;&gt;""),(BU77+BX77)/2,"")</f>
        <v/>
      </c>
      <c r="BY79" s="92" t="str">
        <f>IF(AND(BX77&lt;&gt;"",BY77&lt;&gt;""),(BX77+BY77)/2,"")</f>
        <v/>
      </c>
      <c r="BZ79" s="92" t="str">
        <f>IF(AND(BY77&lt;&gt;"",BZ77&lt;&gt;""),(BY77+BZ77)/2,"")</f>
        <v/>
      </c>
      <c r="CA79" s="92" t="str">
        <f>IF(AND(BX77&lt;&gt;"",CA77&lt;&gt;""),(BX77+CA77)/2,"")</f>
        <v/>
      </c>
      <c r="CB79" s="92" t="str">
        <f>IF(AND(CA77&lt;&gt;"",CB77&lt;&gt;""),(CA77+CB77)/2,"")</f>
        <v/>
      </c>
      <c r="CC79" s="92" t="str">
        <f>IF(AND(CB77&lt;&gt;"",CC77&lt;&gt;""),(CB77+CC77)/2,"")</f>
        <v/>
      </c>
      <c r="CD79" s="92" t="str">
        <f>IF(AND(CA77&lt;&gt;"",CD77&lt;&gt;""),(CA77+CD77)/2,"")</f>
        <v/>
      </c>
      <c r="CE79" s="92" t="str">
        <f>IF(AND(CD77&lt;&gt;"",CE77&lt;&gt;""),(CD77+CE77)/2,"")</f>
        <v/>
      </c>
      <c r="CF79" s="92" t="str">
        <f>IF(AND(CE77&lt;&gt;"",CF77&lt;&gt;""),(CE77+CF77)/2,"")</f>
        <v/>
      </c>
      <c r="CG79" s="92" t="str">
        <f>IF(AND(CD77&lt;&gt;"",CG77&lt;&gt;""),(CD77+CG77)/2,"")</f>
        <v/>
      </c>
      <c r="CH79" s="92" t="str">
        <f>IF(AND(CG77&lt;&gt;"",CH77&lt;&gt;""),(CG77+CH77)/2,"")</f>
        <v/>
      </c>
      <c r="CI79" s="92" t="str">
        <f>IF(AND(CH77&lt;&gt;"",CI77&lt;&gt;""),(CH77+CI77)/2,"")</f>
        <v/>
      </c>
      <c r="CJ79" s="92" t="str">
        <f>IF(AND(CG77&lt;&gt;"",CJ77&lt;&gt;""),(CG77+CJ77)/2,"")</f>
        <v/>
      </c>
      <c r="CK79" s="92" t="str">
        <f>IF(AND(CJ77&lt;&gt;"",CK77&lt;&gt;""),(CJ77+CK77)/2,"")</f>
        <v/>
      </c>
      <c r="CL79" s="92" t="str">
        <f>IF(AND(CK77&lt;&gt;"",CL77&lt;&gt;""),(CK77+CL77)/2,"")</f>
        <v/>
      </c>
      <c r="CM79" s="92" t="str">
        <f>IF(AND(CJ77&lt;&gt;"",CM77&lt;&gt;""),(CJ77+CM77)/2,"")</f>
        <v/>
      </c>
      <c r="CN79" s="92" t="str">
        <f>IF(AND(CM77&lt;&gt;"",CN77&lt;&gt;""),(CM77+CN77)/2,"")</f>
        <v/>
      </c>
      <c r="CO79" s="92" t="str">
        <f>IF(AND(CN77&lt;&gt;"",CO77&lt;&gt;""),(CN77+CO77)/2,"")</f>
        <v/>
      </c>
      <c r="CP79" s="92" t="str">
        <f>IF(AND(CM77&lt;&gt;"",CP77&lt;&gt;""),(CM77+CP77)/2,"")</f>
        <v/>
      </c>
      <c r="CQ79" s="92" t="str">
        <f>IF(AND(CP77&lt;&gt;"",CQ77&lt;&gt;""),(CP77+CQ77)/2,"")</f>
        <v/>
      </c>
      <c r="CR79" s="92" t="str">
        <f>IF(AND(CQ77&lt;&gt;"",CR77&lt;&gt;""),(CQ77+CR77)/2,"")</f>
        <v/>
      </c>
      <c r="CS79" s="92" t="str">
        <f>IF(AND(CP77&lt;&gt;"",CS77&lt;&gt;""),(CP77+CS77)/2,"")</f>
        <v/>
      </c>
      <c r="CT79" s="92" t="str">
        <f>IF(AND(CS77&lt;&gt;"",CT77&lt;&gt;""),(CS77+CT77)/2,"")</f>
        <v/>
      </c>
      <c r="CU79" s="92" t="str">
        <f>IF(AND(CT77&lt;&gt;"",CU77&lt;&gt;""),(CT77+CU77)/2,"")</f>
        <v/>
      </c>
      <c r="CV79" s="92" t="str">
        <f>IF(AND(CS77&lt;&gt;"",CV77&lt;&gt;""),(CS77+CV77)/2,"")</f>
        <v/>
      </c>
      <c r="CW79" s="92" t="str">
        <f>IF(AND(CV77&lt;&gt;"",CW77&lt;&gt;""),(CV77+CW77)/2,"")</f>
        <v/>
      </c>
      <c r="CX79" s="92" t="str">
        <f>IF(AND(CW77&lt;&gt;"",CX77&lt;&gt;""),(CW77+CX77)/2,"")</f>
        <v/>
      </c>
      <c r="CY79" s="92" t="str">
        <f>IF(AND(CV77&lt;&gt;"",CY77&lt;&gt;""),(CV77+CY77)/2,"")</f>
        <v/>
      </c>
      <c r="CZ79" s="92" t="str">
        <f>IF(AND(CY77&lt;&gt;"",CZ77&lt;&gt;""),(CY77+CZ77)/2,"")</f>
        <v/>
      </c>
      <c r="DA79" s="92" t="str">
        <f>IF(AND(CZ77&lt;&gt;"",DA77&lt;&gt;""),(CZ77+DA77)/2,"")</f>
        <v/>
      </c>
      <c r="DB79" s="92" t="str">
        <f>IF(AND(CY77&lt;&gt;"",DB77&lt;&gt;""),(CY77+DB77)/2,"")</f>
        <v/>
      </c>
      <c r="DC79" s="92" t="str">
        <f>IF(AND(DB77&lt;&gt;"",DC77&lt;&gt;""),(DB77+DC77)/2,"")</f>
        <v/>
      </c>
      <c r="DD79" s="92" t="str">
        <f>IF(AND(DC77&lt;&gt;"",DD77&lt;&gt;""),(DC77+DD77)/2,"")</f>
        <v/>
      </c>
      <c r="DE79" s="144" t="str">
        <f>IF(AND(DB77&lt;&gt;"",DE77&lt;&gt;""),(DB77+DE77)/2,"")</f>
        <v/>
      </c>
      <c r="DF79" s="92" t="str">
        <f>IF(AND(DE77&lt;&gt;"",DF77&lt;&gt;""),(DE77+DF77)/2,"")</f>
        <v/>
      </c>
      <c r="DG79" s="92" t="str">
        <f>IF(AND(DF77&lt;&gt;"",DG77&lt;&gt;""),(DF77+DG77)/2,"")</f>
        <v/>
      </c>
      <c r="DH79" s="144" t="str">
        <f>IF(AND(DE77&lt;&gt;"",DH77&lt;&gt;""),(DE77+DH77)/2,"")</f>
        <v/>
      </c>
      <c r="DI79" s="92" t="str">
        <f>IF(AND(DH77&lt;&gt;"",DI77&lt;&gt;""),(DH77+DI77)/2,"")</f>
        <v/>
      </c>
      <c r="DJ79" s="92" t="str">
        <f>IF(AND(DI77&lt;&gt;"",DJ77&lt;&gt;""),(DI77+DJ77)/2,"")</f>
        <v/>
      </c>
      <c r="DK79" s="144" t="str">
        <f>IF(AND(DH77&lt;&gt;"",DK77&lt;&gt;""),(DH77+DK77)/2,"")</f>
        <v/>
      </c>
      <c r="DL79" s="92" t="str">
        <f>IF(AND(DK77&lt;&gt;"",DL77&lt;&gt;""),(DK77+DL77)/2,"")</f>
        <v/>
      </c>
      <c r="DM79" s="92" t="str">
        <f>IF(AND(DL77&lt;&gt;"",DM77&lt;&gt;""),(DL77+DM77)/2,"")</f>
        <v/>
      </c>
      <c r="DN79" s="144" t="str">
        <f>IF(AND(DK77&lt;&gt;"",DN77&lt;&gt;""),(DK77+DN77)/2,"")</f>
        <v/>
      </c>
      <c r="DO79" s="92" t="str">
        <f>IF(AND(DN77&lt;&gt;"",DO77&lt;&gt;""),(DN77+DO77)/2,"")</f>
        <v/>
      </c>
      <c r="DP79" s="92" t="str">
        <f>IF(AND(DO77&lt;&gt;"",DP77&lt;&gt;""),(DO77+DP77)/2,"")</f>
        <v/>
      </c>
      <c r="DQ79" s="144" t="str">
        <f>IF(AND(DN77&lt;&gt;"",DQ77&lt;&gt;""),(DN77+DQ77)/2,"")</f>
        <v/>
      </c>
      <c r="DR79" s="92" t="str">
        <f>IF(AND(DQ77&lt;&gt;"",DR77&lt;&gt;""),(DQ77+DR77)/2,"")</f>
        <v/>
      </c>
      <c r="DS79" s="92" t="str">
        <f>IF(AND(DR77&lt;&gt;"",DS77&lt;&gt;""),(DR77+DS77)/2,"")</f>
        <v/>
      </c>
      <c r="DT79" s="144" t="str">
        <f>IF(AND(DQ77&lt;&gt;"",DT77&lt;&gt;""),(DQ77+DT77)/2,"")</f>
        <v/>
      </c>
      <c r="DU79" s="92" t="str">
        <f>IF(AND(DT77&lt;&gt;"",DU77&lt;&gt;""),(DT77+DU77)/2,"")</f>
        <v/>
      </c>
      <c r="DV79" s="92" t="str">
        <f>IF(AND(DU77&lt;&gt;"",DV77&lt;&gt;""),(DU77+DV77)/2,"")</f>
        <v/>
      </c>
      <c r="DW79" s="144" t="str">
        <f>IF(AND(DT77&lt;&gt;"",DW77&lt;&gt;""),(DT77+DW77)/2,"")</f>
        <v/>
      </c>
      <c r="DX79" s="92" t="str">
        <f>IF(AND(DW77&lt;&gt;"",DX77&lt;&gt;""),(DW77+DX77)/2,"")</f>
        <v/>
      </c>
      <c r="DY79" s="92" t="str">
        <f>IF(AND(DX77&lt;&gt;"",DY77&lt;&gt;""),(DX77+DY77)/2,"")</f>
        <v/>
      </c>
      <c r="DZ79" s="144" t="str">
        <f>IF(AND(DW77&lt;&gt;"",DZ77&lt;&gt;""),(DW77+DZ77)/2,"")</f>
        <v/>
      </c>
      <c r="EA79" s="92" t="str">
        <f>IF(AND(DZ77&lt;&gt;"",EA77&lt;&gt;""),(DZ77+EA77)/2,"")</f>
        <v/>
      </c>
      <c r="EB79" s="92" t="str">
        <f>IF(AND(EA77&lt;&gt;"",EB77&lt;&gt;""),(EA77+EB77)/2,"")</f>
        <v/>
      </c>
      <c r="EC79" s="144" t="str">
        <f>IF(AND(DZ77&lt;&gt;"",EC77&lt;&gt;""),(DZ77+EC77)/2,"")</f>
        <v/>
      </c>
      <c r="ED79" s="92" t="str">
        <f>IF(AND(EC77&lt;&gt;"",ED77&lt;&gt;""),(EC77+ED77)/2,"")</f>
        <v/>
      </c>
      <c r="EE79" s="92" t="str">
        <f>IF(AND(ED77&lt;&gt;"",EE77&lt;&gt;""),(ED77+EE77)/2,"")</f>
        <v/>
      </c>
      <c r="EF79" s="144" t="str">
        <f>IF(AND(EC77&lt;&gt;"",EF77&lt;&gt;""),(EC77+EF77)/2,"")</f>
        <v/>
      </c>
      <c r="EG79" s="92" t="str">
        <f>IF(AND(EF77&lt;&gt;"",EG77&lt;&gt;""),(EF77+EG77)/2,"")</f>
        <v/>
      </c>
      <c r="EH79" s="92" t="str">
        <f>IF(AND(EG77&lt;&gt;"",EH77&lt;&gt;""),(EG77+EH77)/2,"")</f>
        <v/>
      </c>
      <c r="EI79" s="144" t="str">
        <f>IF(AND(EF77&lt;&gt;"",EI77&lt;&gt;""),(EF77+EI77)/2,"")</f>
        <v/>
      </c>
      <c r="EJ79" s="92" t="str">
        <f>IF(AND(EI77&lt;&gt;"",EJ77&lt;&gt;""),(EI77+EJ77)/2,"")</f>
        <v/>
      </c>
      <c r="EK79" s="92" t="str">
        <f>IF(AND(EJ77&lt;&gt;"",EK77&lt;&gt;""),(EJ77+EK77)/2,"")</f>
        <v/>
      </c>
      <c r="EL79" s="144" t="str">
        <f>IF(AND(EI77&lt;&gt;"",EL77&lt;&gt;""),(EI77+EL77)/2,"")</f>
        <v/>
      </c>
      <c r="EM79" s="92" t="str">
        <f>IF(AND(EL77&lt;&gt;"",EM77&lt;&gt;""),(EL77+EM77)/2,"")</f>
        <v/>
      </c>
      <c r="EN79" s="92" t="str">
        <f>IF(AND(EM77&lt;&gt;"",EN77&lt;&gt;""),(EM77+EN77)/2,"")</f>
        <v/>
      </c>
      <c r="EO79" s="144" t="str">
        <f>IF(AND(EL77&lt;&gt;"",EO77&lt;&gt;""),(EL77+EO77)/2,"")</f>
        <v/>
      </c>
      <c r="EP79" s="92" t="str">
        <f>IF(AND(EO77&lt;&gt;"",EP77&lt;&gt;""),(EO77+EP77)/2,"")</f>
        <v/>
      </c>
      <c r="EQ79" s="92" t="str">
        <f>IF(AND(EP77&lt;&gt;"",EQ77&lt;&gt;""),(EP77+EQ77)/2,"")</f>
        <v/>
      </c>
      <c r="ER79" s="144" t="str">
        <f>IF(AND(EO77&lt;&gt;"",ER77&lt;&gt;""),(EO77+ER77)/2,"")</f>
        <v/>
      </c>
      <c r="ES79" s="92" t="str">
        <f>IF(AND(ER77&lt;&gt;"",ES77&lt;&gt;""),(ER77+ES77)/2,"")</f>
        <v/>
      </c>
      <c r="ET79" s="92" t="str">
        <f>IF(AND(ES77&lt;&gt;"",ET77&lt;&gt;""),(ES77+ET77)/2,"")</f>
        <v/>
      </c>
      <c r="EU79" s="144" t="str">
        <f>IF(AND(ER77&lt;&gt;"",EU77&lt;&gt;""),(ER77+EU77)/2,"")</f>
        <v/>
      </c>
      <c r="EV79" s="92" t="str">
        <f>IF(AND(EU77&lt;&gt;"",EV77&lt;&gt;""),(EU77+EV77)/2,"")</f>
        <v/>
      </c>
      <c r="EW79" s="92" t="str">
        <f>IF(AND(EV77&lt;&gt;"",EW77&lt;&gt;""),(EV77+EW77)/2,"")</f>
        <v/>
      </c>
      <c r="EX79" s="144" t="str">
        <f>IF(AND(EU77&lt;&gt;"",EX77&lt;&gt;""),(EU77+EX77)/2,"")</f>
        <v/>
      </c>
      <c r="EY79" s="92" t="str">
        <f>IF(AND(EX77&lt;&gt;"",EY77&lt;&gt;""),(EX77+EY77)/2,"")</f>
        <v/>
      </c>
      <c r="EZ79" s="92" t="str">
        <f>IF(AND(EY77&lt;&gt;"",EZ77&lt;&gt;""),(EY77+EZ77)/2,"")</f>
        <v/>
      </c>
      <c r="FA79" s="144" t="str">
        <f>IF(AND(EX77&lt;&gt;"",FA77&lt;&gt;""),(EX77+FA77)/2,"")</f>
        <v/>
      </c>
    </row>
    <row r="80" spans="1:157" ht="13.35" customHeight="1">
      <c r="A80" s="3"/>
      <c r="B80" s="4" t="s">
        <v>117</v>
      </c>
      <c r="C80" s="4"/>
      <c r="D80" s="4"/>
      <c r="E80" s="82"/>
      <c r="F80" s="8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c r="AV80" s="82"/>
      <c r="AW80" s="82"/>
      <c r="AX80" s="82"/>
      <c r="AY80" s="82"/>
      <c r="AZ80" s="82"/>
      <c r="BA80" s="102"/>
      <c r="BB80" s="102"/>
      <c r="BC80" s="102"/>
      <c r="BD80" s="102"/>
      <c r="BE80" s="102"/>
      <c r="BF80" s="102"/>
      <c r="BG80" s="102"/>
      <c r="BH80" s="102"/>
      <c r="BI80" s="102"/>
      <c r="BJ80" s="102"/>
      <c r="BK80" s="102"/>
      <c r="BL80" s="102"/>
      <c r="BM80" s="102"/>
      <c r="BN80" s="102"/>
      <c r="BO80" s="102"/>
      <c r="BP80" s="102"/>
      <c r="BQ80" s="102"/>
      <c r="BR80" s="102"/>
      <c r="BS80" s="102"/>
      <c r="BT80" s="102"/>
      <c r="BU80" s="102"/>
      <c r="BV80" s="102"/>
      <c r="BW80" s="102"/>
      <c r="BX80" s="102"/>
      <c r="BY80" s="102"/>
      <c r="BZ80" s="102"/>
      <c r="CA80" s="102"/>
      <c r="CB80" s="102"/>
      <c r="CC80" s="102"/>
      <c r="CD80" s="102"/>
      <c r="CE80" s="102"/>
      <c r="CF80" s="102"/>
      <c r="CG80" s="102"/>
      <c r="CH80" s="102"/>
      <c r="CI80" s="102"/>
      <c r="CJ80" s="102"/>
      <c r="CK80" s="102"/>
      <c r="CL80" s="102"/>
      <c r="CM80" s="102"/>
      <c r="CN80" s="102"/>
      <c r="CO80" s="102"/>
      <c r="CP80" s="102"/>
      <c r="CQ80" s="102"/>
      <c r="CR80" s="102"/>
      <c r="CS80" s="102"/>
      <c r="CT80" s="102"/>
      <c r="CU80" s="102"/>
      <c r="CV80" s="102"/>
      <c r="CW80" s="102"/>
      <c r="CX80" s="102"/>
      <c r="CY80" s="102"/>
      <c r="CZ80" s="102"/>
      <c r="DA80" s="102"/>
      <c r="DB80" s="102"/>
      <c r="DC80" s="102"/>
      <c r="DD80" s="102"/>
      <c r="DE80" s="146"/>
      <c r="DF80" s="102"/>
      <c r="DG80" s="102"/>
      <c r="DH80" s="146"/>
      <c r="DI80" s="102"/>
      <c r="DJ80" s="102"/>
      <c r="DK80" s="146"/>
      <c r="DL80" s="102"/>
      <c r="DM80" s="102"/>
      <c r="DN80" s="146"/>
      <c r="DO80" s="102"/>
      <c r="DP80" s="102"/>
      <c r="DQ80" s="146"/>
      <c r="DR80" s="102"/>
      <c r="DS80" s="102"/>
      <c r="DT80" s="146"/>
      <c r="DU80" s="102"/>
      <c r="DV80" s="102"/>
      <c r="DW80" s="146"/>
      <c r="DX80" s="102"/>
      <c r="DY80" s="102"/>
      <c r="DZ80" s="146"/>
      <c r="EA80" s="102"/>
      <c r="EB80" s="102"/>
      <c r="EC80" s="146"/>
      <c r="ED80" s="102"/>
      <c r="EE80" s="102"/>
      <c r="EF80" s="146"/>
      <c r="EG80" s="102"/>
      <c r="EH80" s="102"/>
      <c r="EI80" s="146"/>
      <c r="EJ80" s="102"/>
      <c r="EK80" s="102"/>
      <c r="EL80" s="146"/>
      <c r="EM80" s="102"/>
      <c r="EN80" s="102"/>
      <c r="EO80" s="146"/>
      <c r="EP80" s="102"/>
      <c r="EQ80" s="102"/>
      <c r="ER80" s="146"/>
      <c r="ES80" s="102"/>
      <c r="ET80" s="102"/>
      <c r="EU80" s="146"/>
      <c r="EV80" s="102"/>
      <c r="EW80" s="102"/>
      <c r="EX80" s="146"/>
      <c r="EY80" s="102"/>
      <c r="EZ80" s="102"/>
      <c r="FA80" s="146"/>
    </row>
    <row r="81" spans="1:157" ht="13.35" customHeight="1">
      <c r="A81" s="3"/>
      <c r="B81" s="4" t="s">
        <v>118</v>
      </c>
      <c r="C81" s="4"/>
      <c r="D81" s="4"/>
      <c r="E81" s="92" t="str">
        <f>IF(Model!E101&lt;&gt;"",Model!E101,"")</f>
        <v/>
      </c>
      <c r="F81" s="92" t="str">
        <f>IF(Model!G101&lt;&gt;"",Model!F101,"")</f>
        <v/>
      </c>
      <c r="G81" s="92" t="str">
        <f>IF(Model!G101&lt;&gt;"",Model!G101,"")</f>
        <v/>
      </c>
      <c r="H81" s="92" t="str">
        <f>IF(Model!H101&lt;&gt;"",Model!H101,"")</f>
        <v/>
      </c>
      <c r="I81" s="92" t="str">
        <f>IF(Model!J101&lt;&gt;"",Model!I101,"")</f>
        <v/>
      </c>
      <c r="J81" s="92" t="str">
        <f>IF(Model!J101&lt;&gt;"",Model!J101,"")</f>
        <v/>
      </c>
      <c r="K81" s="92" t="str">
        <f>IF(Model!K101&lt;&gt;"",Model!K101,"")</f>
        <v/>
      </c>
      <c r="L81" s="92" t="str">
        <f>IF(Model!M101&lt;&gt;"",Model!L101,"")</f>
        <v/>
      </c>
      <c r="M81" s="92" t="str">
        <f>IF(Model!M101&lt;&gt;"",Model!M101,"")</f>
        <v/>
      </c>
      <c r="N81" s="92" t="str">
        <f>IF(Model!N101&lt;&gt;"",Model!N101,"")</f>
        <v/>
      </c>
      <c r="O81" s="92" t="str">
        <f>IF(Model!P101&lt;&gt;"",Model!O101,"")</f>
        <v/>
      </c>
      <c r="P81" s="92" t="str">
        <f>IF(Model!P101&lt;&gt;"",Model!P101,"")</f>
        <v/>
      </c>
      <c r="Q81" s="92" t="str">
        <f>IF(Model!Q101&lt;&gt;"",Model!Q101,"")</f>
        <v/>
      </c>
      <c r="R81" s="92" t="str">
        <f>IF(Model!S101&lt;&gt;"",Model!R101,"")</f>
        <v/>
      </c>
      <c r="S81" s="92" t="str">
        <f>IF(Model!S101&lt;&gt;"",Model!S101,"")</f>
        <v/>
      </c>
      <c r="T81" s="92" t="str">
        <f>IF(Model!T101&lt;&gt;"",Model!T101,"")</f>
        <v/>
      </c>
      <c r="U81" s="92" t="str">
        <f>IF(Model!V101&lt;&gt;"",Model!U101,"")</f>
        <v/>
      </c>
      <c r="V81" s="92" t="str">
        <f>IF(Model!V101&lt;&gt;"",Model!V101,"")</f>
        <v/>
      </c>
      <c r="W81" s="92" t="str">
        <f>IF(Model!W101&lt;&gt;"",Model!W101,"")</f>
        <v/>
      </c>
      <c r="X81" s="92" t="str">
        <f>IF(Model!Y101&lt;&gt;"",Model!X101,"")</f>
        <v/>
      </c>
      <c r="Y81" s="92" t="str">
        <f>IF(Model!Y101&lt;&gt;"",Model!Y101,"")</f>
        <v/>
      </c>
      <c r="Z81" s="92" t="str">
        <f>IF(Model!Z101&lt;&gt;"",Model!Z101,"")</f>
        <v/>
      </c>
      <c r="AA81" s="92" t="str">
        <f>IF(Model!AB101&lt;&gt;"",Model!AA101,"")</f>
        <v/>
      </c>
      <c r="AB81" s="92" t="str">
        <f>IF(Model!AB101&lt;&gt;"",Model!AB101,"")</f>
        <v/>
      </c>
      <c r="AC81" s="92" t="str">
        <f>IF(Model!AC101&lt;&gt;"",Model!AC101,"")</f>
        <v/>
      </c>
      <c r="AD81" s="92" t="str">
        <f>IF(Model!AE101&lt;&gt;"",Model!AD101,"")</f>
        <v/>
      </c>
      <c r="AE81" s="92" t="str">
        <f>IF(Model!AE101&lt;&gt;"",Model!AE101,"")</f>
        <v/>
      </c>
      <c r="AF81" s="92" t="str">
        <f>IF(Model!AF101&lt;&gt;"",Model!AF101,"")</f>
        <v/>
      </c>
      <c r="AG81" s="92" t="str">
        <f>IF(Model!AH101&lt;&gt;"",Model!AG101,"")</f>
        <v/>
      </c>
      <c r="AH81" s="92" t="str">
        <f>IF(Model!AH101&lt;&gt;"",Model!AH101,"")</f>
        <v/>
      </c>
      <c r="AI81" s="92" t="str">
        <f>IF(Model!AI101&lt;&gt;"",Model!AI101,"")</f>
        <v/>
      </c>
      <c r="AJ81" s="92" t="str">
        <f>IF(Model!AK101&lt;&gt;"",Model!AJ101,"")</f>
        <v/>
      </c>
      <c r="AK81" s="92" t="str">
        <f>IF(Model!AK101&lt;&gt;"",Model!AK101,"")</f>
        <v/>
      </c>
      <c r="AL81" s="92" t="str">
        <f>IF(Model!AL101&lt;&gt;"",Model!AL101,"")</f>
        <v/>
      </c>
      <c r="AM81" s="92" t="str">
        <f>IF(Model!AN101&lt;&gt;"",Model!AM101,"")</f>
        <v/>
      </c>
      <c r="AN81" s="92" t="str">
        <f>IF(Model!AN101&lt;&gt;"",Model!AN101,"")</f>
        <v/>
      </c>
      <c r="AO81" s="92" t="str">
        <f>IF(Model!AO101&lt;&gt;"",Model!AO101,"")</f>
        <v/>
      </c>
      <c r="AP81" s="92" t="str">
        <f>IF(Model!AQ101&lt;&gt;"",Model!AP101,"")</f>
        <v/>
      </c>
      <c r="AQ81" s="92" t="str">
        <f>IF(Model!AQ101&lt;&gt;"",Model!AQ101,"")</f>
        <v/>
      </c>
      <c r="AR81" s="92" t="str">
        <f>IF(Model!AR101&lt;&gt;"",Model!AR101,"")</f>
        <v/>
      </c>
      <c r="AS81" s="92" t="str">
        <f>IF(Model!AT101&lt;&gt;"",Model!AS101,"")</f>
        <v/>
      </c>
      <c r="AT81" s="92" t="str">
        <f>IF(Model!AT101&lt;&gt;"",Model!AT101,"")</f>
        <v/>
      </c>
      <c r="AU81" s="92" t="str">
        <f>IF(Model!AU101&lt;&gt;"",Model!AU101,"")</f>
        <v/>
      </c>
      <c r="AV81" s="92" t="str">
        <f>IF(Model!AW101&lt;&gt;"",Model!AV101,"")</f>
        <v/>
      </c>
      <c r="AW81" s="92" t="str">
        <f>IF(Model!AW101&lt;&gt;"",Model!AW101,"")</f>
        <v/>
      </c>
      <c r="AX81" s="92" t="str">
        <f>IF(Model!AX101&lt;&gt;"",Model!AX101,"")</f>
        <v/>
      </c>
      <c r="AY81" s="92" t="str">
        <f>IF(Model!AZ101&lt;&gt;"",Model!AY101,"")</f>
        <v/>
      </c>
      <c r="AZ81" s="92" t="str">
        <f>IF(Model!AZ101&lt;&gt;"",Model!AZ101,"")</f>
        <v/>
      </c>
      <c r="BA81" s="92" t="str">
        <f>IF(AND(BA80&lt;&gt;"",BA78&lt;&gt;""),IF(((BA80/2)*BA78)&lt;BA77,(BA80/2)*BA78,BA77),"")</f>
        <v/>
      </c>
      <c r="BB81" s="92" t="str">
        <f>IF(BC81&lt;&gt;"",BC81-BA81,"")</f>
        <v/>
      </c>
      <c r="BC81" s="92" t="str">
        <f>IF(AND(BC80&lt;&gt;"",BC78&lt;&gt;""),IF((BC80*BC78)&lt;BC77,BC80*BC78,BC77),"")</f>
        <v/>
      </c>
      <c r="BD81" s="92" t="str">
        <f>IF(AND(BD80&lt;&gt;"",BD78&lt;&gt;""),IF(((BD80/2)*BD78)&lt;BD77,(BD80/2)*BD78,BD77),"")</f>
        <v/>
      </c>
      <c r="BE81" s="92" t="str">
        <f>IF(BF81&lt;&gt;"",BF81-BD81,"")</f>
        <v/>
      </c>
      <c r="BF81" s="92" t="str">
        <f>IF(AND(BF80&lt;&gt;"",BF78&lt;&gt;""),IF((BF80*BF78)&lt;BF77,BF80*BF78,BF77),"")</f>
        <v/>
      </c>
      <c r="BG81" s="92" t="str">
        <f>IF(AND(BG80&lt;&gt;"",BG78&lt;&gt;""),IF(((BG80/2)*BG78)&lt;BG77,(BG80/2)*BG78,BG77),"")</f>
        <v/>
      </c>
      <c r="BH81" s="92" t="str">
        <f>IF(BI81&lt;&gt;"",BI81-BG81,"")</f>
        <v/>
      </c>
      <c r="BI81" s="92" t="str">
        <f>IF(AND(BI80&lt;&gt;"",BI78&lt;&gt;""),IF((BI80*BI78)&lt;BI77,BI80*BI78,BI77),"")</f>
        <v/>
      </c>
      <c r="BJ81" s="92" t="str">
        <f>IF(AND(BJ80&lt;&gt;"",BJ78&lt;&gt;""),IF(((BJ80/2)*BJ78)&lt;BJ77,(BJ80/2)*BJ78,BJ77),"")</f>
        <v/>
      </c>
      <c r="BK81" s="92" t="str">
        <f>IF(BL81&lt;&gt;"",BL81-BJ81,"")</f>
        <v/>
      </c>
      <c r="BL81" s="92" t="str">
        <f>IF(AND(BL80&lt;&gt;"",BL78&lt;&gt;""),IF((BL80*BL78)&lt;BL77,BL80*BL78,BL77),"")</f>
        <v/>
      </c>
      <c r="BM81" s="92" t="str">
        <f>IF(AND(BM80&lt;&gt;"",BM78&lt;&gt;""),IF(((BM80/2)*BM78)&lt;BM77,(BM80/2)*BM78,BM77),"")</f>
        <v/>
      </c>
      <c r="BN81" s="92" t="str">
        <f>IF(BO81&lt;&gt;"",BO81-BM81,"")</f>
        <v/>
      </c>
      <c r="BO81" s="92" t="str">
        <f>IF(AND(BO80&lt;&gt;"",BO78&lt;&gt;""),IF((BO80*BO78)&lt;BO77,BO80*BO78,BO77),"")</f>
        <v/>
      </c>
      <c r="BP81" s="92" t="str">
        <f>IF(AND(BP80&lt;&gt;"",BP78&lt;&gt;""),IF(((BP80/2)*BP78)&lt;BP77,(BP80/2)*BP78,BP77),"")</f>
        <v/>
      </c>
      <c r="BQ81" s="92" t="str">
        <f>IF(BR81&lt;&gt;"",BR81-BP81,"")</f>
        <v/>
      </c>
      <c r="BR81" s="92" t="str">
        <f>IF(AND(BR80&lt;&gt;"",BR78&lt;&gt;""),IF((BR80*BR78)&lt;BR77,BR80*BR78,BR77),"")</f>
        <v/>
      </c>
      <c r="BS81" s="92" t="str">
        <f>IF(AND(BS80&lt;&gt;"",BS78&lt;&gt;""),IF(((BS80/2)*BS78)&lt;BS77,(BS80/2)*BS78,BS77),"")</f>
        <v/>
      </c>
      <c r="BT81" s="92" t="str">
        <f>IF(BU81&lt;&gt;"",BU81-BS81,"")</f>
        <v/>
      </c>
      <c r="BU81" s="92" t="str">
        <f>IF(AND(BU80&lt;&gt;"",BU78&lt;&gt;""),IF((BU80*BU78)&lt;BU77,BU80*BU78,BU77),"")</f>
        <v/>
      </c>
      <c r="BV81" s="92" t="str">
        <f>IF(AND(BV80&lt;&gt;"",BV78&lt;&gt;""),IF(((BV80/2)*BV78)&lt;BV77,(BV80/2)*BV78,BV77),"")</f>
        <v/>
      </c>
      <c r="BW81" s="92" t="str">
        <f>IF(BX81&lt;&gt;"",BX81-BV81,"")</f>
        <v/>
      </c>
      <c r="BX81" s="92" t="str">
        <f>IF(AND(BX80&lt;&gt;"",BX78&lt;&gt;""),IF((BX80*BX78)&lt;BX77,BX80*BX78,BX77),"")</f>
        <v/>
      </c>
      <c r="BY81" s="92" t="str">
        <f>IF(AND(BY80&lt;&gt;"",BY78&lt;&gt;""),IF(((BY80/2)*BY78)&lt;BY77,(BY80/2)*BY78,BY77),"")</f>
        <v/>
      </c>
      <c r="BZ81" s="92" t="str">
        <f>IF(CA81&lt;&gt;"",CA81-BY81,"")</f>
        <v/>
      </c>
      <c r="CA81" s="92" t="str">
        <f>IF(AND(CA80&lt;&gt;"",CA78&lt;&gt;""),IF((CA80*CA78)&lt;CA77,CA80*CA78,CA77),"")</f>
        <v/>
      </c>
      <c r="CB81" s="92" t="str">
        <f>IF(AND(CB80&lt;&gt;"",CB78&lt;&gt;""),IF(((CB80/2)*CB78)&lt;CB77,(CB80/2)*CB78,CB77),"")</f>
        <v/>
      </c>
      <c r="CC81" s="92" t="str">
        <f>IF(CD81&lt;&gt;"",CD81-CB81,"")</f>
        <v/>
      </c>
      <c r="CD81" s="92" t="str">
        <f>IF(AND(CD80&lt;&gt;"",CD78&lt;&gt;""),IF((CD80*CD78)&lt;CD77,CD80*CD78,CD77),"")</f>
        <v/>
      </c>
      <c r="CE81" s="92" t="str">
        <f>IF(AND(CE80&lt;&gt;"",CE78&lt;&gt;""),IF(((CE80/2)*CE78)&lt;CE77,(CE80/2)*CE78,CE77),"")</f>
        <v/>
      </c>
      <c r="CF81" s="92" t="str">
        <f>IF(CG81&lt;&gt;"",CG81-CE81,"")</f>
        <v/>
      </c>
      <c r="CG81" s="92" t="str">
        <f>IF(AND(CG80&lt;&gt;"",CG78&lt;&gt;""),IF((CG80*CG78)&lt;CG77,CG80*CG78,CG77),"")</f>
        <v/>
      </c>
      <c r="CH81" s="92" t="str">
        <f>IF(AND(CH80&lt;&gt;"",CH78&lt;&gt;""),IF(((CH80/2)*CH78)&lt;CH77,(CH80/2)*CH78,CH77),"")</f>
        <v/>
      </c>
      <c r="CI81" s="92" t="str">
        <f>IF(CJ81&lt;&gt;"",CJ81-CH81,"")</f>
        <v/>
      </c>
      <c r="CJ81" s="92" t="str">
        <f>IF(AND(CJ80&lt;&gt;"",CJ78&lt;&gt;""),IF((CJ80*CJ78)&lt;CJ77,CJ80*CJ78,CJ77),"")</f>
        <v/>
      </c>
      <c r="CK81" s="92" t="str">
        <f>IF(AND(CK80&lt;&gt;"",CK78&lt;&gt;""),IF(((CK80/2)*CK78)&lt;CK77,(CK80/2)*CK78,CK77),"")</f>
        <v/>
      </c>
      <c r="CL81" s="92" t="str">
        <f>IF(CM81&lt;&gt;"",CM81-CK81,"")</f>
        <v/>
      </c>
      <c r="CM81" s="92" t="str">
        <f>IF(AND(CM80&lt;&gt;"",CM78&lt;&gt;""),IF((CM80*CM78)&lt;CM77,CM80*CM78,CM77),"")</f>
        <v/>
      </c>
      <c r="CN81" s="92" t="str">
        <f>IF(AND(CN80&lt;&gt;"",CN78&lt;&gt;""),IF(((CN80/2)*CN78)&lt;CN77,(CN80/2)*CN78,CN77),"")</f>
        <v/>
      </c>
      <c r="CO81" s="92" t="str">
        <f>IF(CP81&lt;&gt;"",CP81-CN81,"")</f>
        <v/>
      </c>
      <c r="CP81" s="92" t="str">
        <f>IF(AND(CP80&lt;&gt;"",CP78&lt;&gt;""),IF((CP80*CP78)&lt;CP77,CP80*CP78,CP77),"")</f>
        <v/>
      </c>
      <c r="CQ81" s="92" t="str">
        <f>IF(AND(CQ80&lt;&gt;"",CQ78&lt;&gt;""),IF(((CQ80/2)*CQ78)&lt;CQ77,(CQ80/2)*CQ78,CQ77),"")</f>
        <v/>
      </c>
      <c r="CR81" s="92" t="str">
        <f>IF(CS81&lt;&gt;"",CS81-CQ81,"")</f>
        <v/>
      </c>
      <c r="CS81" s="92" t="str">
        <f>IF(AND(CS80&lt;&gt;"",CS78&lt;&gt;""),IF((CS80*CS78)&lt;CS77,CS80*CS78,CS77),"")</f>
        <v/>
      </c>
      <c r="CT81" s="92" t="str">
        <f>IF(AND(CT80&lt;&gt;"",CT78&lt;&gt;""),IF(((CT80/2)*CT78)&lt;CT77,(CT80/2)*CT78,CT77),"")</f>
        <v/>
      </c>
      <c r="CU81" s="92" t="str">
        <f>IF(CV81&lt;&gt;"",CV81-CT81,"")</f>
        <v/>
      </c>
      <c r="CV81" s="92" t="str">
        <f>IF(AND(CV80&lt;&gt;"",CV78&lt;&gt;""),IF((CV80*CV78)&lt;CV77,CV80*CV78,CV77),"")</f>
        <v/>
      </c>
      <c r="CW81" s="92" t="str">
        <f>IF(AND(CW80&lt;&gt;"",CW78&lt;&gt;""),IF(((CW80/2)*CW78)&lt;CW77,(CW80/2)*CW78,CW77),"")</f>
        <v/>
      </c>
      <c r="CX81" s="92" t="str">
        <f>IF(CY81&lt;&gt;"",CY81-CW81,"")</f>
        <v/>
      </c>
      <c r="CY81" s="92" t="str">
        <f>IF(AND(CY80&lt;&gt;"",CY78&lt;&gt;""),IF((CY80*CY78)&lt;CY77,CY80*CY78,CY77),"")</f>
        <v/>
      </c>
      <c r="CZ81" s="92" t="str">
        <f>IF(AND(CZ80&lt;&gt;"",CZ78&lt;&gt;""),IF(((CZ80/2)*CZ78)&lt;CZ77,(CZ80/2)*CZ78,CZ77),"")</f>
        <v/>
      </c>
      <c r="DA81" s="92" t="str">
        <f>IF(DB81&lt;&gt;"",DB81-CZ81,"")</f>
        <v/>
      </c>
      <c r="DB81" s="92" t="str">
        <f>IF(AND(DB80&lt;&gt;"",DB78&lt;&gt;""),IF((DB80*DB78)&lt;DB77,DB80*DB78,DB77),"")</f>
        <v/>
      </c>
      <c r="DC81" s="92" t="str">
        <f>IF(AND(DC80&lt;&gt;"",DC78&lt;&gt;""),IF(((DC80/2)*DC78)&lt;DC77,(DC80/2)*DC78,DC77),"")</f>
        <v/>
      </c>
      <c r="DD81" s="92" t="str">
        <f>IF(DE81&lt;&gt;"",DE81-DC81,"")</f>
        <v/>
      </c>
      <c r="DE81" s="144" t="str">
        <f>IF(AND(DE80&lt;&gt;"",DE78&lt;&gt;""),IF((DE80*DE78)&lt;DE77,DE80*DE78,DE77),"")</f>
        <v/>
      </c>
      <c r="DF81" s="92" t="str">
        <f>IF(AND(DF80&lt;&gt;"",DF78&lt;&gt;""),IF(((DF80/2)*DF78)&lt;DF77,(DF80/2)*DF78,DF77),"")</f>
        <v/>
      </c>
      <c r="DG81" s="92" t="str">
        <f>IF(DH81&lt;&gt;"",DH81-DF81,"")</f>
        <v/>
      </c>
      <c r="DH81" s="144" t="str">
        <f>IF(AND(DH80&lt;&gt;"",DH78&lt;&gt;""),IF((DH80*DH78)&lt;DH77,DH80*DH78,DH77),"")</f>
        <v/>
      </c>
      <c r="DI81" s="92" t="str">
        <f>IF(AND(DI80&lt;&gt;"",DI78&lt;&gt;""),IF(((DI80/2)*DI78)&lt;DI77,(DI80/2)*DI78,DI77),"")</f>
        <v/>
      </c>
      <c r="DJ81" s="92" t="str">
        <f>IF(DK81&lt;&gt;"",DK81-DI81,"")</f>
        <v/>
      </c>
      <c r="DK81" s="144" t="str">
        <f>IF(AND(DK80&lt;&gt;"",DK78&lt;&gt;""),IF((DK80*DK78)&lt;DK77,DK80*DK78,DK77),"")</f>
        <v/>
      </c>
      <c r="DL81" s="92" t="str">
        <f>IF(AND(DL80&lt;&gt;"",DL78&lt;&gt;""),IF(((DL80/2)*DL78)&lt;DL77,(DL80/2)*DL78,DL77),"")</f>
        <v/>
      </c>
      <c r="DM81" s="92" t="str">
        <f>IF(DN81&lt;&gt;"",DN81-DL81,"")</f>
        <v/>
      </c>
      <c r="DN81" s="144" t="str">
        <f>IF(AND(DN80&lt;&gt;"",DN78&lt;&gt;""),IF((DN80*DN78)&lt;DN77,DN80*DN78,DN77),"")</f>
        <v/>
      </c>
      <c r="DO81" s="92" t="str">
        <f>IF(AND(DO80&lt;&gt;"",DO78&lt;&gt;""),IF(((DO80/2)*DO78)&lt;DO77,(DO80/2)*DO78,DO77),"")</f>
        <v/>
      </c>
      <c r="DP81" s="92" t="str">
        <f>IF(DQ81&lt;&gt;"",DQ81-DO81,"")</f>
        <v/>
      </c>
      <c r="DQ81" s="144" t="str">
        <f>IF(AND(DQ80&lt;&gt;"",DQ78&lt;&gt;""),IF((DQ80*DQ78)&lt;DQ77,DQ80*DQ78,DQ77),"")</f>
        <v/>
      </c>
      <c r="DR81" s="92" t="str">
        <f>IF(AND(DR80&lt;&gt;"",DR78&lt;&gt;""),IF(((DR80/2)*DR78)&lt;DR77,(DR80/2)*DR78,DR77),"")</f>
        <v/>
      </c>
      <c r="DS81" s="92" t="str">
        <f>IF(DT81&lt;&gt;"",DT81-DR81,"")</f>
        <v/>
      </c>
      <c r="DT81" s="144" t="str">
        <f>IF(AND(DT80&lt;&gt;"",DT78&lt;&gt;""),IF((DT80*DT78)&lt;DT77,DT80*DT78,DT77),"")</f>
        <v/>
      </c>
      <c r="DU81" s="92" t="str">
        <f>IF(AND(DU80&lt;&gt;"",DU78&lt;&gt;""),IF(((DU80/2)*DU78)&lt;DU77,(DU80/2)*DU78,DU77),"")</f>
        <v/>
      </c>
      <c r="DV81" s="92" t="str">
        <f>IF(DW81&lt;&gt;"",DW81-DU81,"")</f>
        <v/>
      </c>
      <c r="DW81" s="144" t="str">
        <f>IF(AND(DW80&lt;&gt;"",DW78&lt;&gt;""),IF((DW80*DW78)&lt;DW77,DW80*DW78,DW77),"")</f>
        <v/>
      </c>
      <c r="DX81" s="92" t="str">
        <f>IF(AND(DX80&lt;&gt;"",DX78&lt;&gt;""),IF(((DX80/2)*DX78)&lt;DX77,(DX80/2)*DX78,DX77),"")</f>
        <v/>
      </c>
      <c r="DY81" s="92" t="str">
        <f>IF(DZ81&lt;&gt;"",DZ81-DX81,"")</f>
        <v/>
      </c>
      <c r="DZ81" s="144" t="str">
        <f>IF(AND(DZ80&lt;&gt;"",DZ78&lt;&gt;""),IF((DZ80*DZ78)&lt;DZ77,DZ80*DZ78,DZ77),"")</f>
        <v/>
      </c>
      <c r="EA81" s="92" t="str">
        <f>IF(AND(EA80&lt;&gt;"",EA78&lt;&gt;""),IF(((EA80/2)*EA78)&lt;EA77,(EA80/2)*EA78,EA77),"")</f>
        <v/>
      </c>
      <c r="EB81" s="92" t="str">
        <f>IF(EC81&lt;&gt;"",EC81-EA81,"")</f>
        <v/>
      </c>
      <c r="EC81" s="144" t="str">
        <f>IF(AND(EC80&lt;&gt;"",EC78&lt;&gt;""),IF((EC80*EC78)&lt;EC77,EC80*EC78,EC77),"")</f>
        <v/>
      </c>
      <c r="ED81" s="92" t="str">
        <f>IF(AND(ED80&lt;&gt;"",ED78&lt;&gt;""),IF(((ED80/2)*ED78)&lt;ED77,(ED80/2)*ED78,ED77),"")</f>
        <v/>
      </c>
      <c r="EE81" s="92" t="str">
        <f>IF(EF81&lt;&gt;"",EF81-ED81,"")</f>
        <v/>
      </c>
      <c r="EF81" s="144" t="str">
        <f>IF(AND(EF80&lt;&gt;"",EF78&lt;&gt;""),IF((EF80*EF78)&lt;EF77,EF80*EF78,EF77),"")</f>
        <v/>
      </c>
      <c r="EG81" s="92" t="str">
        <f>IF(AND(EG80&lt;&gt;"",EG78&lt;&gt;""),IF(((EG80/2)*EG78)&lt;EG77,(EG80/2)*EG78,EG77),"")</f>
        <v/>
      </c>
      <c r="EH81" s="92" t="str">
        <f>IF(EI81&lt;&gt;"",EI81-EG81,"")</f>
        <v/>
      </c>
      <c r="EI81" s="144" t="str">
        <f>IF(AND(EI80&lt;&gt;"",EI78&lt;&gt;""),IF((EI80*EI78)&lt;EI77,EI80*EI78,EI77),"")</f>
        <v/>
      </c>
      <c r="EJ81" s="92" t="str">
        <f>IF(AND(EJ80&lt;&gt;"",EJ78&lt;&gt;""),IF(((EJ80/2)*EJ78)&lt;EJ77,(EJ80/2)*EJ78,EJ77),"")</f>
        <v/>
      </c>
      <c r="EK81" s="92" t="str">
        <f>IF(EL81&lt;&gt;"",EL81-EJ81,"")</f>
        <v/>
      </c>
      <c r="EL81" s="144" t="str">
        <f>IF(AND(EL80&lt;&gt;"",EL78&lt;&gt;""),IF((EL80*EL78)&lt;EL77,EL80*EL78,EL77),"")</f>
        <v/>
      </c>
      <c r="EM81" s="92" t="str">
        <f>IF(AND(EM80&lt;&gt;"",EM78&lt;&gt;""),IF(((EM80/2)*EM78)&lt;EM77,(EM80/2)*EM78,EM77),"")</f>
        <v/>
      </c>
      <c r="EN81" s="92" t="str">
        <f>IF(EO81&lt;&gt;"",EO81-EM81,"")</f>
        <v/>
      </c>
      <c r="EO81" s="144" t="str">
        <f>IF(AND(EO80&lt;&gt;"",EO78&lt;&gt;""),IF((EO80*EO78)&lt;EO77,EO80*EO78,EO77),"")</f>
        <v/>
      </c>
      <c r="EP81" s="92" t="str">
        <f>IF(AND(EP80&lt;&gt;"",EP78&lt;&gt;""),IF(((EP80/2)*EP78)&lt;EP77,(EP80/2)*EP78,EP77),"")</f>
        <v/>
      </c>
      <c r="EQ81" s="92" t="str">
        <f>IF(ER81&lt;&gt;"",ER81-EP81,"")</f>
        <v/>
      </c>
      <c r="ER81" s="144" t="str">
        <f>IF(AND(ER80&lt;&gt;"",ER78&lt;&gt;""),IF((ER80*ER78)&lt;ER77,ER80*ER78,ER77),"")</f>
        <v/>
      </c>
      <c r="ES81" s="92" t="str">
        <f>IF(AND(ES80&lt;&gt;"",ES78&lt;&gt;""),IF(((ES80/2)*ES78)&lt;ES77,(ES80/2)*ES78,ES77),"")</f>
        <v/>
      </c>
      <c r="ET81" s="92" t="str">
        <f>IF(EU81&lt;&gt;"",EU81-ES81,"")</f>
        <v/>
      </c>
      <c r="EU81" s="144" t="str">
        <f>IF(AND(EU80&lt;&gt;"",EU78&lt;&gt;""),IF((EU80*EU78)&lt;EU77,EU80*EU78,EU77),"")</f>
        <v/>
      </c>
      <c r="EV81" s="92" t="str">
        <f>IF(AND(EV80&lt;&gt;"",EV78&lt;&gt;""),IF(((EV80/2)*EV78)&lt;EV77,(EV80/2)*EV78,EV77),"")</f>
        <v/>
      </c>
      <c r="EW81" s="92" t="str">
        <f>IF(EX81&lt;&gt;"",EX81-EV81,"")</f>
        <v/>
      </c>
      <c r="EX81" s="144" t="str">
        <f>IF(AND(EX80&lt;&gt;"",EX78&lt;&gt;""),IF((EX80*EX78)&lt;EX77,EX80*EX78,EX77),"")</f>
        <v/>
      </c>
      <c r="EY81" s="92" t="str">
        <f>IF(AND(EY80&lt;&gt;"",EY78&lt;&gt;""),IF(((EY80/2)*EY78)&lt;EY77,(EY80/2)*EY78,EY77),"")</f>
        <v/>
      </c>
      <c r="EZ81" s="92" t="str">
        <f>IF(FA81&lt;&gt;"",FA81-EY81,"")</f>
        <v/>
      </c>
      <c r="FA81" s="144" t="str">
        <f>IF(AND(FA80&lt;&gt;"",FA78&lt;&gt;""),IF((FA80*FA78)&lt;FA77,FA80*FA78,FA77),"")</f>
        <v/>
      </c>
    </row>
    <row r="82" spans="1:157" ht="13.35" customHeight="1">
      <c r="A82" s="3"/>
      <c r="B82" s="5" t="s">
        <v>119</v>
      </c>
      <c r="C82" s="5"/>
      <c r="D82" s="5"/>
      <c r="E82" s="92" t="str">
        <f>IF(Model!E67&lt;&gt;"",Model!E67,"")</f>
        <v/>
      </c>
      <c r="F82" s="92" t="str">
        <f>IF(AND(G82&lt;&gt;"",E82&lt;&gt;""),G82-E82,"")</f>
        <v/>
      </c>
      <c r="G82" s="92" t="str">
        <f>IF(Model!G67&lt;&gt;"",Model!G67,"")</f>
        <v/>
      </c>
      <c r="H82" s="92" t="str">
        <f>IF(Model!H67&lt;&gt;"",Model!H67,"")</f>
        <v/>
      </c>
      <c r="I82" s="92" t="str">
        <f>IF(AND(J82&lt;&gt;"",H82&lt;&gt;""),J82-H82,"")</f>
        <v/>
      </c>
      <c r="J82" s="92" t="str">
        <f>IF(Model!J67&lt;&gt;"",Model!J67,"")</f>
        <v/>
      </c>
      <c r="K82" s="92" t="str">
        <f>IF(Model!K67&lt;&gt;"",Model!K67,"")</f>
        <v/>
      </c>
      <c r="L82" s="92" t="str">
        <f>IF(AND(M82&lt;&gt;"",K82&lt;&gt;""),M82-K82,"")</f>
        <v/>
      </c>
      <c r="M82" s="92" t="str">
        <f>IF(Model!M67&lt;&gt;"",Model!M67,"")</f>
        <v/>
      </c>
      <c r="N82" s="92" t="str">
        <f>IF(Model!N67&lt;&gt;"",Model!N67,"")</f>
        <v/>
      </c>
      <c r="O82" s="92" t="str">
        <f>IF(AND(P82&lt;&gt;"",N82&lt;&gt;""),P82-N82,"")</f>
        <v/>
      </c>
      <c r="P82" s="92" t="str">
        <f>IF(Model!P67&lt;&gt;"",Model!P67,"")</f>
        <v/>
      </c>
      <c r="Q82" s="92" t="str">
        <f>IF(Model!Q67&lt;&gt;"",Model!Q67,"")</f>
        <v/>
      </c>
      <c r="R82" s="92" t="str">
        <f>IF(AND(S82&lt;&gt;"",Q82&lt;&gt;""),S82-Q82,"")</f>
        <v/>
      </c>
      <c r="S82" s="92" t="str">
        <f>IF(Model!S67&lt;&gt;"",Model!S67,"")</f>
        <v/>
      </c>
      <c r="T82" s="92" t="str">
        <f>IF(Model!T67&lt;&gt;"",Model!T67,"")</f>
        <v/>
      </c>
      <c r="U82" s="92" t="str">
        <f>IF(AND(V82&lt;&gt;"",T82&lt;&gt;""),V82-T82,"")</f>
        <v/>
      </c>
      <c r="V82" s="92" t="str">
        <f>IF(Model!V67&lt;&gt;"",Model!V67,"")</f>
        <v/>
      </c>
      <c r="W82" s="92" t="str">
        <f>IF(Model!W67&lt;&gt;"",Model!W67,"")</f>
        <v/>
      </c>
      <c r="X82" s="92" t="str">
        <f>IF(AND(Y82&lt;&gt;"",W82&lt;&gt;""),Y82-W82,"")</f>
        <v/>
      </c>
      <c r="Y82" s="92" t="str">
        <f>IF(Model!Y67&lt;&gt;"",Model!Y67,"")</f>
        <v/>
      </c>
      <c r="Z82" s="92" t="str">
        <f>IF(Model!Z67&lt;&gt;"",Model!Z67,"")</f>
        <v/>
      </c>
      <c r="AA82" s="92" t="str">
        <f>IF(AND(AB82&lt;&gt;"",Z82&lt;&gt;""),AB82-Z82,"")</f>
        <v/>
      </c>
      <c r="AB82" s="92" t="str">
        <f>IF(Model!AB67&lt;&gt;"",Model!AB67,"")</f>
        <v/>
      </c>
      <c r="AC82" s="92" t="str">
        <f>IF(Model!AC67&lt;&gt;"",Model!AC67,"")</f>
        <v/>
      </c>
      <c r="AD82" s="92" t="str">
        <f>IF(AND(AE82&lt;&gt;"",AC82&lt;&gt;""),AE82-AC82,"")</f>
        <v/>
      </c>
      <c r="AE82" s="92" t="str">
        <f>IF(Model!AE67&lt;&gt;"",Model!AE67,"")</f>
        <v/>
      </c>
      <c r="AF82" s="92" t="str">
        <f>IF(Model!AF67&lt;&gt;"",Model!AF67,"")</f>
        <v/>
      </c>
      <c r="AG82" s="92" t="str">
        <f>IF(AND(AH82&lt;&gt;"",AF82&lt;&gt;""),AH82-AF82,"")</f>
        <v/>
      </c>
      <c r="AH82" s="92" t="str">
        <f>IF(Model!AH67&lt;&gt;"",Model!AH67,"")</f>
        <v/>
      </c>
      <c r="AI82" s="92" t="str">
        <f>IF(Model!AI67&lt;&gt;"",Model!AI67,"")</f>
        <v/>
      </c>
      <c r="AJ82" s="92" t="str">
        <f>IF(AND(AK82&lt;&gt;"",AI82&lt;&gt;""),AK82-AI82,"")</f>
        <v/>
      </c>
      <c r="AK82" s="92" t="str">
        <f>IF(Model!AK67&lt;&gt;"",Model!AK67,"")</f>
        <v/>
      </c>
      <c r="AL82" s="92" t="str">
        <f>IF(Model!AL67&lt;&gt;"",Model!AL67,"")</f>
        <v/>
      </c>
      <c r="AM82" s="92" t="str">
        <f>IF(AND(AN82&lt;&gt;"",AL82&lt;&gt;""),AN82-AL82,"")</f>
        <v/>
      </c>
      <c r="AN82" s="92" t="str">
        <f>IF(Model!AN67&lt;&gt;"",Model!AN67,"")</f>
        <v/>
      </c>
      <c r="AO82" s="92" t="str">
        <f>IF(Model!AO67&lt;&gt;"",Model!AO67,"")</f>
        <v/>
      </c>
      <c r="AP82" s="92" t="str">
        <f>IF(AND(AQ82&lt;&gt;"",AO82&lt;&gt;""),AQ82-AO82,"")</f>
        <v/>
      </c>
      <c r="AQ82" s="92" t="str">
        <f>IF(Model!AQ67&lt;&gt;"",Model!AQ67,"")</f>
        <v/>
      </c>
      <c r="AR82" s="92" t="str">
        <f>IF(Model!AR67&lt;&gt;"",Model!AR67,"")</f>
        <v/>
      </c>
      <c r="AS82" s="92" t="str">
        <f>IF(AND(AT82&lt;&gt;"",AR82&lt;&gt;""),AT82-AR82,"")</f>
        <v/>
      </c>
      <c r="AT82" s="92">
        <f>IF(Model!AT67&lt;&gt;"",Model!AT67,"")</f>
        <v>0</v>
      </c>
      <c r="AU82" s="92">
        <f>IF(Model!AU67&lt;&gt;"",Model!AU67,"")</f>
        <v>0</v>
      </c>
      <c r="AV82" s="92">
        <f>IF(AND(AW82&lt;&gt;"",AU82&lt;&gt;""),AW82-AU82,"")</f>
        <v>0</v>
      </c>
      <c r="AW82" s="92">
        <f>IF(Model!AW67&lt;&gt;"",Model!AW67,"")</f>
        <v>0</v>
      </c>
      <c r="AX82" s="92">
        <f>IF(Model!AX67&lt;&gt;"",Model!AX67,"")</f>
        <v>0</v>
      </c>
      <c r="AY82" s="92">
        <f>IF(AND(AZ82&lt;&gt;"",AX82&lt;&gt;""),AZ82-AX82,"")</f>
        <v>0</v>
      </c>
      <c r="AZ82" s="92">
        <f>IF(Model!AZ67&lt;&gt;"",Model!AZ67,"")</f>
        <v>0</v>
      </c>
      <c r="BA82" s="96"/>
      <c r="BB82" s="92" t="str">
        <f>IF(AND(BC82&lt;&gt;"",BA82&lt;&gt;""),BC82-BA82,"")</f>
        <v/>
      </c>
      <c r="BC82" s="8"/>
      <c r="BD82" s="8"/>
      <c r="BE82" s="92" t="str">
        <f>IF(AND(BF82&lt;&gt;"",BD82&lt;&gt;""),BF82-BD82,"")</f>
        <v/>
      </c>
      <c r="BF82" s="8"/>
      <c r="BG82" s="8"/>
      <c r="BH82" s="92" t="str">
        <f>IF(AND(BI82&lt;&gt;"",BG82&lt;&gt;""),BI82-BG82,"")</f>
        <v/>
      </c>
      <c r="BI82" s="8"/>
      <c r="BJ82" s="8"/>
      <c r="BK82" s="92" t="str">
        <f>IF(AND(BL82&lt;&gt;"",BJ82&lt;&gt;""),BL82-BJ82,"")</f>
        <v/>
      </c>
      <c r="BL82" s="8"/>
      <c r="BM82" s="8"/>
      <c r="BN82" s="92" t="str">
        <f>IF(AND(BO82&lt;&gt;"",BM82&lt;&gt;""),BO82-BM82,"")</f>
        <v/>
      </c>
      <c r="BO82" s="8"/>
      <c r="BP82" s="8"/>
      <c r="BQ82" s="92" t="str">
        <f>IF(AND(BR82&lt;&gt;"",BP82&lt;&gt;""),BR82-BP82,"")</f>
        <v/>
      </c>
      <c r="BR82" s="8"/>
      <c r="BS82" s="8"/>
      <c r="BT82" s="92" t="str">
        <f>IF(AND(BU82&lt;&gt;"",BS82&lt;&gt;""),BU82-BS82,"")</f>
        <v/>
      </c>
      <c r="BU82" s="8"/>
      <c r="BV82" s="8"/>
      <c r="BW82" s="92" t="str">
        <f>IF(AND(BX82&lt;&gt;"",BV82&lt;&gt;""),BX82-BV82,"")</f>
        <v/>
      </c>
      <c r="BX82" s="8"/>
      <c r="BY82" s="8"/>
      <c r="BZ82" s="92" t="str">
        <f>IF(AND(CA82&lt;&gt;"",BY82&lt;&gt;""),CA82-BY82,"")</f>
        <v/>
      </c>
      <c r="CA82" s="8"/>
      <c r="CB82" s="8"/>
      <c r="CC82" s="92" t="str">
        <f>IF(AND(CD82&lt;&gt;"",CB82&lt;&gt;""),CD82-CB82,"")</f>
        <v/>
      </c>
      <c r="CD82" s="8"/>
      <c r="CE82" s="8"/>
      <c r="CF82" s="92" t="str">
        <f>IF(AND(CG82&lt;&gt;"",CE82&lt;&gt;""),CG82-CE82,"")</f>
        <v/>
      </c>
      <c r="CG82" s="8"/>
      <c r="CH82" s="8"/>
      <c r="CI82" s="92" t="str">
        <f>IF(AND(CJ82&lt;&gt;"",CH82&lt;&gt;""),CJ82-CH82,"")</f>
        <v/>
      </c>
      <c r="CJ82" s="8"/>
      <c r="CK82" s="8"/>
      <c r="CL82" s="92" t="str">
        <f>IF(AND(CM82&lt;&gt;"",CK82&lt;&gt;""),CM82-CK82,"")</f>
        <v/>
      </c>
      <c r="CM82" s="8"/>
      <c r="CN82" s="8"/>
      <c r="CO82" s="92" t="str">
        <f>IF(AND(CP82&lt;&gt;"",CN82&lt;&gt;""),CP82-CN82,"")</f>
        <v/>
      </c>
      <c r="CP82" s="8"/>
      <c r="CQ82" s="8"/>
      <c r="CR82" s="92" t="str">
        <f>IF(AND(CS82&lt;&gt;"",CQ82&lt;&gt;""),CS82-CQ82,"")</f>
        <v/>
      </c>
      <c r="CS82" s="8"/>
      <c r="CT82" s="8"/>
      <c r="CU82" s="92" t="str">
        <f>IF(AND(CV82&lt;&gt;"",CT82&lt;&gt;""),CV82-CT82,"")</f>
        <v/>
      </c>
      <c r="CV82" s="8"/>
      <c r="CW82" s="8"/>
      <c r="CX82" s="92" t="str">
        <f>IF(AND(CY82&lt;&gt;"",CW82&lt;&gt;""),CY82-CW82,"")</f>
        <v/>
      </c>
      <c r="CY82" s="8"/>
      <c r="CZ82" s="8"/>
      <c r="DA82" s="92" t="str">
        <f>IF(AND(DB82&lt;&gt;"",CZ82&lt;&gt;""),DB82-CZ82,"")</f>
        <v/>
      </c>
      <c r="DB82" s="8"/>
      <c r="DC82" s="8"/>
      <c r="DD82" s="92" t="str">
        <f>IF(AND(DE82&lt;&gt;"",DC82&lt;&gt;""),DE82-DC82,"")</f>
        <v/>
      </c>
      <c r="DE82" s="145"/>
      <c r="DF82" s="8"/>
      <c r="DG82" s="92" t="str">
        <f>IF(AND(DH82&lt;&gt;"",DF82&lt;&gt;""),DH82-DF82,"")</f>
        <v/>
      </c>
      <c r="DH82" s="145"/>
      <c r="DI82" s="8"/>
      <c r="DJ82" s="92" t="str">
        <f>IF(AND(DK82&lt;&gt;"",DI82&lt;&gt;""),DK82-DI82,"")</f>
        <v/>
      </c>
      <c r="DK82" s="145"/>
      <c r="DL82" s="8"/>
      <c r="DM82" s="92" t="str">
        <f>IF(AND(DN82&lt;&gt;"",DL82&lt;&gt;""),DN82-DL82,"")</f>
        <v/>
      </c>
      <c r="DN82" s="145"/>
      <c r="DO82" s="8"/>
      <c r="DP82" s="92" t="str">
        <f>IF(AND(DQ82&lt;&gt;"",DO82&lt;&gt;""),DQ82-DO82,"")</f>
        <v/>
      </c>
      <c r="DQ82" s="145"/>
      <c r="DR82" s="8"/>
      <c r="DS82" s="92" t="str">
        <f>IF(AND(DT82&lt;&gt;"",DR82&lt;&gt;""),DT82-DR82,"")</f>
        <v/>
      </c>
      <c r="DT82" s="145"/>
      <c r="DU82" s="8"/>
      <c r="DV82" s="92" t="str">
        <f>IF(AND(DW82&lt;&gt;"",DU82&lt;&gt;""),DW82-DU82,"")</f>
        <v/>
      </c>
      <c r="DW82" s="145"/>
      <c r="DX82" s="8"/>
      <c r="DY82" s="92" t="str">
        <f>IF(AND(DZ82&lt;&gt;"",DX82&lt;&gt;""),DZ82-DX82,"")</f>
        <v/>
      </c>
      <c r="DZ82" s="145"/>
      <c r="EA82" s="8"/>
      <c r="EB82" s="92" t="str">
        <f>IF(AND(EC82&lt;&gt;"",EA82&lt;&gt;""),EC82-EA82,"")</f>
        <v/>
      </c>
      <c r="EC82" s="145"/>
      <c r="ED82" s="8"/>
      <c r="EE82" s="92" t="str">
        <f>IF(AND(EF82&lt;&gt;"",ED82&lt;&gt;""),EF82-ED82,"")</f>
        <v/>
      </c>
      <c r="EF82" s="145"/>
      <c r="EG82" s="8"/>
      <c r="EH82" s="92" t="str">
        <f>IF(AND(EI82&lt;&gt;"",EG82&lt;&gt;""),EI82-EG82,"")</f>
        <v/>
      </c>
      <c r="EI82" s="145"/>
      <c r="EJ82" s="8"/>
      <c r="EK82" s="92" t="str">
        <f>IF(AND(EL82&lt;&gt;"",EJ82&lt;&gt;""),EL82-EJ82,"")</f>
        <v/>
      </c>
      <c r="EL82" s="145"/>
      <c r="EM82" s="8"/>
      <c r="EN82" s="92" t="str">
        <f>IF(AND(EO82&lt;&gt;"",EM82&lt;&gt;""),EO82-EM82,"")</f>
        <v/>
      </c>
      <c r="EO82" s="145"/>
      <c r="EP82" s="8"/>
      <c r="EQ82" s="92" t="str">
        <f>IF(AND(ER82&lt;&gt;"",EP82&lt;&gt;""),ER82-EP82,"")</f>
        <v/>
      </c>
      <c r="ER82" s="145"/>
      <c r="ES82" s="8"/>
      <c r="ET82" s="92" t="str">
        <f>IF(AND(EU82&lt;&gt;"",ES82&lt;&gt;""),EU82-ES82,"")</f>
        <v/>
      </c>
      <c r="EU82" s="145"/>
      <c r="EV82" s="8"/>
      <c r="EW82" s="92" t="str">
        <f>IF(AND(EX82&lt;&gt;"",EV82&lt;&gt;""),EX82-EV82,"")</f>
        <v/>
      </c>
      <c r="EX82" s="145"/>
      <c r="EY82" s="8"/>
      <c r="EZ82" s="92" t="str">
        <f>IF(AND(FA82&lt;&gt;"",EY82&lt;&gt;""),FA82-EY82,"")</f>
        <v/>
      </c>
      <c r="FA82" s="145"/>
    </row>
    <row r="83" spans="1:157" ht="13.35" customHeight="1">
      <c r="A83" s="3"/>
      <c r="B83" s="4" t="s">
        <v>24</v>
      </c>
      <c r="C83" s="4"/>
      <c r="D83" s="91"/>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c r="AO83" s="79"/>
      <c r="AP83" s="79"/>
      <c r="AQ83" s="79"/>
      <c r="AR83" s="79"/>
      <c r="AS83" s="79"/>
      <c r="AT83" s="79"/>
      <c r="AU83" s="79"/>
      <c r="AV83" s="79"/>
      <c r="AW83" s="79"/>
      <c r="AX83" s="79"/>
      <c r="AY83" s="79"/>
      <c r="AZ83" s="79"/>
      <c r="BA83" s="89"/>
      <c r="BB83" s="89"/>
      <c r="BC83" s="89"/>
      <c r="BD83" s="89"/>
      <c r="BE83" s="89"/>
      <c r="BF83" s="89"/>
      <c r="BG83" s="89"/>
      <c r="BH83" s="89"/>
      <c r="BI83" s="89"/>
      <c r="BJ83" s="89"/>
      <c r="BK83" s="89"/>
      <c r="BL83" s="89"/>
      <c r="BM83" s="89"/>
      <c r="BN83" s="89"/>
      <c r="BO83" s="89"/>
      <c r="BP83" s="89"/>
      <c r="BQ83" s="89"/>
      <c r="BR83" s="89"/>
      <c r="BS83" s="89"/>
      <c r="BT83" s="89"/>
      <c r="BU83" s="89"/>
      <c r="BV83" s="89"/>
      <c r="BW83" s="89"/>
      <c r="BX83" s="89"/>
      <c r="BY83" s="89"/>
      <c r="BZ83" s="89"/>
      <c r="CA83" s="89"/>
      <c r="CB83" s="89"/>
      <c r="CC83" s="89"/>
      <c r="CD83" s="89"/>
      <c r="CE83" s="89"/>
      <c r="CF83" s="89"/>
      <c r="CG83" s="89"/>
      <c r="CH83" s="89"/>
      <c r="CI83" s="89"/>
      <c r="CJ83" s="89"/>
      <c r="CK83" s="89"/>
      <c r="CL83" s="89"/>
      <c r="CM83" s="89"/>
      <c r="CN83" s="89"/>
      <c r="CO83" s="89"/>
      <c r="CP83" s="89"/>
      <c r="CQ83" s="89"/>
      <c r="CR83" s="89"/>
      <c r="CS83" s="89"/>
      <c r="CT83" s="89"/>
      <c r="CU83" s="89"/>
      <c r="CV83" s="89"/>
      <c r="CW83" s="89"/>
      <c r="CX83" s="89"/>
      <c r="CY83" s="89"/>
      <c r="CZ83" s="89"/>
      <c r="DA83" s="89"/>
      <c r="DB83" s="89"/>
      <c r="DC83" s="89"/>
      <c r="DD83" s="89"/>
      <c r="DE83" s="141"/>
      <c r="DF83" s="89"/>
      <c r="DG83" s="89"/>
      <c r="DH83" s="141"/>
      <c r="DI83" s="89"/>
      <c r="DJ83" s="89"/>
      <c r="DK83" s="141"/>
      <c r="DL83" s="89"/>
      <c r="DM83" s="89"/>
      <c r="DN83" s="141"/>
      <c r="DO83" s="89"/>
      <c r="DP83" s="89"/>
      <c r="DQ83" s="141"/>
      <c r="DR83" s="89"/>
      <c r="DS83" s="89"/>
      <c r="DT83" s="141"/>
      <c r="DU83" s="89"/>
      <c r="DV83" s="89"/>
      <c r="DW83" s="141"/>
      <c r="DX83" s="89"/>
      <c r="DY83" s="89"/>
      <c r="DZ83" s="141"/>
      <c r="EA83" s="89"/>
      <c r="EB83" s="89"/>
      <c r="EC83" s="141"/>
      <c r="ED83" s="89"/>
      <c r="EE83" s="89"/>
      <c r="EF83" s="141"/>
      <c r="EG83" s="89"/>
      <c r="EH83" s="89"/>
      <c r="EI83" s="141"/>
      <c r="EJ83" s="89"/>
      <c r="EK83" s="89"/>
      <c r="EL83" s="141"/>
      <c r="EM83" s="89"/>
      <c r="EN83" s="89"/>
      <c r="EO83" s="141"/>
      <c r="EP83" s="89"/>
      <c r="EQ83" s="89"/>
      <c r="ER83" s="141"/>
      <c r="ES83" s="89"/>
      <c r="ET83" s="89"/>
      <c r="EU83" s="141"/>
      <c r="EV83" s="89"/>
      <c r="EW83" s="89"/>
      <c r="EX83" s="141"/>
      <c r="EY83" s="89"/>
      <c r="EZ83" s="89"/>
      <c r="FA83" s="141"/>
    </row>
    <row r="84" spans="1:157" ht="13.35" customHeight="1" outlineLevel="1">
      <c r="A84" s="3"/>
      <c r="B84" s="4" t="s">
        <v>204</v>
      </c>
      <c r="C84" s="4"/>
      <c r="D84" s="4"/>
      <c r="E84" s="92"/>
      <c r="F84" s="92" t="str">
        <f>IF(G84&lt;&gt;"",G84,"")</f>
        <v/>
      </c>
      <c r="G84" s="93"/>
      <c r="H84" s="93"/>
      <c r="I84" s="92" t="str">
        <f>IF(J84&lt;&gt;"",J84,"")</f>
        <v/>
      </c>
      <c r="J84" s="93"/>
      <c r="K84" s="93"/>
      <c r="L84" s="92" t="str">
        <f>IF(M84&lt;&gt;"",M84,"")</f>
        <v/>
      </c>
      <c r="M84" s="93"/>
      <c r="N84" s="93"/>
      <c r="O84" s="92" t="str">
        <f>IF(P84&lt;&gt;"",P84,"")</f>
        <v/>
      </c>
      <c r="P84" s="93"/>
      <c r="Q84" s="93"/>
      <c r="R84" s="92" t="str">
        <f>IF(S84&lt;&gt;"",S84,"")</f>
        <v/>
      </c>
      <c r="S84" s="93"/>
      <c r="T84" s="93"/>
      <c r="U84" s="92" t="str">
        <f>IF(V84&lt;&gt;"",V84,"")</f>
        <v/>
      </c>
      <c r="V84" s="93"/>
      <c r="W84" s="93"/>
      <c r="X84" s="92" t="str">
        <f>IF(Y84&lt;&gt;"",Y84,"")</f>
        <v/>
      </c>
      <c r="Y84" s="93"/>
      <c r="Z84" s="93"/>
      <c r="AA84" s="92" t="str">
        <f>IF(AB84&lt;&gt;"",AB84,"")</f>
        <v/>
      </c>
      <c r="AB84" s="93"/>
      <c r="AC84" s="93"/>
      <c r="AD84" s="92" t="str">
        <f>IF(AE84&lt;&gt;"",AE84,"")</f>
        <v/>
      </c>
      <c r="AE84" s="93"/>
      <c r="AF84" s="93"/>
      <c r="AG84" s="92" t="str">
        <f>IF(AH84&lt;&gt;"",AH84,"")</f>
        <v/>
      </c>
      <c r="AH84" s="93"/>
      <c r="AI84" s="93"/>
      <c r="AJ84" s="92" t="str">
        <f>IF(AK84&lt;&gt;"",AK84,"")</f>
        <v/>
      </c>
      <c r="AK84" s="93"/>
      <c r="AL84" s="93"/>
      <c r="AM84" s="92" t="str">
        <f>IF(AN84&lt;&gt;"",AN84,"")</f>
        <v/>
      </c>
      <c r="AN84" s="93"/>
      <c r="AO84" s="93"/>
      <c r="AP84" s="93"/>
      <c r="AQ84" s="93"/>
      <c r="AR84" s="93"/>
      <c r="AS84" s="93"/>
      <c r="AT84" s="93"/>
      <c r="AU84" s="93"/>
      <c r="AV84" s="93"/>
      <c r="AW84" s="93"/>
      <c r="AX84" s="93"/>
      <c r="AY84" s="93"/>
      <c r="AZ84" s="93"/>
      <c r="BA84" s="93"/>
      <c r="BB84" s="92" t="str">
        <f>IF(BC84&lt;&gt;"",BC84,"")</f>
        <v/>
      </c>
      <c r="BC84" s="93"/>
      <c r="BD84" s="93"/>
      <c r="BE84" s="92" t="str">
        <f>IF(BF84&lt;&gt;"",BF84,"")</f>
        <v/>
      </c>
      <c r="BF84" s="93"/>
      <c r="BG84" s="93"/>
      <c r="BH84" s="92" t="str">
        <f>IF(BI84&lt;&gt;"",BI84,"")</f>
        <v/>
      </c>
      <c r="BI84" s="93"/>
      <c r="BJ84" s="93"/>
      <c r="BK84" s="92" t="str">
        <f>IF(BL84&lt;&gt;"",BL84,"")</f>
        <v/>
      </c>
      <c r="BL84" s="93"/>
      <c r="BM84" s="93"/>
      <c r="BN84" s="92" t="str">
        <f>IF(BO84&lt;&gt;"",BO84,"")</f>
        <v/>
      </c>
      <c r="BO84" s="93"/>
      <c r="BP84" s="93"/>
      <c r="BQ84" s="92" t="str">
        <f>IF(BR84&lt;&gt;"",BR84,"")</f>
        <v/>
      </c>
      <c r="BR84" s="93"/>
      <c r="BS84" s="93"/>
      <c r="BT84" s="92" t="str">
        <f>IF(BU84&lt;&gt;"",BU84,"")</f>
        <v/>
      </c>
      <c r="BU84" s="93"/>
      <c r="BV84" s="93"/>
      <c r="BW84" s="92" t="str">
        <f>IF(BX84&lt;&gt;"",BX84,"")</f>
        <v/>
      </c>
      <c r="BX84" s="93"/>
      <c r="BY84" s="93"/>
      <c r="BZ84" s="92" t="str">
        <f>IF(CA84&lt;&gt;"",CA84,"")</f>
        <v/>
      </c>
      <c r="CA84" s="93"/>
      <c r="CB84" s="93"/>
      <c r="CC84" s="92" t="str">
        <f>IF(CD84&lt;&gt;"",CD84,"")</f>
        <v/>
      </c>
      <c r="CD84" s="93"/>
      <c r="CE84" s="93"/>
      <c r="CF84" s="92" t="str">
        <f>IF(CG84&lt;&gt;"",CG84,"")</f>
        <v/>
      </c>
      <c r="CG84" s="93"/>
      <c r="CH84" s="93"/>
      <c r="CI84" s="92" t="str">
        <f>IF(CJ84&lt;&gt;"",CJ84,"")</f>
        <v/>
      </c>
      <c r="CJ84" s="93"/>
      <c r="CK84" s="93"/>
      <c r="CL84" s="92" t="str">
        <f>IF(CM84&lt;&gt;"",CM84,"")</f>
        <v/>
      </c>
      <c r="CM84" s="93"/>
      <c r="CN84" s="93"/>
      <c r="CO84" s="92" t="str">
        <f>IF(CP84&lt;&gt;"",CP84,"")</f>
        <v/>
      </c>
      <c r="CP84" s="93"/>
      <c r="CQ84" s="93"/>
      <c r="CR84" s="92" t="str">
        <f>IF(CS84&lt;&gt;"",CS84,"")</f>
        <v/>
      </c>
      <c r="CS84" s="93"/>
      <c r="CT84" s="93"/>
      <c r="CU84" s="92" t="str">
        <f>IF(CV84&lt;&gt;"",CV84,"")</f>
        <v/>
      </c>
      <c r="CV84" s="93"/>
      <c r="CW84" s="93"/>
      <c r="CX84" s="92" t="str">
        <f>IF(CY84&lt;&gt;"",CY84,"")</f>
        <v/>
      </c>
      <c r="CY84" s="93"/>
      <c r="CZ84" s="93"/>
      <c r="DA84" s="92" t="str">
        <f>IF(DB84&lt;&gt;"",DB84,"")</f>
        <v/>
      </c>
      <c r="DB84" s="93"/>
      <c r="DC84" s="93"/>
      <c r="DD84" s="92" t="str">
        <f>IF(DE84&lt;&gt;"",DE84,"")</f>
        <v/>
      </c>
      <c r="DE84" s="144"/>
      <c r="DF84" s="93"/>
      <c r="DG84" s="92" t="str">
        <f>IF(DH84&lt;&gt;"",DH84,"")</f>
        <v/>
      </c>
      <c r="DH84" s="144"/>
      <c r="DI84" s="93"/>
      <c r="DJ84" s="92" t="str">
        <f>IF(DK84&lt;&gt;"",DK84,"")</f>
        <v/>
      </c>
      <c r="DK84" s="144"/>
      <c r="DL84" s="93"/>
      <c r="DM84" s="92" t="str">
        <f>IF(DN84&lt;&gt;"",DN84,"")</f>
        <v/>
      </c>
      <c r="DN84" s="144"/>
      <c r="DO84" s="93"/>
      <c r="DP84" s="92" t="str">
        <f>IF(DQ84&lt;&gt;"",DQ84,"")</f>
        <v/>
      </c>
      <c r="DQ84" s="144"/>
      <c r="DR84" s="93"/>
      <c r="DS84" s="92" t="str">
        <f>IF(DT84&lt;&gt;"",DT84,"")</f>
        <v/>
      </c>
      <c r="DT84" s="144"/>
      <c r="DU84" s="93"/>
      <c r="DV84" s="92" t="str">
        <f>IF(DW84&lt;&gt;"",DW84,"")</f>
        <v/>
      </c>
      <c r="DW84" s="144"/>
      <c r="DX84" s="93"/>
      <c r="DY84" s="92" t="str">
        <f>IF(DZ84&lt;&gt;"",DZ84,"")</f>
        <v/>
      </c>
      <c r="DZ84" s="144"/>
      <c r="EA84" s="93"/>
      <c r="EB84" s="92" t="str">
        <f>IF(EC84&lt;&gt;"",EC84,"")</f>
        <v/>
      </c>
      <c r="EC84" s="144"/>
      <c r="ED84" s="93"/>
      <c r="EE84" s="92" t="str">
        <f>IF(EF84&lt;&gt;"",EF84,"")</f>
        <v/>
      </c>
      <c r="EF84" s="144"/>
      <c r="EG84" s="93"/>
      <c r="EH84" s="92" t="str">
        <f>IF(EI84&lt;&gt;"",EI84,"")</f>
        <v/>
      </c>
      <c r="EI84" s="144"/>
      <c r="EJ84" s="93"/>
      <c r="EK84" s="92" t="str">
        <f>IF(EL84&lt;&gt;"",EL84,"")</f>
        <v/>
      </c>
      <c r="EL84" s="144"/>
      <c r="EM84" s="93"/>
      <c r="EN84" s="92" t="str">
        <f>IF(EO84&lt;&gt;"",EO84,"")</f>
        <v/>
      </c>
      <c r="EO84" s="144"/>
      <c r="EP84" s="93"/>
      <c r="EQ84" s="92" t="str">
        <f>IF(ER84&lt;&gt;"",ER84,"")</f>
        <v/>
      </c>
      <c r="ER84" s="144"/>
      <c r="ES84" s="93"/>
      <c r="ET84" s="92" t="str">
        <f>IF(EU84&lt;&gt;"",EU84,"")</f>
        <v/>
      </c>
      <c r="EU84" s="144"/>
      <c r="EV84" s="93"/>
      <c r="EW84" s="92" t="str">
        <f>IF(EX84&lt;&gt;"",EX84,"")</f>
        <v/>
      </c>
      <c r="EX84" s="144"/>
      <c r="EY84" s="93"/>
      <c r="EZ84" s="92" t="str">
        <f>IF(FA84&lt;&gt;"",FA84,"")</f>
        <v/>
      </c>
      <c r="FA84" s="144"/>
    </row>
    <row r="85" spans="1:157" ht="13.35" customHeight="1" outlineLevel="1">
      <c r="A85" s="3"/>
      <c r="B85" s="4" t="s">
        <v>205</v>
      </c>
      <c r="C85" s="4"/>
      <c r="D85" s="4"/>
      <c r="E85" s="92"/>
      <c r="F85" s="92" t="str">
        <f>IF(G85&lt;&gt;"",G85,"")</f>
        <v/>
      </c>
      <c r="G85" s="93"/>
      <c r="H85" s="93"/>
      <c r="I85" s="92" t="str">
        <f>IF(J85&lt;&gt;"",J85,"")</f>
        <v/>
      </c>
      <c r="J85" s="93"/>
      <c r="K85" s="93"/>
      <c r="L85" s="92" t="str">
        <f>IF(M85&lt;&gt;"",M85,"")</f>
        <v/>
      </c>
      <c r="M85" s="93"/>
      <c r="N85" s="93"/>
      <c r="O85" s="92" t="str">
        <f>IF(P85&lt;&gt;"",P85,"")</f>
        <v/>
      </c>
      <c r="P85" s="93"/>
      <c r="Q85" s="93"/>
      <c r="R85" s="92" t="str">
        <f>IF(S85&lt;&gt;"",S85,"")</f>
        <v/>
      </c>
      <c r="S85" s="93"/>
      <c r="T85" s="93"/>
      <c r="U85" s="92" t="str">
        <f>IF(V85&lt;&gt;"",V85,"")</f>
        <v/>
      </c>
      <c r="V85" s="93"/>
      <c r="W85" s="93"/>
      <c r="X85" s="92" t="str">
        <f>IF(Y85&lt;&gt;"",Y85,"")</f>
        <v/>
      </c>
      <c r="Y85" s="93"/>
      <c r="Z85" s="93"/>
      <c r="AA85" s="92" t="str">
        <f>IF(AB85&lt;&gt;"",AB85,"")</f>
        <v/>
      </c>
      <c r="AB85" s="93"/>
      <c r="AC85" s="93"/>
      <c r="AD85" s="92" t="str">
        <f>IF(AE85&lt;&gt;"",AE85,"")</f>
        <v/>
      </c>
      <c r="AE85" s="93"/>
      <c r="AF85" s="93"/>
      <c r="AG85" s="92" t="str">
        <f>IF(AH85&lt;&gt;"",AH85,"")</f>
        <v/>
      </c>
      <c r="AH85" s="93"/>
      <c r="AI85" s="93"/>
      <c r="AJ85" s="92" t="str">
        <f>IF(AK85&lt;&gt;"",AK85,"")</f>
        <v/>
      </c>
      <c r="AK85" s="93"/>
      <c r="AL85" s="93"/>
      <c r="AM85" s="92" t="str">
        <f>IF(AN85&lt;&gt;"",AN85,"")</f>
        <v/>
      </c>
      <c r="AN85" s="93"/>
      <c r="AO85" s="93"/>
      <c r="AP85" s="92" t="str">
        <f>IF(AQ85&lt;&gt;"",AQ85,"")</f>
        <v/>
      </c>
      <c r="AQ85" s="93"/>
      <c r="AR85" s="93"/>
      <c r="AS85" s="92" t="str">
        <f>IF(AT85&lt;&gt;"",AT85,"")</f>
        <v/>
      </c>
      <c r="AT85" s="93"/>
      <c r="AU85" s="93"/>
      <c r="AV85" s="92" t="str">
        <f>IF(AW85&lt;&gt;"",AW85,"")</f>
        <v/>
      </c>
      <c r="AW85" s="93"/>
      <c r="AX85" s="93"/>
      <c r="AY85" s="92" t="str">
        <f>IF(AZ85&lt;&gt;"",AZ85,"")</f>
        <v/>
      </c>
      <c r="AZ85" s="93"/>
      <c r="BA85" s="93"/>
      <c r="BB85" s="92" t="str">
        <f>IF(BC85&lt;&gt;"",BC85,"")</f>
        <v/>
      </c>
      <c r="BC85" s="93"/>
      <c r="BD85" s="93"/>
      <c r="BE85" s="92" t="str">
        <f>IF(BF85&lt;&gt;"",BF85,"")</f>
        <v/>
      </c>
      <c r="BF85" s="93"/>
      <c r="BG85" s="93"/>
      <c r="BH85" s="92" t="str">
        <f>IF(BI85&lt;&gt;"",BI85,"")</f>
        <v/>
      </c>
      <c r="BI85" s="93"/>
      <c r="BJ85" s="93"/>
      <c r="BK85" s="92" t="str">
        <f>IF(BL85&lt;&gt;"",BL85,"")</f>
        <v/>
      </c>
      <c r="BL85" s="93"/>
      <c r="BM85" s="93"/>
      <c r="BN85" s="92" t="str">
        <f>IF(BO85&lt;&gt;"",BO85,"")</f>
        <v/>
      </c>
      <c r="BO85" s="93"/>
      <c r="BP85" s="93"/>
      <c r="BQ85" s="92" t="str">
        <f>IF(BR85&lt;&gt;"",BR85,"")</f>
        <v/>
      </c>
      <c r="BR85" s="93"/>
      <c r="BS85" s="93"/>
      <c r="BT85" s="92" t="str">
        <f>IF(BU85&lt;&gt;"",BU85,"")</f>
        <v/>
      </c>
      <c r="BU85" s="93"/>
      <c r="BV85" s="93"/>
      <c r="BW85" s="92" t="str">
        <f>IF(BX85&lt;&gt;"",BX85,"")</f>
        <v/>
      </c>
      <c r="BX85" s="93"/>
      <c r="BY85" s="93"/>
      <c r="BZ85" s="92" t="str">
        <f>IF(CA85&lt;&gt;"",CA85,"")</f>
        <v/>
      </c>
      <c r="CA85" s="93"/>
      <c r="CB85" s="93"/>
      <c r="CC85" s="92" t="str">
        <f>IF(CD85&lt;&gt;"",CD85,"")</f>
        <v/>
      </c>
      <c r="CD85" s="93"/>
      <c r="CE85" s="93"/>
      <c r="CF85" s="92" t="str">
        <f>IF(CG85&lt;&gt;"",CG85,"")</f>
        <v/>
      </c>
      <c r="CG85" s="93"/>
      <c r="CH85" s="93"/>
      <c r="CI85" s="92" t="str">
        <f>IF(CJ85&lt;&gt;"",CJ85,"")</f>
        <v/>
      </c>
      <c r="CJ85" s="93"/>
      <c r="CK85" s="93"/>
      <c r="CL85" s="92" t="str">
        <f>IF(CM85&lt;&gt;"",CM85,"")</f>
        <v/>
      </c>
      <c r="CM85" s="93"/>
      <c r="CN85" s="93"/>
      <c r="CO85" s="92" t="str">
        <f>IF(CP85&lt;&gt;"",CP85,"")</f>
        <v/>
      </c>
      <c r="CP85" s="93"/>
      <c r="CQ85" s="93"/>
      <c r="CR85" s="92" t="str">
        <f>IF(CS85&lt;&gt;"",CS85,"")</f>
        <v/>
      </c>
      <c r="CS85" s="93"/>
      <c r="CT85" s="93"/>
      <c r="CU85" s="92" t="str">
        <f>IF(CV85&lt;&gt;"",CV85,"")</f>
        <v/>
      </c>
      <c r="CV85" s="93"/>
      <c r="CW85" s="93"/>
      <c r="CX85" s="92" t="str">
        <f>IF(CY85&lt;&gt;"",CY85,"")</f>
        <v/>
      </c>
      <c r="CY85" s="93"/>
      <c r="CZ85" s="93"/>
      <c r="DA85" s="92" t="str">
        <f>IF(DB85&lt;&gt;"",DB85,"")</f>
        <v/>
      </c>
      <c r="DB85" s="93"/>
      <c r="DC85" s="93"/>
      <c r="DD85" s="92" t="str">
        <f>IF(DE85&lt;&gt;"",DE85,"")</f>
        <v/>
      </c>
      <c r="DE85" s="144"/>
      <c r="DF85" s="93"/>
      <c r="DG85" s="92" t="str">
        <f>IF(DH85&lt;&gt;"",DH85,"")</f>
        <v/>
      </c>
      <c r="DH85" s="144"/>
      <c r="DI85" s="93"/>
      <c r="DJ85" s="92" t="str">
        <f>IF(DK85&lt;&gt;"",DK85,"")</f>
        <v/>
      </c>
      <c r="DK85" s="144"/>
      <c r="DL85" s="93"/>
      <c r="DM85" s="92" t="str">
        <f>IF(DN85&lt;&gt;"",DN85,"")</f>
        <v/>
      </c>
      <c r="DN85" s="144"/>
      <c r="DO85" s="93"/>
      <c r="DP85" s="92" t="str">
        <f>IF(DQ85&lt;&gt;"",DQ85,"")</f>
        <v/>
      </c>
      <c r="DQ85" s="144"/>
      <c r="DR85" s="93"/>
      <c r="DS85" s="92" t="str">
        <f>IF(DT85&lt;&gt;"",DT85,"")</f>
        <v/>
      </c>
      <c r="DT85" s="144"/>
      <c r="DU85" s="93"/>
      <c r="DV85" s="92" t="str">
        <f>IF(DW85&lt;&gt;"",DW85,"")</f>
        <v/>
      </c>
      <c r="DW85" s="144"/>
      <c r="DX85" s="93"/>
      <c r="DY85" s="92" t="str">
        <f>IF(DZ85&lt;&gt;"",DZ85,"")</f>
        <v/>
      </c>
      <c r="DZ85" s="144"/>
      <c r="EA85" s="93"/>
      <c r="EB85" s="92" t="str">
        <f>IF(EC85&lt;&gt;"",EC85,"")</f>
        <v/>
      </c>
      <c r="EC85" s="144"/>
      <c r="ED85" s="93"/>
      <c r="EE85" s="92" t="str">
        <f>IF(EF85&lt;&gt;"",EF85,"")</f>
        <v/>
      </c>
      <c r="EF85" s="144"/>
      <c r="EG85" s="93"/>
      <c r="EH85" s="92" t="str">
        <f>IF(EI85&lt;&gt;"",EI85,"")</f>
        <v/>
      </c>
      <c r="EI85" s="144"/>
      <c r="EJ85" s="93"/>
      <c r="EK85" s="92" t="str">
        <f>IF(EL85&lt;&gt;"",EL85,"")</f>
        <v/>
      </c>
      <c r="EL85" s="144"/>
      <c r="EM85" s="93"/>
      <c r="EN85" s="92" t="str">
        <f>IF(EO85&lt;&gt;"",EO85,"")</f>
        <v/>
      </c>
      <c r="EO85" s="144"/>
      <c r="EP85" s="93"/>
      <c r="EQ85" s="92" t="str">
        <f>IF(ER85&lt;&gt;"",ER85,"")</f>
        <v/>
      </c>
      <c r="ER85" s="144"/>
      <c r="ES85" s="93"/>
      <c r="ET85" s="92" t="str">
        <f>IF(EU85&lt;&gt;"",EU85,"")</f>
        <v/>
      </c>
      <c r="EU85" s="144"/>
      <c r="EV85" s="93"/>
      <c r="EW85" s="92" t="str">
        <f>IF(EX85&lt;&gt;"",EX85,"")</f>
        <v/>
      </c>
      <c r="EX85" s="144"/>
      <c r="EY85" s="93"/>
      <c r="EZ85" s="92" t="str">
        <f>IF(FA85&lt;&gt;"",FA85,"")</f>
        <v/>
      </c>
      <c r="FA85" s="144"/>
    </row>
    <row r="86" spans="1:157" ht="13.35" customHeight="1" outlineLevel="1">
      <c r="A86" s="3"/>
      <c r="B86" s="4" t="s">
        <v>130</v>
      </c>
      <c r="C86" s="4"/>
      <c r="D86" s="91"/>
      <c r="E86" s="94">
        <f>IF(Model!E293&lt;&gt;"",Model!E293,"")</f>
        <v>0</v>
      </c>
      <c r="F86" s="94">
        <f>IF(Model!G293&lt;&gt;"",Model!F293,"")</f>
        <v>0</v>
      </c>
      <c r="G86" s="94">
        <f>IF(Model!G293&lt;&gt;"",Model!G293,"")</f>
        <v>0</v>
      </c>
      <c r="H86" s="94">
        <f>IF(Model!H293&lt;&gt;"",Model!H293,"")</f>
        <v>0</v>
      </c>
      <c r="I86" s="94">
        <f>IF(Model!J293&lt;&gt;"",Model!I293,"")</f>
        <v>0</v>
      </c>
      <c r="J86" s="94">
        <f>IF(Model!J293&lt;&gt;"",Model!J293,"")</f>
        <v>0</v>
      </c>
      <c r="K86" s="94">
        <f>IF(Model!K293&lt;&gt;"",Model!K293,"")</f>
        <v>0</v>
      </c>
      <c r="L86" s="94">
        <f>IF(Model!M293&lt;&gt;"",Model!L293,"")</f>
        <v>0</v>
      </c>
      <c r="M86" s="94">
        <f>IF(Model!M293&lt;&gt;"",Model!M293,"")</f>
        <v>0</v>
      </c>
      <c r="N86" s="94">
        <f>IF(Model!N293&lt;&gt;"",Model!N293,"")</f>
        <v>0</v>
      </c>
      <c r="O86" s="94">
        <f>IF(Model!P293&lt;&gt;"",Model!O293,"")</f>
        <v>0</v>
      </c>
      <c r="P86" s="94">
        <f>IF(Model!P293&lt;&gt;"",Model!P293,"")</f>
        <v>0</v>
      </c>
      <c r="Q86" s="94">
        <f>IF(Model!Q293&lt;&gt;"",Model!Q293,"")</f>
        <v>0</v>
      </c>
      <c r="R86" s="94">
        <f>IF(Model!S293&lt;&gt;"",Model!R293,"")</f>
        <v>0</v>
      </c>
      <c r="S86" s="94">
        <f>IF(Model!S293&lt;&gt;"",Model!S293,"")</f>
        <v>0</v>
      </c>
      <c r="T86" s="94">
        <f>IF(Model!T293&lt;&gt;"",Model!T293,"")</f>
        <v>0</v>
      </c>
      <c r="U86" s="94">
        <f>IF(Model!V293&lt;&gt;"",Model!U293,"")</f>
        <v>0</v>
      </c>
      <c r="V86" s="94">
        <f>IF(Model!V293&lt;&gt;"",Model!V293,"")</f>
        <v>0</v>
      </c>
      <c r="W86" s="94">
        <f>IF(Model!W293&lt;&gt;"",Model!W293,"")</f>
        <v>0</v>
      </c>
      <c r="X86" s="94">
        <f>IF(Model!Y293&lt;&gt;"",Model!X293,"")</f>
        <v>0</v>
      </c>
      <c r="Y86" s="94">
        <f>IF(Model!Y293&lt;&gt;"",Model!Y293,"")</f>
        <v>0</v>
      </c>
      <c r="Z86" s="94">
        <f>IF(Model!Z293&lt;&gt;"",Model!Z293,"")</f>
        <v>0</v>
      </c>
      <c r="AA86" s="94">
        <f>IF(Model!AB293&lt;&gt;"",Model!AA293,"")</f>
        <v>0</v>
      </c>
      <c r="AB86" s="94">
        <f>IF(Model!AB293&lt;&gt;"",Model!AB293,"")</f>
        <v>0</v>
      </c>
      <c r="AC86" s="94">
        <f>IF(Model!AC293&lt;&gt;"",Model!AC293,"")</f>
        <v>0</v>
      </c>
      <c r="AD86" s="94">
        <f>IF(Model!AE293&lt;&gt;"",Model!AD293,"")</f>
        <v>0</v>
      </c>
      <c r="AE86" s="94">
        <f>IF(Model!AE293&lt;&gt;"",Model!AE293,"")</f>
        <v>0</v>
      </c>
      <c r="AF86" s="94">
        <f>IF(Model!AF293&lt;&gt;"",Model!AF293,"")</f>
        <v>0</v>
      </c>
      <c r="AG86" s="94">
        <f>IF(Model!AH293&lt;&gt;"",Model!AG293,"")</f>
        <v>0</v>
      </c>
      <c r="AH86" s="94">
        <f>IF(Model!AH293&lt;&gt;"",Model!AH293,"")</f>
        <v>0</v>
      </c>
      <c r="AI86" s="94">
        <f>IF(Model!AI293&lt;&gt;"",Model!AI293,"")</f>
        <v>0</v>
      </c>
      <c r="AJ86" s="94">
        <f>IF(Model!AK293&lt;&gt;"",Model!AJ293,"")</f>
        <v>0</v>
      </c>
      <c r="AK86" s="94">
        <f>IF(Model!AK293&lt;&gt;"",Model!AK293,"")</f>
        <v>0</v>
      </c>
      <c r="AL86" s="94">
        <f>IF(Model!AL293&lt;&gt;"",Model!AL293,"")</f>
        <v>0</v>
      </c>
      <c r="AM86" s="94">
        <f>IF(Model!AN293&lt;&gt;"",Model!AM293,"")</f>
        <v>0</v>
      </c>
      <c r="AN86" s="94">
        <f>IF(Model!AN293&lt;&gt;"",Model!AN293,"")</f>
        <v>0</v>
      </c>
      <c r="AO86" s="94">
        <f>IF(Model!AO293&lt;&gt;"",Model!AO293,"")</f>
        <v>0</v>
      </c>
      <c r="AP86" s="94">
        <f>IF(Model!AQ293&lt;&gt;"",Model!AP293,"")</f>
        <v>0</v>
      </c>
      <c r="AQ86" s="94">
        <f>IF(Model!AQ293&lt;&gt;"",Model!AQ293,"")</f>
        <v>0</v>
      </c>
      <c r="AR86" s="94">
        <f>IF(Model!AR293&lt;&gt;"",Model!AR293,"")</f>
        <v>0</v>
      </c>
      <c r="AS86" s="94">
        <f>IF(Model!AT293&lt;&gt;"",Model!AS293,"")</f>
        <v>0</v>
      </c>
      <c r="AT86" s="94">
        <f>IF(Model!AT293&lt;&gt;"",Model!AT293,"")</f>
        <v>0</v>
      </c>
      <c r="AU86" s="94">
        <f>IF(Model!AU293&lt;&gt;"",Model!AU293,"")</f>
        <v>0</v>
      </c>
      <c r="AV86" s="94">
        <f>IF(Model!AW293&lt;&gt;"",Model!AV293,"")</f>
        <v>0</v>
      </c>
      <c r="AW86" s="94">
        <f>IF(Model!AW293&lt;&gt;"",Model!AW293,"")</f>
        <v>0</v>
      </c>
      <c r="AX86" s="94">
        <f>IF(Model!AX293&lt;&gt;"",Model!AX293,"")</f>
        <v>0</v>
      </c>
      <c r="AY86" s="94">
        <f>IF(Model!AZ293&lt;&gt;"",Model!AY293,"")</f>
        <v>0</v>
      </c>
      <c r="AZ86" s="94">
        <f>IF(Model!AZ293&lt;&gt;"",Model!AZ293,"")</f>
        <v>0</v>
      </c>
      <c r="BA86" s="94">
        <f>IF(Model!BA293&lt;&gt;"",Model!BA293,"")</f>
        <v>0</v>
      </c>
      <c r="BB86" s="94">
        <f>IF(Model!BC293&lt;&gt;"",Model!BB293,"")</f>
        <v>0</v>
      </c>
      <c r="BC86" s="94">
        <f>IF(Model!BC293&lt;&gt;"",Model!BC293,"")</f>
        <v>0</v>
      </c>
      <c r="BD86" s="94">
        <f>IF(Model!BD293&lt;&gt;"",Model!BD293,"")</f>
        <v>0</v>
      </c>
      <c r="BE86" s="94">
        <f>IF(Model!BF293&lt;&gt;"",Model!BE293,"")</f>
        <v>0</v>
      </c>
      <c r="BF86" s="94">
        <f>IF(Model!BF293&lt;&gt;"",Model!BF293,"")</f>
        <v>0</v>
      </c>
      <c r="BG86" s="94">
        <f>IF(Model!BG293&lt;&gt;"",Model!BG293,"")</f>
        <v>0</v>
      </c>
      <c r="BH86" s="94">
        <f>IF(Model!BI293&lt;&gt;"",Model!BH293,"")</f>
        <v>0</v>
      </c>
      <c r="BI86" s="94">
        <f>IF(Model!BI293&lt;&gt;"",Model!BI293,"")</f>
        <v>0</v>
      </c>
      <c r="BJ86" s="94">
        <f>IF(Model!BJ293&lt;&gt;"",Model!BJ293,"")</f>
        <v>0</v>
      </c>
      <c r="BK86" s="94">
        <f>IF(Model!BL293&lt;&gt;"",Model!BK293,"")</f>
        <v>0</v>
      </c>
      <c r="BL86" s="94">
        <f>IF(Model!BL293&lt;&gt;"",Model!BL293,"")</f>
        <v>0</v>
      </c>
      <c r="BM86" s="94">
        <f>IF(Model!BM293&lt;&gt;"",Model!BM293,"")</f>
        <v>0</v>
      </c>
      <c r="BN86" s="94">
        <f>IF(Model!BO293&lt;&gt;"",Model!BN293,"")</f>
        <v>0</v>
      </c>
      <c r="BO86" s="94">
        <f>IF(Model!BO293&lt;&gt;"",Model!BO293,"")</f>
        <v>0</v>
      </c>
      <c r="BP86" s="94">
        <f>IF(Model!BP293&lt;&gt;"",Model!BP293,"")</f>
        <v>0</v>
      </c>
      <c r="BQ86" s="94">
        <f>IF(Model!BR293&lt;&gt;"",Model!BQ293,"")</f>
        <v>0</v>
      </c>
      <c r="BR86" s="94">
        <f>IF(Model!BR293&lt;&gt;"",Model!BR293,"")</f>
        <v>0</v>
      </c>
      <c r="BS86" s="94">
        <f>IF(Model!BS293&lt;&gt;"",Model!BS293,"")</f>
        <v>0</v>
      </c>
      <c r="BT86" s="94">
        <f>IF(Model!BU293&lt;&gt;"",Model!BT293,"")</f>
        <v>0</v>
      </c>
      <c r="BU86" s="94">
        <f>IF(Model!BU293&lt;&gt;"",Model!BU293,"")</f>
        <v>0</v>
      </c>
      <c r="BV86" s="94">
        <f>IF(Model!BV293&lt;&gt;"",Model!BV293,"")</f>
        <v>0</v>
      </c>
      <c r="BW86" s="94">
        <f>IF(Model!BX293&lt;&gt;"",Model!BW293,"")</f>
        <v>219</v>
      </c>
      <c r="BX86" s="94">
        <f>IF(Model!BX293&lt;&gt;"",Model!BX293,"")</f>
        <v>219</v>
      </c>
      <c r="BY86" s="94">
        <f>IF(Model!BY293&lt;&gt;"",Model!BY293,"")</f>
        <v>0</v>
      </c>
      <c r="BZ86" s="94">
        <f>IF(Model!CA293&lt;&gt;"",Model!BZ293,"")</f>
        <v>238</v>
      </c>
      <c r="CA86" s="94">
        <f>IF(Model!CA293&lt;&gt;"",Model!CA293,"")</f>
        <v>238</v>
      </c>
      <c r="CB86" s="94">
        <f>IF(Model!CB293&lt;&gt;"",Model!CB293,"")</f>
        <v>0</v>
      </c>
      <c r="CC86" s="94">
        <f>IF(Model!CD293&lt;&gt;"",Model!CC293,"")</f>
        <v>232</v>
      </c>
      <c r="CD86" s="94">
        <f>IF(Model!CD293&lt;&gt;"",Model!CD293,"")</f>
        <v>232</v>
      </c>
      <c r="CE86" s="94">
        <f>IF(Model!CE293&lt;&gt;"",Model!CE293,"")</f>
        <v>0</v>
      </c>
      <c r="CF86" s="94">
        <f>IF(Model!CG293&lt;&gt;"",Model!CF293,"")</f>
        <v>305</v>
      </c>
      <c r="CG86" s="94">
        <f>IF(Model!CG293&lt;&gt;"",Model!CG293,"")</f>
        <v>305</v>
      </c>
      <c r="CH86" s="94">
        <f>IF(Model!CH293&lt;&gt;"",Model!CH293,"")</f>
        <v>139.32499999999999</v>
      </c>
      <c r="CI86" s="94">
        <f>IF(Model!CJ293&lt;&gt;"",Model!CI293,"")</f>
        <v>334.1</v>
      </c>
      <c r="CJ86" s="94">
        <f>IF(Model!CJ293&lt;&gt;"",Model!CJ293,"")</f>
        <v>334.1</v>
      </c>
      <c r="CK86" s="94">
        <f>IF(Model!CK293&lt;&gt;"",Model!CK293,"")</f>
        <v>365.7</v>
      </c>
      <c r="CL86" s="94">
        <f>IF(Model!CM293&lt;&gt;"",Model!CL293,"")</f>
        <v>365.7</v>
      </c>
      <c r="CM86" s="94">
        <f>IF(Model!CM293&lt;&gt;"",Model!CM293,"")</f>
        <v>365.7</v>
      </c>
      <c r="CN86" s="94">
        <f>IF(Model!CN293&lt;&gt;"",Model!CN293,"")</f>
        <v>370.3</v>
      </c>
      <c r="CO86" s="94">
        <f>IF(Model!CP293&lt;&gt;"",Model!CO293,"")</f>
        <v>366.3</v>
      </c>
      <c r="CP86" s="94">
        <f>IF(Model!CP293&lt;&gt;"",Model!CP293,"")</f>
        <v>366.3</v>
      </c>
      <c r="CQ86" s="94">
        <f>IF(Model!CQ293&lt;&gt;"",Model!CQ293,"")</f>
        <v>399.6</v>
      </c>
      <c r="CR86" s="94">
        <f>IF(Model!CS293&lt;&gt;"",Model!CR293,"")</f>
        <v>423.09999999999997</v>
      </c>
      <c r="CS86" s="94">
        <f>IF(Model!CS293&lt;&gt;"",Model!CS293,"")</f>
        <v>423.09999999999997</v>
      </c>
      <c r="CT86" s="94">
        <f>IF(Model!CT293&lt;&gt;"",Model!CT293,"")</f>
        <v>422.5</v>
      </c>
      <c r="CU86" s="94">
        <f>IF(Model!CV293&lt;&gt;"",Model!CU293,"")</f>
        <v>521.30000000000007</v>
      </c>
      <c r="CV86" s="94">
        <f>IF(Model!CV293&lt;&gt;"",Model!CV293,"")</f>
        <v>521.30000000000007</v>
      </c>
      <c r="CW86" s="94">
        <f>IF(Model!CW293&lt;&gt;"",Model!CW293,"")</f>
        <v>447.4</v>
      </c>
      <c r="CX86" s="94">
        <f>IF(Model!CY293&lt;&gt;"",Model!CX293,"")</f>
        <v>462.3</v>
      </c>
      <c r="CY86" s="94">
        <f>IF(Model!CY293&lt;&gt;"",Model!CY293,"")</f>
        <v>462.3</v>
      </c>
      <c r="CZ86" s="94">
        <f>IF(Model!CZ293&lt;&gt;"",Model!CZ293,"")</f>
        <v>463.5</v>
      </c>
      <c r="DA86" s="94">
        <f>IF(Model!DB293&lt;&gt;"",Model!DA293,"")</f>
        <v>492.7</v>
      </c>
      <c r="DB86" s="94">
        <f>IF(Model!DB293&lt;&gt;"",Model!DB293,"")</f>
        <v>492.7</v>
      </c>
      <c r="DC86" s="94">
        <f>IF(Model!DC293&lt;&gt;"",Model!DC293,"")</f>
        <v>563.79999999999995</v>
      </c>
      <c r="DD86" s="94">
        <f>IF(Model!DE293&lt;&gt;"",Model!DD293,"")</f>
        <v>546.20000000000005</v>
      </c>
      <c r="DE86" s="143">
        <f>IF(Model!DE293&lt;&gt;"",Model!DE293,"")</f>
        <v>546.20000000000005</v>
      </c>
      <c r="DF86" s="94">
        <f>IF(Model!DF293&lt;&gt;"",Model!DF293,"")</f>
        <v>582.35</v>
      </c>
      <c r="DG86" s="94">
        <f>IF(Model!DH293&lt;&gt;"",Model!DG293,"")</f>
        <v>1005.1</v>
      </c>
      <c r="DH86" s="143">
        <f>IF(Model!DH293&lt;&gt;"",Model!DH293,"")</f>
        <v>1005.1</v>
      </c>
      <c r="DI86" s="94">
        <f>IF(Model!DI293&lt;&gt;"",Model!DI293,"")</f>
        <v>1187.3999999999999</v>
      </c>
      <c r="DJ86" s="94">
        <f>IF(Model!DK293&lt;&gt;"",Model!DJ293,"")</f>
        <v>1338.9</v>
      </c>
      <c r="DK86" s="143">
        <f>IF(Model!DK293&lt;&gt;"",Model!DK293,"")</f>
        <v>1338.9</v>
      </c>
      <c r="DL86" s="94">
        <f>IF(Model!DL293&lt;&gt;"",Model!DL293,"")</f>
        <v>1685.4</v>
      </c>
      <c r="DM86" s="94">
        <f>IF(Model!DN293&lt;&gt;"",Model!DM293,"")</f>
        <v>1496.5</v>
      </c>
      <c r="DN86" s="143">
        <f>IF(Model!DN293&lt;&gt;"",Model!DN293,"")</f>
        <v>1496.5</v>
      </c>
      <c r="DO86" s="94">
        <f>IF(Model!DO293&lt;&gt;"",Model!DO293,"")</f>
        <v>2334.5</v>
      </c>
      <c r="DP86" s="94">
        <f>IF(Model!DQ293&lt;&gt;"",Model!DP293,"")</f>
        <v>2628</v>
      </c>
      <c r="DQ86" s="143">
        <f>IF(Model!DQ293&lt;&gt;"",Model!DQ293,"")</f>
        <v>2628</v>
      </c>
      <c r="DR86" s="94">
        <f>IF(Model!DR293&lt;&gt;"",Model!DR293,"")</f>
        <v>2737</v>
      </c>
      <c r="DS86" s="94">
        <f>IF(Model!DT293&lt;&gt;"",Model!DS293,"")</f>
        <v>2432</v>
      </c>
      <c r="DT86" s="143">
        <f>IF(Model!DT293&lt;&gt;"",Model!DT293,"")</f>
        <v>2432</v>
      </c>
      <c r="DU86" s="94">
        <f>IF(Model!DU293&lt;&gt;"",Model!DU293,"")</f>
        <v>2501</v>
      </c>
      <c r="DV86" s="94">
        <f>IF(Model!DW293&lt;&gt;"",Model!DV293,"")</f>
        <v>2488</v>
      </c>
      <c r="DW86" s="143">
        <f>IF(Model!DW293&lt;&gt;"",Model!DW293,"")</f>
        <v>2488</v>
      </c>
      <c r="DX86" s="94">
        <f>IF(Model!DX293&lt;&gt;"",Model!DX293,"")</f>
        <v>2413</v>
      </c>
      <c r="DY86" s="94">
        <f>IF(Model!DZ293&lt;&gt;"",Model!DY293,"")</f>
        <v>2413</v>
      </c>
      <c r="DZ86" s="143">
        <f>IF(Model!DZ293&lt;&gt;"",Model!DZ293,"")</f>
        <v>2413</v>
      </c>
      <c r="EA86" s="94">
        <f>IF(Model!EA293&lt;&gt;"",Model!EA293,"")</f>
        <v>2413</v>
      </c>
      <c r="EB86" s="94">
        <f>IF(Model!EC293&lt;&gt;"",Model!EB293,"")</f>
        <v>2413</v>
      </c>
      <c r="EC86" s="143">
        <f>IF(Model!EC293&lt;&gt;"",Model!EC293,"")</f>
        <v>2413</v>
      </c>
      <c r="ED86" s="94">
        <f>IF(Model!ED293&lt;&gt;"",Model!ED293,"")</f>
        <v>2413</v>
      </c>
      <c r="EE86" s="94">
        <f>IF(Model!EF293&lt;&gt;"",Model!EE293,"")</f>
        <v>2413</v>
      </c>
      <c r="EF86" s="143">
        <f>IF(Model!EF293&lt;&gt;"",Model!EF293,"")</f>
        <v>2413</v>
      </c>
      <c r="EG86" s="94">
        <f>IF(Model!EG293&lt;&gt;"",Model!EG293,"")</f>
        <v>2413</v>
      </c>
      <c r="EH86" s="94">
        <f>IF(Model!EI293&lt;&gt;"",Model!EH293,"")</f>
        <v>2413</v>
      </c>
      <c r="EI86" s="143">
        <f>IF(Model!EI293&lt;&gt;"",Model!EI293,"")</f>
        <v>2413</v>
      </c>
      <c r="EJ86" s="94">
        <f>IF(Model!EJ293&lt;&gt;"",Model!EJ293,"")</f>
        <v>2413</v>
      </c>
      <c r="EK86" s="94">
        <f>IF(Model!EL293&lt;&gt;"",Model!EK293,"")</f>
        <v>2413</v>
      </c>
      <c r="EL86" s="143">
        <f>IF(Model!EL293&lt;&gt;"",Model!EL293,"")</f>
        <v>2413</v>
      </c>
      <c r="EM86" s="94">
        <f>IF(Model!EM293&lt;&gt;"",Model!EM293,"")</f>
        <v>2413</v>
      </c>
      <c r="EN86" s="94">
        <f>IF(Model!EO293&lt;&gt;"",Model!EN293,"")</f>
        <v>2413</v>
      </c>
      <c r="EO86" s="143">
        <f>IF(Model!EO293&lt;&gt;"",Model!EO293,"")</f>
        <v>2413</v>
      </c>
      <c r="EP86" s="94">
        <f>IF(Model!EP293&lt;&gt;"",Model!EP293,"")</f>
        <v>2413</v>
      </c>
      <c r="EQ86" s="94">
        <f>IF(Model!ER293&lt;&gt;"",Model!EQ293,"")</f>
        <v>2413</v>
      </c>
      <c r="ER86" s="143">
        <f>IF(Model!ER293&lt;&gt;"",Model!ER293,"")</f>
        <v>2413</v>
      </c>
      <c r="ES86" s="94">
        <f>IF(Model!ES293&lt;&gt;"",Model!ES293,"")</f>
        <v>2413</v>
      </c>
      <c r="ET86" s="94">
        <f>IF(Model!EU293&lt;&gt;"",Model!ET293,"")</f>
        <v>2413</v>
      </c>
      <c r="EU86" s="143">
        <f>IF(Model!EU293&lt;&gt;"",Model!EU293,"")</f>
        <v>2413</v>
      </c>
      <c r="EV86" s="94">
        <f>IF(Model!EV293&lt;&gt;"",Model!EV293,"")</f>
        <v>2413</v>
      </c>
      <c r="EW86" s="94">
        <f>IF(Model!EX293&lt;&gt;"",Model!EW293,"")</f>
        <v>2413</v>
      </c>
      <c r="EX86" s="143">
        <f>IF(Model!EX293&lt;&gt;"",Model!EX293,"")</f>
        <v>2413</v>
      </c>
      <c r="EY86" s="94">
        <f>IF(Model!EY293&lt;&gt;"",Model!EY293,"")</f>
        <v>2413</v>
      </c>
      <c r="EZ86" s="94">
        <f>IF(Model!FA293&lt;&gt;"",Model!EZ293,"")</f>
        <v>2413</v>
      </c>
      <c r="FA86" s="143">
        <f>IF(Model!FA293&lt;&gt;"",Model!FA293,"")</f>
        <v>2413</v>
      </c>
    </row>
    <row r="87" spans="1:157" ht="13.35" customHeight="1" outlineLevel="1">
      <c r="A87" s="3"/>
      <c r="B87" s="4" t="s">
        <v>131</v>
      </c>
      <c r="C87" s="4"/>
      <c r="D87" s="4"/>
      <c r="E87" s="93"/>
      <c r="F87" s="93"/>
      <c r="G87" s="93"/>
      <c r="H87" s="92" t="str">
        <f>IF(AND(G84&lt;&gt;"",H84&lt;&gt;""),(G84+H84)/2,"")</f>
        <v/>
      </c>
      <c r="I87" s="92" t="str">
        <f>IF(AND(H84&lt;&gt;"",I84&lt;&gt;""),(H84+I84)/2,"")</f>
        <v/>
      </c>
      <c r="J87" s="92" t="str">
        <f>IF(AND(G84&lt;&gt;"",J84&lt;&gt;""),(G84+J84)/2,"")</f>
        <v/>
      </c>
      <c r="K87" s="92" t="str">
        <f>IF(AND(J84&lt;&gt;"",K84&lt;&gt;""),(J84+K84)/2,"")</f>
        <v/>
      </c>
      <c r="L87" s="92" t="str">
        <f>IF(AND(K84&lt;&gt;"",L84&lt;&gt;""),(K84+L84)/2,"")</f>
        <v/>
      </c>
      <c r="M87" s="92" t="str">
        <f>IF(AND(J84&lt;&gt;"",M84&lt;&gt;""),(J84+M84)/2,"")</f>
        <v/>
      </c>
      <c r="N87" s="92" t="str">
        <f>IF(AND(M84&lt;&gt;"",N84&lt;&gt;""),(M84+N84)/2,"")</f>
        <v/>
      </c>
      <c r="O87" s="92" t="str">
        <f>IF(AND(N84&lt;&gt;"",O84&lt;&gt;""),(N84+O84)/2,"")</f>
        <v/>
      </c>
      <c r="P87" s="92" t="str">
        <f>IF(AND(M84&lt;&gt;"",P84&lt;&gt;""),(M84+P84)/2,"")</f>
        <v/>
      </c>
      <c r="Q87" s="92" t="str">
        <f>IF(AND(P84&lt;&gt;"",Q84&lt;&gt;""),(P84+Q84)/2,"")</f>
        <v/>
      </c>
      <c r="R87" s="92" t="str">
        <f>IF(AND(Q84&lt;&gt;"",R84&lt;&gt;""),(Q84+R84)/2,"")</f>
        <v/>
      </c>
      <c r="S87" s="92" t="str">
        <f>IF(AND(P84&lt;&gt;"",S84&lt;&gt;""),(P84+S84)/2,"")</f>
        <v/>
      </c>
      <c r="T87" s="92" t="str">
        <f>IF(AND(S84&lt;&gt;"",T84&lt;&gt;""),(S84+T84)/2,"")</f>
        <v/>
      </c>
      <c r="U87" s="92" t="str">
        <f>IF(AND(T84&lt;&gt;"",U84&lt;&gt;""),(T84+U84)/2,"")</f>
        <v/>
      </c>
      <c r="V87" s="92" t="str">
        <f>IF(AND(S84&lt;&gt;"",V84&lt;&gt;""),(S84+V84)/2,"")</f>
        <v/>
      </c>
      <c r="W87" s="92" t="str">
        <f>IF(AND(V84&lt;&gt;"",W84&lt;&gt;""),(V84+W84)/2,"")</f>
        <v/>
      </c>
      <c r="X87" s="92" t="str">
        <f>IF(AND(W84&lt;&gt;"",X84&lt;&gt;""),(W84+X84)/2,"")</f>
        <v/>
      </c>
      <c r="Y87" s="92" t="str">
        <f>IF(AND(V84&lt;&gt;"",Y84&lt;&gt;""),(V84+Y84)/2,"")</f>
        <v/>
      </c>
      <c r="Z87" s="92" t="str">
        <f>IF(AND(Y84&lt;&gt;"",Z84&lt;&gt;""),(Y84+Z84)/2,"")</f>
        <v/>
      </c>
      <c r="AA87" s="92" t="str">
        <f>IF(AND(Z84&lt;&gt;"",AA84&lt;&gt;""),(Z84+AA84)/2,"")</f>
        <v/>
      </c>
      <c r="AB87" s="92" t="str">
        <f>IF(AND(Y84&lt;&gt;"",AB84&lt;&gt;""),(Y84+AB84)/2,"")</f>
        <v/>
      </c>
      <c r="AC87" s="92" t="str">
        <f>IF(AND(AB84&lt;&gt;"",AC84&lt;&gt;""),(AB84+AC84)/2,"")</f>
        <v/>
      </c>
      <c r="AD87" s="92" t="str">
        <f>IF(AND(AC84&lt;&gt;"",AD84&lt;&gt;""),(AC84+AD84)/2,"")</f>
        <v/>
      </c>
      <c r="AE87" s="92" t="str">
        <f>IF(AND(AB84&lt;&gt;"",AE84&lt;&gt;""),(AB84+AE84)/2,"")</f>
        <v/>
      </c>
      <c r="AF87" s="92" t="str">
        <f>IF(AND(AE84&lt;&gt;"",AF84&lt;&gt;""),(AE84+AF84)/2,"")</f>
        <v/>
      </c>
      <c r="AG87" s="92" t="str">
        <f>IF(AND(AF84&lt;&gt;"",AG84&lt;&gt;""),(AF84+AG84)/2,"")</f>
        <v/>
      </c>
      <c r="AH87" s="92" t="str">
        <f>IF(AND(AE84&lt;&gt;"",AH84&lt;&gt;""),(AE84+AH84)/2,"")</f>
        <v/>
      </c>
      <c r="AI87" s="92" t="str">
        <f>IF(AND(AH84&lt;&gt;"",AI84&lt;&gt;""),(AH84+AI84)/2,"")</f>
        <v/>
      </c>
      <c r="AJ87" s="92" t="str">
        <f>IF(AND(AI84&lt;&gt;"",AJ84&lt;&gt;""),(AI84+AJ84)/2,"")</f>
        <v/>
      </c>
      <c r="AK87" s="92" t="str">
        <f>IF(AND(AH84&lt;&gt;"",AK84&lt;&gt;""),(AH84+AK84)/2,"")</f>
        <v/>
      </c>
      <c r="AL87" s="92" t="str">
        <f>IF(AND(AK84&lt;&gt;"",AL84&lt;&gt;""),(AK84+AL84)/2,"")</f>
        <v/>
      </c>
      <c r="AM87" s="92" t="str">
        <f>IF(AND(AL84&lt;&gt;"",AM84&lt;&gt;""),(AL84+AM84)/2,"")</f>
        <v/>
      </c>
      <c r="AN87" s="92" t="str">
        <f>IF(AND(AK84&lt;&gt;"",AN84&lt;&gt;""),(AK84+AN84)/2,"")</f>
        <v/>
      </c>
      <c r="AO87" s="92" t="str">
        <f>IF(AND(AN84&lt;&gt;"",AO84&lt;&gt;""),(AN84+AO84)/2,"")</f>
        <v/>
      </c>
      <c r="AP87" s="92" t="str">
        <f>IF(AND(AO84&lt;&gt;"",AP84&lt;&gt;""),(AO84+AP84)/2,"")</f>
        <v/>
      </c>
      <c r="AQ87" s="92" t="str">
        <f>IF(AND(AN84&lt;&gt;"",AQ84&lt;&gt;""),(AN84+AQ84)/2,"")</f>
        <v/>
      </c>
      <c r="AR87" s="92" t="str">
        <f>IF(AND(AQ84&lt;&gt;"",AR84&lt;&gt;""),(AQ84+AR84)/2,"")</f>
        <v/>
      </c>
      <c r="AS87" s="92" t="str">
        <f>IF(AND(AR84&lt;&gt;"",AS84&lt;&gt;""),(AR84+AS84)/2,"")</f>
        <v/>
      </c>
      <c r="AT87" s="92" t="str">
        <f>IF(AND(AQ84&lt;&gt;"",AT84&lt;&gt;""),(AQ84+AT84)/2,"")</f>
        <v/>
      </c>
      <c r="AU87" s="92" t="str">
        <f>IF(AND(AT84&lt;&gt;"",AU84&lt;&gt;""),(AT84+AU84)/2,"")</f>
        <v/>
      </c>
      <c r="AV87" s="92" t="str">
        <f>IF(AND(AU84&lt;&gt;"",AV84&lt;&gt;""),(AU84+AV84)/2,"")</f>
        <v/>
      </c>
      <c r="AW87" s="92" t="str">
        <f>IF(AND(AT84&lt;&gt;"",AW84&lt;&gt;""),(AT84+AW84)/2,"")</f>
        <v/>
      </c>
      <c r="AX87" s="92" t="str">
        <f>IF(AND(AW84&lt;&gt;"",AX84&lt;&gt;""),(AW84+AX84)/2,"")</f>
        <v/>
      </c>
      <c r="AY87" s="92" t="str">
        <f>IF(AND(AX84&lt;&gt;"",AY84&lt;&gt;""),(AX84+AY84)/2,"")</f>
        <v/>
      </c>
      <c r="AZ87" s="92" t="str">
        <f>IF(AND(AW84&lt;&gt;"",AZ84&lt;&gt;""),(AW84+AZ84)/2,"")</f>
        <v/>
      </c>
      <c r="BA87" s="92" t="str">
        <f>IF(AND(AZ84&lt;&gt;"",BA84&lt;&gt;""),(AZ84+BA84)/2,"")</f>
        <v/>
      </c>
      <c r="BB87" s="92" t="str">
        <f>IF(AND(BA84&lt;&gt;"",BB84&lt;&gt;""),(BA84+BB84)/2,"")</f>
        <v/>
      </c>
      <c r="BC87" s="92" t="str">
        <f>IF(AND(AZ84&lt;&gt;"",BC84&lt;&gt;""),(AZ84+BC84)/2,"")</f>
        <v/>
      </c>
      <c r="BD87" s="92" t="str">
        <f>IF(AND(BC84&lt;&gt;"",BD84&lt;&gt;""),(BC84+BD84)/2,"")</f>
        <v/>
      </c>
      <c r="BE87" s="92" t="str">
        <f>IF(AND(BD84&lt;&gt;"",BE84&lt;&gt;""),(BD84+BE84)/2,"")</f>
        <v/>
      </c>
      <c r="BF87" s="92" t="str">
        <f>IF(AND(BC84&lt;&gt;"",BF84&lt;&gt;""),(BC84+BF84)/2,"")</f>
        <v/>
      </c>
      <c r="BG87" s="92" t="str">
        <f>IF(AND(BF84&lt;&gt;"",BG84&lt;&gt;""),(BF84+BG84)/2,"")</f>
        <v/>
      </c>
      <c r="BH87" s="92" t="str">
        <f>IF(AND(BG84&lt;&gt;"",BH84&lt;&gt;""),(BG84+BH84)/2,"")</f>
        <v/>
      </c>
      <c r="BI87" s="92" t="str">
        <f>IF(AND(BF84&lt;&gt;"",BI84&lt;&gt;""),(BF84+BI84)/2,"")</f>
        <v/>
      </c>
      <c r="BJ87" s="92" t="str">
        <f>IF(AND(BI84&lt;&gt;"",BJ84&lt;&gt;""),(BI84+BJ84)/2,"")</f>
        <v/>
      </c>
      <c r="BK87" s="92" t="str">
        <f>IF(AND(BJ84&lt;&gt;"",BK84&lt;&gt;""),(BJ84+BK84)/2,"")</f>
        <v/>
      </c>
      <c r="BL87" s="92" t="str">
        <f>IF(AND(BI84&lt;&gt;"",BL84&lt;&gt;""),(BI84+BL84)/2,"")</f>
        <v/>
      </c>
      <c r="BM87" s="92" t="str">
        <f>IF(AND(BL84&lt;&gt;"",BM84&lt;&gt;""),(BL84+BM84)/2,"")</f>
        <v/>
      </c>
      <c r="BN87" s="92" t="str">
        <f>IF(AND(BM84&lt;&gt;"",BN84&lt;&gt;""),(BM84+BN84)/2,"")</f>
        <v/>
      </c>
      <c r="BO87" s="92" t="str">
        <f>IF(AND(BL84&lt;&gt;"",BO84&lt;&gt;""),(BL84+BO84)/2,"")</f>
        <v/>
      </c>
      <c r="BP87" s="92" t="str">
        <f>IF(AND(BO84&lt;&gt;"",BP84&lt;&gt;""),(BO84+BP84)/2,"")</f>
        <v/>
      </c>
      <c r="BQ87" s="92" t="str">
        <f>IF(AND(BP84&lt;&gt;"",BQ84&lt;&gt;""),(BP84+BQ84)/2,"")</f>
        <v/>
      </c>
      <c r="BR87" s="92" t="str">
        <f>IF(AND(BO84&lt;&gt;"",BR84&lt;&gt;""),(BO84+BR84)/2,"")</f>
        <v/>
      </c>
      <c r="BS87" s="92" t="str">
        <f>IF(AND(BR84&lt;&gt;"",BS84&lt;&gt;""),(BR84+BS84)/2,"")</f>
        <v/>
      </c>
      <c r="BT87" s="92" t="str">
        <f>IF(AND(BS84&lt;&gt;"",BT84&lt;&gt;""),(BS84+BT84)/2,"")</f>
        <v/>
      </c>
      <c r="BU87" s="92" t="str">
        <f>IF(AND(BR84&lt;&gt;"",BU84&lt;&gt;""),(BR84+BU84)/2,"")</f>
        <v/>
      </c>
      <c r="BV87" s="92" t="str">
        <f>IF(AND(BU84&lt;&gt;"",BV84&lt;&gt;""),(BU84+BV84)/2,"")</f>
        <v/>
      </c>
      <c r="BW87" s="92" t="str">
        <f>IF(AND(BV84&lt;&gt;"",BW84&lt;&gt;""),(BV84+BW84)/2,"")</f>
        <v/>
      </c>
      <c r="BX87" s="92" t="str">
        <f>IF(AND(BU84&lt;&gt;"",BX84&lt;&gt;""),(BU84+BX84)/2,"")</f>
        <v/>
      </c>
      <c r="BY87" s="92" t="str">
        <f>IF(AND(BX84&lt;&gt;"",BY84&lt;&gt;""),(BX84+BY84)/2,"")</f>
        <v/>
      </c>
      <c r="BZ87" s="92" t="str">
        <f>IF(AND(BY84&lt;&gt;"",BZ84&lt;&gt;""),(BY84+BZ84)/2,"")</f>
        <v/>
      </c>
      <c r="CA87" s="92" t="str">
        <f>IF(AND(BX84&lt;&gt;"",CA84&lt;&gt;""),(BX84+CA84)/2,"")</f>
        <v/>
      </c>
      <c r="CB87" s="92" t="str">
        <f>IF(AND(CA84&lt;&gt;"",CB84&lt;&gt;""),(CA84+CB84)/2,"")</f>
        <v/>
      </c>
      <c r="CC87" s="92" t="str">
        <f>IF(AND(CB84&lt;&gt;"",CC84&lt;&gt;""),(CB84+CC84)/2,"")</f>
        <v/>
      </c>
      <c r="CD87" s="92" t="str">
        <f>IF(AND(CA84&lt;&gt;"",CD84&lt;&gt;""),(CA84+CD84)/2,"")</f>
        <v/>
      </c>
      <c r="CE87" s="92" t="str">
        <f>IF(AND(CD84&lt;&gt;"",CE84&lt;&gt;""),(CD84+CE84)/2,"")</f>
        <v/>
      </c>
      <c r="CF87" s="92" t="str">
        <f>IF(AND(CE84&lt;&gt;"",CF84&lt;&gt;""),(CE84+CF84)/2,"")</f>
        <v/>
      </c>
      <c r="CG87" s="92" t="str">
        <f>IF(AND(CD84&lt;&gt;"",CG84&lt;&gt;""),(CD84+CG84)/2,"")</f>
        <v/>
      </c>
      <c r="CH87" s="92" t="str">
        <f>IF(AND(CG84&lt;&gt;"",CH84&lt;&gt;""),(CG84+CH84)/2,"")</f>
        <v/>
      </c>
      <c r="CI87" s="92" t="str">
        <f>IF(AND(CH84&lt;&gt;"",CI84&lt;&gt;""),(CH84+CI84)/2,"")</f>
        <v/>
      </c>
      <c r="CJ87" s="92" t="str">
        <f>IF(AND(CG84&lt;&gt;"",CJ84&lt;&gt;""),(CG84+CJ84)/2,"")</f>
        <v/>
      </c>
      <c r="CK87" s="92" t="str">
        <f>IF(AND(CJ84&lt;&gt;"",CK84&lt;&gt;""),(CJ84+CK84)/2,"")</f>
        <v/>
      </c>
      <c r="CL87" s="92" t="str">
        <f>IF(AND(CK84&lt;&gt;"",CL84&lt;&gt;""),(CK84+CL84)/2,"")</f>
        <v/>
      </c>
      <c r="CM87" s="92" t="str">
        <f>IF(AND(CJ84&lt;&gt;"",CM84&lt;&gt;""),(CJ84+CM84)/2,"")</f>
        <v/>
      </c>
      <c r="CN87" s="92" t="str">
        <f>IF(AND(CM84&lt;&gt;"",CN84&lt;&gt;""),(CM84+CN84)/2,"")</f>
        <v/>
      </c>
      <c r="CO87" s="92" t="str">
        <f>IF(AND(CN84&lt;&gt;"",CO84&lt;&gt;""),(CN84+CO84)/2,"")</f>
        <v/>
      </c>
      <c r="CP87" s="92" t="str">
        <f>IF(AND(CM84&lt;&gt;"",CP84&lt;&gt;""),(CM84+CP84)/2,"")</f>
        <v/>
      </c>
      <c r="CQ87" s="92" t="str">
        <f>IF(AND(CP84&lt;&gt;"",CQ84&lt;&gt;""),(CP84+CQ84)/2,"")</f>
        <v/>
      </c>
      <c r="CR87" s="92" t="str">
        <f>IF(AND(CQ84&lt;&gt;"",CR84&lt;&gt;""),(CQ84+CR84)/2,"")</f>
        <v/>
      </c>
      <c r="CS87" s="92" t="str">
        <f>IF(AND(CP84&lt;&gt;"",CS84&lt;&gt;""),(CP84+CS84)/2,"")</f>
        <v/>
      </c>
      <c r="CT87" s="92" t="str">
        <f>IF(AND(CS84&lt;&gt;"",CT84&lt;&gt;""),(CS84+CT84)/2,"")</f>
        <v/>
      </c>
      <c r="CU87" s="92" t="str">
        <f>IF(AND(CT84&lt;&gt;"",CU84&lt;&gt;""),(CT84+CU84)/2,"")</f>
        <v/>
      </c>
      <c r="CV87" s="92" t="str">
        <f>IF(AND(CS84&lt;&gt;"",CV84&lt;&gt;""),(CS84+CV84)/2,"")</f>
        <v/>
      </c>
      <c r="CW87" s="92" t="str">
        <f>IF(AND(CV84&lt;&gt;"",CW84&lt;&gt;""),(CV84+CW84)/2,"")</f>
        <v/>
      </c>
      <c r="CX87" s="92" t="str">
        <f>IF(AND(CW84&lt;&gt;"",CX84&lt;&gt;""),(CW84+CX84)/2,"")</f>
        <v/>
      </c>
      <c r="CY87" s="92" t="str">
        <f>IF(AND(CV84&lt;&gt;"",CY84&lt;&gt;""),(CV84+CY84)/2,"")</f>
        <v/>
      </c>
      <c r="CZ87" s="92" t="str">
        <f>IF(AND(CY84&lt;&gt;"",CZ84&lt;&gt;""),(CY84+CZ84)/2,"")</f>
        <v/>
      </c>
      <c r="DA87" s="92" t="str">
        <f>IF(AND(CZ84&lt;&gt;"",DA84&lt;&gt;""),(CZ84+DA84)/2,"")</f>
        <v/>
      </c>
      <c r="DB87" s="92" t="str">
        <f>IF(AND(CY84&lt;&gt;"",DB84&lt;&gt;""),(CY84+DB84)/2,"")</f>
        <v/>
      </c>
      <c r="DC87" s="92" t="str">
        <f>IF(AND(DB84&lt;&gt;"",DC84&lt;&gt;""),(DB84+DC84)/2,"")</f>
        <v/>
      </c>
      <c r="DD87" s="92" t="str">
        <f>IF(AND(DC84&lt;&gt;"",DD84&lt;&gt;""),(DC84+DD84)/2,"")</f>
        <v/>
      </c>
      <c r="DE87" s="144" t="str">
        <f>IF(AND(DB84&lt;&gt;"",DE84&lt;&gt;""),(DB84+DE84)/2,"")</f>
        <v/>
      </c>
      <c r="DF87" s="92" t="str">
        <f>IF(AND(DE84&lt;&gt;"",DF84&lt;&gt;""),(DE84+DF84)/2,"")</f>
        <v/>
      </c>
      <c r="DG87" s="92" t="str">
        <f>IF(AND(DF84&lt;&gt;"",DG84&lt;&gt;""),(DF84+DG84)/2,"")</f>
        <v/>
      </c>
      <c r="DH87" s="144" t="str">
        <f>IF(AND(DE84&lt;&gt;"",DH84&lt;&gt;""),(DE84+DH84)/2,"")</f>
        <v/>
      </c>
      <c r="DI87" s="92" t="str">
        <f>IF(AND(DH84&lt;&gt;"",DI84&lt;&gt;""),(DH84+DI84)/2,"")</f>
        <v/>
      </c>
      <c r="DJ87" s="92" t="str">
        <f>IF(AND(DI84&lt;&gt;"",DJ84&lt;&gt;""),(DI84+DJ84)/2,"")</f>
        <v/>
      </c>
      <c r="DK87" s="144" t="str">
        <f>IF(AND(DH84&lt;&gt;"",DK84&lt;&gt;""),(DH84+DK84)/2,"")</f>
        <v/>
      </c>
      <c r="DL87" s="92" t="str">
        <f>IF(AND(DK84&lt;&gt;"",DL84&lt;&gt;""),(DK84+DL84)/2,"")</f>
        <v/>
      </c>
      <c r="DM87" s="92" t="str">
        <f>IF(AND(DL84&lt;&gt;"",DM84&lt;&gt;""),(DL84+DM84)/2,"")</f>
        <v/>
      </c>
      <c r="DN87" s="144" t="str">
        <f>IF(AND(DK84&lt;&gt;"",DN84&lt;&gt;""),(DK84+DN84)/2,"")</f>
        <v/>
      </c>
      <c r="DO87" s="92" t="str">
        <f>IF(AND(DN84&lt;&gt;"",DO84&lt;&gt;""),(DN84+DO84)/2,"")</f>
        <v/>
      </c>
      <c r="DP87" s="92" t="str">
        <f>IF(AND(DO84&lt;&gt;"",DP84&lt;&gt;""),(DO84+DP84)/2,"")</f>
        <v/>
      </c>
      <c r="DQ87" s="144" t="str">
        <f>IF(AND(DN84&lt;&gt;"",DQ84&lt;&gt;""),(DN84+DQ84)/2,"")</f>
        <v/>
      </c>
      <c r="DR87" s="92" t="str">
        <f>IF(AND(DQ84&lt;&gt;"",DR84&lt;&gt;""),(DQ84+DR84)/2,"")</f>
        <v/>
      </c>
      <c r="DS87" s="92" t="str">
        <f>IF(AND(DR84&lt;&gt;"",DS84&lt;&gt;""),(DR84+DS84)/2,"")</f>
        <v/>
      </c>
      <c r="DT87" s="144" t="str">
        <f>IF(AND(DQ84&lt;&gt;"",DT84&lt;&gt;""),(DQ84+DT84)/2,"")</f>
        <v/>
      </c>
      <c r="DU87" s="92" t="str">
        <f>IF(AND(DT84&lt;&gt;"",DU84&lt;&gt;""),(DT84+DU84)/2,"")</f>
        <v/>
      </c>
      <c r="DV87" s="92" t="str">
        <f>IF(AND(DU84&lt;&gt;"",DV84&lt;&gt;""),(DU84+DV84)/2,"")</f>
        <v/>
      </c>
      <c r="DW87" s="144" t="str">
        <f>IF(AND(DT84&lt;&gt;"",DW84&lt;&gt;""),(DT84+DW84)/2,"")</f>
        <v/>
      </c>
      <c r="DX87" s="92" t="str">
        <f>IF(AND(DW84&lt;&gt;"",DX84&lt;&gt;""),(DW84+DX84)/2,"")</f>
        <v/>
      </c>
      <c r="DY87" s="92" t="str">
        <f>IF(AND(DX84&lt;&gt;"",DY84&lt;&gt;""),(DX84+DY84)/2,"")</f>
        <v/>
      </c>
      <c r="DZ87" s="144" t="str">
        <f>IF(AND(DW84&lt;&gt;"",DZ84&lt;&gt;""),(DW84+DZ84)/2,"")</f>
        <v/>
      </c>
      <c r="EA87" s="92" t="str">
        <f>IF(AND(DZ84&lt;&gt;"",EA84&lt;&gt;""),(DZ84+EA84)/2,"")</f>
        <v/>
      </c>
      <c r="EB87" s="92" t="str">
        <f>IF(AND(EA84&lt;&gt;"",EB84&lt;&gt;""),(EA84+EB84)/2,"")</f>
        <v/>
      </c>
      <c r="EC87" s="144" t="str">
        <f>IF(AND(DZ84&lt;&gt;"",EC84&lt;&gt;""),(DZ84+EC84)/2,"")</f>
        <v/>
      </c>
      <c r="ED87" s="92" t="str">
        <f>IF(AND(EC84&lt;&gt;"",ED84&lt;&gt;""),(EC84+ED84)/2,"")</f>
        <v/>
      </c>
      <c r="EE87" s="92" t="str">
        <f>IF(AND(ED84&lt;&gt;"",EE84&lt;&gt;""),(ED84+EE84)/2,"")</f>
        <v/>
      </c>
      <c r="EF87" s="144" t="str">
        <f>IF(AND(EC84&lt;&gt;"",EF84&lt;&gt;""),(EC84+EF84)/2,"")</f>
        <v/>
      </c>
      <c r="EG87" s="92" t="str">
        <f>IF(AND(EF84&lt;&gt;"",EG84&lt;&gt;""),(EF84+EG84)/2,"")</f>
        <v/>
      </c>
      <c r="EH87" s="92" t="str">
        <f>IF(AND(EG84&lt;&gt;"",EH84&lt;&gt;""),(EG84+EH84)/2,"")</f>
        <v/>
      </c>
      <c r="EI87" s="144" t="str">
        <f>IF(AND(EF84&lt;&gt;"",EI84&lt;&gt;""),(EF84+EI84)/2,"")</f>
        <v/>
      </c>
      <c r="EJ87" s="92" t="str">
        <f>IF(AND(EI84&lt;&gt;"",EJ84&lt;&gt;""),(EI84+EJ84)/2,"")</f>
        <v/>
      </c>
      <c r="EK87" s="92" t="str">
        <f>IF(AND(EJ84&lt;&gt;"",EK84&lt;&gt;""),(EJ84+EK84)/2,"")</f>
        <v/>
      </c>
      <c r="EL87" s="144" t="str">
        <f>IF(AND(EI84&lt;&gt;"",EL84&lt;&gt;""),(EI84+EL84)/2,"")</f>
        <v/>
      </c>
      <c r="EM87" s="92" t="str">
        <f>IF(AND(EL84&lt;&gt;"",EM84&lt;&gt;""),(EL84+EM84)/2,"")</f>
        <v/>
      </c>
      <c r="EN87" s="92" t="str">
        <f>IF(AND(EM84&lt;&gt;"",EN84&lt;&gt;""),(EM84+EN84)/2,"")</f>
        <v/>
      </c>
      <c r="EO87" s="144" t="str">
        <f>IF(AND(EL84&lt;&gt;"",EO84&lt;&gt;""),(EL84+EO84)/2,"")</f>
        <v/>
      </c>
      <c r="EP87" s="92" t="str">
        <f>IF(AND(EO84&lt;&gt;"",EP84&lt;&gt;""),(EO84+EP84)/2,"")</f>
        <v/>
      </c>
      <c r="EQ87" s="92" t="str">
        <f>IF(AND(EP84&lt;&gt;"",EQ84&lt;&gt;""),(EP84+EQ84)/2,"")</f>
        <v/>
      </c>
      <c r="ER87" s="144" t="str">
        <f>IF(AND(EO84&lt;&gt;"",ER84&lt;&gt;""),(EO84+ER84)/2,"")</f>
        <v/>
      </c>
      <c r="ES87" s="92" t="str">
        <f>IF(AND(ER84&lt;&gt;"",ES84&lt;&gt;""),(ER84+ES84)/2,"")</f>
        <v/>
      </c>
      <c r="ET87" s="92" t="str">
        <f>IF(AND(ES84&lt;&gt;"",ET84&lt;&gt;""),(ES84+ET84)/2,"")</f>
        <v/>
      </c>
      <c r="EU87" s="144" t="str">
        <f>IF(AND(ER84&lt;&gt;"",EU84&lt;&gt;""),(ER84+EU84)/2,"")</f>
        <v/>
      </c>
      <c r="EV87" s="92" t="str">
        <f>IF(AND(EU84&lt;&gt;"",EV84&lt;&gt;""),(EU84+EV84)/2,"")</f>
        <v/>
      </c>
      <c r="EW87" s="92" t="str">
        <f>IF(AND(EV84&lt;&gt;"",EW84&lt;&gt;""),(EV84+EW84)/2,"")</f>
        <v/>
      </c>
      <c r="EX87" s="144" t="str">
        <f>IF(AND(EU84&lt;&gt;"",EX84&lt;&gt;""),(EU84+EX84)/2,"")</f>
        <v/>
      </c>
      <c r="EY87" s="92" t="str">
        <f>IF(AND(EX84&lt;&gt;"",EY84&lt;&gt;""),(EX84+EY84)/2,"")</f>
        <v/>
      </c>
      <c r="EZ87" s="92" t="str">
        <f>IF(AND(EY84&lt;&gt;"",EZ84&lt;&gt;""),(EY84+EZ84)/2,"")</f>
        <v/>
      </c>
      <c r="FA87" s="144" t="str">
        <f>IF(AND(EX84&lt;&gt;"",FA84&lt;&gt;""),(EX84+FA84)/2,"")</f>
        <v/>
      </c>
    </row>
    <row r="88" spans="1:157" ht="13.35" customHeight="1" outlineLevel="1">
      <c r="A88" s="3"/>
      <c r="B88" s="4" t="s">
        <v>132</v>
      </c>
      <c r="C88" s="4"/>
      <c r="D88" s="4"/>
      <c r="E88" s="93"/>
      <c r="F88" s="93"/>
      <c r="G88" s="93"/>
      <c r="H88" s="92">
        <f>IF(AND(G86&lt;&gt;"",H86&lt;&gt;""),(G86+H86)/2,"")</f>
        <v>0</v>
      </c>
      <c r="I88" s="92">
        <f>IF(AND(H86&lt;&gt;"",I86&lt;&gt;""),(H86+I86)/2,"")</f>
        <v>0</v>
      </c>
      <c r="J88" s="92">
        <f>IF(AND(G86&lt;&gt;"",J86&lt;&gt;""),(G86+J86)/2,"")</f>
        <v>0</v>
      </c>
      <c r="K88" s="92">
        <f>IF(AND(J86&lt;&gt;"",K86&lt;&gt;""),(J86+K86)/2,"")</f>
        <v>0</v>
      </c>
      <c r="L88" s="92">
        <f>IF(AND(K86&lt;&gt;"",L86&lt;&gt;""),(K86+L86)/2,"")</f>
        <v>0</v>
      </c>
      <c r="M88" s="92">
        <f>IF(AND(J86&lt;&gt;"",M86&lt;&gt;""),(J86+M86)/2,"")</f>
        <v>0</v>
      </c>
      <c r="N88" s="92">
        <f>IF(AND(M86&lt;&gt;"",N86&lt;&gt;""),(M86+N86)/2,"")</f>
        <v>0</v>
      </c>
      <c r="O88" s="92">
        <f>IF(AND(N86&lt;&gt;"",O86&lt;&gt;""),(N86+O86)/2,"")</f>
        <v>0</v>
      </c>
      <c r="P88" s="92">
        <f>IF(AND(M86&lt;&gt;"",P86&lt;&gt;""),(M86+P86)/2,"")</f>
        <v>0</v>
      </c>
      <c r="Q88" s="92">
        <f>IF(AND(P86&lt;&gt;"",Q86&lt;&gt;""),(P86+Q86)/2,"")</f>
        <v>0</v>
      </c>
      <c r="R88" s="92">
        <f>IF(AND(Q86&lt;&gt;"",R86&lt;&gt;""),(Q86+R86)/2,"")</f>
        <v>0</v>
      </c>
      <c r="S88" s="92">
        <f>IF(AND(P86&lt;&gt;"",S86&lt;&gt;""),(P86+S86)/2,"")</f>
        <v>0</v>
      </c>
      <c r="T88" s="92">
        <f>IF(AND(S86&lt;&gt;"",T86&lt;&gt;""),(S86+T86)/2,"")</f>
        <v>0</v>
      </c>
      <c r="U88" s="92">
        <f>IF(AND(T86&lt;&gt;"",U86&lt;&gt;""),(T86+U86)/2,"")</f>
        <v>0</v>
      </c>
      <c r="V88" s="92">
        <f>IF(AND(S86&lt;&gt;"",V86&lt;&gt;""),(S86+V86)/2,"")</f>
        <v>0</v>
      </c>
      <c r="W88" s="92">
        <f>IF(AND(V86&lt;&gt;"",W86&lt;&gt;""),(V86+W86)/2,"")</f>
        <v>0</v>
      </c>
      <c r="X88" s="92">
        <f>IF(AND(W86&lt;&gt;"",X86&lt;&gt;""),(W86+X86)/2,"")</f>
        <v>0</v>
      </c>
      <c r="Y88" s="92">
        <f>IF(AND(V86&lt;&gt;"",Y86&lt;&gt;""),(V86+Y86)/2,"")</f>
        <v>0</v>
      </c>
      <c r="Z88" s="92">
        <f>IF(AND(Y86&lt;&gt;"",Z86&lt;&gt;""),(Y86+Z86)/2,"")</f>
        <v>0</v>
      </c>
      <c r="AA88" s="92">
        <f>IF(AND(Z86&lt;&gt;"",AA86&lt;&gt;""),(Z86+AA86)/2,"")</f>
        <v>0</v>
      </c>
      <c r="AB88" s="92">
        <f>IF(AND(Y86&lt;&gt;"",AB86&lt;&gt;""),(Y86+AB86)/2,"")</f>
        <v>0</v>
      </c>
      <c r="AC88" s="92">
        <f>IF(AND(AB86&lt;&gt;"",AC86&lt;&gt;""),(AB86+AC86)/2,"")</f>
        <v>0</v>
      </c>
      <c r="AD88" s="92">
        <f>IF(AND(AC86&lt;&gt;"",AD86&lt;&gt;""),(AC86+AD86)/2,"")</f>
        <v>0</v>
      </c>
      <c r="AE88" s="92">
        <f>IF(AND(AB86&lt;&gt;"",AE86&lt;&gt;""),(AB86+AE86)/2,"")</f>
        <v>0</v>
      </c>
      <c r="AF88" s="92">
        <f>IF(AND(AE86&lt;&gt;"",AF86&lt;&gt;""),(AE86+AF86)/2,"")</f>
        <v>0</v>
      </c>
      <c r="AG88" s="92">
        <f>IF(AND(AF86&lt;&gt;"",AG86&lt;&gt;""),(AF86+AG86)/2,"")</f>
        <v>0</v>
      </c>
      <c r="AH88" s="92">
        <f>IF(AND(AE86&lt;&gt;"",AH86&lt;&gt;""),(AE86+AH86)/2,"")</f>
        <v>0</v>
      </c>
      <c r="AI88" s="92">
        <f>IF(AND(AH86&lt;&gt;"",AI86&lt;&gt;""),(AH86+AI86)/2,"")</f>
        <v>0</v>
      </c>
      <c r="AJ88" s="92">
        <f>IF(AND(AI86&lt;&gt;"",AJ86&lt;&gt;""),(AI86+AJ86)/2,"")</f>
        <v>0</v>
      </c>
      <c r="AK88" s="92">
        <f>IF(AND(AH86&lt;&gt;"",AK86&lt;&gt;""),(AH86+AK86)/2,"")</f>
        <v>0</v>
      </c>
      <c r="AL88" s="92">
        <f>IF(AND(AK86&lt;&gt;"",AL86&lt;&gt;""),(AK86+AL86)/2,"")</f>
        <v>0</v>
      </c>
      <c r="AM88" s="92">
        <f>IF(AND(AL86&lt;&gt;"",AM86&lt;&gt;""),(AL86+AM86)/2,"")</f>
        <v>0</v>
      </c>
      <c r="AN88" s="92">
        <f>IF(AND(AK86&lt;&gt;"",AN86&lt;&gt;""),(AK86+AN86)/2,"")</f>
        <v>0</v>
      </c>
      <c r="AO88" s="92">
        <f>IF(AND(AN86&lt;&gt;"",AO86&lt;&gt;""),(AN86+AO86)/2,"")</f>
        <v>0</v>
      </c>
      <c r="AP88" s="92">
        <f>IF(AND(AO86&lt;&gt;"",AP86&lt;&gt;""),(AO86+AP86)/2,"")</f>
        <v>0</v>
      </c>
      <c r="AQ88" s="92">
        <f>IF(AND(AN86&lt;&gt;"",AQ86&lt;&gt;""),(AN86+AQ86)/2,"")</f>
        <v>0</v>
      </c>
      <c r="AR88" s="92">
        <f>IF(AND(AQ86&lt;&gt;"",AR86&lt;&gt;""),(AQ86+AR86)/2,"")</f>
        <v>0</v>
      </c>
      <c r="AS88" s="92">
        <f>IF(AND(AR86&lt;&gt;"",AS86&lt;&gt;""),(AR86+AS86)/2,"")</f>
        <v>0</v>
      </c>
      <c r="AT88" s="92">
        <f>IF(AND(AQ86&lt;&gt;"",AT86&lt;&gt;""),(AQ86+AT86)/2,"")</f>
        <v>0</v>
      </c>
      <c r="AU88" s="92">
        <f>IF(AND(AT86&lt;&gt;"",AU86&lt;&gt;""),(AT86+AU86)/2,"")</f>
        <v>0</v>
      </c>
      <c r="AV88" s="92">
        <f>IF(AND(AU86&lt;&gt;"",AV86&lt;&gt;""),(AU86+AV86)/2,"")</f>
        <v>0</v>
      </c>
      <c r="AW88" s="92">
        <f>IF(AND(AT86&lt;&gt;"",AW86&lt;&gt;""),(AT86+AW86)/2,"")</f>
        <v>0</v>
      </c>
      <c r="AX88" s="92">
        <f>IF(AND(AW86&lt;&gt;"",AX86&lt;&gt;""),(AW86+AX86)/2,"")</f>
        <v>0</v>
      </c>
      <c r="AY88" s="92">
        <f>IF(AND(AX86&lt;&gt;"",AY86&lt;&gt;""),(AX86+AY86)/2,"")</f>
        <v>0</v>
      </c>
      <c r="AZ88" s="92">
        <f>IF(AND(AW86&lt;&gt;"",AZ86&lt;&gt;""),(AW86+AZ86)/2,"")</f>
        <v>0</v>
      </c>
      <c r="BA88" s="92">
        <f>IF(AND(AZ86&lt;&gt;"",BA86&lt;&gt;""),(AZ86+BA86)/2,"")</f>
        <v>0</v>
      </c>
      <c r="BB88" s="92">
        <f>IF(AND(BA86&lt;&gt;"",BB86&lt;&gt;""),(BA86+BB86)/2,"")</f>
        <v>0</v>
      </c>
      <c r="BC88" s="92">
        <f>IF(AND(AZ86&lt;&gt;"",BC86&lt;&gt;""),(AZ86+BC86)/2,"")</f>
        <v>0</v>
      </c>
      <c r="BD88" s="92">
        <f>IF(AND(BC86&lt;&gt;"",BD86&lt;&gt;""),(BC86+BD86)/2,"")</f>
        <v>0</v>
      </c>
      <c r="BE88" s="92">
        <f>IF(AND(BD86&lt;&gt;"",BE86&lt;&gt;""),(BD86+BE86)/2,"")</f>
        <v>0</v>
      </c>
      <c r="BF88" s="92">
        <f>IF(AND(BC86&lt;&gt;"",BF86&lt;&gt;""),(BC86+BF86)/2,"")</f>
        <v>0</v>
      </c>
      <c r="BG88" s="92">
        <f>IF(AND(BF86&lt;&gt;"",BG86&lt;&gt;""),(BF86+BG86)/2,"")</f>
        <v>0</v>
      </c>
      <c r="BH88" s="92">
        <f>IF(AND(BG86&lt;&gt;"",BH86&lt;&gt;""),(BG86+BH86)/2,"")</f>
        <v>0</v>
      </c>
      <c r="BI88" s="92">
        <f>IF(AND(BF86&lt;&gt;"",BI86&lt;&gt;""),(BF86+BI86)/2,"")</f>
        <v>0</v>
      </c>
      <c r="BJ88" s="92">
        <f>IF(AND(BI86&lt;&gt;"",BJ86&lt;&gt;""),(BI86+BJ86)/2,"")</f>
        <v>0</v>
      </c>
      <c r="BK88" s="92">
        <f>IF(AND(BJ86&lt;&gt;"",BK86&lt;&gt;""),(BJ86+BK86)/2,"")</f>
        <v>0</v>
      </c>
      <c r="BL88" s="92">
        <f>IF(AND(BI86&lt;&gt;"",BL86&lt;&gt;""),(BI86+BL86)/2,"")</f>
        <v>0</v>
      </c>
      <c r="BM88" s="92">
        <f>IF(AND(BL86&lt;&gt;"",BM86&lt;&gt;""),(BL86+BM86)/2,"")</f>
        <v>0</v>
      </c>
      <c r="BN88" s="92">
        <f>IF(AND(BM86&lt;&gt;"",BN86&lt;&gt;""),(BM86+BN86)/2,"")</f>
        <v>0</v>
      </c>
      <c r="BO88" s="92">
        <f>IF(AND(BL86&lt;&gt;"",BO86&lt;&gt;""),(BL86+BO86)/2,"")</f>
        <v>0</v>
      </c>
      <c r="BP88" s="92">
        <f>IF(AND(BO86&lt;&gt;"",BP86&lt;&gt;""),(BO86+BP86)/2,"")</f>
        <v>0</v>
      </c>
      <c r="BQ88" s="92">
        <f>IF(AND(BP86&lt;&gt;"",BQ86&lt;&gt;""),(BP86+BQ86)/2,"")</f>
        <v>0</v>
      </c>
      <c r="BR88" s="92">
        <f>IF(AND(BO86&lt;&gt;"",BR86&lt;&gt;""),(BO86+BR86)/2,"")</f>
        <v>0</v>
      </c>
      <c r="BS88" s="92">
        <f>IF(AND(BR86&lt;&gt;"",BS86&lt;&gt;""),(BR86+BS86)/2,"")</f>
        <v>0</v>
      </c>
      <c r="BT88" s="92">
        <f>IF(AND(BS86&lt;&gt;"",BT86&lt;&gt;""),(BS86+BT86)/2,"")</f>
        <v>0</v>
      </c>
      <c r="BU88" s="92">
        <f>IF(AND(BR86&lt;&gt;"",BU86&lt;&gt;""),(BR86+BU86)/2,"")</f>
        <v>0</v>
      </c>
      <c r="BV88" s="92">
        <f>IF(AND(BU86&lt;&gt;"",BV86&lt;&gt;""),(BU86+BV86)/2,"")</f>
        <v>0</v>
      </c>
      <c r="BW88" s="92">
        <f>IF(AND(BV86&lt;&gt;"",BW86&lt;&gt;""),(BV86+BW86)/2,"")</f>
        <v>109.5</v>
      </c>
      <c r="BX88" s="92">
        <f>IF(AND(BU86&lt;&gt;"",BX86&lt;&gt;""),(BU86+BX86)/2,"")</f>
        <v>109.5</v>
      </c>
      <c r="BY88" s="92">
        <f>IF(AND(BX86&lt;&gt;"",BY86&lt;&gt;""),(BX86+BY86)/2,"")</f>
        <v>109.5</v>
      </c>
      <c r="BZ88" s="92">
        <f>IF(AND(BY86&lt;&gt;"",BZ86&lt;&gt;""),(BY86+BZ86)/2,"")</f>
        <v>119</v>
      </c>
      <c r="CA88" s="92">
        <f>IF(AND(BX86&lt;&gt;"",CA86&lt;&gt;""),(BX86+CA86)/2,"")</f>
        <v>228.5</v>
      </c>
      <c r="CB88" s="92">
        <f>IF(AND(CA86&lt;&gt;"",CB86&lt;&gt;""),(CA86+CB86)/2,"")</f>
        <v>119</v>
      </c>
      <c r="CC88" s="92">
        <f>IF(AND(CB86&lt;&gt;"",CC86&lt;&gt;""),(CB86+CC86)/2,"")</f>
        <v>116</v>
      </c>
      <c r="CD88" s="92">
        <f>IF(AND(CA86&lt;&gt;"",CD86&lt;&gt;""),(CA86+CD86)/2,"")</f>
        <v>235</v>
      </c>
      <c r="CE88" s="92">
        <f>IF(AND(CD86&lt;&gt;"",CE86&lt;&gt;""),(CD86+CE86)/2,"")</f>
        <v>116</v>
      </c>
      <c r="CF88" s="92">
        <f>IF(AND(CE86&lt;&gt;"",CF86&lt;&gt;""),(CE86+CF86)/2,"")</f>
        <v>152.5</v>
      </c>
      <c r="CG88" s="92">
        <f>IF(AND(CD86&lt;&gt;"",CG86&lt;&gt;""),(CD86+CG86)/2,"")</f>
        <v>268.5</v>
      </c>
      <c r="CH88" s="92">
        <f>IF(AND(CG86&lt;&gt;"",CH86&lt;&gt;""),(CG86+CH86)/2,"")</f>
        <v>222.16249999999999</v>
      </c>
      <c r="CI88" s="92">
        <f>IF(AND(CH86&lt;&gt;"",CI86&lt;&gt;""),(CH86+CI86)/2,"")</f>
        <v>236.71250000000001</v>
      </c>
      <c r="CJ88" s="92">
        <f>IF(AND(CG86&lt;&gt;"",CJ86&lt;&gt;""),(CG86+CJ86)/2,"")</f>
        <v>319.55</v>
      </c>
      <c r="CK88" s="92">
        <f>IF(AND(CJ86&lt;&gt;"",CK86&lt;&gt;""),(CJ86+CK86)/2,"")</f>
        <v>349.9</v>
      </c>
      <c r="CL88" s="92">
        <f>IF(AND(CK86&lt;&gt;"",CL86&lt;&gt;""),(CK86+CL86)/2,"")</f>
        <v>365.7</v>
      </c>
      <c r="CM88" s="92">
        <f>IF(AND(CJ86&lt;&gt;"",CM86&lt;&gt;""),(CJ86+CM86)/2,"")</f>
        <v>349.9</v>
      </c>
      <c r="CN88" s="92">
        <f>IF(AND(CM86&lt;&gt;"",CN86&lt;&gt;""),(CM86+CN86)/2,"")</f>
        <v>368</v>
      </c>
      <c r="CO88" s="92">
        <f>IF(AND(CN86&lt;&gt;"",CO86&lt;&gt;""),(CN86+CO86)/2,"")</f>
        <v>368.3</v>
      </c>
      <c r="CP88" s="92">
        <f>IF(AND(CM86&lt;&gt;"",CP86&lt;&gt;""),(CM86+CP86)/2,"")</f>
        <v>366</v>
      </c>
      <c r="CQ88" s="92">
        <f>IF(AND(CP86&lt;&gt;"",CQ86&lt;&gt;""),(CP86+CQ86)/2,"")</f>
        <v>382.95000000000005</v>
      </c>
      <c r="CR88" s="92">
        <f>IF(AND(CQ86&lt;&gt;"",CR86&lt;&gt;""),(CQ86+CR86)/2,"")</f>
        <v>411.35</v>
      </c>
      <c r="CS88" s="92">
        <f>IF(AND(CP86&lt;&gt;"",CS86&lt;&gt;""),(CP86+CS86)/2,"")</f>
        <v>394.7</v>
      </c>
      <c r="CT88" s="92">
        <f>IF(AND(CS86&lt;&gt;"",CT86&lt;&gt;""),(CS86+CT86)/2,"")</f>
        <v>422.79999999999995</v>
      </c>
      <c r="CU88" s="92">
        <f>IF(AND(CT86&lt;&gt;"",CU86&lt;&gt;""),(CT86+CU86)/2,"")</f>
        <v>471.90000000000003</v>
      </c>
      <c r="CV88" s="92">
        <f>IF(AND(CS86&lt;&gt;"",CV86&lt;&gt;""),(CS86+CV86)/2,"")</f>
        <v>472.20000000000005</v>
      </c>
      <c r="CW88" s="92">
        <f>IF(AND(CV86&lt;&gt;"",CW86&lt;&gt;""),(CV86+CW86)/2,"")</f>
        <v>484.35</v>
      </c>
      <c r="CX88" s="92">
        <f>IF(AND(CW86&lt;&gt;"",CX86&lt;&gt;""),(CW86+CX86)/2,"")</f>
        <v>454.85</v>
      </c>
      <c r="CY88" s="92">
        <f>IF(AND(CV86&lt;&gt;"",CY86&lt;&gt;""),(CV86+CY86)/2,"")</f>
        <v>491.80000000000007</v>
      </c>
      <c r="CZ88" s="92">
        <f>IF(AND(CY86&lt;&gt;"",CZ86&lt;&gt;""),(CY86+CZ86)/2,"")</f>
        <v>462.9</v>
      </c>
      <c r="DA88" s="92">
        <f>IF(AND(CZ86&lt;&gt;"",DA86&lt;&gt;""),(CZ86+DA86)/2,"")</f>
        <v>478.1</v>
      </c>
      <c r="DB88" s="92">
        <f>IF(AND(CY86&lt;&gt;"",DB86&lt;&gt;""),(CY86+DB86)/2,"")</f>
        <v>477.5</v>
      </c>
      <c r="DC88" s="92">
        <f>IF(AND(DB86&lt;&gt;"",DC86&lt;&gt;""),(DB86+DC86)/2,"")</f>
        <v>528.25</v>
      </c>
      <c r="DD88" s="92">
        <f>IF(AND(DC86&lt;&gt;"",DD86&lt;&gt;""),(DC86+DD86)/2,"")</f>
        <v>555</v>
      </c>
      <c r="DE88" s="144">
        <f>IF(AND(DB86&lt;&gt;"",DE86&lt;&gt;""),(DB86+DE86)/2,"")</f>
        <v>519.45000000000005</v>
      </c>
      <c r="DF88" s="92">
        <f>IF(AND(DE86&lt;&gt;"",DF86&lt;&gt;""),(DE86+DF86)/2,"")</f>
        <v>564.27500000000009</v>
      </c>
      <c r="DG88" s="92">
        <f>IF(AND(DF86&lt;&gt;"",DG86&lt;&gt;""),(DF86+DG86)/2,"")</f>
        <v>793.72500000000002</v>
      </c>
      <c r="DH88" s="144">
        <f>IF(AND(DE86&lt;&gt;"",DH86&lt;&gt;""),(DE86+DH86)/2,"")</f>
        <v>775.65000000000009</v>
      </c>
      <c r="DI88" s="92">
        <f>IF(AND(DH86&lt;&gt;"",DI86&lt;&gt;""),(DH86+DI86)/2,"")</f>
        <v>1096.25</v>
      </c>
      <c r="DJ88" s="92">
        <f>IF(AND(DI86&lt;&gt;"",DJ86&lt;&gt;""),(DI86+DJ86)/2,"")</f>
        <v>1263.1500000000001</v>
      </c>
      <c r="DK88" s="144">
        <f>IF(AND(DH86&lt;&gt;"",DK86&lt;&gt;""),(DH86+DK86)/2,"")</f>
        <v>1172</v>
      </c>
      <c r="DL88" s="92">
        <f>IF(AND(DK86&lt;&gt;"",DL86&lt;&gt;""),(DK86+DL86)/2,"")</f>
        <v>1512.15</v>
      </c>
      <c r="DM88" s="92">
        <f>IF(AND(DL86&lt;&gt;"",DM86&lt;&gt;""),(DL86+DM86)/2,"")</f>
        <v>1590.95</v>
      </c>
      <c r="DN88" s="144">
        <f>IF(AND(DK86&lt;&gt;"",DN86&lt;&gt;""),(DK86+DN86)/2,"")</f>
        <v>1417.7</v>
      </c>
      <c r="DO88" s="92">
        <f>IF(AND(DN86&lt;&gt;"",DO86&lt;&gt;""),(DN86+DO86)/2,"")</f>
        <v>1915.5</v>
      </c>
      <c r="DP88" s="92">
        <f>IF(AND(DO86&lt;&gt;"",DP86&lt;&gt;""),(DO86+DP86)/2,"")</f>
        <v>2481.25</v>
      </c>
      <c r="DQ88" s="144">
        <f>IF(AND(DN86&lt;&gt;"",DQ86&lt;&gt;""),(DN86+DQ86)/2,"")</f>
        <v>2062.25</v>
      </c>
      <c r="DR88" s="92">
        <f>IF(AND(DQ86&lt;&gt;"",DR86&lt;&gt;""),(DQ86+DR86)/2,"")</f>
        <v>2682.5</v>
      </c>
      <c r="DS88" s="92">
        <f>IF(AND(DR86&lt;&gt;"",DS86&lt;&gt;""),(DR86+DS86)/2,"")</f>
        <v>2584.5</v>
      </c>
      <c r="DT88" s="144">
        <f>IF(AND(DQ86&lt;&gt;"",DT86&lt;&gt;""),(DQ86+DT86)/2,"")</f>
        <v>2530</v>
      </c>
      <c r="DU88" s="92">
        <f>IF(AND(DT86&lt;&gt;"",DU86&lt;&gt;""),(DT86+DU86)/2,"")</f>
        <v>2466.5</v>
      </c>
      <c r="DV88" s="92">
        <f>IF(AND(DU86&lt;&gt;"",DV86&lt;&gt;""),(DU86+DV86)/2,"")</f>
        <v>2494.5</v>
      </c>
      <c r="DW88" s="144">
        <f>IF(AND(DT86&lt;&gt;"",DW86&lt;&gt;""),(DT86+DW86)/2,"")</f>
        <v>2460</v>
      </c>
      <c r="DX88" s="92">
        <f>IF(AND(DW86&lt;&gt;"",DX86&lt;&gt;""),(DW86+DX86)/2,"")</f>
        <v>2450.5</v>
      </c>
      <c r="DY88" s="92">
        <f>IF(AND(DX86&lt;&gt;"",DY86&lt;&gt;""),(DX86+DY86)/2,"")</f>
        <v>2413</v>
      </c>
      <c r="DZ88" s="144">
        <f>IF(AND(DW86&lt;&gt;"",DZ86&lt;&gt;""),(DW86+DZ86)/2,"")</f>
        <v>2450.5</v>
      </c>
      <c r="EA88" s="92">
        <f>IF(AND(DZ86&lt;&gt;"",EA86&lt;&gt;""),(DZ86+EA86)/2,"")</f>
        <v>2413</v>
      </c>
      <c r="EB88" s="92">
        <f>IF(AND(EA86&lt;&gt;"",EB86&lt;&gt;""),(EA86+EB86)/2,"")</f>
        <v>2413</v>
      </c>
      <c r="EC88" s="144">
        <f>IF(AND(DZ86&lt;&gt;"",EC86&lt;&gt;""),(DZ86+EC86)/2,"")</f>
        <v>2413</v>
      </c>
      <c r="ED88" s="92">
        <f>IF(AND(EC86&lt;&gt;"",ED86&lt;&gt;""),(EC86+ED86)/2,"")</f>
        <v>2413</v>
      </c>
      <c r="EE88" s="92">
        <f>IF(AND(ED86&lt;&gt;"",EE86&lt;&gt;""),(ED86+EE86)/2,"")</f>
        <v>2413</v>
      </c>
      <c r="EF88" s="144">
        <f>IF(AND(EC86&lt;&gt;"",EF86&lt;&gt;""),(EC86+EF86)/2,"")</f>
        <v>2413</v>
      </c>
      <c r="EG88" s="92">
        <f>IF(AND(EF86&lt;&gt;"",EG86&lt;&gt;""),(EF86+EG86)/2,"")</f>
        <v>2413</v>
      </c>
      <c r="EH88" s="92">
        <f>IF(AND(EG86&lt;&gt;"",EH86&lt;&gt;""),(EG86+EH86)/2,"")</f>
        <v>2413</v>
      </c>
      <c r="EI88" s="144">
        <f>IF(AND(EF86&lt;&gt;"",EI86&lt;&gt;""),(EF86+EI86)/2,"")</f>
        <v>2413</v>
      </c>
      <c r="EJ88" s="92">
        <f>IF(AND(EI86&lt;&gt;"",EJ86&lt;&gt;""),(EI86+EJ86)/2,"")</f>
        <v>2413</v>
      </c>
      <c r="EK88" s="92">
        <f>IF(AND(EJ86&lt;&gt;"",EK86&lt;&gt;""),(EJ86+EK86)/2,"")</f>
        <v>2413</v>
      </c>
      <c r="EL88" s="144">
        <f>IF(AND(EI86&lt;&gt;"",EL86&lt;&gt;""),(EI86+EL86)/2,"")</f>
        <v>2413</v>
      </c>
      <c r="EM88" s="92">
        <f>IF(AND(EL86&lt;&gt;"",EM86&lt;&gt;""),(EL86+EM86)/2,"")</f>
        <v>2413</v>
      </c>
      <c r="EN88" s="92">
        <f>IF(AND(EM86&lt;&gt;"",EN86&lt;&gt;""),(EM86+EN86)/2,"")</f>
        <v>2413</v>
      </c>
      <c r="EO88" s="144">
        <f>IF(AND(EL86&lt;&gt;"",EO86&lt;&gt;""),(EL86+EO86)/2,"")</f>
        <v>2413</v>
      </c>
      <c r="EP88" s="92">
        <f>IF(AND(EO86&lt;&gt;"",EP86&lt;&gt;""),(EO86+EP86)/2,"")</f>
        <v>2413</v>
      </c>
      <c r="EQ88" s="92">
        <f>IF(AND(EP86&lt;&gt;"",EQ86&lt;&gt;""),(EP86+EQ86)/2,"")</f>
        <v>2413</v>
      </c>
      <c r="ER88" s="144">
        <f>IF(AND(EO86&lt;&gt;"",ER86&lt;&gt;""),(EO86+ER86)/2,"")</f>
        <v>2413</v>
      </c>
      <c r="ES88" s="92">
        <f>IF(AND(ER86&lt;&gt;"",ES86&lt;&gt;""),(ER86+ES86)/2,"")</f>
        <v>2413</v>
      </c>
      <c r="ET88" s="92">
        <f>IF(AND(ES86&lt;&gt;"",ET86&lt;&gt;""),(ES86+ET86)/2,"")</f>
        <v>2413</v>
      </c>
      <c r="EU88" s="144">
        <f>IF(AND(ER86&lt;&gt;"",EU86&lt;&gt;""),(ER86+EU86)/2,"")</f>
        <v>2413</v>
      </c>
      <c r="EV88" s="92">
        <f>IF(AND(EU86&lt;&gt;"",EV86&lt;&gt;""),(EU86+EV86)/2,"")</f>
        <v>2413</v>
      </c>
      <c r="EW88" s="92">
        <f>IF(AND(EV86&lt;&gt;"",EW86&lt;&gt;""),(EV86+EW86)/2,"")</f>
        <v>2413</v>
      </c>
      <c r="EX88" s="144">
        <f>IF(AND(EU86&lt;&gt;"",EX86&lt;&gt;""),(EU86+EX86)/2,"")</f>
        <v>2413</v>
      </c>
      <c r="EY88" s="92">
        <f>IF(AND(EX86&lt;&gt;"",EY86&lt;&gt;""),(EX86+EY86)/2,"")</f>
        <v>2413</v>
      </c>
      <c r="EZ88" s="92">
        <f>IF(AND(EY86&lt;&gt;"",EZ86&lt;&gt;""),(EY86+EZ86)/2,"")</f>
        <v>2413</v>
      </c>
      <c r="FA88" s="144">
        <f>IF(AND(EX86&lt;&gt;"",FA86&lt;&gt;""),(EX86+FA86)/2,"")</f>
        <v>2413</v>
      </c>
    </row>
    <row r="89" spans="1:157" ht="13.35" customHeight="1">
      <c r="A89" s="3"/>
      <c r="B89" s="4" t="s">
        <v>343</v>
      </c>
      <c r="C89" s="4"/>
      <c r="D89" s="4"/>
      <c r="E89" s="82"/>
      <c r="F89" s="8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c r="AV89" s="82"/>
      <c r="AW89" s="82"/>
      <c r="AX89" s="82"/>
      <c r="AY89" s="82"/>
      <c r="AZ89" s="82"/>
      <c r="BA89" s="102"/>
      <c r="BB89" s="102"/>
      <c r="BC89" s="102"/>
      <c r="BD89" s="102"/>
      <c r="BE89" s="102"/>
      <c r="BF89" s="102"/>
      <c r="BG89" s="102"/>
      <c r="BH89" s="102"/>
      <c r="BI89" s="102"/>
      <c r="BJ89" s="102"/>
      <c r="BK89" s="102"/>
      <c r="BL89" s="102"/>
      <c r="BM89" s="102"/>
      <c r="BN89" s="102"/>
      <c r="BO89" s="102"/>
      <c r="BP89" s="102"/>
      <c r="BQ89" s="102"/>
      <c r="BR89" s="102"/>
      <c r="BS89" s="102"/>
      <c r="BT89" s="102"/>
      <c r="BU89" s="102"/>
      <c r="BV89" s="102"/>
      <c r="BW89" s="102"/>
      <c r="BX89" s="102"/>
      <c r="BY89" s="102"/>
      <c r="BZ89" s="102"/>
      <c r="CA89" s="102"/>
      <c r="CB89" s="102"/>
      <c r="CC89" s="102"/>
      <c r="CD89" s="102"/>
      <c r="CE89" s="102"/>
      <c r="CF89" s="102"/>
      <c r="CG89" s="102"/>
      <c r="CH89" s="102"/>
      <c r="CI89" s="102"/>
      <c r="CJ89" s="102"/>
      <c r="CK89" s="102"/>
      <c r="CL89" s="102"/>
      <c r="CM89" s="102"/>
      <c r="CN89" s="102"/>
      <c r="CO89" s="102"/>
      <c r="CP89" s="102"/>
      <c r="CQ89" s="102"/>
      <c r="CR89" s="102"/>
      <c r="CS89" s="102"/>
      <c r="CT89" s="102"/>
      <c r="CU89" s="102"/>
      <c r="CV89" s="102"/>
      <c r="CW89" s="102"/>
      <c r="CX89" s="102"/>
      <c r="CY89" s="102"/>
      <c r="CZ89" s="102"/>
      <c r="DA89" s="102"/>
      <c r="DB89" s="102"/>
      <c r="DC89" s="102"/>
      <c r="DD89" s="102"/>
      <c r="DE89" s="146"/>
      <c r="DF89" s="102"/>
      <c r="DG89" s="102"/>
      <c r="DH89" s="146"/>
      <c r="DI89" s="102"/>
      <c r="DJ89" s="102"/>
      <c r="DK89" s="146"/>
      <c r="DL89" s="102"/>
      <c r="DM89" s="102"/>
      <c r="DN89" s="146"/>
      <c r="DO89" s="102"/>
      <c r="DP89" s="102"/>
      <c r="DQ89" s="146"/>
      <c r="DR89" s="102"/>
      <c r="DS89" s="102"/>
      <c r="DT89" s="146"/>
      <c r="DU89" s="102"/>
      <c r="DV89" s="102"/>
      <c r="DW89" s="146"/>
      <c r="DX89" s="102"/>
      <c r="DY89" s="102"/>
      <c r="DZ89" s="146"/>
      <c r="EA89" s="102"/>
      <c r="EB89" s="102"/>
      <c r="EC89" s="146"/>
      <c r="ED89" s="102"/>
      <c r="EE89" s="102"/>
      <c r="EF89" s="146"/>
      <c r="EG89" s="102"/>
      <c r="EH89" s="102"/>
      <c r="EI89" s="146"/>
      <c r="EJ89" s="102"/>
      <c r="EK89" s="102"/>
      <c r="EL89" s="146"/>
      <c r="EM89" s="102"/>
      <c r="EN89" s="102"/>
      <c r="EO89" s="146"/>
      <c r="EP89" s="102"/>
      <c r="EQ89" s="102"/>
      <c r="ER89" s="146"/>
      <c r="ES89" s="102"/>
      <c r="ET89" s="102"/>
      <c r="EU89" s="146"/>
      <c r="EV89" s="102"/>
      <c r="EW89" s="102"/>
      <c r="EX89" s="146"/>
      <c r="EY89" s="102"/>
      <c r="EZ89" s="102"/>
      <c r="FA89" s="146"/>
    </row>
    <row r="90" spans="1:157" ht="13.35" customHeight="1">
      <c r="A90" s="3"/>
      <c r="B90" s="4" t="s">
        <v>344</v>
      </c>
      <c r="C90" s="4"/>
      <c r="D90" s="4"/>
      <c r="E90" s="93"/>
      <c r="F90" s="93"/>
      <c r="G90" s="93"/>
      <c r="H90" s="93"/>
      <c r="I90" s="93"/>
      <c r="J90" s="93"/>
      <c r="K90" s="93"/>
      <c r="L90" s="93"/>
      <c r="M90" s="93"/>
      <c r="N90" s="93"/>
      <c r="O90" s="93"/>
      <c r="P90" s="93"/>
      <c r="Q90" s="93"/>
      <c r="R90" s="93"/>
      <c r="S90" s="93"/>
      <c r="T90" s="93"/>
      <c r="U90" s="93"/>
      <c r="V90" s="93"/>
      <c r="W90" s="93"/>
      <c r="X90" s="93"/>
      <c r="Y90" s="93"/>
      <c r="Z90" s="93"/>
      <c r="AA90" s="93"/>
      <c r="AB90" s="93"/>
      <c r="AC90" s="93"/>
      <c r="AD90" s="93"/>
      <c r="AE90" s="93"/>
      <c r="AF90" s="93"/>
      <c r="AG90" s="93"/>
      <c r="AH90" s="93"/>
      <c r="AI90" s="93"/>
      <c r="AJ90" s="93"/>
      <c r="AK90" s="93"/>
      <c r="AL90" s="93"/>
      <c r="AM90" s="93"/>
      <c r="AN90" s="93"/>
      <c r="AO90" s="93"/>
      <c r="AP90" s="93"/>
      <c r="AQ90" s="93"/>
      <c r="AR90" s="93"/>
      <c r="AS90" s="93"/>
      <c r="AT90" s="93"/>
      <c r="AU90" s="93"/>
      <c r="AV90" s="93"/>
      <c r="AW90" s="93"/>
      <c r="AX90" s="93"/>
      <c r="AY90" s="93"/>
      <c r="AZ90" s="93"/>
      <c r="BA90" s="92" t="str">
        <f>IF(AND(BA89&lt;&gt;"",BA87&lt;&gt;""),IF(((BA89/2)*BA87)&lt;BA86,(BA89/2)*BA87,BA86),"")</f>
        <v/>
      </c>
      <c r="BB90" s="92" t="str">
        <f>IF(BC90&lt;&gt;"",BC90-BA90,"")</f>
        <v/>
      </c>
      <c r="BC90" s="92" t="str">
        <f>IF(AND(BC89&lt;&gt;"",BC87&lt;&gt;""),IF((BC89*BC87)&lt;BC86,BC89*BC87,BC86),"")</f>
        <v/>
      </c>
      <c r="BD90" s="92" t="str">
        <f>IF(AND(BD89&lt;&gt;"",BD87&lt;&gt;""),IF(((BD89/2)*BD87)&lt;BD86,(BD89/2)*BD87,BD86),"")</f>
        <v/>
      </c>
      <c r="BE90" s="92" t="str">
        <f>IF(BF90&lt;&gt;"",BF90-BD90,"")</f>
        <v/>
      </c>
      <c r="BF90" s="92" t="str">
        <f>IF(AND(BF89&lt;&gt;"",BF87&lt;&gt;""),IF((BF89*BF87)&lt;BF86,BF89*BF87,BF86),"")</f>
        <v/>
      </c>
      <c r="BG90" s="92" t="str">
        <f>IF(AND(BG89&lt;&gt;"",BG87&lt;&gt;""),IF(((BG89/2)*BG87)&lt;BG86,(BG89/2)*BG87,BG86),"")</f>
        <v/>
      </c>
      <c r="BH90" s="92" t="str">
        <f>IF(BI90&lt;&gt;"",BI90-BG90,"")</f>
        <v/>
      </c>
      <c r="BI90" s="92" t="str">
        <f>IF(AND(BI89&lt;&gt;"",BI87&lt;&gt;""),IF((BI89*BI87)&lt;BI86,BI89*BI87,BI86),"")</f>
        <v/>
      </c>
      <c r="BJ90" s="92" t="str">
        <f>IF(AND(BJ89&lt;&gt;"",BJ87&lt;&gt;""),IF(((BJ89/2)*BJ87)&lt;BJ86,(BJ89/2)*BJ87,BJ86),"")</f>
        <v/>
      </c>
      <c r="BK90" s="92" t="str">
        <f>IF(BL90&lt;&gt;"",BL90-BJ90,"")</f>
        <v/>
      </c>
      <c r="BL90" s="92" t="str">
        <f>IF(AND(BL89&lt;&gt;"",BL87&lt;&gt;""),IF((BL89*BL87)&lt;BL86,BL89*BL87,BL86),"")</f>
        <v/>
      </c>
      <c r="BM90" s="92" t="str">
        <f>IF(AND(BM89&lt;&gt;"",BM87&lt;&gt;""),IF(((BM89/2)*BM87)&lt;BM86,(BM89/2)*BM87,BM86),"")</f>
        <v/>
      </c>
      <c r="BN90" s="92" t="str">
        <f>IF(BO90&lt;&gt;"",BO90-BM90,"")</f>
        <v/>
      </c>
      <c r="BO90" s="92" t="str">
        <f>IF(AND(BO89&lt;&gt;"",BO87&lt;&gt;""),IF((BO89*BO87)&lt;BO86,BO89*BO87,BO86),"")</f>
        <v/>
      </c>
      <c r="BP90" s="92" t="str">
        <f>IF(AND(BP89&lt;&gt;"",BP87&lt;&gt;""),IF(((BP89/2)*BP87)&lt;BP86,(BP89/2)*BP87,BP86),"")</f>
        <v/>
      </c>
      <c r="BQ90" s="92" t="str">
        <f>IF(BR90&lt;&gt;"",BR90-BP90,"")</f>
        <v/>
      </c>
      <c r="BR90" s="92" t="str">
        <f>IF(AND(BR89&lt;&gt;"",BR87&lt;&gt;""),IF((BR89*BR87)&lt;BR86,BR89*BR87,BR86),"")</f>
        <v/>
      </c>
      <c r="BS90" s="92" t="str">
        <f>IF(AND(BS89&lt;&gt;"",BS87&lt;&gt;""),IF(((BS89/2)*BS87)&lt;BS86,(BS89/2)*BS87,BS86),"")</f>
        <v/>
      </c>
      <c r="BT90" s="92" t="str">
        <f>IF(BU90&lt;&gt;"",BU90-BS90,"")</f>
        <v/>
      </c>
      <c r="BU90" s="92" t="str">
        <f>IF(AND(BU89&lt;&gt;"",BU87&lt;&gt;""),IF((BU89*BU87)&lt;BU86,BU89*BU87,BU86),"")</f>
        <v/>
      </c>
      <c r="BV90" s="92" t="str">
        <f>IF(AND(BV89&lt;&gt;"",BV87&lt;&gt;""),IF(((BV89/2)*BV87)&lt;BV86,(BV89/2)*BV87,BV86),"")</f>
        <v/>
      </c>
      <c r="BW90" s="92" t="str">
        <f>IF(BX90&lt;&gt;"",BX90-BV90,"")</f>
        <v/>
      </c>
      <c r="BX90" s="92" t="str">
        <f>IF(AND(BX89&lt;&gt;"",BX87&lt;&gt;""),IF((BX89*BX87)&lt;BX86,BX89*BX87,BX86),"")</f>
        <v/>
      </c>
      <c r="BY90" s="92" t="str">
        <f>IF(AND(BY89&lt;&gt;"",BY87&lt;&gt;""),IF(((BY89/2)*BY87)&lt;BY86,(BY89/2)*BY87,BY86),"")</f>
        <v/>
      </c>
      <c r="BZ90" s="92" t="str">
        <f>IF(CA90&lt;&gt;"",CA90-BY90,"")</f>
        <v/>
      </c>
      <c r="CA90" s="92" t="str">
        <f>IF(AND(CA89&lt;&gt;"",CA87&lt;&gt;""),IF((CA89*CA87)&lt;CA86,CA89*CA87,CA86),"")</f>
        <v/>
      </c>
      <c r="CB90" s="92" t="str">
        <f>IF(AND(CB89&lt;&gt;"",CB87&lt;&gt;""),IF(((CB89/2)*CB87)&lt;CB86,(CB89/2)*CB87,CB86),"")</f>
        <v/>
      </c>
      <c r="CC90" s="92" t="str">
        <f>IF(CD90&lt;&gt;"",CD90-CB90,"")</f>
        <v/>
      </c>
      <c r="CD90" s="92" t="str">
        <f>IF(AND(CD89&lt;&gt;"",CD87&lt;&gt;""),IF((CD89*CD87)&lt;CD86,CD89*CD87,CD86),"")</f>
        <v/>
      </c>
      <c r="CE90" s="92" t="str">
        <f>IF(AND(CE89&lt;&gt;"",CE87&lt;&gt;""),IF(((CE89/2)*CE87)&lt;CE86,(CE89/2)*CE87,CE86),"")</f>
        <v/>
      </c>
      <c r="CF90" s="92" t="str">
        <f>IF(CG90&lt;&gt;"",CG90-CE90,"")</f>
        <v/>
      </c>
      <c r="CG90" s="92" t="str">
        <f>IF(AND(CG89&lt;&gt;"",CG87&lt;&gt;""),IF((CG89*CG87)&lt;CG86,CG89*CG87,CG86),"")</f>
        <v/>
      </c>
      <c r="CH90" s="92" t="str">
        <f>IF(AND(CH89&lt;&gt;"",CH87&lt;&gt;""),IF(((CH89/2)*CH87)&lt;CH86,(CH89/2)*CH87,CH86),"")</f>
        <v/>
      </c>
      <c r="CI90" s="92" t="str">
        <f>IF(CJ90&lt;&gt;"",CJ90-CH90,"")</f>
        <v/>
      </c>
      <c r="CJ90" s="92" t="str">
        <f>IF(AND(CJ89&lt;&gt;"",CJ87&lt;&gt;""),IF((CJ89*CJ87)&lt;CJ86,CJ89*CJ87,CJ86),"")</f>
        <v/>
      </c>
      <c r="CK90" s="92" t="str">
        <f>IF(AND(CK89&lt;&gt;"",CK87&lt;&gt;""),IF(((CK89/2)*CK87)&lt;CK86,(CK89/2)*CK87,CK86),"")</f>
        <v/>
      </c>
      <c r="CL90" s="92" t="str">
        <f>IF(CM90&lt;&gt;"",CM90-CK90,"")</f>
        <v/>
      </c>
      <c r="CM90" s="92" t="str">
        <f>IF(AND(CM89&lt;&gt;"",CM87&lt;&gt;""),IF((CM89*CM87)&lt;CM86,CM89*CM87,CM86),"")</f>
        <v/>
      </c>
      <c r="CN90" s="92" t="str">
        <f>IF(AND(CN89&lt;&gt;"",CN87&lt;&gt;""),IF(((CN89/2)*CN87)&lt;CN86,(CN89/2)*CN87,CN86),"")</f>
        <v/>
      </c>
      <c r="CO90" s="92" t="str">
        <f>IF(CP90&lt;&gt;"",CP90-CN90,"")</f>
        <v/>
      </c>
      <c r="CP90" s="92" t="str">
        <f>IF(AND(CP89&lt;&gt;"",CP87&lt;&gt;""),IF((CP89*CP87)&lt;CP86,CP89*CP87,CP86),"")</f>
        <v/>
      </c>
      <c r="CQ90" s="92" t="str">
        <f>IF(AND(CQ89&lt;&gt;"",CQ87&lt;&gt;""),IF(((CQ89/2)*CQ87)&lt;CQ86,(CQ89/2)*CQ87,CQ86),"")</f>
        <v/>
      </c>
      <c r="CR90" s="92" t="str">
        <f>IF(CS90&lt;&gt;"",CS90-CQ90,"")</f>
        <v/>
      </c>
      <c r="CS90" s="92" t="str">
        <f>IF(AND(CS89&lt;&gt;"",CS87&lt;&gt;""),IF((CS89*CS87)&lt;CS86,CS89*CS87,CS86),"")</f>
        <v/>
      </c>
      <c r="CT90" s="92" t="str">
        <f>IF(AND(CT89&lt;&gt;"",CT87&lt;&gt;""),IF(((CT89/2)*CT87)&lt;CT86,(CT89/2)*CT87,CT86),"")</f>
        <v/>
      </c>
      <c r="CU90" s="92" t="str">
        <f>IF(CV90&lt;&gt;"",CV90-CT90,"")</f>
        <v/>
      </c>
      <c r="CV90" s="92" t="str">
        <f>IF(AND(CV89&lt;&gt;"",CV87&lt;&gt;""),IF((CV89*CV87)&lt;CV86,CV89*CV87,CV86),"")</f>
        <v/>
      </c>
      <c r="CW90" s="92" t="str">
        <f>IF(AND(CW89&lt;&gt;"",CW87&lt;&gt;""),IF(((CW89/2)*CW87)&lt;CW86,(CW89/2)*CW87,CW86),"")</f>
        <v/>
      </c>
      <c r="CX90" s="92" t="str">
        <f>IF(CY90&lt;&gt;"",CY90-CW90,"")</f>
        <v/>
      </c>
      <c r="CY90" s="92" t="str">
        <f>IF(AND(CY89&lt;&gt;"",CY87&lt;&gt;""),IF((CY89*CY87)&lt;CY86,CY89*CY87,CY86),"")</f>
        <v/>
      </c>
      <c r="CZ90" s="92" t="str">
        <f>IF(AND(CZ89&lt;&gt;"",CZ87&lt;&gt;""),IF(((CZ89/2)*CZ87)&lt;CZ86,(CZ89/2)*CZ87,CZ86),"")</f>
        <v/>
      </c>
      <c r="DA90" s="92" t="str">
        <f>IF(DB90&lt;&gt;"",DB90-CZ90,"")</f>
        <v/>
      </c>
      <c r="DB90" s="92" t="str">
        <f>IF(AND(DB89&lt;&gt;"",DB87&lt;&gt;""),IF((DB89*DB87)&lt;DB86,DB89*DB87,DB86),"")</f>
        <v/>
      </c>
      <c r="DC90" s="92" t="str">
        <f>IF(AND(DC89&lt;&gt;"",DC87&lt;&gt;""),IF(((DC89/2)*DC87)&lt;DC86,(DC89/2)*DC87,DC86),"")</f>
        <v/>
      </c>
      <c r="DD90" s="92" t="str">
        <f>IF(DE90&lt;&gt;"",DE90-DC90,"")</f>
        <v/>
      </c>
      <c r="DE90" s="144" t="str">
        <f>IF(AND(DE89&lt;&gt;"",DE87&lt;&gt;""),IF((DE89*DE87)&lt;DE86,DE89*DE87,DE86),"")</f>
        <v/>
      </c>
      <c r="DF90" s="92" t="str">
        <f>IF(AND(DF89&lt;&gt;"",DF87&lt;&gt;""),IF(((DF89/2)*DF87)&lt;DF86,(DF89/2)*DF87,DF86),"")</f>
        <v/>
      </c>
      <c r="DG90" s="92" t="str">
        <f>IF(DH90&lt;&gt;"",DH90-DF90,"")</f>
        <v/>
      </c>
      <c r="DH90" s="144" t="str">
        <f>IF(AND(DH89&lt;&gt;"",DH87&lt;&gt;""),IF((DH89*DH87)&lt;DH86,DH89*DH87,DH86),"")</f>
        <v/>
      </c>
      <c r="DI90" s="92" t="str">
        <f>IF(AND(DI89&lt;&gt;"",DI87&lt;&gt;""),IF(((DI89/2)*DI87)&lt;DI86,(DI89/2)*DI87,DI86),"")</f>
        <v/>
      </c>
      <c r="DJ90" s="92" t="str">
        <f>IF(DK90&lt;&gt;"",DK90-DI90,"")</f>
        <v/>
      </c>
      <c r="DK90" s="144" t="str">
        <f>IF(AND(DK89&lt;&gt;"",DK87&lt;&gt;""),IF((DK89*DK87)&lt;DK86,DK89*DK87,DK86),"")</f>
        <v/>
      </c>
      <c r="DL90" s="92" t="str">
        <f>IF(AND(DL89&lt;&gt;"",DL87&lt;&gt;""),IF(((DL89/2)*DL87)&lt;DL86,(DL89/2)*DL87,DL86),"")</f>
        <v/>
      </c>
      <c r="DM90" s="92" t="str">
        <f>IF(DN90&lt;&gt;"",DN90-DL90,"")</f>
        <v/>
      </c>
      <c r="DN90" s="144" t="str">
        <f>IF(AND(DN89&lt;&gt;"",DN87&lt;&gt;""),IF((DN89*DN87)&lt;DN86,DN89*DN87,DN86),"")</f>
        <v/>
      </c>
      <c r="DO90" s="92" t="str">
        <f>IF(AND(DO89&lt;&gt;"",DO87&lt;&gt;""),IF(((DO89/2)*DO87)&lt;DO86,(DO89/2)*DO87,DO86),"")</f>
        <v/>
      </c>
      <c r="DP90" s="92" t="str">
        <f>IF(DQ90&lt;&gt;"",DQ90-DO90,"")</f>
        <v/>
      </c>
      <c r="DQ90" s="144" t="str">
        <f>IF(AND(DQ89&lt;&gt;"",DQ87&lt;&gt;""),IF((DQ89*DQ87)&lt;DQ86,DQ89*DQ87,DQ86),"")</f>
        <v/>
      </c>
      <c r="DR90" s="92" t="str">
        <f>IF(AND(DR89&lt;&gt;"",DR87&lt;&gt;""),IF(((DR89/2)*DR87)&lt;DR86,(DR89/2)*DR87,DR86),"")</f>
        <v/>
      </c>
      <c r="DS90" s="92" t="str">
        <f>IF(DT90&lt;&gt;"",DT90-DR90,"")</f>
        <v/>
      </c>
      <c r="DT90" s="144" t="str">
        <f>IF(AND(DT89&lt;&gt;"",DT87&lt;&gt;""),IF((DT89*DT87)&lt;DT86,DT89*DT87,DT86),"")</f>
        <v/>
      </c>
      <c r="DU90" s="92" t="str">
        <f>IF(AND(DU89&lt;&gt;"",DU87&lt;&gt;""),IF(((DU89/2)*DU87)&lt;DU86,(DU89/2)*DU87,DU86),"")</f>
        <v/>
      </c>
      <c r="DV90" s="92" t="str">
        <f>IF(DW90&lt;&gt;"",DW90-DU90,"")</f>
        <v/>
      </c>
      <c r="DW90" s="144" t="str">
        <f>IF(AND(DW89&lt;&gt;"",DW87&lt;&gt;""),IF((DW89*DW87)&lt;DW86,DW89*DW87,DW86),"")</f>
        <v/>
      </c>
      <c r="DX90" s="92" t="str">
        <f>IF(AND(DX89&lt;&gt;"",DX87&lt;&gt;""),IF(((DX89/2)*DX87)&lt;DX86,(DX89/2)*DX87,DX86),"")</f>
        <v/>
      </c>
      <c r="DY90" s="92" t="str">
        <f>IF(DZ90&lt;&gt;"",DZ90-DX90,"")</f>
        <v/>
      </c>
      <c r="DZ90" s="144" t="str">
        <f>IF(AND(DZ89&lt;&gt;"",DZ87&lt;&gt;""),IF((DZ89*DZ87)&lt;DZ86,DZ89*DZ87,DZ86),"")</f>
        <v/>
      </c>
      <c r="EA90" s="92" t="str">
        <f>IF(AND(EA89&lt;&gt;"",EA87&lt;&gt;""),IF(((EA89/2)*EA87)&lt;EA86,(EA89/2)*EA87,EA86),"")</f>
        <v/>
      </c>
      <c r="EB90" s="92" t="str">
        <f>IF(EC90&lt;&gt;"",EC90-EA90,"")</f>
        <v/>
      </c>
      <c r="EC90" s="144" t="str">
        <f>IF(AND(EC89&lt;&gt;"",EC87&lt;&gt;""),IF((EC89*EC87)&lt;EC86,EC89*EC87,EC86),"")</f>
        <v/>
      </c>
      <c r="ED90" s="92" t="str">
        <f>IF(AND(ED89&lt;&gt;"",ED87&lt;&gt;""),IF(((ED89/2)*ED87)&lt;ED86,(ED89/2)*ED87,ED86),"")</f>
        <v/>
      </c>
      <c r="EE90" s="92" t="str">
        <f>IF(EF90&lt;&gt;"",EF90-ED90,"")</f>
        <v/>
      </c>
      <c r="EF90" s="144" t="str">
        <f>IF(AND(EF89&lt;&gt;"",EF87&lt;&gt;""),IF((EF89*EF87)&lt;EF86,EF89*EF87,EF86),"")</f>
        <v/>
      </c>
      <c r="EG90" s="92" t="str">
        <f>IF(AND(EG89&lt;&gt;"",EG87&lt;&gt;""),IF(((EG89/2)*EG87)&lt;EG86,(EG89/2)*EG87,EG86),"")</f>
        <v/>
      </c>
      <c r="EH90" s="92" t="str">
        <f>IF(EI90&lt;&gt;"",EI90-EG90,"")</f>
        <v/>
      </c>
      <c r="EI90" s="144" t="str">
        <f>IF(AND(EI89&lt;&gt;"",EI87&lt;&gt;""),IF((EI89*EI87)&lt;EI86,EI89*EI87,EI86),"")</f>
        <v/>
      </c>
      <c r="EJ90" s="92" t="str">
        <f>IF(AND(EJ89&lt;&gt;"",EJ87&lt;&gt;""),IF(((EJ89/2)*EJ87)&lt;EJ86,(EJ89/2)*EJ87,EJ86),"")</f>
        <v/>
      </c>
      <c r="EK90" s="92" t="str">
        <f>IF(EL90&lt;&gt;"",EL90-EJ90,"")</f>
        <v/>
      </c>
      <c r="EL90" s="144" t="str">
        <f>IF(AND(EL89&lt;&gt;"",EL87&lt;&gt;""),IF((EL89*EL87)&lt;EL86,EL89*EL87,EL86),"")</f>
        <v/>
      </c>
      <c r="EM90" s="92" t="str">
        <f>IF(AND(EM89&lt;&gt;"",EM87&lt;&gt;""),IF(((EM89/2)*EM87)&lt;EM86,(EM89/2)*EM87,EM86),"")</f>
        <v/>
      </c>
      <c r="EN90" s="92" t="str">
        <f>IF(EO90&lt;&gt;"",EO90-EM90,"")</f>
        <v/>
      </c>
      <c r="EO90" s="144" t="str">
        <f>IF(AND(EO89&lt;&gt;"",EO87&lt;&gt;""),IF((EO89*EO87)&lt;EO86,EO89*EO87,EO86),"")</f>
        <v/>
      </c>
      <c r="EP90" s="92" t="str">
        <f>IF(AND(EP89&lt;&gt;"",EP87&lt;&gt;""),IF(((EP89/2)*EP87)&lt;EP86,(EP89/2)*EP87,EP86),"")</f>
        <v/>
      </c>
      <c r="EQ90" s="92" t="str">
        <f>IF(ER90&lt;&gt;"",ER90-EP90,"")</f>
        <v/>
      </c>
      <c r="ER90" s="144" t="str">
        <f>IF(AND(ER89&lt;&gt;"",ER87&lt;&gt;""),IF((ER89*ER87)&lt;ER86,ER89*ER87,ER86),"")</f>
        <v/>
      </c>
      <c r="ES90" s="92" t="str">
        <f>IF(AND(ES89&lt;&gt;"",ES87&lt;&gt;""),IF(((ES89/2)*ES87)&lt;ES86,(ES89/2)*ES87,ES86),"")</f>
        <v/>
      </c>
      <c r="ET90" s="92" t="str">
        <f>IF(EU90&lt;&gt;"",EU90-ES90,"")</f>
        <v/>
      </c>
      <c r="EU90" s="144" t="str">
        <f>IF(AND(EU89&lt;&gt;"",EU87&lt;&gt;""),IF((EU89*EU87)&lt;EU86,EU89*EU87,EU86),"")</f>
        <v/>
      </c>
      <c r="EV90" s="92" t="str">
        <f>IF(AND(EV89&lt;&gt;"",EV87&lt;&gt;""),IF(((EV89/2)*EV87)&lt;EV86,(EV89/2)*EV87,EV86),"")</f>
        <v/>
      </c>
      <c r="EW90" s="92" t="str">
        <f>IF(EX90&lt;&gt;"",EX90-EV90,"")</f>
        <v/>
      </c>
      <c r="EX90" s="144" t="str">
        <f>IF(AND(EX89&lt;&gt;"",EX87&lt;&gt;""),IF((EX89*EX87)&lt;EX86,EX89*EX87,EX86),"")</f>
        <v/>
      </c>
      <c r="EY90" s="92" t="str">
        <f>IF(AND(EY89&lt;&gt;"",EY87&lt;&gt;""),IF(((EY89/2)*EY87)&lt;EY86,(EY89/2)*EY87,EY86),"")</f>
        <v/>
      </c>
      <c r="EZ90" s="92" t="str">
        <f>IF(FA90&lt;&gt;"",FA90-EY90,"")</f>
        <v/>
      </c>
      <c r="FA90" s="144" t="str">
        <f>IF(AND(FA89&lt;&gt;"",FA87&lt;&gt;""),IF((FA89*FA87)&lt;FA86,FA89*FA87,FA86),"")</f>
        <v/>
      </c>
    </row>
    <row r="91" spans="1:157" ht="13.35" customHeight="1">
      <c r="A91" s="3"/>
      <c r="B91" s="5" t="s">
        <v>345</v>
      </c>
      <c r="C91" s="5"/>
      <c r="D91" s="5"/>
      <c r="E91" s="92" t="str">
        <f>IF(Model!E68&lt;&gt;"",Model!E68,"")</f>
        <v/>
      </c>
      <c r="F91" s="92" t="str">
        <f>IF(AND(G91&lt;&gt;"",E91&lt;&gt;""),G91-E91,"")</f>
        <v/>
      </c>
      <c r="G91" s="92" t="str">
        <f>IF(Model!G68&lt;&gt;"",Model!G68,"")</f>
        <v/>
      </c>
      <c r="H91" s="92" t="str">
        <f>IF(Model!H68&lt;&gt;"",Model!H68,"")</f>
        <v/>
      </c>
      <c r="I91" s="92" t="str">
        <f>IF(AND(J91&lt;&gt;"",H91&lt;&gt;""),J91-H91,"")</f>
        <v/>
      </c>
      <c r="J91" s="92" t="str">
        <f>IF(Model!J68&lt;&gt;"",Model!J68,"")</f>
        <v/>
      </c>
      <c r="K91" s="92" t="str">
        <f>IF(Model!K68&lt;&gt;"",Model!K68,"")</f>
        <v/>
      </c>
      <c r="L91" s="92" t="str">
        <f>IF(AND(M91&lt;&gt;"",K91&lt;&gt;""),M91-K91,"")</f>
        <v/>
      </c>
      <c r="M91" s="92" t="str">
        <f>IF(Model!M68&lt;&gt;"",Model!M68,"")</f>
        <v/>
      </c>
      <c r="N91" s="92" t="str">
        <f>IF(Model!N68&lt;&gt;"",Model!N68,"")</f>
        <v/>
      </c>
      <c r="O91" s="92" t="str">
        <f>IF(AND(P91&lt;&gt;"",N91&lt;&gt;""),P91-N91,"")</f>
        <v/>
      </c>
      <c r="P91" s="92" t="str">
        <f>IF(Model!P68&lt;&gt;"",Model!P68,"")</f>
        <v/>
      </c>
      <c r="Q91" s="92" t="str">
        <f>IF(Model!Q68&lt;&gt;"",Model!Q68,"")</f>
        <v/>
      </c>
      <c r="R91" s="92" t="str">
        <f>IF(AND(S91&lt;&gt;"",Q91&lt;&gt;""),S91-Q91,"")</f>
        <v/>
      </c>
      <c r="S91" s="92" t="str">
        <f>IF(Model!S68&lt;&gt;"",Model!S68,"")</f>
        <v/>
      </c>
      <c r="T91" s="92" t="str">
        <f>IF(Model!T68&lt;&gt;"",Model!T68,"")</f>
        <v/>
      </c>
      <c r="U91" s="92" t="str">
        <f>IF(AND(V91&lt;&gt;"",T91&lt;&gt;""),V91-T91,"")</f>
        <v/>
      </c>
      <c r="V91" s="92" t="str">
        <f>IF(Model!V68&lt;&gt;"",Model!V68,"")</f>
        <v/>
      </c>
      <c r="W91" s="92" t="str">
        <f>IF(Model!W68&lt;&gt;"",Model!W68,"")</f>
        <v/>
      </c>
      <c r="X91" s="92" t="str">
        <f>IF(AND(Y91&lt;&gt;"",W91&lt;&gt;""),Y91-W91,"")</f>
        <v/>
      </c>
      <c r="Y91" s="92" t="str">
        <f>IF(Model!Y68&lt;&gt;"",Model!Y68,"")</f>
        <v/>
      </c>
      <c r="Z91" s="92" t="str">
        <f>IF(Model!Z68&lt;&gt;"",Model!Z68,"")</f>
        <v/>
      </c>
      <c r="AA91" s="92" t="str">
        <f>IF(AND(AB91&lt;&gt;"",Z91&lt;&gt;""),AB91-Z91,"")</f>
        <v/>
      </c>
      <c r="AB91" s="92" t="str">
        <f>IF(Model!AB68&lt;&gt;"",Model!AB68,"")</f>
        <v/>
      </c>
      <c r="AC91" s="92" t="str">
        <f>IF(Model!AC68&lt;&gt;"",Model!AC68,"")</f>
        <v/>
      </c>
      <c r="AD91" s="92" t="str">
        <f>IF(AND(AE91&lt;&gt;"",AC91&lt;&gt;""),AE91-AC91,"")</f>
        <v/>
      </c>
      <c r="AE91" s="92" t="str">
        <f>IF(Model!AE68&lt;&gt;"",Model!AE68,"")</f>
        <v/>
      </c>
      <c r="AF91" s="92" t="str">
        <f>IF(Model!AF68&lt;&gt;"",Model!AF68,"")</f>
        <v/>
      </c>
      <c r="AG91" s="92" t="str">
        <f>IF(AND(AH91&lt;&gt;"",AF91&lt;&gt;""),AH91-AF91,"")</f>
        <v/>
      </c>
      <c r="AH91" s="92" t="str">
        <f>IF(Model!AH68&lt;&gt;"",Model!AH68,"")</f>
        <v/>
      </c>
      <c r="AI91" s="92" t="str">
        <f>IF(Model!AI68&lt;&gt;"",Model!AI68,"")</f>
        <v/>
      </c>
      <c r="AJ91" s="92" t="str">
        <f>IF(AND(AK91&lt;&gt;"",AI91&lt;&gt;""),AK91-AI91,"")</f>
        <v/>
      </c>
      <c r="AK91" s="92" t="str">
        <f>IF(Model!AK68&lt;&gt;"",Model!AK68,"")</f>
        <v/>
      </c>
      <c r="AL91" s="92" t="str">
        <f>IF(Model!AL68&lt;&gt;"",Model!AL68,"")</f>
        <v/>
      </c>
      <c r="AM91" s="92" t="str">
        <f>IF(AND(AN91&lt;&gt;"",AL91&lt;&gt;""),AN91-AL91,"")</f>
        <v/>
      </c>
      <c r="AN91" s="92">
        <f>IF(Model!AN68&lt;&gt;"",Model!AN68,"")</f>
        <v>0.191</v>
      </c>
      <c r="AO91" s="92" t="str">
        <f>IF(Model!AO68&lt;&gt;"",Model!AO68,"")</f>
        <v/>
      </c>
      <c r="AP91" s="92" t="str">
        <f>IF(AND(AQ91&lt;&gt;"",AO91&lt;&gt;""),AQ91-AO91,"")</f>
        <v/>
      </c>
      <c r="AQ91" s="92">
        <f>IF(Model!AQ68&lt;&gt;"",Model!AQ68,"")</f>
        <v>0.57399999999999995</v>
      </c>
      <c r="AR91" s="92" t="str">
        <f>IF(Model!AR68&lt;&gt;"",Model!AR68,"")</f>
        <v/>
      </c>
      <c r="AS91" s="92" t="str">
        <f>IF(AND(AT91&lt;&gt;"",AR91&lt;&gt;""),AT91-AR91,"")</f>
        <v/>
      </c>
      <c r="AT91" s="92">
        <f>IF(Model!AT68&lt;&gt;"",Model!AT68,"")</f>
        <v>0</v>
      </c>
      <c r="AU91" s="92">
        <f>IF(Model!AU68&lt;&gt;"",Model!AU68,"")</f>
        <v>0</v>
      </c>
      <c r="AV91" s="92">
        <f>IF(AND(AW91&lt;&gt;"",AU91&lt;&gt;""),AW91-AU91,"")</f>
        <v>0</v>
      </c>
      <c r="AW91" s="92">
        <f>IF(Model!AW68&lt;&gt;"",Model!AW68,"")</f>
        <v>0</v>
      </c>
      <c r="AX91" s="92">
        <f>IF(Model!AX68&lt;&gt;"",Model!AX68,"")</f>
        <v>0</v>
      </c>
      <c r="AY91" s="92">
        <f>IF(AND(AZ91&lt;&gt;"",AX91&lt;&gt;""),AZ91-AX91,"")</f>
        <v>0</v>
      </c>
      <c r="AZ91" s="92">
        <f>IF(Model!AZ68&lt;&gt;"",Model!AZ68,"")</f>
        <v>0</v>
      </c>
      <c r="BA91" s="96"/>
      <c r="BB91" s="92" t="str">
        <f>IF(AND(BC91&lt;&gt;"",BA91&lt;&gt;""),BC91-BA91,"")</f>
        <v/>
      </c>
      <c r="BC91" s="8"/>
      <c r="BD91" s="8"/>
      <c r="BE91" s="92" t="str">
        <f>IF(AND(BF91&lt;&gt;"",BD91&lt;&gt;""),BF91-BD91,"")</f>
        <v/>
      </c>
      <c r="BF91" s="8"/>
      <c r="BG91" s="8"/>
      <c r="BH91" s="92" t="str">
        <f>IF(AND(BI91&lt;&gt;"",BG91&lt;&gt;""),BI91-BG91,"")</f>
        <v/>
      </c>
      <c r="BI91" s="8"/>
      <c r="BJ91" s="8"/>
      <c r="BK91" s="92" t="str">
        <f>IF(AND(BL91&lt;&gt;"",BJ91&lt;&gt;""),BL91-BJ91,"")</f>
        <v/>
      </c>
      <c r="BL91" s="8"/>
      <c r="BM91" s="8"/>
      <c r="BN91" s="92" t="str">
        <f>IF(AND(BO91&lt;&gt;"",BM91&lt;&gt;""),BO91-BM91,"")</f>
        <v/>
      </c>
      <c r="BO91" s="8"/>
      <c r="BP91" s="8"/>
      <c r="BQ91" s="92" t="str">
        <f>IF(AND(BR91&lt;&gt;"",BP91&lt;&gt;""),BR91-BP91,"")</f>
        <v/>
      </c>
      <c r="BR91" s="8"/>
      <c r="BS91" s="8"/>
      <c r="BT91" s="92" t="str">
        <f>IF(AND(BU91&lt;&gt;"",BS91&lt;&gt;""),BU91-BS91,"")</f>
        <v/>
      </c>
      <c r="BU91" s="8"/>
      <c r="BV91" s="8"/>
      <c r="BW91" s="92" t="str">
        <f>IF(AND(BX91&lt;&gt;"",BV91&lt;&gt;""),BX91-BV91,"")</f>
        <v/>
      </c>
      <c r="BX91" s="8"/>
      <c r="BY91" s="8"/>
      <c r="BZ91" s="92" t="str">
        <f>IF(AND(CA91&lt;&gt;"",BY91&lt;&gt;""),CA91-BY91,"")</f>
        <v/>
      </c>
      <c r="CA91" s="8"/>
      <c r="CB91" s="8"/>
      <c r="CC91" s="92" t="str">
        <f>IF(AND(CD91&lt;&gt;"",CB91&lt;&gt;""),CD91-CB91,"")</f>
        <v/>
      </c>
      <c r="CD91" s="8"/>
      <c r="CE91" s="8"/>
      <c r="CF91" s="92" t="str">
        <f>IF(AND(CG91&lt;&gt;"",CE91&lt;&gt;""),CG91-CE91,"")</f>
        <v/>
      </c>
      <c r="CG91" s="8"/>
      <c r="CH91" s="8"/>
      <c r="CI91" s="92" t="str">
        <f>IF(AND(CJ91&lt;&gt;"",CH91&lt;&gt;""),CJ91-CH91,"")</f>
        <v/>
      </c>
      <c r="CJ91" s="8"/>
      <c r="CK91" s="8"/>
      <c r="CL91" s="92" t="str">
        <f>IF(AND(CM91&lt;&gt;"",CK91&lt;&gt;""),CM91-CK91,"")</f>
        <v/>
      </c>
      <c r="CM91" s="8"/>
      <c r="CN91" s="8"/>
      <c r="CO91" s="92" t="str">
        <f>IF(AND(CP91&lt;&gt;"",CN91&lt;&gt;""),CP91-CN91,"")</f>
        <v/>
      </c>
      <c r="CP91" s="8"/>
      <c r="CQ91" s="8"/>
      <c r="CR91" s="92" t="str">
        <f>IF(AND(CS91&lt;&gt;"",CQ91&lt;&gt;""),CS91-CQ91,"")</f>
        <v/>
      </c>
      <c r="CS91" s="8"/>
      <c r="CT91" s="8"/>
      <c r="CU91" s="92" t="str">
        <f>IF(AND(CV91&lt;&gt;"",CT91&lt;&gt;""),CV91-CT91,"")</f>
        <v/>
      </c>
      <c r="CV91" s="8"/>
      <c r="CW91" s="8"/>
      <c r="CX91" s="92" t="str">
        <f>IF(AND(CY91&lt;&gt;"",CW91&lt;&gt;""),CY91-CW91,"")</f>
        <v/>
      </c>
      <c r="CY91" s="8"/>
      <c r="CZ91" s="8"/>
      <c r="DA91" s="92" t="str">
        <f>IF(AND(DB91&lt;&gt;"",CZ91&lt;&gt;""),DB91-CZ91,"")</f>
        <v/>
      </c>
      <c r="DB91" s="8"/>
      <c r="DC91" s="8"/>
      <c r="DD91" s="92" t="str">
        <f>IF(AND(DE91&lt;&gt;"",DC91&lt;&gt;""),DE91-DC91,"")</f>
        <v/>
      </c>
      <c r="DE91" s="145"/>
      <c r="DF91" s="8"/>
      <c r="DG91" s="92" t="str">
        <f>IF(AND(DH91&lt;&gt;"",DF91&lt;&gt;""),DH91-DF91,"")</f>
        <v/>
      </c>
      <c r="DH91" s="145"/>
      <c r="DI91" s="8"/>
      <c r="DJ91" s="92" t="str">
        <f>IF(AND(DK91&lt;&gt;"",DI91&lt;&gt;""),DK91-DI91,"")</f>
        <v/>
      </c>
      <c r="DK91" s="145"/>
      <c r="DL91" s="8"/>
      <c r="DM91" s="92" t="str">
        <f>IF(AND(DN91&lt;&gt;"",DL91&lt;&gt;""),DN91-DL91,"")</f>
        <v/>
      </c>
      <c r="DN91" s="145"/>
      <c r="DO91" s="8"/>
      <c r="DP91" s="92" t="str">
        <f>IF(AND(DQ91&lt;&gt;"",DO91&lt;&gt;""),DQ91-DO91,"")</f>
        <v/>
      </c>
      <c r="DQ91" s="145"/>
      <c r="DR91" s="8"/>
      <c r="DS91" s="92" t="str">
        <f>IF(AND(DT91&lt;&gt;"",DR91&lt;&gt;""),DT91-DR91,"")</f>
        <v/>
      </c>
      <c r="DT91" s="145"/>
      <c r="DU91" s="8"/>
      <c r="DV91" s="92" t="str">
        <f>IF(AND(DW91&lt;&gt;"",DU91&lt;&gt;""),DW91-DU91,"")</f>
        <v/>
      </c>
      <c r="DW91" s="145"/>
      <c r="DX91" s="8"/>
      <c r="DY91" s="92" t="str">
        <f>IF(AND(DZ91&lt;&gt;"",DX91&lt;&gt;""),DZ91-DX91,"")</f>
        <v/>
      </c>
      <c r="DZ91" s="145"/>
      <c r="EA91" s="8"/>
      <c r="EB91" s="92" t="str">
        <f>IF(AND(EC91&lt;&gt;"",EA91&lt;&gt;""),EC91-EA91,"")</f>
        <v/>
      </c>
      <c r="EC91" s="145"/>
      <c r="ED91" s="8"/>
      <c r="EE91" s="92" t="str">
        <f>IF(AND(EF91&lt;&gt;"",ED91&lt;&gt;""),EF91-ED91,"")</f>
        <v/>
      </c>
      <c r="EF91" s="145"/>
      <c r="EG91" s="8"/>
      <c r="EH91" s="92" t="str">
        <f>IF(AND(EI91&lt;&gt;"",EG91&lt;&gt;""),EI91-EG91,"")</f>
        <v/>
      </c>
      <c r="EI91" s="145"/>
      <c r="EJ91" s="8"/>
      <c r="EK91" s="92" t="str">
        <f>IF(AND(EL91&lt;&gt;"",EJ91&lt;&gt;""),EL91-EJ91,"")</f>
        <v/>
      </c>
      <c r="EL91" s="145"/>
      <c r="EM91" s="8"/>
      <c r="EN91" s="92" t="str">
        <f>IF(AND(EO91&lt;&gt;"",EM91&lt;&gt;""),EO91-EM91,"")</f>
        <v/>
      </c>
      <c r="EO91" s="145"/>
      <c r="EP91" s="8"/>
      <c r="EQ91" s="92" t="str">
        <f>IF(AND(ER91&lt;&gt;"",EP91&lt;&gt;""),ER91-EP91,"")</f>
        <v/>
      </c>
      <c r="ER91" s="145"/>
      <c r="ES91" s="8"/>
      <c r="ET91" s="92" t="str">
        <f>IF(AND(EU91&lt;&gt;"",ES91&lt;&gt;""),EU91-ES91,"")</f>
        <v/>
      </c>
      <c r="EU91" s="145"/>
      <c r="EV91" s="8"/>
      <c r="EW91" s="92" t="str">
        <f>IF(AND(EX91&lt;&gt;"",EV91&lt;&gt;""),EX91-EV91,"")</f>
        <v/>
      </c>
      <c r="EX91" s="145"/>
      <c r="EY91" s="8"/>
      <c r="EZ91" s="92" t="str">
        <f>IF(AND(FA91&lt;&gt;"",EY91&lt;&gt;""),FA91-EY91,"")</f>
        <v/>
      </c>
      <c r="FA91" s="145"/>
    </row>
    <row r="92" spans="1:157" ht="13.35" customHeight="1">
      <c r="A92" s="3"/>
      <c r="B92" s="86"/>
      <c r="C92" s="3"/>
      <c r="D92" s="91"/>
      <c r="E92" s="93"/>
      <c r="F92" s="93"/>
      <c r="G92" s="93"/>
      <c r="H92" s="93"/>
      <c r="I92" s="93"/>
      <c r="J92" s="93"/>
      <c r="K92" s="93"/>
      <c r="L92" s="93"/>
      <c r="M92" s="93"/>
      <c r="N92" s="93"/>
      <c r="O92" s="93"/>
      <c r="P92" s="93"/>
      <c r="Q92" s="93"/>
      <c r="R92" s="93"/>
      <c r="S92" s="93"/>
      <c r="T92" s="93"/>
      <c r="U92" s="93"/>
      <c r="V92" s="93"/>
      <c r="W92" s="93"/>
      <c r="X92" s="93"/>
      <c r="Y92" s="93"/>
      <c r="Z92" s="93"/>
      <c r="AA92" s="93"/>
      <c r="AB92" s="93"/>
      <c r="AC92" s="93"/>
      <c r="AD92" s="93"/>
      <c r="AE92" s="93"/>
      <c r="AF92" s="93"/>
      <c r="AG92" s="93"/>
      <c r="AH92" s="93"/>
      <c r="AI92" s="93"/>
      <c r="AJ92" s="93"/>
      <c r="AK92" s="93"/>
      <c r="AL92" s="93"/>
      <c r="AM92" s="93"/>
      <c r="AN92" s="93"/>
      <c r="AO92" s="93"/>
      <c r="AP92" s="93"/>
      <c r="AQ92" s="93"/>
      <c r="AR92" s="93"/>
      <c r="AS92" s="93"/>
      <c r="AT92" s="93"/>
      <c r="AU92" s="93"/>
      <c r="AV92" s="93"/>
      <c r="AW92" s="93"/>
      <c r="AX92" s="93"/>
      <c r="AY92" s="93"/>
      <c r="AZ92" s="93"/>
      <c r="BA92" s="96"/>
      <c r="BB92" s="92"/>
      <c r="BC92" s="8"/>
      <c r="BD92" s="8"/>
      <c r="BE92" s="92"/>
      <c r="BF92" s="8"/>
      <c r="BG92" s="8"/>
      <c r="BH92" s="92"/>
      <c r="BI92" s="8"/>
      <c r="BJ92" s="8"/>
      <c r="BK92" s="92"/>
      <c r="BL92" s="8"/>
      <c r="BM92" s="8"/>
      <c r="BN92" s="92"/>
      <c r="BO92" s="8"/>
      <c r="BP92" s="8"/>
      <c r="BQ92" s="92"/>
      <c r="BR92" s="8"/>
      <c r="BS92" s="8"/>
      <c r="BT92" s="92"/>
      <c r="BU92" s="8"/>
      <c r="BV92" s="8"/>
      <c r="BW92" s="92"/>
      <c r="BX92" s="8"/>
      <c r="BY92" s="8"/>
      <c r="BZ92" s="92"/>
      <c r="CA92" s="8"/>
      <c r="CB92" s="8"/>
      <c r="CC92" s="92"/>
      <c r="CD92" s="8"/>
      <c r="CE92" s="8"/>
      <c r="CF92" s="92"/>
      <c r="CG92" s="8"/>
      <c r="CH92" s="8"/>
      <c r="CI92" s="92"/>
      <c r="CJ92" s="8"/>
      <c r="CK92" s="8"/>
      <c r="CL92" s="92"/>
      <c r="CM92" s="8"/>
      <c r="CN92" s="8"/>
      <c r="CO92" s="92"/>
      <c r="CP92" s="8"/>
      <c r="CQ92" s="8"/>
      <c r="CR92" s="92"/>
      <c r="CS92" s="8"/>
      <c r="CT92" s="8"/>
      <c r="CU92" s="92"/>
      <c r="CV92" s="8"/>
      <c r="CW92" s="8"/>
      <c r="CX92" s="92"/>
      <c r="CY92" s="8"/>
      <c r="CZ92" s="8"/>
      <c r="DA92" s="92"/>
      <c r="DB92" s="8"/>
      <c r="DC92" s="8"/>
      <c r="DD92" s="92"/>
      <c r="DE92" s="145"/>
      <c r="DF92" s="8"/>
      <c r="DG92" s="92"/>
      <c r="DH92" s="145"/>
      <c r="DI92" s="8"/>
      <c r="DJ92" s="92"/>
      <c r="DK92" s="145"/>
      <c r="DL92" s="8"/>
      <c r="DM92" s="92"/>
      <c r="DN92" s="145"/>
      <c r="DO92" s="8"/>
      <c r="DP92" s="92"/>
      <c r="DQ92" s="145"/>
      <c r="DR92" s="8"/>
      <c r="DS92" s="92"/>
      <c r="DT92" s="145"/>
      <c r="DU92" s="8"/>
      <c r="DV92" s="92"/>
      <c r="DW92" s="145"/>
      <c r="DX92" s="8"/>
      <c r="DY92" s="92"/>
      <c r="DZ92" s="145"/>
      <c r="EA92" s="8"/>
      <c r="EB92" s="92"/>
      <c r="EC92" s="145"/>
      <c r="ED92" s="8"/>
      <c r="EE92" s="92"/>
      <c r="EF92" s="145"/>
      <c r="EG92" s="8"/>
      <c r="EH92" s="92"/>
      <c r="EI92" s="145"/>
      <c r="EJ92" s="8"/>
      <c r="EK92" s="92"/>
      <c r="EL92" s="145"/>
      <c r="EM92" s="8"/>
      <c r="EN92" s="92"/>
      <c r="EO92" s="145"/>
      <c r="EP92" s="8"/>
      <c r="EQ92" s="92"/>
      <c r="ER92" s="145"/>
      <c r="ES92" s="8"/>
      <c r="ET92" s="92"/>
      <c r="EU92" s="145"/>
      <c r="EV92" s="8"/>
      <c r="EW92" s="92"/>
      <c r="EX92" s="145"/>
      <c r="EY92" s="8"/>
      <c r="EZ92" s="92"/>
      <c r="FA92" s="145"/>
    </row>
    <row r="93" spans="1:157" ht="13.35" customHeight="1" outlineLevel="1">
      <c r="A93" s="3"/>
      <c r="B93" s="5" t="s">
        <v>346</v>
      </c>
      <c r="C93" s="5"/>
      <c r="D93" s="3"/>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4"/>
      <c r="AM93" s="84"/>
      <c r="AN93" s="84"/>
      <c r="AO93" s="84"/>
      <c r="AP93" s="84"/>
      <c r="AQ93" s="84"/>
      <c r="AR93" s="84"/>
      <c r="AS93" s="84"/>
      <c r="AT93" s="84"/>
      <c r="AU93" s="84"/>
      <c r="AV93" s="84"/>
      <c r="AW93" s="84"/>
      <c r="AX93" s="84"/>
      <c r="AY93" s="84"/>
      <c r="AZ93" s="84"/>
      <c r="BA93" s="84"/>
      <c r="BB93" s="84"/>
      <c r="BC93" s="84"/>
      <c r="BD93" s="84"/>
      <c r="BE93" s="84"/>
      <c r="BF93" s="84"/>
      <c r="BG93" s="84"/>
      <c r="BH93" s="84"/>
      <c r="BI93" s="84"/>
      <c r="BJ93" s="84"/>
      <c r="BK93" s="84"/>
      <c r="BL93" s="84"/>
      <c r="BM93" s="84"/>
      <c r="BN93" s="84"/>
      <c r="BO93" s="84"/>
      <c r="BP93" s="84"/>
      <c r="BQ93" s="84"/>
      <c r="BR93" s="84"/>
      <c r="BS93" s="84"/>
      <c r="BT93" s="84"/>
      <c r="BU93" s="84"/>
      <c r="BV93" s="84"/>
      <c r="BW93" s="84"/>
      <c r="BX93" s="84"/>
      <c r="BY93" s="84"/>
      <c r="BZ93" s="84"/>
      <c r="CA93" s="84"/>
      <c r="CB93" s="84"/>
      <c r="CC93" s="84"/>
      <c r="CD93" s="84"/>
      <c r="CE93" s="84"/>
      <c r="CF93" s="84"/>
      <c r="CG93" s="84"/>
      <c r="CH93" s="84"/>
      <c r="CI93" s="84"/>
      <c r="CJ93" s="84"/>
      <c r="CK93" s="84"/>
      <c r="CL93" s="84"/>
      <c r="CM93" s="84"/>
      <c r="CN93" s="84"/>
      <c r="CO93" s="84"/>
      <c r="CP93" s="84"/>
      <c r="CQ93" s="84"/>
      <c r="CR93" s="84"/>
      <c r="CS93" s="84"/>
      <c r="CT93" s="84"/>
      <c r="CU93" s="84"/>
      <c r="CV93" s="84"/>
      <c r="CW93" s="84"/>
      <c r="CX93" s="84"/>
      <c r="CY93" s="84"/>
      <c r="CZ93" s="84"/>
      <c r="DA93" s="84"/>
      <c r="DB93" s="84"/>
      <c r="DC93" s="84"/>
      <c r="DD93" s="84"/>
      <c r="DE93" s="140"/>
      <c r="DF93" s="84"/>
      <c r="DG93" s="84"/>
      <c r="DH93" s="140"/>
      <c r="DI93" s="84"/>
      <c r="DJ93" s="84"/>
      <c r="DK93" s="140"/>
      <c r="DL93" s="84"/>
      <c r="DM93" s="84"/>
      <c r="DN93" s="140"/>
      <c r="DO93" s="84"/>
      <c r="DP93" s="84"/>
      <c r="DQ93" s="140"/>
      <c r="DR93" s="84"/>
      <c r="DS93" s="84"/>
      <c r="DT93" s="140"/>
      <c r="DU93" s="84"/>
      <c r="DV93" s="84"/>
      <c r="DW93" s="140"/>
      <c r="DX93" s="84"/>
      <c r="DY93" s="84"/>
      <c r="DZ93" s="140"/>
      <c r="EA93" s="84"/>
      <c r="EB93" s="84"/>
      <c r="EC93" s="140"/>
      <c r="ED93" s="84"/>
      <c r="EE93" s="84"/>
      <c r="EF93" s="140"/>
      <c r="EG93" s="84"/>
      <c r="EH93" s="84"/>
      <c r="EI93" s="140"/>
      <c r="EJ93" s="84"/>
      <c r="EK93" s="84"/>
      <c r="EL93" s="140"/>
      <c r="EM93" s="84"/>
      <c r="EN93" s="84"/>
      <c r="EO93" s="140"/>
      <c r="EP93" s="84"/>
      <c r="EQ93" s="84"/>
      <c r="ER93" s="140"/>
      <c r="ES93" s="84"/>
      <c r="ET93" s="84"/>
      <c r="EU93" s="140"/>
      <c r="EV93" s="84"/>
      <c r="EW93" s="84"/>
      <c r="EX93" s="140"/>
      <c r="EY93" s="84"/>
      <c r="EZ93" s="84"/>
      <c r="FA93" s="140"/>
    </row>
    <row r="94" spans="1:157" ht="13.35" customHeight="1" outlineLevel="1">
      <c r="A94" s="3"/>
      <c r="B94" s="4" t="s">
        <v>347</v>
      </c>
      <c r="C94" s="4"/>
      <c r="D94" s="3"/>
      <c r="E94" s="78" t="str">
        <f>IF(Model!E37&lt;&gt;"",Model!E37,"")</f>
        <v/>
      </c>
      <c r="F94" s="78" t="str">
        <f>IF(G94&lt;&gt;"",G94,"")</f>
        <v/>
      </c>
      <c r="G94" s="78" t="str">
        <f>IF(Model!G37&lt;&gt;"",Model!G37,"")</f>
        <v/>
      </c>
      <c r="H94" s="78" t="str">
        <f>IF(Model!H37&lt;&gt;"",Model!H37,"")</f>
        <v/>
      </c>
      <c r="I94" s="78" t="str">
        <f>IF(J94&lt;&gt;"",J94,"")</f>
        <v/>
      </c>
      <c r="J94" s="78" t="str">
        <f>IF(Model!J37&lt;&gt;"",Model!J37,"")</f>
        <v/>
      </c>
      <c r="K94" s="78" t="str">
        <f>IF(Model!K37&lt;&gt;"",Model!K37,"")</f>
        <v/>
      </c>
      <c r="L94" s="78" t="str">
        <f>IF(M94&lt;&gt;"",M94,"")</f>
        <v/>
      </c>
      <c r="M94" s="78" t="str">
        <f>IF(Model!M37&lt;&gt;"",Model!M37,"")</f>
        <v/>
      </c>
      <c r="N94" s="78" t="str">
        <f>IF(Model!N37&lt;&gt;"",Model!N37,"")</f>
        <v/>
      </c>
      <c r="O94" s="78" t="str">
        <f>IF(P94&lt;&gt;"",P94,"")</f>
        <v/>
      </c>
      <c r="P94" s="78" t="str">
        <f>IF(Model!P37&lt;&gt;"",Model!P37,"")</f>
        <v/>
      </c>
      <c r="Q94" s="78" t="str">
        <f>IF(Model!Q37&lt;&gt;"",Model!Q37,"")</f>
        <v/>
      </c>
      <c r="R94" s="78" t="str">
        <f>IF(S94&lt;&gt;"",S94,"")</f>
        <v/>
      </c>
      <c r="S94" s="78" t="str">
        <f>IF(Model!S37&lt;&gt;"",Model!S37,"")</f>
        <v/>
      </c>
      <c r="T94" s="78" t="str">
        <f>IF(Model!T37&lt;&gt;"",Model!T37,"")</f>
        <v/>
      </c>
      <c r="U94" s="78" t="str">
        <f>IF(V94&lt;&gt;"",V94,"")</f>
        <v/>
      </c>
      <c r="V94" s="78" t="str">
        <f>IF(Model!V37&lt;&gt;"",Model!V37,"")</f>
        <v/>
      </c>
      <c r="W94" s="78" t="str">
        <f>IF(Model!W37&lt;&gt;"",Model!W37,"")</f>
        <v/>
      </c>
      <c r="X94" s="78" t="str">
        <f>IF(Y94&lt;&gt;"",Y94,"")</f>
        <v/>
      </c>
      <c r="Y94" s="78" t="str">
        <f>IF(Model!Y37&lt;&gt;"",Model!Y37,"")</f>
        <v/>
      </c>
      <c r="Z94" s="78" t="str">
        <f>IF(Model!Z37&lt;&gt;"",Model!Z37,"")</f>
        <v/>
      </c>
      <c r="AA94" s="78" t="str">
        <f>IF(AB94&lt;&gt;"",AB94,"")</f>
        <v/>
      </c>
      <c r="AB94" s="78" t="str">
        <f>IF(Model!AB37&lt;&gt;"",Model!AB37,"")</f>
        <v/>
      </c>
      <c r="AC94" s="78" t="str">
        <f>IF(Model!AC37&lt;&gt;"",Model!AC37,"")</f>
        <v/>
      </c>
      <c r="AD94" s="78" t="str">
        <f>IF(AE94&lt;&gt;"",AE94,"")</f>
        <v/>
      </c>
      <c r="AE94" s="78" t="str">
        <f>IF(Model!AE37&lt;&gt;"",Model!AE37,"")</f>
        <v/>
      </c>
      <c r="AF94" s="78" t="str">
        <f>IF(Model!AF37&lt;&gt;"",Model!AF37,"")</f>
        <v/>
      </c>
      <c r="AG94" s="78" t="str">
        <f>IF(AH94&lt;&gt;"",AH94,"")</f>
        <v/>
      </c>
      <c r="AH94" s="78" t="str">
        <f>IF(Model!AH37&lt;&gt;"",Model!AH37,"")</f>
        <v/>
      </c>
      <c r="AI94" s="78" t="str">
        <f>IF(Model!AI37&lt;&gt;"",Model!AI37,"")</f>
        <v/>
      </c>
      <c r="AJ94" s="78" t="str">
        <f>IF(AK94&lt;&gt;"",AK94,"")</f>
        <v/>
      </c>
      <c r="AK94" s="78" t="str">
        <f>IF(Model!AK37&lt;&gt;"",Model!AK37,"")</f>
        <v/>
      </c>
      <c r="AL94" s="78" t="str">
        <f>IF(Model!AL37&lt;&gt;"",Model!AL37,"")</f>
        <v/>
      </c>
      <c r="AM94" s="78">
        <f>IF(AN94&lt;&gt;"",AN94,"")</f>
        <v>0.42099999999999999</v>
      </c>
      <c r="AN94" s="78">
        <f>IF(Model!AN37&lt;&gt;"",Model!AN37,"")</f>
        <v>0.42099999999999999</v>
      </c>
      <c r="AO94" s="78" t="str">
        <f>IF(Model!AO37&lt;&gt;"",Model!AO37,"")</f>
        <v/>
      </c>
      <c r="AP94" s="78">
        <f>IF(AQ94&lt;&gt;"",AQ94,"")</f>
        <v>1.35</v>
      </c>
      <c r="AQ94" s="78">
        <f>IF(Model!AQ37&lt;&gt;"",Model!AQ37,"")</f>
        <v>1.35</v>
      </c>
      <c r="AR94" s="78"/>
      <c r="AS94" s="78">
        <f>IF(AT94&lt;&gt;"",AT94,"")</f>
        <v>1.6060000000000001</v>
      </c>
      <c r="AT94" s="78">
        <f>IF(Model!AT37&lt;&gt;"",Model!AT37,"")</f>
        <v>1.6060000000000001</v>
      </c>
      <c r="AU94" s="78"/>
      <c r="AV94" s="78">
        <f>IF(AW94&lt;&gt;"",AW94,"")</f>
        <v>1.25</v>
      </c>
      <c r="AW94" s="78">
        <f>IF(Model!AW37&lt;&gt;"",Model!AW37,"")</f>
        <v>1.25</v>
      </c>
      <c r="AX94" s="78"/>
      <c r="AY94" s="78">
        <f>IF(AZ94&lt;&gt;"",AZ94,"")</f>
        <v>1.1990000000000001</v>
      </c>
      <c r="AZ94" s="78">
        <f>IF(Model!AZ37&lt;&gt;"",Model!AZ37,"")</f>
        <v>1.1990000000000001</v>
      </c>
      <c r="BA94" s="78"/>
      <c r="BB94" s="78" t="str">
        <f>IF(BC94&lt;&gt;"",BC94,"")</f>
        <v/>
      </c>
      <c r="BC94" s="79"/>
      <c r="BD94" s="79"/>
      <c r="BE94" s="78" t="str">
        <f>IF(BF94&lt;&gt;"",BF94,"")</f>
        <v/>
      </c>
      <c r="BF94" s="79"/>
      <c r="BG94" s="79"/>
      <c r="BH94" s="78" t="str">
        <f>IF(BI94&lt;&gt;"",BI94,"")</f>
        <v/>
      </c>
      <c r="BI94" s="79"/>
      <c r="BJ94" s="79"/>
      <c r="BK94" s="78" t="str">
        <f>IF(BL94&lt;&gt;"",BL94,"")</f>
        <v/>
      </c>
      <c r="BL94" s="79"/>
      <c r="BM94" s="79"/>
      <c r="BN94" s="78" t="str">
        <f>IF(BO94&lt;&gt;"",BO94,"")</f>
        <v/>
      </c>
      <c r="BO94" s="79"/>
      <c r="BP94" s="79"/>
      <c r="BQ94" s="78" t="str">
        <f>IF(BR94&lt;&gt;"",BR94,"")</f>
        <v/>
      </c>
      <c r="BR94" s="79"/>
      <c r="BS94" s="79"/>
      <c r="BT94" s="78" t="str">
        <f>IF(BU94&lt;&gt;"",BU94,"")</f>
        <v/>
      </c>
      <c r="BU94" s="79"/>
      <c r="BV94" s="79"/>
      <c r="BW94" s="78" t="str">
        <f>IF(BX94&lt;&gt;"",BX94,"")</f>
        <v/>
      </c>
      <c r="BX94" s="79"/>
      <c r="BY94" s="79"/>
      <c r="BZ94" s="78" t="str">
        <f>IF(CA94&lt;&gt;"",CA94,"")</f>
        <v/>
      </c>
      <c r="CA94" s="79"/>
      <c r="CB94" s="79"/>
      <c r="CC94" s="78" t="str">
        <f>IF(CD94&lt;&gt;"",CD94,"")</f>
        <v/>
      </c>
      <c r="CD94" s="79"/>
      <c r="CE94" s="79"/>
      <c r="CF94" s="78" t="str">
        <f>IF(CG94&lt;&gt;"",CG94,"")</f>
        <v/>
      </c>
      <c r="CG94" s="79"/>
      <c r="CH94" s="79"/>
      <c r="CI94" s="78" t="str">
        <f>IF(CJ94&lt;&gt;"",CJ94,"")</f>
        <v/>
      </c>
      <c r="CJ94" s="79"/>
      <c r="CK94" s="79"/>
      <c r="CL94" s="78" t="str">
        <f>IF(CM94&lt;&gt;"",CM94,"")</f>
        <v/>
      </c>
      <c r="CM94" s="79"/>
      <c r="CN94" s="79"/>
      <c r="CO94" s="78" t="str">
        <f>IF(CP94&lt;&gt;"",CP94,"")</f>
        <v/>
      </c>
      <c r="CP94" s="79"/>
      <c r="CQ94" s="79"/>
      <c r="CR94" s="78" t="str">
        <f>IF(CS94&lt;&gt;"",CS94,"")</f>
        <v/>
      </c>
      <c r="CS94" s="79"/>
      <c r="CT94" s="79"/>
      <c r="CU94" s="78" t="str">
        <f>IF(CV94&lt;&gt;"",CV94,"")</f>
        <v/>
      </c>
      <c r="CV94" s="79"/>
      <c r="CW94" s="79"/>
      <c r="CX94" s="78" t="str">
        <f>IF(CY94&lt;&gt;"",CY94,"")</f>
        <v/>
      </c>
      <c r="CY94" s="79"/>
      <c r="CZ94" s="79"/>
      <c r="DA94" s="78"/>
      <c r="DB94" s="79"/>
      <c r="DC94" s="79"/>
      <c r="DD94" s="78"/>
      <c r="DE94" s="135"/>
      <c r="DF94" s="79"/>
      <c r="DG94" s="78" t="str">
        <f>IF(DH94&lt;&gt;"",DH94,"")</f>
        <v/>
      </c>
      <c r="DH94" s="135"/>
      <c r="DI94" s="79"/>
      <c r="DJ94" s="78" t="str">
        <f>IF(DK94&lt;&gt;"",DK94,"")</f>
        <v/>
      </c>
      <c r="DK94" s="135"/>
      <c r="DL94" s="79"/>
      <c r="DM94" s="78" t="str">
        <f>IF(DN94&lt;&gt;"",DN94,"")</f>
        <v/>
      </c>
      <c r="DN94" s="135"/>
      <c r="DO94" s="79"/>
      <c r="DP94" s="78" t="str">
        <f>IF(DQ94&lt;&gt;"",DQ94,"")</f>
        <v/>
      </c>
      <c r="DQ94" s="135"/>
      <c r="DR94" s="79"/>
      <c r="DS94" s="78" t="str">
        <f>IF(DT94&lt;&gt;"",DT94,"")</f>
        <v/>
      </c>
      <c r="DT94" s="135"/>
      <c r="DU94" s="79"/>
      <c r="DV94" s="78" t="str">
        <f>IF(DW94&lt;&gt;"",DW94,"")</f>
        <v/>
      </c>
      <c r="DW94" s="135"/>
      <c r="DX94" s="79"/>
      <c r="DY94" s="78" t="str">
        <f>IF(DZ94&lt;&gt;"",DZ94,"")</f>
        <v/>
      </c>
      <c r="DZ94" s="135"/>
      <c r="EA94" s="79"/>
      <c r="EB94" s="78" t="str">
        <f>IF(EC94&lt;&gt;"",EC94,"")</f>
        <v/>
      </c>
      <c r="EC94" s="135"/>
      <c r="ED94" s="79"/>
      <c r="EE94" s="78" t="str">
        <f>IF(EF94&lt;&gt;"",EF94,"")</f>
        <v/>
      </c>
      <c r="EF94" s="135"/>
      <c r="EG94" s="79"/>
      <c r="EH94" s="78" t="str">
        <f>IF(EI94&lt;&gt;"",EI94,"")</f>
        <v/>
      </c>
      <c r="EI94" s="135"/>
      <c r="EJ94" s="79"/>
      <c r="EK94" s="78" t="str">
        <f>IF(EL94&lt;&gt;"",EL94,"")</f>
        <v/>
      </c>
      <c r="EL94" s="135"/>
      <c r="EM94" s="79"/>
      <c r="EN94" s="78" t="str">
        <f>IF(EO94&lt;&gt;"",EO94,"")</f>
        <v/>
      </c>
      <c r="EO94" s="135"/>
      <c r="EP94" s="79"/>
      <c r="EQ94" s="78" t="str">
        <f>IF(ER94&lt;&gt;"",ER94,"")</f>
        <v/>
      </c>
      <c r="ER94" s="135"/>
      <c r="ES94" s="79"/>
      <c r="ET94" s="78" t="str">
        <f>IF(EU94&lt;&gt;"",EU94,"")</f>
        <v/>
      </c>
      <c r="EU94" s="135"/>
      <c r="EV94" s="79"/>
      <c r="EW94" s="78" t="str">
        <f>IF(EX94&lt;&gt;"",EX94,"")</f>
        <v/>
      </c>
      <c r="EX94" s="135"/>
      <c r="EY94" s="79"/>
      <c r="EZ94" s="78" t="str">
        <f>IF(FA94&lt;&gt;"",FA94,"")</f>
        <v/>
      </c>
      <c r="FA94" s="135"/>
    </row>
    <row r="95" spans="1:157" ht="13.35" customHeight="1" outlineLevel="1">
      <c r="A95" s="3"/>
      <c r="B95" s="4" t="s">
        <v>348</v>
      </c>
      <c r="C95" s="4"/>
      <c r="D95" s="4"/>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c r="AO95" s="79"/>
      <c r="AP95" s="79"/>
      <c r="AQ95" s="79"/>
      <c r="AR95" s="79"/>
      <c r="AS95" s="79"/>
      <c r="AT95" s="79"/>
      <c r="AU95" s="79"/>
      <c r="AV95" s="79"/>
      <c r="AW95" s="79"/>
      <c r="AX95" s="79"/>
      <c r="AY95" s="79"/>
      <c r="AZ95" s="79"/>
      <c r="BA95" s="88"/>
      <c r="BB95" s="78">
        <f>IF(BC95&lt;&gt;"",BC95,"")</f>
        <v>-911.7</v>
      </c>
      <c r="BC95" s="88">
        <v>-911.7</v>
      </c>
      <c r="BD95" s="88"/>
      <c r="BE95" s="78" t="str">
        <f>IF(BF95&lt;&gt;"",BF95,"")</f>
        <v/>
      </c>
      <c r="BF95" s="89"/>
      <c r="BG95" s="89"/>
      <c r="BH95" s="78" t="str">
        <f>IF(BI95&lt;&gt;"",BI95,"")</f>
        <v/>
      </c>
      <c r="BI95" s="89"/>
      <c r="BJ95" s="89"/>
      <c r="BK95" s="78" t="str">
        <f>IF(BL95&lt;&gt;"",BL95,"")</f>
        <v/>
      </c>
      <c r="BL95" s="89"/>
      <c r="BM95" s="89"/>
      <c r="BN95" s="78">
        <f>IF(BO95&lt;&gt;"",BO95,"")</f>
        <v>200</v>
      </c>
      <c r="BO95" s="88">
        <v>200</v>
      </c>
      <c r="BP95" s="88"/>
      <c r="BQ95" s="78" t="str">
        <f>IF(BR95&lt;&gt;"",BR95,"")</f>
        <v/>
      </c>
      <c r="BR95" s="89"/>
      <c r="BS95" s="89"/>
      <c r="BT95" s="78" t="str">
        <f>IF(BU95&lt;&gt;"",BU95,"")</f>
        <v/>
      </c>
      <c r="BU95" s="89"/>
      <c r="BV95" s="89"/>
      <c r="BW95" s="78" t="str">
        <f>IF(BX95&lt;&gt;"",BX95,"")</f>
        <v/>
      </c>
      <c r="BX95" s="89"/>
      <c r="BY95" s="89"/>
      <c r="BZ95" s="78" t="str">
        <f>IF(CA95&lt;&gt;"",CA95,"")</f>
        <v/>
      </c>
      <c r="CA95" s="89"/>
      <c r="CB95" s="89"/>
      <c r="CC95" s="78" t="str">
        <f>IF(CD95&lt;&gt;"",CD95,"")</f>
        <v/>
      </c>
      <c r="CD95" s="89"/>
      <c r="CE95" s="89"/>
      <c r="CF95" s="78" t="str">
        <f>IF(CG95&lt;&gt;"",CG95,"")</f>
        <v/>
      </c>
      <c r="CG95" s="89"/>
      <c r="CH95" s="89"/>
      <c r="CI95" s="78" t="str">
        <f>IF(CJ95&lt;&gt;"",CJ95,"")</f>
        <v/>
      </c>
      <c r="CJ95" s="89"/>
      <c r="CK95" s="89"/>
      <c r="CL95" s="78" t="str">
        <f>IF(CM95&lt;&gt;"",CM95,"")</f>
        <v/>
      </c>
      <c r="CM95" s="89"/>
      <c r="CN95" s="89"/>
      <c r="CO95" s="78" t="str">
        <f>IF(CP95&lt;&gt;"",CP95,"")</f>
        <v/>
      </c>
      <c r="CP95" s="89"/>
      <c r="CQ95" s="89"/>
      <c r="CR95" s="78" t="str">
        <f>IF(CS95&lt;&gt;"",CS95,"")</f>
        <v/>
      </c>
      <c r="CS95" s="89"/>
      <c r="CT95" s="89"/>
      <c r="CU95" s="78" t="str">
        <f>IF(CV95&lt;&gt;"",CV95,"")</f>
        <v/>
      </c>
      <c r="CV95" s="89"/>
      <c r="CW95" s="89"/>
      <c r="CX95" s="78" t="str">
        <f>IF(CY95&lt;&gt;"",CY95,"")</f>
        <v/>
      </c>
      <c r="CY95" s="89"/>
      <c r="CZ95" s="89"/>
      <c r="DA95" s="78"/>
      <c r="DB95" s="89"/>
      <c r="DC95" s="89"/>
      <c r="DD95" s="78"/>
      <c r="DE95" s="141"/>
      <c r="DF95" s="89"/>
      <c r="DG95" s="78" t="str">
        <f>IF(DH95&lt;&gt;"",DH95,"")</f>
        <v/>
      </c>
      <c r="DH95" s="141"/>
      <c r="DI95" s="89"/>
      <c r="DJ95" s="78" t="str">
        <f>IF(DK95&lt;&gt;"",DK95,"")</f>
        <v/>
      </c>
      <c r="DK95" s="141"/>
      <c r="DL95" s="89"/>
      <c r="DM95" s="78" t="str">
        <f>IF(DN95&lt;&gt;"",DN95,"")</f>
        <v/>
      </c>
      <c r="DN95" s="141"/>
      <c r="DO95" s="89"/>
      <c r="DP95" s="78" t="str">
        <f>IF(DQ95&lt;&gt;"",DQ95,"")</f>
        <v/>
      </c>
      <c r="DQ95" s="141"/>
      <c r="DR95" s="89"/>
      <c r="DS95" s="78" t="str">
        <f>IF(DT95&lt;&gt;"",DT95,"")</f>
        <v/>
      </c>
      <c r="DT95" s="141"/>
      <c r="DU95" s="89"/>
      <c r="DV95" s="78" t="str">
        <f>IF(DW95&lt;&gt;"",DW95,"")</f>
        <v/>
      </c>
      <c r="DW95" s="141"/>
      <c r="DX95" s="89"/>
      <c r="DY95" s="78" t="str">
        <f>IF(DZ95&lt;&gt;"",DZ95,"")</f>
        <v/>
      </c>
      <c r="DZ95" s="141"/>
      <c r="EA95" s="89"/>
      <c r="EB95" s="78" t="str">
        <f>IF(EC95&lt;&gt;"",EC95,"")</f>
        <v/>
      </c>
      <c r="EC95" s="141"/>
      <c r="ED95" s="89"/>
      <c r="EE95" s="78" t="str">
        <f>IF(EF95&lt;&gt;"",EF95,"")</f>
        <v/>
      </c>
      <c r="EF95" s="141"/>
      <c r="EG95" s="89"/>
      <c r="EH95" s="78" t="str">
        <f>IF(EI95&lt;&gt;"",EI95,"")</f>
        <v/>
      </c>
      <c r="EI95" s="141"/>
      <c r="EJ95" s="89"/>
      <c r="EK95" s="78" t="str">
        <f>IF(EL95&lt;&gt;"",EL95,"")</f>
        <v/>
      </c>
      <c r="EL95" s="141"/>
      <c r="EM95" s="89"/>
      <c r="EN95" s="78" t="str">
        <f>IF(EO95&lt;&gt;"",EO95,"")</f>
        <v/>
      </c>
      <c r="EO95" s="141"/>
      <c r="EP95" s="89"/>
      <c r="EQ95" s="78" t="str">
        <f>IF(ER95&lt;&gt;"",ER95,"")</f>
        <v/>
      </c>
      <c r="ER95" s="141"/>
      <c r="ES95" s="89"/>
      <c r="ET95" s="78" t="str">
        <f>IF(EU95&lt;&gt;"",EU95,"")</f>
        <v/>
      </c>
      <c r="EU95" s="141"/>
      <c r="EV95" s="89"/>
      <c r="EW95" s="78" t="str">
        <f>IF(EX95&lt;&gt;"",EX95,"")</f>
        <v/>
      </c>
      <c r="EX95" s="141"/>
      <c r="EY95" s="89"/>
      <c r="EZ95" s="78" t="str">
        <f>IF(FA95&lt;&gt;"",FA95,"")</f>
        <v/>
      </c>
      <c r="FA95" s="141"/>
    </row>
    <row r="96" spans="1:157" ht="13.35" customHeight="1" outlineLevel="1">
      <c r="A96" s="3"/>
      <c r="B96" s="4" t="s">
        <v>311</v>
      </c>
      <c r="C96" s="4"/>
      <c r="D96" s="4"/>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c r="AO96" s="79"/>
      <c r="AP96" s="79"/>
      <c r="AQ96" s="79"/>
      <c r="AR96" s="79"/>
      <c r="AS96" s="79"/>
      <c r="AT96" s="79"/>
      <c r="AU96" s="79"/>
      <c r="AV96" s="79"/>
      <c r="AW96" s="79"/>
      <c r="AX96" s="79"/>
      <c r="AY96" s="79"/>
      <c r="AZ96" s="79"/>
      <c r="BA96" s="88"/>
      <c r="BB96" s="78" t="str">
        <f>IF(BC96&lt;&gt;"",BC96,"")</f>
        <v/>
      </c>
      <c r="BC96" s="89"/>
      <c r="BD96" s="89"/>
      <c r="BE96" s="78" t="str">
        <f>IF(BF96&lt;&gt;"",BF96,"")</f>
        <v/>
      </c>
      <c r="BF96" s="89"/>
      <c r="BG96" s="89"/>
      <c r="BH96" s="78" t="str">
        <f>IF(BI96&lt;&gt;"",BI96,"")</f>
        <v/>
      </c>
      <c r="BI96" s="89"/>
      <c r="BJ96" s="89"/>
      <c r="BK96" s="78" t="str">
        <f>IF(BL96&lt;&gt;"",BL96,"")</f>
        <v/>
      </c>
      <c r="BL96" s="89"/>
      <c r="BM96" s="89"/>
      <c r="BN96" s="78" t="str">
        <f>IF(BO96&lt;&gt;"",BO96,"")</f>
        <v/>
      </c>
      <c r="BO96" s="89"/>
      <c r="BP96" s="89"/>
      <c r="BQ96" s="78" t="str">
        <f>IF(BR96&lt;&gt;"",BR96,"")</f>
        <v/>
      </c>
      <c r="BR96" s="89"/>
      <c r="BS96" s="89"/>
      <c r="BT96" s="78" t="str">
        <f>IF(BU96&lt;&gt;"",BU96,"")</f>
        <v/>
      </c>
      <c r="BU96" s="89"/>
      <c r="BV96" s="89"/>
      <c r="BW96" s="78" t="str">
        <f>IF(BX96&lt;&gt;"",BX96,"")</f>
        <v/>
      </c>
      <c r="BX96" s="89"/>
      <c r="BY96" s="89"/>
      <c r="BZ96" s="78" t="str">
        <f>IF(CA96&lt;&gt;"",CA96,"")</f>
        <v/>
      </c>
      <c r="CA96" s="89"/>
      <c r="CB96" s="89"/>
      <c r="CC96" s="78" t="str">
        <f>IF(CD96&lt;&gt;"",CD96,"")</f>
        <v/>
      </c>
      <c r="CD96" s="89"/>
      <c r="CE96" s="89"/>
      <c r="CF96" s="78" t="str">
        <f>IF(CG96&lt;&gt;"",CG96,"")</f>
        <v/>
      </c>
      <c r="CG96" s="89"/>
      <c r="CH96" s="89"/>
      <c r="CI96" s="78" t="str">
        <f>IF(CJ96&lt;&gt;"",CJ96,"")</f>
        <v/>
      </c>
      <c r="CJ96" s="89"/>
      <c r="CK96" s="89"/>
      <c r="CL96" s="78" t="str">
        <f>IF(CM96&lt;&gt;"",CM96,"")</f>
        <v/>
      </c>
      <c r="CM96" s="89"/>
      <c r="CN96" s="89"/>
      <c r="CO96" s="78" t="str">
        <f>IF(CP96&lt;&gt;"",CP96,"")</f>
        <v/>
      </c>
      <c r="CP96" s="89"/>
      <c r="CQ96" s="89"/>
      <c r="CR96" s="78" t="str">
        <f>IF(CS96&lt;&gt;"",CS96,"")</f>
        <v/>
      </c>
      <c r="CS96" s="89"/>
      <c r="CT96" s="89"/>
      <c r="CU96" s="78" t="str">
        <f>IF(CV96&lt;&gt;"",CV96,"")</f>
        <v/>
      </c>
      <c r="CV96" s="89"/>
      <c r="CW96" s="89"/>
      <c r="CX96" s="78" t="str">
        <f>IF(CY96&lt;&gt;"",CY96,"")</f>
        <v/>
      </c>
      <c r="CY96" s="89"/>
      <c r="CZ96" s="89"/>
      <c r="DA96" s="78"/>
      <c r="DB96" s="89"/>
      <c r="DC96" s="89"/>
      <c r="DD96" s="78"/>
      <c r="DE96" s="141"/>
      <c r="DF96" s="89"/>
      <c r="DG96" s="78" t="str">
        <f>IF(DH96&lt;&gt;"",DH96,"")</f>
        <v/>
      </c>
      <c r="DH96" s="141"/>
      <c r="DI96" s="89"/>
      <c r="DJ96" s="78" t="str">
        <f>IF(DK96&lt;&gt;"",DK96,"")</f>
        <v/>
      </c>
      <c r="DK96" s="141"/>
      <c r="DL96" s="89"/>
      <c r="DM96" s="78" t="str">
        <f>IF(DN96&lt;&gt;"",DN96,"")</f>
        <v/>
      </c>
      <c r="DN96" s="141"/>
      <c r="DO96" s="89"/>
      <c r="DP96" s="78" t="str">
        <f>IF(DQ96&lt;&gt;"",DQ96,"")</f>
        <v/>
      </c>
      <c r="DQ96" s="141"/>
      <c r="DR96" s="89"/>
      <c r="DS96" s="78" t="str">
        <f>IF(DT96&lt;&gt;"",DT96,"")</f>
        <v/>
      </c>
      <c r="DT96" s="141"/>
      <c r="DU96" s="89"/>
      <c r="DV96" s="78" t="str">
        <f>IF(DW96&lt;&gt;"",DW96,"")</f>
        <v/>
      </c>
      <c r="DW96" s="141"/>
      <c r="DX96" s="89"/>
      <c r="DY96" s="78" t="str">
        <f>IF(DZ96&lt;&gt;"",DZ96,"")</f>
        <v/>
      </c>
      <c r="DZ96" s="141"/>
      <c r="EA96" s="89"/>
      <c r="EB96" s="78" t="str">
        <f>IF(EC96&lt;&gt;"",EC96,"")</f>
        <v/>
      </c>
      <c r="EC96" s="141"/>
      <c r="ED96" s="89"/>
      <c r="EE96" s="78" t="str">
        <f>IF(EF96&lt;&gt;"",EF96,"")</f>
        <v/>
      </c>
      <c r="EF96" s="141"/>
      <c r="EG96" s="89"/>
      <c r="EH96" s="78" t="str">
        <f>IF(EI96&lt;&gt;"",EI96,"")</f>
        <v/>
      </c>
      <c r="EI96" s="141"/>
      <c r="EJ96" s="89"/>
      <c r="EK96" s="78" t="str">
        <f>IF(EL96&lt;&gt;"",EL96,"")</f>
        <v/>
      </c>
      <c r="EL96" s="141"/>
      <c r="EM96" s="89"/>
      <c r="EN96" s="78" t="str">
        <f>IF(EO96&lt;&gt;"",EO96,"")</f>
        <v/>
      </c>
      <c r="EO96" s="141"/>
      <c r="EP96" s="89"/>
      <c r="EQ96" s="78" t="str">
        <f>IF(ER96&lt;&gt;"",ER96,"")</f>
        <v/>
      </c>
      <c r="ER96" s="141"/>
      <c r="ES96" s="89"/>
      <c r="ET96" s="78" t="str">
        <f>IF(EU96&lt;&gt;"",EU96,"")</f>
        <v/>
      </c>
      <c r="EU96" s="141"/>
      <c r="EV96" s="89"/>
      <c r="EW96" s="78" t="str">
        <f>IF(EX96&lt;&gt;"",EX96,"")</f>
        <v/>
      </c>
      <c r="EX96" s="141"/>
      <c r="EY96" s="89"/>
      <c r="EZ96" s="78" t="str">
        <f>IF(FA96&lt;&gt;"",FA96,"")</f>
        <v/>
      </c>
      <c r="FA96" s="141"/>
    </row>
    <row r="97" spans="1:157" ht="13.35" customHeight="1" outlineLevel="1">
      <c r="A97" s="3"/>
      <c r="B97" s="4" t="s">
        <v>312</v>
      </c>
      <c r="C97" s="4"/>
      <c r="D97" s="4"/>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c r="AO97" s="79"/>
      <c r="AP97" s="79"/>
      <c r="AQ97" s="79"/>
      <c r="AR97" s="79"/>
      <c r="AS97" s="79"/>
      <c r="AT97" s="79"/>
      <c r="AU97" s="79"/>
      <c r="AV97" s="79"/>
      <c r="AW97" s="79"/>
      <c r="AX97" s="79"/>
      <c r="AY97" s="79"/>
      <c r="AZ97" s="79"/>
      <c r="BA97" s="78" t="str">
        <f>IF(BA95&lt;&gt;"",BA95-BA96,"")</f>
        <v/>
      </c>
      <c r="BB97" s="78" t="str">
        <f>IF(BC97&lt;&gt;"",BC97,"")</f>
        <v/>
      </c>
      <c r="BC97" s="78"/>
      <c r="BD97" s="78" t="str">
        <f>IF(BD95&lt;&gt;"",BD95-BD96,"")</f>
        <v/>
      </c>
      <c r="BE97" s="78" t="str">
        <f>IF(BF97&lt;&gt;"",BF97,"")</f>
        <v/>
      </c>
      <c r="BF97" s="78" t="str">
        <f>IF(BF95&lt;&gt;"",BF95-BF96,"")</f>
        <v/>
      </c>
      <c r="BG97" s="78" t="str">
        <f>IF(BG95&lt;&gt;"",BG95-BG96,"")</f>
        <v/>
      </c>
      <c r="BH97" s="78" t="str">
        <f>IF(BI97&lt;&gt;"",BI97,"")</f>
        <v/>
      </c>
      <c r="BI97" s="78" t="str">
        <f>IF(BI95&lt;&gt;"",BI95-BI96,"")</f>
        <v/>
      </c>
      <c r="BJ97" s="78" t="str">
        <f>IF(BJ95&lt;&gt;"",BJ95-BJ96,"")</f>
        <v/>
      </c>
      <c r="BK97" s="78" t="str">
        <f>IF(BL97&lt;&gt;"",BL97,"")</f>
        <v/>
      </c>
      <c r="BL97" s="78" t="str">
        <f>IF(BL95&lt;&gt;"",BL95-BL96,"")</f>
        <v/>
      </c>
      <c r="BM97" s="78" t="str">
        <f>IF(BM95&lt;&gt;"",BM95-BM96,"")</f>
        <v/>
      </c>
      <c r="BN97" s="78">
        <f>IF(BO97&lt;&gt;"",BO97,"")</f>
        <v>200</v>
      </c>
      <c r="BO97" s="78">
        <f>IF(BO95&lt;&gt;"",BO95-BO96,"")</f>
        <v>200</v>
      </c>
      <c r="BP97" s="78" t="str">
        <f>IF(BP95&lt;&gt;"",BP95-BP96,"")</f>
        <v/>
      </c>
      <c r="BQ97" s="78" t="str">
        <f>IF(BR97&lt;&gt;"",BR97,"")</f>
        <v/>
      </c>
      <c r="BR97" s="78" t="str">
        <f>IF(BR95&lt;&gt;"",BR95-BR96,"")</f>
        <v/>
      </c>
      <c r="BS97" s="78" t="str">
        <f>IF(BS95&lt;&gt;"",BS95-BS96,"")</f>
        <v/>
      </c>
      <c r="BT97" s="78" t="str">
        <f>IF(BU97&lt;&gt;"",BU97,"")</f>
        <v/>
      </c>
      <c r="BU97" s="78" t="str">
        <f>IF(BU95&lt;&gt;"",BU95-BU96,"")</f>
        <v/>
      </c>
      <c r="BV97" s="78" t="str">
        <f>IF(BV95&lt;&gt;"",BV95-BV96,"")</f>
        <v/>
      </c>
      <c r="BW97" s="78" t="str">
        <f>IF(BX97&lt;&gt;"",BX97,"")</f>
        <v/>
      </c>
      <c r="BX97" s="78" t="str">
        <f>IF(BX95&lt;&gt;"",BX95-BX96,"")</f>
        <v/>
      </c>
      <c r="BY97" s="78" t="str">
        <f>IF(BY95&lt;&gt;"",BY95-BY96,"")</f>
        <v/>
      </c>
      <c r="BZ97" s="78" t="str">
        <f>IF(CA97&lt;&gt;"",CA97,"")</f>
        <v/>
      </c>
      <c r="CA97" s="78" t="str">
        <f>IF(CA95&lt;&gt;"",CA95-CA96,"")</f>
        <v/>
      </c>
      <c r="CB97" s="78" t="str">
        <f>IF(CB95&lt;&gt;"",CB95-CB96,"")</f>
        <v/>
      </c>
      <c r="CC97" s="78" t="str">
        <f>IF(CD97&lt;&gt;"",CD97,"")</f>
        <v/>
      </c>
      <c r="CD97" s="78" t="str">
        <f>IF(CD95&lt;&gt;"",CD95-CD96,"")</f>
        <v/>
      </c>
      <c r="CE97" s="78" t="str">
        <f>IF(CE95&lt;&gt;"",CE95-CE96,"")</f>
        <v/>
      </c>
      <c r="CF97" s="78" t="str">
        <f>IF(CG97&lt;&gt;"",CG97,"")</f>
        <v/>
      </c>
      <c r="CG97" s="78" t="str">
        <f>IF(CG95&lt;&gt;"",CG95-CG96,"")</f>
        <v/>
      </c>
      <c r="CH97" s="78" t="str">
        <f>IF(CH95&lt;&gt;"",CH95-CH96,"")</f>
        <v/>
      </c>
      <c r="CI97" s="78" t="str">
        <f>IF(CJ97&lt;&gt;"",CJ97,"")</f>
        <v/>
      </c>
      <c r="CJ97" s="78" t="str">
        <f>IF(CJ95&lt;&gt;"",CJ95-CJ96,"")</f>
        <v/>
      </c>
      <c r="CK97" s="78" t="str">
        <f>IF(CK95&lt;&gt;"",CK95-CK96,"")</f>
        <v/>
      </c>
      <c r="CL97" s="78" t="str">
        <f>IF(CM97&lt;&gt;"",CM97,"")</f>
        <v/>
      </c>
      <c r="CM97" s="78" t="str">
        <f>IF(CM95&lt;&gt;"",CM95-CM96,"")</f>
        <v/>
      </c>
      <c r="CN97" s="78" t="str">
        <f>IF(CN95&lt;&gt;"",CN95-CN96,"")</f>
        <v/>
      </c>
      <c r="CO97" s="78" t="str">
        <f>IF(CP97&lt;&gt;"",CP97,"")</f>
        <v/>
      </c>
      <c r="CP97" s="78" t="str">
        <f>IF(CP95&lt;&gt;"",CP95-CP96,"")</f>
        <v/>
      </c>
      <c r="CQ97" s="78" t="str">
        <f>IF(CQ95&lt;&gt;"",CQ95-CQ96,"")</f>
        <v/>
      </c>
      <c r="CR97" s="78" t="str">
        <f>IF(CS97&lt;&gt;"",CS97,"")</f>
        <v/>
      </c>
      <c r="CS97" s="78" t="str">
        <f>IF(CS95&lt;&gt;"",CS95-CS96,"")</f>
        <v/>
      </c>
      <c r="CT97" s="78" t="str">
        <f>IF(CT95&lt;&gt;"",CT95-CT96,"")</f>
        <v/>
      </c>
      <c r="CU97" s="78" t="str">
        <f>IF(CV97&lt;&gt;"",CV97,"")</f>
        <v/>
      </c>
      <c r="CV97" s="78" t="str">
        <f>IF(CV95&lt;&gt;"",CV95-CV96,"")</f>
        <v/>
      </c>
      <c r="CW97" s="78" t="str">
        <f>IF(CW95&lt;&gt;"",CW95-CW96,"")</f>
        <v/>
      </c>
      <c r="CX97" s="78" t="str">
        <f>IF(CY97&lt;&gt;"",CY97,"")</f>
        <v/>
      </c>
      <c r="CY97" s="78" t="str">
        <f>IF(CY95&lt;&gt;"",CY95-CY96,"")</f>
        <v/>
      </c>
      <c r="CZ97" s="78" t="str">
        <f>IF(CZ95&lt;&gt;"",CZ95-CZ96,"")</f>
        <v/>
      </c>
      <c r="DA97" s="78"/>
      <c r="DB97" s="78"/>
      <c r="DC97" s="78"/>
      <c r="DD97" s="78"/>
      <c r="DE97" s="135" t="str">
        <f>IF(DE95&lt;&gt;"",DE95-DE96,"")</f>
        <v/>
      </c>
      <c r="DF97" s="78" t="str">
        <f>IF(DF95&lt;&gt;"",DF95-DF96,"")</f>
        <v/>
      </c>
      <c r="DG97" s="78" t="str">
        <f>IF(DH97&lt;&gt;"",DH97,"")</f>
        <v/>
      </c>
      <c r="DH97" s="135" t="str">
        <f>IF(DH95&lt;&gt;"",DH95-DH96,"")</f>
        <v/>
      </c>
      <c r="DI97" s="78" t="str">
        <f>IF(DI95&lt;&gt;"",DI95-DI96,"")</f>
        <v/>
      </c>
      <c r="DJ97" s="78" t="str">
        <f>IF(DK97&lt;&gt;"",DK97,"")</f>
        <v/>
      </c>
      <c r="DK97" s="135" t="str">
        <f>IF(DK95&lt;&gt;"",DK95-DK96,"")</f>
        <v/>
      </c>
      <c r="DL97" s="78" t="str">
        <f>IF(DL95&lt;&gt;"",DL95-DL96,"")</f>
        <v/>
      </c>
      <c r="DM97" s="78" t="str">
        <f>IF(DN97&lt;&gt;"",DN97,"")</f>
        <v/>
      </c>
      <c r="DN97" s="135" t="str">
        <f>IF(DN95&lt;&gt;"",DN95-DN96,"")</f>
        <v/>
      </c>
      <c r="DO97" s="78" t="str">
        <f>IF(DO95&lt;&gt;"",DO95-DO96,"")</f>
        <v/>
      </c>
      <c r="DP97" s="78" t="str">
        <f>IF(DQ97&lt;&gt;"",DQ97,"")</f>
        <v/>
      </c>
      <c r="DQ97" s="135" t="str">
        <f>IF(DQ95&lt;&gt;"",DQ95-DQ96,"")</f>
        <v/>
      </c>
      <c r="DR97" s="78" t="str">
        <f>IF(DR95&lt;&gt;"",DR95-DR96,"")</f>
        <v/>
      </c>
      <c r="DS97" s="78" t="str">
        <f>IF(DT97&lt;&gt;"",DT97,"")</f>
        <v/>
      </c>
      <c r="DT97" s="135" t="str">
        <f>IF(DT95&lt;&gt;"",DT95-DT96,"")</f>
        <v/>
      </c>
      <c r="DU97" s="78" t="str">
        <f>IF(DU95&lt;&gt;"",DU95-DU96,"")</f>
        <v/>
      </c>
      <c r="DV97" s="78" t="str">
        <f>IF(DW97&lt;&gt;"",DW97,"")</f>
        <v/>
      </c>
      <c r="DW97" s="135" t="str">
        <f>IF(DW95&lt;&gt;"",DW95-DW96,"")</f>
        <v/>
      </c>
      <c r="DX97" s="78" t="str">
        <f>IF(DX95&lt;&gt;"",DX95-DX96,"")</f>
        <v/>
      </c>
      <c r="DY97" s="78" t="str">
        <f>IF(DZ97&lt;&gt;"",DZ97,"")</f>
        <v/>
      </c>
      <c r="DZ97" s="135" t="str">
        <f>IF(DZ95&lt;&gt;"",DZ95-DZ96,"")</f>
        <v/>
      </c>
      <c r="EA97" s="78" t="str">
        <f>IF(EA95&lt;&gt;"",EA95-EA96,"")</f>
        <v/>
      </c>
      <c r="EB97" s="78" t="str">
        <f>IF(EC97&lt;&gt;"",EC97,"")</f>
        <v/>
      </c>
      <c r="EC97" s="135" t="str">
        <f>IF(EC95&lt;&gt;"",EC95-EC96,"")</f>
        <v/>
      </c>
      <c r="ED97" s="78" t="str">
        <f>IF(ED95&lt;&gt;"",ED95-ED96,"")</f>
        <v/>
      </c>
      <c r="EE97" s="78" t="str">
        <f>IF(EF97&lt;&gt;"",EF97,"")</f>
        <v/>
      </c>
      <c r="EF97" s="135" t="str">
        <f>IF(EF95&lt;&gt;"",EF95-EF96,"")</f>
        <v/>
      </c>
      <c r="EG97" s="78" t="str">
        <f>IF(EG95&lt;&gt;"",EG95-EG96,"")</f>
        <v/>
      </c>
      <c r="EH97" s="78" t="str">
        <f>IF(EI97&lt;&gt;"",EI97,"")</f>
        <v/>
      </c>
      <c r="EI97" s="135" t="str">
        <f>IF(EI95&lt;&gt;"",EI95-EI96,"")</f>
        <v/>
      </c>
      <c r="EJ97" s="78" t="str">
        <f>IF(EJ95&lt;&gt;"",EJ95-EJ96,"")</f>
        <v/>
      </c>
      <c r="EK97" s="78" t="str">
        <f>IF(EL97&lt;&gt;"",EL97,"")</f>
        <v/>
      </c>
      <c r="EL97" s="135" t="str">
        <f>IF(EL95&lt;&gt;"",EL95-EL96,"")</f>
        <v/>
      </c>
      <c r="EM97" s="78" t="str">
        <f>IF(EM95&lt;&gt;"",EM95-EM96,"")</f>
        <v/>
      </c>
      <c r="EN97" s="78" t="str">
        <f>IF(EO97&lt;&gt;"",EO97,"")</f>
        <v/>
      </c>
      <c r="EO97" s="135" t="str">
        <f>IF(EO95&lt;&gt;"",EO95-EO96,"")</f>
        <v/>
      </c>
      <c r="EP97" s="78" t="str">
        <f>IF(EP95&lt;&gt;"",EP95-EP96,"")</f>
        <v/>
      </c>
      <c r="EQ97" s="78" t="str">
        <f>IF(ER97&lt;&gt;"",ER97,"")</f>
        <v/>
      </c>
      <c r="ER97" s="135" t="str">
        <f>IF(ER95&lt;&gt;"",ER95-ER96,"")</f>
        <v/>
      </c>
      <c r="ES97" s="78" t="str">
        <f>IF(ES95&lt;&gt;"",ES95-ES96,"")</f>
        <v/>
      </c>
      <c r="ET97" s="78" t="str">
        <f>IF(EU97&lt;&gt;"",EU97,"")</f>
        <v/>
      </c>
      <c r="EU97" s="135" t="str">
        <f>IF(EU95&lt;&gt;"",EU95-EU96,"")</f>
        <v/>
      </c>
      <c r="EV97" s="78" t="str">
        <f>IF(EV95&lt;&gt;"",EV95-EV96,"")</f>
        <v/>
      </c>
      <c r="EW97" s="78" t="str">
        <f>IF(EX97&lt;&gt;"",EX97,"")</f>
        <v/>
      </c>
      <c r="EX97" s="135" t="str">
        <f>IF(EX95&lt;&gt;"",EX95-EX96,"")</f>
        <v/>
      </c>
      <c r="EY97" s="78" t="str">
        <f>IF(EY95&lt;&gt;"",EY95-EY96,"")</f>
        <v/>
      </c>
      <c r="EZ97" s="78" t="str">
        <f>IF(FA97&lt;&gt;"",FA97,"")</f>
        <v/>
      </c>
      <c r="FA97" s="135" t="str">
        <f>IF(FA95&lt;&gt;"",FA95-FA96,"")</f>
        <v/>
      </c>
    </row>
    <row r="98" spans="1:157" ht="13.35" customHeight="1" outlineLevel="1">
      <c r="A98" s="3"/>
      <c r="B98" s="86"/>
      <c r="C98" s="3"/>
      <c r="D98" s="3"/>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c r="AK98" s="84"/>
      <c r="AL98" s="84"/>
      <c r="AM98" s="84"/>
      <c r="AN98" s="84"/>
      <c r="AO98" s="84"/>
      <c r="AP98" s="84"/>
      <c r="AQ98" s="84"/>
      <c r="AR98" s="84"/>
      <c r="AS98" s="84"/>
      <c r="AT98" s="84"/>
      <c r="AU98" s="84"/>
      <c r="AV98" s="84"/>
      <c r="AW98" s="84"/>
      <c r="AX98" s="84"/>
      <c r="AY98" s="84"/>
      <c r="AZ98" s="84"/>
      <c r="BA98" s="84"/>
      <c r="BB98" s="84"/>
      <c r="BC98" s="84"/>
      <c r="BD98" s="84"/>
      <c r="BE98" s="84"/>
      <c r="BF98" s="84"/>
      <c r="BG98" s="84"/>
      <c r="BH98" s="84"/>
      <c r="BI98" s="84"/>
      <c r="BJ98" s="84"/>
      <c r="BK98" s="84"/>
      <c r="BL98" s="84"/>
      <c r="BM98" s="84"/>
      <c r="BN98" s="84"/>
      <c r="BO98" s="84"/>
      <c r="BP98" s="84"/>
      <c r="BQ98" s="84"/>
      <c r="BR98" s="84"/>
      <c r="BS98" s="84"/>
      <c r="BT98" s="84"/>
      <c r="BU98" s="84"/>
      <c r="BV98" s="84"/>
      <c r="BW98" s="84"/>
      <c r="BX98" s="84"/>
      <c r="BY98" s="84"/>
      <c r="BZ98" s="84"/>
      <c r="CA98" s="84"/>
      <c r="CB98" s="84"/>
      <c r="CC98" s="84"/>
      <c r="CD98" s="84"/>
      <c r="CE98" s="84"/>
      <c r="CF98" s="84"/>
      <c r="CG98" s="84"/>
      <c r="CH98" s="84"/>
      <c r="CI98" s="84"/>
      <c r="CJ98" s="84"/>
      <c r="CK98" s="84"/>
      <c r="CL98" s="84"/>
      <c r="CM98" s="84"/>
      <c r="CN98" s="84"/>
      <c r="CO98" s="84"/>
      <c r="CP98" s="84"/>
      <c r="CQ98" s="84"/>
      <c r="CR98" s="84"/>
      <c r="CS98" s="84"/>
      <c r="CT98" s="84"/>
      <c r="CU98" s="84"/>
      <c r="CV98" s="84"/>
      <c r="CW98" s="84"/>
      <c r="CX98" s="84"/>
      <c r="CY98" s="84"/>
      <c r="CZ98" s="84"/>
      <c r="DA98" s="84"/>
      <c r="DB98" s="84"/>
      <c r="DC98" s="84"/>
      <c r="DD98" s="84"/>
      <c r="DE98" s="140"/>
      <c r="DF98" s="84"/>
      <c r="DG98" s="84"/>
      <c r="DH98" s="140"/>
      <c r="DI98" s="84"/>
      <c r="DJ98" s="84"/>
      <c r="DK98" s="140"/>
      <c r="DL98" s="84"/>
      <c r="DM98" s="84"/>
      <c r="DN98" s="140"/>
      <c r="DO98" s="84"/>
      <c r="DP98" s="84"/>
      <c r="DQ98" s="140"/>
      <c r="DR98" s="84"/>
      <c r="DS98" s="84"/>
      <c r="DT98" s="140"/>
      <c r="DU98" s="84"/>
      <c r="DV98" s="84"/>
      <c r="DW98" s="140"/>
      <c r="DX98" s="84"/>
      <c r="DY98" s="84"/>
      <c r="DZ98" s="140"/>
      <c r="EA98" s="84"/>
      <c r="EB98" s="84"/>
      <c r="EC98" s="140"/>
      <c r="ED98" s="84"/>
      <c r="EE98" s="84"/>
      <c r="EF98" s="140"/>
      <c r="EG98" s="84"/>
      <c r="EH98" s="84"/>
      <c r="EI98" s="140"/>
      <c r="EJ98" s="84"/>
      <c r="EK98" s="84"/>
      <c r="EL98" s="140"/>
      <c r="EM98" s="84"/>
      <c r="EN98" s="84"/>
      <c r="EO98" s="140"/>
      <c r="EP98" s="84"/>
      <c r="EQ98" s="84"/>
      <c r="ER98" s="140"/>
      <c r="ES98" s="84"/>
      <c r="ET98" s="84"/>
      <c r="EU98" s="140"/>
      <c r="EV98" s="84"/>
      <c r="EW98" s="84"/>
      <c r="EX98" s="140"/>
      <c r="EY98" s="84"/>
      <c r="EZ98" s="84"/>
      <c r="FA98" s="140"/>
    </row>
    <row r="99" spans="1:157" ht="13.35" customHeight="1">
      <c r="A99" s="3"/>
      <c r="B99" s="5" t="s">
        <v>313</v>
      </c>
      <c r="C99" s="5"/>
      <c r="D99" s="3"/>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84"/>
      <c r="AV99" s="84"/>
      <c r="AW99" s="84"/>
      <c r="AX99" s="84"/>
      <c r="AY99" s="84"/>
      <c r="AZ99" s="84"/>
      <c r="BA99" s="84"/>
      <c r="BB99" s="84"/>
      <c r="BC99" s="84"/>
      <c r="BD99" s="84"/>
      <c r="BE99" s="84"/>
      <c r="BF99" s="84"/>
      <c r="BG99" s="84"/>
      <c r="BH99" s="84"/>
      <c r="BI99" s="84"/>
      <c r="BJ99" s="84"/>
      <c r="BK99" s="84"/>
      <c r="BL99" s="84"/>
      <c r="BM99" s="84"/>
      <c r="BN99" s="84"/>
      <c r="BO99" s="84"/>
      <c r="BP99" s="84"/>
      <c r="BQ99" s="84"/>
      <c r="BR99" s="84"/>
      <c r="BS99" s="84"/>
      <c r="BT99" s="84"/>
      <c r="BU99" s="84"/>
      <c r="BV99" s="84"/>
      <c r="BW99" s="84"/>
      <c r="BX99" s="84"/>
      <c r="BY99" s="84"/>
      <c r="BZ99" s="84"/>
      <c r="CA99" s="84"/>
      <c r="CB99" s="84"/>
      <c r="CC99" s="84"/>
      <c r="CD99" s="84"/>
      <c r="CE99" s="84"/>
      <c r="CF99" s="84"/>
      <c r="CG99" s="84"/>
      <c r="CH99" s="84"/>
      <c r="CI99" s="84"/>
      <c r="CJ99" s="84"/>
      <c r="CK99" s="84"/>
      <c r="CL99" s="84"/>
      <c r="CM99" s="84"/>
      <c r="CN99" s="84"/>
      <c r="CO99" s="84"/>
      <c r="CP99" s="84"/>
      <c r="CQ99" s="84"/>
      <c r="CR99" s="84"/>
      <c r="CS99" s="84"/>
      <c r="CT99" s="84"/>
      <c r="CU99" s="84"/>
      <c r="CV99" s="84"/>
      <c r="CW99" s="84"/>
      <c r="CX99" s="84"/>
      <c r="CY99" s="84"/>
      <c r="CZ99" s="84"/>
      <c r="DA99" s="84"/>
      <c r="DB99" s="84"/>
      <c r="DC99" s="84"/>
      <c r="DD99" s="84"/>
      <c r="DE99" s="140"/>
      <c r="DF99" s="84"/>
      <c r="DG99" s="84"/>
      <c r="DH99" s="140"/>
      <c r="DI99" s="84"/>
      <c r="DJ99" s="84"/>
      <c r="DK99" s="140"/>
      <c r="DL99" s="84"/>
      <c r="DM99" s="84"/>
      <c r="DN99" s="140"/>
      <c r="DO99" s="84"/>
      <c r="DP99" s="84"/>
      <c r="DQ99" s="140"/>
      <c r="DR99" s="84"/>
      <c r="DS99" s="84"/>
      <c r="DT99" s="140"/>
      <c r="DU99" s="84"/>
      <c r="DV99" s="84"/>
      <c r="DW99" s="140"/>
      <c r="DX99" s="84"/>
      <c r="DY99" s="84"/>
      <c r="DZ99" s="140"/>
      <c r="EA99" s="84"/>
      <c r="EB99" s="84"/>
      <c r="EC99" s="140"/>
      <c r="ED99" s="84"/>
      <c r="EE99" s="84"/>
      <c r="EF99" s="140"/>
      <c r="EG99" s="84"/>
      <c r="EH99" s="84"/>
      <c r="EI99" s="140"/>
      <c r="EJ99" s="84"/>
      <c r="EK99" s="84"/>
      <c r="EL99" s="140"/>
      <c r="EM99" s="84"/>
      <c r="EN99" s="84"/>
      <c r="EO99" s="140"/>
      <c r="EP99" s="84"/>
      <c r="EQ99" s="84"/>
      <c r="ER99" s="140"/>
      <c r="ES99" s="84"/>
      <c r="ET99" s="84"/>
      <c r="EU99" s="140"/>
      <c r="EV99" s="84"/>
      <c r="EW99" s="84"/>
      <c r="EX99" s="140"/>
      <c r="EY99" s="84"/>
      <c r="EZ99" s="84"/>
      <c r="FA99" s="140"/>
    </row>
    <row r="100" spans="1:157" ht="13.35" customHeight="1">
      <c r="A100" s="3"/>
      <c r="B100" s="5" t="s">
        <v>314</v>
      </c>
      <c r="C100" s="5"/>
      <c r="D100" s="4" t="s">
        <v>315</v>
      </c>
      <c r="E100" s="4"/>
      <c r="F100" s="4"/>
      <c r="G100" s="84"/>
      <c r="H100" s="84"/>
      <c r="I100" s="84"/>
      <c r="J100" s="84"/>
      <c r="K100" s="84"/>
      <c r="L100" s="84"/>
      <c r="M100" s="84"/>
      <c r="N100" s="84"/>
      <c r="O100" s="84"/>
      <c r="P100" s="84"/>
      <c r="Q100" s="84"/>
      <c r="R100" s="84"/>
      <c r="S100" s="84"/>
      <c r="T100" s="84"/>
      <c r="U100" s="84"/>
      <c r="V100" s="84"/>
      <c r="W100" s="84"/>
      <c r="X100" s="84"/>
      <c r="Y100" s="84"/>
      <c r="Z100" s="84"/>
      <c r="AA100" s="84"/>
      <c r="AB100" s="84"/>
      <c r="AC100" s="84"/>
      <c r="AD100" s="84"/>
      <c r="AE100" s="84"/>
      <c r="AF100" s="84"/>
      <c r="AG100" s="84"/>
      <c r="AH100" s="84"/>
      <c r="AI100" s="84"/>
      <c r="AJ100" s="84"/>
      <c r="AK100" s="84"/>
      <c r="AL100" s="84"/>
      <c r="AM100" s="84"/>
      <c r="AN100" s="84"/>
      <c r="AO100" s="84"/>
      <c r="AP100" s="84"/>
      <c r="AQ100" s="84"/>
      <c r="AR100" s="84"/>
      <c r="AS100" s="84"/>
      <c r="AT100" s="84"/>
      <c r="AU100" s="84"/>
      <c r="AV100" s="84"/>
      <c r="AW100" s="84"/>
      <c r="AX100" s="84"/>
      <c r="AY100" s="84"/>
      <c r="AZ100" s="84"/>
      <c r="BA100" s="87">
        <f>Model!BA233</f>
        <v>0</v>
      </c>
      <c r="BB100" s="87">
        <f>Model!BB233</f>
        <v>0</v>
      </c>
      <c r="BC100" s="87">
        <f>Model!BC233</f>
        <v>0</v>
      </c>
      <c r="BD100" s="87">
        <f>Model!BD233</f>
        <v>0</v>
      </c>
      <c r="BE100" s="103">
        <f>Model!BE233</f>
        <v>0</v>
      </c>
      <c r="BF100" s="103">
        <f>Model!BF233</f>
        <v>0</v>
      </c>
      <c r="BG100" s="87">
        <f>Model!BG233</f>
        <v>0</v>
      </c>
      <c r="BH100" s="87">
        <f>Model!BH233</f>
        <v>0</v>
      </c>
      <c r="BI100" s="87">
        <f>Model!BI233</f>
        <v>0</v>
      </c>
      <c r="BJ100" s="87">
        <f>Model!BJ233</f>
        <v>0</v>
      </c>
      <c r="BK100" s="84"/>
      <c r="BL100" s="84"/>
      <c r="BM100" s="84"/>
      <c r="BN100" s="84"/>
      <c r="BO100" s="84"/>
      <c r="BP100" s="84"/>
      <c r="BQ100" s="84"/>
      <c r="BR100" s="84"/>
      <c r="BS100" s="84"/>
      <c r="BT100" s="84"/>
      <c r="BU100" s="84"/>
      <c r="BV100" s="84"/>
      <c r="BW100" s="84"/>
      <c r="BX100" s="84"/>
      <c r="BY100" s="84"/>
      <c r="BZ100" s="84"/>
      <c r="CA100" s="84"/>
      <c r="CB100" s="84"/>
      <c r="CC100" s="84"/>
      <c r="CD100" s="84"/>
      <c r="CE100" s="84"/>
      <c r="CF100" s="84"/>
      <c r="CG100" s="84"/>
      <c r="CH100" s="84"/>
      <c r="CI100" s="84"/>
      <c r="CJ100" s="84"/>
      <c r="CK100" s="84"/>
      <c r="CL100" s="84"/>
      <c r="CM100" s="84"/>
      <c r="CN100" s="84"/>
      <c r="CO100" s="84"/>
      <c r="CP100" s="84"/>
      <c r="CQ100" s="84"/>
      <c r="CR100" s="84"/>
      <c r="CS100" s="84"/>
      <c r="CT100" s="84"/>
      <c r="CU100" s="84"/>
      <c r="CV100" s="84"/>
      <c r="CW100" s="84"/>
      <c r="CX100" s="84"/>
      <c r="CY100" s="84"/>
      <c r="CZ100" s="84"/>
      <c r="DA100" s="84"/>
      <c r="DB100" s="84"/>
      <c r="DC100" s="84"/>
      <c r="DD100" s="84"/>
      <c r="DE100" s="140"/>
      <c r="DF100" s="84"/>
      <c r="DG100" s="84"/>
      <c r="DH100" s="140"/>
      <c r="DI100" s="84"/>
      <c r="DJ100" s="84"/>
      <c r="DK100" s="140"/>
      <c r="DL100" s="84"/>
      <c r="DM100" s="84"/>
      <c r="DN100" s="140"/>
      <c r="DO100" s="84"/>
      <c r="DP100" s="84"/>
      <c r="DQ100" s="140"/>
      <c r="DR100" s="84"/>
      <c r="DS100" s="84"/>
      <c r="DT100" s="140"/>
      <c r="DU100" s="84"/>
      <c r="DV100" s="84"/>
      <c r="DW100" s="140"/>
      <c r="DX100" s="84"/>
      <c r="DY100" s="84"/>
      <c r="DZ100" s="140"/>
      <c r="EA100" s="84"/>
      <c r="EB100" s="84"/>
      <c r="EC100" s="140"/>
      <c r="ED100" s="84"/>
      <c r="EE100" s="84"/>
      <c r="EF100" s="140"/>
      <c r="EG100" s="84"/>
      <c r="EH100" s="84"/>
      <c r="EI100" s="140"/>
      <c r="EJ100" s="84"/>
      <c r="EK100" s="84"/>
      <c r="EL100" s="140"/>
      <c r="EM100" s="84"/>
      <c r="EN100" s="84"/>
      <c r="EO100" s="140"/>
      <c r="EP100" s="84"/>
      <c r="EQ100" s="84"/>
      <c r="ER100" s="140"/>
      <c r="ES100" s="84"/>
      <c r="ET100" s="84"/>
      <c r="EU100" s="140"/>
      <c r="EV100" s="84"/>
      <c r="EW100" s="84"/>
      <c r="EX100" s="140"/>
      <c r="EY100" s="84"/>
      <c r="EZ100" s="84"/>
      <c r="FA100" s="140"/>
    </row>
    <row r="101" spans="1:157" ht="13.35" customHeight="1">
      <c r="A101" s="3"/>
      <c r="B101" s="4" t="s">
        <v>208</v>
      </c>
      <c r="C101" s="4"/>
      <c r="D101" s="3"/>
      <c r="E101" s="95" t="str">
        <f t="shared" ref="E101:AJ101" si="71">IF(E222&lt;&gt;"",E222,"")</f>
        <v/>
      </c>
      <c r="F101" s="95" t="str">
        <f t="shared" si="71"/>
        <v/>
      </c>
      <c r="G101" s="95" t="str">
        <f t="shared" si="71"/>
        <v/>
      </c>
      <c r="H101" s="95" t="str">
        <f t="shared" si="71"/>
        <v/>
      </c>
      <c r="I101" s="95" t="str">
        <f t="shared" si="71"/>
        <v/>
      </c>
      <c r="J101" s="95" t="str">
        <f t="shared" si="71"/>
        <v/>
      </c>
      <c r="K101" s="95" t="str">
        <f t="shared" si="71"/>
        <v/>
      </c>
      <c r="L101" s="95" t="str">
        <f t="shared" si="71"/>
        <v/>
      </c>
      <c r="M101" s="95" t="str">
        <f t="shared" si="71"/>
        <v/>
      </c>
      <c r="N101" s="95" t="str">
        <f t="shared" si="71"/>
        <v/>
      </c>
      <c r="O101" s="95" t="str">
        <f t="shared" si="71"/>
        <v/>
      </c>
      <c r="P101" s="95" t="str">
        <f t="shared" si="71"/>
        <v/>
      </c>
      <c r="Q101" s="95" t="str">
        <f t="shared" si="71"/>
        <v/>
      </c>
      <c r="R101" s="95" t="str">
        <f t="shared" si="71"/>
        <v/>
      </c>
      <c r="S101" s="95" t="str">
        <f t="shared" si="71"/>
        <v/>
      </c>
      <c r="T101" s="95" t="str">
        <f t="shared" si="71"/>
        <v/>
      </c>
      <c r="U101" s="95" t="str">
        <f t="shared" si="71"/>
        <v/>
      </c>
      <c r="V101" s="95" t="str">
        <f t="shared" si="71"/>
        <v/>
      </c>
      <c r="W101" s="95" t="str">
        <f t="shared" si="71"/>
        <v/>
      </c>
      <c r="X101" s="95" t="str">
        <f t="shared" si="71"/>
        <v/>
      </c>
      <c r="Y101" s="95" t="str">
        <f t="shared" si="71"/>
        <v/>
      </c>
      <c r="Z101" s="95" t="str">
        <f t="shared" si="71"/>
        <v/>
      </c>
      <c r="AA101" s="95" t="str">
        <f t="shared" si="71"/>
        <v/>
      </c>
      <c r="AB101" s="95" t="str">
        <f t="shared" si="71"/>
        <v/>
      </c>
      <c r="AC101" s="95" t="str">
        <f t="shared" si="71"/>
        <v/>
      </c>
      <c r="AD101" s="95" t="str">
        <f t="shared" si="71"/>
        <v/>
      </c>
      <c r="AE101" s="95" t="str">
        <f t="shared" si="71"/>
        <v/>
      </c>
      <c r="AF101" s="95" t="str">
        <f t="shared" si="71"/>
        <v/>
      </c>
      <c r="AG101" s="95" t="str">
        <f t="shared" si="71"/>
        <v/>
      </c>
      <c r="AH101" s="95" t="str">
        <f t="shared" si="71"/>
        <v/>
      </c>
      <c r="AI101" s="95" t="str">
        <f t="shared" si="71"/>
        <v/>
      </c>
      <c r="AJ101" s="95" t="str">
        <f t="shared" si="71"/>
        <v/>
      </c>
      <c r="AK101" s="95">
        <f t="shared" ref="AK101:BH101" si="72">IF(AK222&lt;&gt;"",AK222,"")</f>
        <v>0.06</v>
      </c>
      <c r="AL101" s="95" t="str">
        <f t="shared" si="72"/>
        <v/>
      </c>
      <c r="AM101" s="95" t="str">
        <f t="shared" si="72"/>
        <v/>
      </c>
      <c r="AN101" s="95">
        <f t="shared" si="72"/>
        <v>0.06</v>
      </c>
      <c r="AO101" s="95">
        <f t="shared" si="72"/>
        <v>0.06</v>
      </c>
      <c r="AP101" s="95">
        <f t="shared" si="72"/>
        <v>0.06</v>
      </c>
      <c r="AQ101" s="95">
        <f t="shared" si="72"/>
        <v>0.06</v>
      </c>
      <c r="AR101" s="95">
        <f t="shared" si="72"/>
        <v>0.06</v>
      </c>
      <c r="AS101" s="95">
        <f t="shared" si="72"/>
        <v>0.06</v>
      </c>
      <c r="AT101" s="95">
        <f t="shared" si="72"/>
        <v>0.06</v>
      </c>
      <c r="AU101" s="95">
        <f t="shared" si="72"/>
        <v>0.06</v>
      </c>
      <c r="AV101" s="95">
        <f t="shared" si="72"/>
        <v>0.06</v>
      </c>
      <c r="AW101" s="95">
        <f t="shared" si="72"/>
        <v>0.06</v>
      </c>
      <c r="AX101" s="95">
        <f t="shared" si="72"/>
        <v>0.06</v>
      </c>
      <c r="AY101" s="95">
        <f t="shared" si="72"/>
        <v>0.06</v>
      </c>
      <c r="AZ101" s="95">
        <f t="shared" si="72"/>
        <v>0.06</v>
      </c>
      <c r="BA101" s="95">
        <f t="shared" si="72"/>
        <v>0.06</v>
      </c>
      <c r="BB101" s="95">
        <f t="shared" si="72"/>
        <v>0.06</v>
      </c>
      <c r="BC101" s="95">
        <f t="shared" si="72"/>
        <v>0.06</v>
      </c>
      <c r="BD101" s="95">
        <f t="shared" si="72"/>
        <v>4.4999999999999998E-2</v>
      </c>
      <c r="BE101" s="95">
        <f t="shared" si="72"/>
        <v>4.4999999999999998E-2</v>
      </c>
      <c r="BF101" s="95">
        <f t="shared" si="72"/>
        <v>4.4999999999999998E-2</v>
      </c>
      <c r="BG101" s="95">
        <f t="shared" si="72"/>
        <v>4.4999999999999998E-2</v>
      </c>
      <c r="BH101" s="95">
        <f t="shared" si="72"/>
        <v>4.4999999999999998E-2</v>
      </c>
      <c r="BI101" s="95">
        <v>4.4999999999999998E-2</v>
      </c>
      <c r="BJ101" s="95">
        <v>0.04</v>
      </c>
      <c r="BK101" s="95">
        <v>0.04</v>
      </c>
      <c r="BL101" s="95">
        <v>0.04</v>
      </c>
      <c r="BM101" s="95">
        <f t="shared" ref="BM101:CL101" si="73">BL101</f>
        <v>0.04</v>
      </c>
      <c r="BN101" s="95">
        <f t="shared" si="73"/>
        <v>0.04</v>
      </c>
      <c r="BO101" s="95">
        <f t="shared" si="73"/>
        <v>0.04</v>
      </c>
      <c r="BP101" s="95">
        <f t="shared" si="73"/>
        <v>0.04</v>
      </c>
      <c r="BQ101" s="95">
        <f t="shared" si="73"/>
        <v>0.04</v>
      </c>
      <c r="BR101" s="95">
        <f t="shared" si="73"/>
        <v>0.04</v>
      </c>
      <c r="BS101" s="95">
        <f t="shared" si="73"/>
        <v>0.04</v>
      </c>
      <c r="BT101" s="95">
        <f t="shared" si="73"/>
        <v>0.04</v>
      </c>
      <c r="BU101" s="95">
        <f t="shared" si="73"/>
        <v>0.04</v>
      </c>
      <c r="BV101" s="95">
        <v>0.04</v>
      </c>
      <c r="BW101" s="95">
        <f t="shared" si="73"/>
        <v>0.04</v>
      </c>
      <c r="BX101" s="95">
        <f t="shared" si="73"/>
        <v>0.04</v>
      </c>
      <c r="BY101" s="95">
        <f t="shared" si="73"/>
        <v>0.04</v>
      </c>
      <c r="BZ101" s="95">
        <f t="shared" si="73"/>
        <v>0.04</v>
      </c>
      <c r="CA101" s="95">
        <f t="shared" si="73"/>
        <v>0.04</v>
      </c>
      <c r="CB101" s="95">
        <f t="shared" si="73"/>
        <v>0.04</v>
      </c>
      <c r="CC101" s="95">
        <f t="shared" si="73"/>
        <v>0.04</v>
      </c>
      <c r="CD101" s="95">
        <f t="shared" si="73"/>
        <v>0.04</v>
      </c>
      <c r="CE101" s="95">
        <f t="shared" si="73"/>
        <v>0.04</v>
      </c>
      <c r="CF101" s="95">
        <f t="shared" si="73"/>
        <v>0.04</v>
      </c>
      <c r="CG101" s="95">
        <v>0.04</v>
      </c>
      <c r="CH101" s="95">
        <f t="shared" si="73"/>
        <v>0.04</v>
      </c>
      <c r="CI101" s="95">
        <f t="shared" si="73"/>
        <v>0.04</v>
      </c>
      <c r="CJ101" s="95">
        <f t="shared" si="73"/>
        <v>0.04</v>
      </c>
      <c r="CK101" s="95">
        <v>3.9E-2</v>
      </c>
      <c r="CL101" s="95">
        <f t="shared" si="73"/>
        <v>3.9E-2</v>
      </c>
      <c r="CM101" s="95">
        <v>0.04</v>
      </c>
      <c r="CN101" s="95">
        <v>2.9391567092432361E-2</v>
      </c>
      <c r="CO101" s="95">
        <f t="shared" ref="CO101:DQ102" si="74">CN101</f>
        <v>2.9391567092432361E-2</v>
      </c>
      <c r="CP101" s="95">
        <f t="shared" si="74"/>
        <v>2.9391567092432361E-2</v>
      </c>
      <c r="CQ101" s="95">
        <f t="shared" si="74"/>
        <v>2.9391567092432361E-2</v>
      </c>
      <c r="CR101" s="95">
        <f t="shared" si="74"/>
        <v>2.9391567092432361E-2</v>
      </c>
      <c r="CS101" s="95">
        <f t="shared" si="74"/>
        <v>2.9391567092432361E-2</v>
      </c>
      <c r="CT101" s="95">
        <f t="shared" si="74"/>
        <v>2.9391567092432361E-2</v>
      </c>
      <c r="CU101" s="95">
        <f t="shared" si="74"/>
        <v>2.9391567092432361E-2</v>
      </c>
      <c r="CV101" s="95">
        <f t="shared" si="74"/>
        <v>2.9391567092432361E-2</v>
      </c>
      <c r="CW101" s="95">
        <f t="shared" si="74"/>
        <v>2.9391567092432361E-2</v>
      </c>
      <c r="CX101" s="95">
        <f t="shared" si="74"/>
        <v>2.9391567092432361E-2</v>
      </c>
      <c r="CY101" s="95">
        <f t="shared" si="74"/>
        <v>2.9391567092432361E-2</v>
      </c>
      <c r="CZ101" s="95">
        <f>CY101</f>
        <v>2.9391567092432361E-2</v>
      </c>
      <c r="DA101" s="95">
        <f>CZ101</f>
        <v>2.9391567092432361E-2</v>
      </c>
      <c r="DB101" s="95">
        <f>DA101</f>
        <v>2.9391567092432361E-2</v>
      </c>
      <c r="DC101" s="95">
        <f t="shared" si="74"/>
        <v>2.9391567092432361E-2</v>
      </c>
      <c r="DD101" s="95">
        <v>2.9391567092432361E-2</v>
      </c>
      <c r="DE101" s="138">
        <f t="shared" si="74"/>
        <v>2.9391567092432361E-2</v>
      </c>
      <c r="DF101" s="95">
        <f t="shared" si="74"/>
        <v>2.9391567092432361E-2</v>
      </c>
      <c r="DG101" s="95">
        <f t="shared" si="74"/>
        <v>2.9391567092432361E-2</v>
      </c>
      <c r="DH101" s="138">
        <f t="shared" si="74"/>
        <v>2.9391567092432361E-2</v>
      </c>
      <c r="DI101" s="95">
        <f t="shared" si="74"/>
        <v>2.9391567092432361E-2</v>
      </c>
      <c r="DJ101" s="95">
        <f t="shared" si="74"/>
        <v>2.9391567092432361E-2</v>
      </c>
      <c r="DK101" s="138">
        <f t="shared" si="74"/>
        <v>2.9391567092432361E-2</v>
      </c>
      <c r="DL101" s="95">
        <f t="shared" si="74"/>
        <v>2.9391567092432361E-2</v>
      </c>
      <c r="DM101" s="95">
        <f t="shared" si="74"/>
        <v>2.9391567092432361E-2</v>
      </c>
      <c r="DN101" s="138">
        <f t="shared" si="74"/>
        <v>2.9391567092432361E-2</v>
      </c>
      <c r="DO101" s="95">
        <f t="shared" si="74"/>
        <v>2.9391567092432361E-2</v>
      </c>
      <c r="DP101" s="95">
        <f t="shared" si="74"/>
        <v>2.9391567092432361E-2</v>
      </c>
      <c r="DQ101" s="138">
        <f t="shared" si="74"/>
        <v>2.9391567092432361E-2</v>
      </c>
      <c r="DR101" s="95">
        <f t="shared" ref="DR101:DT102" si="75">DQ101</f>
        <v>2.9391567092432361E-2</v>
      </c>
      <c r="DS101" s="95">
        <f t="shared" si="75"/>
        <v>2.9391567092432361E-2</v>
      </c>
      <c r="DT101" s="138">
        <f t="shared" si="75"/>
        <v>2.9391567092432361E-2</v>
      </c>
      <c r="DU101" s="95">
        <f t="shared" ref="DU101:DZ101" si="76">DT101</f>
        <v>2.9391567092432361E-2</v>
      </c>
      <c r="DV101" s="95">
        <f>DU101</f>
        <v>2.9391567092432361E-2</v>
      </c>
      <c r="DW101" s="138">
        <f>DV101</f>
        <v>2.9391567092432361E-2</v>
      </c>
      <c r="DX101" s="95">
        <f t="shared" si="76"/>
        <v>2.9391567092432361E-2</v>
      </c>
      <c r="DY101" s="95">
        <f t="shared" si="76"/>
        <v>2.9391567092432361E-2</v>
      </c>
      <c r="DZ101" s="138">
        <f t="shared" si="76"/>
        <v>2.9391567092432361E-2</v>
      </c>
      <c r="EA101" s="95">
        <f>DZ101</f>
        <v>2.9391567092432361E-2</v>
      </c>
      <c r="EB101" s="95">
        <f>EA101</f>
        <v>2.9391567092432361E-2</v>
      </c>
      <c r="EC101" s="138">
        <f>EB101</f>
        <v>2.9391567092432361E-2</v>
      </c>
      <c r="ED101" s="95">
        <f t="shared" ref="ED101:EL101" si="77">EC101</f>
        <v>2.9391567092432361E-2</v>
      </c>
      <c r="EE101" s="95">
        <f t="shared" si="77"/>
        <v>2.9391567092432361E-2</v>
      </c>
      <c r="EF101" s="138">
        <f t="shared" si="77"/>
        <v>2.9391567092432361E-2</v>
      </c>
      <c r="EG101" s="95">
        <f t="shared" si="77"/>
        <v>2.9391567092432361E-2</v>
      </c>
      <c r="EH101" s="95">
        <f t="shared" si="77"/>
        <v>2.9391567092432361E-2</v>
      </c>
      <c r="EI101" s="138">
        <f t="shared" si="77"/>
        <v>2.9391567092432361E-2</v>
      </c>
      <c r="EJ101" s="95">
        <f t="shared" si="77"/>
        <v>2.9391567092432361E-2</v>
      </c>
      <c r="EK101" s="95">
        <f t="shared" si="77"/>
        <v>2.9391567092432361E-2</v>
      </c>
      <c r="EL101" s="138">
        <f t="shared" si="77"/>
        <v>2.9391567092432361E-2</v>
      </c>
      <c r="EM101" s="95">
        <f t="shared" ref="EM101:FA101" si="78">EL101</f>
        <v>2.9391567092432361E-2</v>
      </c>
      <c r="EN101" s="95">
        <f t="shared" si="78"/>
        <v>2.9391567092432361E-2</v>
      </c>
      <c r="EO101" s="138">
        <f t="shared" si="78"/>
        <v>2.9391567092432361E-2</v>
      </c>
      <c r="EP101" s="95">
        <f t="shared" si="78"/>
        <v>2.9391567092432361E-2</v>
      </c>
      <c r="EQ101" s="95">
        <f t="shared" si="78"/>
        <v>2.9391567092432361E-2</v>
      </c>
      <c r="ER101" s="138">
        <f t="shared" si="78"/>
        <v>2.9391567092432361E-2</v>
      </c>
      <c r="ES101" s="95">
        <f t="shared" si="78"/>
        <v>2.9391567092432361E-2</v>
      </c>
      <c r="ET101" s="95">
        <f t="shared" si="78"/>
        <v>2.9391567092432361E-2</v>
      </c>
      <c r="EU101" s="138">
        <f t="shared" si="78"/>
        <v>2.9391567092432361E-2</v>
      </c>
      <c r="EV101" s="95">
        <f t="shared" si="78"/>
        <v>2.9391567092432361E-2</v>
      </c>
      <c r="EW101" s="95">
        <f t="shared" si="78"/>
        <v>2.9391567092432361E-2</v>
      </c>
      <c r="EX101" s="138">
        <f t="shared" si="78"/>
        <v>2.9391567092432361E-2</v>
      </c>
      <c r="EY101" s="95">
        <f t="shared" si="78"/>
        <v>2.9391567092432361E-2</v>
      </c>
      <c r="EZ101" s="95">
        <f t="shared" si="78"/>
        <v>2.9391567092432361E-2</v>
      </c>
      <c r="FA101" s="138">
        <f t="shared" si="78"/>
        <v>2.9391567092432361E-2</v>
      </c>
    </row>
    <row r="102" spans="1:157" ht="13.35" customHeight="1">
      <c r="A102" s="86"/>
      <c r="B102" s="4" t="s">
        <v>430</v>
      </c>
      <c r="C102" s="4"/>
      <c r="D102" s="3"/>
      <c r="E102" s="82"/>
      <c r="F102" s="82"/>
      <c r="G102" s="82"/>
      <c r="H102" s="95" t="str">
        <f>IF(AND(H103&lt;&gt;"",H104&lt;&gt;""),(H104*2)/H103,"")</f>
        <v/>
      </c>
      <c r="I102" s="95" t="str">
        <f>IF(AND(I103&lt;&gt;"",I104&lt;&gt;""),(I104*2)/I103,"")</f>
        <v/>
      </c>
      <c r="J102" s="95" t="str">
        <f>IF(AND(J103&lt;&gt;"",J104&lt;&gt;""),(J104)/J103,"")</f>
        <v/>
      </c>
      <c r="K102" s="95" t="str">
        <f>IF(AND(K103&lt;&gt;"",K104&lt;&gt;""),(K104*2)/K103,"")</f>
        <v/>
      </c>
      <c r="L102" s="95" t="str">
        <f>IF(AND(L103&lt;&gt;"",L104&lt;&gt;""),(L104*2)/L103,"")</f>
        <v/>
      </c>
      <c r="M102" s="95" t="str">
        <f>IF(AND(M103&lt;&gt;"",M104&lt;&gt;""),(M104)/M103,"")</f>
        <v/>
      </c>
      <c r="N102" s="95" t="str">
        <f>IF(AND(N103&lt;&gt;"",N104&lt;&gt;""),(N104*2)/N103,"")</f>
        <v/>
      </c>
      <c r="O102" s="95" t="str">
        <f>IF(AND(O103&lt;&gt;"",O104&lt;&gt;""),(O104*2)/O103,"")</f>
        <v/>
      </c>
      <c r="P102" s="95" t="str">
        <f>IF(AND(P103&lt;&gt;"",P104&lt;&gt;""),(P104)/P103,"")</f>
        <v/>
      </c>
      <c r="Q102" s="95" t="str">
        <f>IF(AND(Q103&lt;&gt;"",Q104&lt;&gt;""),(Q104*2)/Q103,"")</f>
        <v/>
      </c>
      <c r="R102" s="95" t="str">
        <f>IF(AND(R103&lt;&gt;"",R104&lt;&gt;""),(R104*2)/R103,"")</f>
        <v/>
      </c>
      <c r="S102" s="95" t="str">
        <f>IF(AND(S103&lt;&gt;"",S104&lt;&gt;""),(S104)/S103,"")</f>
        <v/>
      </c>
      <c r="T102" s="95" t="str">
        <f>IF(AND(T103&lt;&gt;"",T104&lt;&gt;""),(T104*2)/T103,"")</f>
        <v/>
      </c>
      <c r="U102" s="95" t="str">
        <f>IF(AND(U103&lt;&gt;"",U104&lt;&gt;""),(U104*2)/U103,"")</f>
        <v/>
      </c>
      <c r="V102" s="95" t="str">
        <f>IF(AND(V103&lt;&gt;"",V104&lt;&gt;""),(V104)/V103,"")</f>
        <v/>
      </c>
      <c r="W102" s="95" t="str">
        <f>IF(AND(W103&lt;&gt;"",W104&lt;&gt;""),(W104*2)/W103,"")</f>
        <v/>
      </c>
      <c r="X102" s="95" t="str">
        <f>IF(AND(X103&lt;&gt;"",X104&lt;&gt;""),(X104*2)/X103,"")</f>
        <v/>
      </c>
      <c r="Y102" s="95" t="str">
        <f>IF(AND(Y103&lt;&gt;"",Y104&lt;&gt;""),(Y104)/Y103,"")</f>
        <v/>
      </c>
      <c r="Z102" s="95" t="str">
        <f>IF(AND(Z103&lt;&gt;"",Z104&lt;&gt;""),(Z104*2)/Z103,"")</f>
        <v/>
      </c>
      <c r="AA102" s="95" t="str">
        <f>IF(AND(AA103&lt;&gt;"",AA104&lt;&gt;""),(AA104*2)/AA103,"")</f>
        <v/>
      </c>
      <c r="AB102" s="95" t="str">
        <f>IF(AND(AB103&lt;&gt;"",AB104&lt;&gt;""),(AB104)/AB103,"")</f>
        <v/>
      </c>
      <c r="AC102" s="95" t="str">
        <f>IF(AND(AC103&lt;&gt;"",AC104&lt;&gt;""),(AC104*2)/AC103,"")</f>
        <v/>
      </c>
      <c r="AD102" s="95" t="str">
        <f>IF(AND(AD103&lt;&gt;"",AD104&lt;&gt;""),(AD104*2)/AD103,"")</f>
        <v/>
      </c>
      <c r="AE102" s="95" t="str">
        <f>IF(AND(AE103&lt;&gt;"",AE104&lt;&gt;""),(AE104)/AE103,"")</f>
        <v/>
      </c>
      <c r="AF102" s="95" t="str">
        <f>IF(AND(AF103&lt;&gt;"",AF104&lt;&gt;""),(AF104*2)/AF103,"")</f>
        <v/>
      </c>
      <c r="AG102" s="95" t="str">
        <f>IF(AND(AG103&lt;&gt;"",AG104&lt;&gt;""),(AG104*2)/AG103,"")</f>
        <v/>
      </c>
      <c r="AH102" s="95" t="str">
        <f>IF(AND(AH103&lt;&gt;"",AH104&lt;&gt;""),(AH104)/AH103,"")</f>
        <v/>
      </c>
      <c r="AI102" s="95" t="str">
        <f>IF(AND(AI103&lt;&gt;"",AI104&lt;&gt;""),(AI104*2)/AI103,"")</f>
        <v/>
      </c>
      <c r="AJ102" s="95"/>
      <c r="AK102" s="95" t="str">
        <f>IF(AND(AK103&lt;&gt;"",AK104&lt;&gt;""),(AK104)/AK103,"")</f>
        <v/>
      </c>
      <c r="AL102" s="95" t="str">
        <f>IF(AND(AL103&lt;&gt;"",AL104&lt;&gt;""),(AL104*2)/AL103,"")</f>
        <v/>
      </c>
      <c r="AM102" s="95"/>
      <c r="AN102" s="95" t="str">
        <f>IF(AND(AN103&lt;&gt;"",AN104&lt;&gt;""),(AN104)/AN103,"")</f>
        <v/>
      </c>
      <c r="AO102" s="95" t="str">
        <f>IF(AND(AO103&lt;&gt;"",AO104&lt;&gt;""),(AO104*2)/AO103,"")</f>
        <v/>
      </c>
      <c r="AP102" s="95"/>
      <c r="AQ102" s="95" t="str">
        <f>IF(AND(AQ103&lt;&gt;"",AQ104&lt;&gt;""),(AQ104)/AQ103,"")</f>
        <v/>
      </c>
      <c r="AR102" s="95" t="str">
        <f>IF(AND(AR103&lt;&gt;"",AR104&lt;&gt;""),(AR104*2)/AR103,"")</f>
        <v/>
      </c>
      <c r="AS102" s="95"/>
      <c r="AT102" s="95" t="str">
        <f>IF(AND(AT103&lt;&gt;"",AT104&lt;&gt;""),(AT104)/AT103,"")</f>
        <v/>
      </c>
      <c r="AU102" s="95" t="str">
        <f>IF(AND(AU103&lt;&gt;"",AU104&lt;&gt;""),(AU104*2)/AU103,"")</f>
        <v/>
      </c>
      <c r="AV102" s="95" t="str">
        <f>IF(AND(AV103&lt;&gt;"",AV104&lt;&gt;""),(AV104*2)/AV103,"")</f>
        <v/>
      </c>
      <c r="AW102" s="95" t="str">
        <f>IF(AND(AW103&lt;&gt;"",AW104&lt;&gt;""),(AW104)/AW103,"")</f>
        <v/>
      </c>
      <c r="AX102" s="95" t="str">
        <f>IF(AND(AX103&lt;&gt;"",AX104&lt;&gt;""),(AX104*2)/AX103,"")</f>
        <v/>
      </c>
      <c r="AY102" s="95" t="str">
        <f>IF(AND(AY103&lt;&gt;"",AY104&lt;&gt;""),(AY104*2)/AY103,"")</f>
        <v/>
      </c>
      <c r="AZ102" s="95" t="str">
        <f>IF(AND(AZ103&lt;&gt;"",AZ104&lt;&gt;""),(AZ104)/AZ103,"")</f>
        <v/>
      </c>
      <c r="BA102" s="95"/>
      <c r="BB102" s="95"/>
      <c r="BC102" s="7">
        <f>BC101</f>
        <v>0.06</v>
      </c>
      <c r="BD102" s="7">
        <f>BD101</f>
        <v>4.4999999999999998E-2</v>
      </c>
      <c r="BE102" s="95">
        <f>BD102</f>
        <v>4.4999999999999998E-2</v>
      </c>
      <c r="BF102" s="7">
        <f>BF101</f>
        <v>4.4999999999999998E-2</v>
      </c>
      <c r="BG102" s="7">
        <f>BG101</f>
        <v>4.4999999999999998E-2</v>
      </c>
      <c r="BH102" s="95">
        <f>BG102</f>
        <v>4.4999999999999998E-2</v>
      </c>
      <c r="BI102" s="7">
        <f>BI101</f>
        <v>4.4999999999999998E-2</v>
      </c>
      <c r="BJ102" s="7">
        <f>BJ101</f>
        <v>0.04</v>
      </c>
      <c r="BK102" s="95"/>
      <c r="BL102" s="7">
        <f>BL101</f>
        <v>0.04</v>
      </c>
      <c r="BM102" s="7">
        <f>BM101</f>
        <v>0.04</v>
      </c>
      <c r="BN102" s="95"/>
      <c r="BO102" s="7">
        <f>BO101</f>
        <v>0.04</v>
      </c>
      <c r="BP102" s="7">
        <f>BP101</f>
        <v>0.04</v>
      </c>
      <c r="BQ102" s="95"/>
      <c r="BR102" s="7">
        <f>BR101</f>
        <v>0.04</v>
      </c>
      <c r="BS102" s="7">
        <f>BS101</f>
        <v>0.04</v>
      </c>
      <c r="BT102" s="95"/>
      <c r="BU102" s="7">
        <f>BU101</f>
        <v>0.04</v>
      </c>
      <c r="BV102" s="7"/>
      <c r="BW102" s="7">
        <f>(BW104*2)/BW103</f>
        <v>0.10840296296296294</v>
      </c>
      <c r="BX102" s="7">
        <f>BX104/BX103</f>
        <v>5.2111111111111108E-2</v>
      </c>
      <c r="BY102" s="104">
        <v>2.5000000000000001E-2</v>
      </c>
      <c r="BZ102" s="95">
        <v>0.02</v>
      </c>
      <c r="CA102" s="95">
        <v>2.5099900000000001E-2</v>
      </c>
      <c r="CB102" s="95">
        <f>CA102</f>
        <v>2.5099900000000001E-2</v>
      </c>
      <c r="CC102" s="95">
        <f>CB102</f>
        <v>2.5099900000000001E-2</v>
      </c>
      <c r="CD102" s="95">
        <f>CC102</f>
        <v>2.5099900000000001E-2</v>
      </c>
      <c r="CE102" s="7">
        <v>8.1000000000000003E-2</v>
      </c>
      <c r="CF102" s="7">
        <f>(CF104*2)/CF103</f>
        <v>0.10241641164580324</v>
      </c>
      <c r="CG102" s="95">
        <v>5.9144394173586731E-2</v>
      </c>
      <c r="CH102" s="95">
        <f>CE102</f>
        <v>8.1000000000000003E-2</v>
      </c>
      <c r="CI102" s="95">
        <v>3.7999999999999999E-2</v>
      </c>
      <c r="CJ102" s="95">
        <f>CI102</f>
        <v>3.7999999999999999E-2</v>
      </c>
      <c r="CK102" s="95">
        <v>3.5499999999999997E-2</v>
      </c>
      <c r="CL102" s="95">
        <v>3.236990585291985E-2</v>
      </c>
      <c r="CM102" s="95">
        <v>0.04</v>
      </c>
      <c r="CN102" s="95">
        <f>CN101</f>
        <v>2.9391567092432361E-2</v>
      </c>
      <c r="CO102" s="95">
        <v>2.8863130421432414E-2</v>
      </c>
      <c r="CP102" s="95">
        <f>CO102</f>
        <v>2.8863130421432414E-2</v>
      </c>
      <c r="CQ102" s="95">
        <v>1.7492362067932664E-2</v>
      </c>
      <c r="CR102" s="95">
        <v>2.0526771361444294E-2</v>
      </c>
      <c r="CS102" s="95">
        <f>CR102</f>
        <v>2.0526771361444294E-2</v>
      </c>
      <c r="CT102" s="168">
        <v>1.6011644832605539E-2</v>
      </c>
      <c r="CU102" s="168">
        <v>1.7711998058959094E-2</v>
      </c>
      <c r="CV102" s="95">
        <f>CU102</f>
        <v>1.7711998058959094E-2</v>
      </c>
      <c r="CW102" s="168">
        <v>8.326972451599475E-3</v>
      </c>
      <c r="CX102" s="168">
        <v>1.827646038172354E-2</v>
      </c>
      <c r="CY102" s="95">
        <f>CX102</f>
        <v>1.827646038172354E-2</v>
      </c>
      <c r="CZ102" s="168">
        <v>6.3750664069417394E-3</v>
      </c>
      <c r="DA102" s="95">
        <f>CZ102</f>
        <v>6.3750664069417394E-3</v>
      </c>
      <c r="DB102" s="95">
        <f>DA102</f>
        <v>6.3750664069417394E-3</v>
      </c>
      <c r="DC102" s="169">
        <v>9.4562647754137166E-3</v>
      </c>
      <c r="DD102" s="168">
        <v>3.1127228770021154E-2</v>
      </c>
      <c r="DE102" s="138">
        <f t="shared" si="74"/>
        <v>3.1127228770021154E-2</v>
      </c>
      <c r="DF102" s="168">
        <v>1.2E-2</v>
      </c>
      <c r="DG102" s="168">
        <v>6.4999999999999997E-3</v>
      </c>
      <c r="DH102" s="138">
        <f t="shared" si="74"/>
        <v>6.4999999999999997E-3</v>
      </c>
      <c r="DI102" s="168">
        <v>1.9E-3</v>
      </c>
      <c r="DJ102" s="168">
        <v>2.0999999999999999E-3</v>
      </c>
      <c r="DK102" s="138">
        <f t="shared" si="74"/>
        <v>2.0999999999999999E-3</v>
      </c>
      <c r="DL102" s="168">
        <v>4.4999999999999999E-4</v>
      </c>
      <c r="DM102" s="168">
        <v>3.9315952822482061E-3</v>
      </c>
      <c r="DN102" s="138">
        <f t="shared" si="74"/>
        <v>3.9315952822482061E-3</v>
      </c>
      <c r="DO102" s="168">
        <v>1.162E-2</v>
      </c>
      <c r="DP102" s="95">
        <f>DM102</f>
        <v>3.9315952822482061E-3</v>
      </c>
      <c r="DQ102" s="138">
        <f t="shared" si="74"/>
        <v>3.9315952822482061E-3</v>
      </c>
      <c r="DR102" s="168">
        <v>3.1199999999999999E-2</v>
      </c>
      <c r="DS102" s="168">
        <v>2.8400000000000002E-2</v>
      </c>
      <c r="DT102" s="138">
        <f t="shared" si="75"/>
        <v>2.8400000000000002E-2</v>
      </c>
      <c r="DU102" s="986">
        <f>+DU104/DU103*2</f>
        <v>2.2634391700723042E-2</v>
      </c>
      <c r="DV102" s="986">
        <v>2.8400000000000002E-2</v>
      </c>
      <c r="DW102" s="986">
        <f>+DW104/DW103*2</f>
        <v>3.5234121464997679E-2</v>
      </c>
      <c r="DX102" s="986">
        <f>+DX104/DX103*2</f>
        <v>2.1804966686856452E-2</v>
      </c>
      <c r="DY102" s="171">
        <f t="shared" ref="DY102:EU102" si="79">+DX102</f>
        <v>2.1804966686856452E-2</v>
      </c>
      <c r="DZ102" s="172">
        <f t="shared" si="79"/>
        <v>2.1804966686856452E-2</v>
      </c>
      <c r="EA102" s="171">
        <f t="shared" si="79"/>
        <v>2.1804966686856452E-2</v>
      </c>
      <c r="EB102" s="171">
        <f t="shared" si="79"/>
        <v>2.1804966686856452E-2</v>
      </c>
      <c r="EC102" s="172">
        <f t="shared" si="79"/>
        <v>2.1804966686856452E-2</v>
      </c>
      <c r="ED102" s="171">
        <f t="shared" si="79"/>
        <v>2.1804966686856452E-2</v>
      </c>
      <c r="EE102" s="171">
        <f t="shared" si="79"/>
        <v>2.1804966686856452E-2</v>
      </c>
      <c r="EF102" s="172">
        <f t="shared" si="79"/>
        <v>2.1804966686856452E-2</v>
      </c>
      <c r="EG102" s="171">
        <f t="shared" si="79"/>
        <v>2.1804966686856452E-2</v>
      </c>
      <c r="EH102" s="171">
        <f t="shared" si="79"/>
        <v>2.1804966686856452E-2</v>
      </c>
      <c r="EI102" s="172">
        <f t="shared" si="79"/>
        <v>2.1804966686856452E-2</v>
      </c>
      <c r="EJ102" s="171">
        <f t="shared" si="79"/>
        <v>2.1804966686856452E-2</v>
      </c>
      <c r="EK102" s="171">
        <f t="shared" si="79"/>
        <v>2.1804966686856452E-2</v>
      </c>
      <c r="EL102" s="172">
        <f t="shared" si="79"/>
        <v>2.1804966686856452E-2</v>
      </c>
      <c r="EM102" s="171">
        <f t="shared" si="79"/>
        <v>2.1804966686856452E-2</v>
      </c>
      <c r="EN102" s="171">
        <f t="shared" si="79"/>
        <v>2.1804966686856452E-2</v>
      </c>
      <c r="EO102" s="172">
        <f t="shared" si="79"/>
        <v>2.1804966686856452E-2</v>
      </c>
      <c r="EP102" s="171">
        <f t="shared" si="79"/>
        <v>2.1804966686856452E-2</v>
      </c>
      <c r="EQ102" s="171">
        <f t="shared" si="79"/>
        <v>2.1804966686856452E-2</v>
      </c>
      <c r="ER102" s="172">
        <f t="shared" si="79"/>
        <v>2.1804966686856452E-2</v>
      </c>
      <c r="ES102" s="171">
        <f t="shared" si="79"/>
        <v>2.1804966686856452E-2</v>
      </c>
      <c r="ET102" s="171">
        <f t="shared" si="79"/>
        <v>2.1804966686856452E-2</v>
      </c>
      <c r="EU102" s="172">
        <f t="shared" si="79"/>
        <v>2.1804966686856452E-2</v>
      </c>
      <c r="EV102" s="171">
        <f t="shared" ref="EV102:FA102" si="80">+EU102</f>
        <v>2.1804966686856452E-2</v>
      </c>
      <c r="EW102" s="171">
        <f t="shared" si="80"/>
        <v>2.1804966686856452E-2</v>
      </c>
      <c r="EX102" s="172">
        <f t="shared" si="80"/>
        <v>2.1804966686856452E-2</v>
      </c>
      <c r="EY102" s="171">
        <f t="shared" si="80"/>
        <v>2.1804966686856452E-2</v>
      </c>
      <c r="EZ102" s="171">
        <f t="shared" si="80"/>
        <v>2.1804966686856452E-2</v>
      </c>
      <c r="FA102" s="172">
        <f t="shared" si="80"/>
        <v>2.1804966686856452E-2</v>
      </c>
    </row>
    <row r="103" spans="1:157" ht="13.35" customHeight="1">
      <c r="A103" s="3"/>
      <c r="B103" s="4" t="s">
        <v>431</v>
      </c>
      <c r="C103" s="4"/>
      <c r="D103" s="3"/>
      <c r="E103" s="84"/>
      <c r="F103" s="84"/>
      <c r="G103" s="84"/>
      <c r="H103" s="87" t="str">
        <f>IF(OR(Model!G228&lt;&gt;"",Model!H228&lt;&gt;""),(Model!G228+Model!H228)/2,"")</f>
        <v/>
      </c>
      <c r="I103" s="87" t="str">
        <f>IF(OR(Model!H228&lt;&gt;"",Model!J228&lt;&gt;""),(Model!H228+Model!J228)/2,"")</f>
        <v/>
      </c>
      <c r="J103" s="87" t="str">
        <f>IF(OR(Model!G228&lt;&gt;"",Model!J228&lt;&gt;""),(Model!G228+Model!J228)/2,"")</f>
        <v/>
      </c>
      <c r="K103" s="87" t="str">
        <f>IF(OR(Model!J228&lt;&gt;"",Model!K228&lt;&gt;""),(Model!J228+Model!K228)/2,"")</f>
        <v/>
      </c>
      <c r="L103" s="87" t="str">
        <f>IF(OR(Model!K228&lt;&gt;"",Model!M228&lt;&gt;""),(Model!K228+Model!M228)/2,"")</f>
        <v/>
      </c>
      <c r="M103" s="87" t="str">
        <f>IF(OR(Model!J228&lt;&gt;"",Model!M228&lt;&gt;""),(Model!J228+Model!M228)/2,"")</f>
        <v/>
      </c>
      <c r="N103" s="87" t="str">
        <f>IF(OR(Model!M228&lt;&gt;"",Model!N228&lt;&gt;""),(Model!M228+Model!N228)/2,"")</f>
        <v/>
      </c>
      <c r="O103" s="87" t="str">
        <f>IF(OR(Model!N228&lt;&gt;"",Model!P228&lt;&gt;""),(Model!N228+Model!P228)/2,"")</f>
        <v/>
      </c>
      <c r="P103" s="87" t="str">
        <f>IF(OR(Model!M228&lt;&gt;"",Model!P228&lt;&gt;""),(Model!M228+Model!P228)/2,"")</f>
        <v/>
      </c>
      <c r="Q103" s="87" t="str">
        <f>IF(OR(Model!P228&lt;&gt;"",Model!Q228&lt;&gt;""),(Model!P228+Model!Q228)/2,"")</f>
        <v/>
      </c>
      <c r="R103" s="87" t="str">
        <f>IF(OR(Model!Q228&lt;&gt;"",Model!S228&lt;&gt;""),(Model!Q228+Model!S228)/2,"")</f>
        <v/>
      </c>
      <c r="S103" s="87" t="str">
        <f>IF(OR(Model!P228&lt;&gt;"",Model!S228&lt;&gt;""),(Model!P228+Model!S228)/2,"")</f>
        <v/>
      </c>
      <c r="T103" s="87" t="str">
        <f>IF(OR(Model!S228&lt;&gt;"",Model!T228&lt;&gt;""),(Model!S228+Model!T228)/2,"")</f>
        <v/>
      </c>
      <c r="U103" s="87" t="str">
        <f>IF(OR(Model!T228&lt;&gt;"",Model!V228&lt;&gt;""),(Model!T228+Model!V228)/2,"")</f>
        <v/>
      </c>
      <c r="V103" s="87" t="str">
        <f>IF(OR(Model!S228&lt;&gt;"",Model!V228&lt;&gt;""),(Model!S228+Model!V228)/2,"")</f>
        <v/>
      </c>
      <c r="W103" s="87" t="str">
        <f>IF(OR(Model!V228&lt;&gt;"",Model!W228&lt;&gt;""),(Model!V228+Model!W228)/2,"")</f>
        <v/>
      </c>
      <c r="X103" s="87" t="str">
        <f>IF(OR(Model!W228&lt;&gt;"",Model!Y228&lt;&gt;""),(Model!W228+Model!Y228)/2,"")</f>
        <v/>
      </c>
      <c r="Y103" s="87" t="str">
        <f>IF(OR(Model!V228&lt;&gt;"",Model!Y228&lt;&gt;""),(Model!V228+Model!Y228)/2,"")</f>
        <v/>
      </c>
      <c r="Z103" s="87" t="str">
        <f>IF(OR(Model!Y228&lt;&gt;"",Model!Z228&lt;&gt;""),(Model!Y228+Model!Z228)/2,"")</f>
        <v/>
      </c>
      <c r="AA103" s="87" t="str">
        <f>IF(OR(Model!Z228&lt;&gt;"",Model!AB228&lt;&gt;""),(Model!Z228+Model!AB228)/2,"")</f>
        <v/>
      </c>
      <c r="AB103" s="87" t="str">
        <f>IF(OR(Model!Y228&lt;&gt;"",Model!AB228&lt;&gt;""),(Model!Y228+Model!AB228)/2,"")</f>
        <v/>
      </c>
      <c r="AC103" s="87" t="str">
        <f>IF(OR(Model!AB228&lt;&gt;"",Model!AC228&lt;&gt;""),(Model!AB228+Model!AC228)/2,"")</f>
        <v/>
      </c>
      <c r="AD103" s="87" t="str">
        <f>IF(OR(Model!AC228&lt;&gt;"",Model!AE228&lt;&gt;""),(Model!AC228+Model!AE228)/2,"")</f>
        <v/>
      </c>
      <c r="AE103" s="87" t="str">
        <f>IF(OR(Model!AB228&lt;&gt;"",Model!AE228&lt;&gt;""),(Model!AB228+Model!AE228)/2,"")</f>
        <v/>
      </c>
      <c r="AF103" s="87" t="str">
        <f>IF(OR(Model!AE228&lt;&gt;"",Model!AF228&lt;&gt;""),(Model!AE228+Model!AF228)/2,"")</f>
        <v/>
      </c>
      <c r="AG103" s="87" t="str">
        <f>IF(OR(Model!AF228&lt;&gt;"",Model!AH228&lt;&gt;""),(Model!AF228+Model!AH228)/2,"")</f>
        <v/>
      </c>
      <c r="AH103" s="87" t="str">
        <f>IF(OR(Model!AE228&lt;&gt;"",Model!AH228&lt;&gt;""),(Model!AE228+Model!AH228)/2,"")</f>
        <v/>
      </c>
      <c r="AI103" s="87" t="str">
        <f>IF(OR(Model!AH228&lt;&gt;"",Model!AI228&lt;&gt;""),(Model!AH228+Model!AI228)/2,"")</f>
        <v/>
      </c>
      <c r="AJ103" s="87" t="str">
        <f>IF(OR(Model!AI228&lt;&gt;"",Model!AK228&lt;&gt;""),(Model!AI228+Model!AK228)/2,"")</f>
        <v/>
      </c>
      <c r="AK103" s="87" t="str">
        <f>IF(OR(Model!AH228&lt;&gt;"",Model!AK228&lt;&gt;""),(Model!AH228+Model!AK228)/2,"")</f>
        <v/>
      </c>
      <c r="AL103" s="87" t="str">
        <f>IF(OR(Model!AK228&lt;&gt;"",Model!AL228&lt;&gt;""),(Model!AK228+Model!AL228)/2,"")</f>
        <v/>
      </c>
      <c r="AM103" s="87" t="str">
        <f>IF(OR(Model!AL228&lt;&gt;"",Model!AN228&lt;&gt;""),(Model!AL228+Model!AN228)/2,"")</f>
        <v/>
      </c>
      <c r="AN103" s="87" t="str">
        <f>IF(OR(Model!AK228&lt;&gt;"",Model!AN228&lt;&gt;""),(Model!AK228+Model!AN228)/2,"")</f>
        <v/>
      </c>
      <c r="AO103" s="87" t="str">
        <f>IF(OR(Model!AN228&lt;&gt;"",Model!AO228&lt;&gt;""),(Model!AN228+Model!AO228)/2,"")</f>
        <v/>
      </c>
      <c r="AP103" s="87" t="str">
        <f>IF(OR(Model!AO228&lt;&gt;"",Model!AQ228&lt;&gt;""),(Model!AO228+Model!AQ228)/2,"")</f>
        <v/>
      </c>
      <c r="AQ103" s="87" t="str">
        <f>IF(OR(Model!AN228&lt;&gt;"",Model!AQ228&lt;&gt;""),(Model!AN228+Model!AQ228)/2,"")</f>
        <v/>
      </c>
      <c r="AR103" s="87" t="str">
        <f>IF(OR(Model!AQ228&lt;&gt;"",Model!AR228&lt;&gt;""),(Model!AQ228+Model!AR228)/2,"")</f>
        <v/>
      </c>
      <c r="AS103" s="87" t="str">
        <f>IF(OR(Model!AR228&lt;&gt;"",Model!AT228&lt;&gt;""),(Model!AR228+Model!AT228)/2,"")</f>
        <v/>
      </c>
      <c r="AT103" s="87" t="str">
        <f>IF(OR(Model!AQ228&lt;&gt;"",Model!AT228&lt;&gt;""),(Model!AQ228+Model!AT228)/2,"")</f>
        <v/>
      </c>
      <c r="AU103" s="87" t="str">
        <f>IF(OR(Model!AT228&lt;&gt;"",Model!AU228&lt;&gt;""),(Model!AT228+Model!AU228)/2,"")</f>
        <v/>
      </c>
      <c r="AV103" s="87" t="str">
        <f>IF(OR(Model!AU228&lt;&gt;"",Model!AW228&lt;&gt;""),(Model!AU228+Model!AW228)/2,"")</f>
        <v/>
      </c>
      <c r="AW103" s="87" t="str">
        <f>IF(OR(Model!AT228&lt;&gt;"",Model!AW228&lt;&gt;""),(Model!AT228+Model!AW228)/2,"")</f>
        <v/>
      </c>
      <c r="AX103" s="87" t="str">
        <f>IF(OR(Model!AW228&lt;&gt;"",Model!AX228&lt;&gt;""),(Model!AW228+Model!AX228)/2,"")</f>
        <v/>
      </c>
      <c r="AY103" s="87" t="str">
        <f>IF(OR(Model!AX228&lt;&gt;"",Model!AZ228&lt;&gt;""),(Model!AX228+Model!AZ228)/2,"")</f>
        <v/>
      </c>
      <c r="AZ103" s="87" t="str">
        <f>IF(OR(Model!AW228&lt;&gt;"",Model!AZ228&lt;&gt;""),(Model!AW228+Model!AZ228)/2,"")</f>
        <v/>
      </c>
      <c r="BA103" s="87" t="str">
        <f>IF(OR(Model!AZ228&lt;&gt;"",Model!BA228&lt;&gt;""),(Model!AZ228+Model!BA228+BA100)/2,"")</f>
        <v/>
      </c>
      <c r="BB103" s="87">
        <f>IF(OR(Model!BA228&lt;&gt;"",Model!BB228&lt;&gt;""),(Model!BA228+Model!BB228+BB100)/2,"")</f>
        <v>0</v>
      </c>
      <c r="BC103" s="87">
        <f>IF(OR(Model!BB228&lt;&gt;"",Model!BC228&lt;&gt;""),(Model!BB228+Model!BC228+BC100),"")</f>
        <v>0</v>
      </c>
      <c r="BD103" s="87" t="str">
        <f>IF(OR(Model!BC228&lt;&gt;"",Model!BD228&lt;&gt;""),(Model!BC228+Model!BD228+BD100)/2,"")</f>
        <v/>
      </c>
      <c r="BE103" s="87">
        <f>IF(OR(Model!BD228&lt;&gt;"",Model!BE228&lt;&gt;""),(Model!BD228+Model!BE228+BE100)/2,"")</f>
        <v>0</v>
      </c>
      <c r="BF103" s="87">
        <f>IF(OR(Model!BE228&lt;&gt;"",Model!BF228&lt;&gt;""),(Model!BE228+Model!BF228+BF100),"")</f>
        <v>0</v>
      </c>
      <c r="BG103" s="87" t="str">
        <f>IF(OR(Model!BF228&lt;&gt;"",Model!BG228&lt;&gt;""),(Model!BF228+Model!BG228+BG100)/2,"")</f>
        <v/>
      </c>
      <c r="BH103" s="87">
        <f>IF(OR(Model!BG228&lt;&gt;"",Model!BH228&lt;&gt;""),(Model!BG228+Model!BH228+BH100)/2,"")</f>
        <v>0</v>
      </c>
      <c r="BI103" s="87">
        <f>IF(OR(Model!BH228&lt;&gt;"",Model!BI228&lt;&gt;""),(Model!BH228+Model!BI228+BI100),"")</f>
        <v>0</v>
      </c>
      <c r="BJ103" s="87" t="str">
        <f>IF(OR(Model!BI228&lt;&gt;"",Model!BJ228&lt;&gt;""),(Model!BI228+Model!BJ228+BJ100)/2,"")</f>
        <v/>
      </c>
      <c r="BK103" s="87">
        <f>IF(OR(Model!BJ228&lt;&gt;"",Model!BK228&lt;&gt;""),(Model!BJ228+Model!BK228+BK100)/2,"")</f>
        <v>0</v>
      </c>
      <c r="BL103" s="87">
        <f>IF(OR(Model!BK228&lt;&gt;"",Model!BL228&lt;&gt;""),(Model!BK228+Model!BL228+BL100),"")</f>
        <v>0</v>
      </c>
      <c r="BM103" s="87" t="str">
        <f>IF(OR(Model!BL228&lt;&gt;"",Model!BM228&lt;&gt;""),(Model!BL228+Model!BM228+BM100)/2,"")</f>
        <v/>
      </c>
      <c r="BN103" s="87">
        <f>IF(OR(Model!BM228&lt;&gt;"",Model!BN228&lt;&gt;""),(Model!BM228+Model!BN228+BN100)/2,"")</f>
        <v>0</v>
      </c>
      <c r="BO103" s="87">
        <f>IF(OR(Model!BN228&lt;&gt;"",Model!BO228&lt;&gt;""),(Model!BN228+Model!BO228+BO100)/2,"")</f>
        <v>0</v>
      </c>
      <c r="BP103" s="87" t="str">
        <f>IF(OR(Model!BO228&lt;&gt;"",Model!BP228&lt;&gt;""),(Model!BO228+Model!BP228+BP100)/2,"")</f>
        <v/>
      </c>
      <c r="BQ103" s="87">
        <f>IF(OR(Model!BP228&lt;&gt;"",Model!BQ228&lt;&gt;""),(Model!BP228+Model!BQ228+BQ100)/2,"")</f>
        <v>0</v>
      </c>
      <c r="BR103" s="87">
        <f>IF(OR(Model!BQ228&lt;&gt;"",Model!BR228&lt;&gt;""),(Model!BQ228+Model!BR228+BR100)/2,"")</f>
        <v>0</v>
      </c>
      <c r="BS103" s="87" t="str">
        <f>IF(OR(Model!BR228&lt;&gt;"",Model!BS228&lt;&gt;""),(Model!BR228+Model!BS228+BS100)/2,"")</f>
        <v/>
      </c>
      <c r="BT103" s="87">
        <f>IF(OR(Model!BS228&lt;&gt;"",Model!BT228&lt;&gt;""),(Model!BS228+Model!BT228+BT100)/2,"")</f>
        <v>0</v>
      </c>
      <c r="BU103" s="87">
        <f>IF(OR(Model!BT228&lt;&gt;"",Model!BU228&lt;&gt;""),(Model!BT228+Model!BU228+BU100)/2,"")</f>
        <v>0</v>
      </c>
      <c r="BV103" s="87" t="str">
        <f>IF(OR(Model!BU228&lt;&gt;"",Model!BV228&lt;&gt;""),(Model!BU228+Model!BV228+BV100)/2,"")</f>
        <v/>
      </c>
      <c r="BW103" s="87">
        <f>IF(OR(Model!BV228&lt;&gt;"",Model!BW228&lt;&gt;""),(Model!BV228+Model!BW228+BW100)/2,"")</f>
        <v>337.5</v>
      </c>
      <c r="BX103" s="87">
        <f>IF(OR(Model!BW228&lt;&gt;"",Model!BX228&lt;&gt;""),(Model!BW228+Model!BX228+BX100)/2,"")</f>
        <v>675</v>
      </c>
      <c r="BY103" s="87">
        <f>IF(OR(Model!BX228&lt;&gt;"",Model!BY228&lt;&gt;""),(Model!BX228+Model!BY228+BY100)/2,"")</f>
        <v>337.5</v>
      </c>
      <c r="BZ103" s="87">
        <f>IF(OR(Model!BY228&lt;&gt;"",Model!BZ228&lt;&gt;""),(Model!BY228+Model!BZ228+BZ100)/2,"")</f>
        <v>1025.5</v>
      </c>
      <c r="CA103" s="87">
        <f>IF(OR(Model!BZ228&lt;&gt;"",Model!CA228&lt;&gt;""),(Model!BZ228+Model!CA228+CA100)/2,"")</f>
        <v>2051</v>
      </c>
      <c r="CB103" s="87">
        <f>IF(OR(Model!CA228&lt;&gt;"",Model!CB228&lt;&gt;""),(Model!CA228+Model!CB228+CB100)/2,"")</f>
        <v>1025.5</v>
      </c>
      <c r="CC103" s="87">
        <f>IF(OR(Model!CB228&lt;&gt;"",Model!CC228&lt;&gt;""),(Model!CB228+Model!CC228+CC100)/2,"")</f>
        <v>426.5</v>
      </c>
      <c r="CD103" s="87">
        <f>IF(OR(Model!CC228&lt;&gt;"",Model!CD228&lt;&gt;""),(Model!CC228+Model!CD228+CD100)/2,"")</f>
        <v>853</v>
      </c>
      <c r="CE103" s="87">
        <f>IF(OR(Model!CD228&lt;&gt;"",Model!CE228&lt;&gt;""),(Model!CD228+Model!CE228+CE100)/2,"")</f>
        <v>426.5</v>
      </c>
      <c r="CF103" s="87">
        <f>IF(OR(Model!CE228&lt;&gt;"",Model!CF228&lt;&gt;""),(Model!CE228+Model!CF228+CF100)/2,"")</f>
        <v>257.5</v>
      </c>
      <c r="CG103" s="87">
        <f>IF(OR(Model!CF228&lt;&gt;"",Model!CG228&lt;&gt;""),(Model!CF228+Model!CG228+CG100)/2,"")</f>
        <v>515</v>
      </c>
      <c r="CH103" s="87">
        <f>IF(OR(Model!CG228&lt;&gt;"",Model!CH228&lt;&gt;""),(Model!CG228+Model!CH228+CH100)/2,"")</f>
        <v>907.28499999999997</v>
      </c>
      <c r="CI103" s="87">
        <f>IF(OR(Model!CH228&lt;&gt;"",Model!CI228&lt;&gt;""),(Model!CH228+Model!CI228+CI100)/2,"")</f>
        <v>1227.335</v>
      </c>
      <c r="CJ103" s="87">
        <f>IF(OR(Model!CI228&lt;&gt;"",Model!CJ228&lt;&gt;""),(Model!CI228+Model!CJ228+CJ100)/2,"")</f>
        <v>1155.0999999999999</v>
      </c>
      <c r="CK103" s="87">
        <f>IF(OR(Model!CJ228&lt;&gt;"",Model!CK228&lt;&gt;""),(Model!CJ228+Model!CK228+CK100)/2,"")</f>
        <v>958.65</v>
      </c>
      <c r="CL103" s="87">
        <f>IF(OR(Model!CK228&lt;&gt;"",Model!CL228&lt;&gt;""),(Model!CK228+Model!CL228+CL100)/2,"")</f>
        <v>762.2</v>
      </c>
      <c r="CM103" s="87">
        <f>IF(OR(Model!CL228&lt;&gt;"",Model!CM228&lt;&gt;""),(Model!CL228+Model!CM228+CM100)/2,"")</f>
        <v>762.2</v>
      </c>
      <c r="CN103" s="87">
        <f>IF(OR(Model!CM228&lt;&gt;"",Model!CN228&lt;&gt;""),(Model!CM228+Model!CN228+CN100)/2,"")</f>
        <v>728.1</v>
      </c>
      <c r="CO103" s="87">
        <f>IF(OR(Model!CN228&lt;&gt;"",Model!CO228&lt;&gt;""),(Model!CN228+Model!CO228+CO100)/2,"")</f>
        <v>651.35</v>
      </c>
      <c r="CP103" s="87">
        <f>IF(OR(Model!CO228&lt;&gt;"",Model!CP228&lt;&gt;""),(Model!CO228+Model!CP228+CP100)/2,"")</f>
        <v>608.70000000000005</v>
      </c>
      <c r="CQ103" s="87">
        <f>IF(OR(Model!CP228&lt;&gt;"",Model!CQ228&lt;&gt;""),(Model!CP228+Model!CQ228+CQ100)/2,"")</f>
        <v>834.65</v>
      </c>
      <c r="CR103" s="87">
        <f>IF(OR(Model!CQ228&lt;&gt;"",Model!CR228&lt;&gt;""),(Model!CQ228+Model!CR228+CR100)/2,"")</f>
        <v>808.69999999999993</v>
      </c>
      <c r="CS103" s="87">
        <f>IF(OR(Model!CR228&lt;&gt;"",Model!CS228&lt;&gt;""),(Model!CR228+Model!CS228+CS100)/2,"")</f>
        <v>556.79999999999995</v>
      </c>
      <c r="CT103" s="87">
        <f>IF(OR(Model!CS228&lt;&gt;"",Model!CT228&lt;&gt;""),(Model!CS228+Model!CT228+CT100)/2,"")</f>
        <v>824.4</v>
      </c>
      <c r="CU103" s="87">
        <f>IF(OR(Model!CT228&lt;&gt;"",Model!CU228&lt;&gt;""),(Model!CT228+Model!CU228+CU100)/2,"")</f>
        <v>824.3</v>
      </c>
      <c r="CV103" s="87">
        <f>IF(OR(Model!CU228&lt;&gt;"",Model!CV228&lt;&gt;""),(Model!CU228+Model!CV228+CV100)/2,"")</f>
        <v>556.6</v>
      </c>
      <c r="CW103" s="87">
        <f>IF(OR(Model!CV228&lt;&gt;"",Model!CW228&lt;&gt;""),(Model!CV228+Model!CW228+CW100)/2,"")</f>
        <v>720.55</v>
      </c>
      <c r="CX103" s="87">
        <f>IF(OR(Model!CW228&lt;&gt;"",Model!CX228&lt;&gt;""),(Model!CW228+Model!CX228+CX100)/2,"")</f>
        <v>864.5</v>
      </c>
      <c r="CY103" s="87">
        <f>IF(OR(Model!CX228&lt;&gt;"",Model!CY228&lt;&gt;""),(Model!CX228+Model!CY228+CY100)/2,"")</f>
        <v>844.5</v>
      </c>
      <c r="CZ103" s="87">
        <f>IF(OR(Model!CY228&lt;&gt;"",Model!CZ228&lt;&gt;""),(Model!CY228+Model!CZ228+CZ100)/2,"")</f>
        <v>847.05</v>
      </c>
      <c r="DA103" s="87">
        <f>IF(OR(Model!CZ228&lt;&gt;"",Model!DA228&lt;&gt;""),(Model!CZ228+Model!DA228+DA100)/2,"")</f>
        <v>832.15000000000009</v>
      </c>
      <c r="DB103" s="87">
        <f>IF(OR(Model!DA228&lt;&gt;"",Model!DB228&lt;&gt;""),(Model!DA228+Model!DB228+DB100)/2,"")</f>
        <v>814.7</v>
      </c>
      <c r="DC103" s="87">
        <f>IF(OR(Model!DB228&lt;&gt;"",Model!DC228&lt;&gt;""),(Model!DB228+Model!DC228+DC100)/2,"")</f>
        <v>740.25</v>
      </c>
      <c r="DD103" s="87">
        <f>IF(OR(Model!DC228&lt;&gt;"",Model!DD228&lt;&gt;""),(Model!DC228+Model!DD228+DD100)/2,"")</f>
        <v>661.8</v>
      </c>
      <c r="DE103" s="140">
        <f>IF(OR(Model!DD228&lt;&gt;"",Model!DE228&lt;&gt;""),(Model!DD228+Model!DE228+DE100)/2,"")</f>
        <v>657.8</v>
      </c>
      <c r="DF103" s="87">
        <f>IF(OR(Model!DE228&lt;&gt;"",Model!DF228&lt;&gt;""),(Model!DE228+Model!DF228+DF100)/2,"")</f>
        <v>663.5</v>
      </c>
      <c r="DG103" s="87">
        <f>IF(OR(Model!DF228&lt;&gt;"",Model!DG228&lt;&gt;""),(Model!DF228+Model!DG228+DG100)/2,"")</f>
        <v>931.80000000000007</v>
      </c>
      <c r="DH103" s="140">
        <f>IF(OR(Model!DG228&lt;&gt;"",Model!DH228&lt;&gt;""),(Model!DG228+Model!DH228+DH100)/2,"")</f>
        <v>1194.4000000000001</v>
      </c>
      <c r="DI103" s="87">
        <f>IF(OR(Model!DH228&lt;&gt;"",Model!DI228&lt;&gt;""),(Model!DH228+Model!DI228+DI100)/2,"")</f>
        <v>1808.9</v>
      </c>
      <c r="DJ103" s="87">
        <f>IF(OR(Model!DI228&lt;&gt;"",Model!DJ228&lt;&gt;""),(Model!DI228+Model!DJ228+DJ100)/2,"")</f>
        <v>2116.1</v>
      </c>
      <c r="DK103" s="140">
        <f>IF(OR(Model!DJ228&lt;&gt;"",Model!DK228&lt;&gt;""),(Model!DJ228+Model!DK228+DK100)/2,"")</f>
        <v>1808.8</v>
      </c>
      <c r="DL103" s="87">
        <f>IF(OR(Model!DK228&lt;&gt;"",Model!DL228&lt;&gt;""),(Model!DK228+Model!DL228+DL100)/2,"")</f>
        <v>4071.55</v>
      </c>
      <c r="DM103" s="87">
        <f>IF(OR(Model!DL228&lt;&gt;"",Model!DM228&lt;&gt;""),(Model!DL228+Model!DM228+DM100)/2,"")</f>
        <v>8385.35</v>
      </c>
      <c r="DN103" s="140">
        <f>IF(OR(Model!DM228&lt;&gt;"",Model!DN228&lt;&gt;""),(Model!DM228+Model!DN228+DN100)/2,"")</f>
        <v>10436.4</v>
      </c>
      <c r="DO103" s="87">
        <f>IF(OR(Model!DN228&lt;&gt;"",Model!DO228&lt;&gt;""),(Model!DN228+Model!DO228+DO100)/2,"")</f>
        <v>5972.15</v>
      </c>
      <c r="DP103" s="87">
        <f>IF(OR(Model!DO228&lt;&gt;"",Model!DP228&lt;&gt;""),(Model!DO228+Model!DP228+DP100)/2,"")</f>
        <v>1527.95</v>
      </c>
      <c r="DQ103" s="140">
        <f>IF(OR(Model!DP228&lt;&gt;"",Model!DQ228&lt;&gt;""),(Model!DP228+Model!DQ228+DQ100)/2,"")</f>
        <v>1548</v>
      </c>
      <c r="DR103" s="87">
        <f>IF(OR(Model!DQ228&lt;&gt;"",Model!DR228&lt;&gt;""),(Model!DQ228+Model!DR228+DR100)/2,"")</f>
        <v>1282.5</v>
      </c>
      <c r="DS103" s="87">
        <f>IF(OR(Model!DR228&lt;&gt;"",Model!DS228&lt;&gt;""),(Model!DR228+Model!DS228+DS100)/2,"")</f>
        <v>1337</v>
      </c>
      <c r="DT103" s="140">
        <f>IF(OR(Model!DS228&lt;&gt;"",Model!DT228&lt;&gt;""),(Model!DS228+Model!DT228+DT100)/2,"")</f>
        <v>1657</v>
      </c>
      <c r="DU103" s="87">
        <f>IF(OR(Model!DT228&lt;&gt;"",Model!DU228&lt;&gt;""),(Model!DT228+Model!DU228+DU100)/2,"")</f>
        <v>1590.5</v>
      </c>
      <c r="DV103" s="87">
        <f>IF(OR(Model!DU228&lt;&gt;"",Model!DV228&lt;&gt;""),(Model!DU228+Model!DV228+DV100)/2,"")</f>
        <v>1840.5</v>
      </c>
      <c r="DW103" s="140">
        <f>IF(OR(Model!DV228&lt;&gt;"",Model!DW228&lt;&gt;""),(Model!DV228+Model!DW228+DW100)/2,"")</f>
        <v>2157</v>
      </c>
      <c r="DX103" s="87">
        <f>IF(OR(Model!DW228&lt;&gt;"",Model!DX228&lt;&gt;""),(Model!DW228+Model!DX228+DX100)/2,"")</f>
        <v>1651</v>
      </c>
      <c r="DY103" s="87">
        <f>IF(OR(Model!DX228&lt;&gt;"",Model!DY228&lt;&gt;""),(Model!DX228+Model!DY228+DY100)/2,"")</f>
        <v>1419.4224021946916</v>
      </c>
      <c r="DZ103" s="140">
        <f>IF(OR(Model!DY228&lt;&gt;"",Model!DZ228&lt;&gt;""),(Model!DY228+Model!DZ228+DZ100)/2,"")</f>
        <v>1693.8448043893834</v>
      </c>
      <c r="EA103" s="87">
        <f>IF(OR(Model!DZ228&lt;&gt;"",Model!EA228&lt;&gt;""),(Model!DZ228+Model!EA228+EA100)/2,"")</f>
        <v>1701.2222178364495</v>
      </c>
      <c r="EB103" s="87">
        <f>IF(OR(Model!EA228&lt;&gt;"",Model!EB228&lt;&gt;""),(Model!EA228+Model!EB228+EB100)/2,"")</f>
        <v>1873.9332419945822</v>
      </c>
      <c r="EC103" s="140">
        <f>IF(OR(Model!EB228&lt;&gt;"",Model!EC228&lt;&gt;""),(Model!EB228+Model!EC228+EC100)/2,"")</f>
        <v>2039.2668527056489</v>
      </c>
      <c r="ED103" s="87">
        <f>IF(OR(Model!EC228&lt;&gt;"",Model!ED228&lt;&gt;""),(Model!EC228+Model!ED228+ED100)/2,"")</f>
        <v>2163.7039976319165</v>
      </c>
      <c r="EE103" s="87">
        <f>IF(OR(Model!ED228&lt;&gt;"",Model!EE228&lt;&gt;""),(Model!ED228+Model!EE228+EE100)/2,"")</f>
        <v>2402.1634858405046</v>
      </c>
      <c r="EF103" s="140">
        <f>IF(OR(Model!EE228&lt;&gt;"",Model!EF228&lt;&gt;""),(Model!EE228+Model!EF228+EF100)/2,"")</f>
        <v>2516.1858291228245</v>
      </c>
      <c r="EG103" s="87">
        <f>IF(OR(Model!EF228&lt;&gt;"",Model!EG228&lt;&gt;""),(Model!EF228+Model!EG228+EG100)/2,"")</f>
        <v>2888.1357627409679</v>
      </c>
      <c r="EH103" s="87">
        <f>IF(OR(Model!EG228&lt;&gt;"",Model!EH228&lt;&gt;""),(Model!EG228+Model!EH228+EH100)/2,"")</f>
        <v>3589.3349666779532</v>
      </c>
      <c r="EI103" s="140">
        <f>IF(OR(Model!EH228&lt;&gt;"",Model!EI228&lt;&gt;""),(Model!EH228+Model!EI228+EI100)/2,"")</f>
        <v>3918.584236996795</v>
      </c>
      <c r="EJ103" s="87">
        <f>IF(OR(Model!EI228&lt;&gt;"",Model!EJ228&lt;&gt;""),(Model!EI228+Model!EJ228+EJ100)/2,"")</f>
        <v>4414.1353487205179</v>
      </c>
      <c r="EK103" s="87">
        <f>IF(OR(Model!EJ228&lt;&gt;"",Model!EK228&lt;&gt;""),(Model!EJ228+Model!EK228+EK100)/2,"")</f>
        <v>5305.0324619461944</v>
      </c>
      <c r="EL103" s="140">
        <f>IF(OR(Model!EK228&lt;&gt;"",Model!EL228&lt;&gt;""),(Model!EK228+Model!EL228+EL100)/2,"")</f>
        <v>5700.3784634481472</v>
      </c>
      <c r="EM103" s="87">
        <f>IF(OR(Model!EL228&lt;&gt;"",Model!EM228&lt;&gt;""),(Model!EL228+Model!EM228+EM100)/2,"")</f>
        <v>6367.1654670196222</v>
      </c>
      <c r="EN103" s="87">
        <f>IF(OR(Model!EM228&lt;&gt;"",Model!EN228&lt;&gt;""),(Model!EM228+Model!EN228+EN100)/2,"")</f>
        <v>7513.0441245421807</v>
      </c>
      <c r="EO103" s="140">
        <f>IF(OR(Model!EN228&lt;&gt;"",Model!EO228&lt;&gt;""),(Model!EN228+Model!EO228+EO100)/2,"")</f>
        <v>7992.1357784932643</v>
      </c>
      <c r="EP103" s="87">
        <f>IF(OR(Model!EO228&lt;&gt;"",Model!EP228&lt;&gt;""),(Model!EO228+Model!EP228+EP100)/2,"")</f>
        <v>8739.0833582230098</v>
      </c>
      <c r="EQ103" s="87">
        <f>IF(OR(Model!EP228&lt;&gt;"",Model!EQ228&lt;&gt;""),(Model!EP228+Model!EQ228+EQ100)/2,"")</f>
        <v>10006.881320971595</v>
      </c>
      <c r="ER103" s="140">
        <f>IF(OR(Model!EQ228&lt;&gt;"",Model!ER228&lt;&gt;""),(Model!EQ228+Model!ER228+ER100)/2,"")</f>
        <v>10527.731703990437</v>
      </c>
      <c r="ES103" s="87">
        <f>IF(OR(Model!ER228&lt;&gt;"",Model!ES228&lt;&gt;""),(Model!ER228+Model!ES228+ES100)/2,"")</f>
        <v>11342.276950248346</v>
      </c>
      <c r="ET103" s="87">
        <f>IF(OR(Model!ES228&lt;&gt;"",Model!ET228&lt;&gt;""),(Model!ES228+Model!ET228+ET100)/2,"")</f>
        <v>12712.25304378086</v>
      </c>
      <c r="EU103" s="140">
        <f>IF(OR(Model!ET228&lt;&gt;"",Model!EU228&lt;&gt;""),(Model!ET228+Model!EU228+EU100)/2,"")</f>
        <v>13267.683891055469</v>
      </c>
      <c r="EV103" s="87">
        <f>IF(OR(Model!EU228&lt;&gt;"",Model!EV228&lt;&gt;""),(Model!EU228+Model!EV228+EV100)/2,"")</f>
        <v>14148.015109214131</v>
      </c>
      <c r="EW103" s="87">
        <f>IF(OR(Model!EV228&lt;&gt;"",Model!EW228&lt;&gt;""),(Model!EV228+Model!EW228+EW100)/2,"")</f>
        <v>15606.65507746667</v>
      </c>
      <c r="EX103" s="140">
        <f>IF(OR(Model!EW228&lt;&gt;"",Model!EX228&lt;&gt;""),(Model!EW228+Model!EX228+EX100)/2,"")</f>
        <v>16184.963827560547</v>
      </c>
      <c r="EY103" s="87">
        <f>IF(OR(Model!EX228&lt;&gt;"",Model!EY228&lt;&gt;""),(Model!EX228+Model!EY228+EY100)/2,"")</f>
        <v>17145.962459295963</v>
      </c>
      <c r="EZ103" s="87">
        <f>IF(OR(Model!EY228&lt;&gt;"",Model!EZ228&lt;&gt;""),(Model!EY228+Model!EZ228+EZ100)/2,"")</f>
        <v>18708.699848052558</v>
      </c>
      <c r="FA103" s="140">
        <f>IF(OR(Model!EZ228&lt;&gt;"",Model!FA228&lt;&gt;""),(Model!EZ228+Model!FA228+FA100)/2,"")</f>
        <v>19310.438605073738</v>
      </c>
    </row>
    <row r="104" spans="1:157" ht="13.35" customHeight="1">
      <c r="A104" s="3"/>
      <c r="B104" s="4" t="s">
        <v>432</v>
      </c>
      <c r="C104" s="4"/>
      <c r="D104" s="3"/>
      <c r="E104" s="90" t="str">
        <f>IF(Model!E76&lt;&gt;"",Model!E76,"")</f>
        <v/>
      </c>
      <c r="F104" s="90" t="str">
        <f>IF(G104&lt;&gt;"",G104-E104,"")</f>
        <v/>
      </c>
      <c r="G104" s="90" t="str">
        <f>IF(Model!G76&lt;&gt;"",Model!G76,"")</f>
        <v/>
      </c>
      <c r="H104" s="90" t="str">
        <f>IF(Model!H76&lt;&gt;"",Model!H76,"")</f>
        <v/>
      </c>
      <c r="I104" s="90" t="str">
        <f>IF(J104&lt;&gt;"",J104-H104,"")</f>
        <v/>
      </c>
      <c r="J104" s="90" t="str">
        <f>IF(Model!J76&lt;&gt;"",Model!J76,"")</f>
        <v/>
      </c>
      <c r="K104" s="90" t="str">
        <f>IF(Model!K76&lt;&gt;"",Model!K76,"")</f>
        <v/>
      </c>
      <c r="L104" s="90" t="str">
        <f>IF(M104&lt;&gt;"",M104-K104,"")</f>
        <v/>
      </c>
      <c r="M104" s="90" t="str">
        <f>IF(Model!M76&lt;&gt;"",Model!M76,"")</f>
        <v/>
      </c>
      <c r="N104" s="90" t="str">
        <f>IF(Model!N76&lt;&gt;"",Model!N76,"")</f>
        <v/>
      </c>
      <c r="O104" s="90" t="str">
        <f>IF(P104&lt;&gt;"",P104-N104,"")</f>
        <v/>
      </c>
      <c r="P104" s="90" t="str">
        <f>IF(Model!P76&lt;&gt;"",Model!P76,"")</f>
        <v/>
      </c>
      <c r="Q104" s="90" t="str">
        <f>IF(Model!Q76&lt;&gt;"",Model!Q76,"")</f>
        <v/>
      </c>
      <c r="R104" s="90" t="str">
        <f>IF(S104&lt;&gt;"",S104-Q104,"")</f>
        <v/>
      </c>
      <c r="S104" s="90" t="str">
        <f>IF(Model!S76&lt;&gt;"",Model!S76,"")</f>
        <v/>
      </c>
      <c r="T104" s="90" t="str">
        <f>IF(Model!T76&lt;&gt;"",Model!T76,"")</f>
        <v/>
      </c>
      <c r="U104" s="90" t="str">
        <f>IF(V104&lt;&gt;"",V104-T104,"")</f>
        <v/>
      </c>
      <c r="V104" s="90" t="str">
        <f>IF(Model!V76&lt;&gt;"",Model!V76,"")</f>
        <v/>
      </c>
      <c r="W104" s="90" t="str">
        <f>IF(Model!W76&lt;&gt;"",Model!W76,"")</f>
        <v/>
      </c>
      <c r="X104" s="90" t="str">
        <f>IF(Y104&lt;&gt;"",Y104-W104,"")</f>
        <v/>
      </c>
      <c r="Y104" s="90" t="str">
        <f>IF(Model!Y76&lt;&gt;"",Model!Y76,"")</f>
        <v/>
      </c>
      <c r="Z104" s="90" t="str">
        <f>IF(Model!Z76&lt;&gt;"",Model!Z76,"")</f>
        <v/>
      </c>
      <c r="AA104" s="90" t="str">
        <f>IF(AB104&lt;&gt;"",AB104-Z104,"")</f>
        <v/>
      </c>
      <c r="AB104" s="90" t="str">
        <f>IF(Model!AB76&lt;&gt;"",Model!AB76,"")</f>
        <v/>
      </c>
      <c r="AC104" s="90" t="str">
        <f>IF(Model!AC76&lt;&gt;"",Model!AC76,"")</f>
        <v/>
      </c>
      <c r="AD104" s="90" t="str">
        <f>IF(AE104&lt;&gt;"",AE104-AC104,"")</f>
        <v/>
      </c>
      <c r="AE104" s="90" t="str">
        <f>IF(Model!AE76&lt;&gt;"",Model!AE76,"")</f>
        <v/>
      </c>
      <c r="AF104" s="90" t="str">
        <f>IF(Model!AF76&lt;&gt;"",Model!AF76,"")</f>
        <v/>
      </c>
      <c r="AG104" s="90" t="str">
        <f>IF(AH104&lt;&gt;"",AH104-AF104,"")</f>
        <v/>
      </c>
      <c r="AH104" s="90" t="str">
        <f>IF(Model!AH76&lt;&gt;"",Model!AH76,"")</f>
        <v/>
      </c>
      <c r="AI104" s="90" t="str">
        <f>IF(Model!AI76&lt;&gt;"",Model!AI76,"")</f>
        <v/>
      </c>
      <c r="AJ104" s="90"/>
      <c r="AK104" s="90">
        <f>IF(Model!AK76&lt;&gt;"",Model!AK76,"")</f>
        <v>0</v>
      </c>
      <c r="AL104" s="90" t="str">
        <f>IF(Model!AL76&lt;&gt;"",Model!AL76,"")</f>
        <v/>
      </c>
      <c r="AM104" s="90"/>
      <c r="AN104" s="90">
        <f>IF(Model!AN76&lt;&gt;"",Model!AN76,"")</f>
        <v>3.1970000000000001</v>
      </c>
      <c r="AO104" s="90" t="str">
        <f>IF(Model!AO76&lt;&gt;"",Model!AO76,"")</f>
        <v/>
      </c>
      <c r="AP104" s="90"/>
      <c r="AQ104" s="90">
        <f>IF(Model!AQ76&lt;&gt;"",Model!AQ76,"")</f>
        <v>4.556</v>
      </c>
      <c r="AR104" s="90" t="str">
        <f>IF(Model!AR76&lt;&gt;"",Model!AR76,"")</f>
        <v/>
      </c>
      <c r="AS104" s="90"/>
      <c r="AT104" s="90">
        <f>IF(Model!AT76&lt;&gt;"",Model!AT76,"")</f>
        <v>3.1760000000000002</v>
      </c>
      <c r="AU104" s="90">
        <f>IF(Model!AU76&lt;&gt;"",Model!AU76,"")</f>
        <v>1.1839999999999999</v>
      </c>
      <c r="AV104" s="90">
        <f>IF(AW104&lt;&gt;"",AW104-AU104,"")</f>
        <v>1.083</v>
      </c>
      <c r="AW104" s="90">
        <f>IF(Model!AW76&lt;&gt;"",Model!AW76,"")</f>
        <v>2.2669999999999999</v>
      </c>
      <c r="AX104" s="90">
        <f>IF(Model!AX76&lt;&gt;"",Model!AX76,"")</f>
        <v>1.85</v>
      </c>
      <c r="AY104" s="90">
        <f>IF(AZ104&lt;&gt;"",AZ104-AX104,"")</f>
        <v>1.895</v>
      </c>
      <c r="AZ104" s="90">
        <f>IF(Model!AZ76&lt;&gt;"",Model!AZ76,"")</f>
        <v>3.7450000000000001</v>
      </c>
      <c r="BA104" s="90"/>
      <c r="BB104" s="90">
        <f>BB103*BB101</f>
        <v>0</v>
      </c>
      <c r="BC104" s="90">
        <f>BA105+BB104</f>
        <v>5.3129999999999997</v>
      </c>
      <c r="BD104" s="90" t="str">
        <f>IF(AND(BD102&lt;&gt;"",BD103&lt;&gt;""),(BD102/2)*BD103,"")</f>
        <v/>
      </c>
      <c r="BE104" s="90"/>
      <c r="BF104" s="90">
        <f>IF(AND(BF102&lt;&gt;"",BF103&lt;&gt;""),(BF102)*BF103,"")</f>
        <v>0</v>
      </c>
      <c r="BG104" s="90" t="str">
        <f>IF(AND(BG102&lt;&gt;"",BG103&lt;&gt;""),(BG102/2)*BG103,"")</f>
        <v/>
      </c>
      <c r="BH104" s="90"/>
      <c r="BI104" s="90">
        <v>1.8</v>
      </c>
      <c r="BJ104" s="90" t="str">
        <f>IF(AND(BJ102&lt;&gt;"",BJ103&lt;&gt;""),(BJ102/2)*BJ103,"")</f>
        <v/>
      </c>
      <c r="BK104" s="90"/>
      <c r="BL104" s="90">
        <f>IF(AND(BL102&lt;&gt;"",BL103&lt;&gt;""),(BL102/2)*BL103,"")</f>
        <v>0</v>
      </c>
      <c r="BM104" s="90" t="str">
        <f>IF(AND(BM102&lt;&gt;"",BM103&lt;&gt;""),(BM102/2)*BM103,"")</f>
        <v/>
      </c>
      <c r="BN104" s="90"/>
      <c r="BO104" s="90">
        <f>IF(AND(BO102&lt;&gt;"",BO103&lt;&gt;""),(BO102/2)*BO103,"")</f>
        <v>0</v>
      </c>
      <c r="BP104" s="90" t="str">
        <f>IF(AND(BP102&lt;&gt;"",BP103&lt;&gt;""),(BP102/2)*BP103,"")</f>
        <v/>
      </c>
      <c r="BQ104" s="90"/>
      <c r="BR104" s="90">
        <f>IF(AND(BR102&lt;&gt;"",BR103&lt;&gt;""),(BR102/2)*BR103,"")</f>
        <v>0</v>
      </c>
      <c r="BS104" s="90" t="str">
        <f>IF(AND(BS102&lt;&gt;"",BS103&lt;&gt;""),(BS102/2)*BS103,"")</f>
        <v/>
      </c>
      <c r="BT104" s="90"/>
      <c r="BU104" s="90">
        <f>IF(AND(BU102&lt;&gt;"",BU103&lt;&gt;""),(BU102/2)*BU103,"")</f>
        <v>0</v>
      </c>
      <c r="BV104" s="90">
        <f>BV105</f>
        <v>16.882000000000001</v>
      </c>
      <c r="BW104" s="90">
        <f>BW105</f>
        <v>18.292999999999996</v>
      </c>
      <c r="BX104" s="90">
        <f>BX105</f>
        <v>35.174999999999997</v>
      </c>
      <c r="BY104" s="90">
        <f>IF(AND(BY102&lt;&gt;"",BY103&lt;&gt;""),(BY102/2)*BY103,"")</f>
        <v>4.21875</v>
      </c>
      <c r="BZ104" s="90">
        <f>IF(CA104&lt;&gt;"",CA104-BY104,"")</f>
        <v>47.261144900000005</v>
      </c>
      <c r="CA104" s="105">
        <f>IF(AND(CA102&lt;&gt;"",CA103&lt;&gt;""),(CA102)*CA103,"")</f>
        <v>51.479894900000005</v>
      </c>
      <c r="CB104" s="90">
        <f>IF(AND(CB102&lt;&gt;"",CB103&lt;&gt;""),(CB102/2)*CB103,"")</f>
        <v>12.869973725000001</v>
      </c>
      <c r="CC104" s="90">
        <f>IF(CD104&lt;&gt;"",CD104-CB104,"")</f>
        <v>8.5402409749999997</v>
      </c>
      <c r="CD104" s="90">
        <f>IF(AND(CD102&lt;&gt;"",CD103&lt;&gt;""),(CD102)*CD103,"")</f>
        <v>21.410214700000001</v>
      </c>
      <c r="CE104" s="90">
        <f>IF(AND(CE102&lt;&gt;"",CE103&lt;&gt;""),(CE102/2)*CE103,"")</f>
        <v>17.273250000000001</v>
      </c>
      <c r="CF104" s="90">
        <f>IF(CG104&lt;&gt;"",CG104-CE104,"")</f>
        <v>13.186112999397167</v>
      </c>
      <c r="CG104" s="90">
        <f>IF(AND(CG102&lt;&gt;"",CG103&lt;&gt;""),(CG102)*CG103,"")</f>
        <v>30.459362999397168</v>
      </c>
      <c r="CH104" s="90">
        <f>IF(AND(CH102&lt;&gt;"",CH103&lt;&gt;""),(CH102/2)*CH103,"")</f>
        <v>36.745042499999997</v>
      </c>
      <c r="CI104" s="90">
        <f>IF(AND(CI102&lt;&gt;"",CI103&lt;&gt;""),(CI102/2)*CI103,"")</f>
        <v>23.319365000000001</v>
      </c>
      <c r="CJ104" s="90">
        <f>SUM(CH104:CI104)</f>
        <v>60.064407500000002</v>
      </c>
      <c r="CK104" s="90">
        <f>IF(AND(CK102&lt;&gt;"",CK103&lt;&gt;""),(CK102/2)*CK103,"")</f>
        <v>17.016037499999999</v>
      </c>
      <c r="CL104" s="90">
        <f>IF(AND(CL102&lt;&gt;"",CL103&lt;&gt;""),(CL102/2)*CL103,"")</f>
        <v>12.336171120547755</v>
      </c>
      <c r="CM104" s="90">
        <f>SUM(CK104:CL104)</f>
        <v>29.352208620547756</v>
      </c>
      <c r="CN104" s="90">
        <f>IF(AND(CN102&lt;&gt;"",CN103&lt;&gt;""),(CN102/2)*CN103,"")</f>
        <v>10.700000000000001</v>
      </c>
      <c r="CO104" s="90">
        <f>IF(AND(CO102&lt;&gt;"",CO103&lt;&gt;""),(CO102/2)*CO103,"")</f>
        <v>9.4000000000000021</v>
      </c>
      <c r="CP104" s="90">
        <f>SUM(CN104:CO104)</f>
        <v>20.100000000000001</v>
      </c>
      <c r="CQ104" s="90">
        <f>IF(AND(CQ102&lt;&gt;"",CQ103&lt;&gt;""),(CQ102/2)*CQ103,"")</f>
        <v>7.2999999999999989</v>
      </c>
      <c r="CR104" s="90">
        <f>IF(AND(CR102&lt;&gt;"",CR103&lt;&gt;""),(CR102/2)*CR103,"")</f>
        <v>8.2999999999999989</v>
      </c>
      <c r="CS104" s="90">
        <f>SUM(CQ104:CR104)</f>
        <v>15.599999999999998</v>
      </c>
      <c r="CT104" s="90">
        <f>IF(AND(CT102&lt;&gt;"",CT103&lt;&gt;""),(CT102/2)*CT103,"")</f>
        <v>6.6000000000000032</v>
      </c>
      <c r="CU104" s="90">
        <f>IF(AND(CU102&lt;&gt;"",CU103&lt;&gt;""),(CU102/2)*CU103,"")</f>
        <v>7.2999999999999901</v>
      </c>
      <c r="CV104" s="90">
        <f>SUM(CT104:CU104)</f>
        <v>13.899999999999993</v>
      </c>
      <c r="CW104" s="90">
        <f>IF(AND(CW102&lt;&gt;"",CW103&lt;&gt;""),(CW102/2)*CW103,"")</f>
        <v>3.0000000000000009</v>
      </c>
      <c r="CX104" s="90">
        <f>IF(AND(CX102&lt;&gt;"",CX103&lt;&gt;""),(CX102/2)*CX103,"")</f>
        <v>7.9</v>
      </c>
      <c r="CY104" s="90">
        <f>SUM(CW104:CX104)</f>
        <v>10.900000000000002</v>
      </c>
      <c r="CZ104" s="90">
        <f>IF(AND(CZ102&lt;&gt;"",CZ103&lt;&gt;""),(CZ102/2)*CZ103,"")</f>
        <v>2.7</v>
      </c>
      <c r="DA104" s="90">
        <f>IF(AND(DA102&lt;&gt;"",DA103&lt;&gt;""),(DA102/2)*DA103,"")</f>
        <v>2.6525057552682845</v>
      </c>
      <c r="DB104" s="90">
        <f>SUM(CZ104:DA104)</f>
        <v>5.3525057552682842</v>
      </c>
      <c r="DC104" s="90">
        <f>IF(AND(DC102&lt;&gt;"",DC103&lt;&gt;""),(DC102/2)*DC103,"")</f>
        <v>3.5000000000000018</v>
      </c>
      <c r="DD104" s="90">
        <f>IF(AND(DD102&lt;&gt;"",DD103&lt;&gt;""),(DD102/2)*DD103,"")</f>
        <v>10.299999999999999</v>
      </c>
      <c r="DE104" s="142">
        <f>SUM(DC104:DD104)</f>
        <v>13.8</v>
      </c>
      <c r="DF104" s="90">
        <f>IF(AND(DF102&lt;&gt;"",DF103&lt;&gt;""),(DF102/2)*DF103,"")</f>
        <v>3.9809999999999999</v>
      </c>
      <c r="DG104" s="90">
        <f>IF(AND(DG102&lt;&gt;"",DG103&lt;&gt;""),(DG102/2)*DG103,"")</f>
        <v>3.0283500000000001</v>
      </c>
      <c r="DH104" s="142">
        <f>SUM(DF104:DG104)</f>
        <v>7.0093499999999995</v>
      </c>
      <c r="DI104" s="90">
        <f>IF(AND(DI102&lt;&gt;"",DI103&lt;&gt;""),(DI102/2)*DI103,"")</f>
        <v>1.7184550000000001</v>
      </c>
      <c r="DJ104" s="90">
        <f>IF(AND(DJ102&lt;&gt;"",DJ103&lt;&gt;""),(DJ102/2)*DJ103,"")</f>
        <v>2.2219049999999996</v>
      </c>
      <c r="DK104" s="142">
        <f>SUM(DI104:DJ104)</f>
        <v>3.9403599999999996</v>
      </c>
      <c r="DL104" s="90">
        <f>IF(AND(DL102&lt;&gt;"",DL103&lt;&gt;""),(DL102/2)*DL103,"")</f>
        <v>0.91609874999999996</v>
      </c>
      <c r="DM104" s="90">
        <f>IF(AND(DM102&lt;&gt;"",DM103&lt;&gt;""),(DM102/2)*DM103,"")</f>
        <v>16.483901249999999</v>
      </c>
      <c r="DN104" s="142">
        <f>SUM(DL104:DM104)</f>
        <v>17.399999999999999</v>
      </c>
      <c r="DO104" s="90">
        <f>IF(AND(DO102&lt;&gt;"",DO103&lt;&gt;""),(DO102/2)*DO103,"")</f>
        <v>34.6981915</v>
      </c>
      <c r="DP104" s="90">
        <f>IF(AND(DP102&lt;&gt;"",DP103&lt;&gt;""),(DP102/2)*DP103,"")</f>
        <v>3.0036405057555733</v>
      </c>
      <c r="DQ104" s="142">
        <f>SUM(DO104:DP104)</f>
        <v>37.701832005755577</v>
      </c>
      <c r="DR104" s="90">
        <f>IF(AND(DR102&lt;&gt;"",DR103&lt;&gt;""),(DR102/2)*DR103,"")</f>
        <v>20.006999999999998</v>
      </c>
      <c r="DS104" s="90">
        <f>IF(AND(DS102&lt;&gt;"",DS103&lt;&gt;""),(DS102/2)*DS103,"")</f>
        <v>18.985400000000002</v>
      </c>
      <c r="DT104" s="142">
        <f>SUM(DR104:DS104)</f>
        <v>38.992400000000004</v>
      </c>
      <c r="DU104" s="1786">
        <v>18</v>
      </c>
      <c r="DV104" s="90">
        <f>IF(AND(DV102&lt;&gt;"",DV103&lt;&gt;""),(DV102/2)*DV103,"")</f>
        <v>26.135100000000001</v>
      </c>
      <c r="DW104" s="1786">
        <v>38</v>
      </c>
      <c r="DX104" s="1786">
        <v>18</v>
      </c>
      <c r="DY104" s="90">
        <f>IF(AND(DY102&lt;&gt;"",DX103&lt;&gt;""),(DY102/2)*DX103,"")</f>
        <v>18</v>
      </c>
      <c r="DZ104" s="142">
        <f>SUM(DX104:DY104)</f>
        <v>36</v>
      </c>
      <c r="EA104" s="90">
        <f>IF(AND(EA102&lt;&gt;"",DZ103&lt;&gt;""),(EA102/2)*DZ103,"")</f>
        <v>18.467114766207693</v>
      </c>
      <c r="EB104" s="90">
        <f>IF(AND(EB102&lt;&gt;"",EA103&lt;&gt;""),(EB102/2)*EA103,"")</f>
        <v>18.547546893431917</v>
      </c>
      <c r="EC104" s="142">
        <f>SUM(EA104:EB104)</f>
        <v>37.014661659639614</v>
      </c>
      <c r="ED104" s="90">
        <f>IF(AND(ED102&lt;&gt;"",EC103&lt;&gt;""),(ED102/2)*EC103,"")</f>
        <v>22.233072894428638</v>
      </c>
      <c r="EE104" s="90">
        <f>IF(AND(EE102&lt;&gt;"",ED103&lt;&gt;""),(EE102/2)*ED103,"")</f>
        <v>23.589746794291035</v>
      </c>
      <c r="EF104" s="142">
        <f>SUM(ED104:EE104)</f>
        <v>45.822819688719676</v>
      </c>
      <c r="EG104" s="90">
        <f>IF(AND(EG102&lt;&gt;"",EF103&lt;&gt;""),(EG102/2)*EF103,"")</f>
        <v>27.432674090981735</v>
      </c>
      <c r="EH104" s="90">
        <f>IF(AND(EH102&lt;&gt;"",EG103&lt;&gt;""),(EH102/2)*EG103,"")</f>
        <v>31.487852046842779</v>
      </c>
      <c r="EI104" s="142">
        <f>SUM(EG104:EH104)</f>
        <v>58.92052613782451</v>
      </c>
      <c r="EJ104" s="90">
        <f>IF(AND(EJ102&lt;&gt;"",EI103&lt;&gt;""),(EJ102/2)*EI103,"")</f>
        <v>42.722299373677963</v>
      </c>
      <c r="EK104" s="90">
        <f>IF(AND(EK102&lt;&gt;"",EJ103&lt;&gt;""),(EK102/2)*EJ103,"")</f>
        <v>48.125037115063193</v>
      </c>
      <c r="EL104" s="142">
        <f>SUM(EJ104:EK104)</f>
        <v>90.847336488741149</v>
      </c>
      <c r="EM104" s="90">
        <f>IF(AND(EM102&lt;&gt;"",EL103&lt;&gt;""),(EM102/2)*EL103,"")</f>
        <v>62.14828124898041</v>
      </c>
      <c r="EN104" s="90">
        <f>IF(AND(EN102&lt;&gt;"",EM103&lt;&gt;""),(EN102/2)*EM103,"")</f>
        <v>69.417915449032833</v>
      </c>
      <c r="EO104" s="142">
        <f>SUM(EM104:EN104)</f>
        <v>131.56619669801324</v>
      </c>
      <c r="EP104" s="90">
        <f>IF(AND(EP102&lt;&gt;"",EO103&lt;&gt;""),(EP102/2)*EO103,"")</f>
        <v>87.13412720343959</v>
      </c>
      <c r="EQ104" s="90">
        <f>IF(AND(EQ102&lt;&gt;"",EP103&lt;&gt;""),(EQ102/2)*EP103,"")</f>
        <v>95.277710749857164</v>
      </c>
      <c r="ER104" s="142">
        <f>SUM(EP104:EQ104)</f>
        <v>182.41183795329675</v>
      </c>
      <c r="ES104" s="90">
        <f>IF(AND(ES102&lt;&gt;"",ER103&lt;&gt;""),(ES102/2)*ER103,"")</f>
        <v>114.778419546837</v>
      </c>
      <c r="ET104" s="90">
        <f>IF(AND(ET102&lt;&gt;"",ES103&lt;&gt;""),(ET102/2)*ES103,"")</f>
        <v>123.65898552663249</v>
      </c>
      <c r="EU104" s="142">
        <f>SUM(ES104:ET104)</f>
        <v>238.43740507346951</v>
      </c>
      <c r="EV104" s="90">
        <f>IF(AND(EV102&lt;&gt;"",EU103&lt;&gt;""),(EV102/2)*EU103,"")</f>
        <v>144.65070262810323</v>
      </c>
      <c r="EW104" s="90">
        <f>IF(AND(EW102&lt;&gt;"",EV103&lt;&gt;""),(EW102/2)*EV103,"")</f>
        <v>154.24849907077794</v>
      </c>
      <c r="EX104" s="142">
        <f>SUM(EV104:EW104)</f>
        <v>298.89920169888114</v>
      </c>
      <c r="EY104" s="90">
        <f>IF(AND(EY102&lt;&gt;"",EX103&lt;&gt;""),(EY102/2)*EX103,"")</f>
        <v>176.45629854396722</v>
      </c>
      <c r="EZ104" s="90">
        <f>IF(AND(EZ102&lt;&gt;"",EY103&lt;&gt;""),(EZ102/2)*EY103,"")</f>
        <v>186.93357011951989</v>
      </c>
      <c r="FA104" s="142">
        <f>SUM(EY104:EZ104)</f>
        <v>363.38986866348711</v>
      </c>
    </row>
    <row r="105" spans="1:157" ht="13.35" customHeight="1">
      <c r="A105" s="86"/>
      <c r="B105" s="5" t="s">
        <v>324</v>
      </c>
      <c r="C105" s="5"/>
      <c r="D105" s="5"/>
      <c r="E105" s="87" t="str">
        <f>IF(Model!E76&lt;&gt;"",Model!E76,"")</f>
        <v/>
      </c>
      <c r="F105" s="87" t="str">
        <f>IF(G105&lt;&gt;"",G105-E105,"")</f>
        <v/>
      </c>
      <c r="G105" s="87" t="str">
        <f>IF(Model!G76&lt;&gt;"",Model!G76,"")</f>
        <v/>
      </c>
      <c r="H105" s="87" t="str">
        <f>IF(Model!H76&lt;&gt;"",Model!H76,"")</f>
        <v/>
      </c>
      <c r="I105" s="87" t="str">
        <f>IF(J105&lt;&gt;"",J105-H105,"")</f>
        <v/>
      </c>
      <c r="J105" s="87" t="str">
        <f>IF(Model!J76&lt;&gt;"",Model!J76,"")</f>
        <v/>
      </c>
      <c r="K105" s="87" t="str">
        <f>IF(Model!K76&lt;&gt;"",Model!K76,"")</f>
        <v/>
      </c>
      <c r="L105" s="87" t="str">
        <f>IF(M105&lt;&gt;"",M105-K105,"")</f>
        <v/>
      </c>
      <c r="M105" s="87" t="str">
        <f>IF(Model!M76&lt;&gt;"",Model!M76,"")</f>
        <v/>
      </c>
      <c r="N105" s="87" t="str">
        <f>IF(Model!N76&lt;&gt;"",Model!N76,"")</f>
        <v/>
      </c>
      <c r="O105" s="87" t="str">
        <f>IF(P105&lt;&gt;"",P105-N105,"")</f>
        <v/>
      </c>
      <c r="P105" s="87" t="str">
        <f>IF(Model!P76&lt;&gt;"",Model!P76,"")</f>
        <v/>
      </c>
      <c r="Q105" s="87" t="str">
        <f>IF(Model!Q76&lt;&gt;"",Model!Q76,"")</f>
        <v/>
      </c>
      <c r="R105" s="87" t="str">
        <f>IF(S105&lt;&gt;"",S105-Q105,"")</f>
        <v/>
      </c>
      <c r="S105" s="87" t="str">
        <f>IF(Model!S76&lt;&gt;"",Model!S76,"")</f>
        <v/>
      </c>
      <c r="T105" s="87" t="str">
        <f>IF(Model!T76&lt;&gt;"",Model!T76,"")</f>
        <v/>
      </c>
      <c r="U105" s="87" t="str">
        <f>IF(V105&lt;&gt;"",V105-T105,"")</f>
        <v/>
      </c>
      <c r="V105" s="87" t="str">
        <f>IF(Model!V76&lt;&gt;"",Model!V76,"")</f>
        <v/>
      </c>
      <c r="W105" s="87" t="str">
        <f>IF(Model!W76&lt;&gt;"",Model!W76,"")</f>
        <v/>
      </c>
      <c r="X105" s="87" t="str">
        <f>IF(Y105&lt;&gt;"",Y105-W105,"")</f>
        <v/>
      </c>
      <c r="Y105" s="87" t="str">
        <f>IF(Model!Y76&lt;&gt;"",Model!Y76,"")</f>
        <v/>
      </c>
      <c r="Z105" s="87" t="str">
        <f>IF(Model!Z76&lt;&gt;"",Model!Z76,"")</f>
        <v/>
      </c>
      <c r="AA105" s="87" t="str">
        <f>IF(AB105&lt;&gt;"",AB105-Z105,"")</f>
        <v/>
      </c>
      <c r="AB105" s="87" t="str">
        <f>IF(Model!AB76&lt;&gt;"",Model!AB76,"")</f>
        <v/>
      </c>
      <c r="AC105" s="87" t="str">
        <f>IF(Model!AC76&lt;&gt;"",Model!AC76,"")</f>
        <v/>
      </c>
      <c r="AD105" s="87" t="str">
        <f>IF(AE105&lt;&gt;"",AE105-AC105,"")</f>
        <v/>
      </c>
      <c r="AE105" s="87" t="str">
        <f>IF(Model!AE76&lt;&gt;"",Model!AE76,"")</f>
        <v/>
      </c>
      <c r="AF105" s="87" t="str">
        <f>IF(Model!AF76&lt;&gt;"",Model!AF76,"")</f>
        <v/>
      </c>
      <c r="AG105" s="87" t="str">
        <f>IF(AH105&lt;&gt;"",AH105-AF105,"")</f>
        <v/>
      </c>
      <c r="AH105" s="87" t="str">
        <f>IF(Model!AH76&lt;&gt;"",Model!AH76,"")</f>
        <v/>
      </c>
      <c r="AI105" s="87" t="str">
        <f>IF(Model!AI76&lt;&gt;"",Model!AI76,"")</f>
        <v/>
      </c>
      <c r="AJ105" s="87"/>
      <c r="AK105" s="87">
        <f>IF(Model!AK76&lt;&gt;"",Model!AK76,"")</f>
        <v>0</v>
      </c>
      <c r="AL105" s="87" t="str">
        <f>IF(Model!AL76&lt;&gt;"",Model!AL76,"")</f>
        <v/>
      </c>
      <c r="AM105" s="87"/>
      <c r="AN105" s="87">
        <f>IF(Model!AN76&lt;&gt;"",Model!AN76,"")</f>
        <v>3.1970000000000001</v>
      </c>
      <c r="AO105" s="87" t="str">
        <f>IF(Model!AO76&lt;&gt;"",Model!AO76,"")</f>
        <v/>
      </c>
      <c r="AP105" s="87"/>
      <c r="AQ105" s="87">
        <f>IF(Model!AQ76&lt;&gt;"",Model!AQ76,"")</f>
        <v>4.556</v>
      </c>
      <c r="AR105" s="87" t="str">
        <f>IF(Model!AR76&lt;&gt;"",Model!AR76,"")</f>
        <v/>
      </c>
      <c r="AS105" s="87"/>
      <c r="AT105" s="87">
        <f>Model!AT76</f>
        <v>3.1760000000000002</v>
      </c>
      <c r="AU105" s="87">
        <f>Model!AU76</f>
        <v>1.1839999999999999</v>
      </c>
      <c r="AV105" s="87">
        <f>Model!AV76</f>
        <v>1.083</v>
      </c>
      <c r="AW105" s="87">
        <f>Model!AW76</f>
        <v>2.2669999999999999</v>
      </c>
      <c r="AX105" s="87">
        <f>Model!AX76</f>
        <v>1.85</v>
      </c>
      <c r="AY105" s="87">
        <f>Model!AY76</f>
        <v>1.895</v>
      </c>
      <c r="AZ105" s="87">
        <f>Model!AZ76</f>
        <v>3.7450000000000001</v>
      </c>
      <c r="BA105" s="87">
        <f>Model!BA76</f>
        <v>5.3129999999999997</v>
      </c>
      <c r="BB105" s="87">
        <f>Model!BB76</f>
        <v>1.2300000000000004</v>
      </c>
      <c r="BC105" s="87">
        <f>Model!BC76</f>
        <v>6.5430000000000001</v>
      </c>
      <c r="BD105" s="87">
        <f>Model!BD76</f>
        <v>3.4119999999999999</v>
      </c>
      <c r="BE105" s="87">
        <f>Model!BE76</f>
        <v>0.41700000000000026</v>
      </c>
      <c r="BF105" s="87">
        <f>Model!BF76</f>
        <v>3.8290000000000002</v>
      </c>
      <c r="BG105" s="87">
        <f>Model!BG76</f>
        <v>0.307</v>
      </c>
      <c r="BH105" s="87">
        <f>Model!BH76</f>
        <v>0.38399999999999995</v>
      </c>
      <c r="BI105" s="87">
        <f>Model!BI76</f>
        <v>0.69099999999999995</v>
      </c>
      <c r="BJ105" s="87">
        <f>Model!BJ76</f>
        <v>1.59</v>
      </c>
      <c r="BK105" s="87">
        <f>Model!BK76</f>
        <v>7.9500000000000011</v>
      </c>
      <c r="BL105" s="87">
        <f>Model!BL76</f>
        <v>9.5400000000000009</v>
      </c>
      <c r="BM105" s="87">
        <f>Model!BM76</f>
        <v>4.7770000000000001</v>
      </c>
      <c r="BN105" s="87">
        <f>Model!BN76</f>
        <v>12.427</v>
      </c>
      <c r="BO105" s="87">
        <f>Model!BO76</f>
        <v>17.204000000000001</v>
      </c>
      <c r="BP105" s="87">
        <f>Model!BP76</f>
        <v>10.983000000000001</v>
      </c>
      <c r="BQ105" s="87">
        <f>Model!BQ76</f>
        <v>14.483000000000001</v>
      </c>
      <c r="BR105" s="87">
        <f>Model!BR76</f>
        <v>25.466000000000001</v>
      </c>
      <c r="BS105" s="87">
        <f>Model!BS76</f>
        <v>19.887</v>
      </c>
      <c r="BT105" s="87">
        <f>Model!BT76</f>
        <v>13.295000000000002</v>
      </c>
      <c r="BU105" s="87">
        <f>Model!BU76</f>
        <v>33.182000000000002</v>
      </c>
      <c r="BV105" s="87">
        <f>Model!BV76</f>
        <v>16.882000000000001</v>
      </c>
      <c r="BW105" s="87">
        <f>Model!BW76</f>
        <v>18.292999999999996</v>
      </c>
      <c r="BX105" s="87">
        <f>Model!BX76</f>
        <v>35.174999999999997</v>
      </c>
      <c r="BY105" s="87">
        <f>Model!BY76</f>
        <v>43.86</v>
      </c>
      <c r="BZ105" s="87">
        <f>Model!BZ76</f>
        <v>7.6198949000000056</v>
      </c>
      <c r="CA105" s="87">
        <f>Model!CA76</f>
        <v>51.479894900000005</v>
      </c>
      <c r="CB105" s="87">
        <f>Model!CB76</f>
        <v>25.061</v>
      </c>
      <c r="CC105" s="87">
        <f>Model!CC76</f>
        <v>15.423999999999999</v>
      </c>
      <c r="CD105" s="87">
        <f>Model!CD76</f>
        <v>40.484999999999999</v>
      </c>
      <c r="CE105" s="87">
        <f>Model!CE76</f>
        <v>18.635999999999999</v>
      </c>
      <c r="CF105" s="87">
        <f>Model!CF76</f>
        <v>11.823362999397169</v>
      </c>
      <c r="CG105" s="87">
        <f>Model!CG76</f>
        <v>30.459362999397168</v>
      </c>
      <c r="CH105" s="87">
        <f>Model!CH76</f>
        <v>14.9</v>
      </c>
      <c r="CI105" s="87">
        <f>Model!CI76</f>
        <v>45.164407500000003</v>
      </c>
      <c r="CJ105" s="84">
        <f>SUM(CH105:CI105)</f>
        <v>60.064407500000002</v>
      </c>
      <c r="CK105" s="87">
        <f>Model!CK76</f>
        <v>17.016037499999999</v>
      </c>
      <c r="CL105" s="87">
        <f>Model!CL76</f>
        <v>12.336171120547757</v>
      </c>
      <c r="CM105" s="84">
        <f>SUM(CK105:CL105)</f>
        <v>29.352208620547756</v>
      </c>
      <c r="CN105" s="87">
        <f>Model!CN76</f>
        <v>10.700000000000001</v>
      </c>
      <c r="CO105" s="87">
        <f>Model!CO76</f>
        <v>9.4</v>
      </c>
      <c r="CP105" s="84">
        <f>SUM(CN105:CO105)</f>
        <v>20.100000000000001</v>
      </c>
      <c r="CQ105" s="87">
        <f>Model!CQ76</f>
        <v>7.2999999999999989</v>
      </c>
      <c r="CR105" s="87">
        <f>Model!CR76</f>
        <v>8.2999999999999989</v>
      </c>
      <c r="CS105" s="84">
        <f>SUM(CQ105:CR105)</f>
        <v>15.599999999999998</v>
      </c>
      <c r="CT105" s="87">
        <f>Model!CT76</f>
        <v>6.6000000000000032</v>
      </c>
      <c r="CU105" s="87">
        <f>Model!CU76</f>
        <v>7.2999999999999901</v>
      </c>
      <c r="CV105" s="84">
        <f>SUM(CT105:CU105)</f>
        <v>13.899999999999993</v>
      </c>
      <c r="CW105" s="87">
        <f>Model!CW76</f>
        <v>3.0000000000000009</v>
      </c>
      <c r="CX105" s="87">
        <f>Model!CX76</f>
        <v>7.9000000000000012</v>
      </c>
      <c r="CY105" s="84">
        <f>SUM(CW105:CX105)</f>
        <v>10.900000000000002</v>
      </c>
      <c r="CZ105" s="87">
        <f>Model!CZ76</f>
        <v>2.7</v>
      </c>
      <c r="DA105" s="87">
        <f>Model!DA76</f>
        <v>6.6000000000000005</v>
      </c>
      <c r="DB105" s="84">
        <f>SUM(CZ105:DA105)</f>
        <v>9.3000000000000007</v>
      </c>
      <c r="DC105" s="87">
        <f>Model!DC76</f>
        <v>3.5000000000000018</v>
      </c>
      <c r="DD105" s="87">
        <f>Model!DD76</f>
        <v>10.299999999999999</v>
      </c>
      <c r="DE105" s="140">
        <f>SUM(DC105:DD105)</f>
        <v>13.8</v>
      </c>
      <c r="DF105" s="87">
        <f>Model!DF76</f>
        <v>3.9809999999999999</v>
      </c>
      <c r="DG105" s="87">
        <f>Model!DG76</f>
        <v>3.0283499999999997</v>
      </c>
      <c r="DH105" s="140">
        <f>SUM(DF105:DG105)</f>
        <v>7.0093499999999995</v>
      </c>
      <c r="DI105" s="87">
        <f>Model!DI76</f>
        <v>1.7184550000000001</v>
      </c>
      <c r="DJ105" s="87">
        <f>Model!DJ76</f>
        <v>2.2219049999999996</v>
      </c>
      <c r="DK105" s="140">
        <f>SUM(DI105:DJ105)</f>
        <v>3.9403599999999996</v>
      </c>
      <c r="DL105" s="87">
        <f>Model!DL76</f>
        <v>0.91609874999999996</v>
      </c>
      <c r="DM105" s="87">
        <f>Model!DM76</f>
        <v>16.483901249999999</v>
      </c>
      <c r="DN105" s="140">
        <f>SUM(DL105:DM105)</f>
        <v>17.399999999999999</v>
      </c>
      <c r="DO105" s="87">
        <f>Model!DO76</f>
        <v>34.6981915</v>
      </c>
      <c r="DP105" s="87">
        <f>Model!DP76</f>
        <v>3.0036405057555768</v>
      </c>
      <c r="DQ105" s="140">
        <f>SUM(DO105:DP105)</f>
        <v>37.701832005755577</v>
      </c>
      <c r="DR105" s="87">
        <f>Model!DR76</f>
        <v>20.006999999999998</v>
      </c>
      <c r="DS105" s="87">
        <f>Model!DS76</f>
        <v>18.985400000000006</v>
      </c>
      <c r="DT105" s="140">
        <f>SUM(DR105:DS105)</f>
        <v>38.992400000000004</v>
      </c>
      <c r="DU105" s="87">
        <f>Model!DU76</f>
        <v>18</v>
      </c>
      <c r="DV105" s="87">
        <f>Model!DV76</f>
        <v>20</v>
      </c>
      <c r="DW105" s="140">
        <f>SUM(DU105:DV105)</f>
        <v>38</v>
      </c>
      <c r="DX105" s="87">
        <f>Model!DX76</f>
        <v>18</v>
      </c>
      <c r="DY105" s="87">
        <f>Model!DY76</f>
        <v>18</v>
      </c>
      <c r="DZ105" s="140">
        <f>SUM(DX105:DY105)</f>
        <v>36</v>
      </c>
      <c r="EA105" s="87">
        <f>Model!EA76</f>
        <v>18.467114766207693</v>
      </c>
      <c r="EB105" s="87">
        <f>Model!EB76</f>
        <v>18.547546893431921</v>
      </c>
      <c r="EC105" s="140">
        <f>SUM(EA105:EB105)</f>
        <v>37.014661659639614</v>
      </c>
      <c r="ED105" s="87">
        <f>Model!ED76</f>
        <v>22.233072894428638</v>
      </c>
      <c r="EE105" s="87">
        <f>Model!EE76</f>
        <v>23.589746794291038</v>
      </c>
      <c r="EF105" s="140">
        <f>SUM(ED105:EE105)</f>
        <v>45.822819688719676</v>
      </c>
      <c r="EG105" s="87">
        <f>Model!EG76</f>
        <v>27.432674090981735</v>
      </c>
      <c r="EH105" s="87">
        <f>Model!EH76</f>
        <v>31.487852046842775</v>
      </c>
      <c r="EI105" s="140">
        <f>SUM(EG105:EH105)</f>
        <v>58.92052613782451</v>
      </c>
      <c r="EJ105" s="87">
        <f>Model!EJ76</f>
        <v>42.722299373677963</v>
      </c>
      <c r="EK105" s="87">
        <f>Model!EK76</f>
        <v>48.125037115063186</v>
      </c>
      <c r="EL105" s="140">
        <f>SUM(EJ105:EK105)</f>
        <v>90.847336488741149</v>
      </c>
      <c r="EM105" s="87">
        <f>Model!EM76</f>
        <v>62.14828124898041</v>
      </c>
      <c r="EN105" s="87">
        <f>Model!EN76</f>
        <v>69.417915449032833</v>
      </c>
      <c r="EO105" s="140">
        <f>SUM(EM105:EN105)</f>
        <v>131.56619669801324</v>
      </c>
      <c r="EP105" s="87">
        <f>Model!EP76</f>
        <v>87.13412720343959</v>
      </c>
      <c r="EQ105" s="87">
        <f>Model!EQ76</f>
        <v>95.277710749857164</v>
      </c>
      <c r="ER105" s="140">
        <f>SUM(EP105:EQ105)</f>
        <v>182.41183795329675</v>
      </c>
      <c r="ES105" s="87">
        <f>Model!ES76</f>
        <v>114.778419546837</v>
      </c>
      <c r="ET105" s="87">
        <f>Model!ET76</f>
        <v>123.65898552663251</v>
      </c>
      <c r="EU105" s="140">
        <f>SUM(ES105:ET105)</f>
        <v>238.43740507346951</v>
      </c>
      <c r="EV105" s="87">
        <f>Model!EV76</f>
        <v>144.65070262810323</v>
      </c>
      <c r="EW105" s="87">
        <f>Model!EW76</f>
        <v>154.24849907077791</v>
      </c>
      <c r="EX105" s="140">
        <f>SUM(EV105:EW105)</f>
        <v>298.89920169888114</v>
      </c>
      <c r="EY105" s="87">
        <f>Model!EY76</f>
        <v>176.45629854396722</v>
      </c>
      <c r="EZ105" s="87">
        <f>Model!EZ76</f>
        <v>186.93357011951989</v>
      </c>
      <c r="FA105" s="140">
        <f>SUM(EY105:EZ105)</f>
        <v>363.38986866348711</v>
      </c>
    </row>
    <row r="106" spans="1:157" ht="13.35" customHeight="1">
      <c r="A106" s="86"/>
      <c r="B106" s="5" t="s">
        <v>325</v>
      </c>
      <c r="C106" s="5"/>
      <c r="D106" s="86"/>
      <c r="E106" s="84"/>
      <c r="F106" s="84"/>
      <c r="G106" s="84"/>
      <c r="H106" s="84"/>
      <c r="I106" s="84"/>
      <c r="J106" s="84"/>
      <c r="K106" s="84"/>
      <c r="L106" s="84"/>
      <c r="M106" s="84"/>
      <c r="N106" s="84"/>
      <c r="O106" s="84"/>
      <c r="P106" s="84"/>
      <c r="Q106" s="84"/>
      <c r="R106" s="84"/>
      <c r="S106" s="84"/>
      <c r="T106" s="84"/>
      <c r="U106" s="84"/>
      <c r="V106" s="84"/>
      <c r="W106" s="84"/>
      <c r="X106" s="84"/>
      <c r="Y106" s="84"/>
      <c r="Z106" s="84"/>
      <c r="AA106" s="84"/>
      <c r="AB106" s="84"/>
      <c r="AC106" s="84"/>
      <c r="AD106" s="84"/>
      <c r="AE106" s="84"/>
      <c r="AF106" s="84"/>
      <c r="AG106" s="84"/>
      <c r="AH106" s="84"/>
      <c r="AI106" s="84"/>
      <c r="AJ106" s="84"/>
      <c r="AK106" s="84"/>
      <c r="AL106" s="84"/>
      <c r="AM106" s="84"/>
      <c r="AN106" s="84"/>
      <c r="AO106" s="84"/>
      <c r="AP106" s="84"/>
      <c r="AQ106" s="84"/>
      <c r="AR106" s="84"/>
      <c r="AS106" s="84"/>
      <c r="AT106" s="84"/>
      <c r="AU106" s="84"/>
      <c r="AV106" s="84"/>
      <c r="AW106" s="84"/>
      <c r="AX106" s="84"/>
      <c r="AY106" s="84"/>
      <c r="AZ106" s="84"/>
      <c r="BA106" s="8"/>
      <c r="BB106" s="8"/>
      <c r="BC106" s="8"/>
      <c r="BD106" s="8"/>
      <c r="BE106" s="8"/>
      <c r="BF106" s="8"/>
      <c r="BG106" s="8"/>
      <c r="BH106" s="8"/>
      <c r="BI106" s="8"/>
      <c r="BJ106" s="8"/>
      <c r="BK106" s="8"/>
      <c r="BL106" s="8"/>
      <c r="BM106" s="8"/>
      <c r="BN106" s="8"/>
      <c r="BO106" s="8"/>
      <c r="BP106" s="8"/>
      <c r="BQ106" s="8"/>
      <c r="BR106" s="8"/>
      <c r="BS106" s="8"/>
      <c r="BT106" s="8"/>
      <c r="BU106" s="8"/>
      <c r="BV106" s="8"/>
      <c r="BW106" s="8"/>
      <c r="BX106" s="8"/>
      <c r="BY106" s="8"/>
      <c r="BZ106" s="8"/>
      <c r="CA106" s="8"/>
      <c r="CB106" s="8"/>
      <c r="CC106" s="8"/>
      <c r="CD106" s="8"/>
      <c r="CE106" s="8"/>
      <c r="CF106" s="8"/>
      <c r="CG106" s="8"/>
      <c r="CH106" s="8"/>
      <c r="CI106" s="8"/>
      <c r="CJ106" s="8"/>
      <c r="CK106" s="106"/>
      <c r="CL106" s="8"/>
      <c r="CM106" s="8"/>
      <c r="CN106" s="8"/>
      <c r="CO106" s="8"/>
      <c r="CP106" s="8"/>
      <c r="CQ106" s="8"/>
      <c r="CR106" s="8"/>
      <c r="CS106" s="8"/>
      <c r="CT106" s="8"/>
      <c r="CU106" s="8"/>
      <c r="CV106" s="8"/>
      <c r="CW106" s="8"/>
      <c r="CX106" s="8"/>
      <c r="CY106" s="8"/>
      <c r="CZ106" s="8"/>
      <c r="DA106" s="8"/>
      <c r="DB106" s="8"/>
      <c r="DC106" s="8"/>
      <c r="DD106" s="8"/>
      <c r="DE106" s="145"/>
      <c r="DF106" s="8"/>
      <c r="DG106" s="8"/>
      <c r="DH106" s="145"/>
      <c r="DI106" s="8"/>
      <c r="DJ106" s="8"/>
      <c r="DK106" s="145"/>
      <c r="DL106" s="8"/>
      <c r="DM106" s="8"/>
      <c r="DN106" s="145"/>
      <c r="DO106" s="8"/>
      <c r="DP106" s="8"/>
      <c r="DQ106" s="145"/>
      <c r="DR106" s="8"/>
      <c r="DS106" s="8"/>
      <c r="DT106" s="145"/>
      <c r="DU106" s="8"/>
      <c r="DV106" s="8"/>
      <c r="DW106" s="145"/>
      <c r="DX106" s="8"/>
      <c r="DY106" s="8"/>
      <c r="DZ106" s="145"/>
      <c r="EA106" s="8"/>
      <c r="EB106" s="8"/>
      <c r="EC106" s="145"/>
      <c r="ED106" s="8"/>
      <c r="EE106" s="8"/>
      <c r="EF106" s="145"/>
      <c r="EG106" s="8"/>
      <c r="EH106" s="8"/>
      <c r="EI106" s="145"/>
      <c r="EJ106" s="8"/>
      <c r="EK106" s="8"/>
      <c r="EL106" s="145"/>
      <c r="EM106" s="8"/>
      <c r="EN106" s="8"/>
      <c r="EO106" s="145"/>
      <c r="EP106" s="8"/>
      <c r="EQ106" s="8"/>
      <c r="ER106" s="145"/>
      <c r="ES106" s="8"/>
      <c r="ET106" s="8"/>
      <c r="EU106" s="145"/>
      <c r="EV106" s="8"/>
      <c r="EW106" s="8"/>
      <c r="EX106" s="145"/>
      <c r="EY106" s="8"/>
      <c r="EZ106" s="8"/>
      <c r="FA106" s="145"/>
    </row>
    <row r="107" spans="1:157" ht="13.35" customHeight="1">
      <c r="A107" s="3"/>
      <c r="B107" s="4" t="s">
        <v>221</v>
      </c>
      <c r="C107" s="4"/>
      <c r="D107" s="3"/>
      <c r="E107" s="95" t="str">
        <f t="shared" ref="E107:AJ107" si="81">IF(E223&lt;&gt;"",E223,"")</f>
        <v/>
      </c>
      <c r="F107" s="95" t="str">
        <f t="shared" si="81"/>
        <v/>
      </c>
      <c r="G107" s="95" t="str">
        <f t="shared" si="81"/>
        <v/>
      </c>
      <c r="H107" s="95" t="str">
        <f t="shared" si="81"/>
        <v/>
      </c>
      <c r="I107" s="95" t="str">
        <f t="shared" si="81"/>
        <v/>
      </c>
      <c r="J107" s="95" t="str">
        <f t="shared" si="81"/>
        <v/>
      </c>
      <c r="K107" s="95" t="str">
        <f t="shared" si="81"/>
        <v/>
      </c>
      <c r="L107" s="95" t="str">
        <f t="shared" si="81"/>
        <v/>
      </c>
      <c r="M107" s="95" t="str">
        <f t="shared" si="81"/>
        <v/>
      </c>
      <c r="N107" s="95" t="str">
        <f t="shared" si="81"/>
        <v/>
      </c>
      <c r="O107" s="95" t="str">
        <f t="shared" si="81"/>
        <v/>
      </c>
      <c r="P107" s="95" t="str">
        <f t="shared" si="81"/>
        <v/>
      </c>
      <c r="Q107" s="95" t="str">
        <f t="shared" si="81"/>
        <v/>
      </c>
      <c r="R107" s="95" t="str">
        <f t="shared" si="81"/>
        <v/>
      </c>
      <c r="S107" s="95" t="str">
        <f t="shared" si="81"/>
        <v/>
      </c>
      <c r="T107" s="95" t="str">
        <f t="shared" si="81"/>
        <v/>
      </c>
      <c r="U107" s="95" t="str">
        <f t="shared" si="81"/>
        <v/>
      </c>
      <c r="V107" s="95" t="str">
        <f t="shared" si="81"/>
        <v/>
      </c>
      <c r="W107" s="95" t="str">
        <f t="shared" si="81"/>
        <v/>
      </c>
      <c r="X107" s="95" t="str">
        <f t="shared" si="81"/>
        <v/>
      </c>
      <c r="Y107" s="95" t="str">
        <f t="shared" si="81"/>
        <v/>
      </c>
      <c r="Z107" s="95" t="str">
        <f t="shared" si="81"/>
        <v/>
      </c>
      <c r="AA107" s="95" t="str">
        <f t="shared" si="81"/>
        <v/>
      </c>
      <c r="AB107" s="95" t="str">
        <f t="shared" si="81"/>
        <v/>
      </c>
      <c r="AC107" s="95" t="str">
        <f t="shared" si="81"/>
        <v/>
      </c>
      <c r="AD107" s="95" t="str">
        <f t="shared" si="81"/>
        <v/>
      </c>
      <c r="AE107" s="95" t="str">
        <f t="shared" si="81"/>
        <v/>
      </c>
      <c r="AF107" s="95" t="str">
        <f t="shared" si="81"/>
        <v/>
      </c>
      <c r="AG107" s="95" t="str">
        <f t="shared" si="81"/>
        <v/>
      </c>
      <c r="AH107" s="95" t="str">
        <f t="shared" si="81"/>
        <v/>
      </c>
      <c r="AI107" s="95" t="str">
        <f t="shared" si="81"/>
        <v/>
      </c>
      <c r="AJ107" s="95" t="str">
        <f t="shared" si="81"/>
        <v/>
      </c>
      <c r="AK107" s="95" t="str">
        <f t="shared" ref="AK107:BP107" si="82">IF(AK223&lt;&gt;"",AK223,"")</f>
        <v/>
      </c>
      <c r="AL107" s="95" t="str">
        <f t="shared" si="82"/>
        <v/>
      </c>
      <c r="AM107" s="95" t="str">
        <f t="shared" si="82"/>
        <v/>
      </c>
      <c r="AN107" s="95" t="str">
        <f t="shared" si="82"/>
        <v/>
      </c>
      <c r="AO107" s="95" t="str">
        <f t="shared" si="82"/>
        <v/>
      </c>
      <c r="AP107" s="95" t="str">
        <f t="shared" si="82"/>
        <v/>
      </c>
      <c r="AQ107" s="95" t="str">
        <f t="shared" si="82"/>
        <v/>
      </c>
      <c r="AR107" s="95" t="str">
        <f t="shared" si="82"/>
        <v/>
      </c>
      <c r="AS107" s="95" t="str">
        <f t="shared" si="82"/>
        <v/>
      </c>
      <c r="AT107" s="95" t="str">
        <f t="shared" si="82"/>
        <v/>
      </c>
      <c r="AU107" s="95" t="str">
        <f t="shared" si="82"/>
        <v/>
      </c>
      <c r="AV107" s="95" t="str">
        <f t="shared" si="82"/>
        <v/>
      </c>
      <c r="AW107" s="95" t="str">
        <f t="shared" si="82"/>
        <v/>
      </c>
      <c r="AX107" s="95" t="str">
        <f t="shared" si="82"/>
        <v/>
      </c>
      <c r="AY107" s="95" t="str">
        <f t="shared" si="82"/>
        <v/>
      </c>
      <c r="AZ107" s="95" t="str">
        <f t="shared" si="82"/>
        <v/>
      </c>
      <c r="BA107" s="95" t="str">
        <f t="shared" si="82"/>
        <v/>
      </c>
      <c r="BB107" s="95" t="str">
        <f t="shared" si="82"/>
        <v/>
      </c>
      <c r="BC107" s="95" t="str">
        <f t="shared" si="82"/>
        <v/>
      </c>
      <c r="BD107" s="95" t="str">
        <f t="shared" si="82"/>
        <v/>
      </c>
      <c r="BE107" s="95" t="str">
        <f t="shared" si="82"/>
        <v/>
      </c>
      <c r="BF107" s="95" t="str">
        <f t="shared" si="82"/>
        <v/>
      </c>
      <c r="BG107" s="95" t="str">
        <f t="shared" si="82"/>
        <v/>
      </c>
      <c r="BH107" s="95" t="str">
        <f t="shared" si="82"/>
        <v/>
      </c>
      <c r="BI107" s="95" t="str">
        <f t="shared" si="82"/>
        <v/>
      </c>
      <c r="BJ107" s="95" t="str">
        <f t="shared" si="82"/>
        <v/>
      </c>
      <c r="BK107" s="95" t="str">
        <f t="shared" si="82"/>
        <v/>
      </c>
      <c r="BL107" s="95" t="str">
        <f t="shared" si="82"/>
        <v/>
      </c>
      <c r="BM107" s="95" t="str">
        <f t="shared" si="82"/>
        <v/>
      </c>
      <c r="BN107" s="95" t="str">
        <f t="shared" si="82"/>
        <v/>
      </c>
      <c r="BO107" s="95" t="str">
        <f t="shared" si="82"/>
        <v/>
      </c>
      <c r="BP107" s="95" t="str">
        <f t="shared" si="82"/>
        <v/>
      </c>
      <c r="BQ107" s="95" t="str">
        <f t="shared" ref="BQ107:CM107" si="83">IF(BQ223&lt;&gt;"",BQ223,"")</f>
        <v/>
      </c>
      <c r="BR107" s="95" t="str">
        <f t="shared" si="83"/>
        <v/>
      </c>
      <c r="BS107" s="95" t="str">
        <f t="shared" si="83"/>
        <v/>
      </c>
      <c r="BT107" s="95" t="str">
        <f t="shared" si="83"/>
        <v/>
      </c>
      <c r="BU107" s="95" t="str">
        <f t="shared" si="83"/>
        <v/>
      </c>
      <c r="BV107" s="95" t="str">
        <f t="shared" si="83"/>
        <v/>
      </c>
      <c r="BW107" s="95" t="str">
        <f t="shared" si="83"/>
        <v/>
      </c>
      <c r="BX107" s="95" t="str">
        <f t="shared" si="83"/>
        <v/>
      </c>
      <c r="BY107" s="95" t="str">
        <f t="shared" si="83"/>
        <v/>
      </c>
      <c r="BZ107" s="95" t="str">
        <f t="shared" si="83"/>
        <v/>
      </c>
      <c r="CA107" s="95" t="str">
        <f t="shared" si="83"/>
        <v/>
      </c>
      <c r="CB107" s="95" t="str">
        <f t="shared" si="83"/>
        <v/>
      </c>
      <c r="CC107" s="95" t="str">
        <f t="shared" si="83"/>
        <v/>
      </c>
      <c r="CD107" s="95" t="str">
        <f t="shared" si="83"/>
        <v/>
      </c>
      <c r="CE107" s="95" t="str">
        <f t="shared" si="83"/>
        <v/>
      </c>
      <c r="CF107" s="95" t="str">
        <f t="shared" si="83"/>
        <v/>
      </c>
      <c r="CG107" s="95" t="str">
        <f t="shared" si="83"/>
        <v/>
      </c>
      <c r="CH107" s="95" t="str">
        <f t="shared" si="83"/>
        <v/>
      </c>
      <c r="CI107" s="95" t="str">
        <f t="shared" si="83"/>
        <v/>
      </c>
      <c r="CJ107" s="95" t="str">
        <f t="shared" si="83"/>
        <v/>
      </c>
      <c r="CK107" s="95" t="str">
        <f t="shared" si="83"/>
        <v/>
      </c>
      <c r="CL107" s="95" t="str">
        <f t="shared" si="83"/>
        <v/>
      </c>
      <c r="CM107" s="95" t="str">
        <f t="shared" si="83"/>
        <v/>
      </c>
      <c r="CN107" s="95" t="str">
        <f t="shared" ref="CN107:DQ107" si="84">IF(CN223&lt;&gt;"",CN223,"")</f>
        <v/>
      </c>
      <c r="CO107" s="95" t="str">
        <f t="shared" si="84"/>
        <v/>
      </c>
      <c r="CP107" s="95" t="str">
        <f t="shared" si="84"/>
        <v/>
      </c>
      <c r="CQ107" s="95" t="str">
        <f t="shared" si="84"/>
        <v/>
      </c>
      <c r="CR107" s="95" t="str">
        <f t="shared" si="84"/>
        <v/>
      </c>
      <c r="CS107" s="95" t="str">
        <f t="shared" si="84"/>
        <v/>
      </c>
      <c r="CT107" s="95" t="str">
        <f t="shared" si="84"/>
        <v/>
      </c>
      <c r="CU107" s="95" t="str">
        <f t="shared" si="84"/>
        <v/>
      </c>
      <c r="CV107" s="95" t="str">
        <f t="shared" si="84"/>
        <v/>
      </c>
      <c r="CW107" s="95" t="str">
        <f t="shared" si="84"/>
        <v/>
      </c>
      <c r="CX107" s="95" t="str">
        <f t="shared" si="84"/>
        <v/>
      </c>
      <c r="CY107" s="95" t="str">
        <f t="shared" si="84"/>
        <v/>
      </c>
      <c r="CZ107" s="95" t="str">
        <f>IF(CZ223&lt;&gt;"",CZ223,"")</f>
        <v/>
      </c>
      <c r="DA107" s="95" t="str">
        <f>IF(DA223&lt;&gt;"",DA223,"")</f>
        <v/>
      </c>
      <c r="DB107" s="95" t="str">
        <f>IF(DB223&lt;&gt;"",DB223,"")</f>
        <v/>
      </c>
      <c r="DC107" s="95" t="str">
        <f t="shared" si="84"/>
        <v/>
      </c>
      <c r="DD107" s="95" t="str">
        <f t="shared" si="84"/>
        <v/>
      </c>
      <c r="DE107" s="138" t="str">
        <f t="shared" si="84"/>
        <v/>
      </c>
      <c r="DF107" s="95" t="str">
        <f t="shared" si="84"/>
        <v/>
      </c>
      <c r="DG107" s="95" t="str">
        <f t="shared" si="84"/>
        <v/>
      </c>
      <c r="DH107" s="138" t="str">
        <f t="shared" si="84"/>
        <v/>
      </c>
      <c r="DI107" s="95" t="str">
        <f t="shared" si="84"/>
        <v/>
      </c>
      <c r="DJ107" s="95" t="str">
        <f t="shared" si="84"/>
        <v/>
      </c>
      <c r="DK107" s="138" t="str">
        <f t="shared" si="84"/>
        <v/>
      </c>
      <c r="DL107" s="95" t="str">
        <f t="shared" si="84"/>
        <v/>
      </c>
      <c r="DM107" s="95" t="str">
        <f t="shared" si="84"/>
        <v/>
      </c>
      <c r="DN107" s="138" t="str">
        <f t="shared" si="84"/>
        <v/>
      </c>
      <c r="DO107" s="95" t="str">
        <f t="shared" si="84"/>
        <v/>
      </c>
      <c r="DP107" s="95" t="str">
        <f t="shared" si="84"/>
        <v/>
      </c>
      <c r="DQ107" s="138" t="str">
        <f t="shared" si="84"/>
        <v/>
      </c>
      <c r="DR107" s="95" t="str">
        <f t="shared" ref="DR107:DZ107" si="85">IF(DR223&lt;&gt;"",DR223,"")</f>
        <v/>
      </c>
      <c r="DS107" s="95" t="str">
        <f t="shared" si="85"/>
        <v/>
      </c>
      <c r="DT107" s="138" t="str">
        <f t="shared" si="85"/>
        <v/>
      </c>
      <c r="DU107" s="95" t="str">
        <f t="shared" si="85"/>
        <v/>
      </c>
      <c r="DV107" s="95" t="str">
        <f>IF(DV223&lt;&gt;"",DV223,"")</f>
        <v/>
      </c>
      <c r="DW107" s="138" t="str">
        <f>IF(DW223&lt;&gt;"",DW223,"")</f>
        <v/>
      </c>
      <c r="DX107" s="95" t="str">
        <f t="shared" si="85"/>
        <v/>
      </c>
      <c r="DY107" s="95" t="str">
        <f t="shared" si="85"/>
        <v/>
      </c>
      <c r="DZ107" s="138" t="str">
        <f t="shared" si="85"/>
        <v/>
      </c>
      <c r="EA107" s="95" t="str">
        <f t="shared" ref="EA107:EF107" si="86">IF(EA223&lt;&gt;"",EA223,"")</f>
        <v/>
      </c>
      <c r="EB107" s="95" t="str">
        <f t="shared" si="86"/>
        <v/>
      </c>
      <c r="EC107" s="138" t="str">
        <f t="shared" si="86"/>
        <v/>
      </c>
      <c r="ED107" s="95" t="str">
        <f t="shared" si="86"/>
        <v/>
      </c>
      <c r="EE107" s="95" t="str">
        <f t="shared" si="86"/>
        <v/>
      </c>
      <c r="EF107" s="138" t="str">
        <f t="shared" si="86"/>
        <v/>
      </c>
      <c r="EG107" s="95" t="str">
        <f t="shared" ref="EG107:EL107" si="87">IF(EG223&lt;&gt;"",EG223,"")</f>
        <v/>
      </c>
      <c r="EH107" s="95" t="str">
        <f t="shared" si="87"/>
        <v/>
      </c>
      <c r="EI107" s="138" t="str">
        <f t="shared" si="87"/>
        <v/>
      </c>
      <c r="EJ107" s="95" t="str">
        <f t="shared" si="87"/>
        <v/>
      </c>
      <c r="EK107" s="95" t="str">
        <f t="shared" si="87"/>
        <v/>
      </c>
      <c r="EL107" s="138" t="str">
        <f t="shared" si="87"/>
        <v/>
      </c>
      <c r="EM107" s="95" t="str">
        <f t="shared" ref="EM107:ER107" si="88">IF(EM223&lt;&gt;"",EM223,"")</f>
        <v/>
      </c>
      <c r="EN107" s="95" t="str">
        <f t="shared" si="88"/>
        <v/>
      </c>
      <c r="EO107" s="138" t="str">
        <f t="shared" si="88"/>
        <v/>
      </c>
      <c r="EP107" s="95" t="str">
        <f t="shared" si="88"/>
        <v/>
      </c>
      <c r="EQ107" s="95" t="str">
        <f t="shared" si="88"/>
        <v/>
      </c>
      <c r="ER107" s="138" t="str">
        <f t="shared" si="88"/>
        <v/>
      </c>
      <c r="ES107" s="95" t="str">
        <f t="shared" ref="ES107:FA107" si="89">IF(ES223&lt;&gt;"",ES223,"")</f>
        <v/>
      </c>
      <c r="ET107" s="95" t="str">
        <f t="shared" si="89"/>
        <v/>
      </c>
      <c r="EU107" s="138" t="str">
        <f t="shared" si="89"/>
        <v/>
      </c>
      <c r="EV107" s="95" t="str">
        <f t="shared" si="89"/>
        <v/>
      </c>
      <c r="EW107" s="95" t="str">
        <f t="shared" si="89"/>
        <v/>
      </c>
      <c r="EX107" s="138" t="str">
        <f t="shared" si="89"/>
        <v/>
      </c>
      <c r="EY107" s="95" t="str">
        <f t="shared" si="89"/>
        <v/>
      </c>
      <c r="EZ107" s="95" t="str">
        <f t="shared" si="89"/>
        <v/>
      </c>
      <c r="FA107" s="138" t="str">
        <f t="shared" si="89"/>
        <v/>
      </c>
    </row>
    <row r="108" spans="1:157" ht="13.35" customHeight="1">
      <c r="A108" s="3"/>
      <c r="B108" s="4" t="s">
        <v>700</v>
      </c>
      <c r="C108" s="4"/>
      <c r="D108" s="4"/>
      <c r="E108" s="82"/>
      <c r="F108" s="8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c r="AV108" s="82"/>
      <c r="AW108" s="82"/>
      <c r="AX108" s="82"/>
      <c r="AY108" s="82"/>
      <c r="AZ108" s="82"/>
      <c r="BA108" s="7"/>
      <c r="BB108" s="95"/>
      <c r="BC108" s="102"/>
      <c r="BD108" s="102"/>
      <c r="BE108" s="82"/>
      <c r="BF108" s="82"/>
      <c r="BG108" s="82"/>
      <c r="BH108" s="82"/>
      <c r="BI108" s="82"/>
      <c r="BJ108" s="82"/>
      <c r="BK108" s="82"/>
      <c r="BL108" s="82"/>
      <c r="BM108" s="82"/>
      <c r="BN108" s="82"/>
      <c r="BO108" s="82"/>
      <c r="BP108" s="82"/>
      <c r="BQ108" s="82"/>
      <c r="BR108" s="82"/>
      <c r="BS108" s="82"/>
      <c r="BT108" s="82"/>
      <c r="BU108" s="82"/>
      <c r="BV108" s="82"/>
      <c r="BW108" s="82"/>
      <c r="BX108" s="82"/>
      <c r="BY108" s="82"/>
      <c r="BZ108" s="82"/>
      <c r="CA108" s="82"/>
      <c r="CB108" s="82"/>
      <c r="CC108" s="82"/>
      <c r="CD108" s="82"/>
      <c r="CE108" s="82"/>
      <c r="CF108" s="82"/>
      <c r="CG108" s="82"/>
      <c r="CH108" s="82"/>
      <c r="CI108" s="82"/>
      <c r="CJ108" s="82"/>
      <c r="CK108" s="82"/>
      <c r="CL108" s="82"/>
      <c r="CM108" s="82"/>
      <c r="CN108" s="82"/>
      <c r="CO108" s="82"/>
      <c r="CP108" s="82"/>
      <c r="CQ108" s="82"/>
      <c r="CR108" s="82"/>
      <c r="CS108" s="82"/>
      <c r="CT108" s="82"/>
      <c r="CU108" s="82"/>
      <c r="CV108" s="82"/>
      <c r="CW108" s="82"/>
      <c r="CX108" s="82"/>
      <c r="CY108" s="82"/>
      <c r="CZ108" s="82"/>
      <c r="DA108" s="82"/>
      <c r="DB108" s="82"/>
      <c r="DC108" s="82"/>
      <c r="DD108" s="82"/>
      <c r="DE108" s="138"/>
      <c r="DF108" s="82"/>
      <c r="DG108" s="82"/>
      <c r="DH108" s="138"/>
      <c r="DI108" s="82"/>
      <c r="DJ108" s="82"/>
      <c r="DK108" s="138"/>
      <c r="DL108" s="82"/>
      <c r="DM108" s="82"/>
      <c r="DN108" s="138"/>
      <c r="DO108" s="82"/>
      <c r="DP108" s="82"/>
      <c r="DQ108" s="138"/>
      <c r="DR108" s="82"/>
      <c r="DS108" s="82"/>
      <c r="DT108" s="138"/>
      <c r="DU108" s="82"/>
      <c r="DV108" s="82"/>
      <c r="DW108" s="138"/>
      <c r="DX108" s="82"/>
      <c r="DY108" s="82"/>
      <c r="DZ108" s="138"/>
      <c r="EA108" s="82"/>
      <c r="EB108" s="82"/>
      <c r="EC108" s="138"/>
      <c r="ED108" s="82"/>
      <c r="EE108" s="82"/>
      <c r="EF108" s="138"/>
      <c r="EG108" s="82"/>
      <c r="EH108" s="82"/>
      <c r="EI108" s="138"/>
      <c r="EJ108" s="82"/>
      <c r="EK108" s="82"/>
      <c r="EL108" s="138"/>
      <c r="EM108" s="82"/>
      <c r="EN108" s="82"/>
      <c r="EO108" s="138"/>
      <c r="EP108" s="82"/>
      <c r="EQ108" s="82"/>
      <c r="ER108" s="138"/>
      <c r="ES108" s="82"/>
      <c r="ET108" s="82"/>
      <c r="EU108" s="138"/>
      <c r="EV108" s="82"/>
      <c r="EW108" s="82"/>
      <c r="EX108" s="138"/>
      <c r="EY108" s="82"/>
      <c r="EZ108" s="82"/>
      <c r="FA108" s="138"/>
    </row>
    <row r="109" spans="1:157" ht="13.35" customHeight="1">
      <c r="A109" s="3"/>
      <c r="B109" s="3"/>
      <c r="C109" s="3" t="s">
        <v>447</v>
      </c>
      <c r="D109" s="82"/>
      <c r="E109" s="82"/>
      <c r="F109" s="8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c r="AV109" s="82"/>
      <c r="AW109" s="82"/>
      <c r="AX109" s="82"/>
      <c r="AY109" s="82"/>
      <c r="AZ109" s="82"/>
      <c r="BA109" s="95" t="str">
        <f t="shared" ref="BA109:CF109" si="90">IF(AND(BA107&lt;&gt;"",BA108&lt;&gt;""),BA107+BA108,"")</f>
        <v/>
      </c>
      <c r="BB109" s="95" t="str">
        <f t="shared" si="90"/>
        <v/>
      </c>
      <c r="BC109" s="95" t="str">
        <f t="shared" si="90"/>
        <v/>
      </c>
      <c r="BD109" s="95" t="str">
        <f t="shared" si="90"/>
        <v/>
      </c>
      <c r="BE109" s="95" t="str">
        <f t="shared" si="90"/>
        <v/>
      </c>
      <c r="BF109" s="95" t="str">
        <f t="shared" si="90"/>
        <v/>
      </c>
      <c r="BG109" s="95" t="str">
        <f t="shared" si="90"/>
        <v/>
      </c>
      <c r="BH109" s="95" t="str">
        <f t="shared" si="90"/>
        <v/>
      </c>
      <c r="BI109" s="95" t="str">
        <f t="shared" si="90"/>
        <v/>
      </c>
      <c r="BJ109" s="95" t="str">
        <f t="shared" si="90"/>
        <v/>
      </c>
      <c r="BK109" s="95" t="str">
        <f t="shared" si="90"/>
        <v/>
      </c>
      <c r="BL109" s="95" t="str">
        <f t="shared" si="90"/>
        <v/>
      </c>
      <c r="BM109" s="95" t="str">
        <f t="shared" si="90"/>
        <v/>
      </c>
      <c r="BN109" s="95" t="str">
        <f t="shared" si="90"/>
        <v/>
      </c>
      <c r="BO109" s="95" t="str">
        <f t="shared" si="90"/>
        <v/>
      </c>
      <c r="BP109" s="95" t="str">
        <f t="shared" si="90"/>
        <v/>
      </c>
      <c r="BQ109" s="95" t="str">
        <f t="shared" si="90"/>
        <v/>
      </c>
      <c r="BR109" s="95" t="str">
        <f t="shared" si="90"/>
        <v/>
      </c>
      <c r="BS109" s="95" t="str">
        <f t="shared" si="90"/>
        <v/>
      </c>
      <c r="BT109" s="95" t="str">
        <f t="shared" si="90"/>
        <v/>
      </c>
      <c r="BU109" s="95" t="str">
        <f t="shared" si="90"/>
        <v/>
      </c>
      <c r="BV109" s="95" t="str">
        <f t="shared" si="90"/>
        <v/>
      </c>
      <c r="BW109" s="95" t="str">
        <f t="shared" si="90"/>
        <v/>
      </c>
      <c r="BX109" s="95" t="str">
        <f t="shared" si="90"/>
        <v/>
      </c>
      <c r="BY109" s="95" t="str">
        <f t="shared" si="90"/>
        <v/>
      </c>
      <c r="BZ109" s="95" t="str">
        <f t="shared" si="90"/>
        <v/>
      </c>
      <c r="CA109" s="95" t="str">
        <f t="shared" si="90"/>
        <v/>
      </c>
      <c r="CB109" s="95" t="str">
        <f t="shared" si="90"/>
        <v/>
      </c>
      <c r="CC109" s="95" t="str">
        <f t="shared" si="90"/>
        <v/>
      </c>
      <c r="CD109" s="95" t="str">
        <f t="shared" si="90"/>
        <v/>
      </c>
      <c r="CE109" s="95" t="str">
        <f t="shared" si="90"/>
        <v/>
      </c>
      <c r="CF109" s="95" t="str">
        <f t="shared" si="90"/>
        <v/>
      </c>
      <c r="CG109" s="95" t="str">
        <f t="shared" ref="CG109:DQ109" si="91">IF(AND(CG107&lt;&gt;"",CG108&lt;&gt;""),CG107+CG108,"")</f>
        <v/>
      </c>
      <c r="CH109" s="95" t="str">
        <f t="shared" si="91"/>
        <v/>
      </c>
      <c r="CI109" s="95" t="str">
        <f t="shared" si="91"/>
        <v/>
      </c>
      <c r="CJ109" s="95" t="str">
        <f t="shared" si="91"/>
        <v/>
      </c>
      <c r="CK109" s="95" t="str">
        <f t="shared" si="91"/>
        <v/>
      </c>
      <c r="CL109" s="95" t="str">
        <f t="shared" si="91"/>
        <v/>
      </c>
      <c r="CM109" s="95" t="str">
        <f t="shared" si="91"/>
        <v/>
      </c>
      <c r="CN109" s="95" t="str">
        <f t="shared" si="91"/>
        <v/>
      </c>
      <c r="CO109" s="95" t="str">
        <f t="shared" si="91"/>
        <v/>
      </c>
      <c r="CP109" s="95" t="str">
        <f t="shared" si="91"/>
        <v/>
      </c>
      <c r="CQ109" s="95" t="str">
        <f t="shared" si="91"/>
        <v/>
      </c>
      <c r="CR109" s="95" t="str">
        <f t="shared" si="91"/>
        <v/>
      </c>
      <c r="CS109" s="95" t="str">
        <f t="shared" si="91"/>
        <v/>
      </c>
      <c r="CT109" s="95" t="str">
        <f t="shared" si="91"/>
        <v/>
      </c>
      <c r="CU109" s="95" t="str">
        <f t="shared" si="91"/>
        <v/>
      </c>
      <c r="CV109" s="95" t="str">
        <f t="shared" si="91"/>
        <v/>
      </c>
      <c r="CW109" s="95" t="str">
        <f t="shared" si="91"/>
        <v/>
      </c>
      <c r="CX109" s="95" t="str">
        <f t="shared" si="91"/>
        <v/>
      </c>
      <c r="CY109" s="95" t="str">
        <f t="shared" si="91"/>
        <v/>
      </c>
      <c r="CZ109" s="95" t="str">
        <f>IF(AND(CZ107&lt;&gt;"",CZ108&lt;&gt;""),CZ107+CZ108,"")</f>
        <v/>
      </c>
      <c r="DA109" s="95" t="str">
        <f>IF(AND(DA107&lt;&gt;"",DA108&lt;&gt;""),DA107+DA108,"")</f>
        <v/>
      </c>
      <c r="DB109" s="95" t="str">
        <f>IF(AND(DB107&lt;&gt;"",DB108&lt;&gt;""),DB107+DB108,"")</f>
        <v/>
      </c>
      <c r="DC109" s="95" t="str">
        <f t="shared" si="91"/>
        <v/>
      </c>
      <c r="DD109" s="95" t="str">
        <f t="shared" si="91"/>
        <v/>
      </c>
      <c r="DE109" s="138" t="str">
        <f t="shared" si="91"/>
        <v/>
      </c>
      <c r="DF109" s="95" t="str">
        <f t="shared" si="91"/>
        <v/>
      </c>
      <c r="DG109" s="95" t="str">
        <f t="shared" si="91"/>
        <v/>
      </c>
      <c r="DH109" s="138" t="str">
        <f t="shared" si="91"/>
        <v/>
      </c>
      <c r="DI109" s="95" t="str">
        <f t="shared" si="91"/>
        <v/>
      </c>
      <c r="DJ109" s="95" t="str">
        <f t="shared" si="91"/>
        <v/>
      </c>
      <c r="DK109" s="138" t="str">
        <f t="shared" si="91"/>
        <v/>
      </c>
      <c r="DL109" s="95" t="str">
        <f t="shared" si="91"/>
        <v/>
      </c>
      <c r="DM109" s="95" t="str">
        <f t="shared" si="91"/>
        <v/>
      </c>
      <c r="DN109" s="138" t="str">
        <f t="shared" si="91"/>
        <v/>
      </c>
      <c r="DO109" s="95" t="str">
        <f t="shared" si="91"/>
        <v/>
      </c>
      <c r="DP109" s="95" t="str">
        <f t="shared" si="91"/>
        <v/>
      </c>
      <c r="DQ109" s="138" t="str">
        <f t="shared" si="91"/>
        <v/>
      </c>
      <c r="DR109" s="95" t="str">
        <f t="shared" ref="DR109:DZ109" si="92">IF(AND(DR107&lt;&gt;"",DR108&lt;&gt;""),DR107+DR108,"")</f>
        <v/>
      </c>
      <c r="DS109" s="95" t="str">
        <f t="shared" si="92"/>
        <v/>
      </c>
      <c r="DT109" s="138" t="str">
        <f t="shared" si="92"/>
        <v/>
      </c>
      <c r="DU109" s="95" t="str">
        <f t="shared" si="92"/>
        <v/>
      </c>
      <c r="DV109" s="95" t="str">
        <f>IF(AND(DV107&lt;&gt;"",DV108&lt;&gt;""),DV107+DV108,"")</f>
        <v/>
      </c>
      <c r="DW109" s="138" t="str">
        <f>IF(AND(DW107&lt;&gt;"",DW108&lt;&gt;""),DW107+DW108,"")</f>
        <v/>
      </c>
      <c r="DX109" s="95" t="str">
        <f t="shared" si="92"/>
        <v/>
      </c>
      <c r="DY109" s="95" t="str">
        <f t="shared" si="92"/>
        <v/>
      </c>
      <c r="DZ109" s="138" t="str">
        <f t="shared" si="92"/>
        <v/>
      </c>
      <c r="EA109" s="95" t="str">
        <f t="shared" ref="EA109:EF109" si="93">IF(AND(EA107&lt;&gt;"",EA108&lt;&gt;""),EA107+EA108,"")</f>
        <v/>
      </c>
      <c r="EB109" s="95" t="str">
        <f t="shared" si="93"/>
        <v/>
      </c>
      <c r="EC109" s="138" t="str">
        <f t="shared" si="93"/>
        <v/>
      </c>
      <c r="ED109" s="95" t="str">
        <f t="shared" si="93"/>
        <v/>
      </c>
      <c r="EE109" s="95" t="str">
        <f t="shared" si="93"/>
        <v/>
      </c>
      <c r="EF109" s="138" t="str">
        <f t="shared" si="93"/>
        <v/>
      </c>
      <c r="EG109" s="95" t="str">
        <f t="shared" ref="EG109:EL109" si="94">IF(AND(EG107&lt;&gt;"",EG108&lt;&gt;""),EG107+EG108,"")</f>
        <v/>
      </c>
      <c r="EH109" s="95" t="str">
        <f t="shared" si="94"/>
        <v/>
      </c>
      <c r="EI109" s="138" t="str">
        <f t="shared" si="94"/>
        <v/>
      </c>
      <c r="EJ109" s="95" t="str">
        <f t="shared" si="94"/>
        <v/>
      </c>
      <c r="EK109" s="95" t="str">
        <f t="shared" si="94"/>
        <v/>
      </c>
      <c r="EL109" s="138" t="str">
        <f t="shared" si="94"/>
        <v/>
      </c>
      <c r="EM109" s="95" t="str">
        <f t="shared" ref="EM109:ER109" si="95">IF(AND(EM107&lt;&gt;"",EM108&lt;&gt;""),EM107+EM108,"")</f>
        <v/>
      </c>
      <c r="EN109" s="95" t="str">
        <f t="shared" si="95"/>
        <v/>
      </c>
      <c r="EO109" s="138" t="str">
        <f t="shared" si="95"/>
        <v/>
      </c>
      <c r="EP109" s="95" t="str">
        <f t="shared" si="95"/>
        <v/>
      </c>
      <c r="EQ109" s="95" t="str">
        <f t="shared" si="95"/>
        <v/>
      </c>
      <c r="ER109" s="138" t="str">
        <f t="shared" si="95"/>
        <v/>
      </c>
      <c r="ES109" s="95" t="str">
        <f t="shared" ref="ES109:FA109" si="96">IF(AND(ES107&lt;&gt;"",ES108&lt;&gt;""),ES107+ES108,"")</f>
        <v/>
      </c>
      <c r="ET109" s="95" t="str">
        <f t="shared" si="96"/>
        <v/>
      </c>
      <c r="EU109" s="138" t="str">
        <f t="shared" si="96"/>
        <v/>
      </c>
      <c r="EV109" s="95" t="str">
        <f t="shared" si="96"/>
        <v/>
      </c>
      <c r="EW109" s="95" t="str">
        <f t="shared" si="96"/>
        <v/>
      </c>
      <c r="EX109" s="138" t="str">
        <f t="shared" si="96"/>
        <v/>
      </c>
      <c r="EY109" s="95" t="str">
        <f t="shared" si="96"/>
        <v/>
      </c>
      <c r="EZ109" s="95" t="str">
        <f t="shared" si="96"/>
        <v/>
      </c>
      <c r="FA109" s="138" t="str">
        <f t="shared" si="96"/>
        <v/>
      </c>
    </row>
    <row r="110" spans="1:157" ht="13.35" customHeight="1">
      <c r="A110" s="3"/>
      <c r="B110" s="4" t="s">
        <v>448</v>
      </c>
      <c r="C110" s="4"/>
      <c r="D110" s="3"/>
      <c r="E110" s="95" t="str">
        <f t="shared" ref="E110:AJ110" si="97">IF(E225&lt;&gt;"",E225,"")</f>
        <v/>
      </c>
      <c r="F110" s="95" t="str">
        <f t="shared" si="97"/>
        <v/>
      </c>
      <c r="G110" s="95" t="str">
        <f t="shared" si="97"/>
        <v/>
      </c>
      <c r="H110" s="95" t="str">
        <f t="shared" si="97"/>
        <v/>
      </c>
      <c r="I110" s="95" t="str">
        <f t="shared" si="97"/>
        <v/>
      </c>
      <c r="J110" s="95" t="str">
        <f t="shared" si="97"/>
        <v/>
      </c>
      <c r="K110" s="95" t="str">
        <f t="shared" si="97"/>
        <v/>
      </c>
      <c r="L110" s="95" t="str">
        <f t="shared" si="97"/>
        <v/>
      </c>
      <c r="M110" s="95" t="str">
        <f t="shared" si="97"/>
        <v/>
      </c>
      <c r="N110" s="95" t="str">
        <f t="shared" si="97"/>
        <v/>
      </c>
      <c r="O110" s="95" t="str">
        <f t="shared" si="97"/>
        <v/>
      </c>
      <c r="P110" s="95" t="str">
        <f t="shared" si="97"/>
        <v/>
      </c>
      <c r="Q110" s="95" t="str">
        <f t="shared" si="97"/>
        <v/>
      </c>
      <c r="R110" s="95" t="str">
        <f t="shared" si="97"/>
        <v/>
      </c>
      <c r="S110" s="95" t="str">
        <f t="shared" si="97"/>
        <v/>
      </c>
      <c r="T110" s="95" t="str">
        <f t="shared" si="97"/>
        <v/>
      </c>
      <c r="U110" s="95" t="str">
        <f t="shared" si="97"/>
        <v/>
      </c>
      <c r="V110" s="95" t="str">
        <f t="shared" si="97"/>
        <v/>
      </c>
      <c r="W110" s="95" t="str">
        <f t="shared" si="97"/>
        <v/>
      </c>
      <c r="X110" s="95" t="str">
        <f t="shared" si="97"/>
        <v/>
      </c>
      <c r="Y110" s="95" t="str">
        <f t="shared" si="97"/>
        <v/>
      </c>
      <c r="Z110" s="95" t="str">
        <f t="shared" si="97"/>
        <v/>
      </c>
      <c r="AA110" s="95" t="str">
        <f t="shared" si="97"/>
        <v/>
      </c>
      <c r="AB110" s="95" t="str">
        <f t="shared" si="97"/>
        <v/>
      </c>
      <c r="AC110" s="95" t="str">
        <f t="shared" si="97"/>
        <v/>
      </c>
      <c r="AD110" s="95" t="str">
        <f t="shared" si="97"/>
        <v/>
      </c>
      <c r="AE110" s="95" t="str">
        <f t="shared" si="97"/>
        <v/>
      </c>
      <c r="AF110" s="95" t="str">
        <f t="shared" si="97"/>
        <v/>
      </c>
      <c r="AG110" s="95" t="str">
        <f t="shared" si="97"/>
        <v/>
      </c>
      <c r="AH110" s="95" t="str">
        <f t="shared" si="97"/>
        <v/>
      </c>
      <c r="AI110" s="95" t="str">
        <f t="shared" si="97"/>
        <v/>
      </c>
      <c r="AJ110" s="95" t="str">
        <f t="shared" si="97"/>
        <v/>
      </c>
      <c r="AK110" s="95" t="str">
        <f t="shared" ref="AK110:BP110" si="98">IF(AK225&lt;&gt;"",AK225,"")</f>
        <v/>
      </c>
      <c r="AL110" s="95" t="str">
        <f t="shared" si="98"/>
        <v/>
      </c>
      <c r="AM110" s="95" t="str">
        <f t="shared" si="98"/>
        <v/>
      </c>
      <c r="AN110" s="95" t="str">
        <f t="shared" si="98"/>
        <v/>
      </c>
      <c r="AO110" s="95" t="str">
        <f t="shared" si="98"/>
        <v/>
      </c>
      <c r="AP110" s="95" t="str">
        <f t="shared" si="98"/>
        <v/>
      </c>
      <c r="AQ110" s="95" t="str">
        <f t="shared" si="98"/>
        <v/>
      </c>
      <c r="AR110" s="95" t="str">
        <f t="shared" si="98"/>
        <v/>
      </c>
      <c r="AS110" s="95" t="str">
        <f t="shared" si="98"/>
        <v/>
      </c>
      <c r="AT110" s="95" t="str">
        <f t="shared" si="98"/>
        <v/>
      </c>
      <c r="AU110" s="95" t="str">
        <f t="shared" si="98"/>
        <v/>
      </c>
      <c r="AV110" s="95" t="str">
        <f t="shared" si="98"/>
        <v/>
      </c>
      <c r="AW110" s="95" t="str">
        <f t="shared" si="98"/>
        <v/>
      </c>
      <c r="AX110" s="95" t="str">
        <f t="shared" si="98"/>
        <v/>
      </c>
      <c r="AY110" s="95" t="str">
        <f t="shared" si="98"/>
        <v/>
      </c>
      <c r="AZ110" s="95" t="str">
        <f t="shared" si="98"/>
        <v/>
      </c>
      <c r="BA110" s="95" t="str">
        <f t="shared" si="98"/>
        <v/>
      </c>
      <c r="BB110" s="95" t="str">
        <f t="shared" si="98"/>
        <v/>
      </c>
      <c r="BC110" s="95" t="str">
        <f t="shared" si="98"/>
        <v/>
      </c>
      <c r="BD110" s="95" t="str">
        <f t="shared" si="98"/>
        <v/>
      </c>
      <c r="BE110" s="95" t="str">
        <f t="shared" si="98"/>
        <v/>
      </c>
      <c r="BF110" s="95" t="str">
        <f t="shared" si="98"/>
        <v/>
      </c>
      <c r="BG110" s="95" t="str">
        <f t="shared" si="98"/>
        <v/>
      </c>
      <c r="BH110" s="95" t="str">
        <f t="shared" si="98"/>
        <v/>
      </c>
      <c r="BI110" s="95" t="str">
        <f t="shared" si="98"/>
        <v/>
      </c>
      <c r="BJ110" s="95" t="str">
        <f t="shared" si="98"/>
        <v/>
      </c>
      <c r="BK110" s="95" t="str">
        <f t="shared" si="98"/>
        <v/>
      </c>
      <c r="BL110" s="95" t="str">
        <f t="shared" si="98"/>
        <v/>
      </c>
      <c r="BM110" s="95" t="str">
        <f t="shared" si="98"/>
        <v/>
      </c>
      <c r="BN110" s="95" t="str">
        <f t="shared" si="98"/>
        <v/>
      </c>
      <c r="BO110" s="95" t="str">
        <f t="shared" si="98"/>
        <v/>
      </c>
      <c r="BP110" s="95" t="str">
        <f t="shared" si="98"/>
        <v/>
      </c>
      <c r="BQ110" s="95" t="str">
        <f t="shared" ref="BQ110:CM110" si="99">IF(BQ225&lt;&gt;"",BQ225,"")</f>
        <v/>
      </c>
      <c r="BR110" s="95" t="str">
        <f t="shared" si="99"/>
        <v/>
      </c>
      <c r="BS110" s="95" t="str">
        <f t="shared" si="99"/>
        <v/>
      </c>
      <c r="BT110" s="95" t="str">
        <f t="shared" si="99"/>
        <v/>
      </c>
      <c r="BU110" s="95" t="str">
        <f t="shared" si="99"/>
        <v/>
      </c>
      <c r="BV110" s="95" t="str">
        <f t="shared" si="99"/>
        <v/>
      </c>
      <c r="BW110" s="95" t="str">
        <f t="shared" si="99"/>
        <v/>
      </c>
      <c r="BX110" s="95" t="str">
        <f t="shared" si="99"/>
        <v/>
      </c>
      <c r="BY110" s="95" t="str">
        <f t="shared" si="99"/>
        <v/>
      </c>
      <c r="BZ110" s="95" t="str">
        <f t="shared" si="99"/>
        <v/>
      </c>
      <c r="CA110" s="95" t="str">
        <f t="shared" si="99"/>
        <v/>
      </c>
      <c r="CB110" s="95" t="str">
        <f t="shared" si="99"/>
        <v/>
      </c>
      <c r="CC110" s="95" t="str">
        <f t="shared" si="99"/>
        <v/>
      </c>
      <c r="CD110" s="95" t="str">
        <f t="shared" si="99"/>
        <v/>
      </c>
      <c r="CE110" s="95" t="str">
        <f t="shared" si="99"/>
        <v/>
      </c>
      <c r="CF110" s="95" t="str">
        <f t="shared" si="99"/>
        <v/>
      </c>
      <c r="CG110" s="95" t="str">
        <f t="shared" si="99"/>
        <v/>
      </c>
      <c r="CH110" s="95" t="str">
        <f t="shared" si="99"/>
        <v/>
      </c>
      <c r="CI110" s="95" t="str">
        <f t="shared" si="99"/>
        <v/>
      </c>
      <c r="CJ110" s="95" t="str">
        <f t="shared" si="99"/>
        <v/>
      </c>
      <c r="CK110" s="95" t="str">
        <f t="shared" si="99"/>
        <v/>
      </c>
      <c r="CL110" s="95" t="str">
        <f t="shared" si="99"/>
        <v/>
      </c>
      <c r="CM110" s="95" t="str">
        <f t="shared" si="99"/>
        <v/>
      </c>
      <c r="CN110" s="95" t="str">
        <f t="shared" ref="CN110:DQ110" si="100">IF(CN225&lt;&gt;"",CN225,"")</f>
        <v/>
      </c>
      <c r="CO110" s="95" t="str">
        <f t="shared" si="100"/>
        <v/>
      </c>
      <c r="CP110" s="95" t="str">
        <f t="shared" si="100"/>
        <v/>
      </c>
      <c r="CQ110" s="95" t="str">
        <f t="shared" si="100"/>
        <v/>
      </c>
      <c r="CR110" s="95" t="str">
        <f t="shared" si="100"/>
        <v/>
      </c>
      <c r="CS110" s="95" t="str">
        <f t="shared" si="100"/>
        <v/>
      </c>
      <c r="CT110" s="95" t="str">
        <f t="shared" si="100"/>
        <v/>
      </c>
      <c r="CU110" s="95" t="str">
        <f t="shared" si="100"/>
        <v/>
      </c>
      <c r="CV110" s="95" t="str">
        <f t="shared" si="100"/>
        <v/>
      </c>
      <c r="CW110" s="95" t="str">
        <f t="shared" si="100"/>
        <v/>
      </c>
      <c r="CX110" s="95" t="str">
        <f t="shared" si="100"/>
        <v/>
      </c>
      <c r="CY110" s="95" t="str">
        <f t="shared" si="100"/>
        <v/>
      </c>
      <c r="CZ110" s="95" t="str">
        <f>IF(CZ225&lt;&gt;"",CZ225,"")</f>
        <v/>
      </c>
      <c r="DA110" s="95" t="str">
        <f>IF(DA225&lt;&gt;"",DA225,"")</f>
        <v/>
      </c>
      <c r="DB110" s="95" t="str">
        <f>IF(DB225&lt;&gt;"",DB225,"")</f>
        <v/>
      </c>
      <c r="DC110" s="95" t="str">
        <f t="shared" si="100"/>
        <v/>
      </c>
      <c r="DD110" s="95" t="str">
        <f t="shared" si="100"/>
        <v/>
      </c>
      <c r="DE110" s="138"/>
      <c r="DF110" s="95" t="str">
        <f t="shared" si="100"/>
        <v/>
      </c>
      <c r="DG110" s="95" t="str">
        <f t="shared" si="100"/>
        <v/>
      </c>
      <c r="DH110" s="138" t="str">
        <f t="shared" si="100"/>
        <v/>
      </c>
      <c r="DI110" s="95" t="str">
        <f t="shared" si="100"/>
        <v/>
      </c>
      <c r="DJ110" s="95" t="str">
        <f t="shared" si="100"/>
        <v/>
      </c>
      <c r="DK110" s="138" t="str">
        <f t="shared" si="100"/>
        <v/>
      </c>
      <c r="DL110" s="95" t="str">
        <f t="shared" si="100"/>
        <v/>
      </c>
      <c r="DM110" s="95" t="str">
        <f t="shared" si="100"/>
        <v/>
      </c>
      <c r="DN110" s="138" t="str">
        <f t="shared" si="100"/>
        <v/>
      </c>
      <c r="DO110" s="95" t="str">
        <f t="shared" si="100"/>
        <v/>
      </c>
      <c r="DP110" s="95" t="str">
        <f t="shared" si="100"/>
        <v/>
      </c>
      <c r="DQ110" s="138" t="str">
        <f t="shared" si="100"/>
        <v/>
      </c>
      <c r="DR110" s="95" t="str">
        <f t="shared" ref="DR110:DZ110" si="101">IF(DR225&lt;&gt;"",DR225,"")</f>
        <v/>
      </c>
      <c r="DS110" s="95" t="str">
        <f t="shared" si="101"/>
        <v/>
      </c>
      <c r="DT110" s="138" t="str">
        <f t="shared" si="101"/>
        <v/>
      </c>
      <c r="DU110" s="95" t="str">
        <f t="shared" si="101"/>
        <v/>
      </c>
      <c r="DV110" s="95" t="str">
        <f>IF(DV225&lt;&gt;"",DV225,"")</f>
        <v/>
      </c>
      <c r="DW110" s="138" t="str">
        <f>IF(DW225&lt;&gt;"",DW225,"")</f>
        <v/>
      </c>
      <c r="DX110" s="95" t="str">
        <f t="shared" si="101"/>
        <v/>
      </c>
      <c r="DY110" s="95" t="str">
        <f>IF(DY225&lt;&gt;"",DY225,"")</f>
        <v/>
      </c>
      <c r="DZ110" s="138" t="str">
        <f t="shared" si="101"/>
        <v/>
      </c>
      <c r="EA110" s="95" t="str">
        <f t="shared" ref="EA110:EF110" si="102">IF(EA225&lt;&gt;"",EA225,"")</f>
        <v/>
      </c>
      <c r="EB110" s="95" t="str">
        <f t="shared" si="102"/>
        <v/>
      </c>
      <c r="EC110" s="138" t="str">
        <f t="shared" si="102"/>
        <v/>
      </c>
      <c r="ED110" s="95" t="str">
        <f t="shared" si="102"/>
        <v/>
      </c>
      <c r="EE110" s="95" t="str">
        <f t="shared" si="102"/>
        <v/>
      </c>
      <c r="EF110" s="138" t="str">
        <f t="shared" si="102"/>
        <v/>
      </c>
      <c r="EG110" s="95" t="str">
        <f t="shared" ref="EG110:EL110" si="103">IF(EG225&lt;&gt;"",EG225,"")</f>
        <v/>
      </c>
      <c r="EH110" s="95" t="str">
        <f t="shared" si="103"/>
        <v/>
      </c>
      <c r="EI110" s="138" t="str">
        <f t="shared" si="103"/>
        <v/>
      </c>
      <c r="EJ110" s="95" t="str">
        <f t="shared" si="103"/>
        <v/>
      </c>
      <c r="EK110" s="95" t="str">
        <f t="shared" si="103"/>
        <v/>
      </c>
      <c r="EL110" s="138" t="str">
        <f t="shared" si="103"/>
        <v/>
      </c>
      <c r="EM110" s="95" t="str">
        <f t="shared" ref="EM110:ER110" si="104">IF(EM225&lt;&gt;"",EM225,"")</f>
        <v/>
      </c>
      <c r="EN110" s="95" t="str">
        <f t="shared" si="104"/>
        <v/>
      </c>
      <c r="EO110" s="138" t="str">
        <f t="shared" si="104"/>
        <v/>
      </c>
      <c r="EP110" s="95" t="str">
        <f t="shared" si="104"/>
        <v/>
      </c>
      <c r="EQ110" s="95" t="str">
        <f t="shared" si="104"/>
        <v/>
      </c>
      <c r="ER110" s="138" t="str">
        <f t="shared" si="104"/>
        <v/>
      </c>
      <c r="ES110" s="95" t="str">
        <f t="shared" ref="ES110:FA110" si="105">IF(ES225&lt;&gt;"",ES225,"")</f>
        <v/>
      </c>
      <c r="ET110" s="95" t="str">
        <f t="shared" si="105"/>
        <v/>
      </c>
      <c r="EU110" s="138" t="str">
        <f t="shared" si="105"/>
        <v/>
      </c>
      <c r="EV110" s="95" t="str">
        <f t="shared" si="105"/>
        <v/>
      </c>
      <c r="EW110" s="95" t="str">
        <f t="shared" si="105"/>
        <v/>
      </c>
      <c r="EX110" s="138" t="str">
        <f t="shared" si="105"/>
        <v/>
      </c>
      <c r="EY110" s="95" t="str">
        <f t="shared" si="105"/>
        <v/>
      </c>
      <c r="EZ110" s="95" t="str">
        <f t="shared" si="105"/>
        <v/>
      </c>
      <c r="FA110" s="138" t="str">
        <f t="shared" si="105"/>
        <v/>
      </c>
    </row>
    <row r="111" spans="1:157" ht="13.35" customHeight="1">
      <c r="A111" s="3"/>
      <c r="B111" s="4" t="s">
        <v>482</v>
      </c>
      <c r="C111" s="4"/>
      <c r="D111" s="4"/>
      <c r="E111" s="82"/>
      <c r="F111" s="8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c r="AV111" s="82"/>
      <c r="AW111" s="82"/>
      <c r="AX111" s="82"/>
      <c r="AY111" s="82"/>
      <c r="AZ111" s="82"/>
      <c r="BA111" s="7"/>
      <c r="BB111" s="95"/>
      <c r="BC111" s="102"/>
      <c r="BD111" s="102"/>
      <c r="BE111" s="82"/>
      <c r="BF111" s="82"/>
      <c r="BG111" s="82"/>
      <c r="BH111" s="82"/>
      <c r="BI111" s="82"/>
      <c r="BJ111" s="82"/>
      <c r="BK111" s="82"/>
      <c r="BL111" s="82"/>
      <c r="BM111" s="82"/>
      <c r="BN111" s="82"/>
      <c r="BO111" s="82"/>
      <c r="BP111" s="82"/>
      <c r="BQ111" s="82"/>
      <c r="BR111" s="82"/>
      <c r="BS111" s="82"/>
      <c r="BT111" s="82"/>
      <c r="BU111" s="82"/>
      <c r="BV111" s="82"/>
      <c r="BW111" s="82"/>
      <c r="BX111" s="82"/>
      <c r="BY111" s="82"/>
      <c r="BZ111" s="82"/>
      <c r="CA111" s="82"/>
      <c r="CB111" s="82"/>
      <c r="CC111" s="82"/>
      <c r="CD111" s="82"/>
      <c r="CE111" s="82"/>
      <c r="CF111" s="82"/>
      <c r="CG111" s="82"/>
      <c r="CH111" s="82"/>
      <c r="CI111" s="82"/>
      <c r="CJ111" s="82"/>
      <c r="CK111" s="82"/>
      <c r="CL111" s="82"/>
      <c r="CM111" s="82"/>
      <c r="CN111" s="82"/>
      <c r="CO111" s="82"/>
      <c r="CP111" s="82"/>
      <c r="CQ111" s="82"/>
      <c r="CR111" s="82"/>
      <c r="CS111" s="82"/>
      <c r="CT111" s="82"/>
      <c r="CU111" s="82"/>
      <c r="CV111" s="82"/>
      <c r="CW111" s="82"/>
      <c r="CX111" s="82"/>
      <c r="CY111" s="82"/>
      <c r="CZ111" s="82"/>
      <c r="DA111" s="82"/>
      <c r="DB111" s="82"/>
      <c r="DC111" s="82"/>
      <c r="DD111" s="82"/>
      <c r="DE111" s="138"/>
      <c r="DF111" s="82"/>
      <c r="DG111" s="82"/>
      <c r="DH111" s="138"/>
      <c r="DI111" s="82"/>
      <c r="DJ111" s="82"/>
      <c r="DK111" s="138"/>
      <c r="DL111" s="82"/>
      <c r="DM111" s="82"/>
      <c r="DN111" s="138"/>
      <c r="DO111" s="82"/>
      <c r="DP111" s="82"/>
      <c r="DQ111" s="138"/>
      <c r="DR111" s="82"/>
      <c r="DS111" s="82"/>
      <c r="DT111" s="138"/>
      <c r="DU111" s="82"/>
      <c r="DV111" s="82"/>
      <c r="DW111" s="138"/>
      <c r="DX111" s="82"/>
      <c r="DY111" s="82"/>
      <c r="DZ111" s="138"/>
      <c r="EA111" s="82"/>
      <c r="EB111" s="82"/>
      <c r="EC111" s="138"/>
      <c r="ED111" s="82"/>
      <c r="EE111" s="82"/>
      <c r="EF111" s="138"/>
      <c r="EG111" s="82"/>
      <c r="EH111" s="82"/>
      <c r="EI111" s="138"/>
      <c r="EJ111" s="82"/>
      <c r="EK111" s="82"/>
      <c r="EL111" s="138"/>
      <c r="EM111" s="82"/>
      <c r="EN111" s="82"/>
      <c r="EO111" s="138"/>
      <c r="EP111" s="82"/>
      <c r="EQ111" s="82"/>
      <c r="ER111" s="138"/>
      <c r="ES111" s="82"/>
      <c r="ET111" s="82"/>
      <c r="EU111" s="138"/>
      <c r="EV111" s="82"/>
      <c r="EW111" s="82"/>
      <c r="EX111" s="138"/>
      <c r="EY111" s="82"/>
      <c r="EZ111" s="82"/>
      <c r="FA111" s="138"/>
    </row>
    <row r="112" spans="1:157" ht="13.35" customHeight="1">
      <c r="A112" s="3"/>
      <c r="B112" s="3"/>
      <c r="C112" s="3" t="s">
        <v>483</v>
      </c>
      <c r="D112" s="3"/>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84"/>
      <c r="AG112" s="84"/>
      <c r="AH112" s="84"/>
      <c r="AI112" s="84"/>
      <c r="AJ112" s="84"/>
      <c r="AK112" s="84"/>
      <c r="AL112" s="84"/>
      <c r="AM112" s="84"/>
      <c r="AN112" s="84"/>
      <c r="AO112" s="84"/>
      <c r="AP112" s="84"/>
      <c r="AQ112" s="84"/>
      <c r="AR112" s="84"/>
      <c r="AS112" s="84"/>
      <c r="AT112" s="84"/>
      <c r="AU112" s="84"/>
      <c r="AV112" s="84"/>
      <c r="AW112" s="84"/>
      <c r="AX112" s="84"/>
      <c r="AY112" s="84"/>
      <c r="AZ112" s="84"/>
      <c r="BA112" s="95" t="str">
        <f t="shared" ref="BA112:CF112" si="106">IF(AND(BA110&lt;&gt;"",BA111&lt;&gt;""),BA110+BA111,"")</f>
        <v/>
      </c>
      <c r="BB112" s="95" t="str">
        <f t="shared" si="106"/>
        <v/>
      </c>
      <c r="BC112" s="95" t="str">
        <f t="shared" si="106"/>
        <v/>
      </c>
      <c r="BD112" s="95" t="str">
        <f t="shared" si="106"/>
        <v/>
      </c>
      <c r="BE112" s="95" t="str">
        <f t="shared" si="106"/>
        <v/>
      </c>
      <c r="BF112" s="95" t="str">
        <f t="shared" si="106"/>
        <v/>
      </c>
      <c r="BG112" s="95" t="str">
        <f t="shared" si="106"/>
        <v/>
      </c>
      <c r="BH112" s="95" t="str">
        <f t="shared" si="106"/>
        <v/>
      </c>
      <c r="BI112" s="95" t="str">
        <f t="shared" si="106"/>
        <v/>
      </c>
      <c r="BJ112" s="95" t="str">
        <f t="shared" si="106"/>
        <v/>
      </c>
      <c r="BK112" s="95" t="str">
        <f t="shared" si="106"/>
        <v/>
      </c>
      <c r="BL112" s="95" t="str">
        <f t="shared" si="106"/>
        <v/>
      </c>
      <c r="BM112" s="95" t="str">
        <f t="shared" si="106"/>
        <v/>
      </c>
      <c r="BN112" s="95" t="str">
        <f t="shared" si="106"/>
        <v/>
      </c>
      <c r="BO112" s="95" t="str">
        <f t="shared" si="106"/>
        <v/>
      </c>
      <c r="BP112" s="95" t="str">
        <f t="shared" si="106"/>
        <v/>
      </c>
      <c r="BQ112" s="95" t="str">
        <f t="shared" si="106"/>
        <v/>
      </c>
      <c r="BR112" s="95" t="str">
        <f t="shared" si="106"/>
        <v/>
      </c>
      <c r="BS112" s="95" t="str">
        <f t="shared" si="106"/>
        <v/>
      </c>
      <c r="BT112" s="95" t="str">
        <f t="shared" si="106"/>
        <v/>
      </c>
      <c r="BU112" s="95" t="str">
        <f t="shared" si="106"/>
        <v/>
      </c>
      <c r="BV112" s="95" t="str">
        <f t="shared" si="106"/>
        <v/>
      </c>
      <c r="BW112" s="95" t="str">
        <f t="shared" si="106"/>
        <v/>
      </c>
      <c r="BX112" s="95" t="str">
        <f t="shared" si="106"/>
        <v/>
      </c>
      <c r="BY112" s="95" t="str">
        <f t="shared" si="106"/>
        <v/>
      </c>
      <c r="BZ112" s="95" t="str">
        <f t="shared" si="106"/>
        <v/>
      </c>
      <c r="CA112" s="95" t="str">
        <f t="shared" si="106"/>
        <v/>
      </c>
      <c r="CB112" s="95" t="str">
        <f t="shared" si="106"/>
        <v/>
      </c>
      <c r="CC112" s="95" t="str">
        <f t="shared" si="106"/>
        <v/>
      </c>
      <c r="CD112" s="95" t="str">
        <f t="shared" si="106"/>
        <v/>
      </c>
      <c r="CE112" s="95" t="str">
        <f t="shared" si="106"/>
        <v/>
      </c>
      <c r="CF112" s="95" t="str">
        <f t="shared" si="106"/>
        <v/>
      </c>
      <c r="CG112" s="95" t="str">
        <f t="shared" ref="CG112:DQ112" si="107">IF(AND(CG110&lt;&gt;"",CG111&lt;&gt;""),CG110+CG111,"")</f>
        <v/>
      </c>
      <c r="CH112" s="95" t="str">
        <f t="shared" si="107"/>
        <v/>
      </c>
      <c r="CI112" s="95" t="str">
        <f t="shared" si="107"/>
        <v/>
      </c>
      <c r="CJ112" s="95" t="str">
        <f t="shared" si="107"/>
        <v/>
      </c>
      <c r="CK112" s="95" t="str">
        <f t="shared" si="107"/>
        <v/>
      </c>
      <c r="CL112" s="95" t="str">
        <f t="shared" si="107"/>
        <v/>
      </c>
      <c r="CM112" s="95" t="str">
        <f t="shared" si="107"/>
        <v/>
      </c>
      <c r="CN112" s="95" t="str">
        <f t="shared" si="107"/>
        <v/>
      </c>
      <c r="CO112" s="95" t="str">
        <f t="shared" si="107"/>
        <v/>
      </c>
      <c r="CP112" s="95" t="str">
        <f t="shared" si="107"/>
        <v/>
      </c>
      <c r="CQ112" s="95" t="str">
        <f t="shared" si="107"/>
        <v/>
      </c>
      <c r="CR112" s="95" t="str">
        <f t="shared" si="107"/>
        <v/>
      </c>
      <c r="CS112" s="95" t="str">
        <f t="shared" si="107"/>
        <v/>
      </c>
      <c r="CT112" s="95" t="str">
        <f t="shared" si="107"/>
        <v/>
      </c>
      <c r="CU112" s="95" t="str">
        <f t="shared" si="107"/>
        <v/>
      </c>
      <c r="CV112" s="95" t="str">
        <f t="shared" si="107"/>
        <v/>
      </c>
      <c r="CW112" s="95" t="str">
        <f t="shared" si="107"/>
        <v/>
      </c>
      <c r="CX112" s="95" t="str">
        <f t="shared" si="107"/>
        <v/>
      </c>
      <c r="CY112" s="95" t="str">
        <f t="shared" si="107"/>
        <v/>
      </c>
      <c r="CZ112" s="95" t="str">
        <f>IF(AND(CZ110&lt;&gt;"",CZ111&lt;&gt;""),CZ110+CZ111,"")</f>
        <v/>
      </c>
      <c r="DA112" s="95" t="str">
        <f>IF(AND(DA110&lt;&gt;"",DA111&lt;&gt;""),DA110+DA111,"")</f>
        <v/>
      </c>
      <c r="DB112" s="95" t="str">
        <f>IF(AND(DB110&lt;&gt;"",DB111&lt;&gt;""),DB110+DB111,"")</f>
        <v/>
      </c>
      <c r="DC112" s="95"/>
      <c r="DD112" s="95" t="str">
        <f t="shared" si="107"/>
        <v/>
      </c>
      <c r="DE112" s="138" t="str">
        <f t="shared" si="107"/>
        <v/>
      </c>
      <c r="DF112" s="95" t="str">
        <f t="shared" si="107"/>
        <v/>
      </c>
      <c r="DG112" s="95" t="str">
        <f t="shared" si="107"/>
        <v/>
      </c>
      <c r="DH112" s="138" t="str">
        <f t="shared" si="107"/>
        <v/>
      </c>
      <c r="DI112" s="95" t="str">
        <f t="shared" si="107"/>
        <v/>
      </c>
      <c r="DJ112" s="95" t="str">
        <f t="shared" si="107"/>
        <v/>
      </c>
      <c r="DK112" s="138" t="str">
        <f t="shared" si="107"/>
        <v/>
      </c>
      <c r="DL112" s="95" t="str">
        <f t="shared" si="107"/>
        <v/>
      </c>
      <c r="DM112" s="95" t="str">
        <f t="shared" si="107"/>
        <v/>
      </c>
      <c r="DN112" s="138" t="str">
        <f t="shared" si="107"/>
        <v/>
      </c>
      <c r="DO112" s="95" t="str">
        <f t="shared" si="107"/>
        <v/>
      </c>
      <c r="DP112" s="95" t="str">
        <f t="shared" si="107"/>
        <v/>
      </c>
      <c r="DQ112" s="138" t="str">
        <f t="shared" si="107"/>
        <v/>
      </c>
      <c r="DR112" s="95" t="str">
        <f t="shared" ref="DR112:DZ112" si="108">IF(AND(DR110&lt;&gt;"",DR111&lt;&gt;""),DR110+DR111,"")</f>
        <v/>
      </c>
      <c r="DS112" s="95" t="str">
        <f t="shared" si="108"/>
        <v/>
      </c>
      <c r="DT112" s="138" t="str">
        <f t="shared" si="108"/>
        <v/>
      </c>
      <c r="DU112" s="95" t="str">
        <f t="shared" si="108"/>
        <v/>
      </c>
      <c r="DV112" s="95" t="str">
        <f>IF(AND(DV110&lt;&gt;"",DV111&lt;&gt;""),DV110+DV111,"")</f>
        <v/>
      </c>
      <c r="DW112" s="138" t="str">
        <f>IF(AND(DW110&lt;&gt;"",DW111&lt;&gt;""),DW110+DW111,"")</f>
        <v/>
      </c>
      <c r="DX112" s="95" t="str">
        <f t="shared" si="108"/>
        <v/>
      </c>
      <c r="DY112" s="95" t="str">
        <f t="shared" si="108"/>
        <v/>
      </c>
      <c r="DZ112" s="138" t="str">
        <f t="shared" si="108"/>
        <v/>
      </c>
      <c r="EA112" s="95" t="str">
        <f t="shared" ref="EA112:EF112" si="109">IF(AND(EA110&lt;&gt;"",EA111&lt;&gt;""),EA110+EA111,"")</f>
        <v/>
      </c>
      <c r="EB112" s="95" t="str">
        <f t="shared" si="109"/>
        <v/>
      </c>
      <c r="EC112" s="138" t="str">
        <f t="shared" si="109"/>
        <v/>
      </c>
      <c r="ED112" s="95" t="str">
        <f t="shared" si="109"/>
        <v/>
      </c>
      <c r="EE112" s="95" t="str">
        <f t="shared" si="109"/>
        <v/>
      </c>
      <c r="EF112" s="138" t="str">
        <f t="shared" si="109"/>
        <v/>
      </c>
      <c r="EG112" s="95" t="str">
        <f t="shared" ref="EG112:EL112" si="110">IF(AND(EG110&lt;&gt;"",EG111&lt;&gt;""),EG110+EG111,"")</f>
        <v/>
      </c>
      <c r="EH112" s="95" t="str">
        <f t="shared" si="110"/>
        <v/>
      </c>
      <c r="EI112" s="138" t="str">
        <f t="shared" si="110"/>
        <v/>
      </c>
      <c r="EJ112" s="95" t="str">
        <f t="shared" si="110"/>
        <v/>
      </c>
      <c r="EK112" s="95" t="str">
        <f t="shared" si="110"/>
        <v/>
      </c>
      <c r="EL112" s="138" t="str">
        <f t="shared" si="110"/>
        <v/>
      </c>
      <c r="EM112" s="95" t="str">
        <f t="shared" ref="EM112:ER112" si="111">IF(AND(EM110&lt;&gt;"",EM111&lt;&gt;""),EM110+EM111,"")</f>
        <v/>
      </c>
      <c r="EN112" s="95" t="str">
        <f t="shared" si="111"/>
        <v/>
      </c>
      <c r="EO112" s="138" t="str">
        <f t="shared" si="111"/>
        <v/>
      </c>
      <c r="EP112" s="95" t="str">
        <f t="shared" si="111"/>
        <v/>
      </c>
      <c r="EQ112" s="95" t="str">
        <f t="shared" si="111"/>
        <v/>
      </c>
      <c r="ER112" s="138" t="str">
        <f t="shared" si="111"/>
        <v/>
      </c>
      <c r="ES112" s="95" t="str">
        <f t="shared" ref="ES112:FA112" si="112">IF(AND(ES110&lt;&gt;"",ES111&lt;&gt;""),ES110+ES111,"")</f>
        <v/>
      </c>
      <c r="ET112" s="95" t="str">
        <f t="shared" si="112"/>
        <v/>
      </c>
      <c r="EU112" s="138" t="str">
        <f t="shared" si="112"/>
        <v/>
      </c>
      <c r="EV112" s="95" t="str">
        <f t="shared" si="112"/>
        <v/>
      </c>
      <c r="EW112" s="95" t="str">
        <f t="shared" si="112"/>
        <v/>
      </c>
      <c r="EX112" s="138" t="str">
        <f t="shared" si="112"/>
        <v/>
      </c>
      <c r="EY112" s="95" t="str">
        <f t="shared" si="112"/>
        <v/>
      </c>
      <c r="EZ112" s="95" t="str">
        <f t="shared" si="112"/>
        <v/>
      </c>
      <c r="FA112" s="138" t="str">
        <f t="shared" si="112"/>
        <v/>
      </c>
    </row>
    <row r="113" spans="1:157" ht="13.35" customHeight="1">
      <c r="A113" s="3"/>
      <c r="B113" s="4" t="s">
        <v>484</v>
      </c>
      <c r="C113" s="4"/>
      <c r="D113" s="97"/>
      <c r="E113" s="97"/>
      <c r="F113" s="97"/>
      <c r="G113" s="97"/>
      <c r="H113" s="97"/>
      <c r="I113" s="97"/>
      <c r="J113" s="97"/>
      <c r="K113" s="97"/>
      <c r="L113" s="97"/>
      <c r="M113" s="97"/>
      <c r="N113" s="97"/>
      <c r="O113" s="97"/>
      <c r="P113" s="97"/>
      <c r="Q113" s="97"/>
      <c r="R113" s="97"/>
      <c r="S113" s="97"/>
      <c r="T113" s="97"/>
      <c r="U113" s="97"/>
      <c r="V113" s="97"/>
      <c r="W113" s="97"/>
      <c r="X113" s="97"/>
      <c r="Y113" s="97"/>
      <c r="Z113" s="97"/>
      <c r="AA113" s="97"/>
      <c r="AB113" s="97"/>
      <c r="AC113" s="97"/>
      <c r="AD113" s="97"/>
      <c r="AE113" s="97"/>
      <c r="AF113" s="97"/>
      <c r="AG113" s="97"/>
      <c r="AH113" s="97"/>
      <c r="AI113" s="97"/>
      <c r="AJ113" s="97"/>
      <c r="AK113" s="97"/>
      <c r="AL113" s="97"/>
      <c r="AM113" s="97"/>
      <c r="AN113" s="97"/>
      <c r="AO113" s="97"/>
      <c r="AP113" s="97"/>
      <c r="AQ113" s="97"/>
      <c r="AR113" s="97"/>
      <c r="AS113" s="97"/>
      <c r="AT113" s="97"/>
      <c r="AU113" s="97"/>
      <c r="AV113" s="97"/>
      <c r="AW113" s="97"/>
      <c r="AX113" s="97"/>
      <c r="AY113" s="97"/>
      <c r="AZ113" s="97"/>
      <c r="BA113" s="107"/>
      <c r="BB113" s="99"/>
      <c r="BC113" s="98"/>
      <c r="BD113" s="98"/>
      <c r="BE113" s="97"/>
      <c r="BF113" s="97"/>
      <c r="BG113" s="97"/>
      <c r="BH113" s="97"/>
      <c r="BI113" s="97"/>
      <c r="BJ113" s="97"/>
      <c r="BK113" s="97"/>
      <c r="BL113" s="97"/>
      <c r="BM113" s="97"/>
      <c r="BN113" s="97"/>
      <c r="BO113" s="97"/>
      <c r="BP113" s="97"/>
      <c r="BQ113" s="97"/>
      <c r="BR113" s="97"/>
      <c r="BS113" s="97"/>
      <c r="BT113" s="97"/>
      <c r="BU113" s="97"/>
      <c r="BV113" s="97"/>
      <c r="BW113" s="97"/>
      <c r="BX113" s="97"/>
      <c r="BY113" s="97"/>
      <c r="BZ113" s="97"/>
      <c r="CA113" s="97"/>
      <c r="CB113" s="97"/>
      <c r="CC113" s="97"/>
      <c r="CD113" s="97"/>
      <c r="CE113" s="97"/>
      <c r="CF113" s="97"/>
      <c r="CG113" s="97"/>
      <c r="CH113" s="97"/>
      <c r="CI113" s="97"/>
      <c r="CJ113" s="97"/>
      <c r="CK113" s="97"/>
      <c r="CL113" s="97"/>
      <c r="CM113" s="97"/>
      <c r="CN113" s="97"/>
      <c r="CO113" s="97"/>
      <c r="CP113" s="97"/>
      <c r="CQ113" s="97"/>
      <c r="CR113" s="97"/>
      <c r="CS113" s="97"/>
      <c r="CT113" s="97"/>
      <c r="CU113" s="97"/>
      <c r="CV113" s="97"/>
      <c r="CW113" s="97"/>
      <c r="CX113" s="97"/>
      <c r="CY113" s="97"/>
      <c r="CZ113" s="97"/>
      <c r="DA113" s="97"/>
      <c r="DB113" s="97"/>
      <c r="DC113" s="97"/>
      <c r="DD113" s="97"/>
      <c r="DE113" s="149"/>
      <c r="DF113" s="97"/>
      <c r="DG113" s="97"/>
      <c r="DH113" s="149"/>
      <c r="DI113" s="97"/>
      <c r="DJ113" s="97"/>
      <c r="DK113" s="149"/>
      <c r="DL113" s="97"/>
      <c r="DM113" s="97"/>
      <c r="DN113" s="149"/>
      <c r="DO113" s="97"/>
      <c r="DP113" s="97"/>
      <c r="DQ113" s="149"/>
      <c r="DR113" s="97"/>
      <c r="DS113" s="97"/>
      <c r="DT113" s="149"/>
      <c r="DU113" s="97"/>
      <c r="DV113" s="97"/>
      <c r="DW113" s="149"/>
      <c r="DX113" s="97"/>
      <c r="DY113" s="97"/>
      <c r="DZ113" s="149"/>
      <c r="EA113" s="97"/>
      <c r="EB113" s="97"/>
      <c r="EC113" s="149"/>
      <c r="ED113" s="97"/>
      <c r="EE113" s="97"/>
      <c r="EF113" s="149"/>
      <c r="EG113" s="97"/>
      <c r="EH113" s="97"/>
      <c r="EI113" s="149"/>
      <c r="EJ113" s="97"/>
      <c r="EK113" s="97"/>
      <c r="EL113" s="149"/>
      <c r="EM113" s="97"/>
      <c r="EN113" s="97"/>
      <c r="EO113" s="149"/>
      <c r="EP113" s="97"/>
      <c r="EQ113" s="97"/>
      <c r="ER113" s="149"/>
      <c r="ES113" s="97"/>
      <c r="ET113" s="97"/>
      <c r="EU113" s="149"/>
      <c r="EV113" s="97"/>
      <c r="EW113" s="97"/>
      <c r="EX113" s="149"/>
      <c r="EY113" s="97"/>
      <c r="EZ113" s="97"/>
      <c r="FA113" s="149"/>
    </row>
    <row r="114" spans="1:157" ht="13.35" customHeight="1">
      <c r="A114" s="3"/>
      <c r="B114" s="4" t="s">
        <v>496</v>
      </c>
      <c r="C114" s="4"/>
      <c r="D114" s="3"/>
      <c r="E114" s="82"/>
      <c r="F114" s="82"/>
      <c r="G114" s="82"/>
      <c r="H114" s="95" t="str">
        <f>IF(ISERROR(Model!H167),"",IF(Model!H167&lt;&gt;"",Model!H167,""))</f>
        <v/>
      </c>
      <c r="I114" s="95" t="str">
        <f>IF(ISERROR(Model!I167),"",IF(Model!I167&lt;&gt;"",Model!I167,""))</f>
        <v/>
      </c>
      <c r="J114" s="95" t="str">
        <f>IF(ISERROR(Model!J167),"",IF(Model!J167&lt;&gt;"",Model!J167,""))</f>
        <v/>
      </c>
      <c r="K114" s="95" t="str">
        <f>IF(ISERROR(Model!K167),"",IF(Model!K167&lt;&gt;"",Model!K167,""))</f>
        <v/>
      </c>
      <c r="L114" s="95" t="str">
        <f>IF(ISERROR(Model!L167),"",IF(Model!L167&lt;&gt;"",Model!L167,""))</f>
        <v/>
      </c>
      <c r="M114" s="95" t="str">
        <f>IF(ISERROR(Model!M167),"",IF(Model!M167&lt;&gt;"",Model!M167,""))</f>
        <v/>
      </c>
      <c r="N114" s="95" t="str">
        <f>IF(ISERROR(Model!N167),"",IF(Model!N167&lt;&gt;"",Model!N167,""))</f>
        <v/>
      </c>
      <c r="O114" s="95" t="str">
        <f>IF(ISERROR(Model!O167),"",IF(Model!O167&lt;&gt;"",Model!O167,""))</f>
        <v/>
      </c>
      <c r="P114" s="95" t="str">
        <f>IF(ISERROR(Model!P167),"",IF(Model!P167&lt;&gt;"",Model!P167,""))</f>
        <v/>
      </c>
      <c r="Q114" s="95" t="str">
        <f>IF(ISERROR(Model!Q167),"",IF(Model!Q167&lt;&gt;"",Model!Q167,""))</f>
        <v/>
      </c>
      <c r="R114" s="95" t="str">
        <f>IF(ISERROR(Model!R167),"",IF(Model!R167&lt;&gt;"",Model!R167,""))</f>
        <v/>
      </c>
      <c r="S114" s="95" t="str">
        <f>IF(ISERROR(Model!S167),"",IF(Model!S167&lt;&gt;"",Model!S167,""))</f>
        <v/>
      </c>
      <c r="T114" s="95" t="str">
        <f>IF(ISERROR(Model!T167),"",IF(Model!T167&lt;&gt;"",Model!T167,""))</f>
        <v/>
      </c>
      <c r="U114" s="95" t="str">
        <f>IF(ISERROR(Model!U167),"",IF(Model!U167&lt;&gt;"",Model!U167,""))</f>
        <v/>
      </c>
      <c r="V114" s="95" t="str">
        <f>IF(ISERROR(Model!V167),"",IF(Model!V167&lt;&gt;"",Model!V167,""))</f>
        <v/>
      </c>
      <c r="W114" s="95" t="str">
        <f>IF(ISERROR(Model!W167),"",IF(Model!W167&lt;&gt;"",Model!W167,""))</f>
        <v/>
      </c>
      <c r="X114" s="95" t="str">
        <f>IF(ISERROR(Model!X167),"",IF(Model!X167&lt;&gt;"",Model!X167,""))</f>
        <v/>
      </c>
      <c r="Y114" s="95" t="str">
        <f>IF(ISERROR(Model!Y167),"",IF(Model!Y167&lt;&gt;"",Model!Y167,""))</f>
        <v/>
      </c>
      <c r="Z114" s="95" t="str">
        <f>IF(ISERROR(Model!Z167),"",IF(Model!Z167&lt;&gt;"",Model!Z167,""))</f>
        <v/>
      </c>
      <c r="AA114" s="95" t="str">
        <f>IF(ISERROR(Model!AA167),"",IF(Model!AA167&lt;&gt;"",Model!AA167,""))</f>
        <v/>
      </c>
      <c r="AB114" s="95" t="str">
        <f>IF(ISERROR(Model!AB167),"",IF(Model!AB167&lt;&gt;"",Model!AB167,""))</f>
        <v/>
      </c>
      <c r="AC114" s="95" t="str">
        <f>IF(ISERROR(Model!AC167),"",IF(Model!AC167&lt;&gt;"",Model!AC167,""))</f>
        <v/>
      </c>
      <c r="AD114" s="95" t="str">
        <f>IF(ISERROR(Model!AD167),"",IF(Model!AD167&lt;&gt;"",Model!AD167,""))</f>
        <v/>
      </c>
      <c r="AE114" s="95" t="str">
        <f>IF(ISERROR(Model!AE167),"",IF(Model!AE167&lt;&gt;"",Model!AE167,""))</f>
        <v/>
      </c>
      <c r="AF114" s="95" t="str">
        <f>IF(ISERROR(Model!AF167),"",IF(Model!AF167&lt;&gt;"",Model!AF167,""))</f>
        <v/>
      </c>
      <c r="AG114" s="95" t="str">
        <f>IF(ISERROR(Model!AG167),"",IF(Model!AG167&lt;&gt;"",Model!AG167,""))</f>
        <v/>
      </c>
      <c r="AH114" s="95" t="str">
        <f>IF(ISERROR(Model!AH167),"",IF(Model!AH167&lt;&gt;"",Model!AH167,""))</f>
        <v/>
      </c>
      <c r="AI114" s="95" t="str">
        <f>IF(ISERROR(Model!AI167),"",IF(Model!AI167&lt;&gt;"",Model!AI167,""))</f>
        <v/>
      </c>
      <c r="AJ114" s="95" t="str">
        <f>IF(ISERROR(Model!AJ167),"",IF(Model!AJ167&lt;&gt;"",Model!AJ167,""))</f>
        <v/>
      </c>
      <c r="AK114" s="95" t="str">
        <f>IF(ISERROR(Model!AK167),"",IF(Model!AK167&lt;&gt;"",Model!AK167,""))</f>
        <v/>
      </c>
      <c r="AL114" s="95" t="str">
        <f>IF(ISERROR(Model!AL167),"",IF(Model!AL167&lt;&gt;"",Model!AL167,""))</f>
        <v/>
      </c>
      <c r="AM114" s="95" t="str">
        <f>IF(ISERROR(Model!AM167),"",IF(Model!AM167&lt;&gt;"",Model!AM167,""))</f>
        <v/>
      </c>
      <c r="AN114" s="95" t="str">
        <f>IF(ISERROR(Model!AN167),"",IF(Model!AN167&lt;&gt;"",Model!AN167,""))</f>
        <v/>
      </c>
      <c r="AO114" s="95" t="str">
        <f>IF(ISERROR(Model!AO167),"",IF(Model!AO167&lt;&gt;"",Model!AO167,""))</f>
        <v/>
      </c>
      <c r="AP114" s="95" t="str">
        <f>IF(ISERROR(Model!AP167),"",IF(Model!AP167&lt;&gt;"",Model!AP167,""))</f>
        <v/>
      </c>
      <c r="AQ114" s="95" t="str">
        <f>IF(ISERROR(Model!AQ167),"",IF(Model!AQ167&lt;&gt;"",Model!AQ167,""))</f>
        <v/>
      </c>
      <c r="AR114" s="95" t="str">
        <f>IF(ISERROR(Model!AR167),"",IF(Model!AR167&lt;&gt;"",Model!AR167,""))</f>
        <v/>
      </c>
      <c r="AS114" s="95" t="str">
        <f>IF(ISERROR(Model!AS167),"",IF(Model!AS167&lt;&gt;"",Model!AS167,""))</f>
        <v/>
      </c>
      <c r="AT114" s="95" t="str">
        <f>IF(ISERROR(Model!AT167),"",IF(Model!AT167&lt;&gt;"",Model!AT167,""))</f>
        <v/>
      </c>
      <c r="AU114" s="95" t="str">
        <f>IF(ISERROR(Model!AU167),"",IF(Model!AU167&lt;&gt;"",Model!AU167,""))</f>
        <v/>
      </c>
      <c r="AV114" s="95" t="str">
        <f>IF(ISERROR(Model!AV167),"",IF(Model!AV167&lt;&gt;"",Model!AV167,""))</f>
        <v/>
      </c>
      <c r="AW114" s="95" t="str">
        <f>IF(ISERROR(Model!AW167),"",IF(Model!AW167&lt;&gt;"",Model!AW167,""))</f>
        <v/>
      </c>
      <c r="AX114" s="95" t="str">
        <f>IF(ISERROR(Model!AX167),"",IF(Model!AX167&lt;&gt;"",Model!AX167,""))</f>
        <v/>
      </c>
      <c r="AY114" s="95" t="str">
        <f>IF(ISERROR(Model!AY167),"",IF(Model!AY167&lt;&gt;"",Model!AY167,""))</f>
        <v/>
      </c>
      <c r="AZ114" s="95" t="str">
        <f>IF(ISERROR(Model!AZ167),"",IF(Model!AZ167&lt;&gt;"",Model!AZ167,""))</f>
        <v/>
      </c>
      <c r="BA114" s="95">
        <v>6.5000000000000002E-2</v>
      </c>
      <c r="BB114" s="95">
        <v>6.5000000000000002E-2</v>
      </c>
      <c r="BC114" s="95">
        <v>7.0499999999999993E-2</v>
      </c>
      <c r="BD114" s="95">
        <v>0.06</v>
      </c>
      <c r="BE114" s="95">
        <f>BD114</f>
        <v>0.06</v>
      </c>
      <c r="BF114" s="95">
        <f>BE114</f>
        <v>0.06</v>
      </c>
      <c r="BG114" s="95">
        <f>BF114</f>
        <v>0.06</v>
      </c>
      <c r="BH114" s="95">
        <v>6.5000000000000002E-2</v>
      </c>
      <c r="BI114" s="95"/>
      <c r="BJ114" s="95">
        <v>0.05</v>
      </c>
      <c r="BK114" s="95">
        <f>BJ114</f>
        <v>0.05</v>
      </c>
      <c r="BL114" s="95">
        <v>5.6000000000000001E-2</v>
      </c>
      <c r="BM114" s="119">
        <v>0.05</v>
      </c>
      <c r="BN114" s="119">
        <f>BM114</f>
        <v>0.05</v>
      </c>
      <c r="BO114" s="119">
        <f>BN114</f>
        <v>0.05</v>
      </c>
      <c r="BP114" s="95">
        <v>3.5000000000000003E-2</v>
      </c>
      <c r="BQ114" s="95">
        <f>BP114</f>
        <v>3.5000000000000003E-2</v>
      </c>
      <c r="BR114" s="95">
        <f>BQ114</f>
        <v>3.5000000000000003E-2</v>
      </c>
      <c r="BS114" s="95">
        <v>0.03</v>
      </c>
      <c r="BT114" s="95">
        <f>BS114</f>
        <v>0.03</v>
      </c>
      <c r="BU114" s="95">
        <f>BT114</f>
        <v>0.03</v>
      </c>
      <c r="BV114" s="95"/>
      <c r="BW114" s="95">
        <f>(BW116*2)/BW115</f>
        <v>0.10496401308615048</v>
      </c>
      <c r="BX114" s="95">
        <f>BX116/BX115</f>
        <v>5.4303162486368593E-2</v>
      </c>
      <c r="BY114" s="108">
        <v>0.06</v>
      </c>
      <c r="BZ114" s="95">
        <v>6.5000000000000002E-2</v>
      </c>
      <c r="CA114" s="95">
        <f>BZ114</f>
        <v>6.5000000000000002E-2</v>
      </c>
      <c r="CB114" s="95">
        <v>0.06</v>
      </c>
      <c r="CC114" s="95">
        <f>CB114</f>
        <v>0.06</v>
      </c>
      <c r="CD114" s="95">
        <f>CC114</f>
        <v>0.06</v>
      </c>
      <c r="CE114" s="95">
        <v>2.5000000000000001E-2</v>
      </c>
      <c r="CF114" s="95">
        <v>0.02</v>
      </c>
      <c r="CG114" s="95">
        <v>3.4789690662207745E-2</v>
      </c>
      <c r="CH114" s="95">
        <v>3.5000000000000003E-2</v>
      </c>
      <c r="CI114" s="95">
        <f>CH114</f>
        <v>3.5000000000000003E-2</v>
      </c>
      <c r="CJ114" s="95">
        <v>3.075E-2</v>
      </c>
      <c r="CK114" s="95">
        <v>4.0300000000000002E-2</v>
      </c>
      <c r="CL114" s="95">
        <v>3.5000000000000003E-2</v>
      </c>
      <c r="CM114" s="95">
        <v>2.8411459884448154E-2</v>
      </c>
      <c r="CN114" s="95">
        <v>3.0310014982136695E-2</v>
      </c>
      <c r="CO114" s="95">
        <f>CN114</f>
        <v>3.0310014982136695E-2</v>
      </c>
      <c r="CP114" s="95">
        <v>2.803787758556843E-2</v>
      </c>
      <c r="CQ114" s="95">
        <v>2.7106435408965981E-2</v>
      </c>
      <c r="CR114" s="95">
        <v>2.6130036389144639E-2</v>
      </c>
      <c r="CS114" s="95">
        <f>CR114</f>
        <v>2.6130036389144639E-2</v>
      </c>
      <c r="CT114" s="95">
        <v>2.5096633241835194E-2</v>
      </c>
      <c r="CU114" s="95">
        <v>2.2778608468806666E-2</v>
      </c>
      <c r="CV114" s="95">
        <f>CU114</f>
        <v>2.2778608468806666E-2</v>
      </c>
      <c r="CW114" s="95">
        <v>2.4699129235795748E-2</v>
      </c>
      <c r="CX114" s="95">
        <v>2.6012099890727853E-2</v>
      </c>
      <c r="CY114" s="95">
        <v>2.5000000000000001E-2</v>
      </c>
      <c r="CZ114" s="95">
        <v>2.5537947139712101E-2</v>
      </c>
      <c r="DA114" s="95">
        <v>0.03</v>
      </c>
      <c r="DB114" s="95">
        <f>DA114</f>
        <v>0.03</v>
      </c>
      <c r="DC114" s="95">
        <v>4.2546597600389605E-2</v>
      </c>
      <c r="DD114" s="95">
        <v>3.4624595921085119E-2</v>
      </c>
      <c r="DE114" s="138">
        <f>DD114</f>
        <v>3.4624595921085119E-2</v>
      </c>
      <c r="DF114" s="169">
        <v>2.908821868733083E-2</v>
      </c>
      <c r="DG114" s="168">
        <v>2.6249999999999999E-2</v>
      </c>
      <c r="DH114" s="138">
        <f>DG114</f>
        <v>2.6249999999999999E-2</v>
      </c>
      <c r="DI114" s="168">
        <f>108.7/DI115*2</f>
        <v>3.5877843698685526E-2</v>
      </c>
      <c r="DJ114" s="168">
        <v>2.0825E-2</v>
      </c>
      <c r="DK114" s="138">
        <f>DJ114</f>
        <v>2.0825E-2</v>
      </c>
      <c r="DL114" s="168">
        <v>2.5049999999999999E-2</v>
      </c>
      <c r="DM114" s="168">
        <v>2.4683362558697006E-2</v>
      </c>
      <c r="DN114" s="138">
        <f>DM114</f>
        <v>2.4683362558697006E-2</v>
      </c>
      <c r="DO114" s="168">
        <v>3.7784023070847335E-2</v>
      </c>
      <c r="DP114" s="168">
        <v>3.915286540483702E-2</v>
      </c>
      <c r="DQ114" s="138">
        <f>DP114</f>
        <v>3.915286540483702E-2</v>
      </c>
      <c r="DR114" s="168">
        <v>4.1750000000000002E-2</v>
      </c>
      <c r="DS114" s="168">
        <v>3.64944316594066E-2</v>
      </c>
      <c r="DT114" s="138">
        <f>DS114</f>
        <v>3.64944316594066E-2</v>
      </c>
      <c r="DU114" s="986">
        <f>+DU116/DU115*2</f>
        <v>3.9756491489626039E-2</v>
      </c>
      <c r="DV114" s="986">
        <v>3.64944316594066E-2</v>
      </c>
      <c r="DW114" s="986">
        <f>+DW116/DW115*2</f>
        <v>7.7926595929726908E-2</v>
      </c>
      <c r="DX114" s="986">
        <f>+DX116/DX115*2</f>
        <v>3.799257819402721E-2</v>
      </c>
      <c r="DY114" s="171">
        <f>+DX114</f>
        <v>3.799257819402721E-2</v>
      </c>
      <c r="DZ114" s="172">
        <f>DY114</f>
        <v>3.799257819402721E-2</v>
      </c>
      <c r="EA114" s="171">
        <f>DX114</f>
        <v>3.799257819402721E-2</v>
      </c>
      <c r="EB114" s="171">
        <f t="shared" ref="EB114:ER114" si="113">DY114</f>
        <v>3.799257819402721E-2</v>
      </c>
      <c r="EC114" s="172">
        <f t="shared" si="113"/>
        <v>3.799257819402721E-2</v>
      </c>
      <c r="ED114" s="171">
        <f t="shared" si="113"/>
        <v>3.799257819402721E-2</v>
      </c>
      <c r="EE114" s="171">
        <f t="shared" si="113"/>
        <v>3.799257819402721E-2</v>
      </c>
      <c r="EF114" s="172">
        <f t="shared" si="113"/>
        <v>3.799257819402721E-2</v>
      </c>
      <c r="EG114" s="171">
        <f t="shared" si="113"/>
        <v>3.799257819402721E-2</v>
      </c>
      <c r="EH114" s="171">
        <f t="shared" si="113"/>
        <v>3.799257819402721E-2</v>
      </c>
      <c r="EI114" s="172">
        <f t="shared" si="113"/>
        <v>3.799257819402721E-2</v>
      </c>
      <c r="EJ114" s="171">
        <f t="shared" si="113"/>
        <v>3.799257819402721E-2</v>
      </c>
      <c r="EK114" s="171">
        <f t="shared" si="113"/>
        <v>3.799257819402721E-2</v>
      </c>
      <c r="EL114" s="172">
        <f t="shared" si="113"/>
        <v>3.799257819402721E-2</v>
      </c>
      <c r="EM114" s="171">
        <f t="shared" si="113"/>
        <v>3.799257819402721E-2</v>
      </c>
      <c r="EN114" s="171">
        <f t="shared" si="113"/>
        <v>3.799257819402721E-2</v>
      </c>
      <c r="EO114" s="172">
        <f t="shared" si="113"/>
        <v>3.799257819402721E-2</v>
      </c>
      <c r="EP114" s="171">
        <f t="shared" si="113"/>
        <v>3.799257819402721E-2</v>
      </c>
      <c r="EQ114" s="171">
        <f t="shared" si="113"/>
        <v>3.799257819402721E-2</v>
      </c>
      <c r="ER114" s="172">
        <f t="shared" si="113"/>
        <v>3.799257819402721E-2</v>
      </c>
      <c r="ES114" s="171">
        <f t="shared" ref="ES114:FA114" si="114">EP114</f>
        <v>3.799257819402721E-2</v>
      </c>
      <c r="ET114" s="171">
        <f t="shared" si="114"/>
        <v>3.799257819402721E-2</v>
      </c>
      <c r="EU114" s="172">
        <f t="shared" si="114"/>
        <v>3.799257819402721E-2</v>
      </c>
      <c r="EV114" s="171">
        <f t="shared" si="114"/>
        <v>3.799257819402721E-2</v>
      </c>
      <c r="EW114" s="171">
        <f t="shared" si="114"/>
        <v>3.799257819402721E-2</v>
      </c>
      <c r="EX114" s="172">
        <f t="shared" si="114"/>
        <v>3.799257819402721E-2</v>
      </c>
      <c r="EY114" s="171">
        <f t="shared" si="114"/>
        <v>3.799257819402721E-2</v>
      </c>
      <c r="EZ114" s="171">
        <f t="shared" si="114"/>
        <v>3.799257819402721E-2</v>
      </c>
      <c r="FA114" s="172">
        <f t="shared" si="114"/>
        <v>3.799257819402721E-2</v>
      </c>
    </row>
    <row r="115" spans="1:157" ht="13.35" customHeight="1">
      <c r="A115" s="3"/>
      <c r="B115" s="4" t="s">
        <v>485</v>
      </c>
      <c r="C115" s="4"/>
      <c r="D115" s="109"/>
      <c r="E115" s="84"/>
      <c r="F115" s="84"/>
      <c r="G115" s="84"/>
      <c r="H115" s="158">
        <f>IF(OR(Model!H266&lt;&gt;"",Model!G266&lt;&gt;"",Model!H286&lt;&gt;"",Model!G286&lt;&gt;""),((Model!G266+Model!G286)+(Model!H286+Model!H266))/2,"")</f>
        <v>0</v>
      </c>
      <c r="I115" s="158">
        <f>IF(OR(Model!I266&lt;&gt;"",Model!H266&lt;&gt;"",Model!I286&lt;&gt;"",Model!H286&lt;&gt;""),((Model!H266+Model!H286)+(Model!I286+Model!I266))/2,"")</f>
        <v>0</v>
      </c>
      <c r="J115" s="158">
        <f>IF(OR(Model!J266&lt;&gt;"",Model!G266&lt;&gt;"",Model!J286&lt;&gt;"",Model!G286&lt;&gt;""),((Model!G266+Model!G286)+(Model!J286+Model!J266))/2,"")</f>
        <v>0</v>
      </c>
      <c r="K115" s="158">
        <f>IF(OR(Model!K266&lt;&gt;"",Model!J266&lt;&gt;"",Model!K286&lt;&gt;"",Model!J286&lt;&gt;""),((Model!J266+Model!J286)+(Model!K286+Model!K266))/2,"")</f>
        <v>0</v>
      </c>
      <c r="L115" s="158">
        <f>IF(OR(Model!L266&lt;&gt;"",Model!K266&lt;&gt;"",Model!L286&lt;&gt;"",Model!K286&lt;&gt;""),((Model!K266+Model!K286)+(Model!L286+Model!L266))/2,"")</f>
        <v>0</v>
      </c>
      <c r="M115" s="158">
        <f>IF(OR(Model!M266&lt;&gt;"",Model!J266&lt;&gt;"",Model!M286&lt;&gt;"",Model!J286&lt;&gt;""),((Model!J266+Model!J286)+(Model!M286+Model!M266))/2,"")</f>
        <v>0</v>
      </c>
      <c r="N115" s="158">
        <f>IF(OR(Model!N266&lt;&gt;"",Model!M266&lt;&gt;"",Model!N286&lt;&gt;"",Model!M286&lt;&gt;""),((Model!M266+Model!M286)+(Model!N286+Model!N266))/2,"")</f>
        <v>0</v>
      </c>
      <c r="O115" s="158">
        <f>IF(OR(Model!O266&lt;&gt;"",Model!N266&lt;&gt;"",Model!O286&lt;&gt;"",Model!N286&lt;&gt;""),((Model!N266+Model!N286)+(Model!O286+Model!O266))/2,"")</f>
        <v>0</v>
      </c>
      <c r="P115" s="158">
        <f>IF(OR(Model!P266&lt;&gt;"",Model!M266&lt;&gt;"",Model!P286&lt;&gt;"",Model!M286&lt;&gt;""),((Model!M266+Model!M286)+(Model!P286+Model!P266))/2,"")</f>
        <v>0</v>
      </c>
      <c r="Q115" s="158">
        <f>IF(OR(Model!Q266&lt;&gt;"",Model!P266&lt;&gt;"",Model!Q286&lt;&gt;"",Model!P286&lt;&gt;""),((Model!P266+Model!P286)+(Model!Q286+Model!Q266))/2,"")</f>
        <v>0</v>
      </c>
      <c r="R115" s="158">
        <f>IF(OR(Model!R266&lt;&gt;"",Model!Q266&lt;&gt;"",Model!R286&lt;&gt;"",Model!Q286&lt;&gt;""),((Model!Q266+Model!Q286)+(Model!R286+Model!R266))/2,"")</f>
        <v>0</v>
      </c>
      <c r="S115" s="158">
        <f>IF(OR(Model!S266&lt;&gt;"",Model!P266&lt;&gt;"",Model!S286&lt;&gt;"",Model!P286&lt;&gt;""),((Model!P266+Model!P286)+(Model!S286+Model!S266))/2,"")</f>
        <v>0</v>
      </c>
      <c r="T115" s="158">
        <f>IF(OR(Model!T266&lt;&gt;"",Model!S266&lt;&gt;"",Model!T286&lt;&gt;"",Model!S286&lt;&gt;""),((Model!S266+Model!S286)+(Model!T286+Model!T266))/2,"")</f>
        <v>0</v>
      </c>
      <c r="U115" s="158">
        <f>IF(OR(Model!U266&lt;&gt;"",Model!T266&lt;&gt;"",Model!U286&lt;&gt;"",Model!T286&lt;&gt;""),((Model!T266+Model!T286)+(Model!U286+Model!U266))/2,"")</f>
        <v>0</v>
      </c>
      <c r="V115" s="158">
        <f>IF(OR(Model!V266&lt;&gt;"",Model!S266&lt;&gt;"",Model!V286&lt;&gt;"",Model!S286&lt;&gt;""),((Model!S266+Model!S286)+(Model!V286+Model!V266))/2,"")</f>
        <v>0</v>
      </c>
      <c r="W115" s="158">
        <f>IF(OR(Model!W266&lt;&gt;"",Model!V266&lt;&gt;"",Model!W286&lt;&gt;"",Model!V286&lt;&gt;""),((Model!V266+Model!V286)+(Model!W286+Model!W266))/2,"")</f>
        <v>0</v>
      </c>
      <c r="X115" s="158">
        <f>IF(OR(Model!X266&lt;&gt;"",Model!W266&lt;&gt;"",Model!X286&lt;&gt;"",Model!W286&lt;&gt;""),((Model!W266+Model!W286)+(Model!X286+Model!X266))/2,"")</f>
        <v>0</v>
      </c>
      <c r="Y115" s="158">
        <f>IF(OR(Model!Y266&lt;&gt;"",Model!V266&lt;&gt;"",Model!Y286&lt;&gt;"",Model!V286&lt;&gt;""),((Model!V266+Model!V286)+(Model!Y286+Model!Y266))/2,"")</f>
        <v>0</v>
      </c>
      <c r="Z115" s="158">
        <f>IF(OR(Model!Z266&lt;&gt;"",Model!Y266&lt;&gt;"",Model!Z286&lt;&gt;"",Model!Y286&lt;&gt;""),((Model!Y266+Model!Y286)+(Model!Z286+Model!Z266))/2,"")</f>
        <v>0</v>
      </c>
      <c r="AA115" s="158">
        <f>IF(OR(Model!AA266&lt;&gt;"",Model!Z266&lt;&gt;"",Model!AA286&lt;&gt;"",Model!Z286&lt;&gt;""),((Model!Z266+Model!Z286)+(Model!AA286+Model!AA266))/2,"")</f>
        <v>0</v>
      </c>
      <c r="AB115" s="158">
        <f>IF(OR(Model!AB266&lt;&gt;"",Model!Y266&lt;&gt;"",Model!AB286&lt;&gt;"",Model!Y286&lt;&gt;""),((Model!Y266+Model!Y286)+(Model!AB286+Model!AB266))/2,"")</f>
        <v>0</v>
      </c>
      <c r="AC115" s="158">
        <f>IF(OR(Model!AC266&lt;&gt;"",Model!AB266&lt;&gt;"",Model!AC286&lt;&gt;"",Model!AB286&lt;&gt;""),((Model!AB266+Model!AB286)+(Model!AC286+Model!AC266))/2,"")</f>
        <v>0</v>
      </c>
      <c r="AD115" s="158">
        <f>IF(OR(Model!AD266&lt;&gt;"",Model!AC266&lt;&gt;"",Model!AD286&lt;&gt;"",Model!AC286&lt;&gt;""),((Model!AC266+Model!AC286)+(Model!AD286+Model!AD266))/2,"")</f>
        <v>0</v>
      </c>
      <c r="AE115" s="158">
        <f>IF(OR(Model!AE266&lt;&gt;"",Model!AB266&lt;&gt;"",Model!AE286&lt;&gt;"",Model!AB286&lt;&gt;""),((Model!AB266+Model!AB286)+(Model!AE286+Model!AE266))/2,"")</f>
        <v>0</v>
      </c>
      <c r="AF115" s="158">
        <f>IF(OR(Model!AF266&lt;&gt;"",Model!AE266&lt;&gt;"",Model!AF286&lt;&gt;"",Model!AE286&lt;&gt;""),((Model!AE266+Model!AE286)+(Model!AF286+Model!AF266))/2,"")</f>
        <v>0</v>
      </c>
      <c r="AG115" s="158">
        <f>IF(OR(Model!AG266&lt;&gt;"",Model!AF266&lt;&gt;"",Model!AG286&lt;&gt;"",Model!AF286&lt;&gt;""),((Model!AF266+Model!AF286)+(Model!AG286+Model!AG266))/2,"")</f>
        <v>0</v>
      </c>
      <c r="AH115" s="158">
        <f>IF(OR(Model!AH266&lt;&gt;"",Model!AE266&lt;&gt;"",Model!AH286&lt;&gt;"",Model!AE286&lt;&gt;""),((Model!AE266+Model!AE286)+(Model!AH286+Model!AH266))/2,"")</f>
        <v>0</v>
      </c>
      <c r="AI115" s="158">
        <f>IF(OR(Model!AI266&lt;&gt;"",Model!AH266&lt;&gt;"",Model!AI286&lt;&gt;"",Model!AH286&lt;&gt;""),((Model!AH266+Model!AH286)+(Model!AI286+Model!AI266))/2,"")</f>
        <v>0</v>
      </c>
      <c r="AJ115" s="158">
        <f>IF(OR(Model!AJ266&lt;&gt;"",Model!AI266&lt;&gt;"",Model!AJ286&lt;&gt;"",Model!AI286&lt;&gt;""),((Model!AI266+Model!AI286)+(Model!AJ286+Model!AJ266))/2,"")</f>
        <v>0</v>
      </c>
      <c r="AK115" s="158">
        <f>IF(OR(Model!AK266&lt;&gt;"",Model!AH266&lt;&gt;"",Model!AK286&lt;&gt;"",Model!AH286&lt;&gt;""),((Model!AH266+Model!AH286)+(Model!AK286+Model!AK266))/2,"")</f>
        <v>0</v>
      </c>
      <c r="AL115" s="158">
        <f>IF(OR(Model!AL266&lt;&gt;"",Model!AK266&lt;&gt;"",Model!AL286&lt;&gt;"",Model!AK286&lt;&gt;""),((Model!AK266+Model!AK286)+(Model!AL286+Model!AL266))/2,"")</f>
        <v>0</v>
      </c>
      <c r="AM115" s="158">
        <f>IF(OR(Model!AM266&lt;&gt;"",Model!AL266&lt;&gt;"",Model!AM286&lt;&gt;"",Model!AL286&lt;&gt;""),((Model!AL266+Model!AL286)+(Model!AM286+Model!AM266))/2,"")</f>
        <v>0</v>
      </c>
      <c r="AN115" s="158">
        <f>IF(OR(Model!AN266&lt;&gt;"",Model!AK266&lt;&gt;"",Model!AN286&lt;&gt;"",Model!AK286&lt;&gt;""),((Model!AK266+Model!AK286)+(Model!AN286+Model!AN266))/2,"")</f>
        <v>0</v>
      </c>
      <c r="AO115" s="158">
        <f>IF(OR(Model!AO266&lt;&gt;"",Model!AN266&lt;&gt;"",Model!AO286&lt;&gt;"",Model!AN286&lt;&gt;""),((Model!AN266+Model!AN286)+(Model!AO286+Model!AO266))/2,"")</f>
        <v>0</v>
      </c>
      <c r="AP115" s="158">
        <f>IF(OR(Model!AP266&lt;&gt;"",Model!AO266&lt;&gt;"",Model!AP286&lt;&gt;"",Model!AO286&lt;&gt;""),((Model!AO266+Model!AO286)+(Model!AP286+Model!AP266))/2,"")</f>
        <v>0</v>
      </c>
      <c r="AQ115" s="158">
        <f>IF(OR(Model!AQ266&lt;&gt;"",Model!AN266&lt;&gt;"",Model!AQ286&lt;&gt;"",Model!AN286&lt;&gt;""),((Model!AN266+Model!AN286)+(Model!AQ286+Model!AQ266))/2,"")</f>
        <v>0</v>
      </c>
      <c r="AR115" s="158">
        <f>IF(OR(Model!AR266&lt;&gt;"",Model!AQ266&lt;&gt;"",Model!AR286&lt;&gt;"",Model!AQ286&lt;&gt;""),((Model!AQ266+Model!AQ286)+(Model!AR286+Model!AR266))/2,"")</f>
        <v>0</v>
      </c>
      <c r="AS115" s="158">
        <f>IF(OR(Model!AS266&lt;&gt;"",Model!AR266&lt;&gt;"",Model!AS286&lt;&gt;"",Model!AR286&lt;&gt;""),((Model!AR266+Model!AR286)+(Model!AS286+Model!AS266))/2,"")</f>
        <v>0</v>
      </c>
      <c r="AT115" s="158">
        <f>IF(OR(Model!AT266&lt;&gt;"",Model!AQ266&lt;&gt;"",Model!AT286&lt;&gt;"",Model!AQ286&lt;&gt;""),((Model!AQ266+Model!AQ286)+(Model!AT286+Model!AT266))/2,"")</f>
        <v>0</v>
      </c>
      <c r="AU115" s="158">
        <f>IF(OR(Model!AU266&lt;&gt;"",Model!AT266&lt;&gt;"",Model!AU286&lt;&gt;"",Model!AT286&lt;&gt;""),((Model!AT266+Model!AT286)+(Model!AU286+Model!AU266))/2,"")</f>
        <v>0</v>
      </c>
      <c r="AV115" s="158">
        <f>IF(OR(Model!AV266&lt;&gt;"",Model!AU266&lt;&gt;"",Model!AV286&lt;&gt;"",Model!AU286&lt;&gt;""),((Model!AU266+Model!AU286)+(Model!AV286+Model!AV266))/2,"")</f>
        <v>0</v>
      </c>
      <c r="AW115" s="158">
        <f>IF(OR(Model!AW266&lt;&gt;"",Model!AT266&lt;&gt;"",Model!AW286&lt;&gt;"",Model!AT286&lt;&gt;""),((Model!AT266+Model!AT286)+(Model!AW286+Model!AW266))/2,"")</f>
        <v>0</v>
      </c>
      <c r="AX115" s="158">
        <f>IF(OR(Model!AX266&lt;&gt;"",Model!AW266&lt;&gt;"",Model!AX286&lt;&gt;"",Model!AW286&lt;&gt;""),((Model!AW266+Model!AW286)+(Model!AX286+Model!AX266))/2,"")</f>
        <v>0</v>
      </c>
      <c r="AY115" s="158">
        <f>IF(OR(Model!AY266&lt;&gt;"",Model!AX266&lt;&gt;"",Model!AY286&lt;&gt;"",Model!AX286&lt;&gt;""),((Model!AX266+Model!AX286)+(Model!AY286+Model!AY266))/2,"")</f>
        <v>0</v>
      </c>
      <c r="AZ115" s="158">
        <f>IF(OR(Model!AZ266&lt;&gt;"",Model!AW266&lt;&gt;"",Model!AZ286&lt;&gt;"",Model!AW286&lt;&gt;""),((Model!AW266+Model!AW286)+(Model!AZ286+Model!AZ266))/2,"")</f>
        <v>0</v>
      </c>
      <c r="BA115" s="158">
        <f>IF(OR(Model!BA266&lt;&gt;"",Model!AZ266&lt;&gt;"",Model!BA286&lt;&gt;"",Model!AZ286&lt;&gt;""),((Model!AZ266+Model!AZ286)+(Model!BA286+Model!BA266))/2,"")</f>
        <v>0</v>
      </c>
      <c r="BB115" s="158">
        <f>IF(OR(Model!BB266&lt;&gt;"",Model!BA266&lt;&gt;"",Model!BB286&lt;&gt;"",Model!BA286&lt;&gt;""),((Model!BA266+Model!BA286)+(Model!BB286+Model!BB266))/2,"")</f>
        <v>0</v>
      </c>
      <c r="BC115" s="158">
        <f>IF(OR(Model!BC266&lt;&gt;"",Model!AZ266&lt;&gt;"",Model!BC286&lt;&gt;"",Model!AZ286&lt;&gt;""),((Model!BC286+Model!BC266)),"")</f>
        <v>0</v>
      </c>
      <c r="BD115" s="158">
        <f>IF(OR(Model!BD266&lt;&gt;"",Model!BC266&lt;&gt;"",Model!BD286&lt;&gt;"",Model!BC286&lt;&gt;""),((Model!BC266+Model!BC286)+(Model!BD286+Model!BD266))/2,"")</f>
        <v>0</v>
      </c>
      <c r="BE115" s="158">
        <f>IF(OR(Model!BE266&lt;&gt;"",Model!BD266&lt;&gt;"",Model!BE286&lt;&gt;"",Model!BD286&lt;&gt;""),((Model!BD266+Model!BD286)+(Model!BE286+Model!BE266))/2,"")</f>
        <v>0</v>
      </c>
      <c r="BF115" s="158">
        <f>IF(OR(Model!BF266&lt;&gt;"",Model!BC266&lt;&gt;"",Model!BF286&lt;&gt;"",Model!BC286&lt;&gt;""),((Model!BC266+Model!BC286)+(Model!BF286+Model!BF266))/2,"")</f>
        <v>0</v>
      </c>
      <c r="BG115" s="158">
        <f>IF(OR(Model!BG266&lt;&gt;"",Model!BF266&lt;&gt;"",Model!BG286&lt;&gt;"",Model!BF286&lt;&gt;""),((Model!BF266+Model!BF286)+(Model!BG286+Model!BG266))/2,"")</f>
        <v>0</v>
      </c>
      <c r="BH115" s="158">
        <f>IF(OR(Model!BH266&lt;&gt;"",Model!BG266&lt;&gt;"",Model!BH286&lt;&gt;"",Model!BG286&lt;&gt;""),((Model!BG266+Model!BG286)+(Model!BH286+Model!BH266))/2,"")</f>
        <v>0</v>
      </c>
      <c r="BI115" s="158">
        <f>IF(OR(Model!BI266&lt;&gt;"",Model!BH266&lt;&gt;"",Model!BI286&lt;&gt;"",Model!BH286&lt;&gt;""),((Model!BH266+Model!BH286)+(Model!BI286+Model!BI266))/2,"")</f>
        <v>0</v>
      </c>
      <c r="BJ115" s="158">
        <f>IF(OR(Model!BJ266&lt;&gt;"",Model!BI266&lt;&gt;"",Model!BJ286&lt;&gt;"",Model!BI286&lt;&gt;""),((Model!BI266+Model!BI286)+(Model!BJ286+Model!BJ266))/2,"")</f>
        <v>0</v>
      </c>
      <c r="BK115" s="158">
        <f>IF(OR(Model!BK266&lt;&gt;"",Model!BJ266&lt;&gt;"",Model!BK286&lt;&gt;"",Model!BJ286&lt;&gt;""),((Model!BJ266+Model!BJ286)+(Model!BK286+Model!BK266))/2,"")</f>
        <v>0</v>
      </c>
      <c r="BL115" s="158">
        <f>IF(OR(Model!BL266&lt;&gt;"",Model!BK266&lt;&gt;"",Model!BL286&lt;&gt;"",Model!BK286&lt;&gt;""),((Model!BK266+Model!BK286)+(Model!BL286+Model!BL266))/2,"")</f>
        <v>0</v>
      </c>
      <c r="BM115" s="158">
        <f>IF(OR(Model!BM266&lt;&gt;"",Model!BL266&lt;&gt;"",Model!BM286&lt;&gt;"",Model!BL286&lt;&gt;""),((Model!BL266+Model!BL286)+(Model!BM286+Model!BM266))/2,"")</f>
        <v>0</v>
      </c>
      <c r="BN115" s="158">
        <f>IF(OR(Model!BN266&lt;&gt;"",Model!BM266&lt;&gt;"",Model!BN286&lt;&gt;"",Model!BM286&lt;&gt;""),((Model!BM266+Model!BM286)+(Model!BN286+Model!BN266))/2,"")</f>
        <v>0</v>
      </c>
      <c r="BO115" s="158">
        <f>IF(OR(Model!BO266&lt;&gt;"",Model!BN266&lt;&gt;"",Model!BO286&lt;&gt;"",Model!BN286&lt;&gt;""),((Model!BN266+Model!BN286)+(Model!BO286+Model!BO266))/2,"")</f>
        <v>0</v>
      </c>
      <c r="BP115" s="158">
        <f>IF(OR(Model!BP266&lt;&gt;"",Model!BO266&lt;&gt;"",Model!BP286&lt;&gt;"",Model!BO286&lt;&gt;""),((Model!BO266+Model!BO286)+(Model!BP286+Model!BP266))/2,"")</f>
        <v>0</v>
      </c>
      <c r="BQ115" s="158">
        <f>IF(OR(Model!BQ266&lt;&gt;"",Model!BP266&lt;&gt;"",Model!BQ286&lt;&gt;"",Model!BP286&lt;&gt;""),((Model!BP266+Model!BP286)+(Model!BQ286+Model!BQ266))/2,"")</f>
        <v>0</v>
      </c>
      <c r="BR115" s="158">
        <f>IF(OR(Model!BR266&lt;&gt;"",Model!BQ266&lt;&gt;"",Model!BR286&lt;&gt;"",Model!BQ286&lt;&gt;""),((Model!BQ266+Model!BQ286)+(Model!BR286+Model!BR266))/2,"")</f>
        <v>0</v>
      </c>
      <c r="BS115" s="158">
        <f>IF(OR(Model!BS266&lt;&gt;"",Model!BR266&lt;&gt;"",Model!BS286&lt;&gt;"",Model!BR286&lt;&gt;""),((Model!BR266+Model!BR286)+(Model!BS286+Model!BS266))/2,"")</f>
        <v>0</v>
      </c>
      <c r="BT115" s="158">
        <f>IF(OR(Model!BT266&lt;&gt;"",Model!BS266&lt;&gt;"",Model!BT286&lt;&gt;"",Model!BS286&lt;&gt;""),((Model!BS266+Model!BS286)+(Model!BT286+Model!BT266))/2,"")</f>
        <v>0</v>
      </c>
      <c r="BU115" s="158">
        <f>IF(OR(Model!BU266&lt;&gt;"",Model!BT266&lt;&gt;"",Model!BU286&lt;&gt;"",Model!BT286&lt;&gt;""),((Model!BT266+Model!BT286)+(Model!BU286+Model!BU266))/2,"")</f>
        <v>0</v>
      </c>
      <c r="BV115" s="158">
        <f>IF(OR(Model!BV266&lt;&gt;"",Model!BU266&lt;&gt;"",Model!BV286&lt;&gt;"",Model!BU286&lt;&gt;""),((Model!BU266+Model!BU286)+(Model!BV286+Model!BV266))/2,"")</f>
        <v>0</v>
      </c>
      <c r="BW115" s="158">
        <f>IF(OR(Model!BW266&lt;&gt;"",Model!BV266&lt;&gt;"",Model!BW286&lt;&gt;"",Model!BV286&lt;&gt;""),((Model!BV266+Model!BV286)+(Model!BW286+Model!BW266))/2,"")</f>
        <v>458.5</v>
      </c>
      <c r="BX115" s="158">
        <f>IF(OR(Model!BX266&lt;&gt;"",Model!BW266&lt;&gt;"",Model!BX286&lt;&gt;"",Model!BW286&lt;&gt;""),((Model!BW266+Model!BW286)+(Model!BX286+Model!BX266))/2,"")</f>
        <v>917</v>
      </c>
      <c r="BY115" s="158">
        <f>IF(OR(Model!BY266&lt;&gt;"",Model!BX266&lt;&gt;"",Model!BY286&lt;&gt;"",Model!BX286&lt;&gt;""),((Model!BX266+Model!BX286)+(Model!BY286+Model!BY266))/2,"")</f>
        <v>458.5</v>
      </c>
      <c r="BZ115" s="158">
        <f>IF(OR(Model!BZ266&lt;&gt;"",Model!BY266&lt;&gt;"",Model!BZ286&lt;&gt;"",Model!BY286&lt;&gt;""),((Model!BY266+Model!BY286)+(Model!BZ286+Model!BZ266))/2,"")</f>
        <v>291.5</v>
      </c>
      <c r="CA115" s="158">
        <f>IF(OR(Model!CA266&lt;&gt;"",Model!BZ266&lt;&gt;"",Model!CA286&lt;&gt;"",Model!BZ286&lt;&gt;""),((Model!BZ266+Model!BZ286)+(Model!CA286+Model!CA266))/2,"")</f>
        <v>583</v>
      </c>
      <c r="CB115" s="158">
        <f>IF(OR(Model!CB266&lt;&gt;"",Model!CA266&lt;&gt;"",Model!CB286&lt;&gt;"",Model!CA286&lt;&gt;""),((Model!CA266+Model!CA286)+(Model!CB286+Model!CB266))/2,"")</f>
        <v>291.5</v>
      </c>
      <c r="CC115" s="158">
        <f>IF(OR(Model!CC266&lt;&gt;"",Model!CB266&lt;&gt;"",Model!CC286&lt;&gt;"",Model!CB286&lt;&gt;""),((Model!CB266+Model!CB286)+(Model!CC286+Model!CC266))/2,"")</f>
        <v>197</v>
      </c>
      <c r="CD115" s="158">
        <f>IF(OR(Model!CD266&lt;&gt;"",Model!CC266&lt;&gt;"",Model!CD286&lt;&gt;"",Model!CC286&lt;&gt;""),((Model!CC266+Model!CC286)+(Model!CD286+Model!CD266))/2,"")</f>
        <v>394</v>
      </c>
      <c r="CE115" s="158">
        <f>IF(OR(Model!CE266&lt;&gt;"",Model!CD266&lt;&gt;"",Model!CE286&lt;&gt;"",Model!CD286&lt;&gt;""),((Model!CD266+Model!CD286)+(Model!CE286+Model!CE266))/2,"")</f>
        <v>197</v>
      </c>
      <c r="CF115" s="158">
        <f>IF(OR(Model!CF266&lt;&gt;"",Model!CE266&lt;&gt;"",Model!CF286&lt;&gt;"",Model!CE286&lt;&gt;""),((Model!CE266+Model!CE286)+(Model!CF286+Model!CF266))/2,"")</f>
        <v>223.5</v>
      </c>
      <c r="CG115" s="158">
        <f>IF(OR(Model!CG266&lt;&gt;"",Model!CF266&lt;&gt;"",Model!CG286&lt;&gt;"",Model!CF286&lt;&gt;""),((Model!CF266+Model!CF286)+(Model!CG286+Model!CG266))/2,"")</f>
        <v>447</v>
      </c>
      <c r="CH115" s="158">
        <f>IF(OR(Model!CH266&lt;&gt;"",Model!CG266&lt;&gt;"",Model!CH286&lt;&gt;"",Model!CG286&lt;&gt;""),((Model!CG266+Model!CG286)+(Model!CH286+Model!CH266))/2,"")</f>
        <v>984.1875</v>
      </c>
      <c r="CI115" s="158">
        <f>IF(OR(Model!CI266&lt;&gt;"",Model!CH266&lt;&gt;"",Model!CI286&lt;&gt;"",Model!CH286&lt;&gt;""),((Model!CH266+Model!CH286)+(Model!CI286+Model!CI266))/2,"")</f>
        <v>1396.4875000000002</v>
      </c>
      <c r="CJ115" s="158">
        <f>IF(OR(Model!CJ266&lt;&gt;"",Model!CI266&lt;&gt;"",Model!CJ286&lt;&gt;"",Model!CI286&lt;&gt;""),((Model!CI266+Model!CI286)+(Model!CJ286+Model!CJ266))/2,"")</f>
        <v>1271.6000000000001</v>
      </c>
      <c r="CK115" s="158">
        <f>IF(OR(Model!CK266&lt;&gt;"",Model!CJ266&lt;&gt;"",Model!CK286&lt;&gt;"",Model!CJ286&lt;&gt;""),((Model!CJ266+Model!CJ286)+(Model!CK286+Model!CK266))/2,"")</f>
        <v>1475.25</v>
      </c>
      <c r="CL115" s="158">
        <f>IF(OR(Model!CL266&lt;&gt;"",Model!CK266&lt;&gt;"",Model!CL286&lt;&gt;"",Model!CK286&lt;&gt;""),((Model!CK266+Model!CK286)+(Model!CL286+Model!CL266))/2,"")</f>
        <v>1678.9</v>
      </c>
      <c r="CM115" s="158">
        <f>IF(OR(Model!CM266&lt;&gt;"",Model!CL266&lt;&gt;"",Model!CM286&lt;&gt;"",Model!CL286&lt;&gt;""),((Model!CL266+Model!CL286)+(Model!CM286+Model!CM266))/2,"")</f>
        <v>1678.9</v>
      </c>
      <c r="CN115" s="158">
        <f>IF(OR(Model!CN266&lt;&gt;"",Model!CM266&lt;&gt;"",Model!CN286&lt;&gt;"",Model!CM286&lt;&gt;""),((Model!CM266+Model!CM286)+(Model!CN286+Model!CN266))/2,"")</f>
        <v>1735.4</v>
      </c>
      <c r="CO115" s="158">
        <f>IF(OR(Model!CO266&lt;&gt;"",Model!CN266&lt;&gt;"",Model!CO286&lt;&gt;"",Model!CN286&lt;&gt;""),((Model!CN266+Model!CN286)+(Model!CO286+Model!CO266))/2,"")</f>
        <v>1841.1</v>
      </c>
      <c r="CP115" s="158">
        <f>IF(OR(Model!CP266&lt;&gt;"",Model!CO266&lt;&gt;"",Model!CP286&lt;&gt;"",Model!CO286&lt;&gt;""),((Model!CO266+Model!CO286)+(Model!CP286+Model!CP266))/2,"")</f>
        <v>1890.3</v>
      </c>
      <c r="CQ115" s="158">
        <f>IF(OR(Model!CQ266&lt;&gt;"",Model!CP266&lt;&gt;"",Model!CQ286&lt;&gt;"",Model!CP286&lt;&gt;""),((Model!CP266+Model!CP286)+(Model!CQ286+Model!CQ266))/2,"")</f>
        <v>2110.1999999999998</v>
      </c>
      <c r="CR115" s="158">
        <f>IF(OR(Model!CR266&lt;&gt;"",Model!CQ266&lt;&gt;"",Model!CR286&lt;&gt;"",Model!CQ286&lt;&gt;""),((Model!CQ266+Model!CQ286)+(Model!CR286+Model!CR266))/2,"")</f>
        <v>2305.5</v>
      </c>
      <c r="CS115" s="158">
        <f>IF(OR(Model!CS266&lt;&gt;"",Model!CR266&lt;&gt;"",Model!CS286&lt;&gt;"",Model!CR286&lt;&gt;""),((Model!CR266+Model!CR286)+(Model!CS286+Model!CS266))/2,"")</f>
        <v>2280.8999999999996</v>
      </c>
      <c r="CT115" s="158">
        <f>IF(OR(Model!CT266&lt;&gt;"",Model!CS266&lt;&gt;"",Model!CT286&lt;&gt;"",Model!CS286&lt;&gt;""),((Model!CS266+Model!CS286)+(Model!CT286+Model!CT266))/2,"")</f>
        <v>2677.6499999999996</v>
      </c>
      <c r="CU115" s="158">
        <f>IF(OR(Model!CU266&lt;&gt;"",Model!CT266&lt;&gt;"",Model!CU286&lt;&gt;"",Model!CT286&lt;&gt;""),((Model!CT266+Model!CT286)+(Model!CU286+Model!CU266))/2,"")</f>
        <v>3108.85</v>
      </c>
      <c r="CV115" s="158">
        <f>IF(OR(Model!CV266&lt;&gt;"",Model!CU266&lt;&gt;"",Model!CV286&lt;&gt;"",Model!CU286&lt;&gt;""),((Model!CU266+Model!CU286)+(Model!CV286+Model!CV266))/2,"")</f>
        <v>3143.3</v>
      </c>
      <c r="CW115" s="158">
        <f>IF(OR(Model!CW266&lt;&gt;"",Model!CV266&lt;&gt;"",Model!CW286&lt;&gt;"",Model!CV286&lt;&gt;""),((Model!CV266+Model!CV286)+(Model!CW286+Model!CW266))/2,"")</f>
        <v>3336.15</v>
      </c>
      <c r="CX115" s="158">
        <f>IF(OR(Model!CX266&lt;&gt;"",Model!CW266&lt;&gt;"",Model!CX286&lt;&gt;"",Model!CW286&lt;&gt;""),((Model!CW266+Model!CW286)+(Model!CX286+Model!CX266))/2,"")</f>
        <v>3752.1</v>
      </c>
      <c r="CY115" s="158">
        <f>IF(OR(Model!CY266&lt;&gt;"",Model!CX266&lt;&gt;"",Model!CY286&lt;&gt;"",Model!CX286&lt;&gt;""),((Model!CX266+Model!CX286)+(Model!CY286+Model!CY266))/2,"")</f>
        <v>3975.2</v>
      </c>
      <c r="CZ115" s="158">
        <f>IF(OR(Model!CZ266&lt;&gt;"",Model!CY266&lt;&gt;"",Model!CZ286&lt;&gt;"",Model!CY286&lt;&gt;""),((Model!CY266+Model!CY286)+(Model!CZ286+Model!CZ266))/2,"")</f>
        <v>4214.0499999999993</v>
      </c>
      <c r="DA115" s="158">
        <f>IF(OR(Model!DA266&lt;&gt;"",Model!CZ266&lt;&gt;"",Model!DA286&lt;&gt;"",Model!CZ286&lt;&gt;""),((Model!CZ266+Model!CZ286)+(Model!DA286+Model!DA266))/2,"")</f>
        <v>4419.6000000000004</v>
      </c>
      <c r="DB115" s="158">
        <f>IF(OR(Model!DB266&lt;&gt;"",Model!DA266&lt;&gt;"",Model!DB286&lt;&gt;"",Model!DA286&lt;&gt;""),((Model!DA266+Model!DA286)+(Model!DB286+Model!DB266))/2,"")</f>
        <v>4386.3</v>
      </c>
      <c r="DC115" s="158">
        <f>IF(OR(Model!DC266&lt;&gt;"",Model!DB266&lt;&gt;"",Model!DC286&lt;&gt;"",Model!DB286&lt;&gt;""),((Model!DB266+Model!DB286)+(Model!DC286+Model!DC266))/2,"")</f>
        <v>4517.3999999999996</v>
      </c>
      <c r="DD115" s="158">
        <f>IF(OR(Model!DD266&lt;&gt;"",Model!DC266&lt;&gt;"",Model!DD286&lt;&gt;"",Model!DC286&lt;&gt;""),((Model!DC266+Model!DC286)+(Model!DD286+Model!DD266))/2,"")</f>
        <v>4655.6499999999996</v>
      </c>
      <c r="DE115" s="152">
        <f>IF(OR(Model!DE266&lt;&gt;"",Model!DD266&lt;&gt;"",Model!DE286&lt;&gt;"",Model!DD286&lt;&gt;""),((Model!DD266+Model!DD286)+(Model!DE286+Model!DE266))/2,"")</f>
        <v>4662.8</v>
      </c>
      <c r="DF115" s="158">
        <f>IF(OR(Model!DF266&lt;&gt;"",Model!DE266&lt;&gt;"",Model!DF286&lt;&gt;"",Model!DE286&lt;&gt;""),((Model!DE266+Model!DE286)+(Model!DF286+Model!DF266))/2,"")</f>
        <v>5136.1000000000004</v>
      </c>
      <c r="DG115" s="158">
        <f>IF(OR(Model!DG266&lt;&gt;"",Model!DF266&lt;&gt;"",Model!DG286&lt;&gt;"",Model!DF286&lt;&gt;""),((Model!DF266+Model!DF286)+(Model!DG286+Model!DG266))/2,"")</f>
        <v>5801.1</v>
      </c>
      <c r="DH115" s="152">
        <f>IF(OR(Model!DH266&lt;&gt;"",Model!DG266&lt;&gt;"",Model!DH286&lt;&gt;"",Model!DG286&lt;&gt;""),((Model!DG266+Model!DG286)+(Model!DH286+Model!DH266))/2,"")</f>
        <v>5992.8</v>
      </c>
      <c r="DI115" s="158">
        <f>IF(OR(Model!DI266&lt;&gt;"",Model!DH266&lt;&gt;"",Model!DI286&lt;&gt;"",Model!DH286&lt;&gt;""),((Model!DH266+Model!DH286)+(Model!DI286+Model!DI266))/2,"")</f>
        <v>6059.45</v>
      </c>
      <c r="DJ115" s="158">
        <f>IF(OR(Model!DJ266&lt;&gt;"",Model!DI266&lt;&gt;"",Model!DJ286&lt;&gt;"",Model!DI286&lt;&gt;""),((Model!DI266+Model!DI286)+(Model!DJ286+Model!DJ266))/2,"")</f>
        <v>5966.5</v>
      </c>
      <c r="DK115" s="152">
        <f>IF(OR(Model!DK266&lt;&gt;"",Model!DJ266&lt;&gt;"",Model!DK286&lt;&gt;"",Model!DJ286&lt;&gt;""),((Model!DJ266+Model!DJ286)+(Model!DK286+Model!DK266))/2,"")</f>
        <v>5806.9000000000005</v>
      </c>
      <c r="DL115" s="158">
        <f>IF(OR(Model!DL266&lt;&gt;"",Model!DK266&lt;&gt;"",Model!DL286&lt;&gt;"",Model!DK286&lt;&gt;""),((Model!DK266+Model!DK286)+(Model!DL286+Model!DL266))/2,"")</f>
        <v>5687.8</v>
      </c>
      <c r="DM115" s="158">
        <f>IF(OR(Model!DM266&lt;&gt;"",Model!DL266&lt;&gt;"",Model!DM286&lt;&gt;"",Model!DL286&lt;&gt;""),((Model!DL266+Model!DL286)+(Model!DM286+Model!DM266))/2,"")</f>
        <v>7613.25</v>
      </c>
      <c r="DN115" s="152">
        <f>IF(OR(Model!DN266&lt;&gt;"",Model!DM266&lt;&gt;"",Model!DN286&lt;&gt;"",Model!DM286&lt;&gt;""),((Model!DM266+Model!DM286)+(Model!DN286+Model!DN266))/2,"")</f>
        <v>9657.7999999999993</v>
      </c>
      <c r="DO115" s="158">
        <f>IF(OR(Model!DO266&lt;&gt;"",Model!DN266&lt;&gt;"",Model!DO286&lt;&gt;"",Model!DN286&lt;&gt;""),((Model!DN266+Model!DN286)+(Model!DO286+Model!DO266))/2,"")</f>
        <v>10888.2</v>
      </c>
      <c r="DP115" s="158">
        <f>IF(OR(Model!DP266&lt;&gt;"",Model!DO266&lt;&gt;"",Model!DP286&lt;&gt;"",Model!DO286&lt;&gt;""),((Model!DO266+Model!DO286)+(Model!DP286+Model!DP266))/2,"")</f>
        <v>12172.8</v>
      </c>
      <c r="DQ115" s="152">
        <f>IF(OR(Model!DQ266&lt;&gt;"",Model!DP266&lt;&gt;"",Model!DQ286&lt;&gt;"",Model!DP286&lt;&gt;""),((Model!DP266+Model!DP286)+(Model!DQ286+Model!DQ266))/2,"")</f>
        <v>12227</v>
      </c>
      <c r="DR115" s="158">
        <f>IF(OR(Model!DR266&lt;&gt;"",Model!DQ266&lt;&gt;"",Model!DR286&lt;&gt;"",Model!DQ286&lt;&gt;""),((Model!DQ266+Model!DQ286)+(Model!DR286+Model!DR266))/2,"")</f>
        <v>12167</v>
      </c>
      <c r="DS115" s="158">
        <f>IF(OR(Model!DS266&lt;&gt;"",Model!DR266&lt;&gt;"",Model!DS286&lt;&gt;"",Model!DR286&lt;&gt;""),((Model!DR266+Model!DR286)+(Model!DS286+Model!DS266))/2,"")</f>
        <v>12145</v>
      </c>
      <c r="DT115" s="152">
        <f>IF(OR(Model!DT266&lt;&gt;"",Model!DS266&lt;&gt;"",Model!DT286&lt;&gt;"",Model!DS286&lt;&gt;""),((Model!DS266+Model!DS286)+(Model!DT286+Model!DT266))/2,"")</f>
        <v>12183</v>
      </c>
      <c r="DU115" s="158">
        <f>IF(OR(Model!DU266&lt;&gt;"",Model!DT266&lt;&gt;"",Model!DU286&lt;&gt;"",Model!DT286&lt;&gt;""),((Model!DT266+Model!DT286)+(Model!DU286+Model!DU266))/2,"")</f>
        <v>12073.5</v>
      </c>
      <c r="DV115" s="158">
        <f>IF(OR(Model!DV266&lt;&gt;"",Model!DU266&lt;&gt;"",Model!DV286&lt;&gt;"",Model!DU286&lt;&gt;""),((Model!DU266+Model!DU286)+(Model!DV286+Model!DV266))/2,"")</f>
        <v>11731</v>
      </c>
      <c r="DW115" s="152">
        <f>IF(OR(Model!DW266&lt;&gt;"",Model!DV266&lt;&gt;"",Model!DW286&lt;&gt;"",Model!DV286&lt;&gt;""),((Model!DV266+Model!DV286)+(Model!DW286+Model!DW266))/2,"")</f>
        <v>11498</v>
      </c>
      <c r="DX115" s="158">
        <f>IF(OR(Model!DX266&lt;&gt;"",Model!DW266&lt;&gt;"",Model!DX286&lt;&gt;"",Model!DW286&lt;&gt;""),((Model!DW266+Model!DW286)+(Model!DX286+Model!DX266))/2,"")</f>
        <v>11318</v>
      </c>
      <c r="DY115" s="158">
        <f>IF(OR(Model!DY266&lt;&gt;"",Model!DX266&lt;&gt;"",Model!DY286&lt;&gt;"",Model!DX286&lt;&gt;""),((Model!DX266+Model!DX286)+(Model!DY286+Model!DY266))/2,"")</f>
        <v>11138</v>
      </c>
      <c r="DZ115" s="152">
        <f>IF(OR(Model!DZ266&lt;&gt;"",Model!DY266&lt;&gt;"",Model!DZ286&lt;&gt;"",Model!DY286&lt;&gt;""),((Model!DY266+Model!DY286)+(Model!DZ286+Model!DZ266))/2,"")</f>
        <v>11138</v>
      </c>
      <c r="EA115" s="158">
        <f>IF(OR(Model!EA266&lt;&gt;"",Model!DZ266&lt;&gt;"",Model!EA286&lt;&gt;"",Model!DZ286&lt;&gt;""),((Model!DZ266+Model!DZ286)+(Model!EA286+Model!EA266))/2,"")</f>
        <v>11138</v>
      </c>
      <c r="EB115" s="158">
        <f>IF(OR(Model!EB266&lt;&gt;"",Model!EA266&lt;&gt;"",Model!EB286&lt;&gt;"",Model!EA286&lt;&gt;""),((Model!EA266+Model!EA286)+(Model!EB286+Model!EB266))/2,"")</f>
        <v>11138</v>
      </c>
      <c r="EC115" s="152">
        <f>IF(OR(Model!EC266&lt;&gt;"",Model!EB266&lt;&gt;"",Model!EC286&lt;&gt;"",Model!EB286&lt;&gt;""),((Model!EB266+Model!EB286)+(Model!EC286+Model!EC266))/2,"")</f>
        <v>11138</v>
      </c>
      <c r="ED115" s="158">
        <f>IF(OR(Model!ED266&lt;&gt;"",Model!EC266&lt;&gt;"",Model!ED286&lt;&gt;"",Model!EC286&lt;&gt;""),((Model!EC266+Model!EC286)+(Model!ED286+Model!ED266))/2,"")</f>
        <v>11138</v>
      </c>
      <c r="EE115" s="158">
        <f>IF(OR(Model!EE266&lt;&gt;"",Model!ED266&lt;&gt;"",Model!EE286&lt;&gt;"",Model!ED286&lt;&gt;""),((Model!ED266+Model!ED286)+(Model!EE286+Model!EE266))/2,"")</f>
        <v>11138</v>
      </c>
      <c r="EF115" s="152">
        <f>IF(OR(Model!EF266&lt;&gt;"",Model!EE266&lt;&gt;"",Model!EF286&lt;&gt;"",Model!EE286&lt;&gt;""),((Model!EE266+Model!EE286)+(Model!EF286+Model!EF266))/2,"")</f>
        <v>11138</v>
      </c>
      <c r="EG115" s="158">
        <f>IF(OR(Model!EG266&lt;&gt;"",Model!EF266&lt;&gt;"",Model!EG286&lt;&gt;"",Model!EF286&lt;&gt;""),((Model!EF266+Model!EF286)+(Model!EG286+Model!EG266))/2,"")</f>
        <v>11138</v>
      </c>
      <c r="EH115" s="158">
        <f>IF(OR(Model!EH266&lt;&gt;"",Model!EG266&lt;&gt;"",Model!EH286&lt;&gt;"",Model!EG286&lt;&gt;""),((Model!EG266+Model!EG286)+(Model!EH286+Model!EH266))/2,"")</f>
        <v>11138</v>
      </c>
      <c r="EI115" s="152">
        <f>IF(OR(Model!EI266&lt;&gt;"",Model!EH266&lt;&gt;"",Model!EI286&lt;&gt;"",Model!EH286&lt;&gt;""),((Model!EH266+Model!EH286)+(Model!EI286+Model!EI266))/2,"")</f>
        <v>11138</v>
      </c>
      <c r="EJ115" s="158">
        <f>IF(OR(Model!EJ266&lt;&gt;"",Model!EI266&lt;&gt;"",Model!EJ286&lt;&gt;"",Model!EI286&lt;&gt;""),((Model!EI266+Model!EI286)+(Model!EJ286+Model!EJ266))/2,"")</f>
        <v>11138</v>
      </c>
      <c r="EK115" s="158">
        <f>IF(OR(Model!EK266&lt;&gt;"",Model!EJ266&lt;&gt;"",Model!EK286&lt;&gt;"",Model!EJ286&lt;&gt;""),((Model!EJ266+Model!EJ286)+(Model!EK286+Model!EK266))/2,"")</f>
        <v>11138</v>
      </c>
      <c r="EL115" s="152">
        <f>IF(OR(Model!EL266&lt;&gt;"",Model!EK266&lt;&gt;"",Model!EL286&lt;&gt;"",Model!EK286&lt;&gt;""),((Model!EK266+Model!EK286)+(Model!EL286+Model!EL266))/2,"")</f>
        <v>11138</v>
      </c>
      <c r="EM115" s="158">
        <f>IF(OR(Model!EM266&lt;&gt;"",Model!EL266&lt;&gt;"",Model!EM286&lt;&gt;"",Model!EL286&lt;&gt;""),((Model!EL266+Model!EL286)+(Model!EM286+Model!EM266))/2,"")</f>
        <v>11138</v>
      </c>
      <c r="EN115" s="158">
        <f>IF(OR(Model!EN266&lt;&gt;"",Model!EM266&lt;&gt;"",Model!EN286&lt;&gt;"",Model!EM286&lt;&gt;""),((Model!EM266+Model!EM286)+(Model!EN286+Model!EN266))/2,"")</f>
        <v>11138</v>
      </c>
      <c r="EO115" s="152">
        <f>IF(OR(Model!EO266&lt;&gt;"",Model!EN266&lt;&gt;"",Model!EO286&lt;&gt;"",Model!EN286&lt;&gt;""),((Model!EN266+Model!EN286)+(Model!EO286+Model!EO266))/2,"")</f>
        <v>11138</v>
      </c>
      <c r="EP115" s="158">
        <f>IF(OR(Model!EP266&lt;&gt;"",Model!EO266&lt;&gt;"",Model!EP286&lt;&gt;"",Model!EO286&lt;&gt;""),((Model!EO266+Model!EO286)+(Model!EP286+Model!EP266))/2,"")</f>
        <v>11138</v>
      </c>
      <c r="EQ115" s="158">
        <f>IF(OR(Model!EQ266&lt;&gt;"",Model!EP266&lt;&gt;"",Model!EQ286&lt;&gt;"",Model!EP286&lt;&gt;""),((Model!EP266+Model!EP286)+(Model!EQ286+Model!EQ266))/2,"")</f>
        <v>11138</v>
      </c>
      <c r="ER115" s="152">
        <f>IF(OR(Model!ER266&lt;&gt;"",Model!EQ266&lt;&gt;"",Model!ER286&lt;&gt;"",Model!EQ286&lt;&gt;""),((Model!EQ266+Model!EQ286)+(Model!ER286+Model!ER266))/2,"")</f>
        <v>11138</v>
      </c>
      <c r="ES115" s="158">
        <f>IF(OR(Model!ES266&lt;&gt;"",Model!ER266&lt;&gt;"",Model!ES286&lt;&gt;"",Model!ER286&lt;&gt;""),((Model!ER266+Model!ER286)+(Model!ES286+Model!ES266))/2,"")</f>
        <v>11138</v>
      </c>
      <c r="ET115" s="158">
        <f>IF(OR(Model!ET266&lt;&gt;"",Model!ES266&lt;&gt;"",Model!ET286&lt;&gt;"",Model!ES286&lt;&gt;""),((Model!ES266+Model!ES286)+(Model!ET286+Model!ET266))/2,"")</f>
        <v>11138</v>
      </c>
      <c r="EU115" s="152">
        <f>IF(OR(Model!EU266&lt;&gt;"",Model!ET266&lt;&gt;"",Model!EU286&lt;&gt;"",Model!ET286&lt;&gt;""),((Model!ET266+Model!ET286)+(Model!EU286+Model!EU266))/2,"")</f>
        <v>11138</v>
      </c>
      <c r="EV115" s="158">
        <f>IF(OR(Model!EV266&lt;&gt;"",Model!EU266&lt;&gt;"",Model!EV286&lt;&gt;"",Model!EU286&lt;&gt;""),((Model!EU266+Model!EU286)+(Model!EV286+Model!EV266))/2,"")</f>
        <v>11138</v>
      </c>
      <c r="EW115" s="158">
        <f>IF(OR(Model!EW266&lt;&gt;"",Model!EV266&lt;&gt;"",Model!EW286&lt;&gt;"",Model!EV286&lt;&gt;""),((Model!EV266+Model!EV286)+(Model!EW286+Model!EW266))/2,"")</f>
        <v>11138</v>
      </c>
      <c r="EX115" s="152">
        <f>IF(OR(Model!EX266&lt;&gt;"",Model!EW266&lt;&gt;"",Model!EX286&lt;&gt;"",Model!EW286&lt;&gt;""),((Model!EW266+Model!EW286)+(Model!EX286+Model!EX266))/2,"")</f>
        <v>11138</v>
      </c>
      <c r="EY115" s="158">
        <f>IF(OR(Model!EY266&lt;&gt;"",Model!EX266&lt;&gt;"",Model!EY286&lt;&gt;"",Model!EX286&lt;&gt;""),((Model!EX266+Model!EX286)+(Model!EY286+Model!EY266))/2,"")</f>
        <v>11138</v>
      </c>
      <c r="EZ115" s="158">
        <f>IF(OR(Model!EZ266&lt;&gt;"",Model!EY266&lt;&gt;"",Model!EZ286&lt;&gt;"",Model!EY286&lt;&gt;""),((Model!EY266+Model!EY286)+(Model!EZ286+Model!EZ266))/2,"")</f>
        <v>11138</v>
      </c>
      <c r="FA115" s="152">
        <f>IF(OR(Model!FA266&lt;&gt;"",Model!EZ266&lt;&gt;"",Model!FA286&lt;&gt;"",Model!EZ286&lt;&gt;""),((Model!EZ266+Model!EZ286)+(Model!FA286+Model!FA266))/2,"")</f>
        <v>11138</v>
      </c>
    </row>
    <row r="116" spans="1:157" ht="13.35" customHeight="1">
      <c r="A116" s="3"/>
      <c r="B116" s="4" t="s">
        <v>84</v>
      </c>
      <c r="C116" s="4"/>
      <c r="D116" s="109"/>
      <c r="E116" s="90" t="str">
        <f>IF(Model!E77&lt;&gt;"",Model!E77,"")</f>
        <v/>
      </c>
      <c r="F116" s="90" t="str">
        <f>IF(G116&lt;&gt;"",G116-E116,"")</f>
        <v/>
      </c>
      <c r="G116" s="90" t="str">
        <f>IF(Model!G77&lt;&gt;"",Model!G77,"")</f>
        <v/>
      </c>
      <c r="H116" s="160" t="str">
        <f>IF(Model!H77&lt;&gt;"",Model!H77,"")</f>
        <v/>
      </c>
      <c r="I116" s="160" t="str">
        <f>IF(J116&lt;&gt;"",J116-H116,"")</f>
        <v/>
      </c>
      <c r="J116" s="160" t="str">
        <f>IF(Model!J77&lt;&gt;"",Model!J77,"")</f>
        <v/>
      </c>
      <c r="K116" s="160" t="str">
        <f>IF(Model!K77&lt;&gt;"",Model!K77,"")</f>
        <v/>
      </c>
      <c r="L116" s="160" t="str">
        <f>IF(M116&lt;&gt;"",M116-K116,"")</f>
        <v/>
      </c>
      <c r="M116" s="160" t="str">
        <f>IF(Model!M77&lt;&gt;"",Model!M77,"")</f>
        <v/>
      </c>
      <c r="N116" s="160" t="str">
        <f>IF(Model!N77&lt;&gt;"",Model!N77,"")</f>
        <v/>
      </c>
      <c r="O116" s="160" t="str">
        <f>IF(P116&lt;&gt;"",P116-N116,"")</f>
        <v/>
      </c>
      <c r="P116" s="160" t="str">
        <f>IF(Model!P77&lt;&gt;"",Model!P77,"")</f>
        <v/>
      </c>
      <c r="Q116" s="160" t="str">
        <f>IF(Model!Q77&lt;&gt;"",Model!Q77,"")</f>
        <v/>
      </c>
      <c r="R116" s="160" t="str">
        <f>IF(S116&lt;&gt;"",S116-Q116,"")</f>
        <v/>
      </c>
      <c r="S116" s="160" t="str">
        <f>IF(Model!S77&lt;&gt;"",Model!S77,"")</f>
        <v/>
      </c>
      <c r="T116" s="160" t="str">
        <f>IF(Model!T77&lt;&gt;"",Model!T77,"")</f>
        <v/>
      </c>
      <c r="U116" s="160" t="str">
        <f>IF(V116&lt;&gt;"",V116-T116,"")</f>
        <v/>
      </c>
      <c r="V116" s="160" t="str">
        <f>IF(Model!V77&lt;&gt;"",Model!V77,"")</f>
        <v/>
      </c>
      <c r="W116" s="160" t="str">
        <f>IF(Model!W77&lt;&gt;"",Model!W77,"")</f>
        <v/>
      </c>
      <c r="X116" s="160" t="str">
        <f>IF(Y116&lt;&gt;"",Y116-W116,"")</f>
        <v/>
      </c>
      <c r="Y116" s="160" t="str">
        <f>IF(Model!Y77&lt;&gt;"",Model!Y77,"")</f>
        <v/>
      </c>
      <c r="Z116" s="160" t="str">
        <f>IF(Model!Z77&lt;&gt;"",Model!Z77,"")</f>
        <v/>
      </c>
      <c r="AA116" s="160" t="str">
        <f>IF(AB116&lt;&gt;"",AB116-Z116,"")</f>
        <v/>
      </c>
      <c r="AB116" s="160" t="str">
        <f>IF(Model!AB77&lt;&gt;"",Model!AB77,"")</f>
        <v/>
      </c>
      <c r="AC116" s="160" t="str">
        <f>IF(Model!AC77&lt;&gt;"",Model!AC77,"")</f>
        <v/>
      </c>
      <c r="AD116" s="160" t="str">
        <f>IF(AE116&lt;&gt;"",AE116-AC116,"")</f>
        <v/>
      </c>
      <c r="AE116" s="160" t="str">
        <f>IF(Model!AE77&lt;&gt;"",Model!AE77,"")</f>
        <v/>
      </c>
      <c r="AF116" s="160" t="str">
        <f>IF(Model!AF77&lt;&gt;"",Model!AF77,"")</f>
        <v/>
      </c>
      <c r="AG116" s="160" t="str">
        <f>IF(AH116&lt;&gt;"",AH116-AF116,"")</f>
        <v/>
      </c>
      <c r="AH116" s="160" t="str">
        <f>IF(Model!AH77&lt;&gt;"",Model!AH77,"")</f>
        <v/>
      </c>
      <c r="AI116" s="160" t="str">
        <f>IF(Model!AI77&lt;&gt;"",Model!AI77,"")</f>
        <v/>
      </c>
      <c r="AJ116" s="160"/>
      <c r="AK116" s="160">
        <f>IF(Model!AK77&lt;&gt;"",Model!AK77,"")</f>
        <v>0</v>
      </c>
      <c r="AL116" s="160" t="str">
        <f>IF(Model!AL77&lt;&gt;"",Model!AL77,"")</f>
        <v/>
      </c>
      <c r="AM116" s="160"/>
      <c r="AN116" s="160">
        <f>IF(Model!AN77&lt;&gt;"",Model!AN77,"")</f>
        <v>3.7629999999999999</v>
      </c>
      <c r="AO116" s="160" t="str">
        <f>IF(Model!AO77&lt;&gt;"",Model!AO77,"")</f>
        <v/>
      </c>
      <c r="AP116" s="160"/>
      <c r="AQ116" s="160">
        <f>IF(Model!AQ77&lt;&gt;"",Model!AQ77,"")</f>
        <v>2.63</v>
      </c>
      <c r="AR116" s="160" t="str">
        <f>IF(Model!AR77&lt;&gt;"",Model!AR77,"")</f>
        <v/>
      </c>
      <c r="AS116" s="160"/>
      <c r="AT116" s="160">
        <f>IF(Model!AT77&lt;&gt;"",Model!AT77,"")</f>
        <v>0.69899999999999995</v>
      </c>
      <c r="AU116" s="160">
        <f>IF(Model!AU77&lt;&gt;"",Model!AU77,"")</f>
        <v>0.40100000000000002</v>
      </c>
      <c r="AV116" s="160">
        <f>IF(AW116&lt;&gt;"",AW116-AU116,"")</f>
        <v>0.30699999999999994</v>
      </c>
      <c r="AW116" s="160">
        <f>IF(Model!AW77&lt;&gt;"",Model!AW77,"")</f>
        <v>0.70799999999999996</v>
      </c>
      <c r="AX116" s="160">
        <f>IF(Model!AX77&lt;&gt;"",Model!AX77,"")</f>
        <v>0.15</v>
      </c>
      <c r="AY116" s="160">
        <f>IF(AZ116&lt;&gt;"",AZ116-AX116,"")</f>
        <v>0.17600000000000002</v>
      </c>
      <c r="AZ116" s="160">
        <f>IF(Model!AZ77&lt;&gt;"",Model!AZ77,"")</f>
        <v>0.32600000000000001</v>
      </c>
      <c r="BA116" s="160">
        <f>IF(AND(BA114&lt;&gt;"",BA115&lt;&gt;""),(BA114/2)*BA115,"")</f>
        <v>0</v>
      </c>
      <c r="BB116" s="160">
        <f>IF(AND(BC116&lt;&gt;"",BA116&lt;&gt;""),BC116-BA116,"")</f>
        <v>0</v>
      </c>
      <c r="BC116" s="160">
        <f>IF(AND(BC114&lt;&gt;"",BC115&lt;&gt;""),BC114*BC115,"")</f>
        <v>0</v>
      </c>
      <c r="BD116" s="160">
        <f>IF(AND(BD114&lt;&gt;"",BD115&lt;&gt;""),(BD114/2)*BD115,"")</f>
        <v>0</v>
      </c>
      <c r="BE116" s="160">
        <f>IF(AND(BF116&lt;&gt;"",BD116&lt;&gt;""),BF116-BD116,"")</f>
        <v>0</v>
      </c>
      <c r="BF116" s="160">
        <f>IF(AND(BF114&lt;&gt;"",BF115&lt;&gt;""),BF114*BF115,"")</f>
        <v>0</v>
      </c>
      <c r="BG116" s="160">
        <f>IF(AND(BG114&lt;&gt;"",BG115&lt;&gt;""),(BG114/2)*BG115,"")</f>
        <v>0</v>
      </c>
      <c r="BH116" s="160">
        <f>IF(AND(BI116&lt;&gt;"",BG116&lt;&gt;""),BI116-BG116,"")</f>
        <v>34.200000000000003</v>
      </c>
      <c r="BI116" s="160">
        <v>34.200000000000003</v>
      </c>
      <c r="BJ116" s="160">
        <f>IF(AND(BJ114&lt;&gt;"",BJ115&lt;&gt;""),(BJ114/2)*BJ115,"")</f>
        <v>0</v>
      </c>
      <c r="BK116" s="160">
        <f>IF(AND(BL116&lt;&gt;"",BJ116&lt;&gt;""),BL116-BJ116,"")</f>
        <v>0</v>
      </c>
      <c r="BL116" s="160">
        <f>IF(AND(BL114&lt;&gt;"",BL115&lt;&gt;""),BL114*BL115,"")</f>
        <v>0</v>
      </c>
      <c r="BM116" s="985">
        <f>IF(AND(BM114&lt;&gt;"",BM115&lt;&gt;""),(BM114/2)*BM115,"")</f>
        <v>0</v>
      </c>
      <c r="BN116" s="985">
        <f>IF(AND(BO116&lt;&gt;"",BM116&lt;&gt;""),BO116-BM116,"")</f>
        <v>0</v>
      </c>
      <c r="BO116" s="985">
        <f>IF(AND(BO114&lt;&gt;"",BO115&lt;&gt;""),BO114*BO115,"")</f>
        <v>0</v>
      </c>
      <c r="BP116" s="160">
        <f>IF(AND(BP114&lt;&gt;"",BP115&lt;&gt;""),(BP114/2)*BP115,"")</f>
        <v>0</v>
      </c>
      <c r="BQ116" s="160">
        <f>IF(AND(BR116&lt;&gt;"",BP116&lt;&gt;""),BR116-BP116,"")</f>
        <v>0</v>
      </c>
      <c r="BR116" s="160">
        <f>IF(AND(BR114&lt;&gt;"",BR115&lt;&gt;""),BR114*BR115,"")</f>
        <v>0</v>
      </c>
      <c r="BS116" s="160">
        <f>IF(AND(BS114&lt;&gt;"",BS115&lt;&gt;""),(BS114/2)*BS115,"")</f>
        <v>0</v>
      </c>
      <c r="BT116" s="160">
        <f>IF(AND(BU116&lt;&gt;"",BS116&lt;&gt;""),BU116-BS116,"")</f>
        <v>0</v>
      </c>
      <c r="BU116" s="160">
        <f>IF(AND(BU114&lt;&gt;"",BU115&lt;&gt;""),BU114*BU115,"")</f>
        <v>0</v>
      </c>
      <c r="BV116" s="160">
        <f>BV117</f>
        <v>25.733000000000001</v>
      </c>
      <c r="BW116" s="160">
        <f>BW117</f>
        <v>24.062999999999999</v>
      </c>
      <c r="BX116" s="160">
        <f>BX117</f>
        <v>49.795999999999999</v>
      </c>
      <c r="BY116" s="160">
        <f>IF(AND(BY114&lt;&gt;"",BY115&lt;&gt;""),(BY114/2)*BY115,"")</f>
        <v>13.754999999999999</v>
      </c>
      <c r="BZ116" s="160">
        <f>IF(AND(CA116&lt;&gt;"",BY116&lt;&gt;""),CA116-BY116,"")</f>
        <v>24.140000000000004</v>
      </c>
      <c r="CA116" s="160">
        <f>IF(AND(CA114&lt;&gt;"",CA115&lt;&gt;""),CA114*CA115,"")</f>
        <v>37.895000000000003</v>
      </c>
      <c r="CB116" s="160">
        <f>IF(AND(CB114&lt;&gt;"",CB115&lt;&gt;""),(CB114/2)*CB115,"")</f>
        <v>8.7449999999999992</v>
      </c>
      <c r="CC116" s="160">
        <f>IF(AND(CD116&lt;&gt;"",CB116&lt;&gt;""),CD116-CB116,"")</f>
        <v>14.895000000000001</v>
      </c>
      <c r="CD116" s="160">
        <f>IF(AND(CD114&lt;&gt;"",CD115&lt;&gt;""),CD114*CD115,"")</f>
        <v>23.64</v>
      </c>
      <c r="CE116" s="160">
        <f>IF(AND(CE114&lt;&gt;"",CE115&lt;&gt;""),(CE114/2)*CE115,"")</f>
        <v>2.4625000000000004</v>
      </c>
      <c r="CF116" s="160">
        <f>IF(AND(CG116&lt;&gt;"",CE116&lt;&gt;""),CG116-CE116,"")</f>
        <v>13.088491726006861</v>
      </c>
      <c r="CG116" s="160">
        <f>IF(AND(CG114&lt;&gt;"",CG115&lt;&gt;""),CG114*CG115,"")</f>
        <v>15.550991726006862</v>
      </c>
      <c r="CH116" s="160">
        <f>IF(AND(CH114&lt;&gt;"",CH115&lt;&gt;""),(CH114/2)*CH115,"")</f>
        <v>17.223281250000003</v>
      </c>
      <c r="CI116" s="160">
        <f>IF(AND(CJ116&lt;&gt;"",CH116&lt;&gt;""),CJ116-CH116,"")</f>
        <v>21.878418749999998</v>
      </c>
      <c r="CJ116" s="160">
        <f>IF(AND(CJ114&lt;&gt;"",CJ115&lt;&gt;""),CJ114*CJ115,"")</f>
        <v>39.101700000000001</v>
      </c>
      <c r="CK116" s="160">
        <f>IF(AND(CK114&lt;&gt;"",CK115&lt;&gt;""),(CK114/2)*CK115,"")</f>
        <v>29.726287500000002</v>
      </c>
      <c r="CL116" s="160">
        <f>IF(AND(CM116&lt;&gt;"",CK116&lt;&gt;""),CM116-CK116,"")</f>
        <v>17.973712500000008</v>
      </c>
      <c r="CM116" s="160">
        <f>IF(AND(CM114&lt;&gt;"",CM115&lt;&gt;""),CM114*CM115,"")</f>
        <v>47.70000000000001</v>
      </c>
      <c r="CN116" s="160">
        <f>IF(AND(CN114&lt;&gt;"",CN115&lt;&gt;""),(CN114/2)*CN115,"")</f>
        <v>26.300000000000011</v>
      </c>
      <c r="CO116" s="160">
        <f>IF(AND(CP116&lt;&gt;"",CN116&lt;&gt;""),CP116-CN116,"")</f>
        <v>26.699999999999989</v>
      </c>
      <c r="CP116" s="160">
        <f>IF(AND(CP114&lt;&gt;"",CP115&lt;&gt;""),CP114*CP115,"")</f>
        <v>53</v>
      </c>
      <c r="CQ116" s="160">
        <f>IF(AND(CQ114&lt;&gt;"",CQ115&lt;&gt;""),(CQ114/2)*CQ115,"")</f>
        <v>28.600000000000005</v>
      </c>
      <c r="CR116" s="160">
        <f>IF(AND(CS116&lt;&gt;"",CQ116&lt;&gt;""),CS116-CQ116,"")</f>
        <v>30.999999999999989</v>
      </c>
      <c r="CS116" s="160">
        <f>IF(AND(CS114&lt;&gt;"",CS115&lt;&gt;""),CS114*CS115,"")</f>
        <v>59.599999999999994</v>
      </c>
      <c r="CT116" s="160">
        <f>IF(AND(CT114&lt;&gt;"",CT115&lt;&gt;""),(CT114/2)*CT115,"")</f>
        <v>33.6</v>
      </c>
      <c r="CU116" s="160">
        <f>IF(AND(CV116&lt;&gt;"",CT116&lt;&gt;""),CV116-CT116,"")</f>
        <v>37.999999999999993</v>
      </c>
      <c r="CV116" s="160">
        <f>IF(AND(CV114&lt;&gt;"",CV115&lt;&gt;""),CV114*CV115,"")</f>
        <v>71.599999999999994</v>
      </c>
      <c r="CW116" s="160">
        <f>IF(AND(CW114&lt;&gt;"",CW115&lt;&gt;""),(CW114/2)*CW115,"")</f>
        <v>41.199999999999996</v>
      </c>
      <c r="CX116" s="160">
        <f>IF(AND(CX114&lt;&gt;"",CX115&lt;&gt;""),(CX114/2)*CX115,"")</f>
        <v>48.79999999999999</v>
      </c>
      <c r="CY116" s="160">
        <f>CW116+CX116</f>
        <v>89.999999999999986</v>
      </c>
      <c r="CZ116" s="160">
        <f>IF(AND(CZ114&lt;&gt;"",CZ115&lt;&gt;""),(CZ114/2)*CZ115,"")</f>
        <v>53.80909307205188</v>
      </c>
      <c r="DA116" s="160">
        <f>IF(AND(DA114&lt;&gt;"",DA115&lt;&gt;""),(DA114/2)*DA115,"")</f>
        <v>66.293999999999997</v>
      </c>
      <c r="DB116" s="160">
        <f>CZ116+DA116</f>
        <v>120.10309307205188</v>
      </c>
      <c r="DC116" s="160">
        <f>IF(AND(DC114&lt;&gt;"",DC115&lt;&gt;""),(DC114/2)*DC115,"")</f>
        <v>96.1</v>
      </c>
      <c r="DD116" s="160">
        <f>IF(AND(DD114&lt;&gt;"",DD115&lt;&gt;""),(DD114/2)*DD115,"")</f>
        <v>80.599999999999966</v>
      </c>
      <c r="DE116" s="161">
        <f>DC116+DD116</f>
        <v>176.69999999999996</v>
      </c>
      <c r="DF116" s="160">
        <f>IF(AND(DF114&lt;&gt;"",DF115&lt;&gt;""),(DF114/2)*DF115,"")</f>
        <v>74.699999999999946</v>
      </c>
      <c r="DG116" s="160">
        <f>IF(AND(DG114&lt;&gt;"",DG115&lt;&gt;""),(DG114/2)*DG115,"")</f>
        <v>76.1394375</v>
      </c>
      <c r="DH116" s="161">
        <f>DF116+DG116</f>
        <v>150.83943749999995</v>
      </c>
      <c r="DI116" s="160">
        <f>IF(AND(DI114&lt;&gt;"",DI115&lt;&gt;""),(DI114/2)*DI115,"")</f>
        <v>108.7</v>
      </c>
      <c r="DJ116" s="160">
        <f>IF(AND(DJ114&lt;&gt;"",DJ115&lt;&gt;""),(DJ114/2)*DJ115,"")</f>
        <v>62.126181250000002</v>
      </c>
      <c r="DK116" s="161">
        <f>DI116+DJ116</f>
        <v>170.82618124999999</v>
      </c>
      <c r="DL116" s="160">
        <f>IF(AND(DL114&lt;&gt;"",DL115&lt;&gt;""),(DL114/2)*DL115,"")</f>
        <v>71.239694999999998</v>
      </c>
      <c r="DM116" s="160">
        <f>IF(AND(DM114&lt;&gt;"",DM115&lt;&gt;""),(DM114/2)*DM115,"")</f>
        <v>93.960304999999991</v>
      </c>
      <c r="DN116" s="161">
        <f>DL116+DM116</f>
        <v>165.2</v>
      </c>
      <c r="DO116" s="160">
        <f>IF(AND(DO114&lt;&gt;"",DO115&lt;&gt;""),(DO114/2)*DO115,"")</f>
        <v>205.7</v>
      </c>
      <c r="DP116" s="160">
        <f>IF(AND(DP114&lt;&gt;"",DP115&lt;&gt;""),(DP114/2)*DP115,"")</f>
        <v>238.3</v>
      </c>
      <c r="DQ116" s="161">
        <f>DO116+DP116</f>
        <v>444</v>
      </c>
      <c r="DR116" s="160">
        <f>IF(AND(DR114&lt;&gt;"",DR115&lt;&gt;""),(DR114/2)*DR115,"")</f>
        <v>253.98612500000002</v>
      </c>
      <c r="DS116" s="160">
        <f>IF(AND(DS114&lt;&gt;"",DR115&lt;&gt;""),(DS114/2)*DR115,"")</f>
        <v>222.01387500000004</v>
      </c>
      <c r="DT116" s="161">
        <f>DR116+DS116</f>
        <v>476.00000000000006</v>
      </c>
      <c r="DU116" s="1787">
        <v>240</v>
      </c>
      <c r="DV116" s="160">
        <f>IF(AND(DV114&lt;&gt;"",DU115&lt;&gt;""),(DV114/2)*DU115,"")</f>
        <v>220.30776031992278</v>
      </c>
      <c r="DW116" s="1848">
        <v>448</v>
      </c>
      <c r="DX116" s="1787">
        <v>215</v>
      </c>
      <c r="DY116" s="160">
        <f>IF(AND(DY114&lt;&gt;"",DX115&lt;&gt;""),(DY114/2)*DX115,"")</f>
        <v>214.99999999999997</v>
      </c>
      <c r="DZ116" s="161">
        <f>DX116+DY116</f>
        <v>430</v>
      </c>
      <c r="EA116" s="160">
        <f>IF(AND(EA114&lt;&gt;"",DY115&lt;&gt;""),(EA114/2)*DY115,"")</f>
        <v>211.58066796253755</v>
      </c>
      <c r="EB116" s="160">
        <f>IF(AND(EB114&lt;&gt;"",EA115&lt;&gt;""),(EB114/2)*EA115,"")</f>
        <v>211.58066796253755</v>
      </c>
      <c r="EC116" s="161">
        <f>EA116+EB116</f>
        <v>423.16133592507509</v>
      </c>
      <c r="ED116" s="160">
        <f>IF(AND(ED114&lt;&gt;"",EB115&lt;&gt;""),(ED114/2)*EB115,"")</f>
        <v>211.58066796253755</v>
      </c>
      <c r="EE116" s="160">
        <f>IF(AND(EE114&lt;&gt;"",ED115&lt;&gt;""),(EE114/2)*ED115,"")</f>
        <v>211.58066796253755</v>
      </c>
      <c r="EF116" s="161">
        <f>ED116+EE116</f>
        <v>423.16133592507509</v>
      </c>
      <c r="EG116" s="160">
        <f>IF(AND(EG114&lt;&gt;"",EE115&lt;&gt;""),(EG114/2)*EE115,"")</f>
        <v>211.58066796253755</v>
      </c>
      <c r="EH116" s="160">
        <f>IF(AND(EH114&lt;&gt;"",EG115&lt;&gt;""),(EH114/2)*EG115,"")</f>
        <v>211.58066796253755</v>
      </c>
      <c r="EI116" s="161">
        <f>EG116+EH116</f>
        <v>423.16133592507509</v>
      </c>
      <c r="EJ116" s="160">
        <f>IF(AND(EJ114&lt;&gt;"",EH115&lt;&gt;""),(EJ114/2)*EH115,"")</f>
        <v>211.58066796253755</v>
      </c>
      <c r="EK116" s="160">
        <f>IF(AND(EK114&lt;&gt;"",EJ115&lt;&gt;""),(EK114/2)*EJ115,"")</f>
        <v>211.58066796253755</v>
      </c>
      <c r="EL116" s="161">
        <f>EJ116+EK116</f>
        <v>423.16133592507509</v>
      </c>
      <c r="EM116" s="160">
        <f>IF(AND(EM114&lt;&gt;"",EK115&lt;&gt;""),(EM114/2)*EK115,"")</f>
        <v>211.58066796253755</v>
      </c>
      <c r="EN116" s="160">
        <f>IF(AND(EN114&lt;&gt;"",EM115&lt;&gt;""),(EN114/2)*EM115,"")</f>
        <v>211.58066796253755</v>
      </c>
      <c r="EO116" s="161">
        <f>EM116+EN116</f>
        <v>423.16133592507509</v>
      </c>
      <c r="EP116" s="160">
        <f>IF(AND(EP114&lt;&gt;"",EN115&lt;&gt;""),(EP114/2)*EN115,"")</f>
        <v>211.58066796253755</v>
      </c>
      <c r="EQ116" s="160">
        <f>IF(AND(EQ114&lt;&gt;"",EP115&lt;&gt;""),(EQ114/2)*EP115,"")</f>
        <v>211.58066796253755</v>
      </c>
      <c r="ER116" s="161">
        <f>EP116+EQ116</f>
        <v>423.16133592507509</v>
      </c>
      <c r="ES116" s="160">
        <f>IF(AND(ES114&lt;&gt;"",EQ115&lt;&gt;""),(ES114/2)*EQ115,"")</f>
        <v>211.58066796253755</v>
      </c>
      <c r="ET116" s="160">
        <f>IF(AND(ET114&lt;&gt;"",ES115&lt;&gt;""),(ET114/2)*ES115,"")</f>
        <v>211.58066796253755</v>
      </c>
      <c r="EU116" s="161">
        <f>ES116+ET116</f>
        <v>423.16133592507509</v>
      </c>
      <c r="EV116" s="160">
        <f>IF(AND(EV114&lt;&gt;"",ET115&lt;&gt;""),(EV114/2)*ET115,"")</f>
        <v>211.58066796253755</v>
      </c>
      <c r="EW116" s="160">
        <f>IF(AND(EW114&lt;&gt;"",EV115&lt;&gt;""),(EW114/2)*EV115,"")</f>
        <v>211.58066796253755</v>
      </c>
      <c r="EX116" s="161">
        <f>EV116+EW116</f>
        <v>423.16133592507509</v>
      </c>
      <c r="EY116" s="160">
        <f>IF(AND(EY114&lt;&gt;"",EW115&lt;&gt;""),(EY114/2)*EW115,"")</f>
        <v>211.58066796253755</v>
      </c>
      <c r="EZ116" s="160">
        <f>IF(AND(EZ114&lt;&gt;"",EY115&lt;&gt;""),(EZ114/2)*EY115,"")</f>
        <v>211.58066796253755</v>
      </c>
      <c r="FA116" s="161">
        <f>EY116+EZ116</f>
        <v>423.16133592507509</v>
      </c>
    </row>
    <row r="117" spans="1:157" ht="13.35" customHeight="1">
      <c r="A117" s="3"/>
      <c r="B117" s="5" t="s">
        <v>85</v>
      </c>
      <c r="C117" s="5"/>
      <c r="D117" s="5"/>
      <c r="E117" s="87" t="str">
        <f>IF(Model!E77&lt;&gt;"",Model!E77,"")</f>
        <v/>
      </c>
      <c r="F117" s="87" t="str">
        <f>IF(G117&lt;&gt;"",G117-E117,"")</f>
        <v/>
      </c>
      <c r="G117" s="87" t="str">
        <f>IF(Model!G77&lt;&gt;"",Model!G77,"")</f>
        <v/>
      </c>
      <c r="H117" s="158" t="str">
        <f>IF(Model!H77&lt;&gt;"",Model!H77,"")</f>
        <v/>
      </c>
      <c r="I117" s="158" t="str">
        <f>IF(J117&lt;&gt;"",J117-H117,"")</f>
        <v/>
      </c>
      <c r="J117" s="158" t="str">
        <f>IF(Model!J77&lt;&gt;"",Model!J77,"")</f>
        <v/>
      </c>
      <c r="K117" s="158" t="str">
        <f>IF(Model!K77&lt;&gt;"",Model!K77,"")</f>
        <v/>
      </c>
      <c r="L117" s="158" t="str">
        <f>IF(M117&lt;&gt;"",M117-K117,"")</f>
        <v/>
      </c>
      <c r="M117" s="158" t="str">
        <f>IF(Model!M77&lt;&gt;"",Model!M77,"")</f>
        <v/>
      </c>
      <c r="N117" s="158" t="str">
        <f>IF(Model!N77&lt;&gt;"",Model!N77,"")</f>
        <v/>
      </c>
      <c r="O117" s="158" t="str">
        <f>IF(P117&lt;&gt;"",P117-N117,"")</f>
        <v/>
      </c>
      <c r="P117" s="158" t="str">
        <f>IF(Model!P77&lt;&gt;"",Model!P77,"")</f>
        <v/>
      </c>
      <c r="Q117" s="158" t="str">
        <f>IF(Model!Q77&lt;&gt;"",Model!Q77,"")</f>
        <v/>
      </c>
      <c r="R117" s="158" t="str">
        <f>IF(S117&lt;&gt;"",S117-Q117,"")</f>
        <v/>
      </c>
      <c r="S117" s="158" t="str">
        <f>IF(Model!S77&lt;&gt;"",Model!S77,"")</f>
        <v/>
      </c>
      <c r="T117" s="158" t="str">
        <f>IF(Model!T77&lt;&gt;"",Model!T77,"")</f>
        <v/>
      </c>
      <c r="U117" s="158" t="str">
        <f>IF(V117&lt;&gt;"",V117-T117,"")</f>
        <v/>
      </c>
      <c r="V117" s="158" t="str">
        <f>IF(Model!V77&lt;&gt;"",Model!V77,"")</f>
        <v/>
      </c>
      <c r="W117" s="158" t="str">
        <f>IF(Model!W77&lt;&gt;"",Model!W77,"")</f>
        <v/>
      </c>
      <c r="X117" s="158" t="str">
        <f>IF(Y117&lt;&gt;"",Y117-W117,"")</f>
        <v/>
      </c>
      <c r="Y117" s="158" t="str">
        <f>IF(Model!Y77&lt;&gt;"",Model!Y77,"")</f>
        <v/>
      </c>
      <c r="Z117" s="158" t="str">
        <f>IF(Model!Z77&lt;&gt;"",Model!Z77,"")</f>
        <v/>
      </c>
      <c r="AA117" s="158" t="str">
        <f>IF(AB117&lt;&gt;"",AB117-Z117,"")</f>
        <v/>
      </c>
      <c r="AB117" s="158" t="str">
        <f>IF(Model!AB77&lt;&gt;"",Model!AB77,"")</f>
        <v/>
      </c>
      <c r="AC117" s="158" t="str">
        <f>IF(Model!AC77&lt;&gt;"",Model!AC77,"")</f>
        <v/>
      </c>
      <c r="AD117" s="158" t="str">
        <f>IF(AE117&lt;&gt;"",AE117-AC117,"")</f>
        <v/>
      </c>
      <c r="AE117" s="158" t="str">
        <f>IF(Model!AE77&lt;&gt;"",Model!AE77,"")</f>
        <v/>
      </c>
      <c r="AF117" s="158" t="str">
        <f>IF(Model!AF77&lt;&gt;"",Model!AF77,"")</f>
        <v/>
      </c>
      <c r="AG117" s="158" t="str">
        <f>IF(AH117&lt;&gt;"",AH117-AF117,"")</f>
        <v/>
      </c>
      <c r="AH117" s="158" t="str">
        <f>IF(Model!AH77&lt;&gt;"",Model!AH77,"")</f>
        <v/>
      </c>
      <c r="AI117" s="158" t="str">
        <f>IF(Model!AI77&lt;&gt;"",Model!AI77,"")</f>
        <v/>
      </c>
      <c r="AJ117" s="158"/>
      <c r="AK117" s="158">
        <f>IF(Model!AK77&lt;&gt;"",Model!AK77,"")</f>
        <v>0</v>
      </c>
      <c r="AL117" s="158" t="str">
        <f>IF(Model!AL77&lt;&gt;"",Model!AL77,"")</f>
        <v/>
      </c>
      <c r="AM117" s="158"/>
      <c r="AN117" s="158">
        <f>IF(Model!AN77&lt;&gt;"",Model!AN77,"")</f>
        <v>3.7629999999999999</v>
      </c>
      <c r="AO117" s="158" t="str">
        <f>IF(Model!AO77&lt;&gt;"",Model!AO77,"")</f>
        <v/>
      </c>
      <c r="AP117" s="158"/>
      <c r="AQ117" s="158">
        <f>IF(Model!AQ77&lt;&gt;"",Model!AQ77,"")</f>
        <v>2.63</v>
      </c>
      <c r="AR117" s="158" t="str">
        <f>IF(Model!AR77&lt;&gt;"",Model!AR77,"")</f>
        <v/>
      </c>
      <c r="AS117" s="158"/>
      <c r="AT117" s="158">
        <f>Model!AT77</f>
        <v>0.69899999999999995</v>
      </c>
      <c r="AU117" s="158">
        <f>Model!AU77</f>
        <v>0.40100000000000002</v>
      </c>
      <c r="AV117" s="158">
        <f>Model!AV77</f>
        <v>0.30699999999999994</v>
      </c>
      <c r="AW117" s="158">
        <f>Model!AW77</f>
        <v>0.70799999999999996</v>
      </c>
      <c r="AX117" s="158">
        <f>Model!AX77</f>
        <v>0.15</v>
      </c>
      <c r="AY117" s="158">
        <f>Model!AY77</f>
        <v>0.17600000000000002</v>
      </c>
      <c r="AZ117" s="158">
        <f>Model!AZ77</f>
        <v>0.32600000000000001</v>
      </c>
      <c r="BA117" s="158">
        <f>Model!BA77</f>
        <v>11.119</v>
      </c>
      <c r="BB117" s="158">
        <f>Model!BB77</f>
        <v>17.881</v>
      </c>
      <c r="BC117" s="158">
        <f>Model!BC77</f>
        <v>29</v>
      </c>
      <c r="BD117" s="158">
        <f>Model!BD77</f>
        <v>18.577999999999999</v>
      </c>
      <c r="BE117" s="158">
        <f>Model!BE77</f>
        <v>14.879000000000001</v>
      </c>
      <c r="BF117" s="158">
        <f>Model!BF77</f>
        <v>33.457000000000001</v>
      </c>
      <c r="BG117" s="158">
        <f>Model!BG77</f>
        <v>16.100000000000001</v>
      </c>
      <c r="BH117" s="158">
        <f>Model!BH77</f>
        <v>18.128</v>
      </c>
      <c r="BI117" s="158">
        <f>Model!BI77</f>
        <v>34.228000000000002</v>
      </c>
      <c r="BJ117" s="158">
        <f>Model!BJ77</f>
        <v>10.965</v>
      </c>
      <c r="BK117" s="158">
        <f>Model!BK77</f>
        <v>12.777000000000001</v>
      </c>
      <c r="BL117" s="158">
        <f>Model!BL77</f>
        <v>23.742000000000001</v>
      </c>
      <c r="BM117" s="158">
        <f>Model!BM77</f>
        <v>19.373999999999999</v>
      </c>
      <c r="BN117" s="158">
        <f>Model!BN77</f>
        <v>22.266000000000002</v>
      </c>
      <c r="BO117" s="158">
        <f>Model!BO77</f>
        <v>41.64</v>
      </c>
      <c r="BP117" s="158">
        <f>Model!BP77</f>
        <v>31.617999999999999</v>
      </c>
      <c r="BQ117" s="158">
        <f>Model!BQ77</f>
        <v>9.8990000000000045</v>
      </c>
      <c r="BR117" s="158">
        <f>Model!BR77</f>
        <v>41.517000000000003</v>
      </c>
      <c r="BS117" s="158">
        <f>Model!BS77</f>
        <v>23.664000000000001</v>
      </c>
      <c r="BT117" s="158">
        <f>Model!BT77</f>
        <v>21.524000000000001</v>
      </c>
      <c r="BU117" s="158">
        <f>Model!BU77</f>
        <v>45.188000000000002</v>
      </c>
      <c r="BV117" s="158">
        <f>Model!BV77</f>
        <v>25.733000000000001</v>
      </c>
      <c r="BW117" s="158">
        <f>Model!BW77</f>
        <v>24.062999999999999</v>
      </c>
      <c r="BX117" s="158">
        <f>Model!BX77</f>
        <v>49.795999999999999</v>
      </c>
      <c r="BY117" s="158">
        <f t="shared" ref="BY117:CD117" si="115">BY116</f>
        <v>13.754999999999999</v>
      </c>
      <c r="BZ117" s="158">
        <f t="shared" si="115"/>
        <v>24.140000000000004</v>
      </c>
      <c r="CA117" s="158">
        <f t="shared" si="115"/>
        <v>37.895000000000003</v>
      </c>
      <c r="CB117" s="158">
        <f t="shared" si="115"/>
        <v>8.7449999999999992</v>
      </c>
      <c r="CC117" s="158">
        <f t="shared" si="115"/>
        <v>14.895000000000001</v>
      </c>
      <c r="CD117" s="158">
        <f t="shared" si="115"/>
        <v>23.64</v>
      </c>
      <c r="CE117" s="158">
        <f t="shared" ref="CE117:CS117" si="116">CE116</f>
        <v>2.4625000000000004</v>
      </c>
      <c r="CF117" s="158">
        <f t="shared" si="116"/>
        <v>13.088491726006861</v>
      </c>
      <c r="CG117" s="158">
        <f t="shared" si="116"/>
        <v>15.550991726006862</v>
      </c>
      <c r="CH117" s="158">
        <f t="shared" si="116"/>
        <v>17.223281250000003</v>
      </c>
      <c r="CI117" s="158">
        <f t="shared" si="116"/>
        <v>21.878418749999998</v>
      </c>
      <c r="CJ117" s="158">
        <f t="shared" si="116"/>
        <v>39.101700000000001</v>
      </c>
      <c r="CK117" s="158">
        <f t="shared" si="116"/>
        <v>29.726287500000002</v>
      </c>
      <c r="CL117" s="158">
        <f t="shared" si="116"/>
        <v>17.973712500000008</v>
      </c>
      <c r="CM117" s="158">
        <f t="shared" si="116"/>
        <v>47.70000000000001</v>
      </c>
      <c r="CN117" s="158">
        <f t="shared" si="116"/>
        <v>26.300000000000011</v>
      </c>
      <c r="CO117" s="158">
        <f t="shared" si="116"/>
        <v>26.699999999999989</v>
      </c>
      <c r="CP117" s="158">
        <f t="shared" si="116"/>
        <v>53</v>
      </c>
      <c r="CQ117" s="158">
        <f t="shared" si="116"/>
        <v>28.600000000000005</v>
      </c>
      <c r="CR117" s="158">
        <f t="shared" si="116"/>
        <v>30.999999999999989</v>
      </c>
      <c r="CS117" s="158">
        <f t="shared" si="116"/>
        <v>59.599999999999994</v>
      </c>
      <c r="CT117" s="158">
        <f t="shared" ref="CT117:CY117" si="117">CT116</f>
        <v>33.6</v>
      </c>
      <c r="CU117" s="158">
        <f t="shared" si="117"/>
        <v>37.999999999999993</v>
      </c>
      <c r="CV117" s="158">
        <f t="shared" si="117"/>
        <v>71.599999999999994</v>
      </c>
      <c r="CW117" s="158">
        <f t="shared" si="117"/>
        <v>41.199999999999996</v>
      </c>
      <c r="CX117" s="158">
        <f t="shared" si="117"/>
        <v>48.79999999999999</v>
      </c>
      <c r="CY117" s="158">
        <f t="shared" si="117"/>
        <v>89.999999999999986</v>
      </c>
      <c r="CZ117" s="158">
        <f>CZ116</f>
        <v>53.80909307205188</v>
      </c>
      <c r="DA117" s="158">
        <f>DA116</f>
        <v>66.293999999999997</v>
      </c>
      <c r="DB117" s="158">
        <f>DB116</f>
        <v>120.10309307205188</v>
      </c>
      <c r="DC117" s="158">
        <f t="shared" ref="DC117:DH117" si="118">DC116</f>
        <v>96.1</v>
      </c>
      <c r="DD117" s="158">
        <f t="shared" si="118"/>
        <v>80.599999999999966</v>
      </c>
      <c r="DE117" s="152">
        <f t="shared" si="118"/>
        <v>176.69999999999996</v>
      </c>
      <c r="DF117" s="158">
        <f t="shared" si="118"/>
        <v>74.699999999999946</v>
      </c>
      <c r="DG117" s="158">
        <f t="shared" si="118"/>
        <v>76.1394375</v>
      </c>
      <c r="DH117" s="152">
        <f t="shared" si="118"/>
        <v>150.83943749999995</v>
      </c>
      <c r="DI117" s="158">
        <f t="shared" ref="DI117:DT117" si="119">DI116</f>
        <v>108.7</v>
      </c>
      <c r="DJ117" s="158">
        <f t="shared" si="119"/>
        <v>62.126181250000002</v>
      </c>
      <c r="DK117" s="152">
        <f t="shared" si="119"/>
        <v>170.82618124999999</v>
      </c>
      <c r="DL117" s="158">
        <f t="shared" si="119"/>
        <v>71.239694999999998</v>
      </c>
      <c r="DM117" s="158">
        <f t="shared" si="119"/>
        <v>93.960304999999991</v>
      </c>
      <c r="DN117" s="152">
        <f t="shared" si="119"/>
        <v>165.2</v>
      </c>
      <c r="DO117" s="158">
        <f t="shared" si="119"/>
        <v>205.7</v>
      </c>
      <c r="DP117" s="158">
        <f t="shared" si="119"/>
        <v>238.3</v>
      </c>
      <c r="DQ117" s="152">
        <f t="shared" si="119"/>
        <v>444</v>
      </c>
      <c r="DR117" s="158">
        <f t="shared" si="119"/>
        <v>253.98612500000002</v>
      </c>
      <c r="DS117" s="158">
        <f t="shared" si="119"/>
        <v>222.01387500000004</v>
      </c>
      <c r="DT117" s="152">
        <f t="shared" si="119"/>
        <v>476.00000000000006</v>
      </c>
      <c r="DU117" s="158">
        <f t="shared" ref="DU117:EU117" si="120">DU116</f>
        <v>240</v>
      </c>
      <c r="DV117" s="158">
        <f t="shared" si="120"/>
        <v>220.30776031992278</v>
      </c>
      <c r="DW117" s="152">
        <f t="shared" si="120"/>
        <v>448</v>
      </c>
      <c r="DX117" s="158">
        <f t="shared" ref="DX117" si="121">DX116</f>
        <v>215</v>
      </c>
      <c r="DY117" s="158">
        <f t="shared" si="120"/>
        <v>214.99999999999997</v>
      </c>
      <c r="DZ117" s="152">
        <f t="shared" si="120"/>
        <v>430</v>
      </c>
      <c r="EA117" s="158">
        <f t="shared" si="120"/>
        <v>211.58066796253755</v>
      </c>
      <c r="EB117" s="158">
        <f t="shared" si="120"/>
        <v>211.58066796253755</v>
      </c>
      <c r="EC117" s="152">
        <f t="shared" si="120"/>
        <v>423.16133592507509</v>
      </c>
      <c r="ED117" s="158">
        <f t="shared" si="120"/>
        <v>211.58066796253755</v>
      </c>
      <c r="EE117" s="158">
        <f t="shared" si="120"/>
        <v>211.58066796253755</v>
      </c>
      <c r="EF117" s="152">
        <f t="shared" si="120"/>
        <v>423.16133592507509</v>
      </c>
      <c r="EG117" s="158">
        <f t="shared" si="120"/>
        <v>211.58066796253755</v>
      </c>
      <c r="EH117" s="158">
        <f t="shared" si="120"/>
        <v>211.58066796253755</v>
      </c>
      <c r="EI117" s="152">
        <f t="shared" si="120"/>
        <v>423.16133592507509</v>
      </c>
      <c r="EJ117" s="158">
        <f t="shared" si="120"/>
        <v>211.58066796253755</v>
      </c>
      <c r="EK117" s="158">
        <f t="shared" si="120"/>
        <v>211.58066796253755</v>
      </c>
      <c r="EL117" s="152">
        <f t="shared" si="120"/>
        <v>423.16133592507509</v>
      </c>
      <c r="EM117" s="158">
        <f t="shared" si="120"/>
        <v>211.58066796253755</v>
      </c>
      <c r="EN117" s="158">
        <f t="shared" si="120"/>
        <v>211.58066796253755</v>
      </c>
      <c r="EO117" s="152">
        <f t="shared" si="120"/>
        <v>423.16133592507509</v>
      </c>
      <c r="EP117" s="158">
        <f t="shared" si="120"/>
        <v>211.58066796253755</v>
      </c>
      <c r="EQ117" s="158">
        <f t="shared" si="120"/>
        <v>211.58066796253755</v>
      </c>
      <c r="ER117" s="152">
        <f t="shared" si="120"/>
        <v>423.16133592507509</v>
      </c>
      <c r="ES117" s="158">
        <f t="shared" si="120"/>
        <v>211.58066796253755</v>
      </c>
      <c r="ET117" s="158">
        <f t="shared" si="120"/>
        <v>211.58066796253755</v>
      </c>
      <c r="EU117" s="152">
        <f t="shared" si="120"/>
        <v>423.16133592507509</v>
      </c>
      <c r="EV117" s="158">
        <f t="shared" ref="EV117:FA117" si="122">EV116</f>
        <v>211.58066796253755</v>
      </c>
      <c r="EW117" s="158">
        <f t="shared" si="122"/>
        <v>211.58066796253755</v>
      </c>
      <c r="EX117" s="152">
        <f t="shared" si="122"/>
        <v>423.16133592507509</v>
      </c>
      <c r="EY117" s="158">
        <f t="shared" si="122"/>
        <v>211.58066796253755</v>
      </c>
      <c r="EZ117" s="158">
        <f t="shared" si="122"/>
        <v>211.58066796253755</v>
      </c>
      <c r="FA117" s="152">
        <f t="shared" si="122"/>
        <v>423.16133592507509</v>
      </c>
    </row>
    <row r="118" spans="1:157" ht="13.35" customHeight="1">
      <c r="A118" s="3"/>
      <c r="B118" s="86"/>
      <c r="C118" s="110"/>
      <c r="D118" s="110"/>
      <c r="E118" s="84"/>
      <c r="F118" s="84"/>
      <c r="G118" s="84"/>
      <c r="H118" s="84"/>
      <c r="I118" s="84"/>
      <c r="J118" s="84"/>
      <c r="K118" s="84"/>
      <c r="L118" s="84"/>
      <c r="M118" s="84"/>
      <c r="N118" s="84"/>
      <c r="O118" s="84"/>
      <c r="P118" s="84"/>
      <c r="Q118" s="84"/>
      <c r="R118" s="84"/>
      <c r="S118" s="84"/>
      <c r="T118" s="84"/>
      <c r="U118" s="84"/>
      <c r="V118" s="84"/>
      <c r="W118" s="84"/>
      <c r="X118" s="84"/>
      <c r="Y118" s="84"/>
      <c r="Z118" s="84"/>
      <c r="AA118" s="84"/>
      <c r="AB118" s="84"/>
      <c r="AC118" s="84"/>
      <c r="AD118" s="84"/>
      <c r="AE118" s="84"/>
      <c r="AF118" s="84"/>
      <c r="AG118" s="84"/>
      <c r="AH118" s="84"/>
      <c r="AI118" s="84"/>
      <c r="AJ118" s="84"/>
      <c r="AK118" s="84"/>
      <c r="AL118" s="84"/>
      <c r="AM118" s="84"/>
      <c r="AN118" s="84"/>
      <c r="AO118" s="84"/>
      <c r="AP118" s="84"/>
      <c r="AQ118" s="84"/>
      <c r="AR118" s="84"/>
      <c r="AS118" s="84"/>
      <c r="AT118" s="84"/>
      <c r="AU118" s="84"/>
      <c r="AV118" s="84"/>
      <c r="AW118" s="84"/>
      <c r="AX118" s="84"/>
      <c r="AY118" s="84"/>
      <c r="AZ118" s="84"/>
      <c r="BA118" s="84"/>
      <c r="BB118" s="84"/>
      <c r="BC118" s="84"/>
      <c r="BD118" s="84"/>
      <c r="BE118" s="84"/>
      <c r="BF118" s="84"/>
      <c r="BG118" s="84"/>
      <c r="BH118" s="84"/>
      <c r="BI118" s="84"/>
      <c r="BJ118" s="84"/>
      <c r="BK118" s="84"/>
      <c r="BL118" s="84"/>
      <c r="BM118" s="84"/>
      <c r="BN118" s="84"/>
      <c r="BO118" s="84"/>
      <c r="BP118" s="84"/>
      <c r="BQ118" s="84"/>
      <c r="BR118" s="84"/>
      <c r="BS118" s="84"/>
      <c r="BT118" s="84"/>
      <c r="BU118" s="84"/>
      <c r="BV118" s="84"/>
      <c r="BW118" s="84"/>
      <c r="BX118" s="84"/>
      <c r="BY118" s="84"/>
      <c r="BZ118" s="84"/>
      <c r="CA118" s="84"/>
      <c r="CB118" s="84"/>
      <c r="CC118" s="84"/>
      <c r="CD118" s="84"/>
      <c r="CE118" s="84"/>
      <c r="CF118" s="84"/>
      <c r="CG118" s="84"/>
      <c r="CH118" s="84"/>
      <c r="CI118" s="84"/>
      <c r="CJ118" s="84"/>
      <c r="CK118" s="84"/>
      <c r="CL118" s="111"/>
      <c r="CM118" s="84"/>
      <c r="CN118" s="84"/>
      <c r="CO118" s="84"/>
      <c r="CP118" s="84"/>
      <c r="CQ118" s="84"/>
      <c r="CR118" s="84"/>
      <c r="CS118" s="84">
        <f>+Model!CS75</f>
        <v>44</v>
      </c>
      <c r="CT118" s="84"/>
      <c r="CU118" s="84"/>
      <c r="CV118" s="84">
        <f>+Model!CV75</f>
        <v>57.7</v>
      </c>
      <c r="CW118" s="84"/>
      <c r="CX118" s="84"/>
      <c r="CY118" s="84"/>
      <c r="CZ118" s="84"/>
      <c r="DA118" s="84"/>
      <c r="DB118" s="84" t="s">
        <v>853</v>
      </c>
      <c r="DC118" s="84">
        <f>DC117-35</f>
        <v>61.099999999999994</v>
      </c>
      <c r="DD118" s="84">
        <f>DE118-DC118</f>
        <v>-61.099999999999994</v>
      </c>
      <c r="DE118" s="140"/>
      <c r="DF118" s="84"/>
      <c r="DG118" s="84"/>
      <c r="DH118" s="140"/>
      <c r="DI118" s="84"/>
      <c r="DJ118" s="84"/>
      <c r="DK118" s="140"/>
      <c r="DL118" s="84"/>
      <c r="DM118" s="84"/>
      <c r="DN118" s="140"/>
      <c r="DO118" s="84"/>
      <c r="DP118" s="84"/>
      <c r="DQ118" s="140"/>
      <c r="DR118" s="84"/>
      <c r="DS118" s="84"/>
      <c r="DT118" s="140"/>
      <c r="DU118" s="84"/>
      <c r="DV118" s="84"/>
      <c r="DW118" s="140"/>
      <c r="DX118" s="84"/>
      <c r="DY118" s="84"/>
      <c r="DZ118" s="140"/>
      <c r="EA118" s="84"/>
      <c r="EB118" s="84"/>
      <c r="EC118" s="140"/>
      <c r="ED118" s="84"/>
      <c r="EE118" s="84"/>
      <c r="EF118" s="140"/>
      <c r="EG118" s="84"/>
      <c r="EH118" s="84"/>
      <c r="EI118" s="140"/>
      <c r="EJ118" s="84"/>
      <c r="EK118" s="84"/>
      <c r="EL118" s="140"/>
      <c r="EM118" s="84"/>
      <c r="EN118" s="84"/>
      <c r="EO118" s="140"/>
      <c r="EP118" s="84"/>
      <c r="EQ118" s="84"/>
      <c r="ER118" s="140"/>
      <c r="ES118" s="84"/>
      <c r="ET118" s="84"/>
      <c r="EU118" s="140"/>
      <c r="EV118" s="84"/>
      <c r="EW118" s="84"/>
      <c r="EX118" s="140"/>
      <c r="EY118" s="84"/>
      <c r="EZ118" s="84"/>
      <c r="FA118" s="140"/>
    </row>
    <row r="119" spans="1:157" ht="13.35" customHeight="1">
      <c r="A119" s="3"/>
      <c r="B119" s="86"/>
      <c r="C119" s="110"/>
      <c r="D119" s="110"/>
      <c r="E119" s="84"/>
      <c r="F119" s="84"/>
      <c r="G119" s="84"/>
      <c r="H119" s="84"/>
      <c r="I119" s="84"/>
      <c r="J119" s="84"/>
      <c r="K119" s="84"/>
      <c r="L119" s="84"/>
      <c r="M119" s="84"/>
      <c r="N119" s="84"/>
      <c r="O119" s="84"/>
      <c r="P119" s="84"/>
      <c r="Q119" s="84"/>
      <c r="R119" s="84"/>
      <c r="S119" s="84"/>
      <c r="T119" s="84"/>
      <c r="U119" s="84"/>
      <c r="V119" s="84"/>
      <c r="W119" s="84"/>
      <c r="X119" s="84"/>
      <c r="Y119" s="84"/>
      <c r="Z119" s="84"/>
      <c r="AA119" s="84"/>
      <c r="AB119" s="84"/>
      <c r="AC119" s="84"/>
      <c r="AD119" s="84"/>
      <c r="AE119" s="84"/>
      <c r="AF119" s="84"/>
      <c r="AG119" s="84"/>
      <c r="AH119" s="84"/>
      <c r="AI119" s="84"/>
      <c r="AJ119" s="84"/>
      <c r="AK119" s="84"/>
      <c r="AL119" s="84"/>
      <c r="AM119" s="84"/>
      <c r="AN119" s="84"/>
      <c r="AO119" s="84"/>
      <c r="AP119" s="84"/>
      <c r="AQ119" s="84"/>
      <c r="AR119" s="84"/>
      <c r="AS119" s="84"/>
      <c r="AT119" s="84"/>
      <c r="AU119" s="84"/>
      <c r="AV119" s="84"/>
      <c r="AW119" s="84"/>
      <c r="AX119" s="84"/>
      <c r="AY119" s="84"/>
      <c r="AZ119" s="84"/>
      <c r="BA119" s="84"/>
      <c r="BB119" s="84"/>
      <c r="BC119" s="84"/>
      <c r="BD119" s="84"/>
      <c r="BE119" s="84"/>
      <c r="BF119" s="84"/>
      <c r="BG119" s="84"/>
      <c r="BH119" s="84"/>
      <c r="BI119" s="84"/>
      <c r="BJ119" s="84"/>
      <c r="BK119" s="84"/>
      <c r="BL119" s="84"/>
      <c r="BM119" s="84"/>
      <c r="BN119" s="84"/>
      <c r="BO119" s="84"/>
      <c r="BP119" s="84"/>
      <c r="BQ119" s="84"/>
      <c r="BR119" s="84"/>
      <c r="BS119" s="84"/>
      <c r="BT119" s="84"/>
      <c r="BU119" s="84"/>
      <c r="BV119" s="84"/>
      <c r="BW119" s="84"/>
      <c r="BX119" s="84"/>
      <c r="BY119" s="84"/>
      <c r="BZ119" s="84"/>
      <c r="CA119" s="84"/>
      <c r="CB119" s="84"/>
      <c r="CC119" s="84"/>
      <c r="CD119" s="84"/>
      <c r="CE119" s="84"/>
      <c r="CF119" s="84"/>
      <c r="CG119" s="84"/>
      <c r="CH119" s="84"/>
      <c r="CI119" s="84"/>
      <c r="CJ119" s="84"/>
      <c r="CK119" s="84"/>
      <c r="CL119" s="111"/>
      <c r="CM119" s="84"/>
      <c r="CN119" s="84"/>
      <c r="CO119" s="84"/>
      <c r="CP119" s="84"/>
      <c r="CQ119" s="84"/>
      <c r="CR119" s="84"/>
      <c r="CS119" s="84"/>
      <c r="CT119" s="84"/>
      <c r="CU119" s="84"/>
      <c r="CV119" s="84"/>
      <c r="CW119" s="84"/>
      <c r="CX119" s="84"/>
      <c r="CY119" s="84"/>
      <c r="CZ119" s="84"/>
      <c r="DA119" s="84"/>
      <c r="DB119" s="84"/>
      <c r="DC119" s="84"/>
      <c r="DD119" s="84"/>
      <c r="DE119" s="150"/>
      <c r="DF119" s="84"/>
      <c r="DG119" s="84"/>
      <c r="DH119" s="140"/>
      <c r="DI119" s="84"/>
      <c r="DJ119" s="84"/>
      <c r="DK119" s="140"/>
      <c r="DL119" s="84"/>
      <c r="DM119" s="84"/>
      <c r="DN119" s="140"/>
      <c r="DO119" s="84"/>
      <c r="DP119" s="84"/>
      <c r="DQ119" s="140"/>
      <c r="DR119" s="84"/>
      <c r="DS119" s="84"/>
      <c r="DT119" s="140"/>
      <c r="DU119" s="84"/>
      <c r="DV119" s="84"/>
      <c r="DW119" s="140"/>
      <c r="DX119" s="84"/>
      <c r="DY119" s="84"/>
      <c r="DZ119" s="140"/>
      <c r="EA119" s="84"/>
      <c r="EB119" s="84"/>
      <c r="EC119" s="140"/>
      <c r="ED119" s="84"/>
      <c r="EE119" s="84"/>
      <c r="EF119" s="140"/>
      <c r="EG119" s="84"/>
      <c r="EH119" s="84"/>
      <c r="EI119" s="140"/>
      <c r="EJ119" s="84"/>
      <c r="EK119" s="84"/>
      <c r="EL119" s="140"/>
      <c r="EM119" s="84"/>
      <c r="EN119" s="84"/>
      <c r="EO119" s="140"/>
      <c r="EP119" s="84"/>
      <c r="EQ119" s="84"/>
      <c r="ER119" s="140"/>
      <c r="ES119" s="84"/>
      <c r="ET119" s="84"/>
      <c r="EU119" s="140"/>
      <c r="EV119" s="84"/>
      <c r="EW119" s="84"/>
      <c r="EX119" s="140"/>
      <c r="EY119" s="84"/>
      <c r="EZ119" s="84"/>
      <c r="FA119" s="140"/>
    </row>
    <row r="120" spans="1:157" ht="13.35" customHeight="1">
      <c r="A120" s="3"/>
      <c r="B120" s="86"/>
      <c r="C120" s="110"/>
      <c r="D120" s="110"/>
      <c r="E120" s="84"/>
      <c r="F120" s="84"/>
      <c r="G120" s="84"/>
      <c r="H120" s="84"/>
      <c r="I120" s="84"/>
      <c r="J120" s="84"/>
      <c r="K120" s="84"/>
      <c r="L120" s="84"/>
      <c r="M120" s="84"/>
      <c r="N120" s="84"/>
      <c r="O120" s="84"/>
      <c r="P120" s="84"/>
      <c r="Q120" s="84"/>
      <c r="R120" s="84"/>
      <c r="S120" s="84"/>
      <c r="T120" s="84"/>
      <c r="U120" s="84"/>
      <c r="V120" s="84"/>
      <c r="W120" s="84"/>
      <c r="X120" s="84"/>
      <c r="Y120" s="84"/>
      <c r="Z120" s="84"/>
      <c r="AA120" s="84"/>
      <c r="AB120" s="84"/>
      <c r="AC120" s="84"/>
      <c r="AD120" s="84"/>
      <c r="AE120" s="84"/>
      <c r="AF120" s="84"/>
      <c r="AG120" s="84"/>
      <c r="AH120" s="84"/>
      <c r="AI120" s="84"/>
      <c r="AJ120" s="84"/>
      <c r="AK120" s="84"/>
      <c r="AL120" s="84"/>
      <c r="AM120" s="84"/>
      <c r="AN120" s="84"/>
      <c r="AO120" s="84"/>
      <c r="AP120" s="84"/>
      <c r="AQ120" s="84"/>
      <c r="AR120" s="84"/>
      <c r="AS120" s="84"/>
      <c r="AT120" s="84"/>
      <c r="AU120" s="84"/>
      <c r="AV120" s="84"/>
      <c r="AW120" s="84"/>
      <c r="AX120" s="84"/>
      <c r="AY120" s="84"/>
      <c r="AZ120" s="84"/>
      <c r="BA120" s="84"/>
      <c r="BB120" s="84"/>
      <c r="BC120" s="84"/>
      <c r="BD120" s="84"/>
      <c r="BE120" s="84"/>
      <c r="BF120" s="84"/>
      <c r="BG120" s="84"/>
      <c r="BH120" s="84"/>
      <c r="BI120" s="84"/>
      <c r="BJ120" s="84"/>
      <c r="BK120" s="84"/>
      <c r="BL120" s="84"/>
      <c r="BM120" s="84"/>
      <c r="BN120" s="84"/>
      <c r="BO120" s="84"/>
      <c r="BP120" s="84"/>
      <c r="BQ120" s="84"/>
      <c r="BR120" s="84"/>
      <c r="BS120" s="84"/>
      <c r="BT120" s="84"/>
      <c r="BU120" s="84"/>
      <c r="BV120" s="84"/>
      <c r="BW120" s="84"/>
      <c r="BX120" s="84"/>
      <c r="BY120" s="84"/>
      <c r="BZ120" s="84"/>
      <c r="CA120" s="84"/>
      <c r="CB120" s="84"/>
      <c r="CC120" s="84"/>
      <c r="CD120" s="84"/>
      <c r="CE120" s="84"/>
      <c r="CF120" s="84"/>
      <c r="CG120" s="84"/>
      <c r="CH120" s="84"/>
      <c r="CI120" s="84"/>
      <c r="CJ120" s="84"/>
      <c r="CK120" s="84"/>
      <c r="CL120" s="111"/>
      <c r="CM120" s="84"/>
      <c r="CN120" s="84"/>
      <c r="CO120" s="84"/>
      <c r="CP120" s="84"/>
      <c r="CQ120" s="84"/>
      <c r="CR120" s="84"/>
      <c r="CS120" s="84"/>
      <c r="CT120" s="84"/>
      <c r="CU120" s="84"/>
      <c r="CV120" s="84"/>
      <c r="CW120" s="84"/>
      <c r="CX120" s="84"/>
      <c r="CY120" s="84"/>
      <c r="CZ120" s="84"/>
      <c r="DA120" s="84"/>
      <c r="DB120" s="84"/>
      <c r="DC120" s="84"/>
      <c r="DD120" s="84"/>
      <c r="DE120" s="140"/>
      <c r="DF120" s="84"/>
      <c r="DG120" s="84"/>
      <c r="DH120" s="140"/>
      <c r="DI120" s="84"/>
      <c r="DJ120" s="84"/>
      <c r="DK120" s="140"/>
      <c r="DL120" s="84"/>
      <c r="DM120" s="84"/>
      <c r="DN120" s="140"/>
      <c r="DO120" s="84"/>
      <c r="DP120" s="84"/>
      <c r="DQ120" s="140"/>
      <c r="DR120" s="84"/>
      <c r="DS120" s="84"/>
      <c r="DT120" s="140"/>
      <c r="DU120" s="84"/>
      <c r="DV120" s="84"/>
      <c r="DW120" s="140"/>
      <c r="DX120" s="84"/>
      <c r="DY120" s="84"/>
      <c r="DZ120" s="140"/>
      <c r="EA120" s="84"/>
      <c r="EB120" s="84"/>
      <c r="EC120" s="140"/>
      <c r="ED120" s="84"/>
      <c r="EE120" s="84"/>
      <c r="EF120" s="140"/>
      <c r="EG120" s="84"/>
      <c r="EH120" s="84"/>
      <c r="EI120" s="140"/>
      <c r="EJ120" s="84"/>
      <c r="EK120" s="84"/>
      <c r="EL120" s="140"/>
      <c r="EM120" s="84"/>
      <c r="EN120" s="84"/>
      <c r="EO120" s="140"/>
      <c r="EP120" s="84"/>
      <c r="EQ120" s="84"/>
      <c r="ER120" s="140"/>
      <c r="ES120" s="84"/>
      <c r="ET120" s="84"/>
      <c r="EU120" s="140"/>
      <c r="EV120" s="84"/>
      <c r="EW120" s="84"/>
      <c r="EX120" s="140"/>
      <c r="EY120" s="84"/>
      <c r="EZ120" s="84"/>
      <c r="FA120" s="140"/>
    </row>
    <row r="121" spans="1:157" ht="13.35" customHeight="1">
      <c r="A121" s="3"/>
      <c r="B121" s="5" t="s">
        <v>86</v>
      </c>
      <c r="C121" s="5"/>
      <c r="D121" s="109"/>
      <c r="E121" s="84"/>
      <c r="F121" s="84"/>
      <c r="G121" s="84"/>
      <c r="H121" s="84"/>
      <c r="I121" s="84"/>
      <c r="J121" s="84"/>
      <c r="K121" s="84"/>
      <c r="L121" s="84"/>
      <c r="M121" s="84"/>
      <c r="N121" s="84"/>
      <c r="O121" s="84"/>
      <c r="P121" s="84"/>
      <c r="Q121" s="84"/>
      <c r="R121" s="84"/>
      <c r="S121" s="84"/>
      <c r="T121" s="84"/>
      <c r="U121" s="84"/>
      <c r="V121" s="84"/>
      <c r="W121" s="84"/>
      <c r="X121" s="84"/>
      <c r="Y121" s="84"/>
      <c r="Z121" s="84"/>
      <c r="AA121" s="84"/>
      <c r="AB121" s="84"/>
      <c r="AC121" s="84"/>
      <c r="AD121" s="84"/>
      <c r="AE121" s="84"/>
      <c r="AF121" s="84"/>
      <c r="AG121" s="84"/>
      <c r="AH121" s="84"/>
      <c r="AI121" s="84"/>
      <c r="AJ121" s="84"/>
      <c r="AK121" s="84"/>
      <c r="AL121" s="84"/>
      <c r="AM121" s="84"/>
      <c r="AN121" s="84"/>
      <c r="AO121" s="84"/>
      <c r="AP121" s="84"/>
      <c r="AQ121" s="84"/>
      <c r="AR121" s="84"/>
      <c r="AS121" s="84"/>
      <c r="AT121" s="84"/>
      <c r="AU121" s="84"/>
      <c r="AV121" s="84"/>
      <c r="AW121" s="84"/>
      <c r="AX121" s="84"/>
      <c r="AY121" s="84"/>
      <c r="AZ121" s="84"/>
      <c r="BA121" s="84"/>
      <c r="BB121" s="84"/>
      <c r="BC121" s="84"/>
      <c r="BD121" s="84"/>
      <c r="BE121" s="84"/>
      <c r="BF121" s="84"/>
      <c r="BG121" s="84"/>
      <c r="BH121" s="84"/>
      <c r="BI121" s="84"/>
      <c r="BJ121" s="84"/>
      <c r="BK121" s="84"/>
      <c r="BL121" s="84"/>
      <c r="BM121" s="84"/>
      <c r="BN121" s="84"/>
      <c r="BO121" s="84"/>
      <c r="BP121" s="84"/>
      <c r="BQ121" s="84"/>
      <c r="BR121" s="84"/>
      <c r="BS121" s="84"/>
      <c r="BT121" s="84"/>
      <c r="BU121" s="84"/>
      <c r="BV121" s="84"/>
      <c r="BW121" s="84"/>
      <c r="BX121" s="84"/>
      <c r="BY121" s="84"/>
      <c r="BZ121" s="84"/>
      <c r="CA121" s="84"/>
      <c r="CB121" s="84"/>
      <c r="CC121" s="84"/>
      <c r="CD121" s="84"/>
      <c r="CE121" s="84"/>
      <c r="CF121" s="84"/>
      <c r="CG121" s="84"/>
      <c r="CH121" s="84"/>
      <c r="CI121" s="84"/>
      <c r="CJ121" s="84"/>
      <c r="CK121" s="84"/>
      <c r="CL121" s="84"/>
      <c r="CM121" s="84"/>
      <c r="CN121" s="84"/>
      <c r="CO121" s="84"/>
      <c r="CP121" s="84"/>
      <c r="CQ121" s="84"/>
      <c r="CR121" s="84"/>
      <c r="CS121" s="84"/>
      <c r="CT121" s="84"/>
      <c r="CU121" s="84"/>
      <c r="CV121" s="84"/>
      <c r="CW121" s="84"/>
      <c r="CX121" s="84"/>
      <c r="CY121" s="84"/>
      <c r="CZ121" s="84"/>
      <c r="DA121" s="84"/>
      <c r="DB121" s="84"/>
      <c r="DC121" s="84"/>
      <c r="DD121" s="84"/>
      <c r="DE121" s="140"/>
      <c r="DF121" s="84"/>
      <c r="DG121" s="84"/>
      <c r="DH121" s="140"/>
      <c r="DI121" s="84"/>
      <c r="DJ121" s="84"/>
      <c r="DK121" s="140"/>
      <c r="DL121" s="84"/>
      <c r="DM121" s="84"/>
      <c r="DN121" s="140"/>
      <c r="DO121" s="84"/>
      <c r="DP121" s="84"/>
      <c r="DQ121" s="140"/>
      <c r="DR121" s="84"/>
      <c r="DS121" s="84"/>
      <c r="DT121" s="140"/>
      <c r="DU121" s="84"/>
      <c r="DV121" s="84"/>
      <c r="DW121" s="140"/>
      <c r="DX121" s="84"/>
      <c r="DY121" s="84"/>
      <c r="DZ121" s="140"/>
      <c r="EA121" s="84"/>
      <c r="EB121" s="84"/>
      <c r="EC121" s="140"/>
      <c r="ED121" s="84"/>
      <c r="EE121" s="84"/>
      <c r="EF121" s="140"/>
      <c r="EG121" s="84"/>
      <c r="EH121" s="84"/>
      <c r="EI121" s="140"/>
      <c r="EJ121" s="84"/>
      <c r="EK121" s="84"/>
      <c r="EL121" s="140"/>
      <c r="EM121" s="84"/>
      <c r="EN121" s="84"/>
      <c r="EO121" s="140"/>
      <c r="EP121" s="84"/>
      <c r="EQ121" s="84"/>
      <c r="ER121" s="140"/>
      <c r="ES121" s="84"/>
      <c r="ET121" s="84"/>
      <c r="EU121" s="140"/>
      <c r="EV121" s="84"/>
      <c r="EW121" s="84"/>
      <c r="EX121" s="140"/>
      <c r="EY121" s="84"/>
      <c r="EZ121" s="84"/>
      <c r="FA121" s="140"/>
    </row>
    <row r="122" spans="1:157" ht="13.35" customHeight="1">
      <c r="A122" s="3"/>
      <c r="B122" s="4" t="s">
        <v>87</v>
      </c>
      <c r="C122" s="4"/>
      <c r="D122" s="109"/>
      <c r="E122" s="95">
        <f>IF(ISERROR(Model!E82),"",Model!E82)</f>
        <v>0</v>
      </c>
      <c r="F122" s="95">
        <f>IF(ISERROR(Model!F82),"",Model!F82)</f>
        <v>0</v>
      </c>
      <c r="G122" s="95">
        <f>IF(ISERROR(Model!G82),"",Model!G82)</f>
        <v>0</v>
      </c>
      <c r="H122" s="95">
        <f>IF(ISERROR(Model!H82),"",Model!H82)</f>
        <v>0</v>
      </c>
      <c r="I122" s="95">
        <f>IF(ISERROR(Model!I82),"",Model!I82)</f>
        <v>0</v>
      </c>
      <c r="J122" s="95">
        <f>IF(ISERROR(Model!J82),"",Model!J82)</f>
        <v>0</v>
      </c>
      <c r="K122" s="95">
        <f>IF(ISERROR(Model!K82),"",Model!K82)</f>
        <v>0</v>
      </c>
      <c r="L122" s="95">
        <f>IF(ISERROR(Model!L82),"",Model!L82)</f>
        <v>0</v>
      </c>
      <c r="M122" s="95">
        <f>IF(ISERROR(Model!M82),"",Model!M82)</f>
        <v>0</v>
      </c>
      <c r="N122" s="95">
        <f>IF(ISERROR(Model!N82),"",Model!N82)</f>
        <v>0</v>
      </c>
      <c r="O122" s="95">
        <f>IF(ISERROR(Model!O82),"",Model!O82)</f>
        <v>0</v>
      </c>
      <c r="P122" s="95">
        <f>IF(ISERROR(Model!P82),"",Model!P82)</f>
        <v>0</v>
      </c>
      <c r="Q122" s="95">
        <f>IF(ISERROR(Model!Q82),"",Model!Q82)</f>
        <v>0</v>
      </c>
      <c r="R122" s="95">
        <f>IF(ISERROR(Model!R82),"",Model!R82)</f>
        <v>0</v>
      </c>
      <c r="S122" s="95">
        <f>IF(ISERROR(Model!S82),"",Model!S82)</f>
        <v>0</v>
      </c>
      <c r="T122" s="95">
        <f>IF(ISERROR(Model!T82),"",Model!T82)</f>
        <v>0</v>
      </c>
      <c r="U122" s="95">
        <f>IF(ISERROR(Model!U82),"",Model!U82)</f>
        <v>0</v>
      </c>
      <c r="V122" s="95">
        <f>IF(ISERROR(Model!V82),"",Model!V82)</f>
        <v>0</v>
      </c>
      <c r="W122" s="95">
        <f>IF(ISERROR(Model!W82),"",Model!W82)</f>
        <v>0</v>
      </c>
      <c r="X122" s="95">
        <f>IF(ISERROR(Model!X82),"",Model!X82)</f>
        <v>0</v>
      </c>
      <c r="Y122" s="95">
        <f>IF(ISERROR(Model!Y82),"",Model!Y82)</f>
        <v>0</v>
      </c>
      <c r="Z122" s="95">
        <f>IF(ISERROR(Model!Z82),"",Model!Z82)</f>
        <v>0</v>
      </c>
      <c r="AA122" s="95">
        <f>IF(ISERROR(Model!AA82),"",Model!AA82)</f>
        <v>0</v>
      </c>
      <c r="AB122" s="95">
        <f>IF(ISERROR(Model!AB82),"",Model!AB82)</f>
        <v>0</v>
      </c>
      <c r="AC122" s="95">
        <f>IF(ISERROR(Model!AC82),"",Model!AC82)</f>
        <v>0</v>
      </c>
      <c r="AD122" s="95">
        <f>IF(ISERROR(Model!AD82),"",Model!AD82)</f>
        <v>0</v>
      </c>
      <c r="AE122" s="95">
        <f>IF(ISERROR(Model!AE82),"",Model!AE82)</f>
        <v>0</v>
      </c>
      <c r="AF122" s="95">
        <f>IF(ISERROR(Model!AF82),"",Model!AF82)</f>
        <v>0</v>
      </c>
      <c r="AG122" s="95">
        <f>IF(ISERROR(Model!AG82),"",Model!AG82)</f>
        <v>0</v>
      </c>
      <c r="AH122" s="95">
        <f>IF(ISERROR(Model!AH82),"",Model!AH82)</f>
        <v>0</v>
      </c>
      <c r="AI122" s="95">
        <f>IF(ISERROR(Model!AI82),"",Model!AI82)</f>
        <v>0</v>
      </c>
      <c r="AJ122" s="95">
        <f>IF(ISERROR(Model!AJ82),"",Model!AJ82)</f>
        <v>0</v>
      </c>
      <c r="AK122" s="95">
        <f>IF(ISERROR(Model!AK82),"",Model!AK82)</f>
        <v>0</v>
      </c>
      <c r="AL122" s="95">
        <f>IF(ISERROR(Model!AL82),"",Model!AL82)</f>
        <v>0</v>
      </c>
      <c r="AM122" s="95">
        <f>IF(ISERROR(Model!AM82),"",Model!AM82)</f>
        <v>0.29268411680042933</v>
      </c>
      <c r="AN122" s="95">
        <f>IF(ISERROR(Model!AN82),"",Model!AN82)</f>
        <v>0.29268411680042933</v>
      </c>
      <c r="AO122" s="95">
        <f>IF(ISERROR(Model!AO82),"",Model!AO82)</f>
        <v>0.25382171332653913</v>
      </c>
      <c r="AP122" s="95">
        <f>IF(ISERROR(Model!AP82),"",Model!AP82)</f>
        <v>0.31863877802118662</v>
      </c>
      <c r="AQ122" s="95">
        <f>IF(ISERROR(Model!AQ82),"",Model!AQ82)</f>
        <v>0.29701623870090393</v>
      </c>
      <c r="AR122" s="95">
        <f>IF(ISERROR(Model!AR82),"",Model!AR82)</f>
        <v>0.12229646127196241</v>
      </c>
      <c r="AS122" s="95">
        <f>IF(ISERROR(Model!AS82),"",Model!AS82)</f>
        <v>0.43104803064531966</v>
      </c>
      <c r="AT122" s="95">
        <f>IF(ISERROR(Model!AT82),"",Model!AT82)</f>
        <v>0.32866122864317482</v>
      </c>
      <c r="AU122" s="95">
        <f>IF(ISERROR(Model!AU82),"",Model!AU82)</f>
        <v>0.33836796342409275</v>
      </c>
      <c r="AV122" s="95">
        <f>IF(ISERROR(Model!AV82),"",Model!AV82)</f>
        <v>0.39052298285839065</v>
      </c>
      <c r="AW122" s="95">
        <f>IF(ISERROR(Model!AW82),"",Model!AW82)</f>
        <v>0.37234678199510607</v>
      </c>
      <c r="AX122" s="95">
        <f>IF(ISERROR(Model!AX82),"",Model!AX82)</f>
        <v>0.32356789764466409</v>
      </c>
      <c r="AY122" s="95">
        <f>IF(ISERROR(Model!AY82),"",Model!AY82)</f>
        <v>0.32548103198085293</v>
      </c>
      <c r="AZ122" s="95">
        <f>IF(ISERROR(Model!AZ82),"",Model!AZ82)</f>
        <v>0.32482780018616192</v>
      </c>
      <c r="BA122" s="95">
        <v>0</v>
      </c>
      <c r="BB122" s="95">
        <v>0</v>
      </c>
      <c r="BC122" s="95">
        <v>0</v>
      </c>
      <c r="BD122" s="7">
        <v>0</v>
      </c>
      <c r="BE122" s="95">
        <v>0</v>
      </c>
      <c r="BF122" s="7">
        <v>0</v>
      </c>
      <c r="BG122" s="7">
        <v>0</v>
      </c>
      <c r="BH122" s="95">
        <v>0</v>
      </c>
      <c r="BI122" s="7">
        <v>0</v>
      </c>
      <c r="BJ122" s="7">
        <v>0</v>
      </c>
      <c r="BK122" s="95">
        <v>0</v>
      </c>
      <c r="BL122" s="7">
        <v>0.08</v>
      </c>
      <c r="BM122" s="7">
        <v>0.22</v>
      </c>
      <c r="BN122" s="95">
        <f>BM122</f>
        <v>0.22</v>
      </c>
      <c r="BO122" s="7">
        <v>0.22</v>
      </c>
      <c r="BP122" s="7">
        <f>BP123</f>
        <v>0.24185231530730517</v>
      </c>
      <c r="BQ122" s="7">
        <f t="shared" ref="BQ122:EB122" si="123">BQ123</f>
        <v>0.24099352656163983</v>
      </c>
      <c r="BR122" s="7">
        <f t="shared" si="123"/>
        <v>0.24142712383261855</v>
      </c>
      <c r="BS122" s="7">
        <f t="shared" si="123"/>
        <v>0.31642635991481793</v>
      </c>
      <c r="BT122" s="7">
        <f t="shared" si="123"/>
        <v>0.31173367379360051</v>
      </c>
      <c r="BU122" s="7">
        <f t="shared" si="123"/>
        <v>0.31407945001608401</v>
      </c>
      <c r="BV122" s="7">
        <f t="shared" si="123"/>
        <v>0.3129424305733729</v>
      </c>
      <c r="BW122" s="7">
        <f t="shared" si="123"/>
        <v>0.30985480441715657</v>
      </c>
      <c r="BX122" s="7">
        <f t="shared" si="123"/>
        <v>0.31144753178491297</v>
      </c>
      <c r="BY122" s="7">
        <f t="shared" si="123"/>
        <v>0.30923673586827283</v>
      </c>
      <c r="BZ122" s="7">
        <f t="shared" si="123"/>
        <v>0.31198829287707491</v>
      </c>
      <c r="CA122" s="7">
        <f t="shared" si="123"/>
        <v>0.31057271033658196</v>
      </c>
      <c r="CB122" s="7">
        <f t="shared" si="123"/>
        <v>0.30847994309263227</v>
      </c>
      <c r="CC122" s="7">
        <f t="shared" si="123"/>
        <v>0.31149736607109524</v>
      </c>
      <c r="CD122" s="7">
        <f t="shared" si="123"/>
        <v>0.30972263037544873</v>
      </c>
      <c r="CE122" s="7">
        <f t="shared" si="123"/>
        <v>0.31236512566198665</v>
      </c>
      <c r="CF122" s="7">
        <f t="shared" si="123"/>
        <v>0.31367977839895672</v>
      </c>
      <c r="CG122" s="7">
        <f t="shared" si="123"/>
        <v>0.31296986071996191</v>
      </c>
      <c r="CH122" s="7">
        <f t="shared" si="123"/>
        <v>0.31233780114729381</v>
      </c>
      <c r="CI122" s="7">
        <f t="shared" si="123"/>
        <v>0.31320865511216089</v>
      </c>
      <c r="CJ122" s="7">
        <f t="shared" si="123"/>
        <v>0.31</v>
      </c>
      <c r="CK122" s="7">
        <f t="shared" si="123"/>
        <v>0.3</v>
      </c>
      <c r="CL122" s="7">
        <f t="shared" si="123"/>
        <v>0.3</v>
      </c>
      <c r="CM122" s="7">
        <f t="shared" si="123"/>
        <v>0.3</v>
      </c>
      <c r="CN122" s="7">
        <f t="shared" si="123"/>
        <v>0.3</v>
      </c>
      <c r="CO122" s="7">
        <f t="shared" si="123"/>
        <v>0.3</v>
      </c>
      <c r="CP122" s="7">
        <f t="shared" si="123"/>
        <v>0.3</v>
      </c>
      <c r="CQ122" s="7">
        <f t="shared" si="123"/>
        <v>0.29999999999999993</v>
      </c>
      <c r="CR122" s="7">
        <f t="shared" si="123"/>
        <v>0.3</v>
      </c>
      <c r="CS122" s="7">
        <f t="shared" si="123"/>
        <v>0.3</v>
      </c>
      <c r="CT122" s="7">
        <f t="shared" si="123"/>
        <v>0.3</v>
      </c>
      <c r="CU122" s="7">
        <f t="shared" si="123"/>
        <v>0.3</v>
      </c>
      <c r="CV122" s="7">
        <f t="shared" si="123"/>
        <v>0.3</v>
      </c>
      <c r="CW122" s="7">
        <f t="shared" si="123"/>
        <v>0.3</v>
      </c>
      <c r="CX122" s="7">
        <f t="shared" si="123"/>
        <v>0.3</v>
      </c>
      <c r="CY122" s="7">
        <f t="shared" si="123"/>
        <v>0.3</v>
      </c>
      <c r="CZ122" s="7">
        <f t="shared" si="123"/>
        <v>0.3</v>
      </c>
      <c r="DA122" s="7">
        <f t="shared" si="123"/>
        <v>0.29999999999999993</v>
      </c>
      <c r="DB122" s="7">
        <f t="shared" si="123"/>
        <v>0.3</v>
      </c>
      <c r="DC122" s="7">
        <f t="shared" si="123"/>
        <v>0.3</v>
      </c>
      <c r="DD122" s="7">
        <f t="shared" si="123"/>
        <v>0.3</v>
      </c>
      <c r="DE122" s="146">
        <f t="shared" si="123"/>
        <v>0.3</v>
      </c>
      <c r="DF122" s="7">
        <f t="shared" si="123"/>
        <v>0.3</v>
      </c>
      <c r="DG122" s="7">
        <f t="shared" si="123"/>
        <v>0.3</v>
      </c>
      <c r="DH122" s="146">
        <f t="shared" si="123"/>
        <v>0.3</v>
      </c>
      <c r="DI122" s="7">
        <f t="shared" si="123"/>
        <v>0.3</v>
      </c>
      <c r="DJ122" s="7">
        <f t="shared" si="123"/>
        <v>0.3</v>
      </c>
      <c r="DK122" s="146">
        <f t="shared" si="123"/>
        <v>0.3</v>
      </c>
      <c r="DL122" s="7">
        <f t="shared" si="123"/>
        <v>0.3</v>
      </c>
      <c r="DM122" s="7">
        <f t="shared" si="123"/>
        <v>0.3</v>
      </c>
      <c r="DN122" s="146">
        <f t="shared" si="123"/>
        <v>0.3</v>
      </c>
      <c r="DO122" s="7">
        <f t="shared" si="123"/>
        <v>0.3</v>
      </c>
      <c r="DP122" s="7">
        <f t="shared" si="123"/>
        <v>0.3</v>
      </c>
      <c r="DQ122" s="146">
        <f t="shared" si="123"/>
        <v>0.3</v>
      </c>
      <c r="DR122" s="7">
        <f t="shared" si="123"/>
        <v>0.3</v>
      </c>
      <c r="DS122" s="7">
        <f t="shared" si="123"/>
        <v>0.3</v>
      </c>
      <c r="DT122" s="146">
        <f t="shared" si="123"/>
        <v>0.3</v>
      </c>
      <c r="DU122" s="7">
        <f t="shared" si="123"/>
        <v>0.3</v>
      </c>
      <c r="DV122" s="7">
        <f t="shared" si="123"/>
        <v>0.3</v>
      </c>
      <c r="DW122" s="146">
        <f t="shared" si="123"/>
        <v>0.3</v>
      </c>
      <c r="DX122" s="7">
        <f t="shared" si="123"/>
        <v>0.3</v>
      </c>
      <c r="DY122" s="7">
        <f t="shared" si="123"/>
        <v>0.3</v>
      </c>
      <c r="DZ122" s="146">
        <f t="shared" si="123"/>
        <v>0.3</v>
      </c>
      <c r="EA122" s="7">
        <f t="shared" si="123"/>
        <v>0.3</v>
      </c>
      <c r="EB122" s="7">
        <f t="shared" si="123"/>
        <v>0.3</v>
      </c>
      <c r="EC122" s="146">
        <f t="shared" ref="EC122:FA122" si="124">EC123</f>
        <v>0.3</v>
      </c>
      <c r="ED122" s="7">
        <f t="shared" si="124"/>
        <v>0.3</v>
      </c>
      <c r="EE122" s="7">
        <f t="shared" si="124"/>
        <v>0.3</v>
      </c>
      <c r="EF122" s="146">
        <f t="shared" si="124"/>
        <v>0.3</v>
      </c>
      <c r="EG122" s="7">
        <f t="shared" si="124"/>
        <v>0.3</v>
      </c>
      <c r="EH122" s="7">
        <f t="shared" si="124"/>
        <v>0.3</v>
      </c>
      <c r="EI122" s="146">
        <f t="shared" si="124"/>
        <v>0.3</v>
      </c>
      <c r="EJ122" s="7">
        <f t="shared" si="124"/>
        <v>0.3</v>
      </c>
      <c r="EK122" s="7">
        <f t="shared" si="124"/>
        <v>0.3</v>
      </c>
      <c r="EL122" s="146">
        <f t="shared" si="124"/>
        <v>0.3</v>
      </c>
      <c r="EM122" s="7">
        <f t="shared" si="124"/>
        <v>0.3</v>
      </c>
      <c r="EN122" s="7">
        <f t="shared" si="124"/>
        <v>0.3</v>
      </c>
      <c r="EO122" s="146">
        <f t="shared" si="124"/>
        <v>0.3</v>
      </c>
      <c r="EP122" s="7">
        <f t="shared" si="124"/>
        <v>0.3</v>
      </c>
      <c r="EQ122" s="7">
        <f t="shared" si="124"/>
        <v>0.3</v>
      </c>
      <c r="ER122" s="146">
        <f t="shared" si="124"/>
        <v>0.3</v>
      </c>
      <c r="ES122" s="7">
        <f t="shared" si="124"/>
        <v>0.3</v>
      </c>
      <c r="ET122" s="7">
        <f t="shared" si="124"/>
        <v>0.3</v>
      </c>
      <c r="EU122" s="146">
        <f t="shared" si="124"/>
        <v>0.3</v>
      </c>
      <c r="EV122" s="7">
        <f t="shared" si="124"/>
        <v>0.3</v>
      </c>
      <c r="EW122" s="7">
        <f t="shared" si="124"/>
        <v>0.3</v>
      </c>
      <c r="EX122" s="146">
        <f t="shared" si="124"/>
        <v>0.3</v>
      </c>
      <c r="EY122" s="7">
        <f t="shared" si="124"/>
        <v>0.3</v>
      </c>
      <c r="EZ122" s="7">
        <f t="shared" si="124"/>
        <v>0.3</v>
      </c>
      <c r="FA122" s="146">
        <f t="shared" si="124"/>
        <v>0.3</v>
      </c>
    </row>
    <row r="123" spans="1:157" ht="13.35" customHeight="1">
      <c r="A123" s="3"/>
      <c r="B123" s="4" t="s">
        <v>88</v>
      </c>
      <c r="C123" s="4"/>
      <c r="D123" s="4"/>
      <c r="E123" s="82"/>
      <c r="F123" s="82"/>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c r="AV123" s="82"/>
      <c r="AW123" s="82"/>
      <c r="AX123" s="82"/>
      <c r="AY123" s="82"/>
      <c r="AZ123" s="82"/>
      <c r="BA123" s="7">
        <f>IF(Model!BA80&lt;&gt;0,((Model!BA80*Assumptions!BA124)-(Assumptions!BA127*Assumptions!BA124))/Model!BA80,"")</f>
        <v>0.28728201223514588</v>
      </c>
      <c r="BB123" s="7">
        <f>IF(Model!BB80&lt;&gt;0,((Model!BB80*Assumptions!BB124)-(Assumptions!BB127*Assumptions!BB124))/Model!BB80,"")</f>
        <v>0.30305097197937025</v>
      </c>
      <c r="BC123" s="7">
        <f>IF(Model!BC80&lt;&gt;0,((Model!BC80*Assumptions!BC124)-(Assumptions!BC127*Assumptions!BC124))/Model!BC80,"")</f>
        <v>0.29739269294543269</v>
      </c>
      <c r="BD123" s="7"/>
      <c r="BE123" s="7"/>
      <c r="BF123" s="7">
        <f>IF(Model!BF80&lt;&gt;0,((Model!BF80*Assumptions!BF124)-(Assumptions!BF127*Assumptions!BF124))/Model!BF80,"")</f>
        <v>0.24512430442369268</v>
      </c>
      <c r="BG123" s="7">
        <f>IF(Model!BG80&lt;&gt;0,((Model!BG80*Assumptions!BG124)-(Assumptions!BG127*Assumptions!BG124))/Model!BG80,"")</f>
        <v>0.21040681189792723</v>
      </c>
      <c r="BH123" s="7">
        <f>IF(Model!BH80&lt;&gt;0,((Model!BH80*Assumptions!BH124)-(Assumptions!BH127*Assumptions!BH124))/Model!BH80,"")</f>
        <v>0.19245055507352776</v>
      </c>
      <c r="BI123" s="7">
        <f>IF(Model!BI80&lt;&gt;0,((Model!BI80*Assumptions!BI124)-(Assumptions!BI127*Assumptions!BI124))/Model!BI80,"")</f>
        <v>0.23139779027248064</v>
      </c>
      <c r="BJ123" s="7">
        <f>IF(Model!BJ80&lt;&gt;0,((Model!BJ80*Assumptions!BJ124)-(Assumptions!BJ127*Assumptions!BJ124))/Model!BJ80,"")</f>
        <v>0.38310886954216017</v>
      </c>
      <c r="BK123" s="7"/>
      <c r="BL123" s="7"/>
      <c r="BM123" s="7">
        <f>IF(Model!BM80&lt;&gt;0,((Model!BM80*Assumptions!BM124)-(Assumptions!BM127*Assumptions!BM124))/Model!BM80,"")</f>
        <v>0.23697843691672693</v>
      </c>
      <c r="BN123" s="7">
        <f>IF(Model!BN80&lt;&gt;0,((Model!BN80*Assumptions!BN124)-(Assumptions!BN127*Assumptions!BN124))/Model!BN80,"")</f>
        <v>0.23248174977095765</v>
      </c>
      <c r="BO123" s="7">
        <f>IF(Model!BO80&lt;&gt;0,((Model!BO80*Assumptions!BO124)-(Assumptions!BO127*Assumptions!BO124))/Model!BO80,"")</f>
        <v>0.23386659968221329</v>
      </c>
      <c r="BP123" s="7">
        <f>IF(Model!BP80&lt;&gt;0,((Model!BP80*Assumptions!BP124)-(Assumptions!BP127*Assumptions!BP124))/Model!BP80,"")</f>
        <v>0.24185231530730517</v>
      </c>
      <c r="BQ123" s="7">
        <f>IF(Model!BQ80&lt;&gt;0,((Model!BQ80*Assumptions!BQ124)-(Assumptions!BQ127*Assumptions!BQ124))/Model!BQ80,"")</f>
        <v>0.24099352656163983</v>
      </c>
      <c r="BR123" s="7">
        <f>IF(Model!BR80&lt;&gt;0,((Model!BR80*Assumptions!BR124)-(Assumptions!BR127*Assumptions!BR124))/Model!BR80,"")</f>
        <v>0.24142712383261855</v>
      </c>
      <c r="BS123" s="7">
        <f>IF(Model!BS80&lt;&gt;0,((Model!BS80*Assumptions!BS124)-(Assumptions!BS127*Assumptions!BS124))/Model!BS80,"")</f>
        <v>0.31642635991481793</v>
      </c>
      <c r="BT123" s="7">
        <f>IF(Model!BT80&lt;&gt;0,((Model!BT80*Assumptions!BT124)-(Assumptions!BT127*Assumptions!BT124))/Model!BT80,"")</f>
        <v>0.31173367379360051</v>
      </c>
      <c r="BU123" s="7">
        <f>IF(Model!BU80&lt;&gt;0,((Model!BU80*Assumptions!BU124)-(Assumptions!BU127*Assumptions!BU124))/Model!BU80,"")</f>
        <v>0.31407945001608401</v>
      </c>
      <c r="BV123" s="7">
        <f>IF(Model!BV80&lt;&gt;0,((Model!BV80*Assumptions!BV124)-(Assumptions!BV127*Assumptions!BV124))/Model!BV80,"")</f>
        <v>0.3129424305733729</v>
      </c>
      <c r="BW123" s="7">
        <f>IF(Model!BW80&lt;&gt;0,((Model!BW80*Assumptions!BW124)-(Assumptions!BW127*Assumptions!BW124))/Model!BW80,"")</f>
        <v>0.30985480441715657</v>
      </c>
      <c r="BX123" s="7">
        <f>IF(Model!BX80&lt;&gt;0,((Model!BX80*Assumptions!BX124)-(Assumptions!BX127*Assumptions!BX124))/Model!BX80,"")</f>
        <v>0.31144753178491297</v>
      </c>
      <c r="BY123" s="7">
        <f>IF(Model!BY80&lt;&gt;0,((Model!BY80*Assumptions!BY124)-(Assumptions!BY127*Assumptions!BY124))/Model!BY80,"")</f>
        <v>0.30923673586827283</v>
      </c>
      <c r="BZ123" s="7">
        <f>IF(Model!BZ80&lt;&gt;0,((Model!BZ80*Assumptions!BZ124)-(Assumptions!BZ127*Assumptions!BZ124))/Model!BZ80,"")</f>
        <v>0.31198829287707491</v>
      </c>
      <c r="CA123" s="7">
        <f>IF(Model!CA80&lt;&gt;0,((Model!CA80*Assumptions!CA124)-(Assumptions!CA127*Assumptions!CA124))/Model!CA80,"")</f>
        <v>0.31057271033658196</v>
      </c>
      <c r="CB123" s="7">
        <f>IF(Model!CB80&lt;&gt;0,((Model!CB80*Assumptions!CB124)-(Assumptions!CB127*Assumptions!CB124))/Model!CB80,"")</f>
        <v>0.30847994309263227</v>
      </c>
      <c r="CC123" s="7">
        <f>IF(Model!CC80&lt;&gt;0,((Model!CC80*Assumptions!CC124)-(Assumptions!CC127*Assumptions!CC124))/Model!CC80,"")</f>
        <v>0.31149736607109524</v>
      </c>
      <c r="CD123" s="7">
        <f>IF(Model!CD80&lt;&gt;0,((Model!CD80*Assumptions!CD124)-(Assumptions!CD127*Assumptions!CD124))/Model!CD80,"")</f>
        <v>0.30972263037544873</v>
      </c>
      <c r="CE123" s="7">
        <f>IF(Model!CE80&lt;&gt;0,((Model!CE80*Assumptions!CE124)-(Assumptions!CE127*Assumptions!CE124))/Model!CE80,"")</f>
        <v>0.31236512566198665</v>
      </c>
      <c r="CF123" s="7">
        <f>IF(Model!CF80&lt;&gt;0,((Model!CF80*Assumptions!CF124)-(Assumptions!CF127*Assumptions!CF124))/Model!CF80,"")</f>
        <v>0.31367977839895672</v>
      </c>
      <c r="CG123" s="7">
        <f>IF(Model!CG80&lt;&gt;0,((Model!CG80*Assumptions!CG124)-(Assumptions!CG127*Assumptions!CG124))/Model!CG80,"")</f>
        <v>0.31296986071996191</v>
      </c>
      <c r="CH123" s="7">
        <f>IF(Model!CH80&lt;&gt;0,((Model!CH80*Assumptions!CH124)-(Assumptions!CH127*Assumptions!CH124))/Model!CH80,"")</f>
        <v>0.31233780114729381</v>
      </c>
      <c r="CI123" s="7">
        <f>IF(Model!CI80&lt;&gt;0,((Model!CI80*Assumptions!CI124)-(Assumptions!CI127*Assumptions!CI124))/Model!CI80,"")</f>
        <v>0.31320865511216089</v>
      </c>
      <c r="CJ123" s="7">
        <v>0.31</v>
      </c>
      <c r="CK123" s="7">
        <f>IF(Model!CK80&lt;&gt;0,((Model!CK80*Assumptions!CK124)-(Assumptions!CK127*Assumptions!CK124))/Model!CK80,"")</f>
        <v>0.3</v>
      </c>
      <c r="CL123" s="7">
        <f>IF(Model!CL80&lt;&gt;0,((Model!CL80*Assumptions!CL124)-(Assumptions!CL127*Assumptions!CL124))/Model!CL80,"")</f>
        <v>0.3</v>
      </c>
      <c r="CM123" s="7">
        <f>IF(Model!CM80&lt;&gt;0,((Model!CM80*Assumptions!CM124)-(Assumptions!CM127*Assumptions!CM124))/Model!CM80,"")</f>
        <v>0.3</v>
      </c>
      <c r="CN123" s="7">
        <f>IF(Model!CN80&lt;&gt;0,((Model!CN80*Assumptions!CN124)-(Assumptions!CN127*Assumptions!CN124))/Model!CN80,"")</f>
        <v>0.3</v>
      </c>
      <c r="CO123" s="7">
        <f>IF(Model!CO80&lt;&gt;0,((Model!CO80*Assumptions!CO124)-(Assumptions!CO127*Assumptions!CO124))/Model!CO80,"")</f>
        <v>0.3</v>
      </c>
      <c r="CP123" s="7">
        <f>IF(Model!CP80&lt;&gt;0,((Model!CP80*Assumptions!CP124)-(Assumptions!CP127*Assumptions!CP124))/Model!CP80,"")</f>
        <v>0.3</v>
      </c>
      <c r="CQ123" s="7">
        <f>IF(Model!CQ80&lt;&gt;0,((Model!CQ80*Assumptions!CQ124)-(Assumptions!CQ127*Assumptions!CQ124))/Model!CQ80,"")</f>
        <v>0.29999999999999993</v>
      </c>
      <c r="CR123" s="7">
        <f>IF(Model!CR80&lt;&gt;0,((Model!CR80*Assumptions!CR124)-(Assumptions!CR127*Assumptions!CR124))/Model!CR80,"")</f>
        <v>0.3</v>
      </c>
      <c r="CS123" s="7">
        <f>IF(Model!CS80&lt;&gt;0,((Model!CS80*Assumptions!CS124)-(Assumptions!CS127*Assumptions!CS124))/Model!CS80,"")</f>
        <v>0.3</v>
      </c>
      <c r="CT123" s="7">
        <f>IF(Model!CT80&lt;&gt;0,((Model!CT80*Assumptions!CT124)-(Assumptions!CT127*Assumptions!CT124))/Model!CT80,"")</f>
        <v>0.3</v>
      </c>
      <c r="CU123" s="7">
        <f>IF(Model!CU80&lt;&gt;0,((Model!CU80*Assumptions!CU124)-(Assumptions!CU127*Assumptions!CU124))/Model!CU80,"")</f>
        <v>0.3</v>
      </c>
      <c r="CV123" s="7">
        <f>IF(Model!CV80&lt;&gt;0,((Model!CV80*Assumptions!CV124)-(Assumptions!CV127*Assumptions!CV124))/Model!CV80,"")</f>
        <v>0.3</v>
      </c>
      <c r="CW123" s="7">
        <f>IF(Model!CW80&lt;&gt;0,((Model!CW80*Assumptions!CW124)-(Assumptions!CW127*Assumptions!CW124))/Model!CW80,"")</f>
        <v>0.3</v>
      </c>
      <c r="CX123" s="7">
        <f>IF(Model!CX80&lt;&gt;0,((Model!CX80*Assumptions!CX124)-(Assumptions!CX127*Assumptions!CX124))/Model!CX80,"")</f>
        <v>0.3</v>
      </c>
      <c r="CY123" s="7">
        <f>IF(Model!CY80&lt;&gt;0,((Model!CY80*Assumptions!CY124)-(Assumptions!CY127*Assumptions!CY124))/Model!CY80,"")</f>
        <v>0.3</v>
      </c>
      <c r="CZ123" s="7">
        <f>IF(Model!CZ80&lt;&gt;0,((Model!CZ80*Assumptions!CZ124)-(Assumptions!CZ127*Assumptions!CZ124))/Model!CZ80,"")</f>
        <v>0.3</v>
      </c>
      <c r="DA123" s="7">
        <f>IF(Model!DA80&lt;&gt;0,((Model!DA80*Assumptions!DA124)-(Assumptions!DA127*Assumptions!DA124))/Model!DA80,"")</f>
        <v>0.29999999999999993</v>
      </c>
      <c r="DB123" s="7">
        <f>IF(Model!DB80&lt;&gt;0,((Model!DB80*Assumptions!DB124)-(Assumptions!DB127*Assumptions!DB124))/Model!DB80,"")</f>
        <v>0.3</v>
      </c>
      <c r="DC123" s="7">
        <f>IF(Model!DC80&lt;&gt;0,((Model!DC80*Assumptions!DC124)-(Assumptions!DC127*Assumptions!DC124))/Model!DC80,"")</f>
        <v>0.3</v>
      </c>
      <c r="DD123" s="7">
        <f>IF(Model!DD80&lt;&gt;0,((Model!DD80*Assumptions!DD124)-(Assumptions!DD127*Assumptions!DD124))/Model!DD80,"")</f>
        <v>0.3</v>
      </c>
      <c r="DE123" s="146">
        <f>IF(Model!DE80&lt;&gt;0,((Model!DE80*Assumptions!DE124)-(Assumptions!DE127*Assumptions!DE124))/Model!DE80,"")</f>
        <v>0.3</v>
      </c>
      <c r="DF123" s="7">
        <f>IF(Model!DF80&lt;&gt;0,((Model!DF80*Assumptions!DF124)-(Assumptions!DF127*Assumptions!DF124))/Model!DF80,"")</f>
        <v>0.3</v>
      </c>
      <c r="DG123" s="7">
        <f>IF(Model!DG80&lt;&gt;0,((Model!DG80*Assumptions!DG124)-(Assumptions!DG127*Assumptions!DG124))/Model!DG80,"")</f>
        <v>0.3</v>
      </c>
      <c r="DH123" s="146">
        <f>IF(Model!DH80&lt;&gt;0,((Model!DH80*Assumptions!DH124)-(Assumptions!DH127*Assumptions!DH124))/Model!DH80,"")</f>
        <v>0.3</v>
      </c>
      <c r="DI123" s="7">
        <f>IF(Model!DI80&lt;&gt;0,((Model!DI80*Assumptions!DI124)-(Assumptions!DI127*Assumptions!DI124))/Model!DI80,"")</f>
        <v>0.3</v>
      </c>
      <c r="DJ123" s="7">
        <f>IF(Model!DJ80&lt;&gt;0,((Model!DJ80*Assumptions!DJ124)-(Assumptions!DJ127*Assumptions!DJ124))/Model!DJ80,"")</f>
        <v>0.3</v>
      </c>
      <c r="DK123" s="146">
        <f>IF(Model!DK80&lt;&gt;0,((Model!DK80*Assumptions!DK124)-(Assumptions!DK127*Assumptions!DK124))/Model!DK80,"")</f>
        <v>0.3</v>
      </c>
      <c r="DL123" s="7">
        <f>IF(Model!DL80&lt;&gt;0,((Model!DL80*Assumptions!DL124)-(Assumptions!DL127*Assumptions!DL124))/Model!DL80,"")</f>
        <v>0.3</v>
      </c>
      <c r="DM123" s="7">
        <f>IF(Model!DM80&lt;&gt;0,((Model!DM80*Assumptions!DM124)-(Assumptions!DM127*Assumptions!DM124))/Model!DM80,"")</f>
        <v>0.3</v>
      </c>
      <c r="DN123" s="146">
        <f>IF(Model!DN80&lt;&gt;0,((Model!DN80*Assumptions!DN124)-(Assumptions!DN127*Assumptions!DN124))/Model!DN80,"")</f>
        <v>0.3</v>
      </c>
      <c r="DO123" s="7">
        <f>IF(Model!DO80&lt;&gt;0,((Model!DO80*Assumptions!DO124)-(Assumptions!DO127*Assumptions!DO124))/Model!DO80,"")</f>
        <v>0.3</v>
      </c>
      <c r="DP123" s="7">
        <f>IF(Model!DP80&lt;&gt;0,((Model!DP80*Assumptions!DP124)-(Assumptions!DP127*Assumptions!DP124))/Model!DP80,"")</f>
        <v>0.3</v>
      </c>
      <c r="DQ123" s="146">
        <f>IF(Model!DQ80&lt;&gt;0,((Model!DQ80*Assumptions!DQ124)-(Assumptions!DQ127*Assumptions!DQ124))/Model!DQ80,"")</f>
        <v>0.3</v>
      </c>
      <c r="DR123" s="7">
        <f>IF(Model!DR80&lt;&gt;0,((Model!DR80*Assumptions!DR124)-(Assumptions!DR127*Assumptions!DR124))/Model!DR80,"")</f>
        <v>0.3</v>
      </c>
      <c r="DS123" s="7">
        <f>DR123</f>
        <v>0.3</v>
      </c>
      <c r="DT123" s="146">
        <f>DS123</f>
        <v>0.3</v>
      </c>
      <c r="DU123" s="7">
        <f>IF(Model!DU80&lt;&gt;0,((Model!DU80*Assumptions!DU124)-(Assumptions!DU127*Assumptions!DU124))/Model!DU80,"")</f>
        <v>0.3</v>
      </c>
      <c r="DV123" s="7">
        <f>DU123</f>
        <v>0.3</v>
      </c>
      <c r="DW123" s="146">
        <f>DV123</f>
        <v>0.3</v>
      </c>
      <c r="DX123" s="7">
        <f>IF(Model!DX80&lt;&gt;0,((Model!DX80*Assumptions!DX124)-(Assumptions!DX127*Assumptions!DX124))/Model!DX80,"")</f>
        <v>0.3</v>
      </c>
      <c r="DY123" s="7">
        <f>IF(Model!DY80&lt;&gt;0,((Model!DY80*Assumptions!DY124)-(Assumptions!DY127*Assumptions!DY124))/Model!DY80,"")</f>
        <v>0.3</v>
      </c>
      <c r="DZ123" s="146">
        <f>IF(Model!DZ80&lt;&gt;0,((Model!DZ80*Assumptions!DZ124)-(Assumptions!DZ127*Assumptions!DZ124))/Model!DZ80,"")</f>
        <v>0.3</v>
      </c>
      <c r="EA123" s="7">
        <f>IF(Model!EA80&lt;&gt;0,((Model!EA80*Assumptions!EA124)-(Assumptions!EA127*Assumptions!EA124))/Model!EA80,"")</f>
        <v>0.3</v>
      </c>
      <c r="EB123" s="7">
        <f>IF(Model!EB80&lt;&gt;0,((Model!EB80*Assumptions!EB124)-(Assumptions!EB127*Assumptions!EB124))/Model!EB80,"")</f>
        <v>0.3</v>
      </c>
      <c r="EC123" s="146">
        <f>IF(Model!EC80&lt;&gt;0,((Model!EC80*Assumptions!EC124)-(Assumptions!EC127*Assumptions!EC124))/Model!EC80,"")</f>
        <v>0.3</v>
      </c>
      <c r="ED123" s="7">
        <f>IF(Model!ED80&lt;&gt;0,((Model!ED80*Assumptions!ED124)-(Assumptions!ED127*Assumptions!ED124))/Model!ED80,"")</f>
        <v>0.3</v>
      </c>
      <c r="EE123" s="7">
        <f>IF(Model!EE80&lt;&gt;0,((Model!EE80*Assumptions!EE124)-(Assumptions!EE127*Assumptions!EE124))/Model!EE80,"")</f>
        <v>0.3</v>
      </c>
      <c r="EF123" s="146">
        <f>IF(Model!EF80&lt;&gt;0,((Model!EF80*Assumptions!EF124)-(Assumptions!EF127*Assumptions!EF124))/Model!EF80,"")</f>
        <v>0.3</v>
      </c>
      <c r="EG123" s="7">
        <f>IF(Model!EG80&lt;&gt;0,((Model!EG80*Assumptions!EG124)-(Assumptions!EG127*Assumptions!EG124))/Model!EG80,"")</f>
        <v>0.3</v>
      </c>
      <c r="EH123" s="7">
        <f>IF(Model!EH80&lt;&gt;0,((Model!EH80*Assumptions!EH124)-(Assumptions!EH127*Assumptions!EH124))/Model!EH80,"")</f>
        <v>0.3</v>
      </c>
      <c r="EI123" s="146">
        <f>IF(Model!EI80&lt;&gt;0,((Model!EI80*Assumptions!EI124)-(Assumptions!EI127*Assumptions!EI124))/Model!EI80,"")</f>
        <v>0.3</v>
      </c>
      <c r="EJ123" s="7">
        <f>IF(Model!EJ80&lt;&gt;0,((Model!EJ80*Assumptions!EJ124)-(Assumptions!EJ127*Assumptions!EJ124))/Model!EJ80,"")</f>
        <v>0.3</v>
      </c>
      <c r="EK123" s="7">
        <f>IF(Model!EK80&lt;&gt;0,((Model!EK80*Assumptions!EK124)-(Assumptions!EK127*Assumptions!EK124))/Model!EK80,"")</f>
        <v>0.3</v>
      </c>
      <c r="EL123" s="146">
        <f>IF(Model!EL80&lt;&gt;0,((Model!EL80*Assumptions!EL124)-(Assumptions!EL127*Assumptions!EL124))/Model!EL80,"")</f>
        <v>0.3</v>
      </c>
      <c r="EM123" s="7">
        <f>IF(Model!EM80&lt;&gt;0,((Model!EM80*Assumptions!EM124)-(Assumptions!EM127*Assumptions!EM124))/Model!EM80,"")</f>
        <v>0.3</v>
      </c>
      <c r="EN123" s="7">
        <f>IF(Model!EN80&lt;&gt;0,((Model!EN80*Assumptions!EN124)-(Assumptions!EN127*Assumptions!EN124))/Model!EN80,"")</f>
        <v>0.3</v>
      </c>
      <c r="EO123" s="146">
        <f>IF(Model!EO80&lt;&gt;0,((Model!EO80*Assumptions!EO124)-(Assumptions!EO127*Assumptions!EO124))/Model!EO80,"")</f>
        <v>0.3</v>
      </c>
      <c r="EP123" s="7">
        <f>IF(Model!EP80&lt;&gt;0,((Model!EP80*Assumptions!EP124)-(Assumptions!EP127*Assumptions!EP124))/Model!EP80,"")</f>
        <v>0.3</v>
      </c>
      <c r="EQ123" s="7">
        <f>IF(Model!EQ80&lt;&gt;0,((Model!EQ80*Assumptions!EQ124)-(Assumptions!EQ127*Assumptions!EQ124))/Model!EQ80,"")</f>
        <v>0.3</v>
      </c>
      <c r="ER123" s="146">
        <f>IF(Model!ER80&lt;&gt;0,((Model!ER80*Assumptions!ER124)-(Assumptions!ER127*Assumptions!ER124))/Model!ER80,"")</f>
        <v>0.3</v>
      </c>
      <c r="ES123" s="7">
        <f>IF(Model!ES80&lt;&gt;0,((Model!ES80*Assumptions!ES124)-(Assumptions!ES127*Assumptions!ES124))/Model!ES80,"")</f>
        <v>0.3</v>
      </c>
      <c r="ET123" s="7">
        <f>IF(Model!ET80&lt;&gt;0,((Model!ET80*Assumptions!ET124)-(Assumptions!ET127*Assumptions!ET124))/Model!ET80,"")</f>
        <v>0.3</v>
      </c>
      <c r="EU123" s="146">
        <f>IF(Model!EU80&lt;&gt;0,((Model!EU80*Assumptions!EU124)-(Assumptions!EU127*Assumptions!EU124))/Model!EU80,"")</f>
        <v>0.3</v>
      </c>
      <c r="EV123" s="7">
        <f>IF(Model!EV80&lt;&gt;0,((Model!EV80*Assumptions!EV124)-(Assumptions!EV127*Assumptions!EV124))/Model!EV80,"")</f>
        <v>0.3</v>
      </c>
      <c r="EW123" s="7">
        <f>IF(Model!EW80&lt;&gt;0,((Model!EW80*Assumptions!EW124)-(Assumptions!EW127*Assumptions!EW124))/Model!EW80,"")</f>
        <v>0.3</v>
      </c>
      <c r="EX123" s="146">
        <f>IF(Model!EX80&lt;&gt;0,((Model!EX80*Assumptions!EX124)-(Assumptions!EX127*Assumptions!EX124))/Model!EX80,"")</f>
        <v>0.3</v>
      </c>
      <c r="EY123" s="7">
        <f>IF(Model!EY80&lt;&gt;0,((Model!EY80*Assumptions!EY124)-(Assumptions!EY127*Assumptions!EY124))/Model!EY80,"")</f>
        <v>0.3</v>
      </c>
      <c r="EZ123" s="7">
        <f>IF(Model!EZ80&lt;&gt;0,((Model!EZ80*Assumptions!EZ124)-(Assumptions!EZ127*Assumptions!EZ124))/Model!EZ80,"")</f>
        <v>0.3</v>
      </c>
      <c r="FA123" s="146">
        <f>IF(Model!FA80&lt;&gt;0,((Model!FA80*Assumptions!FA124)-(Assumptions!FA127*Assumptions!FA124))/Model!FA80,"")</f>
        <v>0.3</v>
      </c>
    </row>
    <row r="124" spans="1:157" ht="13.35" customHeight="1">
      <c r="A124" s="3"/>
      <c r="B124" s="4" t="s">
        <v>89</v>
      </c>
      <c r="C124" s="4"/>
      <c r="D124" s="4"/>
      <c r="E124" s="95">
        <v>0.49</v>
      </c>
      <c r="F124" s="95">
        <f>IF(G124&lt;&gt;"",G124,"")</f>
        <v>0.49</v>
      </c>
      <c r="G124" s="95">
        <v>0.49</v>
      </c>
      <c r="H124" s="95">
        <v>0.49</v>
      </c>
      <c r="I124" s="95">
        <f>IF(J124&lt;&gt;"",J124,"")</f>
        <v>0.49</v>
      </c>
      <c r="J124" s="95">
        <v>0.49</v>
      </c>
      <c r="K124" s="95">
        <v>0.49</v>
      </c>
      <c r="L124" s="95">
        <f>IF(M124&lt;&gt;"",M124,"")</f>
        <v>0.49</v>
      </c>
      <c r="M124" s="95">
        <v>0.49</v>
      </c>
      <c r="N124" s="95">
        <v>0.49</v>
      </c>
      <c r="O124" s="95">
        <f>IF(P124&lt;&gt;"",P124,"")</f>
        <v>0.49</v>
      </c>
      <c r="P124" s="95">
        <v>0.49</v>
      </c>
      <c r="Q124" s="95">
        <v>0.39</v>
      </c>
      <c r="R124" s="95">
        <f>IF(S124&lt;&gt;"",S124,"")</f>
        <v>0.39</v>
      </c>
      <c r="S124" s="95">
        <v>0.39</v>
      </c>
      <c r="T124" s="95">
        <v>0.39</v>
      </c>
      <c r="U124" s="95">
        <f>IF(V124&lt;&gt;"",V124,"")</f>
        <v>0.39</v>
      </c>
      <c r="V124" s="95">
        <v>0.39</v>
      </c>
      <c r="W124" s="95">
        <v>0.39</v>
      </c>
      <c r="X124" s="95">
        <f>IF(Y124&lt;&gt;"",Y124,"")</f>
        <v>0.39</v>
      </c>
      <c r="Y124" s="95">
        <v>0.39</v>
      </c>
      <c r="Z124" s="95">
        <v>0.39</v>
      </c>
      <c r="AA124" s="95">
        <f>IF(AB124&lt;&gt;"",AB124,"")</f>
        <v>0.39</v>
      </c>
      <c r="AB124" s="95">
        <v>0.39</v>
      </c>
      <c r="AC124" s="95">
        <v>0.39</v>
      </c>
      <c r="AD124" s="95">
        <f>IF(AE124&lt;&gt;"",AE124,"")</f>
        <v>0.39</v>
      </c>
      <c r="AE124" s="95">
        <v>0.39</v>
      </c>
      <c r="AF124" s="95">
        <v>0.33</v>
      </c>
      <c r="AG124" s="95">
        <f>IF(AH124&lt;&gt;"",AH124,"")</f>
        <v>0.33</v>
      </c>
      <c r="AH124" s="95">
        <v>0.33</v>
      </c>
      <c r="AI124" s="95">
        <v>0.33</v>
      </c>
      <c r="AJ124" s="95">
        <f>IF(AK124&lt;&gt;"",AK124,"")</f>
        <v>0.33</v>
      </c>
      <c r="AK124" s="95">
        <v>0.33</v>
      </c>
      <c r="AL124" s="95">
        <v>0.36</v>
      </c>
      <c r="AM124" s="95">
        <f>IF(AN124&lt;&gt;"",AN124,"")</f>
        <v>0.36</v>
      </c>
      <c r="AN124" s="95">
        <v>0.36</v>
      </c>
      <c r="AO124" s="95">
        <v>0.36</v>
      </c>
      <c r="AP124" s="95">
        <f>IF(AQ124&lt;&gt;"",AQ124,"")</f>
        <v>0.36</v>
      </c>
      <c r="AQ124" s="95">
        <v>0.36</v>
      </c>
      <c r="AR124" s="95">
        <v>0.36</v>
      </c>
      <c r="AS124" s="95">
        <f>IF(AT124&lt;&gt;"",AT124,"")</f>
        <v>0.36</v>
      </c>
      <c r="AT124" s="95">
        <v>0.36</v>
      </c>
      <c r="AU124" s="95">
        <v>0.36</v>
      </c>
      <c r="AV124" s="95">
        <f>IF(AW124&lt;&gt;"",AW124,"")</f>
        <v>0.36</v>
      </c>
      <c r="AW124" s="95">
        <v>0.36</v>
      </c>
      <c r="AX124" s="95">
        <v>0.36</v>
      </c>
      <c r="AY124" s="95">
        <f>IF(AZ124&lt;&gt;"",AZ124,"")</f>
        <v>0.36</v>
      </c>
      <c r="AZ124" s="95">
        <v>0.36</v>
      </c>
      <c r="BA124" s="95">
        <v>0.34</v>
      </c>
      <c r="BB124" s="95">
        <v>0.34</v>
      </c>
      <c r="BC124" s="95">
        <v>0.34</v>
      </c>
      <c r="BD124" s="95">
        <v>0.3</v>
      </c>
      <c r="BE124" s="95">
        <v>0.3</v>
      </c>
      <c r="BF124" s="95">
        <v>0.3</v>
      </c>
      <c r="BG124" s="95">
        <v>0.28000000000000003</v>
      </c>
      <c r="BH124" s="95">
        <v>0.28000000000000003</v>
      </c>
      <c r="BI124" s="95">
        <v>0.32</v>
      </c>
      <c r="BJ124" s="95">
        <v>0.3</v>
      </c>
      <c r="BK124" s="95">
        <f>BJ124</f>
        <v>0.3</v>
      </c>
      <c r="BL124" s="95">
        <v>0.22500000000000001</v>
      </c>
      <c r="BM124" s="95">
        <v>0.22500000000000001</v>
      </c>
      <c r="BN124" s="95">
        <f t="shared" ref="BN124:CA124" si="125">BM124</f>
        <v>0.22500000000000001</v>
      </c>
      <c r="BO124" s="95">
        <f t="shared" si="125"/>
        <v>0.22500000000000001</v>
      </c>
      <c r="BP124" s="95">
        <f t="shared" si="125"/>
        <v>0.22500000000000001</v>
      </c>
      <c r="BQ124" s="95">
        <f t="shared" si="125"/>
        <v>0.22500000000000001</v>
      </c>
      <c r="BR124" s="95">
        <f t="shared" si="125"/>
        <v>0.22500000000000001</v>
      </c>
      <c r="BS124" s="95">
        <v>0.3</v>
      </c>
      <c r="BT124" s="95">
        <f t="shared" si="125"/>
        <v>0.3</v>
      </c>
      <c r="BU124" s="95">
        <f t="shared" si="125"/>
        <v>0.3</v>
      </c>
      <c r="BV124" s="95">
        <f t="shared" si="125"/>
        <v>0.3</v>
      </c>
      <c r="BW124" s="95">
        <f t="shared" si="125"/>
        <v>0.3</v>
      </c>
      <c r="BX124" s="95">
        <f t="shared" si="125"/>
        <v>0.3</v>
      </c>
      <c r="BY124" s="95">
        <f t="shared" si="125"/>
        <v>0.3</v>
      </c>
      <c r="BZ124" s="95">
        <f t="shared" si="125"/>
        <v>0.3</v>
      </c>
      <c r="CA124" s="95">
        <f t="shared" si="125"/>
        <v>0.3</v>
      </c>
      <c r="CB124" s="95">
        <f t="shared" ref="CB124:CS124" si="126">CA124</f>
        <v>0.3</v>
      </c>
      <c r="CC124" s="95">
        <f t="shared" si="126"/>
        <v>0.3</v>
      </c>
      <c r="CD124" s="95">
        <f t="shared" si="126"/>
        <v>0.3</v>
      </c>
      <c r="CE124" s="95">
        <f t="shared" si="126"/>
        <v>0.3</v>
      </c>
      <c r="CF124" s="95">
        <f t="shared" si="126"/>
        <v>0.3</v>
      </c>
      <c r="CG124" s="95">
        <f t="shared" si="126"/>
        <v>0.3</v>
      </c>
      <c r="CH124" s="95">
        <f t="shared" si="126"/>
        <v>0.3</v>
      </c>
      <c r="CI124" s="95">
        <f t="shared" si="126"/>
        <v>0.3</v>
      </c>
      <c r="CJ124" s="95">
        <f t="shared" si="126"/>
        <v>0.3</v>
      </c>
      <c r="CK124" s="95">
        <f t="shared" si="126"/>
        <v>0.3</v>
      </c>
      <c r="CL124" s="95">
        <f t="shared" si="126"/>
        <v>0.3</v>
      </c>
      <c r="CM124" s="95">
        <f t="shared" si="126"/>
        <v>0.3</v>
      </c>
      <c r="CN124" s="95">
        <f t="shared" si="126"/>
        <v>0.3</v>
      </c>
      <c r="CO124" s="95">
        <f t="shared" si="126"/>
        <v>0.3</v>
      </c>
      <c r="CP124" s="95">
        <f t="shared" si="126"/>
        <v>0.3</v>
      </c>
      <c r="CQ124" s="95">
        <f t="shared" si="126"/>
        <v>0.3</v>
      </c>
      <c r="CR124" s="95">
        <f t="shared" si="126"/>
        <v>0.3</v>
      </c>
      <c r="CS124" s="95">
        <f t="shared" si="126"/>
        <v>0.3</v>
      </c>
      <c r="CT124" s="95">
        <f t="shared" ref="CT124:DE124" si="127">CS124</f>
        <v>0.3</v>
      </c>
      <c r="CU124" s="95">
        <f t="shared" si="127"/>
        <v>0.3</v>
      </c>
      <c r="CV124" s="95">
        <f t="shared" si="127"/>
        <v>0.3</v>
      </c>
      <c r="CW124" s="95">
        <f t="shared" si="127"/>
        <v>0.3</v>
      </c>
      <c r="CX124" s="95">
        <f t="shared" si="127"/>
        <v>0.3</v>
      </c>
      <c r="CY124" s="95">
        <f t="shared" si="127"/>
        <v>0.3</v>
      </c>
      <c r="CZ124" s="95">
        <f>CY124</f>
        <v>0.3</v>
      </c>
      <c r="DA124" s="95">
        <f>CZ124</f>
        <v>0.3</v>
      </c>
      <c r="DB124" s="95">
        <f>DA124</f>
        <v>0.3</v>
      </c>
      <c r="DC124" s="95">
        <f t="shared" si="127"/>
        <v>0.3</v>
      </c>
      <c r="DD124" s="95">
        <f t="shared" si="127"/>
        <v>0.3</v>
      </c>
      <c r="DE124" s="138">
        <f t="shared" si="127"/>
        <v>0.3</v>
      </c>
      <c r="DF124" s="95">
        <f t="shared" ref="DF124:DR124" si="128">DE124</f>
        <v>0.3</v>
      </c>
      <c r="DG124" s="95">
        <f t="shared" si="128"/>
        <v>0.3</v>
      </c>
      <c r="DH124" s="138">
        <f t="shared" si="128"/>
        <v>0.3</v>
      </c>
      <c r="DI124" s="95">
        <f t="shared" si="128"/>
        <v>0.3</v>
      </c>
      <c r="DJ124" s="95">
        <f t="shared" si="128"/>
        <v>0.3</v>
      </c>
      <c r="DK124" s="138">
        <f t="shared" si="128"/>
        <v>0.3</v>
      </c>
      <c r="DL124" s="95">
        <f t="shared" si="128"/>
        <v>0.3</v>
      </c>
      <c r="DM124" s="95">
        <f t="shared" si="128"/>
        <v>0.3</v>
      </c>
      <c r="DN124" s="138">
        <f t="shared" si="128"/>
        <v>0.3</v>
      </c>
      <c r="DO124" s="95">
        <f t="shared" si="128"/>
        <v>0.3</v>
      </c>
      <c r="DP124" s="95">
        <f t="shared" si="128"/>
        <v>0.3</v>
      </c>
      <c r="DQ124" s="138">
        <f t="shared" si="128"/>
        <v>0.3</v>
      </c>
      <c r="DR124" s="95">
        <f t="shared" si="128"/>
        <v>0.3</v>
      </c>
      <c r="DS124" s="95">
        <f>DR124</f>
        <v>0.3</v>
      </c>
      <c r="DT124" s="138">
        <f>DS124</f>
        <v>0.3</v>
      </c>
      <c r="DU124" s="95">
        <f>DT124</f>
        <v>0.3</v>
      </c>
      <c r="DV124" s="95">
        <f>DU124</f>
        <v>0.3</v>
      </c>
      <c r="DW124" s="138">
        <f>DV124</f>
        <v>0.3</v>
      </c>
      <c r="DX124" s="95">
        <f>DW124</f>
        <v>0.3</v>
      </c>
      <c r="DY124" s="95">
        <f t="shared" ref="DY124:FA124" si="129">DX124</f>
        <v>0.3</v>
      </c>
      <c r="DZ124" s="138">
        <f t="shared" si="129"/>
        <v>0.3</v>
      </c>
      <c r="EA124" s="95">
        <f t="shared" si="129"/>
        <v>0.3</v>
      </c>
      <c r="EB124" s="95">
        <f t="shared" si="129"/>
        <v>0.3</v>
      </c>
      <c r="EC124" s="138">
        <f t="shared" si="129"/>
        <v>0.3</v>
      </c>
      <c r="ED124" s="95">
        <f t="shared" si="129"/>
        <v>0.3</v>
      </c>
      <c r="EE124" s="95">
        <f t="shared" si="129"/>
        <v>0.3</v>
      </c>
      <c r="EF124" s="138">
        <f t="shared" si="129"/>
        <v>0.3</v>
      </c>
      <c r="EG124" s="95">
        <f t="shared" si="129"/>
        <v>0.3</v>
      </c>
      <c r="EH124" s="95">
        <f t="shared" si="129"/>
        <v>0.3</v>
      </c>
      <c r="EI124" s="138">
        <f t="shared" si="129"/>
        <v>0.3</v>
      </c>
      <c r="EJ124" s="95">
        <f t="shared" si="129"/>
        <v>0.3</v>
      </c>
      <c r="EK124" s="95">
        <f t="shared" si="129"/>
        <v>0.3</v>
      </c>
      <c r="EL124" s="138">
        <f t="shared" si="129"/>
        <v>0.3</v>
      </c>
      <c r="EM124" s="95">
        <f t="shared" si="129"/>
        <v>0.3</v>
      </c>
      <c r="EN124" s="95">
        <f t="shared" si="129"/>
        <v>0.3</v>
      </c>
      <c r="EO124" s="138">
        <f t="shared" si="129"/>
        <v>0.3</v>
      </c>
      <c r="EP124" s="95">
        <f t="shared" si="129"/>
        <v>0.3</v>
      </c>
      <c r="EQ124" s="95">
        <f t="shared" si="129"/>
        <v>0.3</v>
      </c>
      <c r="ER124" s="138">
        <f t="shared" si="129"/>
        <v>0.3</v>
      </c>
      <c r="ES124" s="95">
        <f t="shared" si="129"/>
        <v>0.3</v>
      </c>
      <c r="ET124" s="95">
        <f t="shared" si="129"/>
        <v>0.3</v>
      </c>
      <c r="EU124" s="138">
        <f t="shared" si="129"/>
        <v>0.3</v>
      </c>
      <c r="EV124" s="95">
        <f t="shared" si="129"/>
        <v>0.3</v>
      </c>
      <c r="EW124" s="95">
        <f t="shared" si="129"/>
        <v>0.3</v>
      </c>
      <c r="EX124" s="138">
        <f t="shared" si="129"/>
        <v>0.3</v>
      </c>
      <c r="EY124" s="95">
        <f t="shared" si="129"/>
        <v>0.3</v>
      </c>
      <c r="EZ124" s="95">
        <f t="shared" si="129"/>
        <v>0.3</v>
      </c>
      <c r="FA124" s="138">
        <f t="shared" si="129"/>
        <v>0.3</v>
      </c>
    </row>
    <row r="125" spans="1:157" ht="13.35" customHeight="1">
      <c r="A125" s="3"/>
      <c r="B125" s="4" t="s">
        <v>211</v>
      </c>
      <c r="C125" s="4"/>
      <c r="D125" s="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c r="AF125" s="84"/>
      <c r="AG125" s="84"/>
      <c r="AH125" s="84"/>
      <c r="AI125" s="84"/>
      <c r="AJ125" s="84"/>
      <c r="AK125" s="84"/>
      <c r="AL125" s="84"/>
      <c r="AM125" s="84"/>
      <c r="AN125" s="84"/>
      <c r="AO125" s="84"/>
      <c r="AP125" s="84"/>
      <c r="AQ125" s="84"/>
      <c r="AR125" s="84"/>
      <c r="AS125" s="84"/>
      <c r="AT125" s="84"/>
      <c r="AU125" s="84"/>
      <c r="AV125" s="84"/>
      <c r="AW125" s="84"/>
      <c r="AX125" s="96">
        <f>IF(AX122&lt;&gt;"",IF((AW125-AW127)&gt;0,AW125-AW127,0),"")</f>
        <v>0</v>
      </c>
      <c r="AY125" s="87">
        <f>IF(AY122&lt;&gt;"",IF((AX125-AX127)&gt;0,AX125-AX127,0),"")</f>
        <v>0</v>
      </c>
      <c r="AZ125" s="96">
        <f>IF(AZ122&lt;&gt;"",IF((AW125-AW127)&gt;0,AW125-AW127,0),"")</f>
        <v>0</v>
      </c>
      <c r="BA125" s="96">
        <f>Model!BA71-(Model!AX45*0.25)</f>
        <v>5.9055000000000009</v>
      </c>
      <c r="BB125" s="96">
        <f>Model!BB71-(Model!AY45*0.25)</f>
        <v>7.3959999999999981</v>
      </c>
      <c r="BC125" s="96">
        <f>Model!BC71-(Model!AZ45*0.25)</f>
        <v>13.301499999999999</v>
      </c>
      <c r="BD125" s="96"/>
      <c r="BE125" s="96"/>
      <c r="BF125" s="96">
        <f>Model!BF71-(Model!BC45*0.25)</f>
        <v>28.618224000000001</v>
      </c>
      <c r="BG125" s="96">
        <f>Model!BG71-(Model!BD45*0.25)</f>
        <v>14.113250000000001</v>
      </c>
      <c r="BH125" s="96">
        <f>Model!BH71-(Model!BE45*0.25)</f>
        <v>14.054500000000001</v>
      </c>
      <c r="BI125" s="96">
        <f>Model!BI71-(Model!BF45*0.25)</f>
        <v>28.167750000000002</v>
      </c>
      <c r="BJ125" s="96">
        <f>Model!BJ71-(Model!BG45*0.25)</f>
        <v>-12.53725</v>
      </c>
      <c r="BK125" s="96">
        <f>Model!BK71-(Model!BH45*0.25)</f>
        <v>-10.594999999999999</v>
      </c>
      <c r="BL125" s="96">
        <f>Model!BL71-(Model!BI45*0.25)</f>
        <v>-23.132249999999999</v>
      </c>
      <c r="BM125" s="96">
        <f>Model!BM71-(Model!BJ45*0.25)</f>
        <v>-10.525</v>
      </c>
      <c r="BN125" s="96">
        <f>Model!BN71-(Model!BK45*0.25)</f>
        <v>-14.772</v>
      </c>
      <c r="BO125" s="96">
        <f>Model!BO71-(Model!BL45*0.25)</f>
        <v>-25.297000000000001</v>
      </c>
      <c r="BP125" s="96">
        <f>Model!BP71-(Model!BM45*0.25)</f>
        <v>-18.869499999999999</v>
      </c>
      <c r="BQ125" s="96">
        <f>Model!BQ71-(Model!BN45*0.25)</f>
        <v>-17.560750000000002</v>
      </c>
      <c r="BR125" s="96">
        <f>Model!BR71-(Model!BO45*0.25)</f>
        <v>-36.430250000000001</v>
      </c>
      <c r="BS125" s="96">
        <f>Model!BS71-(Model!BP45*0.25)</f>
        <v>-21.186499999999999</v>
      </c>
      <c r="BT125" s="96">
        <f>Model!BT71-(Model!BQ45*0.25)</f>
        <v>-15.141250000000003</v>
      </c>
      <c r="BU125" s="96">
        <f>Model!BU71-(Model!BR45*0.25)</f>
        <v>-36.327750000000002</v>
      </c>
      <c r="BV125" s="96">
        <f>Model!BV71-(Model!BS45*0.25)</f>
        <v>-21.186499999999999</v>
      </c>
      <c r="BW125" s="96">
        <f>Model!BW71-(Model!BT45*0.25)</f>
        <v>-15.141250000000003</v>
      </c>
      <c r="BX125" s="96">
        <f>Model!BX71-(Model!BU45*0.25)</f>
        <v>-36.327750000000002</v>
      </c>
      <c r="BY125" s="96">
        <f>Model!BY71-(Model!BV45*0.25)</f>
        <v>-19.700294994569703</v>
      </c>
      <c r="BZ125" s="96">
        <f>Model!BZ71-(Model!BW45*0.25)</f>
        <v>-24.130955005430302</v>
      </c>
      <c r="CA125" s="96">
        <f>Model!CA71-(Model!BX45*0.25)</f>
        <v>-43.831250000000004</v>
      </c>
      <c r="CB125" s="96">
        <f>Model!CB71-(Model!BY45*0.25)</f>
        <v>-22.933836495162172</v>
      </c>
      <c r="CC125" s="96">
        <f>Model!CC71-(Model!BZ45*0.25)</f>
        <v>-21.772600453386719</v>
      </c>
      <c r="CD125" s="96">
        <f>Model!CD71-(Model!CA45*0.25)</f>
        <v>-44.706436948548891</v>
      </c>
      <c r="CE125" s="96">
        <f>Model!CE71-(Model!CB45*0.25)</f>
        <v>-26.667000956410295</v>
      </c>
      <c r="CF125" s="96">
        <f>Model!CF71-(Model!CC45*0.25)</f>
        <v>-25.131120896723399</v>
      </c>
      <c r="CG125" s="96">
        <f>Model!CG71-(Model!CD45*0.25)</f>
        <v>-51.798121853133694</v>
      </c>
      <c r="CH125" s="96">
        <f>Model!CH71-(Model!CE45*0.25)</f>
        <v>-26.069773824231905</v>
      </c>
      <c r="CI125" s="96">
        <f>Model!CI71-(Model!CF45*0.25)</f>
        <v>-28.006751722818425</v>
      </c>
      <c r="CJ125" s="96">
        <f>Model!CJ71-(Model!CG45*0.25)</f>
        <v>-54.076525547050331</v>
      </c>
      <c r="CK125" s="96">
        <f>Model!CK71-(Model!CH45*0.25)</f>
        <v>0</v>
      </c>
      <c r="CL125" s="96">
        <f>Model!CL71-(Model!CI45*0.25)</f>
        <v>0</v>
      </c>
      <c r="CM125" s="96">
        <f>Model!CM71-(Model!CJ45*0.25)</f>
        <v>0</v>
      </c>
      <c r="CN125" s="96">
        <f>Model!CN71-(Model!CK45*0.25)</f>
        <v>0</v>
      </c>
      <c r="CO125" s="96">
        <f>Model!CO71-(Model!CL45*0.25)</f>
        <v>0</v>
      </c>
      <c r="CP125" s="96">
        <f>Model!CP71-(Model!CM45*0.25)</f>
        <v>0</v>
      </c>
      <c r="CQ125" s="96">
        <f>Model!CQ71-(Model!CN45*0.25)</f>
        <v>0</v>
      </c>
      <c r="CR125" s="96">
        <f>Model!CR71-(Model!CO45*0.25)</f>
        <v>0</v>
      </c>
      <c r="CS125" s="96">
        <f>Model!CS71-(Model!CP45*0.25)</f>
        <v>0</v>
      </c>
      <c r="CT125" s="96">
        <f>Model!CT71-(Model!CQ45*0.25)</f>
        <v>0</v>
      </c>
      <c r="CU125" s="96">
        <f>Model!CU71-(Model!CR45*0.25)</f>
        <v>0</v>
      </c>
      <c r="CV125" s="96">
        <f>Model!CV71-(Model!CS45*0.25)</f>
        <v>0</v>
      </c>
      <c r="CW125" s="96">
        <f>Model!CW71-(Model!CT45*0.25)</f>
        <v>0</v>
      </c>
      <c r="CX125" s="96">
        <f>Model!CX71-(Model!CU45*0.25)</f>
        <v>0</v>
      </c>
      <c r="CY125" s="96">
        <f>Model!CY71-(Model!CV45*0.25)</f>
        <v>0</v>
      </c>
      <c r="CZ125" s="96">
        <f>Model!CZ71-(Model!CW45*0.25)</f>
        <v>0</v>
      </c>
      <c r="DA125" s="96">
        <f>Model!DA71-(Model!CX45*0.25)</f>
        <v>0</v>
      </c>
      <c r="DB125" s="96">
        <f>Model!DB71-(Model!CY45*0.25)</f>
        <v>0</v>
      </c>
      <c r="DC125" s="96">
        <f>Model!DC71-(Model!CZ45*0.25)</f>
        <v>0</v>
      </c>
      <c r="DD125" s="96">
        <f>Model!DD71-(Model!DA45*0.25)</f>
        <v>0</v>
      </c>
      <c r="DE125" s="145">
        <f>Model!DE71-(Model!DB45*0.25)</f>
        <v>0</v>
      </c>
      <c r="DF125" s="96">
        <f>Model!DF71-(Model!DC45*0.25)</f>
        <v>0</v>
      </c>
      <c r="DG125" s="96">
        <f>Model!DG71-(Model!DD45*0.25)</f>
        <v>0</v>
      </c>
      <c r="DH125" s="145">
        <f>Model!DH71-(Model!DE45*0.25)</f>
        <v>0</v>
      </c>
      <c r="DI125" s="96">
        <f>Model!DI71-(Model!DF45*0.25)</f>
        <v>0</v>
      </c>
      <c r="DJ125" s="96">
        <f>Model!DJ71-(Model!DG45*0.25)</f>
        <v>0</v>
      </c>
      <c r="DK125" s="145">
        <f>Model!DK71-(Model!DH45*0.25)</f>
        <v>0</v>
      </c>
      <c r="DL125" s="96">
        <f>Model!DL71-(Model!DI45*0.25)</f>
        <v>0</v>
      </c>
      <c r="DM125" s="96">
        <f>Model!DM71-(Model!DJ45*0.25)</f>
        <v>0</v>
      </c>
      <c r="DN125" s="145">
        <f>Model!DN71-(Model!DK45*0.25)</f>
        <v>0</v>
      </c>
      <c r="DO125" s="96">
        <f>Model!DO71-(Model!DL45*0.25)</f>
        <v>0</v>
      </c>
      <c r="DP125" s="96">
        <f>Model!DP71-(Model!DM45*0.25)</f>
        <v>0</v>
      </c>
      <c r="DQ125" s="145">
        <f>Model!DQ71-(Model!DN45*0.25)</f>
        <v>0</v>
      </c>
      <c r="DR125" s="96">
        <f>Model!DR71-(Model!DO45*0.25)</f>
        <v>0</v>
      </c>
      <c r="DS125" s="96">
        <f>Model!DS71-(Model!DP45*0.25)</f>
        <v>0</v>
      </c>
      <c r="DT125" s="145">
        <f>Model!DT71-(Model!DQ45*0.25)</f>
        <v>0</v>
      </c>
      <c r="DU125" s="96">
        <f>Model!DU71-(Model!DR45*0.25)</f>
        <v>0</v>
      </c>
      <c r="DV125" s="96">
        <f>Model!DV71-(Model!DS45*0.25)</f>
        <v>0</v>
      </c>
      <c r="DW125" s="145">
        <f>Model!DW71-(Model!DT45*0.25)</f>
        <v>0</v>
      </c>
      <c r="DX125" s="96">
        <f>Model!DX71-(Model!DU45*0.25)</f>
        <v>0</v>
      </c>
      <c r="DY125" s="96">
        <f>Model!DY71-(Model!DV45*0.25)</f>
        <v>0</v>
      </c>
      <c r="DZ125" s="145">
        <f>Model!DZ71-(Model!DW45*0.25)</f>
        <v>0</v>
      </c>
      <c r="EA125" s="96">
        <f>Model!EA71-(Model!DX45*0.25)</f>
        <v>0</v>
      </c>
      <c r="EB125" s="96">
        <f>Model!EB71-(Model!DY45*0.25)</f>
        <v>0</v>
      </c>
      <c r="EC125" s="145">
        <f>Model!EC71-(Model!DZ45*0.25)</f>
        <v>0</v>
      </c>
      <c r="ED125" s="96">
        <f>Model!ED71-(Model!EA45*0.25)</f>
        <v>0</v>
      </c>
      <c r="EE125" s="96">
        <f>Model!EE71-(Model!EB45*0.25)</f>
        <v>0</v>
      </c>
      <c r="EF125" s="145">
        <f>Model!EF71-(Model!EC45*0.25)</f>
        <v>0</v>
      </c>
      <c r="EG125" s="96">
        <f>Model!EG71-(Model!ED45*0.25)</f>
        <v>0</v>
      </c>
      <c r="EH125" s="96">
        <f>Model!EH71-(Model!EE45*0.25)</f>
        <v>0</v>
      </c>
      <c r="EI125" s="145">
        <f>Model!EI71-(Model!EF45*0.25)</f>
        <v>0</v>
      </c>
      <c r="EJ125" s="96">
        <f>Model!EJ71-(Model!EG45*0.25)</f>
        <v>0</v>
      </c>
      <c r="EK125" s="96">
        <f>Model!EK71-(Model!EH45*0.25)</f>
        <v>0</v>
      </c>
      <c r="EL125" s="145">
        <f>Model!EL71-(Model!EI45*0.25)</f>
        <v>0</v>
      </c>
      <c r="EM125" s="96">
        <f>Model!EM71-(Model!EJ45*0.25)</f>
        <v>0</v>
      </c>
      <c r="EN125" s="96">
        <f>Model!EN71-(Model!EK45*0.25)</f>
        <v>0</v>
      </c>
      <c r="EO125" s="145">
        <f>Model!EO71-(Model!EL45*0.25)</f>
        <v>0</v>
      </c>
      <c r="EP125" s="96">
        <f>Model!EP71-(Model!EM45*0.25)</f>
        <v>0</v>
      </c>
      <c r="EQ125" s="96">
        <f>Model!EQ71-(Model!EN45*0.25)</f>
        <v>0</v>
      </c>
      <c r="ER125" s="145">
        <f>Model!ER71-(Model!EO45*0.25)</f>
        <v>0</v>
      </c>
      <c r="ES125" s="96">
        <f>Model!ES71-(Model!EP45*0.25)</f>
        <v>0</v>
      </c>
      <c r="ET125" s="96">
        <f>Model!ET71-(Model!EQ45*0.25)</f>
        <v>0</v>
      </c>
      <c r="EU125" s="145">
        <f>Model!EU71-(Model!ER45*0.25)</f>
        <v>0</v>
      </c>
      <c r="EV125" s="96">
        <f>Model!EV71-(Model!ES45*0.25)</f>
        <v>0</v>
      </c>
      <c r="EW125" s="96">
        <f>Model!EW71-(Model!ET45*0.25)</f>
        <v>0</v>
      </c>
      <c r="EX125" s="145">
        <f>Model!EX71-(Model!EU45*0.25)</f>
        <v>0</v>
      </c>
      <c r="EY125" s="96">
        <f>Model!EY71-(Model!EV45*0.25)</f>
        <v>0</v>
      </c>
      <c r="EZ125" s="96">
        <f>Model!EZ71-(Model!EW45*0.25)</f>
        <v>0</v>
      </c>
      <c r="FA125" s="145">
        <f>Model!FA71-(Model!EX45*0.25)</f>
        <v>0</v>
      </c>
    </row>
    <row r="126" spans="1:157" ht="13.35" customHeight="1">
      <c r="A126" s="3"/>
      <c r="B126" s="4" t="s">
        <v>300</v>
      </c>
      <c r="C126" s="4"/>
      <c r="D126" s="4"/>
      <c r="E126" s="97"/>
      <c r="F126" s="97"/>
      <c r="G126" s="97"/>
      <c r="H126" s="97"/>
      <c r="I126" s="97"/>
      <c r="J126" s="97"/>
      <c r="K126" s="97"/>
      <c r="L126" s="97"/>
      <c r="M126" s="97"/>
      <c r="N126" s="97"/>
      <c r="O126" s="97"/>
      <c r="P126" s="97"/>
      <c r="Q126" s="97"/>
      <c r="R126" s="97"/>
      <c r="S126" s="97"/>
      <c r="T126" s="97"/>
      <c r="U126" s="97"/>
      <c r="V126" s="97"/>
      <c r="W126" s="97"/>
      <c r="X126" s="97"/>
      <c r="Y126" s="97"/>
      <c r="Z126" s="97"/>
      <c r="AA126" s="97"/>
      <c r="AB126" s="97"/>
      <c r="AC126" s="97"/>
      <c r="AD126" s="97"/>
      <c r="AE126" s="97"/>
      <c r="AF126" s="97"/>
      <c r="AG126" s="97"/>
      <c r="AH126" s="97"/>
      <c r="AI126" s="97"/>
      <c r="AJ126" s="97"/>
      <c r="AK126" s="97"/>
      <c r="AL126" s="97"/>
      <c r="AM126" s="97"/>
      <c r="AN126" s="97"/>
      <c r="AO126" s="97"/>
      <c r="AP126" s="97"/>
      <c r="AQ126" s="97"/>
      <c r="AR126" s="97"/>
      <c r="AS126" s="97"/>
      <c r="AT126" s="97"/>
      <c r="AU126" s="97"/>
      <c r="AV126" s="97"/>
      <c r="AW126" s="97"/>
      <c r="AX126" s="97"/>
      <c r="AY126" s="97"/>
      <c r="AZ126" s="97"/>
      <c r="BA126" s="107">
        <v>1</v>
      </c>
      <c r="BB126" s="107">
        <v>1</v>
      </c>
      <c r="BC126" s="107">
        <v>1</v>
      </c>
      <c r="BD126" s="107">
        <v>1</v>
      </c>
      <c r="BE126" s="107">
        <v>1</v>
      </c>
      <c r="BF126" s="107">
        <v>1</v>
      </c>
      <c r="BG126" s="107">
        <v>1</v>
      </c>
      <c r="BH126" s="107">
        <v>1</v>
      </c>
      <c r="BI126" s="107">
        <v>1</v>
      </c>
      <c r="BJ126" s="107">
        <v>1</v>
      </c>
      <c r="BK126" s="107">
        <v>1</v>
      </c>
      <c r="BL126" s="107">
        <v>1</v>
      </c>
      <c r="BM126" s="107">
        <v>1</v>
      </c>
      <c r="BN126" s="107">
        <v>1</v>
      </c>
      <c r="BO126" s="107">
        <v>1</v>
      </c>
      <c r="BP126" s="107">
        <v>1</v>
      </c>
      <c r="BQ126" s="107">
        <v>1</v>
      </c>
      <c r="BR126" s="107">
        <v>1</v>
      </c>
      <c r="BS126" s="107">
        <v>1</v>
      </c>
      <c r="BT126" s="107">
        <v>1</v>
      </c>
      <c r="BU126" s="107">
        <v>1</v>
      </c>
      <c r="BV126" s="107">
        <v>1</v>
      </c>
      <c r="BW126" s="107">
        <v>1</v>
      </c>
      <c r="BX126" s="107">
        <v>1</v>
      </c>
      <c r="BY126" s="107">
        <v>1</v>
      </c>
      <c r="BZ126" s="107">
        <v>1</v>
      </c>
      <c r="CA126" s="107">
        <v>1</v>
      </c>
      <c r="CB126" s="107">
        <v>1</v>
      </c>
      <c r="CC126" s="107">
        <v>1</v>
      </c>
      <c r="CD126" s="107">
        <v>1</v>
      </c>
      <c r="CE126" s="107">
        <v>1</v>
      </c>
      <c r="CF126" s="107">
        <v>1</v>
      </c>
      <c r="CG126" s="107">
        <v>1</v>
      </c>
      <c r="CH126" s="107">
        <v>1</v>
      </c>
      <c r="CI126" s="107">
        <v>1</v>
      </c>
      <c r="CJ126" s="107">
        <v>1</v>
      </c>
      <c r="CK126" s="107">
        <v>1</v>
      </c>
      <c r="CL126" s="107">
        <v>1</v>
      </c>
      <c r="CM126" s="107">
        <v>1</v>
      </c>
      <c r="CN126" s="107">
        <v>1</v>
      </c>
      <c r="CO126" s="107">
        <v>1</v>
      </c>
      <c r="CP126" s="107">
        <v>1</v>
      </c>
      <c r="CQ126" s="107">
        <v>1</v>
      </c>
      <c r="CR126" s="107">
        <v>1</v>
      </c>
      <c r="CS126" s="107">
        <v>1</v>
      </c>
      <c r="CT126" s="107">
        <v>1</v>
      </c>
      <c r="CU126" s="107">
        <v>1</v>
      </c>
      <c r="CV126" s="107">
        <v>1</v>
      </c>
      <c r="CW126" s="107">
        <v>1</v>
      </c>
      <c r="CX126" s="107">
        <v>1</v>
      </c>
      <c r="CY126" s="107">
        <v>1</v>
      </c>
      <c r="CZ126" s="107">
        <v>1</v>
      </c>
      <c r="DA126" s="107">
        <v>1</v>
      </c>
      <c r="DB126" s="107">
        <v>1</v>
      </c>
      <c r="DC126" s="107">
        <v>1</v>
      </c>
      <c r="DD126" s="107">
        <v>1</v>
      </c>
      <c r="DE126" s="147">
        <v>1</v>
      </c>
      <c r="DF126" s="107">
        <v>1</v>
      </c>
      <c r="DG126" s="107">
        <v>1</v>
      </c>
      <c r="DH126" s="147">
        <v>1</v>
      </c>
      <c r="DI126" s="107">
        <v>1</v>
      </c>
      <c r="DJ126" s="107">
        <v>1</v>
      </c>
      <c r="DK126" s="147">
        <v>1</v>
      </c>
      <c r="DL126" s="107">
        <v>1</v>
      </c>
      <c r="DM126" s="107">
        <v>1</v>
      </c>
      <c r="DN126" s="147">
        <v>1</v>
      </c>
      <c r="DO126" s="107">
        <v>1</v>
      </c>
      <c r="DP126" s="107">
        <v>1</v>
      </c>
      <c r="DQ126" s="147">
        <v>1</v>
      </c>
      <c r="DR126" s="107">
        <v>1</v>
      </c>
      <c r="DS126" s="107">
        <v>1</v>
      </c>
      <c r="DT126" s="147">
        <v>1</v>
      </c>
      <c r="DU126" s="107">
        <v>1</v>
      </c>
      <c r="DV126" s="107">
        <v>1</v>
      </c>
      <c r="DW126" s="147">
        <v>1</v>
      </c>
      <c r="DX126" s="107">
        <v>1</v>
      </c>
      <c r="DY126" s="107">
        <v>1</v>
      </c>
      <c r="DZ126" s="147">
        <v>1</v>
      </c>
      <c r="EA126" s="107">
        <v>1</v>
      </c>
      <c r="EB126" s="107">
        <v>1</v>
      </c>
      <c r="EC126" s="147">
        <v>1</v>
      </c>
      <c r="ED126" s="107">
        <v>1</v>
      </c>
      <c r="EE126" s="107">
        <v>1</v>
      </c>
      <c r="EF126" s="147">
        <v>1</v>
      </c>
      <c r="EG126" s="107">
        <v>1</v>
      </c>
      <c r="EH126" s="107">
        <v>1</v>
      </c>
      <c r="EI126" s="147">
        <v>1</v>
      </c>
      <c r="EJ126" s="107">
        <v>1</v>
      </c>
      <c r="EK126" s="107">
        <v>1</v>
      </c>
      <c r="EL126" s="147">
        <v>1</v>
      </c>
      <c r="EM126" s="107">
        <v>1</v>
      </c>
      <c r="EN126" s="107">
        <v>1</v>
      </c>
      <c r="EO126" s="147">
        <v>1</v>
      </c>
      <c r="EP126" s="107">
        <v>1</v>
      </c>
      <c r="EQ126" s="107">
        <v>1</v>
      </c>
      <c r="ER126" s="147">
        <v>1</v>
      </c>
      <c r="ES126" s="107">
        <v>1</v>
      </c>
      <c r="ET126" s="107">
        <v>1</v>
      </c>
      <c r="EU126" s="147">
        <v>1</v>
      </c>
      <c r="EV126" s="107">
        <v>1</v>
      </c>
      <c r="EW126" s="107">
        <v>1</v>
      </c>
      <c r="EX126" s="147">
        <v>1</v>
      </c>
      <c r="EY126" s="107">
        <v>1</v>
      </c>
      <c r="EZ126" s="107">
        <v>1</v>
      </c>
      <c r="FA126" s="147">
        <v>1</v>
      </c>
    </row>
    <row r="127" spans="1:157" ht="13.35" customHeight="1">
      <c r="A127" s="3"/>
      <c r="B127" s="4" t="s">
        <v>301</v>
      </c>
      <c r="C127" s="4"/>
      <c r="D127" s="109"/>
      <c r="E127" s="87"/>
      <c r="F127" s="87" t="str">
        <f>IF(AND(G127&lt;&gt;"",E127&lt;&gt;""),G127-E127,"")</f>
        <v/>
      </c>
      <c r="G127" s="84"/>
      <c r="H127" s="84"/>
      <c r="I127" s="87" t="str">
        <f>IF(AND(J127&lt;&gt;"",H127&lt;&gt;""),J127-H127,"")</f>
        <v/>
      </c>
      <c r="J127" s="84"/>
      <c r="K127" s="84"/>
      <c r="L127" s="87" t="str">
        <f>IF(AND(M127&lt;&gt;"",K127&lt;&gt;""),M127-K127,"")</f>
        <v/>
      </c>
      <c r="M127" s="84"/>
      <c r="N127" s="84"/>
      <c r="O127" s="87" t="str">
        <f>IF(AND(P127&lt;&gt;"",N127&lt;&gt;""),P127-N127,"")</f>
        <v/>
      </c>
      <c r="P127" s="84"/>
      <c r="Q127" s="84"/>
      <c r="R127" s="87" t="str">
        <f>IF(AND(S127&lt;&gt;"",Q127&lt;&gt;""),S127-Q127,"")</f>
        <v/>
      </c>
      <c r="S127" s="84"/>
      <c r="T127" s="84"/>
      <c r="U127" s="87" t="str">
        <f>IF(AND(V127&lt;&gt;"",T127&lt;&gt;""),V127-T127,"")</f>
        <v/>
      </c>
      <c r="V127" s="84"/>
      <c r="W127" s="84"/>
      <c r="X127" s="87" t="str">
        <f>IF(AND(Y127&lt;&gt;"",W127&lt;&gt;""),Y127-W127,"")</f>
        <v/>
      </c>
      <c r="Y127" s="84"/>
      <c r="Z127" s="84"/>
      <c r="AA127" s="87" t="str">
        <f>IF(AND(AB127&lt;&gt;"",Z127&lt;&gt;""),AB127-Z127,"")</f>
        <v/>
      </c>
      <c r="AB127" s="84"/>
      <c r="AC127" s="84"/>
      <c r="AD127" s="87" t="str">
        <f>IF(AND(AE127&lt;&gt;"",AC127&lt;&gt;""),AE127-AC127,"")</f>
        <v/>
      </c>
      <c r="AE127" s="84"/>
      <c r="AF127" s="84"/>
      <c r="AG127" s="87" t="str">
        <f>IF(AND(AH127&lt;&gt;"",AF127&lt;&gt;""),AH127-AF127,"")</f>
        <v/>
      </c>
      <c r="AH127" s="84"/>
      <c r="AI127" s="84"/>
      <c r="AJ127" s="87" t="str">
        <f>IF(AND(AK127&lt;&gt;"",AI127&lt;&gt;""),AK127-AI127,"")</f>
        <v/>
      </c>
      <c r="AK127" s="84"/>
      <c r="AL127" s="84"/>
      <c r="AM127" s="87" t="str">
        <f>IF(AND(AN127&lt;&gt;"",AL127&lt;&gt;""),AN127-AL127,"")</f>
        <v/>
      </c>
      <c r="AN127" s="84"/>
      <c r="AO127" s="84"/>
      <c r="AP127" s="87" t="str">
        <f>IF(AND(AQ127&lt;&gt;"",AO127&lt;&gt;""),AQ127-AO127,"")</f>
        <v/>
      </c>
      <c r="AQ127" s="84"/>
      <c r="AR127" s="84"/>
      <c r="AS127" s="87" t="str">
        <f>IF(AND(AT127&lt;&gt;"",AR127&lt;&gt;""),AT127-AR127,"")</f>
        <v/>
      </c>
      <c r="AT127" s="84"/>
      <c r="AU127" s="84"/>
      <c r="AV127" s="87" t="str">
        <f>IF(AND(AW127&lt;&gt;"",AU127&lt;&gt;""),AW127-AU127,"")</f>
        <v/>
      </c>
      <c r="AW127" s="84"/>
      <c r="AX127" s="84"/>
      <c r="AY127" s="87" t="str">
        <f>IF(AND(AZ127&lt;&gt;"",AX127&lt;&gt;""),AZ127-AX127,"")</f>
        <v/>
      </c>
      <c r="AZ127" s="87"/>
      <c r="BA127" s="87">
        <f>IF(AND(BA122&lt;&gt;"",BA126&lt;&gt;""),IF(BA125&gt;(BA126*Model!BA80),BA126*Model!BA80,BA125),0)</f>
        <v>5.9055000000000009</v>
      </c>
      <c r="BB127" s="87">
        <f>IF(AND(BC127&lt;&gt;"",BA127&lt;&gt;""),BC127-BA127,0)</f>
        <v>7.3959999999999981</v>
      </c>
      <c r="BC127" s="87">
        <f>IF(AND(BC122&lt;&gt;"",BC126&lt;&gt;""),IF(BC125&gt;(BC126*Model!BC80),BC126*Model!BC80,BC125),0)</f>
        <v>13.301499999999999</v>
      </c>
      <c r="BD127" s="87"/>
      <c r="BE127" s="87"/>
      <c r="BF127" s="87">
        <f>IF(AND(BF122&lt;&gt;"",BF126&lt;&gt;""),IF(BF125&gt;(BF126*Model!BF80),BF126*Model!BF80,BF125),0)</f>
        <v>28.618224000000001</v>
      </c>
      <c r="BG127" s="87">
        <f>IF(AND(BG122&lt;&gt;"",BG126&lt;&gt;""),IF(BG125&gt;(BG126*Model!BG80),BG126*Model!BG80,BG125),0)</f>
        <v>14.113250000000001</v>
      </c>
      <c r="BH127" s="87">
        <f>IF(AND(BI127&lt;&gt;"",BG127&lt;&gt;""),BI127-BG127,0)</f>
        <v>14.054500000000001</v>
      </c>
      <c r="BI127" s="87">
        <f>IF(AND(BI122&lt;&gt;"",BI126&lt;&gt;""),IF(BI125&gt;(BI126*Model!BI80),BI126*Model!BI80,BI125),0)</f>
        <v>28.167750000000002</v>
      </c>
      <c r="BJ127" s="87">
        <f>IF(AND(BJ122&lt;&gt;"",BJ126&lt;&gt;""),IF(BJ125&gt;(BJ126*Model!BJ80),BJ126*Model!BJ80,BJ125),0)</f>
        <v>-12.53725</v>
      </c>
      <c r="BK127" s="87"/>
      <c r="BL127" s="87"/>
      <c r="BM127" s="87">
        <v>-10.525</v>
      </c>
      <c r="BN127" s="87">
        <v>-14.772</v>
      </c>
      <c r="BO127" s="87">
        <v>-25.297000000000001</v>
      </c>
      <c r="BP127" s="87">
        <v>-18.869499999999999</v>
      </c>
      <c r="BQ127" s="87">
        <v>-17.560750000000002</v>
      </c>
      <c r="BR127" s="87">
        <v>-36.430250000000001</v>
      </c>
      <c r="BS127" s="87">
        <v>-21.186499999999999</v>
      </c>
      <c r="BT127" s="87">
        <v>-15.141250000000003</v>
      </c>
      <c r="BU127" s="87">
        <v>-36.327750000000002</v>
      </c>
      <c r="BV127" s="87">
        <v>-21.186499999999999</v>
      </c>
      <c r="BW127" s="87">
        <v>-15.141250000000003</v>
      </c>
      <c r="BX127" s="87">
        <v>-36.327750000000002</v>
      </c>
      <c r="BY127" s="87">
        <v>-19.700294994569703</v>
      </c>
      <c r="BZ127" s="87">
        <v>-24.130955005430302</v>
      </c>
      <c r="CA127" s="87">
        <v>-43.831250000000004</v>
      </c>
      <c r="CB127" s="87">
        <v>-22.933836495162172</v>
      </c>
      <c r="CC127" s="87">
        <v>-21.772600453386719</v>
      </c>
      <c r="CD127" s="87">
        <v>-44.706436948548891</v>
      </c>
      <c r="CE127" s="87">
        <v>-26.667000956410295</v>
      </c>
      <c r="CF127" s="87">
        <v>-25.131120896723399</v>
      </c>
      <c r="CG127" s="87">
        <v>-51.798121853133694</v>
      </c>
      <c r="CH127" s="87">
        <v>-26.069773824231905</v>
      </c>
      <c r="CI127" s="87">
        <v>-28.006751722818425</v>
      </c>
      <c r="CJ127" s="87">
        <v>-54.076525547050331</v>
      </c>
      <c r="CK127" s="87">
        <v>0</v>
      </c>
      <c r="CL127" s="87">
        <v>0</v>
      </c>
      <c r="CM127" s="87">
        <v>0</v>
      </c>
      <c r="CN127" s="87">
        <v>0</v>
      </c>
      <c r="CO127" s="87">
        <v>0</v>
      </c>
      <c r="CP127" s="87">
        <v>0</v>
      </c>
      <c r="CQ127" s="87">
        <v>0</v>
      </c>
      <c r="CR127" s="87">
        <v>0</v>
      </c>
      <c r="CS127" s="87">
        <v>0</v>
      </c>
      <c r="CT127" s="87">
        <v>0</v>
      </c>
      <c r="CU127" s="87">
        <v>0</v>
      </c>
      <c r="CV127" s="87">
        <v>0</v>
      </c>
      <c r="CW127" s="87">
        <v>0</v>
      </c>
      <c r="CX127" s="87">
        <v>0</v>
      </c>
      <c r="CY127" s="87">
        <v>0</v>
      </c>
      <c r="CZ127" s="87">
        <v>0</v>
      </c>
      <c r="DA127" s="87">
        <v>0</v>
      </c>
      <c r="DB127" s="87">
        <v>0</v>
      </c>
      <c r="DC127" s="87">
        <v>0</v>
      </c>
      <c r="DD127" s="87">
        <v>0</v>
      </c>
      <c r="DE127" s="140">
        <v>0</v>
      </c>
      <c r="DF127" s="87">
        <v>0</v>
      </c>
      <c r="DG127" s="87">
        <v>0</v>
      </c>
      <c r="DH127" s="140">
        <v>0</v>
      </c>
      <c r="DI127" s="87">
        <v>0</v>
      </c>
      <c r="DJ127" s="87">
        <v>0</v>
      </c>
      <c r="DK127" s="140">
        <v>0</v>
      </c>
      <c r="DL127" s="87">
        <v>0</v>
      </c>
      <c r="DM127" s="87">
        <v>0</v>
      </c>
      <c r="DN127" s="140">
        <v>0</v>
      </c>
      <c r="DO127" s="87">
        <v>0</v>
      </c>
      <c r="DP127" s="87">
        <v>0</v>
      </c>
      <c r="DQ127" s="140">
        <v>0</v>
      </c>
      <c r="DR127" s="87">
        <v>0</v>
      </c>
      <c r="DS127" s="87">
        <v>0</v>
      </c>
      <c r="DT127" s="140">
        <v>0</v>
      </c>
      <c r="DU127" s="87">
        <f>DR127</f>
        <v>0</v>
      </c>
      <c r="DV127" s="87">
        <v>0</v>
      </c>
      <c r="DW127" s="140">
        <v>0</v>
      </c>
      <c r="DX127" s="87">
        <f>DU127</f>
        <v>0</v>
      </c>
      <c r="DY127" s="87">
        <f>IF(AND(DZ127&lt;&gt;"",DX127&lt;&gt;""),DZ127-DX127,0)</f>
        <v>0</v>
      </c>
      <c r="DZ127" s="140">
        <f>DW127</f>
        <v>0</v>
      </c>
      <c r="EA127" s="87">
        <f>DX127</f>
        <v>0</v>
      </c>
      <c r="EB127" s="87">
        <f>IF(AND(EC127&lt;&gt;"",EA127&lt;&gt;""),EC127-EA127,0)</f>
        <v>0</v>
      </c>
      <c r="EC127" s="140">
        <f>DZ127</f>
        <v>0</v>
      </c>
      <c r="ED127" s="87">
        <f>EA127</f>
        <v>0</v>
      </c>
      <c r="EE127" s="87">
        <f>IF(AND(EF127&lt;&gt;"",ED127&lt;&gt;""),EF127-ED127,0)</f>
        <v>0</v>
      </c>
      <c r="EF127" s="140">
        <f>EC127</f>
        <v>0</v>
      </c>
      <c r="EG127" s="87">
        <f>ED127</f>
        <v>0</v>
      </c>
      <c r="EH127" s="87">
        <f>IF(AND(EI127&lt;&gt;"",EG127&lt;&gt;""),EI127-EG127,0)</f>
        <v>0</v>
      </c>
      <c r="EI127" s="140">
        <f>EF127</f>
        <v>0</v>
      </c>
      <c r="EJ127" s="87">
        <f>EG127</f>
        <v>0</v>
      </c>
      <c r="EK127" s="87">
        <f>IF(AND(EL127&lt;&gt;"",EJ127&lt;&gt;""),EL127-EJ127,0)</f>
        <v>0</v>
      </c>
      <c r="EL127" s="140">
        <f>EI127</f>
        <v>0</v>
      </c>
      <c r="EM127" s="87">
        <f>EJ127</f>
        <v>0</v>
      </c>
      <c r="EN127" s="87">
        <f>IF(AND(EO127&lt;&gt;"",EM127&lt;&gt;""),EO127-EM127,0)</f>
        <v>0</v>
      </c>
      <c r="EO127" s="140">
        <f>EL127</f>
        <v>0</v>
      </c>
      <c r="EP127" s="87">
        <f>EM127</f>
        <v>0</v>
      </c>
      <c r="EQ127" s="87">
        <f>IF(AND(ER127&lt;&gt;"",EP127&lt;&gt;""),ER127-EP127,0)</f>
        <v>0</v>
      </c>
      <c r="ER127" s="140">
        <f>EO127</f>
        <v>0</v>
      </c>
      <c r="ES127" s="87">
        <f>EP127</f>
        <v>0</v>
      </c>
      <c r="ET127" s="87">
        <f>IF(AND(EU127&lt;&gt;"",ES127&lt;&gt;""),EU127-ES127,0)</f>
        <v>0</v>
      </c>
      <c r="EU127" s="140">
        <f>ER127</f>
        <v>0</v>
      </c>
      <c r="EV127" s="87">
        <f>ES127</f>
        <v>0</v>
      </c>
      <c r="EW127" s="87">
        <f>IF(AND(EX127&lt;&gt;"",EV127&lt;&gt;""),EX127-EV127,0)</f>
        <v>0</v>
      </c>
      <c r="EX127" s="140">
        <f>EU127</f>
        <v>0</v>
      </c>
      <c r="EY127" s="87">
        <f>EV127</f>
        <v>0</v>
      </c>
      <c r="EZ127" s="87">
        <f>IF(AND(FA127&lt;&gt;"",EY127&lt;&gt;""),FA127-EY127,0)</f>
        <v>0</v>
      </c>
      <c r="FA127" s="140">
        <f>EX127</f>
        <v>0</v>
      </c>
    </row>
    <row r="128" spans="1:157" ht="13.35" customHeight="1">
      <c r="A128" s="3"/>
      <c r="B128" s="4" t="s">
        <v>302</v>
      </c>
      <c r="C128" s="4"/>
      <c r="D128" s="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c r="AF128" s="84"/>
      <c r="AG128" s="84"/>
      <c r="AH128" s="84"/>
      <c r="AI128" s="84"/>
      <c r="AJ128" s="84"/>
      <c r="AK128" s="84"/>
      <c r="AL128" s="84"/>
      <c r="AM128" s="84"/>
      <c r="AN128" s="84"/>
      <c r="AO128" s="84"/>
      <c r="AP128" s="84"/>
      <c r="AQ128" s="84"/>
      <c r="AR128" s="84"/>
      <c r="AS128" s="84"/>
      <c r="AT128" s="84"/>
      <c r="AU128" s="84"/>
      <c r="AV128" s="84"/>
      <c r="AW128" s="84"/>
      <c r="AX128" s="84"/>
      <c r="AY128" s="84"/>
      <c r="AZ128" s="84"/>
      <c r="BA128" s="87"/>
      <c r="BB128" s="87"/>
      <c r="BC128" s="87"/>
      <c r="BD128" s="87"/>
      <c r="BE128" s="87"/>
      <c r="BF128" s="87"/>
      <c r="BG128" s="87"/>
      <c r="BH128" s="87"/>
      <c r="BI128" s="87"/>
      <c r="BJ128" s="87"/>
      <c r="BK128" s="87">
        <f>IF(BL122&lt;&gt;"",BL128,"")</f>
        <v>-25.297000000000001</v>
      </c>
      <c r="BL128" s="87">
        <f>IF(BL122&lt;&gt;"",NPV(BL130,$BO$127),"")</f>
        <v>-25.297000000000001</v>
      </c>
      <c r="BM128" s="87"/>
      <c r="BN128" s="87">
        <f>IF(BO122&lt;&gt;"",BO128,"")</f>
        <v>-25.297000000000001</v>
      </c>
      <c r="BO128" s="87">
        <f>IF(BO122&lt;&gt;"",NPV(BO130,$BO$127),"")</f>
        <v>-25.297000000000001</v>
      </c>
      <c r="BP128" s="87"/>
      <c r="BQ128" s="87">
        <f>IF(BR122&lt;&gt;"",BR128,"")</f>
        <v>0</v>
      </c>
      <c r="BR128" s="87"/>
      <c r="BS128" s="87"/>
      <c r="BT128" s="87">
        <f>IF(BU122&lt;&gt;"",BU128,"")</f>
        <v>0</v>
      </c>
      <c r="BU128" s="87"/>
      <c r="BV128" s="87"/>
      <c r="BW128" s="87">
        <f>IF(BX122&lt;&gt;"",BX128,"")</f>
        <v>0</v>
      </c>
      <c r="BX128" s="87"/>
      <c r="BY128" s="87"/>
      <c r="BZ128" s="87">
        <f>IF(CA122&lt;&gt;"",CA128,"")</f>
        <v>0</v>
      </c>
      <c r="CA128" s="87"/>
      <c r="CB128" s="87"/>
      <c r="CC128" s="87">
        <f>IF(CD122&lt;&gt;"",CD128,"")</f>
        <v>0</v>
      </c>
      <c r="CD128" s="87"/>
      <c r="CE128" s="87"/>
      <c r="CF128" s="87">
        <f>IF(CG122&lt;&gt;"",CG128,"")</f>
        <v>0</v>
      </c>
      <c r="CG128" s="87"/>
      <c r="CH128" s="87"/>
      <c r="CI128" s="87">
        <f>IF(CJ122&lt;&gt;"",CJ128,"")</f>
        <v>0</v>
      </c>
      <c r="CJ128" s="87"/>
      <c r="CK128" s="87"/>
      <c r="CL128" s="87">
        <f>IF(CM122&lt;&gt;"",CM128,"")</f>
        <v>0</v>
      </c>
      <c r="CM128" s="87"/>
      <c r="CN128" s="87"/>
      <c r="CO128" s="87">
        <f>IF(CP122&lt;&gt;"",CP128,"")</f>
        <v>0</v>
      </c>
      <c r="CP128" s="87"/>
      <c r="CQ128" s="87"/>
      <c r="CR128" s="87">
        <f>IF(CS122&lt;&gt;"",CS128,"")</f>
        <v>0</v>
      </c>
      <c r="CS128" s="87"/>
      <c r="CT128" s="87"/>
      <c r="CU128" s="87">
        <f>IF(CV122&lt;&gt;"",CV128,"")</f>
        <v>0</v>
      </c>
      <c r="CV128" s="87"/>
      <c r="CW128" s="87"/>
      <c r="CX128" s="87">
        <f>IF(CY122&lt;&gt;"",CY128,"")</f>
        <v>0</v>
      </c>
      <c r="CY128" s="87"/>
      <c r="CZ128" s="87"/>
      <c r="DA128" s="87">
        <f>IF(DB122&lt;&gt;"",DB128,"")</f>
        <v>0</v>
      </c>
      <c r="DB128" s="87"/>
      <c r="DC128" s="87"/>
      <c r="DD128" s="87">
        <f>IF(DE122&lt;&gt;"",DE128,"")</f>
        <v>0</v>
      </c>
      <c r="DE128" s="140"/>
      <c r="DF128" s="87"/>
      <c r="DG128" s="87">
        <f>IF(DH122&lt;&gt;"",DH128,"")</f>
        <v>0</v>
      </c>
      <c r="DH128" s="140"/>
      <c r="DI128" s="87"/>
      <c r="DJ128" s="87">
        <f>IF(DK122&lt;&gt;"",DK128,"")</f>
        <v>0</v>
      </c>
      <c r="DK128" s="140"/>
      <c r="DL128" s="87"/>
      <c r="DM128" s="87">
        <f>IF(DN122&lt;&gt;"",DN128,"")</f>
        <v>0</v>
      </c>
      <c r="DN128" s="140"/>
      <c r="DO128" s="87"/>
      <c r="DP128" s="87">
        <f>IF(DQ122&lt;&gt;"",DQ128,"")</f>
        <v>0</v>
      </c>
      <c r="DQ128" s="140"/>
      <c r="DR128" s="87"/>
      <c r="DS128" s="87"/>
      <c r="DT128" s="140"/>
      <c r="DU128" s="87"/>
      <c r="DV128" s="87"/>
      <c r="DW128" s="140"/>
      <c r="DX128" s="87"/>
      <c r="DY128" s="87">
        <f>IF(DZ122&lt;&gt;"",DZ128,"")</f>
        <v>0</v>
      </c>
      <c r="DZ128" s="140"/>
      <c r="EA128" s="87"/>
      <c r="EB128" s="87">
        <f>IF(EC122&lt;&gt;"",EC128,"")</f>
        <v>0</v>
      </c>
      <c r="EC128" s="140"/>
      <c r="ED128" s="87"/>
      <c r="EE128" s="87">
        <f>IF(EF122&lt;&gt;"",EF128,"")</f>
        <v>0</v>
      </c>
      <c r="EF128" s="140"/>
      <c r="EG128" s="87"/>
      <c r="EH128" s="87">
        <f>IF(EI122&lt;&gt;"",EI128,"")</f>
        <v>0</v>
      </c>
      <c r="EI128" s="140"/>
      <c r="EJ128" s="87"/>
      <c r="EK128" s="87">
        <f>IF(EL122&lt;&gt;"",EL128,"")</f>
        <v>0</v>
      </c>
      <c r="EL128" s="140"/>
      <c r="EM128" s="87"/>
      <c r="EN128" s="87">
        <f>IF(EO122&lt;&gt;"",EO128,"")</f>
        <v>0</v>
      </c>
      <c r="EO128" s="140"/>
      <c r="EP128" s="87"/>
      <c r="EQ128" s="87">
        <f>IF(ER122&lt;&gt;"",ER128,"")</f>
        <v>0</v>
      </c>
      <c r="ER128" s="140"/>
      <c r="ES128" s="87"/>
      <c r="ET128" s="87">
        <f>IF(EU122&lt;&gt;"",EU128,"")</f>
        <v>0</v>
      </c>
      <c r="EU128" s="140"/>
      <c r="EV128" s="87"/>
      <c r="EW128" s="87">
        <f>IF(EX122&lt;&gt;"",EX128,"")</f>
        <v>0</v>
      </c>
      <c r="EX128" s="140"/>
      <c r="EY128" s="87"/>
      <c r="EZ128" s="87">
        <f>IF(FA122&lt;&gt;"",FA128,"")</f>
        <v>0</v>
      </c>
      <c r="FA128" s="140"/>
    </row>
    <row r="129" spans="1:157" ht="13.35" customHeight="1">
      <c r="A129" s="3"/>
      <c r="B129" s="4" t="s">
        <v>303</v>
      </c>
      <c r="C129" s="4"/>
      <c r="D129" s="4"/>
      <c r="E129" s="112"/>
      <c r="F129" s="112"/>
      <c r="G129" s="112"/>
      <c r="H129" s="112"/>
      <c r="I129" s="112"/>
      <c r="J129" s="112"/>
      <c r="K129" s="112"/>
      <c r="L129" s="112"/>
      <c r="M129" s="112"/>
      <c r="N129" s="112"/>
      <c r="O129" s="112"/>
      <c r="P129" s="112"/>
      <c r="Q129" s="112"/>
      <c r="R129" s="112"/>
      <c r="S129" s="112"/>
      <c r="T129" s="112"/>
      <c r="U129" s="112"/>
      <c r="V129" s="112"/>
      <c r="W129" s="112"/>
      <c r="X129" s="112"/>
      <c r="Y129" s="112"/>
      <c r="Z129" s="112"/>
      <c r="AA129" s="112"/>
      <c r="AB129" s="112"/>
      <c r="AC129" s="112"/>
      <c r="AD129" s="112"/>
      <c r="AE129" s="112"/>
      <c r="AF129" s="112"/>
      <c r="AG129" s="112"/>
      <c r="AH129" s="112"/>
      <c r="AI129" s="112"/>
      <c r="AJ129" s="112"/>
      <c r="AK129" s="112"/>
      <c r="AL129" s="112"/>
      <c r="AM129" s="112"/>
      <c r="AN129" s="112"/>
      <c r="AO129" s="112"/>
      <c r="AP129" s="112"/>
      <c r="AQ129" s="112"/>
      <c r="AR129" s="112"/>
      <c r="AS129" s="112"/>
      <c r="AT129" s="112"/>
      <c r="AU129" s="112"/>
      <c r="AV129" s="112"/>
      <c r="AW129" s="112"/>
      <c r="AX129" s="112"/>
      <c r="AY129" s="112"/>
      <c r="AZ129" s="112"/>
      <c r="BA129" s="113"/>
      <c r="BB129" s="113"/>
      <c r="BC129" s="113"/>
      <c r="BD129" s="113"/>
      <c r="BE129" s="113"/>
      <c r="BF129" s="113"/>
      <c r="BG129" s="113"/>
      <c r="BH129" s="113"/>
      <c r="BI129" s="113"/>
      <c r="BJ129" s="113"/>
      <c r="BK129" s="113"/>
      <c r="BL129" s="113"/>
      <c r="BM129" s="113"/>
      <c r="BN129" s="113"/>
      <c r="BO129" s="113">
        <f>IF(BO122&lt;&gt;"",BO128/(Model!BO376+Model!BO388),"")</f>
        <v>-10.944586567885468</v>
      </c>
      <c r="BP129" s="113"/>
      <c r="BQ129" s="113"/>
      <c r="BR129" s="113"/>
      <c r="BS129" s="113"/>
      <c r="BT129" s="113"/>
      <c r="BU129" s="113"/>
      <c r="BV129" s="113"/>
      <c r="BW129" s="113"/>
      <c r="BX129" s="113"/>
      <c r="BY129" s="113"/>
      <c r="BZ129" s="113"/>
      <c r="CA129" s="113"/>
      <c r="CB129" s="113"/>
      <c r="CC129" s="113"/>
      <c r="CD129" s="113"/>
      <c r="CE129" s="113"/>
      <c r="CF129" s="113">
        <f>IF(CF122&lt;&gt;"",CF128/(Model!CF376+Model!CF388),"")</f>
        <v>0</v>
      </c>
      <c r="CG129" s="113">
        <f>IF(CG122&lt;&gt;"",CG128/(Model!CG376+Model!CG388),"")</f>
        <v>0</v>
      </c>
      <c r="CH129" s="113"/>
      <c r="CI129" s="113"/>
      <c r="CJ129" s="113"/>
      <c r="CK129" s="113"/>
      <c r="CL129" s="113"/>
      <c r="CM129" s="113"/>
      <c r="CN129" s="113"/>
      <c r="CO129" s="113"/>
      <c r="CP129" s="113"/>
      <c r="CQ129" s="113"/>
      <c r="CR129" s="113"/>
      <c r="CS129" s="113"/>
      <c r="CT129" s="113"/>
      <c r="CU129" s="113"/>
      <c r="CV129" s="113"/>
      <c r="CW129" s="113"/>
      <c r="CX129" s="113"/>
      <c r="CY129" s="113"/>
      <c r="CZ129" s="113"/>
      <c r="DA129" s="113"/>
      <c r="DB129" s="113"/>
      <c r="DC129" s="113"/>
      <c r="DD129" s="113"/>
      <c r="DE129" s="151"/>
      <c r="DF129" s="113"/>
      <c r="DG129" s="113"/>
      <c r="DH129" s="151"/>
      <c r="DI129" s="113"/>
      <c r="DJ129" s="113"/>
      <c r="DK129" s="151"/>
      <c r="DL129" s="113"/>
      <c r="DM129" s="113"/>
      <c r="DN129" s="151"/>
      <c r="DO129" s="113"/>
      <c r="DP129" s="113"/>
      <c r="DQ129" s="151"/>
      <c r="DR129" s="113"/>
      <c r="DS129" s="113"/>
      <c r="DT129" s="151"/>
      <c r="DU129" s="113"/>
      <c r="DV129" s="113"/>
      <c r="DW129" s="151"/>
      <c r="DX129" s="113"/>
      <c r="DY129" s="113"/>
      <c r="DZ129" s="151"/>
      <c r="EA129" s="113"/>
      <c r="EB129" s="113"/>
      <c r="EC129" s="151"/>
      <c r="ED129" s="113"/>
      <c r="EE129" s="113"/>
      <c r="EF129" s="151"/>
      <c r="EG129" s="113"/>
      <c r="EH129" s="113"/>
      <c r="EI129" s="151"/>
      <c r="EJ129" s="113"/>
      <c r="EK129" s="113"/>
      <c r="EL129" s="151"/>
      <c r="EM129" s="113"/>
      <c r="EN129" s="113"/>
      <c r="EO129" s="151"/>
      <c r="EP129" s="113"/>
      <c r="EQ129" s="113"/>
      <c r="ER129" s="151"/>
      <c r="ES129" s="113"/>
      <c r="ET129" s="113"/>
      <c r="EU129" s="151"/>
      <c r="EV129" s="113"/>
      <c r="EW129" s="113"/>
      <c r="EX129" s="151"/>
      <c r="EY129" s="113"/>
      <c r="EZ129" s="113"/>
      <c r="FA129" s="151"/>
    </row>
    <row r="130" spans="1:157" ht="13.35" customHeight="1">
      <c r="A130" s="3"/>
      <c r="B130" s="4" t="s">
        <v>304</v>
      </c>
      <c r="C130" s="4"/>
      <c r="D130" s="109"/>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c r="AF130" s="84"/>
      <c r="AG130" s="84"/>
      <c r="AH130" s="84"/>
      <c r="AI130" s="84"/>
      <c r="AJ130" s="84"/>
      <c r="AK130" s="84"/>
      <c r="AL130" s="84"/>
      <c r="AM130" s="84"/>
      <c r="AN130" s="84"/>
      <c r="AO130" s="84"/>
      <c r="AP130" s="84"/>
      <c r="AQ130" s="84"/>
      <c r="AR130" s="84"/>
      <c r="AS130" s="84"/>
      <c r="AT130" s="84"/>
      <c r="AU130" s="84"/>
      <c r="AV130" s="84"/>
      <c r="AW130" s="84"/>
      <c r="AX130" s="84"/>
      <c r="AY130" s="84"/>
      <c r="AZ130" s="84"/>
      <c r="BA130" s="7"/>
      <c r="BB130" s="95" t="str">
        <f>IF(BC130&lt;&gt;"",BC130,"")</f>
        <v/>
      </c>
      <c r="BC130" s="7"/>
      <c r="BD130" s="95"/>
      <c r="BE130" s="95" t="str">
        <f>IF(BF130&lt;&gt;"",BF130,"")</f>
        <v/>
      </c>
      <c r="BF130" s="82"/>
      <c r="BG130" s="82"/>
      <c r="BH130" s="95" t="str">
        <f>IF(BI130&lt;&gt;"",BI130,"")</f>
        <v/>
      </c>
      <c r="BI130" s="95"/>
      <c r="BJ130" s="95">
        <v>0.25</v>
      </c>
      <c r="BK130" s="95" t="str">
        <f>IF(BL130&lt;&gt;"",BL130,"")</f>
        <v/>
      </c>
      <c r="BL130" s="82"/>
      <c r="BM130" s="82"/>
      <c r="BN130" s="95" t="str">
        <f>IF(BO130&lt;&gt;"",BO130,"")</f>
        <v/>
      </c>
      <c r="BO130" s="82"/>
      <c r="BP130" s="82"/>
      <c r="BQ130" s="95" t="str">
        <f>IF(BR130&lt;&gt;"",BR130,"")</f>
        <v/>
      </c>
      <c r="BR130" s="82"/>
      <c r="BS130" s="82"/>
      <c r="BT130" s="95" t="str">
        <f>IF(BU130&lt;&gt;"",BU130,"")</f>
        <v/>
      </c>
      <c r="BU130" s="82"/>
      <c r="BV130" s="82"/>
      <c r="BW130" s="95" t="str">
        <f>IF(BX130&lt;&gt;"",BX130,"")</f>
        <v/>
      </c>
      <c r="BX130" s="82"/>
      <c r="BY130" s="82"/>
      <c r="BZ130" s="95" t="str">
        <f>IF(CA130&lt;&gt;"",CA130,"")</f>
        <v/>
      </c>
      <c r="CA130" s="82"/>
      <c r="CB130" s="82"/>
      <c r="CC130" s="95" t="str">
        <f>IF(CD130&lt;&gt;"",CD130,"")</f>
        <v/>
      </c>
      <c r="CD130" s="82"/>
      <c r="CE130" s="82"/>
      <c r="CF130" s="95" t="str">
        <f>IF(CG130&lt;&gt;"",CG130,"")</f>
        <v/>
      </c>
      <c r="CG130" s="82"/>
      <c r="CH130" s="82"/>
      <c r="CI130" s="95" t="str">
        <f>IF(CJ130&lt;&gt;"",CJ130,"")</f>
        <v/>
      </c>
      <c r="CJ130" s="82"/>
      <c r="CK130" s="82"/>
      <c r="CL130" s="95" t="str">
        <f>IF(CM130&lt;&gt;"",CM130,"")</f>
        <v/>
      </c>
      <c r="CM130" s="82"/>
      <c r="CN130" s="82"/>
      <c r="CO130" s="95" t="str">
        <f>IF(CP130&lt;&gt;"",CP130,"")</f>
        <v/>
      </c>
      <c r="CP130" s="82"/>
      <c r="CQ130" s="82"/>
      <c r="CR130" s="95" t="str">
        <f>IF(CS130&lt;&gt;"",CS130,"")</f>
        <v/>
      </c>
      <c r="CS130" s="82"/>
      <c r="CT130" s="82"/>
      <c r="CU130" s="95" t="str">
        <f>IF(CV130&lt;&gt;"",CV130,"")</f>
        <v/>
      </c>
      <c r="CV130" s="82"/>
      <c r="CW130" s="82"/>
      <c r="CX130" s="95" t="str">
        <f>IF(CY130&lt;&gt;"",CY130,"")</f>
        <v/>
      </c>
      <c r="CY130" s="82"/>
      <c r="CZ130" s="82"/>
      <c r="DA130" s="95" t="str">
        <f>IF(DB130&lt;&gt;"",DB130,"")</f>
        <v/>
      </c>
      <c r="DB130" s="82"/>
      <c r="DC130" s="82"/>
      <c r="DD130" s="95" t="str">
        <f>IF(DE130&lt;&gt;"",DE130,"")</f>
        <v/>
      </c>
      <c r="DE130" s="138"/>
      <c r="DF130" s="82"/>
      <c r="DG130" s="95" t="str">
        <f>IF(DH130&lt;&gt;"",DH130,"")</f>
        <v/>
      </c>
      <c r="DH130" s="138"/>
      <c r="DI130" s="82"/>
      <c r="DJ130" s="95" t="str">
        <f>IF(DK130&lt;&gt;"",DK130,"")</f>
        <v/>
      </c>
      <c r="DK130" s="138"/>
      <c r="DL130" s="82"/>
      <c r="DM130" s="95" t="str">
        <f>IF(DN130&lt;&gt;"",DN130,"")</f>
        <v/>
      </c>
      <c r="DN130" s="138"/>
      <c r="DO130" s="82"/>
      <c r="DP130" s="95"/>
      <c r="DQ130" s="138"/>
      <c r="DR130" s="82"/>
      <c r="DS130" s="95" t="str">
        <f>IF(DT130&lt;&gt;"",DT130,"")</f>
        <v/>
      </c>
      <c r="DT130" s="138"/>
      <c r="DU130" s="82"/>
      <c r="DV130" s="95" t="str">
        <f>IF(DW130&lt;&gt;"",DW130,"")</f>
        <v/>
      </c>
      <c r="DW130" s="138"/>
      <c r="DX130" s="82"/>
      <c r="DY130" s="95" t="str">
        <f>IF(DZ130&lt;&gt;"",DZ130,"")</f>
        <v/>
      </c>
      <c r="DZ130" s="138"/>
      <c r="EA130" s="82"/>
      <c r="EB130" s="95" t="str">
        <f>IF(EC130&lt;&gt;"",EC130,"")</f>
        <v/>
      </c>
      <c r="EC130" s="138"/>
      <c r="ED130" s="82"/>
      <c r="EE130" s="95" t="str">
        <f>IF(EF130&lt;&gt;"",EF130,"")</f>
        <v/>
      </c>
      <c r="EF130" s="138"/>
      <c r="EG130" s="82"/>
      <c r="EH130" s="95" t="str">
        <f>IF(EI130&lt;&gt;"",EI130,"")</f>
        <v/>
      </c>
      <c r="EI130" s="138"/>
      <c r="EJ130" s="82"/>
      <c r="EK130" s="95" t="str">
        <f>IF(EL130&lt;&gt;"",EL130,"")</f>
        <v/>
      </c>
      <c r="EL130" s="138"/>
      <c r="EM130" s="82"/>
      <c r="EN130" s="95" t="str">
        <f>IF(EO130&lt;&gt;"",EO130,"")</f>
        <v/>
      </c>
      <c r="EO130" s="138"/>
      <c r="EP130" s="82"/>
      <c r="EQ130" s="95" t="str">
        <f>IF(ER130&lt;&gt;"",ER130,"")</f>
        <v/>
      </c>
      <c r="ER130" s="138"/>
      <c r="ES130" s="82"/>
      <c r="ET130" s="95" t="str">
        <f>IF(EU130&lt;&gt;"",EU130,"")</f>
        <v/>
      </c>
      <c r="EU130" s="138"/>
      <c r="EV130" s="82"/>
      <c r="EW130" s="95" t="str">
        <f>IF(EX130&lt;&gt;"",EX130,"")</f>
        <v/>
      </c>
      <c r="EX130" s="138"/>
      <c r="EY130" s="82"/>
      <c r="EZ130" s="95" t="str">
        <f>IF(FA130&lt;&gt;"",FA130,"")</f>
        <v/>
      </c>
      <c r="FA130" s="138"/>
    </row>
    <row r="131" spans="1:157" ht="13.35" customHeight="1">
      <c r="A131" s="3"/>
      <c r="B131" s="4" t="s">
        <v>305</v>
      </c>
      <c r="C131" s="4"/>
      <c r="D131" s="109"/>
      <c r="E131" s="99" t="str">
        <f>IF(AND(Model!E182&lt;&gt;"",Model!G182&lt;&gt;""),Model!E182/Model!G182,"")</f>
        <v/>
      </c>
      <c r="F131" s="99" t="str">
        <f>IF(AND(Model!G182&lt;&gt;"",E131&lt;&gt;""),1-Assumptions!E131,"")</f>
        <v/>
      </c>
      <c r="G131" s="99" t="str">
        <f>IF(AND(E131&lt;&gt;"",F131&lt;&gt;""),E131+F131,"")</f>
        <v/>
      </c>
      <c r="H131" s="99" t="str">
        <f>IF(AND(Model!H182&lt;&gt;"",Model!J182&lt;&gt;""),Model!H182/Model!J182,"")</f>
        <v/>
      </c>
      <c r="I131" s="99" t="str">
        <f>IF(AND(Model!J182&lt;&gt;"",H131&lt;&gt;""),1-Assumptions!H131,"")</f>
        <v/>
      </c>
      <c r="J131" s="99" t="str">
        <f>IF(AND(H131&lt;&gt;"",I131&lt;&gt;""),H131+I131,"")</f>
        <v/>
      </c>
      <c r="K131" s="99" t="str">
        <f>IF(AND(Model!K182&lt;&gt;"",Model!M182&lt;&gt;""),Model!K182/Model!M182,"")</f>
        <v/>
      </c>
      <c r="L131" s="99" t="str">
        <f>IF(AND(Model!M182&lt;&gt;"",K131&lt;&gt;""),1-Assumptions!K131,"")</f>
        <v/>
      </c>
      <c r="M131" s="99" t="str">
        <f>IF(AND(K131&lt;&gt;"",L131&lt;&gt;""),K131+L131,"")</f>
        <v/>
      </c>
      <c r="N131" s="99" t="str">
        <f>IF(AND(Model!N182&lt;&gt;"",Model!P182&lt;&gt;""),Model!N182/Model!P182,"")</f>
        <v/>
      </c>
      <c r="O131" s="99" t="str">
        <f>IF(AND(Model!P182&lt;&gt;"",N131&lt;&gt;""),1-Assumptions!N131,"")</f>
        <v/>
      </c>
      <c r="P131" s="99" t="str">
        <f>IF(AND(N131&lt;&gt;"",O131&lt;&gt;""),N131+O131,"")</f>
        <v/>
      </c>
      <c r="Q131" s="99" t="str">
        <f>IF(AND(Model!Q182&lt;&gt;"",Model!S182&lt;&gt;""),Model!Q182/Model!S182,"")</f>
        <v/>
      </c>
      <c r="R131" s="99" t="str">
        <f>IF(AND(Model!S182&lt;&gt;"",Q131&lt;&gt;""),1-Assumptions!Q131,"")</f>
        <v/>
      </c>
      <c r="S131" s="99" t="str">
        <f>IF(AND(Q131&lt;&gt;"",R131&lt;&gt;""),Q131+R131,"")</f>
        <v/>
      </c>
      <c r="T131" s="99" t="str">
        <f>IF(AND(Model!T182&lt;&gt;"",Model!V182&lt;&gt;""),Model!T182/Model!V182,"")</f>
        <v/>
      </c>
      <c r="U131" s="99" t="str">
        <f>IF(AND(Model!V182&lt;&gt;"",T131&lt;&gt;""),1-Assumptions!T131,"")</f>
        <v/>
      </c>
      <c r="V131" s="99" t="str">
        <f>IF(AND(T131&lt;&gt;"",U131&lt;&gt;""),T131+U131,"")</f>
        <v/>
      </c>
      <c r="W131" s="99" t="str">
        <f>IF(AND(Model!W182&lt;&gt;"",Model!Y182&lt;&gt;""),Model!W182/Model!Y182,"")</f>
        <v/>
      </c>
      <c r="X131" s="99" t="str">
        <f>IF(AND(Model!Y182&lt;&gt;"",W131&lt;&gt;""),1-Assumptions!W131,"")</f>
        <v/>
      </c>
      <c r="Y131" s="99" t="str">
        <f>IF(AND(W131&lt;&gt;"",X131&lt;&gt;""),W131+X131,"")</f>
        <v/>
      </c>
      <c r="Z131" s="99" t="str">
        <f>IF(AND(Model!Z182&lt;&gt;"",Model!AB182&lt;&gt;""),Model!Z182/Model!AB182,"")</f>
        <v/>
      </c>
      <c r="AA131" s="99" t="str">
        <f>IF(AND(Model!AB182&lt;&gt;"",Z131&lt;&gt;""),1-Assumptions!Z131,"")</f>
        <v/>
      </c>
      <c r="AB131" s="99" t="str">
        <f>IF(AND(Z131&lt;&gt;"",AA131&lt;&gt;""),Z131+AA131,"")</f>
        <v/>
      </c>
      <c r="AC131" s="99" t="str">
        <f>IF(AND(Model!AC182&lt;&gt;"",Model!AE182&lt;&gt;""),Model!AC182/Model!AE182,"")</f>
        <v/>
      </c>
      <c r="AD131" s="99" t="str">
        <f>IF(AND(Model!AE182&lt;&gt;"",AC131&lt;&gt;""),1-Assumptions!AC131,"")</f>
        <v/>
      </c>
      <c r="AE131" s="99" t="str">
        <f>IF(AND(AC131&lt;&gt;"",AD131&lt;&gt;""),AC131+AD131,"")</f>
        <v/>
      </c>
      <c r="AF131" s="99" t="str">
        <f>IF(AND(Model!AF182&lt;&gt;"",Model!AH182&lt;&gt;""),Model!AF182/Model!AH182,"")</f>
        <v/>
      </c>
      <c r="AG131" s="99" t="str">
        <f>IF(AND(Model!AH182&lt;&gt;"",AF131&lt;&gt;""),1-Assumptions!AF131,"")</f>
        <v/>
      </c>
      <c r="AH131" s="99" t="str">
        <f>IF(AND(AF131&lt;&gt;"",AG131&lt;&gt;""),AF131+AG131,"")</f>
        <v/>
      </c>
      <c r="AI131" s="99" t="str">
        <f>IF(AND(Model!AI182&lt;&gt;"",Model!AK182&lt;&gt;""),Model!AI182/Model!AK182,"")</f>
        <v/>
      </c>
      <c r="AJ131" s="99" t="str">
        <f>IF(AND(Model!AK182&lt;&gt;"",AI131&lt;&gt;""),1-Assumptions!AI131,"")</f>
        <v/>
      </c>
      <c r="AK131" s="99" t="str">
        <f>IF(AND(AI131&lt;&gt;"",AJ131&lt;&gt;""),AI131+AJ131,"")</f>
        <v/>
      </c>
      <c r="AL131" s="99" t="str">
        <f>IF(AND(Model!AL182&lt;&gt;"",Model!AN182&lt;&gt;""),Model!AL182/Model!AN182,"")</f>
        <v/>
      </c>
      <c r="AM131" s="99" t="str">
        <f>IF(AND(Model!AN182&lt;&gt;"",AL131&lt;&gt;""),1-Assumptions!AL131,"")</f>
        <v/>
      </c>
      <c r="AN131" s="99" t="str">
        <f>IF(AND(AL131&lt;&gt;"",AM131&lt;&gt;""),AL131+AM131,"")</f>
        <v/>
      </c>
      <c r="AO131" s="99" t="str">
        <f>IF(AND(Model!AO182&lt;&gt;"",Model!AQ182&lt;&gt;""),Model!AO182/Model!AQ182,"")</f>
        <v/>
      </c>
      <c r="AP131" s="99" t="str">
        <f>IF(AND(Model!AQ182&lt;&gt;"",AO131&lt;&gt;""),1-Assumptions!AO131,"")</f>
        <v/>
      </c>
      <c r="AQ131" s="99" t="str">
        <f>IF(AND(AO131&lt;&gt;"",AP131&lt;&gt;""),AO131+AP131,"")</f>
        <v/>
      </c>
      <c r="AR131" s="99" t="str">
        <f>IF(AND(Model!AR182&lt;&gt;"",Model!AT182&lt;&gt;""),Model!AR182/Model!AT182,"")</f>
        <v/>
      </c>
      <c r="AS131" s="99" t="str">
        <f>IF(AND(Model!AT182&lt;&gt;"",AR131&lt;&gt;""),1-Assumptions!AR131,"")</f>
        <v/>
      </c>
      <c r="AT131" s="99" t="str">
        <f>IF(AND(AR131&lt;&gt;"",AS131&lt;&gt;""),AR131+AS131,"")</f>
        <v/>
      </c>
      <c r="AU131" s="99">
        <f>IF(AND(Model!AU182&lt;&gt;"",Model!AW182&lt;&gt;""),Model!AU182/Model!AW182,"")</f>
        <v>-0.57936507936507931</v>
      </c>
      <c r="AV131" s="99">
        <f>IF(AND(Model!AW182&lt;&gt;"",AU131&lt;&gt;""),1-Assumptions!AU131,"")</f>
        <v>1.5793650793650793</v>
      </c>
      <c r="AW131" s="99">
        <f>IF(AND(AU131&lt;&gt;"",AV131&lt;&gt;""),AU131+AV131,"")</f>
        <v>1</v>
      </c>
      <c r="AX131" s="99">
        <f>IF(AND(Model!AX182&lt;&gt;"",Model!AZ182&lt;&gt;""),Model!AX182/Model!AZ182,"")</f>
        <v>0.5938436494135928</v>
      </c>
      <c r="AY131" s="99">
        <f>IF(AND(Model!AZ182&lt;&gt;"",AX131&lt;&gt;""),1-Assumptions!AX131,"")</f>
        <v>0.4061563505864072</v>
      </c>
      <c r="AZ131" s="99">
        <f>IF(AND(AX131&lt;&gt;"",AY131&lt;&gt;""),AX131+AY131,"")</f>
        <v>1</v>
      </c>
      <c r="BA131" s="107">
        <v>0.15</v>
      </c>
      <c r="BB131" s="99">
        <f>IF(BA131&lt;&gt;"",1-BA131,"")</f>
        <v>0.85</v>
      </c>
      <c r="BC131" s="99">
        <f>IF(AND(BA131&lt;&gt;"",BB131&lt;&gt;""),BA131+BB131,"")</f>
        <v>1</v>
      </c>
      <c r="BD131" s="107"/>
      <c r="BE131" s="99" t="str">
        <f>IF(BD131&lt;&gt;"",1-BD131,"")</f>
        <v/>
      </c>
      <c r="BF131" s="99" t="str">
        <f>IF(AND(BD131&lt;&gt;"",BE131&lt;&gt;""),BD131+BE131,"")</f>
        <v/>
      </c>
      <c r="BG131" s="99"/>
      <c r="BH131" s="99" t="str">
        <f>IF(BG131&lt;&gt;"",1-BG131,"")</f>
        <v/>
      </c>
      <c r="BI131" s="99" t="str">
        <f>IF(AND(BG131&lt;&gt;"",BH131&lt;&gt;""),BG131+BH131,"")</f>
        <v/>
      </c>
      <c r="BJ131" s="99">
        <v>0.18</v>
      </c>
      <c r="BK131" s="99">
        <f>IF(BJ131&lt;&gt;"",1-BJ131,"")</f>
        <v>0.82000000000000006</v>
      </c>
      <c r="BL131" s="99">
        <f>IF(AND(BJ131&lt;&gt;"",BK131&lt;&gt;""),BJ131+BK131,"")</f>
        <v>1</v>
      </c>
      <c r="BM131" s="99">
        <v>1.18</v>
      </c>
      <c r="BN131" s="99">
        <f>IF(BM131&lt;&gt;"",1-BM131,"")</f>
        <v>-0.17999999999999994</v>
      </c>
      <c r="BO131" s="99">
        <f>IF(AND(BM131&lt;&gt;"",BN131&lt;&gt;""),BM131+BN131,"")</f>
        <v>1</v>
      </c>
      <c r="BP131" s="99"/>
      <c r="BQ131" s="99" t="str">
        <f>IF(BP131&lt;&gt;"",1-BP131,"")</f>
        <v/>
      </c>
      <c r="BR131" s="99" t="str">
        <f>IF(AND(BP131&lt;&gt;"",BQ131&lt;&gt;""),BP131+BQ131,"")</f>
        <v/>
      </c>
      <c r="BS131" s="99"/>
      <c r="BT131" s="99" t="str">
        <f>IF(BS131&lt;&gt;"",1-BS131,"")</f>
        <v/>
      </c>
      <c r="BU131" s="99" t="str">
        <f>IF(AND(BS131&lt;&gt;"",BT131&lt;&gt;""),BS131+BT131,"")</f>
        <v/>
      </c>
      <c r="BV131" s="99"/>
      <c r="BW131" s="99" t="str">
        <f>IF(BV131&lt;&gt;"",1-BV131,"")</f>
        <v/>
      </c>
      <c r="BX131" s="99" t="str">
        <f>IF(AND(BV131&lt;&gt;"",BW131&lt;&gt;""),BV131+BW131,"")</f>
        <v/>
      </c>
      <c r="BY131" s="99"/>
      <c r="BZ131" s="99" t="str">
        <f>IF(BY131&lt;&gt;"",1-BY131,"")</f>
        <v/>
      </c>
      <c r="CA131" s="99" t="str">
        <f>IF(AND(BY131&lt;&gt;"",BZ131&lt;&gt;""),BY131+BZ131,"")</f>
        <v/>
      </c>
      <c r="CB131" s="99"/>
      <c r="CC131" s="99" t="str">
        <f>IF(CB131&lt;&gt;"",1-CB131,"")</f>
        <v/>
      </c>
      <c r="CD131" s="99" t="str">
        <f>IF(AND(CB131&lt;&gt;"",CC131&lt;&gt;""),CB131+CC131,"")</f>
        <v/>
      </c>
      <c r="CE131" s="99"/>
      <c r="CF131" s="99" t="str">
        <f>IF(CE131&lt;&gt;"",1-CE131,"")</f>
        <v/>
      </c>
      <c r="CG131" s="99" t="str">
        <f>IF(AND(CE131&lt;&gt;"",CF131&lt;&gt;""),CE131+CF131,"")</f>
        <v/>
      </c>
      <c r="CH131" s="99"/>
      <c r="CI131" s="99" t="str">
        <f>IF(CH131&lt;&gt;"",1-CH131,"")</f>
        <v/>
      </c>
      <c r="CJ131" s="99" t="str">
        <f>IF(AND(CH131&lt;&gt;"",CI131&lt;&gt;""),CH131+CI131,"")</f>
        <v/>
      </c>
      <c r="CK131" s="99"/>
      <c r="CL131" s="99" t="str">
        <f>IF(CK131&lt;&gt;"",1-CK131,"")</f>
        <v/>
      </c>
      <c r="CM131" s="99" t="str">
        <f>IF(AND(CK131&lt;&gt;"",CL131&lt;&gt;""),CK131+CL131,"")</f>
        <v/>
      </c>
      <c r="CN131" s="99"/>
      <c r="CO131" s="99" t="str">
        <f>IF(CN131&lt;&gt;"",1-CN131,"")</f>
        <v/>
      </c>
      <c r="CP131" s="99" t="str">
        <f>IF(AND(CN131&lt;&gt;"",CO131&lt;&gt;""),CN131+CO131,"")</f>
        <v/>
      </c>
      <c r="CQ131" s="99"/>
      <c r="CR131" s="99" t="str">
        <f>IF(CQ131&lt;&gt;"",1-CQ131,"")</f>
        <v/>
      </c>
      <c r="CS131" s="99" t="str">
        <f>IF(AND(CQ131&lt;&gt;"",CR131&lt;&gt;""),CQ131+CR131,"")</f>
        <v/>
      </c>
      <c r="CT131" s="99"/>
      <c r="CU131" s="99" t="str">
        <f>IF(CT131&lt;&gt;"",1-CT131,"")</f>
        <v/>
      </c>
      <c r="CV131" s="99" t="str">
        <f>IF(AND(CT131&lt;&gt;"",CU131&lt;&gt;""),CT131+CU131,"")</f>
        <v/>
      </c>
      <c r="CW131" s="99"/>
      <c r="CX131" s="99" t="str">
        <f>IF(CW131&lt;&gt;"",1-CW131,"")</f>
        <v/>
      </c>
      <c r="CY131" s="99" t="str">
        <f>IF(AND(CW131&lt;&gt;"",CX131&lt;&gt;""),CW131+CX131,"")</f>
        <v/>
      </c>
      <c r="CZ131" s="99"/>
      <c r="DA131" s="99" t="str">
        <f>IF(CZ131&lt;&gt;"",1-CZ131,"")</f>
        <v/>
      </c>
      <c r="DB131" s="99" t="str">
        <f>IF(AND(CZ131&lt;&gt;"",DA131&lt;&gt;""),CZ131+DA131,"")</f>
        <v/>
      </c>
      <c r="DC131" s="99"/>
      <c r="DD131" s="99" t="str">
        <f>IF(DC131&lt;&gt;"",1-DC131,"")</f>
        <v/>
      </c>
      <c r="DE131" s="149" t="str">
        <f>IF(AND(DC131&lt;&gt;"",DD131&lt;&gt;""),DC131+DD131,"")</f>
        <v/>
      </c>
      <c r="DF131" s="99"/>
      <c r="DG131" s="99" t="str">
        <f>IF(DF131&lt;&gt;"",1-DF131,"")</f>
        <v/>
      </c>
      <c r="DH131" s="149" t="str">
        <f>IF(AND(DF131&lt;&gt;"",DG131&lt;&gt;""),DF131+DG131,"")</f>
        <v/>
      </c>
      <c r="DI131" s="99"/>
      <c r="DJ131" s="99" t="str">
        <f>IF(DI131&lt;&gt;"",1-DI131,"")</f>
        <v/>
      </c>
      <c r="DK131" s="149" t="str">
        <f>IF(AND(DI131&lt;&gt;"",DJ131&lt;&gt;""),DI131+DJ131,"")</f>
        <v/>
      </c>
      <c r="DL131" s="99"/>
      <c r="DM131" s="99" t="str">
        <f>IF(DL131&lt;&gt;"",1-DL131,"")</f>
        <v/>
      </c>
      <c r="DN131" s="149" t="str">
        <f>IF(AND(DL131&lt;&gt;"",DM131&lt;&gt;""),DL131+DM131,"")</f>
        <v/>
      </c>
      <c r="DO131" s="99"/>
      <c r="DP131" s="99" t="str">
        <f>IF(DO131&lt;&gt;"",1-DO131,"")</f>
        <v/>
      </c>
      <c r="DQ131" s="149"/>
      <c r="DR131" s="99"/>
      <c r="DS131" s="99" t="str">
        <f>IF(DR131&lt;&gt;"",1-DR131,"")</f>
        <v/>
      </c>
      <c r="DT131" s="149" t="str">
        <f>IF(AND(DR131&lt;&gt;"",DS131&lt;&gt;""),DR131+DS131,"")</f>
        <v/>
      </c>
      <c r="DU131" s="99"/>
      <c r="DV131" s="99" t="str">
        <f>IF(DU131&lt;&gt;"",1-DU131,"")</f>
        <v/>
      </c>
      <c r="DW131" s="149" t="str">
        <f>IF(AND(DU131&lt;&gt;"",DV131&lt;&gt;""),DU131+DV131,"")</f>
        <v/>
      </c>
      <c r="DX131" s="99"/>
      <c r="DY131" s="99" t="str">
        <f>IF(DX131&lt;&gt;"",1-DX131,"")</f>
        <v/>
      </c>
      <c r="DZ131" s="149" t="str">
        <f>IF(AND(DX131&lt;&gt;"",DY131&lt;&gt;""),DX131+DY131,"")</f>
        <v/>
      </c>
      <c r="EA131" s="99"/>
      <c r="EB131" s="99" t="str">
        <f>IF(EA131&lt;&gt;"",1-EA131,"")</f>
        <v/>
      </c>
      <c r="EC131" s="149" t="str">
        <f>IF(AND(EA131&lt;&gt;"",EB131&lt;&gt;""),EA131+EB131,"")</f>
        <v/>
      </c>
      <c r="ED131" s="99"/>
      <c r="EE131" s="99" t="str">
        <f>IF(ED131&lt;&gt;"",1-ED131,"")</f>
        <v/>
      </c>
      <c r="EF131" s="149" t="str">
        <f>IF(AND(ED131&lt;&gt;"",EE131&lt;&gt;""),ED131+EE131,"")</f>
        <v/>
      </c>
      <c r="EG131" s="99"/>
      <c r="EH131" s="99" t="str">
        <f>IF(EG131&lt;&gt;"",1-EG131,"")</f>
        <v/>
      </c>
      <c r="EI131" s="149" t="str">
        <f>IF(AND(EG131&lt;&gt;"",EH131&lt;&gt;""),EG131+EH131,"")</f>
        <v/>
      </c>
      <c r="EJ131" s="99"/>
      <c r="EK131" s="99" t="str">
        <f>IF(EJ131&lt;&gt;"",1-EJ131,"")</f>
        <v/>
      </c>
      <c r="EL131" s="149" t="str">
        <f>IF(AND(EJ131&lt;&gt;"",EK131&lt;&gt;""),EJ131+EK131,"")</f>
        <v/>
      </c>
      <c r="EM131" s="99"/>
      <c r="EN131" s="99" t="str">
        <f>IF(EM131&lt;&gt;"",1-EM131,"")</f>
        <v/>
      </c>
      <c r="EO131" s="149" t="str">
        <f>IF(AND(EM131&lt;&gt;"",EN131&lt;&gt;""),EM131+EN131,"")</f>
        <v/>
      </c>
      <c r="EP131" s="99"/>
      <c r="EQ131" s="99" t="str">
        <f>IF(EP131&lt;&gt;"",1-EP131,"")</f>
        <v/>
      </c>
      <c r="ER131" s="149" t="str">
        <f>IF(AND(EP131&lt;&gt;"",EQ131&lt;&gt;""),EP131+EQ131,"")</f>
        <v/>
      </c>
      <c r="ES131" s="99"/>
      <c r="ET131" s="99" t="str">
        <f>IF(ES131&lt;&gt;"",1-ES131,"")</f>
        <v/>
      </c>
      <c r="EU131" s="149" t="str">
        <f>IF(AND(ES131&lt;&gt;"",ET131&lt;&gt;""),ES131+ET131,"")</f>
        <v/>
      </c>
      <c r="EV131" s="99"/>
      <c r="EW131" s="99" t="str">
        <f>IF(EV131&lt;&gt;"",1-EV131,"")</f>
        <v/>
      </c>
      <c r="EX131" s="149" t="str">
        <f>IF(AND(EV131&lt;&gt;"",EW131&lt;&gt;""),EV131+EW131,"")</f>
        <v/>
      </c>
      <c r="EY131" s="99"/>
      <c r="EZ131" s="99" t="str">
        <f>IF(EY131&lt;&gt;"",1-EY131,"")</f>
        <v/>
      </c>
      <c r="FA131" s="149" t="str">
        <f>IF(AND(EY131&lt;&gt;"",EZ131&lt;&gt;""),EY131+EZ131,"")</f>
        <v/>
      </c>
    </row>
    <row r="132" spans="1:157" ht="13.35" customHeight="1">
      <c r="A132" s="3"/>
      <c r="B132" s="3"/>
      <c r="C132" s="109" t="s">
        <v>340</v>
      </c>
      <c r="D132" s="109"/>
      <c r="E132" s="97"/>
      <c r="F132" s="97"/>
      <c r="G132" s="97"/>
      <c r="H132" s="97"/>
      <c r="I132" s="97"/>
      <c r="J132" s="97"/>
      <c r="K132" s="97"/>
      <c r="L132" s="97"/>
      <c r="M132" s="97"/>
      <c r="N132" s="97"/>
      <c r="O132" s="97"/>
      <c r="P132" s="97"/>
      <c r="Q132" s="97"/>
      <c r="R132" s="97"/>
      <c r="S132" s="97"/>
      <c r="T132" s="97"/>
      <c r="U132" s="97"/>
      <c r="V132" s="97"/>
      <c r="W132" s="97"/>
      <c r="X132" s="97"/>
      <c r="Y132" s="97"/>
      <c r="Z132" s="97"/>
      <c r="AA132" s="97"/>
      <c r="AB132" s="97"/>
      <c r="AC132" s="97"/>
      <c r="AD132" s="97"/>
      <c r="AE132" s="97"/>
      <c r="AF132" s="97"/>
      <c r="AG132" s="97"/>
      <c r="AH132" s="97"/>
      <c r="AI132" s="97"/>
      <c r="AJ132" s="97"/>
      <c r="AK132" s="97"/>
      <c r="AL132" s="97"/>
      <c r="AM132" s="97"/>
      <c r="AN132" s="97"/>
      <c r="AO132" s="97"/>
      <c r="AP132" s="97"/>
      <c r="AQ132" s="97"/>
      <c r="AR132" s="97"/>
      <c r="AS132" s="97"/>
      <c r="AT132" s="97"/>
      <c r="AU132" s="97"/>
      <c r="AV132" s="97"/>
      <c r="AW132" s="97"/>
      <c r="AX132" s="88">
        <f>(Model!AX80-(0.25*Model!AX45))+Model!AX71</f>
        <v>23.3415</v>
      </c>
      <c r="AY132" s="88">
        <f>(Model!AY80-(0.25*Model!AY45))+Model!AY71</f>
        <v>46.335000000000001</v>
      </c>
      <c r="AZ132" s="88">
        <f>(Model!AZ80-(0.25*Model!AZ45))+Model!AZ71</f>
        <v>69.676500000000004</v>
      </c>
      <c r="BA132" s="88"/>
      <c r="BB132" s="88"/>
      <c r="BC132" s="88">
        <f>(Model!BC80-(0.25*Model!BC45))</f>
        <v>85.628224000000003</v>
      </c>
      <c r="BD132" s="88">
        <f>(Model!BD80-(0.5*Model!BD45))</f>
        <v>48.901500000000006</v>
      </c>
      <c r="BE132" s="88">
        <f>(Model!BE80-(0.25*Model!BE45))</f>
        <v>71.981499999999997</v>
      </c>
      <c r="BF132" s="88">
        <f>(Model!BF80-(0.25*Model!BF45))</f>
        <v>133.13374999999999</v>
      </c>
      <c r="BG132" s="88">
        <f>(Model!BG80)</f>
        <v>56.783000000000001</v>
      </c>
      <c r="BH132" s="88">
        <f>(Model!BH80)</f>
        <v>44.948999999999998</v>
      </c>
      <c r="BI132" s="88">
        <f>(Model!BI80)</f>
        <v>101.732</v>
      </c>
      <c r="BJ132" s="88">
        <f>(Model!BJ80)</f>
        <v>45.256</v>
      </c>
      <c r="BK132" s="88"/>
      <c r="BL132" s="88"/>
      <c r="BM132" s="162">
        <f>(Model!BM80)</f>
        <v>197.69900000000001</v>
      </c>
      <c r="BN132" s="162">
        <f>(Model!BN80)</f>
        <v>444.24100000000004</v>
      </c>
      <c r="BO132" s="162">
        <f>(Model!BO80)</f>
        <v>641.94000000000005</v>
      </c>
      <c r="BP132" s="162">
        <f>(Model!BP80-(0.35*Model!BP45))</f>
        <v>222.27089999999998</v>
      </c>
      <c r="BQ132" s="162">
        <f>(Model!BQ80-(0.35*Model!BQ45))</f>
        <v>225.85025000000002</v>
      </c>
      <c r="BR132" s="162">
        <f>(Model!BR80-(0.35*Model!BR45))</f>
        <v>448.12115</v>
      </c>
      <c r="BS132" s="162">
        <f>(Model!BS80-(0.35*Model!BS45))</f>
        <v>357.2749</v>
      </c>
      <c r="BT132" s="162">
        <f>(Model!BT80-(0.35*Model!BT45))</f>
        <v>365.92525000000001</v>
      </c>
      <c r="BU132" s="162">
        <f>(Model!BU80-(0.35*Model!BU45))</f>
        <v>723.20015000000001</v>
      </c>
      <c r="BV132" s="162">
        <f>Model!BV80</f>
        <v>491.09399999999999</v>
      </c>
      <c r="BW132" s="162">
        <f>Model!BW80</f>
        <v>460.93</v>
      </c>
      <c r="BX132" s="162">
        <f>BV132+BW132</f>
        <v>952.024</v>
      </c>
      <c r="BY132" s="162">
        <f>Model!BY80</f>
        <v>639.846</v>
      </c>
      <c r="BZ132" s="162">
        <f>Model!BZ80</f>
        <v>603.86300000000006</v>
      </c>
      <c r="CA132" s="162">
        <f>BY132+BZ132</f>
        <v>1243.7090000000001</v>
      </c>
      <c r="CB132" s="162">
        <f>(Model!CB80-(0.35*Model!CB45))</f>
        <v>774.0101986610257</v>
      </c>
      <c r="CC132" s="162">
        <f>Model!CC80</f>
        <v>568.11099999999988</v>
      </c>
      <c r="CD132" s="162">
        <f>Model!CD80</f>
        <v>1379.4549999999999</v>
      </c>
      <c r="CE132" s="162">
        <f>CC132+CD132</f>
        <v>1947.5659999999998</v>
      </c>
      <c r="CF132" s="162">
        <f>(Model!CF80-(0.35*Model!CF45))</f>
        <v>511.92054758805409</v>
      </c>
      <c r="CG132" s="162">
        <f>Model!CG80</f>
        <v>1198.1189999999999</v>
      </c>
      <c r="CH132" s="162">
        <f>Model!CH80</f>
        <v>633.9</v>
      </c>
      <c r="CI132" s="162">
        <f>CG132+CH132</f>
        <v>1832.0189999999998</v>
      </c>
      <c r="CJ132" s="162">
        <f>(Model!CJ80-(0.35*Model!CJ45))</f>
        <v>1270</v>
      </c>
      <c r="CK132" s="162">
        <f>Model!CK80</f>
        <v>775.4</v>
      </c>
      <c r="CL132" s="162">
        <f>Model!CL80</f>
        <v>692.00000000000011</v>
      </c>
      <c r="CM132" s="162">
        <f>Model!CM80</f>
        <v>1467.4</v>
      </c>
      <c r="CN132" s="162">
        <f>Model!CN80</f>
        <v>802.4</v>
      </c>
      <c r="CO132" s="162">
        <f>Model!CO80</f>
        <v>801.9</v>
      </c>
      <c r="CP132" s="162">
        <f>CN132+CO132</f>
        <v>1604.3</v>
      </c>
      <c r="CQ132" s="162">
        <f>Model!CQ80</f>
        <v>857</v>
      </c>
      <c r="CR132" s="162">
        <f>Model!CR80</f>
        <v>879</v>
      </c>
      <c r="CS132" s="162">
        <f>CQ132+CR132</f>
        <v>1736</v>
      </c>
      <c r="CT132" s="162">
        <f>Model!CT80</f>
        <v>782.80000000000007</v>
      </c>
      <c r="CU132" s="162">
        <f>Model!CU80</f>
        <v>688.00000000000011</v>
      </c>
      <c r="CV132" s="162">
        <f>CT132+CU132</f>
        <v>1470.8000000000002</v>
      </c>
      <c r="CW132" s="162">
        <f>Model!CW80</f>
        <v>1056.5</v>
      </c>
      <c r="CX132" s="162">
        <f>Model!CX80</f>
        <v>643.29999999999995</v>
      </c>
      <c r="CY132" s="162">
        <f>CW132+CX132</f>
        <v>1699.8</v>
      </c>
      <c r="CZ132" s="162">
        <f>Model!CZ80</f>
        <v>1424.1</v>
      </c>
      <c r="DA132" s="162">
        <f>Model!DA80</f>
        <v>857.09999999999991</v>
      </c>
      <c r="DB132" s="162">
        <f>CZ132+DA132</f>
        <v>2281.1999999999998</v>
      </c>
      <c r="DC132" s="162">
        <f>Model!DC80</f>
        <v>1460.4</v>
      </c>
      <c r="DD132" s="162">
        <f>Model!DD80</f>
        <v>880.69999999999982</v>
      </c>
      <c r="DE132" s="163">
        <f>DC132+DD132</f>
        <v>2341.1</v>
      </c>
      <c r="DF132" s="162">
        <f>Model!DF80</f>
        <v>1561.3</v>
      </c>
      <c r="DG132" s="162">
        <f>Model!DG80</f>
        <v>1011.3999999999999</v>
      </c>
      <c r="DH132" s="163">
        <f>DF132+DG132</f>
        <v>2572.6999999999998</v>
      </c>
      <c r="DI132" s="162">
        <f>Model!DI80</f>
        <v>2250.9</v>
      </c>
      <c r="DJ132" s="162">
        <f>Model!DJ80</f>
        <v>733</v>
      </c>
      <c r="DK132" s="163">
        <f>DI132+DJ132</f>
        <v>2983.9</v>
      </c>
      <c r="DL132" s="162">
        <f>Model!DL80</f>
        <v>2161.1</v>
      </c>
      <c r="DM132" s="162">
        <f>Model!DM80</f>
        <v>773.40000000000009</v>
      </c>
      <c r="DN132" s="163">
        <f>DL132+DM132</f>
        <v>2934.5</v>
      </c>
      <c r="DO132" s="162">
        <f>Model!DO80</f>
        <v>2235</v>
      </c>
      <c r="DP132" s="162">
        <f>Model!DP80</f>
        <v>1016</v>
      </c>
      <c r="DQ132" s="163">
        <f>DO132+DP132</f>
        <v>3251</v>
      </c>
      <c r="DR132" s="162">
        <f>Model!DR80</f>
        <v>2561</v>
      </c>
      <c r="DS132" s="162">
        <f>Model!DS80</f>
        <v>1199</v>
      </c>
      <c r="DT132" s="163">
        <f>DR132+DS132</f>
        <v>3760</v>
      </c>
      <c r="DU132" s="162">
        <f>Model!DU80</f>
        <v>2656</v>
      </c>
      <c r="DV132" s="162">
        <f>Model!DV80</f>
        <v>1402</v>
      </c>
      <c r="DW132" s="163">
        <f>DU132+DV132</f>
        <v>4058</v>
      </c>
      <c r="DX132" s="162">
        <f>Model!DX80</f>
        <v>2608</v>
      </c>
      <c r="DY132" s="162">
        <f>Model!DY80</f>
        <v>1897.5635170371161</v>
      </c>
      <c r="DZ132" s="163">
        <f>DX132+DY132</f>
        <v>4505.5635170371161</v>
      </c>
      <c r="EA132" s="162">
        <f>Model!EA80</f>
        <v>2757.2403922629769</v>
      </c>
      <c r="EB132" s="162">
        <f>Model!EB80</f>
        <v>1992.9509706180083</v>
      </c>
      <c r="EC132" s="163">
        <f>EA132+EB132</f>
        <v>4750.1913628809853</v>
      </c>
      <c r="ED132" s="162">
        <f>Model!ED80</f>
        <v>2988.763123457195</v>
      </c>
      <c r="EE132" s="162">
        <f>Model!EE80</f>
        <v>2161.7759584986338</v>
      </c>
      <c r="EF132" s="163">
        <f>ED132+EE132</f>
        <v>5150.5390819558288</v>
      </c>
      <c r="EG132" s="162">
        <f>Model!EG80</f>
        <v>3237.0492244573488</v>
      </c>
      <c r="EH132" s="162">
        <f>Model!EH80</f>
        <v>2401.0613611010567</v>
      </c>
      <c r="EI132" s="163">
        <f>EG132+EH132</f>
        <v>5638.1105855584055</v>
      </c>
      <c r="EJ132" s="162">
        <f>Model!EJ80</f>
        <v>3517.6097199573178</v>
      </c>
      <c r="EK132" s="162">
        <f>Model!EK80</f>
        <v>2672.3630362676331</v>
      </c>
      <c r="EL132" s="163">
        <f>EJ132+EK132</f>
        <v>6189.9727562249509</v>
      </c>
      <c r="EM132" s="162">
        <f>Model!EM80</f>
        <v>3846.9310627400509</v>
      </c>
      <c r="EN132" s="162">
        <f>Model!EN80</f>
        <v>2936.0075593813672</v>
      </c>
      <c r="EO132" s="163">
        <f>EM132+EN132</f>
        <v>6782.9386221214181</v>
      </c>
      <c r="EP132" s="162">
        <f>Model!EP80</f>
        <v>4162.6210530081162</v>
      </c>
      <c r="EQ132" s="162">
        <f>Model!EQ80</f>
        <v>3233.5207503252286</v>
      </c>
      <c r="ER132" s="163">
        <f>EP132+EQ132</f>
        <v>7396.1418033333448</v>
      </c>
      <c r="ES132" s="162">
        <f>Model!ES80</f>
        <v>4464.4639376419846</v>
      </c>
      <c r="ET132" s="162">
        <f>Model!ET80</f>
        <v>3509.1652285625378</v>
      </c>
      <c r="EU132" s="163">
        <f>ES132+ET132</f>
        <v>7973.6291662045223</v>
      </c>
      <c r="EV132" s="162">
        <f>Model!EV80</f>
        <v>4741.6774372092768</v>
      </c>
      <c r="EW132" s="162">
        <f>Model!EW80</f>
        <v>3755.5074266002102</v>
      </c>
      <c r="EX132" s="163">
        <f>EV132+EW132</f>
        <v>8497.1848638094871</v>
      </c>
      <c r="EY132" s="162">
        <f>Model!EY80</f>
        <v>5036.2752818274394</v>
      </c>
      <c r="EZ132" s="162">
        <f>Model!EZ80</f>
        <v>4018.1504544886511</v>
      </c>
      <c r="FA132" s="163">
        <f>EY132+EZ132</f>
        <v>9054.4257363160905</v>
      </c>
    </row>
    <row r="133" spans="1:157">
      <c r="A133" s="4"/>
      <c r="B133" s="4"/>
      <c r="C133" s="3" t="s">
        <v>341</v>
      </c>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78">
        <f t="shared" ref="AX133:CC133" si="130">AX132*AX124</f>
        <v>8.4029399999999992</v>
      </c>
      <c r="AY133" s="78">
        <f t="shared" si="130"/>
        <v>16.680599999999998</v>
      </c>
      <c r="AZ133" s="78">
        <f t="shared" si="130"/>
        <v>25.083539999999999</v>
      </c>
      <c r="BA133" s="78"/>
      <c r="BB133" s="78"/>
      <c r="BC133" s="78">
        <f t="shared" si="130"/>
        <v>29.113596160000004</v>
      </c>
      <c r="BD133" s="78">
        <f t="shared" si="130"/>
        <v>14.670450000000001</v>
      </c>
      <c r="BE133" s="78">
        <f t="shared" si="130"/>
        <v>21.594449999999998</v>
      </c>
      <c r="BF133" s="78">
        <f t="shared" si="130"/>
        <v>39.940124999999995</v>
      </c>
      <c r="BG133" s="78">
        <f t="shared" si="130"/>
        <v>15.899240000000002</v>
      </c>
      <c r="BH133" s="78">
        <f t="shared" si="130"/>
        <v>12.58572</v>
      </c>
      <c r="BI133" s="78">
        <f t="shared" si="130"/>
        <v>32.55424</v>
      </c>
      <c r="BJ133" s="78">
        <f t="shared" si="130"/>
        <v>13.5768</v>
      </c>
      <c r="BK133" s="78"/>
      <c r="BL133" s="78"/>
      <c r="BM133" s="158">
        <f t="shared" si="130"/>
        <v>44.482275000000001</v>
      </c>
      <c r="BN133" s="158">
        <f t="shared" si="130"/>
        <v>99.954225000000008</v>
      </c>
      <c r="BO133" s="158">
        <f t="shared" si="130"/>
        <v>144.43650000000002</v>
      </c>
      <c r="BP133" s="158">
        <f t="shared" si="130"/>
        <v>50.010952499999995</v>
      </c>
      <c r="BQ133" s="158">
        <f t="shared" si="130"/>
        <v>50.816306250000004</v>
      </c>
      <c r="BR133" s="158">
        <f t="shared" si="130"/>
        <v>100.82725875</v>
      </c>
      <c r="BS133" s="158">
        <f t="shared" si="130"/>
        <v>107.18247</v>
      </c>
      <c r="BT133" s="158">
        <f t="shared" si="130"/>
        <v>109.777575</v>
      </c>
      <c r="BU133" s="158">
        <f t="shared" si="130"/>
        <v>216.96004500000001</v>
      </c>
      <c r="BV133" s="158">
        <f>Model!BV81</f>
        <v>142.36600000000001</v>
      </c>
      <c r="BW133" s="158">
        <f>BW132*BW135</f>
        <v>107.85599999999999</v>
      </c>
      <c r="BX133" s="158">
        <f>BV133+BW133</f>
        <v>250.22200000000001</v>
      </c>
      <c r="BY133" s="158">
        <f t="shared" si="130"/>
        <v>191.9538</v>
      </c>
      <c r="BZ133" s="158">
        <f t="shared" si="130"/>
        <v>181.15890000000002</v>
      </c>
      <c r="CA133" s="158">
        <f t="shared" si="130"/>
        <v>373.11270000000002</v>
      </c>
      <c r="CB133" s="158">
        <f t="shared" si="130"/>
        <v>232.2030595983077</v>
      </c>
      <c r="CC133" s="158">
        <f t="shared" si="130"/>
        <v>170.43329999999995</v>
      </c>
      <c r="CD133" s="158">
        <f t="shared" ref="CD133:CJ133" si="131">CD132*CD124</f>
        <v>413.83649999999994</v>
      </c>
      <c r="CE133" s="158">
        <f t="shared" si="131"/>
        <v>584.26979999999992</v>
      </c>
      <c r="CF133" s="158">
        <f t="shared" si="131"/>
        <v>153.57616427641622</v>
      </c>
      <c r="CG133" s="158">
        <f t="shared" si="131"/>
        <v>359.43569999999994</v>
      </c>
      <c r="CH133" s="158">
        <f t="shared" si="131"/>
        <v>190.17</v>
      </c>
      <c r="CI133" s="158">
        <f t="shared" si="131"/>
        <v>549.60569999999996</v>
      </c>
      <c r="CJ133" s="158">
        <f t="shared" si="131"/>
        <v>381</v>
      </c>
      <c r="CK133" s="158">
        <f>Model!CK81</f>
        <v>150.80000000000001</v>
      </c>
      <c r="CL133" s="158">
        <f>CL132*CL135</f>
        <v>100.29999999999998</v>
      </c>
      <c r="CM133" s="158">
        <f>CK133+CL133</f>
        <v>251.1</v>
      </c>
      <c r="CN133" s="158">
        <f t="shared" ref="CN133:CX133" si="132">CN132*CN124</f>
        <v>240.71999999999997</v>
      </c>
      <c r="CO133" s="158">
        <f t="shared" si="132"/>
        <v>240.57</v>
      </c>
      <c r="CP133" s="158">
        <f t="shared" si="132"/>
        <v>481.28999999999996</v>
      </c>
      <c r="CQ133" s="158">
        <f t="shared" si="132"/>
        <v>257.09999999999997</v>
      </c>
      <c r="CR133" s="158">
        <f t="shared" si="132"/>
        <v>263.7</v>
      </c>
      <c r="CS133" s="158">
        <f t="shared" si="132"/>
        <v>520.79999999999995</v>
      </c>
      <c r="CT133" s="158">
        <f t="shared" si="132"/>
        <v>234.84</v>
      </c>
      <c r="CU133" s="158">
        <f t="shared" si="132"/>
        <v>206.40000000000003</v>
      </c>
      <c r="CV133" s="158">
        <f t="shared" si="132"/>
        <v>441.24000000000007</v>
      </c>
      <c r="CW133" s="158">
        <f t="shared" si="132"/>
        <v>316.95</v>
      </c>
      <c r="CX133" s="158">
        <f t="shared" si="132"/>
        <v>192.98999999999998</v>
      </c>
      <c r="CY133" s="158">
        <f>+CY132*CY135</f>
        <v>354.4854538998697</v>
      </c>
      <c r="CZ133" s="158">
        <f>CZ132*CZ124</f>
        <v>427.22999999999996</v>
      </c>
      <c r="DA133" s="158">
        <f>DA132*DA124</f>
        <v>257.12999999999994</v>
      </c>
      <c r="DB133" s="158">
        <f>+DB132*DB135</f>
        <v>552.29999999999995</v>
      </c>
      <c r="DC133" s="158">
        <f t="shared" ref="DC133:DN133" si="133">DC132*DC124</f>
        <v>438.12</v>
      </c>
      <c r="DD133" s="158">
        <f>DD132*DD124</f>
        <v>264.20999999999992</v>
      </c>
      <c r="DE133" s="152">
        <f t="shared" si="133"/>
        <v>702.32999999999993</v>
      </c>
      <c r="DF133" s="158">
        <f t="shared" si="133"/>
        <v>468.39</v>
      </c>
      <c r="DG133" s="158">
        <f t="shared" si="133"/>
        <v>303.41999999999996</v>
      </c>
      <c r="DH133" s="152">
        <f t="shared" si="133"/>
        <v>771.81</v>
      </c>
      <c r="DI133" s="158">
        <f t="shared" si="133"/>
        <v>675.27</v>
      </c>
      <c r="DJ133" s="158">
        <f t="shared" si="133"/>
        <v>219.9</v>
      </c>
      <c r="DK133" s="152">
        <f t="shared" si="133"/>
        <v>895.17</v>
      </c>
      <c r="DL133" s="158">
        <f t="shared" si="133"/>
        <v>648.32999999999993</v>
      </c>
      <c r="DM133" s="158">
        <f t="shared" si="133"/>
        <v>232.02</v>
      </c>
      <c r="DN133" s="152">
        <f t="shared" si="133"/>
        <v>880.35</v>
      </c>
      <c r="DO133" s="158">
        <f>DO132*DO124</f>
        <v>670.5</v>
      </c>
      <c r="DP133" s="158">
        <f>DP132*DP124</f>
        <v>304.8</v>
      </c>
      <c r="DQ133" s="152">
        <f>DQ132*DQ124</f>
        <v>975.3</v>
      </c>
      <c r="DR133" s="158">
        <f t="shared" ref="DR133:ER133" si="134">DR132*DR124</f>
        <v>768.3</v>
      </c>
      <c r="DS133" s="158">
        <f t="shared" si="134"/>
        <v>359.7</v>
      </c>
      <c r="DT133" s="152">
        <f t="shared" si="134"/>
        <v>1128</v>
      </c>
      <c r="DU133" s="158">
        <f t="shared" si="134"/>
        <v>796.8</v>
      </c>
      <c r="DV133" s="158">
        <f>DV132*DV124</f>
        <v>420.59999999999997</v>
      </c>
      <c r="DW133" s="152">
        <f>DW132*DW124</f>
        <v>1217.3999999999999</v>
      </c>
      <c r="DX133" s="158">
        <f t="shared" ref="DX133" si="135">DX132*DX124</f>
        <v>782.4</v>
      </c>
      <c r="DY133" s="158">
        <f t="shared" si="134"/>
        <v>569.26905511113478</v>
      </c>
      <c r="DZ133" s="152">
        <f t="shared" si="134"/>
        <v>1351.6690551111349</v>
      </c>
      <c r="EA133" s="158">
        <f t="shared" si="134"/>
        <v>827.17211767889307</v>
      </c>
      <c r="EB133" s="158">
        <f t="shared" si="134"/>
        <v>597.88529118540248</v>
      </c>
      <c r="EC133" s="152">
        <f t="shared" si="134"/>
        <v>1425.0574088642954</v>
      </c>
      <c r="ED133" s="158">
        <f t="shared" si="134"/>
        <v>896.62893703715849</v>
      </c>
      <c r="EE133" s="158">
        <f t="shared" si="134"/>
        <v>648.53278754959013</v>
      </c>
      <c r="EF133" s="152">
        <f t="shared" si="134"/>
        <v>1545.1617245867485</v>
      </c>
      <c r="EG133" s="158">
        <f t="shared" si="134"/>
        <v>971.11476733720463</v>
      </c>
      <c r="EH133" s="158">
        <f t="shared" si="134"/>
        <v>720.31840833031697</v>
      </c>
      <c r="EI133" s="152">
        <f t="shared" si="134"/>
        <v>1691.4331756675217</v>
      </c>
      <c r="EJ133" s="158">
        <f t="shared" si="134"/>
        <v>1055.2829159871953</v>
      </c>
      <c r="EK133" s="158">
        <f t="shared" si="134"/>
        <v>801.70891088028986</v>
      </c>
      <c r="EL133" s="152">
        <f t="shared" si="134"/>
        <v>1856.9918268674851</v>
      </c>
      <c r="EM133" s="158">
        <f t="shared" si="134"/>
        <v>1154.0793188220152</v>
      </c>
      <c r="EN133" s="158">
        <f t="shared" si="134"/>
        <v>880.80226781441013</v>
      </c>
      <c r="EO133" s="152">
        <f t="shared" si="134"/>
        <v>2034.8815866364253</v>
      </c>
      <c r="EP133" s="158">
        <f t="shared" si="134"/>
        <v>1248.7863159024348</v>
      </c>
      <c r="EQ133" s="158">
        <f t="shared" si="134"/>
        <v>970.05622509756859</v>
      </c>
      <c r="ER133" s="152">
        <f t="shared" si="134"/>
        <v>2218.8425410000032</v>
      </c>
      <c r="ES133" s="158">
        <f t="shared" ref="ES133:FA133" si="136">ES132*ES124</f>
        <v>1339.3391812925954</v>
      </c>
      <c r="ET133" s="158">
        <f t="shared" si="136"/>
        <v>1052.7495685687613</v>
      </c>
      <c r="EU133" s="152">
        <f t="shared" si="136"/>
        <v>2392.0887498613565</v>
      </c>
      <c r="EV133" s="158">
        <f t="shared" si="136"/>
        <v>1422.5032311627831</v>
      </c>
      <c r="EW133" s="158">
        <f t="shared" si="136"/>
        <v>1126.6522279800631</v>
      </c>
      <c r="EX133" s="152">
        <f t="shared" si="136"/>
        <v>2549.1554591428462</v>
      </c>
      <c r="EY133" s="158">
        <f t="shared" si="136"/>
        <v>1510.8825845482318</v>
      </c>
      <c r="EZ133" s="158">
        <f t="shared" si="136"/>
        <v>1205.4451363465953</v>
      </c>
      <c r="FA133" s="152">
        <f t="shared" si="136"/>
        <v>2716.3277208948271</v>
      </c>
    </row>
    <row r="134" spans="1:157">
      <c r="A134" s="4"/>
      <c r="B134" s="4"/>
      <c r="C134" s="3"/>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78"/>
      <c r="AY134" s="78"/>
      <c r="AZ134" s="78"/>
      <c r="BA134" s="78"/>
      <c r="BB134" s="78"/>
      <c r="BC134" s="78"/>
      <c r="BD134" s="78"/>
      <c r="BE134" s="78"/>
      <c r="BF134" s="78"/>
      <c r="BG134" s="78"/>
      <c r="BH134" s="78"/>
      <c r="BI134" s="78"/>
      <c r="BJ134" s="78"/>
      <c r="BK134" s="78"/>
      <c r="BL134" s="78"/>
      <c r="BM134" s="78"/>
      <c r="BN134" s="78"/>
      <c r="BO134" s="78"/>
      <c r="BP134" s="78"/>
      <c r="BQ134" s="78"/>
      <c r="BR134" s="78"/>
      <c r="BS134" s="78"/>
      <c r="BT134" s="78"/>
      <c r="BU134" s="78"/>
      <c r="BV134" s="78"/>
      <c r="BW134" s="78"/>
      <c r="BX134" s="78"/>
      <c r="BY134" s="78"/>
      <c r="BZ134" s="78"/>
      <c r="CA134" s="78"/>
      <c r="CB134" s="78"/>
      <c r="CC134" s="78"/>
      <c r="CD134" s="78"/>
      <c r="CE134" s="78"/>
      <c r="CF134" s="78"/>
      <c r="CG134" s="78"/>
      <c r="CH134" s="78"/>
      <c r="CI134" s="78"/>
      <c r="CJ134" s="78"/>
      <c r="CK134" s="78"/>
      <c r="CL134" s="78"/>
      <c r="CM134" s="78"/>
      <c r="CN134" s="78"/>
      <c r="CO134" s="78"/>
      <c r="CP134" s="78"/>
      <c r="CQ134" s="78"/>
      <c r="CR134" s="78"/>
      <c r="CS134" s="78"/>
      <c r="CT134" s="78"/>
      <c r="CU134" s="78"/>
      <c r="CV134" s="78"/>
      <c r="CW134" s="78"/>
      <c r="CX134" s="78"/>
      <c r="CY134" s="78"/>
      <c r="CZ134" s="78"/>
      <c r="DA134" s="78"/>
      <c r="DB134" s="78"/>
      <c r="DC134" s="78"/>
      <c r="DD134" s="78"/>
      <c r="DE134" s="135"/>
      <c r="DF134" s="78"/>
      <c r="DG134" s="78"/>
      <c r="DH134" s="135"/>
      <c r="DI134" s="78"/>
      <c r="DJ134" s="78"/>
      <c r="DK134" s="135"/>
      <c r="DL134" s="78"/>
      <c r="DM134" s="78"/>
      <c r="DN134" s="135"/>
      <c r="DO134" s="78"/>
      <c r="DP134" s="78"/>
      <c r="DQ134" s="135"/>
      <c r="DR134" s="78"/>
      <c r="DS134" s="78"/>
      <c r="DT134" s="135"/>
      <c r="DU134" s="78"/>
      <c r="DV134" s="78"/>
      <c r="DW134" s="135"/>
      <c r="DX134" s="78"/>
      <c r="DY134" s="78"/>
      <c r="DZ134" s="135"/>
      <c r="EA134" s="78"/>
      <c r="EB134" s="78"/>
      <c r="EC134" s="135"/>
      <c r="ED134" s="78"/>
      <c r="EE134" s="78"/>
      <c r="EF134" s="135"/>
      <c r="EG134" s="78"/>
      <c r="EH134" s="78"/>
      <c r="EI134" s="135"/>
      <c r="EJ134" s="78"/>
      <c r="EK134" s="78"/>
      <c r="EL134" s="135"/>
      <c r="EM134" s="78"/>
      <c r="EN134" s="78"/>
      <c r="EO134" s="135"/>
      <c r="EP134" s="78"/>
      <c r="EQ134" s="78"/>
      <c r="ER134" s="135"/>
      <c r="ES134" s="78"/>
      <c r="ET134" s="78"/>
      <c r="EU134" s="135"/>
      <c r="EV134" s="78"/>
      <c r="EW134" s="78"/>
      <c r="EX134" s="135"/>
      <c r="EY134" s="78"/>
      <c r="EZ134" s="78"/>
      <c r="FA134" s="135"/>
    </row>
    <row r="135" spans="1:157">
      <c r="A135" s="4"/>
      <c r="B135" s="4"/>
      <c r="C135" s="3" t="s">
        <v>342</v>
      </c>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95">
        <f>AX133/Model!AX80</f>
        <v>0.3054281767955801</v>
      </c>
      <c r="AY135" s="95">
        <f>AY133/Model!AY80</f>
        <v>0.31435463505644229</v>
      </c>
      <c r="AZ135" s="95">
        <f>AZ133/Model!AZ80</f>
        <v>0.31130673285758609</v>
      </c>
      <c r="BA135" s="95"/>
      <c r="BB135" s="95"/>
      <c r="BC135" s="95">
        <f>BC133/Model!BC80</f>
        <v>0.27428395538136874</v>
      </c>
      <c r="BD135" s="95">
        <f>BD133/Model!BD80</f>
        <v>0.19986172227293161</v>
      </c>
      <c r="BE135" s="95">
        <f>BE133/Model!BE80</f>
        <v>0.26001745936183024</v>
      </c>
      <c r="BF135" s="95">
        <v>0.23</v>
      </c>
      <c r="BG135" s="95">
        <f>BG133/Model!BG80</f>
        <v>0.28000000000000003</v>
      </c>
      <c r="BH135" s="95">
        <f>BH133/Model!BH80</f>
        <v>0.28000000000000003</v>
      </c>
      <c r="BI135" s="95">
        <f>BI133/Model!BI80</f>
        <v>0.32</v>
      </c>
      <c r="BJ135" s="95">
        <f>BJ133/Model!BJ80</f>
        <v>0.3</v>
      </c>
      <c r="BK135" s="95"/>
      <c r="BL135" s="95"/>
      <c r="BM135" s="95">
        <v>0.18</v>
      </c>
      <c r="BN135" s="95">
        <v>0.19500000000000001</v>
      </c>
      <c r="BO135" s="95">
        <f>BN135</f>
        <v>0.19500000000000001</v>
      </c>
      <c r="BP135" s="95">
        <v>0.3</v>
      </c>
      <c r="BQ135" s="95">
        <f>BP135</f>
        <v>0.3</v>
      </c>
      <c r="BR135" s="95">
        <f>BQ135</f>
        <v>0.3</v>
      </c>
      <c r="BS135" s="95">
        <f>Model!BS82</f>
        <v>0.33506833171377182</v>
      </c>
      <c r="BT135" s="95">
        <f>Model!BT82</f>
        <v>0.27151577147314931</v>
      </c>
      <c r="BU135" s="95">
        <f>Model!BU82</f>
        <v>0.30328437496366556</v>
      </c>
      <c r="BV135" s="95">
        <f>Model!BV82</f>
        <v>0.28989562079764775</v>
      </c>
      <c r="BW135" s="95">
        <f>Model!BW82</f>
        <v>0.23399648536654155</v>
      </c>
      <c r="BX135" s="95">
        <f>Model!BX82</f>
        <v>0.26283160928716082</v>
      </c>
      <c r="BY135" s="108">
        <v>0.25</v>
      </c>
      <c r="BZ135" s="95">
        <f>BY135</f>
        <v>0.25</v>
      </c>
      <c r="CA135" s="95">
        <v>0.24</v>
      </c>
      <c r="CB135" s="108">
        <v>0.24</v>
      </c>
      <c r="CC135" s="95">
        <f>CB135</f>
        <v>0.24</v>
      </c>
      <c r="CD135" s="95">
        <f>CC135</f>
        <v>0.24</v>
      </c>
      <c r="CE135" s="95">
        <f>146.774/646.989</f>
        <v>0.22685702538992161</v>
      </c>
      <c r="CF135" s="95">
        <f>CE135</f>
        <v>0.22685702538992161</v>
      </c>
      <c r="CG135" s="95">
        <f>CF135</f>
        <v>0.22685702538992161</v>
      </c>
      <c r="CH135" s="95">
        <v>0.21</v>
      </c>
      <c r="CI135" s="95">
        <v>0.20399999999999999</v>
      </c>
      <c r="CJ135" s="95">
        <f>CI135</f>
        <v>0.20399999999999999</v>
      </c>
      <c r="CK135" s="95">
        <f>CK133/CK132</f>
        <v>0.19448026824864589</v>
      </c>
      <c r="CL135" s="95">
        <v>0.14494219653179186</v>
      </c>
      <c r="CM135" s="95">
        <f>CM133/CM132</f>
        <v>0.17111898596156466</v>
      </c>
      <c r="CN135" s="95">
        <v>0.19</v>
      </c>
      <c r="CO135" s="95">
        <f>CN135</f>
        <v>0.19</v>
      </c>
      <c r="CP135" s="95">
        <v>0.18531446736894597</v>
      </c>
      <c r="CQ135" s="95">
        <v>0.19229871645274213</v>
      </c>
      <c r="CR135" s="95">
        <f>CQ135</f>
        <v>0.19229871645274213</v>
      </c>
      <c r="CS135" s="95">
        <v>0.19297235023041476</v>
      </c>
      <c r="CT135" s="95">
        <f>CQ135</f>
        <v>0.19229871645274213</v>
      </c>
      <c r="CU135" s="95">
        <f>CT135</f>
        <v>0.19229871645274213</v>
      </c>
      <c r="CV135" s="95">
        <v>0.21099999999999999</v>
      </c>
      <c r="CW135" s="95">
        <v>0.23757690487458599</v>
      </c>
      <c r="CX135" s="95">
        <v>0.22</v>
      </c>
      <c r="CY135" s="95">
        <v>0.20854538998698063</v>
      </c>
      <c r="CZ135" s="95">
        <v>0.23720244364862017</v>
      </c>
      <c r="DA135" s="95">
        <v>0.17849349262244699</v>
      </c>
      <c r="DB135" s="95">
        <f>552.3/2281.2</f>
        <v>0.24210941609679115</v>
      </c>
      <c r="DC135" s="95">
        <f>299.7/1460.4</f>
        <v>0.20521774856203778</v>
      </c>
      <c r="DD135" s="95">
        <f>Model!DD81/Model!DD80</f>
        <v>0.139320994663336</v>
      </c>
      <c r="DE135" s="170">
        <f>422.4/2341.1</f>
        <v>0.18042800392977659</v>
      </c>
      <c r="DF135" s="169">
        <v>0.2006661115736886</v>
      </c>
      <c r="DG135" s="95">
        <f>DF135</f>
        <v>0.2006661115736886</v>
      </c>
      <c r="DH135" s="170">
        <f>470.2/2572.7</f>
        <v>0.18276518832355115</v>
      </c>
      <c r="DI135" s="169">
        <f>440.9/2250.9</f>
        <v>0.19587720467368605</v>
      </c>
      <c r="DJ135" s="95">
        <f>Model!DJ81/Model!DJ80</f>
        <v>0.20709413369713514</v>
      </c>
      <c r="DK135" s="170">
        <v>0.19863266195247831</v>
      </c>
      <c r="DL135" s="168">
        <v>0.17773356161214199</v>
      </c>
      <c r="DM135" s="168">
        <v>0.18</v>
      </c>
      <c r="DN135" s="170">
        <v>0.18872039529732493</v>
      </c>
      <c r="DO135" s="168">
        <v>0.16</v>
      </c>
      <c r="DP135" s="168">
        <v>0.14299999999999999</v>
      </c>
      <c r="DQ135" s="170">
        <v>0.15502922177791439</v>
      </c>
      <c r="DR135" s="168">
        <v>0.19172</v>
      </c>
      <c r="DS135" s="168">
        <v>0.193</v>
      </c>
      <c r="DT135" s="1851">
        <v>0.19202127659574467</v>
      </c>
      <c r="DU135" s="168">
        <v>0.19126506024096401</v>
      </c>
      <c r="DV135" s="986">
        <v>0.193</v>
      </c>
      <c r="DW135" s="170">
        <f>645/4058</f>
        <v>0.15894529324790538</v>
      </c>
      <c r="DX135" s="168">
        <v>0.20590490797546013</v>
      </c>
      <c r="DY135" s="171">
        <v>0.17</v>
      </c>
      <c r="DZ135" s="1914">
        <v>0.19</v>
      </c>
      <c r="EA135" s="1913">
        <v>0.19</v>
      </c>
      <c r="EB135" s="171">
        <f>+EA135</f>
        <v>0.19</v>
      </c>
      <c r="EC135" s="172">
        <f>EB135</f>
        <v>0.19</v>
      </c>
      <c r="ED135" s="171">
        <f t="shared" ref="ED135" si="137">EC135</f>
        <v>0.19</v>
      </c>
      <c r="EE135" s="171">
        <f t="shared" ref="EE135" si="138">ED135</f>
        <v>0.19</v>
      </c>
      <c r="EF135" s="172">
        <f t="shared" ref="EF135" si="139">EE135</f>
        <v>0.19</v>
      </c>
      <c r="EG135" s="171">
        <f t="shared" ref="EG135:EL135" si="140">EF135</f>
        <v>0.19</v>
      </c>
      <c r="EH135" s="171">
        <f t="shared" si="140"/>
        <v>0.19</v>
      </c>
      <c r="EI135" s="172">
        <f t="shared" si="140"/>
        <v>0.19</v>
      </c>
      <c r="EJ135" s="171">
        <f t="shared" si="140"/>
        <v>0.19</v>
      </c>
      <c r="EK135" s="171">
        <f t="shared" si="140"/>
        <v>0.19</v>
      </c>
      <c r="EL135" s="172">
        <f t="shared" si="140"/>
        <v>0.19</v>
      </c>
      <c r="EM135" s="171">
        <f t="shared" ref="EM135:FA135" si="141">EL135</f>
        <v>0.19</v>
      </c>
      <c r="EN135" s="171">
        <f t="shared" si="141"/>
        <v>0.19</v>
      </c>
      <c r="EO135" s="172">
        <f t="shared" si="141"/>
        <v>0.19</v>
      </c>
      <c r="EP135" s="171">
        <f t="shared" si="141"/>
        <v>0.19</v>
      </c>
      <c r="EQ135" s="171">
        <f t="shared" si="141"/>
        <v>0.19</v>
      </c>
      <c r="ER135" s="172">
        <f t="shared" si="141"/>
        <v>0.19</v>
      </c>
      <c r="ES135" s="171">
        <f t="shared" si="141"/>
        <v>0.19</v>
      </c>
      <c r="ET135" s="171">
        <f t="shared" si="141"/>
        <v>0.19</v>
      </c>
      <c r="EU135" s="172">
        <f t="shared" si="141"/>
        <v>0.19</v>
      </c>
      <c r="EV135" s="171">
        <f t="shared" si="141"/>
        <v>0.19</v>
      </c>
      <c r="EW135" s="171">
        <f t="shared" si="141"/>
        <v>0.19</v>
      </c>
      <c r="EX135" s="172">
        <f t="shared" si="141"/>
        <v>0.19</v>
      </c>
      <c r="EY135" s="171">
        <f t="shared" si="141"/>
        <v>0.19</v>
      </c>
      <c r="EZ135" s="171">
        <f t="shared" si="141"/>
        <v>0.19</v>
      </c>
      <c r="FA135" s="172">
        <f t="shared" si="141"/>
        <v>0.19</v>
      </c>
    </row>
    <row r="136" spans="1:157" ht="13.35" customHeight="1">
      <c r="A136" s="3"/>
      <c r="B136" s="5" t="s">
        <v>242</v>
      </c>
      <c r="C136" s="5"/>
      <c r="D136" s="109"/>
      <c r="E136" s="97"/>
      <c r="F136" s="97"/>
      <c r="G136" s="97"/>
      <c r="H136" s="97"/>
      <c r="I136" s="97"/>
      <c r="J136" s="97"/>
      <c r="K136" s="97"/>
      <c r="L136" s="97"/>
      <c r="M136" s="97"/>
      <c r="N136" s="97"/>
      <c r="O136" s="97"/>
      <c r="P136" s="97"/>
      <c r="Q136" s="97"/>
      <c r="R136" s="97"/>
      <c r="S136" s="97"/>
      <c r="T136" s="97"/>
      <c r="U136" s="97"/>
      <c r="V136" s="97"/>
      <c r="W136" s="97"/>
      <c r="X136" s="97"/>
      <c r="Y136" s="97"/>
      <c r="Z136" s="97"/>
      <c r="AA136" s="97"/>
      <c r="AB136" s="97"/>
      <c r="AC136" s="97"/>
      <c r="AD136" s="97"/>
      <c r="AE136" s="97"/>
      <c r="AF136" s="97"/>
      <c r="AG136" s="97"/>
      <c r="AH136" s="97"/>
      <c r="AI136" s="97"/>
      <c r="AJ136" s="97"/>
      <c r="AK136" s="97"/>
      <c r="AL136" s="97"/>
      <c r="AM136" s="97"/>
      <c r="AN136" s="97"/>
      <c r="AO136" s="97"/>
      <c r="AP136" s="97"/>
      <c r="AQ136" s="97"/>
      <c r="AR136" s="97"/>
      <c r="AS136" s="97"/>
      <c r="AT136" s="97"/>
      <c r="AU136" s="97"/>
      <c r="AV136" s="97"/>
      <c r="AW136" s="97"/>
      <c r="AX136" s="97"/>
      <c r="AY136" s="97"/>
      <c r="AZ136" s="97"/>
      <c r="BA136" s="107"/>
      <c r="BB136" s="97"/>
      <c r="BC136" s="97"/>
      <c r="BD136" s="107"/>
      <c r="BE136" s="97"/>
      <c r="BF136" s="97"/>
      <c r="BG136" s="97"/>
      <c r="BH136" s="97"/>
      <c r="BI136" s="97"/>
      <c r="BJ136" s="97"/>
      <c r="BK136" s="97"/>
      <c r="BL136" s="97"/>
      <c r="BM136" s="97"/>
      <c r="BN136" s="97"/>
      <c r="BO136" s="97"/>
      <c r="BP136" s="97"/>
      <c r="BQ136" s="97"/>
      <c r="BR136" s="97"/>
      <c r="BS136" s="97"/>
      <c r="BT136" s="97"/>
      <c r="BU136" s="97"/>
      <c r="BV136" s="97"/>
      <c r="BW136" s="97"/>
      <c r="BX136" s="97"/>
      <c r="BY136" s="97"/>
      <c r="BZ136" s="97"/>
      <c r="CA136" s="97"/>
      <c r="CB136" s="97"/>
      <c r="CC136" s="97"/>
      <c r="CD136" s="97"/>
      <c r="CE136" s="97"/>
      <c r="CF136" s="97"/>
      <c r="CG136" s="97"/>
      <c r="CH136" s="97"/>
      <c r="CI136" s="97"/>
      <c r="CJ136" s="97"/>
      <c r="CK136" s="97"/>
      <c r="CL136" s="97"/>
      <c r="CM136" s="97"/>
      <c r="CN136" s="97"/>
      <c r="CO136" s="97"/>
      <c r="CP136" s="97"/>
      <c r="CQ136" s="78">
        <f>Model!CQ81</f>
        <v>164.8</v>
      </c>
      <c r="CR136" s="97"/>
      <c r="CS136" s="78">
        <f>Model!CS81</f>
        <v>335</v>
      </c>
      <c r="CT136" s="78">
        <f>Model!CT81</f>
        <v>175.9</v>
      </c>
      <c r="CU136" s="97"/>
      <c r="CV136" s="78">
        <f>Model!CV81</f>
        <v>317.89999999999998</v>
      </c>
      <c r="CW136" s="78">
        <f>Model!CW81</f>
        <v>251.00000000000011</v>
      </c>
      <c r="CX136" s="97"/>
      <c r="CY136" s="97"/>
      <c r="CZ136" s="78">
        <f>Model!CZ81</f>
        <v>337.79999999999995</v>
      </c>
      <c r="DA136" s="97"/>
      <c r="DB136" s="97"/>
      <c r="DC136" s="97"/>
      <c r="DD136" s="97"/>
      <c r="DE136" s="149"/>
      <c r="DF136" s="97"/>
      <c r="DG136" s="97"/>
      <c r="DH136" s="149"/>
      <c r="DI136" s="97"/>
      <c r="DJ136" s="97"/>
      <c r="DK136" s="149"/>
      <c r="DL136" s="114"/>
      <c r="DM136" s="97"/>
      <c r="DN136" s="149"/>
      <c r="DO136" s="114"/>
      <c r="DP136" s="97"/>
      <c r="DQ136" s="149"/>
      <c r="DR136" s="97"/>
      <c r="DS136" s="97"/>
      <c r="DT136" s="149"/>
      <c r="DU136" s="97"/>
      <c r="DV136" s="97"/>
      <c r="DW136" s="1850"/>
      <c r="DX136" s="97"/>
      <c r="DY136" s="97"/>
      <c r="DZ136" s="149"/>
      <c r="EA136" s="97"/>
      <c r="EB136" s="97"/>
      <c r="EC136" s="149"/>
      <c r="ED136" s="97"/>
      <c r="EE136" s="97"/>
      <c r="EF136" s="149"/>
      <c r="EG136" s="97"/>
      <c r="EH136" s="97"/>
      <c r="EI136" s="149"/>
      <c r="EJ136" s="97"/>
      <c r="EK136" s="97"/>
      <c r="EL136" s="149"/>
      <c r="EM136" s="97"/>
      <c r="EN136" s="97"/>
      <c r="EO136" s="149"/>
      <c r="EP136" s="97"/>
      <c r="EQ136" s="97"/>
      <c r="ER136" s="149"/>
      <c r="ES136" s="97"/>
      <c r="ET136" s="97"/>
      <c r="EU136" s="149"/>
      <c r="EV136" s="97"/>
      <c r="EW136" s="97"/>
      <c r="EX136" s="149"/>
      <c r="EY136" s="97"/>
      <c r="EZ136" s="97"/>
      <c r="FA136" s="149"/>
    </row>
    <row r="137" spans="1:157" ht="13.35" customHeight="1">
      <c r="A137" s="3"/>
      <c r="B137" s="4" t="s">
        <v>536</v>
      </c>
      <c r="C137" s="4"/>
      <c r="D137" s="3"/>
      <c r="E137" s="87" t="str">
        <f>IF(Model!E83&lt;&gt;"",Model!E83,"")</f>
        <v/>
      </c>
      <c r="F137" s="87" t="str">
        <f>IF(AND(G137&lt;&gt;"",E137&lt;&gt;""),G137-E137,"")</f>
        <v/>
      </c>
      <c r="G137" s="87" t="str">
        <f>IF(Model!G83&lt;&gt;"",Model!G83,"")</f>
        <v/>
      </c>
      <c r="H137" s="87" t="str">
        <f>IF(Model!H83&lt;&gt;"",Model!H83,"")</f>
        <v/>
      </c>
      <c r="I137" s="87" t="str">
        <f>IF(AND(J137&lt;&gt;"",H137&lt;&gt;""),J137-H137,"")</f>
        <v/>
      </c>
      <c r="J137" s="87" t="str">
        <f>IF(Model!J83&lt;&gt;"",Model!J83,"")</f>
        <v/>
      </c>
      <c r="K137" s="87" t="str">
        <f>IF(Model!K83&lt;&gt;"",Model!K83,"")</f>
        <v/>
      </c>
      <c r="L137" s="87" t="str">
        <f>IF(AND(M137&lt;&gt;"",K137&lt;&gt;""),M137-K137,"")</f>
        <v/>
      </c>
      <c r="M137" s="87" t="str">
        <f>IF(Model!M83&lt;&gt;"",Model!M83,"")</f>
        <v/>
      </c>
      <c r="N137" s="87" t="str">
        <f>IF(Model!N83&lt;&gt;"",Model!N83,"")</f>
        <v/>
      </c>
      <c r="O137" s="87" t="str">
        <f>IF(AND(P137&lt;&gt;"",N137&lt;&gt;""),P137-N137,"")</f>
        <v/>
      </c>
      <c r="P137" s="87" t="str">
        <f>IF(Model!P83&lt;&gt;"",Model!P83,"")</f>
        <v/>
      </c>
      <c r="Q137" s="87" t="str">
        <f>IF(Model!Q83&lt;&gt;"",Model!Q83,"")</f>
        <v/>
      </c>
      <c r="R137" s="87" t="str">
        <f>IF(AND(S137&lt;&gt;"",Q137&lt;&gt;""),S137-Q137,"")</f>
        <v/>
      </c>
      <c r="S137" s="87" t="str">
        <f>IF(Model!S83&lt;&gt;"",Model!S83,"")</f>
        <v/>
      </c>
      <c r="T137" s="87" t="str">
        <f>IF(Model!T83&lt;&gt;"",Model!T83,"")</f>
        <v/>
      </c>
      <c r="U137" s="87" t="str">
        <f>IF(AND(V137&lt;&gt;"",T137&lt;&gt;""),V137-T137,"")</f>
        <v/>
      </c>
      <c r="V137" s="87" t="str">
        <f>IF(Model!V83&lt;&gt;"",Model!V83,"")</f>
        <v/>
      </c>
      <c r="W137" s="87" t="str">
        <f>IF(Model!W83&lt;&gt;"",Model!W83,"")</f>
        <v/>
      </c>
      <c r="X137" s="87" t="str">
        <f>IF(AND(Y137&lt;&gt;"",W137&lt;&gt;""),Y137-W137,"")</f>
        <v/>
      </c>
      <c r="Y137" s="87" t="str">
        <f>IF(Model!Y83&lt;&gt;"",Model!Y83,"")</f>
        <v/>
      </c>
      <c r="Z137" s="87" t="str">
        <f>IF(Model!Z83&lt;&gt;"",Model!Z83,"")</f>
        <v/>
      </c>
      <c r="AA137" s="87" t="str">
        <f>IF(AND(AB137&lt;&gt;"",Z137&lt;&gt;""),AB137-Z137,"")</f>
        <v/>
      </c>
      <c r="AB137" s="87" t="str">
        <f>IF(Model!AB83&lt;&gt;"",Model!AB83,"")</f>
        <v/>
      </c>
      <c r="AC137" s="87" t="str">
        <f>IF(Model!AC83&lt;&gt;"",Model!AC83,"")</f>
        <v/>
      </c>
      <c r="AD137" s="87" t="str">
        <f>IF(AND(AE137&lt;&gt;"",AC137&lt;&gt;""),AE137-AC137,"")</f>
        <v/>
      </c>
      <c r="AE137" s="87" t="str">
        <f>IF(Model!AE83&lt;&gt;"",Model!AE83,"")</f>
        <v/>
      </c>
      <c r="AF137" s="87" t="str">
        <f>IF(Model!AF83&lt;&gt;"",Model!AF83,"")</f>
        <v/>
      </c>
      <c r="AG137" s="87" t="str">
        <f>IF(AND(AH137&lt;&gt;"",AF137&lt;&gt;""),AH137-AF137,"")</f>
        <v/>
      </c>
      <c r="AH137" s="87" t="str">
        <f>IF(Model!AH83&lt;&gt;"",Model!AH83,"")</f>
        <v/>
      </c>
      <c r="AI137" s="87" t="str">
        <f>IF(Model!AI83&lt;&gt;"",Model!AI83,"")</f>
        <v/>
      </c>
      <c r="AJ137" s="87" t="str">
        <f>IF(AND(AK137&lt;&gt;"",AI137&lt;&gt;""),AK137-AI137,"")</f>
        <v/>
      </c>
      <c r="AK137" s="87" t="str">
        <f>IF(Model!AK83&lt;&gt;"",Model!AK83,"")</f>
        <v/>
      </c>
      <c r="AL137" s="87" t="str">
        <f>IF(Model!AL83&lt;&gt;"",Model!AL83,"")</f>
        <v/>
      </c>
      <c r="AM137" s="87" t="str">
        <f>IF(AND(AN137&lt;&gt;"",AL137&lt;&gt;""),AN137-AL137,"")</f>
        <v/>
      </c>
      <c r="AN137" s="87" t="str">
        <f>IF(Model!AN83&lt;&gt;"",Model!AN83,"")</f>
        <v/>
      </c>
      <c r="AO137" s="87" t="str">
        <f>IF(Model!AO83&lt;&gt;"",Model!AO83,"")</f>
        <v/>
      </c>
      <c r="AP137" s="87" t="str">
        <f>IF(AND(AQ137&lt;&gt;"",AO137&lt;&gt;""),AQ137-AO137,"")</f>
        <v/>
      </c>
      <c r="AQ137" s="87" t="str">
        <f>IF(Model!AQ83&lt;&gt;"",Model!AQ83,"")</f>
        <v/>
      </c>
      <c r="AR137" s="87" t="str">
        <f>IF(Model!AR83&lt;&gt;"",Model!AR83,"")</f>
        <v/>
      </c>
      <c r="AS137" s="87" t="str">
        <f>IF(AND(AT137&lt;&gt;"",AR137&lt;&gt;""),AT137-AR137,"")</f>
        <v/>
      </c>
      <c r="AT137" s="87" t="str">
        <f>IF(Model!AT83&lt;&gt;"",Model!AT83,"")</f>
        <v/>
      </c>
      <c r="AU137" s="87">
        <f>IF(Model!AU83&lt;&gt;"",Model!AU83,"")</f>
        <v>0</v>
      </c>
      <c r="AV137" s="87">
        <f>IF(AND(AW137&lt;&gt;"",AU137&lt;&gt;""),AW137-AU137,"")</f>
        <v>0</v>
      </c>
      <c r="AW137" s="87">
        <f>IF(Model!AW83&lt;&gt;"",Model!AW83,"")</f>
        <v>0</v>
      </c>
      <c r="AX137" s="87">
        <f>IF(Model!AX83&lt;&gt;"",Model!AX83,"")</f>
        <v>0</v>
      </c>
      <c r="AY137" s="87">
        <f>IF(AND(AZ137&lt;&gt;"",AX137&lt;&gt;""),AZ137-AX137,"")</f>
        <v>0</v>
      </c>
      <c r="AZ137" s="87">
        <f>IF(Model!AZ83&lt;&gt;"",Model!AZ83,"")</f>
        <v>0</v>
      </c>
      <c r="BA137" s="96"/>
      <c r="BB137" s="87" t="str">
        <f>IF(AND(BC137&lt;&gt;"",BA137&lt;&gt;""),BC137-BA137,"")</f>
        <v/>
      </c>
      <c r="BC137" s="8"/>
      <c r="BD137" s="8"/>
      <c r="BE137" s="87" t="str">
        <f>IF(AND(BF137&lt;&gt;"",BD137&lt;&gt;""),BF137-BD137,"")</f>
        <v/>
      </c>
      <c r="BF137" s="8"/>
      <c r="BG137" s="8"/>
      <c r="BH137" s="87" t="str">
        <f>IF(AND(BI137&lt;&gt;"",BG137&lt;&gt;""),BI137-BG137,"")</f>
        <v/>
      </c>
      <c r="BI137" s="8"/>
      <c r="BJ137" s="8"/>
      <c r="BK137" s="87" t="str">
        <f>IF(AND(BL137&lt;&gt;"",BJ137&lt;&gt;""),BL137-BJ137,"")</f>
        <v/>
      </c>
      <c r="BL137" s="8"/>
      <c r="BM137" s="8"/>
      <c r="BN137" s="87" t="str">
        <f>IF(AND(BO137&lt;&gt;"",BM137&lt;&gt;""),BO137-BM137,"")</f>
        <v/>
      </c>
      <c r="BO137" s="8"/>
      <c r="BP137" s="8"/>
      <c r="BQ137" s="87" t="str">
        <f>IF(AND(BR137&lt;&gt;"",BP137&lt;&gt;""),BR137-BP137,"")</f>
        <v/>
      </c>
      <c r="BR137" s="8"/>
      <c r="BS137" s="8"/>
      <c r="BT137" s="87" t="str">
        <f>IF(AND(BU137&lt;&gt;"",BS137&lt;&gt;""),BU137-BS137,"")</f>
        <v/>
      </c>
      <c r="BU137" s="8"/>
      <c r="BV137" s="8"/>
      <c r="BW137" s="87" t="str">
        <f>IF(AND(BX137&lt;&gt;"",BV137&lt;&gt;""),BX137-BV137,"")</f>
        <v/>
      </c>
      <c r="BX137" s="8"/>
      <c r="BY137" s="8"/>
      <c r="BZ137" s="87" t="str">
        <f>IF(AND(CA137&lt;&gt;"",BY137&lt;&gt;""),CA137-BY137,"")</f>
        <v/>
      </c>
      <c r="CA137" s="8"/>
      <c r="CB137" s="8"/>
      <c r="CC137" s="87" t="str">
        <f>IF(AND(CD137&lt;&gt;"",CB137&lt;&gt;""),CD137-CB137,"")</f>
        <v/>
      </c>
      <c r="CD137" s="8"/>
      <c r="CE137" s="8"/>
      <c r="CF137" s="87" t="str">
        <f>IF(AND(CG137&lt;&gt;"",CE137&lt;&gt;""),CG137-CE137,"")</f>
        <v/>
      </c>
      <c r="CG137" s="8"/>
      <c r="CH137" s="8"/>
      <c r="CI137" s="87" t="str">
        <f>IF(AND(CJ137&lt;&gt;"",CH137&lt;&gt;""),CJ137-CH137,"")</f>
        <v/>
      </c>
      <c r="CJ137" s="8"/>
      <c r="CK137" s="8"/>
      <c r="CL137" s="87" t="str">
        <f>IF(AND(CM137&lt;&gt;"",CK137&lt;&gt;""),CM137-CK137,"")</f>
        <v/>
      </c>
      <c r="CM137" s="8"/>
      <c r="CN137" s="8"/>
      <c r="CO137" s="87" t="str">
        <f>IF(AND(CP137&lt;&gt;"",CN137&lt;&gt;""),CP137-CN137,"")</f>
        <v/>
      </c>
      <c r="CP137" s="8"/>
      <c r="CQ137" s="8"/>
      <c r="CR137" s="87" t="str">
        <f>IF(AND(CS137&lt;&gt;"",CQ137&lt;&gt;""),CS137-CQ137,"")</f>
        <v/>
      </c>
      <c r="CS137" s="8"/>
      <c r="CT137" s="8"/>
      <c r="CU137" s="87" t="str">
        <f>IF(AND(CV137&lt;&gt;"",CT137&lt;&gt;""),CV137-CT137,"")</f>
        <v/>
      </c>
      <c r="CV137" s="8"/>
      <c r="CW137" s="8"/>
      <c r="CX137" s="87" t="str">
        <f>IF(AND(CY137&lt;&gt;"",CW137&lt;&gt;""),CY137-CW137,"")</f>
        <v/>
      </c>
      <c r="CY137" s="8"/>
      <c r="CZ137" s="8"/>
      <c r="DA137" s="87" t="str">
        <f>IF(AND(DB137&lt;&gt;"",CZ137&lt;&gt;""),DB137-CZ137,"")</f>
        <v/>
      </c>
      <c r="DB137" s="8"/>
      <c r="DC137" s="8"/>
      <c r="DD137" s="87" t="str">
        <f>IF(AND(DE137&lt;&gt;"",DC137&lt;&gt;""),DE137-DC137,"")</f>
        <v/>
      </c>
      <c r="DE137" s="145"/>
      <c r="DF137" s="8"/>
      <c r="DG137" s="87" t="str">
        <f>IF(AND(DH137&lt;&gt;"",DF137&lt;&gt;""),DH137-DF137,"")</f>
        <v/>
      </c>
      <c r="DH137" s="145"/>
      <c r="DI137" s="8"/>
      <c r="DJ137" s="87" t="str">
        <f>IF(AND(DK137&lt;&gt;"",DI137&lt;&gt;""),DK137-DI137,"")</f>
        <v/>
      </c>
      <c r="DK137" s="145"/>
      <c r="DL137" s="8"/>
      <c r="DM137" s="87" t="str">
        <f>IF(AND(DN137&lt;&gt;"",DL137&lt;&gt;""),DN137-DL137,"")</f>
        <v/>
      </c>
      <c r="DN137" s="145"/>
      <c r="DO137" s="8"/>
      <c r="DP137" s="87" t="str">
        <f>IF(AND(DQ137&lt;&gt;"",DO137&lt;&gt;""),DQ137-DO137,"")</f>
        <v/>
      </c>
      <c r="DQ137" s="145"/>
      <c r="DR137" s="8"/>
      <c r="DS137" s="87" t="str">
        <f>IF(AND(DT137&lt;&gt;"",DR137&lt;&gt;""),DT137-DR137,"")</f>
        <v/>
      </c>
      <c r="DT137" s="145"/>
      <c r="DU137" s="8"/>
      <c r="DV137" s="87" t="str">
        <f>IF(AND(DW137&lt;&gt;"",DU137&lt;&gt;""),DW137-DU137,"")</f>
        <v/>
      </c>
      <c r="DW137" s="145"/>
      <c r="DX137" s="8"/>
      <c r="DY137" s="87" t="str">
        <f>IF(AND(DZ137&lt;&gt;"",DX137&lt;&gt;""),DZ137-DX137,"")</f>
        <v/>
      </c>
      <c r="DZ137" s="145"/>
      <c r="EA137" s="8"/>
      <c r="EB137" s="87" t="str">
        <f>IF(AND(EC137&lt;&gt;"",EA137&lt;&gt;""),EC137-EA137,"")</f>
        <v/>
      </c>
      <c r="EC137" s="145"/>
      <c r="ED137" s="8"/>
      <c r="EE137" s="87" t="str">
        <f>IF(AND(EF137&lt;&gt;"",ED137&lt;&gt;""),EF137-ED137,"")</f>
        <v/>
      </c>
      <c r="EF137" s="145"/>
      <c r="EG137" s="8"/>
      <c r="EH137" s="87" t="str">
        <f>IF(AND(EI137&lt;&gt;"",EG137&lt;&gt;""),EI137-EG137,"")</f>
        <v/>
      </c>
      <c r="EI137" s="145"/>
      <c r="EJ137" s="8"/>
      <c r="EK137" s="87" t="str">
        <f>IF(AND(EL137&lt;&gt;"",EJ137&lt;&gt;""),EL137-EJ137,"")</f>
        <v/>
      </c>
      <c r="EL137" s="145"/>
      <c r="EM137" s="8"/>
      <c r="EN137" s="87" t="str">
        <f>IF(AND(EO137&lt;&gt;"",EM137&lt;&gt;""),EO137-EM137,"")</f>
        <v/>
      </c>
      <c r="EO137" s="145"/>
      <c r="EP137" s="8"/>
      <c r="EQ137" s="87" t="str">
        <f>IF(AND(ER137&lt;&gt;"",EP137&lt;&gt;""),ER137-EP137,"")</f>
        <v/>
      </c>
      <c r="ER137" s="145"/>
      <c r="ES137" s="8"/>
      <c r="ET137" s="87" t="str">
        <f>IF(AND(EU137&lt;&gt;"",ES137&lt;&gt;""),EU137-ES137,"")</f>
        <v/>
      </c>
      <c r="EU137" s="145"/>
      <c r="EV137" s="8"/>
      <c r="EW137" s="87" t="str">
        <f>IF(AND(EX137&lt;&gt;"",EV137&lt;&gt;""),EX137-EV137,"")</f>
        <v/>
      </c>
      <c r="EX137" s="145"/>
      <c r="EY137" s="8"/>
      <c r="EZ137" s="87" t="str">
        <f>IF(AND(FA137&lt;&gt;"",EY137&lt;&gt;""),FA137-EY137,"")</f>
        <v/>
      </c>
      <c r="FA137" s="145"/>
    </row>
    <row r="138" spans="1:157" ht="13.35" customHeight="1">
      <c r="A138" s="3"/>
      <c r="B138" s="4" t="s">
        <v>537</v>
      </c>
      <c r="C138" s="4"/>
      <c r="D138" s="3"/>
      <c r="E138" s="87" t="str">
        <f>IF(Model!E84&lt;&gt;"",Model!E84,"")</f>
        <v/>
      </c>
      <c r="F138" s="87" t="str">
        <f>IF(AND(G138&lt;&gt;"",E138&lt;&gt;""),G138-E138,"")</f>
        <v/>
      </c>
      <c r="G138" s="87" t="str">
        <f>IF(Model!G84&lt;&gt;"",Model!G84,"")</f>
        <v/>
      </c>
      <c r="H138" s="87" t="str">
        <f>IF(Model!H84&lt;&gt;"",Model!H84,"")</f>
        <v/>
      </c>
      <c r="I138" s="87" t="str">
        <f>IF(AND(J138&lt;&gt;"",H138&lt;&gt;""),J138-H138,"")</f>
        <v/>
      </c>
      <c r="J138" s="87" t="str">
        <f>IF(Model!J84&lt;&gt;"",Model!J84,"")</f>
        <v/>
      </c>
      <c r="K138" s="87" t="str">
        <f>IF(Model!K84&lt;&gt;"",Model!K84,"")</f>
        <v/>
      </c>
      <c r="L138" s="87" t="str">
        <f>IF(AND(M138&lt;&gt;"",K138&lt;&gt;""),M138-K138,"")</f>
        <v/>
      </c>
      <c r="M138" s="87" t="str">
        <f>IF(Model!M84&lt;&gt;"",Model!M84,"")</f>
        <v/>
      </c>
      <c r="N138" s="87" t="str">
        <f>IF(Model!N84&lt;&gt;"",Model!N84,"")</f>
        <v/>
      </c>
      <c r="O138" s="87" t="str">
        <f>IF(AND(P138&lt;&gt;"",N138&lt;&gt;""),P138-N138,"")</f>
        <v/>
      </c>
      <c r="P138" s="87" t="str">
        <f>IF(Model!P84&lt;&gt;"",Model!P84,"")</f>
        <v/>
      </c>
      <c r="Q138" s="87" t="str">
        <f>IF(Model!Q84&lt;&gt;"",Model!Q84,"")</f>
        <v/>
      </c>
      <c r="R138" s="87" t="str">
        <f>IF(AND(S138&lt;&gt;"",Q138&lt;&gt;""),S138-Q138,"")</f>
        <v/>
      </c>
      <c r="S138" s="87" t="str">
        <f>IF(Model!S84&lt;&gt;"",Model!S84,"")</f>
        <v/>
      </c>
      <c r="T138" s="87" t="str">
        <f>IF(Model!T84&lt;&gt;"",Model!T84,"")</f>
        <v/>
      </c>
      <c r="U138" s="87" t="str">
        <f>IF(AND(V138&lt;&gt;"",T138&lt;&gt;""),V138-T138,"")</f>
        <v/>
      </c>
      <c r="V138" s="87" t="str">
        <f>IF(Model!V84&lt;&gt;"",Model!V84,"")</f>
        <v/>
      </c>
      <c r="W138" s="87" t="str">
        <f>IF(Model!W84&lt;&gt;"",Model!W84,"")</f>
        <v/>
      </c>
      <c r="X138" s="87" t="str">
        <f>IF(AND(Y138&lt;&gt;"",W138&lt;&gt;""),Y138-W138,"")</f>
        <v/>
      </c>
      <c r="Y138" s="87" t="str">
        <f>IF(Model!Y84&lt;&gt;"",Model!Y84,"")</f>
        <v/>
      </c>
      <c r="Z138" s="87" t="str">
        <f>IF(Model!Z84&lt;&gt;"",Model!Z84,"")</f>
        <v/>
      </c>
      <c r="AA138" s="87" t="str">
        <f>IF(AND(AB138&lt;&gt;"",Z138&lt;&gt;""),AB138-Z138,"")</f>
        <v/>
      </c>
      <c r="AB138" s="87" t="str">
        <f>IF(Model!AB84&lt;&gt;"",Model!AB84,"")</f>
        <v/>
      </c>
      <c r="AC138" s="87" t="str">
        <f>IF(Model!AC84&lt;&gt;"",Model!AC84,"")</f>
        <v/>
      </c>
      <c r="AD138" s="87" t="str">
        <f>IF(AND(AE138&lt;&gt;"",AC138&lt;&gt;""),AE138-AC138,"")</f>
        <v/>
      </c>
      <c r="AE138" s="87" t="str">
        <f>IF(Model!AE84&lt;&gt;"",Model!AE84,"")</f>
        <v/>
      </c>
      <c r="AF138" s="87" t="str">
        <f>IF(Model!AF84&lt;&gt;"",Model!AF84,"")</f>
        <v/>
      </c>
      <c r="AG138" s="87" t="str">
        <f>IF(AND(AH138&lt;&gt;"",AF138&lt;&gt;""),AH138-AF138,"")</f>
        <v/>
      </c>
      <c r="AH138" s="87" t="str">
        <f>IF(Model!AH84&lt;&gt;"",Model!AH84,"")</f>
        <v/>
      </c>
      <c r="AI138" s="87" t="str">
        <f>IF(Model!AI84&lt;&gt;"",Model!AI84,"")</f>
        <v/>
      </c>
      <c r="AJ138" s="87" t="str">
        <f>IF(AND(AK138&lt;&gt;"",AI138&lt;&gt;""),AK138-AI138,"")</f>
        <v/>
      </c>
      <c r="AK138" s="87" t="str">
        <f>IF(Model!AK84&lt;&gt;"",Model!AK84,"")</f>
        <v/>
      </c>
      <c r="AL138" s="87" t="str">
        <f>IF(Model!AL84&lt;&gt;"",Model!AL84,"")</f>
        <v/>
      </c>
      <c r="AM138" s="87" t="str">
        <f>IF(AND(AN138&lt;&gt;"",AL138&lt;&gt;""),AN138-AL138,"")</f>
        <v/>
      </c>
      <c r="AN138" s="87" t="str">
        <f>IF(Model!AN84&lt;&gt;"",Model!AN84,"")</f>
        <v/>
      </c>
      <c r="AO138" s="87" t="str">
        <f>IF(Model!AO84&lt;&gt;"",Model!AO84,"")</f>
        <v/>
      </c>
      <c r="AP138" s="87" t="str">
        <f>IF(AND(AQ138&lt;&gt;"",AO138&lt;&gt;""),AQ138-AO138,"")</f>
        <v/>
      </c>
      <c r="AQ138" s="87" t="str">
        <f>IF(Model!AQ84&lt;&gt;"",Model!AQ84,"")</f>
        <v/>
      </c>
      <c r="AR138" s="87" t="str">
        <f>IF(Model!AR84&lt;&gt;"",Model!AR84,"")</f>
        <v/>
      </c>
      <c r="AS138" s="87" t="str">
        <f>IF(AND(AT138&lt;&gt;"",AR138&lt;&gt;""),AT138-AR138,"")</f>
        <v/>
      </c>
      <c r="AT138" s="87" t="str">
        <f>IF(Model!AT84&lt;&gt;"",Model!AT84,"")</f>
        <v/>
      </c>
      <c r="AU138" s="87">
        <f>IF(Model!AU84&lt;&gt;"",Model!AU84,"")</f>
        <v>0</v>
      </c>
      <c r="AV138" s="87">
        <f>IF(AND(AW138&lt;&gt;"",AU138&lt;&gt;""),AW138-AU138,"")</f>
        <v>0</v>
      </c>
      <c r="AW138" s="87">
        <f>IF(Model!AW84&lt;&gt;"",Model!AW84,"")</f>
        <v>0</v>
      </c>
      <c r="AX138" s="87">
        <f>IF(Model!AX84&lt;&gt;"",Model!AX84,"")</f>
        <v>0</v>
      </c>
      <c r="AY138" s="87">
        <f>IF(AND(AZ138&lt;&gt;"",AX138&lt;&gt;""),AZ138-AX138,"")</f>
        <v>0</v>
      </c>
      <c r="AZ138" s="87">
        <f>IF(Model!AZ84&lt;&gt;"",Model!AZ84,"")</f>
        <v>0</v>
      </c>
      <c r="BA138" s="87"/>
      <c r="BB138" s="87" t="str">
        <f>IF(AND(BC138&lt;&gt;"",BA138&lt;&gt;""),BC138-BA138,"")</f>
        <v/>
      </c>
      <c r="BC138" s="84"/>
      <c r="BD138" s="84"/>
      <c r="BE138" s="87" t="str">
        <f>IF(AND(BF138&lt;&gt;"",BD138&lt;&gt;""),BF138-BD138,"")</f>
        <v/>
      </c>
      <c r="BF138" s="84"/>
      <c r="BG138" s="84"/>
      <c r="BH138" s="87" t="str">
        <f>IF(AND(BI138&lt;&gt;"",BG138&lt;&gt;""),BI138-BG138,"")</f>
        <v/>
      </c>
      <c r="BI138" s="84"/>
      <c r="BJ138" s="84"/>
      <c r="BK138" s="87" t="str">
        <f>IF(AND(BL138&lt;&gt;"",BJ138&lt;&gt;""),BL138-BJ138,"")</f>
        <v/>
      </c>
      <c r="BL138" s="84"/>
      <c r="BM138" s="84"/>
      <c r="BN138" s="87" t="str">
        <f>IF(AND(BO138&lt;&gt;"",BM138&lt;&gt;""),BO138-BM138,"")</f>
        <v/>
      </c>
      <c r="BO138" s="84"/>
      <c r="BP138" s="84"/>
      <c r="BQ138" s="87" t="str">
        <f>IF(AND(BR138&lt;&gt;"",BP138&lt;&gt;""),BR138-BP138,"")</f>
        <v/>
      </c>
      <c r="BR138" s="84"/>
      <c r="BS138" s="84"/>
      <c r="BT138" s="87" t="str">
        <f>IF(AND(BU138&lt;&gt;"",BS138&lt;&gt;""),BU138-BS138,"")</f>
        <v/>
      </c>
      <c r="BU138" s="84"/>
      <c r="BV138" s="84"/>
      <c r="BW138" s="87" t="str">
        <f>IF(AND(BX138&lt;&gt;"",BV138&lt;&gt;""),BX138-BV138,"")</f>
        <v/>
      </c>
      <c r="BX138" s="84"/>
      <c r="BY138" s="84"/>
      <c r="BZ138" s="87" t="str">
        <f>IF(AND(CA138&lt;&gt;"",BY138&lt;&gt;""),CA138-BY138,"")</f>
        <v/>
      </c>
      <c r="CA138" s="84"/>
      <c r="CB138" s="84"/>
      <c r="CC138" s="87" t="str">
        <f>IF(AND(CD138&lt;&gt;"",CB138&lt;&gt;""),CD138-CB138,"")</f>
        <v/>
      </c>
      <c r="CD138" s="84"/>
      <c r="CE138" s="84"/>
      <c r="CF138" s="87" t="str">
        <f>IF(AND(CG138&lt;&gt;"",CE138&lt;&gt;""),CG138-CE138,"")</f>
        <v/>
      </c>
      <c r="CG138" s="84"/>
      <c r="CH138" s="84"/>
      <c r="CI138" s="87" t="str">
        <f>IF(AND(CJ138&lt;&gt;"",CH138&lt;&gt;""),CJ138-CH138,"")</f>
        <v/>
      </c>
      <c r="CJ138" s="84"/>
      <c r="CK138" s="84"/>
      <c r="CL138" s="87" t="str">
        <f>IF(AND(CM138&lt;&gt;"",CK138&lt;&gt;""),CM138-CK138,"")</f>
        <v/>
      </c>
      <c r="CM138" s="84"/>
      <c r="CN138" s="84"/>
      <c r="CO138" s="87" t="str">
        <f>IF(AND(CP138&lt;&gt;"",CN138&lt;&gt;""),CP138-CN138,"")</f>
        <v/>
      </c>
      <c r="CP138" s="84"/>
      <c r="CQ138" s="84"/>
      <c r="CR138" s="87" t="str">
        <f>IF(AND(CS138&lt;&gt;"",CQ138&lt;&gt;""),CS138-CQ138,"")</f>
        <v/>
      </c>
      <c r="CS138" s="84"/>
      <c r="CT138" s="84"/>
      <c r="CU138" s="87" t="str">
        <f>IF(AND(CV138&lt;&gt;"",CT138&lt;&gt;""),CV138-CT138,"")</f>
        <v/>
      </c>
      <c r="CV138" s="84"/>
      <c r="CW138" s="84"/>
      <c r="CX138" s="87" t="str">
        <f>IF(AND(CY138&lt;&gt;"",CW138&lt;&gt;""),CY138-CW138,"")</f>
        <v/>
      </c>
      <c r="CY138" s="84"/>
      <c r="CZ138" s="84"/>
      <c r="DA138" s="87" t="str">
        <f>IF(AND(DB138&lt;&gt;"",CZ138&lt;&gt;""),DB138-CZ138,"")</f>
        <v/>
      </c>
      <c r="DB138" s="84"/>
      <c r="DC138" s="84"/>
      <c r="DD138" s="87" t="str">
        <f>IF(AND(DE138&lt;&gt;"",DC138&lt;&gt;""),DE138-DC138,"")</f>
        <v/>
      </c>
      <c r="DE138" s="140"/>
      <c r="DF138" s="84"/>
      <c r="DG138" s="87" t="str">
        <f>IF(AND(DH138&lt;&gt;"",DF138&lt;&gt;""),DH138-DF138,"")</f>
        <v/>
      </c>
      <c r="DH138" s="140"/>
      <c r="DI138" s="84"/>
      <c r="DJ138" s="87" t="str">
        <f>IF(AND(DK138&lt;&gt;"",DI138&lt;&gt;""),DK138-DI138,"")</f>
        <v/>
      </c>
      <c r="DK138" s="140"/>
      <c r="DL138" s="84"/>
      <c r="DM138" s="87" t="str">
        <f>IF(AND(DN138&lt;&gt;"",DL138&lt;&gt;""),DN138-DL138,"")</f>
        <v/>
      </c>
      <c r="DN138" s="140"/>
      <c r="DO138" s="84"/>
      <c r="DP138" s="87" t="str">
        <f>IF(AND(DQ138&lt;&gt;"",DO138&lt;&gt;""),DQ138-DO138,"")</f>
        <v/>
      </c>
      <c r="DQ138" s="140"/>
      <c r="DR138" s="84"/>
      <c r="DS138" s="87" t="str">
        <f>IF(AND(DT138&lt;&gt;"",DR138&lt;&gt;""),DT138-DR138,"")</f>
        <v/>
      </c>
      <c r="DT138" s="140"/>
      <c r="DU138" s="84"/>
      <c r="DV138" s="87" t="str">
        <f>IF(AND(DW138&lt;&gt;"",DU138&lt;&gt;""),DW138-DU138,"")</f>
        <v/>
      </c>
      <c r="DW138" s="140"/>
      <c r="DX138" s="84"/>
      <c r="DY138" s="87" t="str">
        <f>IF(AND(DZ138&lt;&gt;"",DX138&lt;&gt;""),DZ138-DX138,"")</f>
        <v/>
      </c>
      <c r="DZ138" s="140"/>
      <c r="EA138" s="84"/>
      <c r="EB138" s="87" t="str">
        <f>IF(AND(EC138&lt;&gt;"",EA138&lt;&gt;""),EC138-EA138,"")</f>
        <v/>
      </c>
      <c r="EC138" s="140"/>
      <c r="ED138" s="84"/>
      <c r="EE138" s="87" t="str">
        <f>IF(AND(EF138&lt;&gt;"",ED138&lt;&gt;""),EF138-ED138,"")</f>
        <v/>
      </c>
      <c r="EF138" s="140"/>
      <c r="EG138" s="84"/>
      <c r="EH138" s="87" t="str">
        <f>IF(AND(EI138&lt;&gt;"",EG138&lt;&gt;""),EI138-EG138,"")</f>
        <v/>
      </c>
      <c r="EI138" s="140"/>
      <c r="EJ138" s="84"/>
      <c r="EK138" s="87" t="str">
        <f>IF(AND(EL138&lt;&gt;"",EJ138&lt;&gt;""),EL138-EJ138,"")</f>
        <v/>
      </c>
      <c r="EL138" s="140"/>
      <c r="EM138" s="84"/>
      <c r="EN138" s="87" t="str">
        <f>IF(AND(EO138&lt;&gt;"",EM138&lt;&gt;""),EO138-EM138,"")</f>
        <v/>
      </c>
      <c r="EO138" s="140"/>
      <c r="EP138" s="84"/>
      <c r="EQ138" s="87" t="str">
        <f>IF(AND(ER138&lt;&gt;"",EP138&lt;&gt;""),ER138-EP138,"")</f>
        <v/>
      </c>
      <c r="ER138" s="140"/>
      <c r="ES138" s="84"/>
      <c r="ET138" s="87" t="str">
        <f>IF(AND(EU138&lt;&gt;"",ES138&lt;&gt;""),EU138-ES138,"")</f>
        <v/>
      </c>
      <c r="EU138" s="140"/>
      <c r="EV138" s="84"/>
      <c r="EW138" s="87" t="str">
        <f>IF(AND(EX138&lt;&gt;"",EV138&lt;&gt;""),EX138-EV138,"")</f>
        <v/>
      </c>
      <c r="EX138" s="140"/>
      <c r="EY138" s="84"/>
      <c r="EZ138" s="87" t="str">
        <f>IF(AND(FA138&lt;&gt;"",EY138&lt;&gt;""),FA138-EY138,"")</f>
        <v/>
      </c>
      <c r="FA138" s="140"/>
    </row>
    <row r="139" spans="1:157" ht="13.35" customHeight="1">
      <c r="A139" s="3"/>
      <c r="B139" s="85" t="s">
        <v>538</v>
      </c>
      <c r="C139" s="85"/>
      <c r="D139" s="3"/>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c r="AF139" s="84"/>
      <c r="AG139" s="84"/>
      <c r="AH139" s="84"/>
      <c r="AI139" s="84"/>
      <c r="AJ139" s="84"/>
      <c r="AK139" s="84"/>
      <c r="AL139" s="84"/>
      <c r="AM139" s="84"/>
      <c r="AN139" s="84"/>
      <c r="AO139" s="84"/>
      <c r="AP139" s="84"/>
      <c r="AQ139" s="84"/>
      <c r="AR139" s="84"/>
      <c r="AS139" s="84"/>
      <c r="AT139" s="84"/>
      <c r="AU139" s="84"/>
      <c r="AV139" s="84"/>
      <c r="AW139" s="84"/>
      <c r="AX139" s="84"/>
      <c r="AY139" s="84"/>
      <c r="AZ139" s="84"/>
      <c r="BA139" s="84"/>
      <c r="BB139" s="84"/>
      <c r="BC139" s="84"/>
      <c r="BD139" s="84"/>
      <c r="BE139" s="84"/>
      <c r="BF139" s="84"/>
      <c r="BG139" s="84"/>
      <c r="BH139" s="84"/>
      <c r="BI139" s="84"/>
      <c r="BJ139" s="84"/>
      <c r="BK139" s="84"/>
      <c r="BL139" s="84"/>
      <c r="BM139" s="84"/>
      <c r="BN139" s="84"/>
      <c r="BO139" s="84"/>
      <c r="BP139" s="84"/>
      <c r="BQ139" s="84"/>
      <c r="BR139" s="84"/>
      <c r="BS139" s="84"/>
      <c r="BT139" s="84"/>
      <c r="BU139" s="84"/>
      <c r="BV139" s="84"/>
      <c r="BW139" s="84"/>
      <c r="BX139" s="84"/>
      <c r="BY139" s="84"/>
      <c r="BZ139" s="84"/>
      <c r="CA139" s="84"/>
      <c r="CB139" s="84"/>
      <c r="CC139" s="84"/>
      <c r="CD139" s="84"/>
      <c r="CE139" s="84"/>
      <c r="CF139" s="84"/>
      <c r="CG139" s="84"/>
      <c r="CH139" s="84"/>
      <c r="CI139" s="84"/>
      <c r="CJ139" s="84"/>
      <c r="CK139" s="84"/>
      <c r="CL139" s="84"/>
      <c r="CM139" s="84"/>
      <c r="CN139" s="84"/>
      <c r="CO139" s="84"/>
      <c r="CP139" s="84"/>
      <c r="CQ139" s="84"/>
      <c r="CR139" s="84"/>
      <c r="CS139" s="84"/>
      <c r="CT139" s="84"/>
      <c r="CU139" s="84"/>
      <c r="CV139" s="84"/>
      <c r="CW139" s="84"/>
      <c r="CX139" s="84"/>
      <c r="CY139" s="84"/>
      <c r="CZ139" s="84"/>
      <c r="DA139" s="84"/>
      <c r="DB139" s="84"/>
      <c r="DC139" s="84"/>
      <c r="DD139" s="84"/>
      <c r="DE139" s="140"/>
      <c r="DF139" s="84"/>
      <c r="DG139" s="84"/>
      <c r="DH139" s="140"/>
      <c r="DI139" s="84"/>
      <c r="DJ139" s="84"/>
      <c r="DK139" s="140"/>
      <c r="DL139" s="84"/>
      <c r="DM139" s="84"/>
      <c r="DN139" s="140"/>
      <c r="DO139" s="84"/>
      <c r="DP139" s="84"/>
      <c r="DQ139" s="140"/>
      <c r="DR139" s="84"/>
      <c r="DS139" s="84"/>
      <c r="DT139" s="140"/>
      <c r="DU139" s="84"/>
      <c r="DV139" s="84"/>
      <c r="DW139" s="140"/>
      <c r="DX139" s="84"/>
      <c r="DY139" s="84"/>
      <c r="DZ139" s="140"/>
      <c r="EA139" s="84"/>
      <c r="EB139" s="84"/>
      <c r="EC139" s="140"/>
      <c r="ED139" s="84"/>
      <c r="EE139" s="84"/>
      <c r="EF139" s="140"/>
      <c r="EG139" s="84"/>
      <c r="EH139" s="84"/>
      <c r="EI139" s="140"/>
      <c r="EJ139" s="84"/>
      <c r="EK139" s="84"/>
      <c r="EL139" s="140"/>
      <c r="EM139" s="84"/>
      <c r="EN139" s="84"/>
      <c r="EO139" s="140"/>
      <c r="EP139" s="84"/>
      <c r="EQ139" s="84"/>
      <c r="ER139" s="140"/>
      <c r="ES139" s="84"/>
      <c r="ET139" s="84"/>
      <c r="EU139" s="140"/>
      <c r="EV139" s="84"/>
      <c r="EW139" s="84"/>
      <c r="EX139" s="140"/>
      <c r="EY139" s="84"/>
      <c r="EZ139" s="84"/>
      <c r="FA139" s="140"/>
    </row>
    <row r="140" spans="1:157" ht="13.35" customHeight="1">
      <c r="A140" s="3"/>
      <c r="B140" s="5" t="s">
        <v>646</v>
      </c>
      <c r="C140" s="5"/>
      <c r="D140" s="5"/>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c r="AF140" s="84"/>
      <c r="AG140" s="84"/>
      <c r="AH140" s="84"/>
      <c r="AI140" s="84"/>
      <c r="AJ140" s="84"/>
      <c r="AK140" s="84"/>
      <c r="AL140" s="84"/>
      <c r="AM140" s="84"/>
      <c r="AN140" s="84"/>
      <c r="AO140" s="84"/>
      <c r="AP140" s="84"/>
      <c r="AQ140" s="84"/>
      <c r="AR140" s="84"/>
      <c r="AS140" s="84"/>
      <c r="AT140" s="84"/>
      <c r="AU140" s="84"/>
      <c r="AV140" s="84"/>
      <c r="AW140" s="84"/>
      <c r="AX140" s="84"/>
      <c r="AY140" s="84"/>
      <c r="AZ140" s="84"/>
      <c r="BA140" s="84"/>
      <c r="BB140" s="84"/>
      <c r="BC140" s="84"/>
      <c r="BD140" s="84"/>
      <c r="BE140" s="84"/>
      <c r="BF140" s="84"/>
      <c r="BG140" s="84"/>
      <c r="BH140" s="84"/>
      <c r="BI140" s="84"/>
      <c r="BJ140" s="84"/>
      <c r="BK140" s="84"/>
      <c r="BL140" s="84"/>
      <c r="BM140" s="84"/>
      <c r="BN140" s="84"/>
      <c r="BO140" s="84"/>
      <c r="BP140" s="84"/>
      <c r="BQ140" s="84"/>
      <c r="BR140" s="84"/>
      <c r="BS140" s="84"/>
      <c r="BT140" s="84"/>
      <c r="BU140" s="84"/>
      <c r="BV140" s="84"/>
      <c r="BW140" s="84"/>
      <c r="BX140" s="84"/>
      <c r="BY140" s="84"/>
      <c r="BZ140" s="84"/>
      <c r="CA140" s="84"/>
      <c r="CB140" s="84"/>
      <c r="CC140" s="84"/>
      <c r="CD140" s="84"/>
      <c r="CE140" s="84"/>
      <c r="CF140" s="84"/>
      <c r="CG140" s="84"/>
      <c r="CH140" s="84"/>
      <c r="CI140" s="84"/>
      <c r="CJ140" s="84"/>
      <c r="CK140" s="84"/>
      <c r="CL140" s="84"/>
      <c r="CM140" s="84"/>
      <c r="CN140" s="84"/>
      <c r="CO140" s="84"/>
      <c r="CP140" s="84"/>
      <c r="CQ140" s="84"/>
      <c r="CR140" s="84"/>
      <c r="CS140" s="84"/>
      <c r="CT140" s="84"/>
      <c r="CU140" s="84"/>
      <c r="CV140" s="84"/>
      <c r="CW140" s="84"/>
      <c r="CX140" s="84"/>
      <c r="CY140" s="84"/>
      <c r="CZ140" s="84"/>
      <c r="DA140" s="84"/>
      <c r="DB140" s="84"/>
      <c r="DC140" s="84"/>
      <c r="DD140" s="84"/>
      <c r="DE140" s="140"/>
      <c r="DF140" s="84"/>
      <c r="DG140" s="84"/>
      <c r="DH140" s="140"/>
      <c r="DI140" s="84"/>
      <c r="DJ140" s="84"/>
      <c r="DK140" s="140"/>
      <c r="DL140" s="84"/>
      <c r="DM140" s="84"/>
      <c r="DN140" s="140"/>
      <c r="DO140" s="84"/>
      <c r="DP140" s="84"/>
      <c r="DQ140" s="140"/>
      <c r="DR140" s="84"/>
      <c r="DS140" s="84"/>
      <c r="DT140" s="140"/>
      <c r="DU140" s="84"/>
      <c r="DV140" s="84"/>
      <c r="DW140" s="140"/>
      <c r="DX140" s="84"/>
      <c r="DY140" s="84"/>
      <c r="DZ140" s="140"/>
      <c r="EA140" s="84"/>
      <c r="EB140" s="84"/>
      <c r="EC140" s="140"/>
      <c r="ED140" s="84"/>
      <c r="EE140" s="84"/>
      <c r="EF140" s="140"/>
      <c r="EG140" s="84"/>
      <c r="EH140" s="84"/>
      <c r="EI140" s="140"/>
      <c r="EJ140" s="84"/>
      <c r="EK140" s="84"/>
      <c r="EL140" s="140"/>
      <c r="EM140" s="84"/>
      <c r="EN140" s="84"/>
      <c r="EO140" s="140"/>
      <c r="EP140" s="84"/>
      <c r="EQ140" s="84"/>
      <c r="ER140" s="140"/>
      <c r="ES140" s="84"/>
      <c r="ET140" s="84"/>
      <c r="EU140" s="140"/>
      <c r="EV140" s="84"/>
      <c r="EW140" s="84"/>
      <c r="EX140" s="140"/>
      <c r="EY140" s="84"/>
      <c r="EZ140" s="84"/>
      <c r="FA140" s="140"/>
    </row>
    <row r="141" spans="1:157" ht="13.35" customHeight="1">
      <c r="A141" s="3"/>
      <c r="B141" s="4" t="s">
        <v>647</v>
      </c>
      <c r="C141" s="4"/>
      <c r="D141" s="4"/>
      <c r="E141" s="93"/>
      <c r="F141" s="93"/>
      <c r="G141" s="93"/>
      <c r="H141" s="92">
        <f>IF(OR(ISERROR(Model!G229),ISERROR(Model!H229),Model!G229="",Model!H229=""),"",IF(H145&lt;&gt;"",-(Model!H229-Model!G229),""))</f>
        <v>0</v>
      </c>
      <c r="I141" s="92">
        <f>IF(OR(ISERROR(Model!H229),ISERROR(Model!I229),Model!H229="",Model!I229=""),"",IF(I145&lt;&gt;"",-(Model!I229-Model!H229),""))</f>
        <v>0</v>
      </c>
      <c r="J141" s="92">
        <f>IF(OR(ISERROR(Model!G229),ISERROR(Model!J229),Model!G229="",Model!J229=""),"",IF(J145&lt;&gt;"",-(Model!J229-Model!G229),""))</f>
        <v>0</v>
      </c>
      <c r="K141" s="92">
        <f>IF(OR(ISERROR(Model!J229),ISERROR(Model!K229),Model!J229="",Model!K229=""),"",IF(K145&lt;&gt;"",-(Model!K229-Model!J229),""))</f>
        <v>0</v>
      </c>
      <c r="L141" s="92">
        <f>IF(OR(ISERROR(Model!K229),ISERROR(Model!L229),Model!K229="",Model!L229=""),"",IF(L145&lt;&gt;"",-(Model!L229-Model!K229),""))</f>
        <v>0</v>
      </c>
      <c r="M141" s="92">
        <f>IF(OR(ISERROR(Model!J229),ISERROR(Model!M229),Model!J229="",Model!M229=""),"",IF(M145&lt;&gt;"",-(Model!M229-Model!J229),""))</f>
        <v>0</v>
      </c>
      <c r="N141" s="92">
        <f>IF(OR(ISERROR(Model!M229),ISERROR(Model!N229),Model!M229="",Model!N229=""),"",IF(N145&lt;&gt;"",-(Model!N229-Model!M229),""))</f>
        <v>0</v>
      </c>
      <c r="O141" s="92">
        <f>IF(OR(ISERROR(Model!N229),ISERROR(Model!O229),Model!N229="",Model!O229=""),"",IF(O145&lt;&gt;"",-(Model!O229-Model!N229),""))</f>
        <v>0</v>
      </c>
      <c r="P141" s="92">
        <f>IF(OR(ISERROR(Model!M229),ISERROR(Model!P229),Model!M229="",Model!P229=""),"",IF(P145&lt;&gt;"",-(Model!P229-Model!M229),""))</f>
        <v>0</v>
      </c>
      <c r="Q141" s="92">
        <f>IF(OR(ISERROR(Model!P229),ISERROR(Model!Q229),Model!P229="",Model!Q229=""),"",IF(Q145&lt;&gt;"",-(Model!Q229-Model!P229),""))</f>
        <v>0</v>
      </c>
      <c r="R141" s="92">
        <f>IF(OR(ISERROR(Model!Q229),ISERROR(Model!R229),Model!Q229="",Model!R229=""),"",IF(R145&lt;&gt;"",-(Model!R229-Model!Q229),""))</f>
        <v>0</v>
      </c>
      <c r="S141" s="92">
        <f>IF(OR(ISERROR(Model!P229),ISERROR(Model!S229),Model!P229="",Model!S229=""),"",IF(S145&lt;&gt;"",-(Model!S229-Model!P229),""))</f>
        <v>0</v>
      </c>
      <c r="T141" s="92">
        <f>IF(OR(ISERROR(Model!S229),ISERROR(Model!T229),Model!S229="",Model!T229=""),"",IF(T145&lt;&gt;"",-(Model!T229-Model!S229),""))</f>
        <v>0</v>
      </c>
      <c r="U141" s="92">
        <f>IF(OR(ISERROR(Model!T229),ISERROR(Model!U229),Model!T229="",Model!U229=""),"",IF(U145&lt;&gt;"",-(Model!U229-Model!T229),""))</f>
        <v>0</v>
      </c>
      <c r="V141" s="92">
        <f>IF(OR(ISERROR(Model!S229),ISERROR(Model!V229),Model!S229="",Model!V229=""),"",IF(V145&lt;&gt;"",-(Model!V229-Model!S229),""))</f>
        <v>0</v>
      </c>
      <c r="W141" s="92">
        <f>IF(OR(ISERROR(Model!V229),ISERROR(Model!W229),Model!V229="",Model!W229=""),"",IF(W145&lt;&gt;"",-(Model!W229-Model!V229),""))</f>
        <v>0</v>
      </c>
      <c r="X141" s="92">
        <f>IF(OR(ISERROR(Model!W229),ISERROR(Model!X229),Model!W229="",Model!X229=""),"",IF(X145&lt;&gt;"",-(Model!X229-Model!W229),""))</f>
        <v>0</v>
      </c>
      <c r="Y141" s="92">
        <f>IF(OR(ISERROR(Model!V229),ISERROR(Model!Y229),Model!V229="",Model!Y229=""),"",IF(Y145&lt;&gt;"",-(Model!Y229-Model!V229),""))</f>
        <v>0</v>
      </c>
      <c r="Z141" s="92">
        <f>IF(OR(ISERROR(Model!Y229),ISERROR(Model!Z229),Model!Y229="",Model!Z229=""),"",IF(Z145&lt;&gt;"",-(Model!Z229-Model!Y229),""))</f>
        <v>0</v>
      </c>
      <c r="AA141" s="92">
        <f>IF(OR(ISERROR(Model!Z229),ISERROR(Model!AA229),Model!Z229="",Model!AA229=""),"",IF(AA145&lt;&gt;"",-(Model!AA229-Model!Z229),""))</f>
        <v>0</v>
      </c>
      <c r="AB141" s="92">
        <f>IF(OR(ISERROR(Model!Y229),ISERROR(Model!AB229),Model!Y229="",Model!AB229=""),"",IF(AB145&lt;&gt;"",-(Model!AB229-Model!Y229),""))</f>
        <v>0</v>
      </c>
      <c r="AC141" s="92">
        <f>IF(OR(ISERROR(Model!AB229),ISERROR(Model!AC229),Model!AB229="",Model!AC229=""),"",IF(AC145&lt;&gt;"",-(Model!AC229-Model!AB229),""))</f>
        <v>0</v>
      </c>
      <c r="AD141" s="92">
        <f>IF(OR(ISERROR(Model!AC229),ISERROR(Model!AD229),Model!AC229="",Model!AD229=""),"",IF(AD145&lt;&gt;"",-(Model!AD229-Model!AC229),""))</f>
        <v>0</v>
      </c>
      <c r="AE141" s="92">
        <f>IF(OR(ISERROR(Model!AB229),ISERROR(Model!AE229),Model!AB229="",Model!AE229=""),"",IF(AE145&lt;&gt;"",-(Model!AE229-Model!AB229),""))</f>
        <v>0</v>
      </c>
      <c r="AF141" s="92">
        <f>IF(OR(ISERROR(Model!AE229),ISERROR(Model!AF229),Model!AE229="",Model!AF229=""),"",IF(AF145&lt;&gt;"",-(Model!AF229-Model!AE229),""))</f>
        <v>0</v>
      </c>
      <c r="AG141" s="92">
        <f>IF(OR(ISERROR(Model!AF229),ISERROR(Model!AG229),Model!AF229="",Model!AG229=""),"",IF(AG145&lt;&gt;"",-(Model!AG229-Model!AF229),""))</f>
        <v>0</v>
      </c>
      <c r="AH141" s="92">
        <f>IF(OR(ISERROR(Model!AE229),ISERROR(Model!AH229),Model!AE229="",Model!AH229=""),"",IF(AH145&lt;&gt;"",-(Model!AH229-Model!AE229),""))</f>
        <v>0</v>
      </c>
      <c r="AI141" s="92">
        <f>IF(OR(ISERROR(Model!AH229),ISERROR(Model!AI229),Model!AH229="",Model!AI229=""),"",IF(AI145&lt;&gt;"",-(Model!AI229-Model!AH229),""))</f>
        <v>0</v>
      </c>
      <c r="AJ141" s="92">
        <f>IF(OR(ISERROR(Model!AI229),ISERROR(Model!AJ229),Model!AI229="",Model!AJ229=""),"",IF(AJ145&lt;&gt;"",-(Model!AJ229-Model!AI229),""))</f>
        <v>0</v>
      </c>
      <c r="AK141" s="92">
        <f>IF(OR(ISERROR(Model!AH229),ISERROR(Model!AK229),Model!AH229="",Model!AK229=""),"",IF(AK145&lt;&gt;"",-(Model!AK229-Model!AH229),""))</f>
        <v>0</v>
      </c>
      <c r="AL141" s="92">
        <f>IF(OR(ISERROR(Model!AK229),ISERROR(Model!AL229),Model!AK229="",Model!AL229=""),"",IF(AL145&lt;&gt;"",-(Model!AL229-Model!AK229),""))</f>
        <v>0</v>
      </c>
      <c r="AM141" s="92">
        <f>IF(OR(ISERROR(Model!AL229),ISERROR(Model!AM229),Model!AL229="",Model!AM229=""),"",IF(AM145&lt;&gt;"",-(Model!AM229-Model!AL229),""))</f>
        <v>0</v>
      </c>
      <c r="AN141" s="92">
        <f>IF(OR(ISERROR(Model!AK229),ISERROR(Model!AN229),Model!AK229="",Model!AN229=""),"",IF(AN145&lt;&gt;"",-(Model!AN229-Model!AK229),""))</f>
        <v>0</v>
      </c>
      <c r="AO141" s="92">
        <f>IF(OR(ISERROR(Model!AN229),ISERROR(Model!AO229),Model!AN229="",Model!AO229=""),"",IF(AO145&lt;&gt;"",-(Model!AO229-Model!AN229),""))</f>
        <v>0</v>
      </c>
      <c r="AP141" s="92">
        <f>IF(OR(ISERROR(Model!AO229),ISERROR(Model!AP229),Model!AO229="",Model!AP229=""),"",IF(AP145&lt;&gt;"",-(Model!AP229-Model!AO229),""))</f>
        <v>0</v>
      </c>
      <c r="AQ141" s="92">
        <f>IF(OR(ISERROR(Model!AN229),ISERROR(Model!AQ229),Model!AN229="",Model!AQ229=""),"",IF(AQ145&lt;&gt;"",-(Model!AQ229-Model!AN229),""))</f>
        <v>0</v>
      </c>
      <c r="AR141" s="92">
        <f>IF(OR(ISERROR(Model!AQ229),ISERROR(Model!AR229),Model!AQ229="",Model!AR229=""),"",IF(AR145&lt;&gt;"",-(Model!AR229-Model!AQ229),""))</f>
        <v>0</v>
      </c>
      <c r="AS141" s="92">
        <f>IF(OR(ISERROR(Model!AR229),ISERROR(Model!AS229),Model!AR229="",Model!AS229=""),"",IF(AS145&lt;&gt;"",-(Model!AS229-Model!AR229),""))</f>
        <v>0</v>
      </c>
      <c r="AT141" s="92">
        <f>IF(OR(ISERROR(Model!AQ229),ISERROR(Model!AT229),Model!AQ229="",Model!AT229=""),"",IF(AT145&lt;&gt;"",-(Model!AT229-Model!AQ229),""))</f>
        <v>0</v>
      </c>
      <c r="AU141" s="92">
        <f>IF(OR(ISERROR(Model!AT229),ISERROR(Model!AU229),Model!AT229="",Model!AU229=""),"",IF(AU145&lt;&gt;"",-(Model!AU229-Model!AT229),""))</f>
        <v>0</v>
      </c>
      <c r="AV141" s="92">
        <f>IF(OR(ISERROR(Model!AU229),ISERROR(Model!AV229),Model!AU229="",Model!AV229=""),"",IF(AV145&lt;&gt;"",-(Model!AV229-Model!AU229),""))</f>
        <v>0</v>
      </c>
      <c r="AW141" s="92">
        <f>IF(OR(ISERROR(Model!AT229),ISERROR(Model!AW229),Model!AT229="",Model!AW229=""),"",IF(AW145&lt;&gt;"",-(Model!AW229-Model!AT229),""))</f>
        <v>0</v>
      </c>
      <c r="AX141" s="92">
        <f>IF(OR(ISERROR(Model!AW229),ISERROR(Model!AX229),Model!AW229="",Model!AX229=""),"",IF(AX145&lt;&gt;"",-(Model!AX229-Model!AW229),""))</f>
        <v>0</v>
      </c>
      <c r="AY141" s="92">
        <f>IF(OR(ISERROR(Model!AX229),ISERROR(Model!AY229),Model!AX229="",Model!AY229=""),"",IF(AY145&lt;&gt;"",-(Model!AY229-Model!AX229),""))</f>
        <v>0</v>
      </c>
      <c r="AZ141" s="92">
        <f>IF(OR(ISERROR(Model!AW229),ISERROR(Model!AZ229),Model!AW229="",Model!AZ229=""),"",IF(AZ145&lt;&gt;"",-(Model!AZ229-Model!AW229),""))</f>
        <v>0</v>
      </c>
      <c r="BA141" s="92"/>
      <c r="BB141" s="92"/>
      <c r="BC141" s="92">
        <f>IF(OR(ISERROR(Model!AZ229),ISERROR(Model!BC229),Model!AZ229="",Model!BC229=""),"",IF(BC145&lt;&gt;"",-(Model!BC229-Model!AZ229),""))</f>
        <v>0</v>
      </c>
      <c r="BD141" s="92">
        <f>IF(OR(ISERROR(Model!BC229),ISERROR(Model!BD229),Model!BC229="",Model!BD229=""),"",IF(BD145&lt;&gt;"",-(Model!BD229-Model!BC229),""))</f>
        <v>0</v>
      </c>
      <c r="BE141" s="92">
        <f>IF(OR(ISERROR(Model!BD229),ISERROR(Model!BE229),Model!BD229="",Model!BE229=""),"",IF(BE145&lt;&gt;"",-(Model!BE229-Model!BD229),""))</f>
        <v>0</v>
      </c>
      <c r="BF141" s="92">
        <f>IF(OR(ISERROR(Model!BC229),ISERROR(Model!BF229),Model!BC229="",Model!BF229=""),"",IF(BF145&lt;&gt;"",-(Model!BF229-Model!BC229),""))</f>
        <v>0</v>
      </c>
      <c r="BG141" s="92">
        <f>IF(OR(ISERROR(Model!BF229),ISERROR(Model!BG229),Model!BF229="",Model!BG229=""),"",IF(BG145&lt;&gt;"",-(Model!BG229-Model!BF229),""))</f>
        <v>0</v>
      </c>
      <c r="BH141" s="92">
        <f>IF(OR(ISERROR(Model!BG229),ISERROR(Model!BH229),Model!BG229="",Model!BH229=""),"",IF(BH145&lt;&gt;"",-(Model!BH229-Model!BG229),""))</f>
        <v>0</v>
      </c>
      <c r="BI141" s="92">
        <f>IF(OR(ISERROR(Model!BF229),ISERROR(Model!BI229),Model!BF229="",Model!BI229=""),"",IF(BI145&lt;&gt;"",-(Model!BI229-Model!BF229),""))</f>
        <v>0</v>
      </c>
      <c r="BJ141" s="92">
        <f>IF(OR(ISERROR(Model!BI229),ISERROR(Model!BJ229),Model!BI229="",Model!BJ229=""),"",IF(BJ145&lt;&gt;"",-(Model!BJ229-Model!BI229),""))</f>
        <v>0</v>
      </c>
      <c r="BK141" s="92">
        <f>IF(OR(ISERROR(Model!BJ229),ISERROR(Model!BK229),Model!BJ229="",Model!BK229=""),"",IF(BK145&lt;&gt;"",-(Model!BK229-Model!BJ229),""))</f>
        <v>0</v>
      </c>
      <c r="BL141" s="92">
        <f>IF(OR(ISERROR(Model!BI229),ISERROR(Model!BL229),Model!BI229="",Model!BL229=""),"",IF(BL145&lt;&gt;"",-(Model!BL229-Model!BI229),""))</f>
        <v>0</v>
      </c>
      <c r="BM141" s="158">
        <f>IF(OR(ISERROR(Model!BL229),ISERROR(Model!BM229),Model!BL229="",Model!BM229=""),"",IF(BM145&lt;&gt;"",-(Model!BM229-Model!BL229),""))</f>
        <v>0</v>
      </c>
      <c r="BN141" s="158">
        <f>IF(OR(ISERROR(Model!BM229),ISERROR(Model!BN229),Model!BM229="",Model!BN229=""),"",IF(BN145&lt;&gt;"",-(Model!BN229-Model!BM229),""))</f>
        <v>0</v>
      </c>
      <c r="BO141" s="158">
        <f>IF(OR(ISERROR(Model!BL229),ISERROR(Model!BO229),Model!BL229="",Model!BO229=""),"",IF(BO145&lt;&gt;"",-(Model!BO229-Model!BL229),""))</f>
        <v>0</v>
      </c>
      <c r="BP141" s="158"/>
      <c r="BQ141" s="158"/>
      <c r="BR141" s="158"/>
      <c r="BS141" s="158"/>
      <c r="BT141" s="158"/>
      <c r="BU141" s="158"/>
      <c r="BV141" s="158">
        <f>IF(OR(ISERROR(Model!BU229),ISERROR(Model!BV229),Model!BU229="",Model!BV229=""),"",IF(BV145&lt;&gt;"",-(Model!BV229-Model!BU229),""))</f>
        <v>0</v>
      </c>
      <c r="BW141" s="158">
        <f>IF(OR(ISERROR(Model!BV229),ISERROR(Model!BW229),Model!BV229="",Model!BW229=""),"",IF(BW145&lt;&gt;"",-(Model!BW229-Model!BV229),""))</f>
        <v>-682</v>
      </c>
      <c r="BX141" s="158">
        <f>IF(OR(ISERROR(Model!BU229),ISERROR(Model!BX229),Model!BU229="",Model!BX229=""),"",IF(BX145&lt;&gt;"",-(Model!BX229-Model!BU229),""))</f>
        <v>-682</v>
      </c>
      <c r="BY141" s="158">
        <f>IF(OR(ISERROR(Model!BX229),ISERROR(Model!BY229),Model!BX229="",Model!BY229=""),"",IF(BY145&lt;&gt;"",-(Model!BY229-Model!BX229),""))</f>
        <v>682</v>
      </c>
      <c r="BZ141" s="158">
        <f>IF(OR(ISERROR(Model!BY229),ISERROR(Model!BZ229),Model!BY229="",Model!BZ229=""),"",IF(BZ145&lt;&gt;"",-(Model!BZ229-Model!BY229),""))</f>
        <v>-719</v>
      </c>
      <c r="CA141" s="158">
        <f>IF(OR(ISERROR(Model!BX229),ISERROR(Model!CA229),Model!BX229="",Model!CA229=""),"",IF(CA145&lt;&gt;"",-(Model!CA229-Model!BX229),""))</f>
        <v>-37</v>
      </c>
      <c r="CB141" s="158">
        <f>IF(OR(ISERROR(Model!CA229),ISERROR(Model!CB229),Model!CA229="",Model!CB229=""),"",IF(CB145&lt;&gt;"",-(Model!CB229-Model!CA229),""))</f>
        <v>719</v>
      </c>
      <c r="CC141" s="158">
        <f>IF(OR(ISERROR(Model!CB229),ISERROR(Model!CC229),Model!CB229="",Model!CC229=""),"",IF(CC145&lt;&gt;"",-(Model!CC229-Model!CB229),""))</f>
        <v>-752</v>
      </c>
      <c r="CD141" s="158">
        <f>IF(OR(ISERROR(Model!CA229),ISERROR(Model!CD229),Model!CA229="",Model!CD229=""),"",IF(CD145&lt;&gt;"",-(Model!CD229-Model!CA229),""))</f>
        <v>-33</v>
      </c>
      <c r="CE141" s="158">
        <f>IF(OR(ISERROR(Model!CD229),ISERROR(Model!CE229),Model!CD229="",Model!CE229=""),"",IF(CE145&lt;&gt;"",-(Model!CE229-Model!CD229),""))</f>
        <v>752</v>
      </c>
      <c r="CF141" s="158">
        <f>IF(OR(ISERROR(Model!CE229),ISERROR(Model!CF229),Model!CE229="",Model!CF229=""),"",IF(CF145&lt;&gt;"",-(Model!CF229-Model!CE229),""))</f>
        <v>-869</v>
      </c>
      <c r="CG141" s="158">
        <f>IF(OR(ISERROR(Model!CD229),ISERROR(Model!CG229),Model!CD229="",Model!CG229=""),"",IF(CG145&lt;&gt;"",-(Model!CG229-Model!CD229),""))</f>
        <v>-117</v>
      </c>
      <c r="CH141" s="158">
        <f>IF(OR(ISERROR(Model!CG229),ISERROR(Model!CH229),Model!CG229="",Model!CH229=""),"",IF(CH145&lt;&gt;"",-(Model!CH229-Model!CG229),""))</f>
        <v>37.864000000000033</v>
      </c>
      <c r="CI141" s="158">
        <f>IF(OR(ISERROR(Model!CH229),ISERROR(Model!CI229),Model!CH229="",Model!CI229=""),"",IF(CI145&lt;&gt;"",-(Model!CI229-Model!CH229),""))</f>
        <v>58.23599999999999</v>
      </c>
      <c r="CJ141" s="158">
        <f>IF(OR(ISERROR(Model!CG229),ISERROR(Model!CJ229),Model!CG229="",Model!CJ229=""),"",IF(CJ145&lt;&gt;"",-(Model!CJ229-Model!CG229),""))</f>
        <v>96.100000000000023</v>
      </c>
      <c r="CK141" s="158">
        <f>IF(OR(ISERROR(Model!CJ229),ISERROR(Model!CK229),Model!CJ229="",Model!CK229=""),"",IF(CK145&lt;&gt;"",-(Model!CK229-Model!CJ229),""))</f>
        <v>-77.600000000000023</v>
      </c>
      <c r="CL141" s="158">
        <f>IF(OR(ISERROR(Model!CK229),ISERROR(Model!CL229),Model!CK229="",Model!CL229=""),"",IF(CL145&lt;&gt;"",-(Model!CL229-Model!CK229),""))</f>
        <v>0</v>
      </c>
      <c r="CM141" s="158">
        <f>IF(OR(ISERROR(Model!CJ229),ISERROR(Model!CM229),Model!CJ229="",Model!CM229=""),"",IF(CM145&lt;&gt;"",-(Model!CM229-Model!CJ229),""))</f>
        <v>-77.600000000000023</v>
      </c>
      <c r="CN141" s="158">
        <f>IF(OR(ISERROR(Model!CM229),ISERROR(Model!CN229),Model!CM229="",Model!CN229=""),"",IF(CN145&lt;&gt;"",-(Model!CN229-Model!CM229),""))</f>
        <v>-70.299999999999955</v>
      </c>
      <c r="CO141" s="158">
        <f>IF(OR(ISERROR(Model!CN229),ISERROR(Model!CO229),Model!CN229="",Model!CO229=""),"",IF(CO145&lt;&gt;"",-(Model!CO229-Model!CN229),""))</f>
        <v>-32.600000000000023</v>
      </c>
      <c r="CP141" s="158">
        <f>IF(OR(ISERROR(Model!CM229),ISERROR(Model!CP229),Model!CM229="",Model!CP229=""),"",IF(CP145&lt;&gt;"",-(Model!CP229-Model!CM229),""))</f>
        <v>-102.89999999999998</v>
      </c>
      <c r="CQ141" s="158">
        <f>IF(OR(ISERROR(Model!CP229),ISERROR(Model!CQ229),Model!CP229="",Model!CQ229=""),"",IF(CQ145&lt;&gt;"",-(Model!CQ229-Model!CP229),""))</f>
        <v>36.399999999999977</v>
      </c>
      <c r="CR141" s="158">
        <f>IF(OR(ISERROR(Model!CQ229),ISERROR(Model!CR229),Model!CQ229="",Model!CR229=""),"",IF(CR145&lt;&gt;"",-(Model!CR229-Model!CQ229),""))</f>
        <v>-86.700000000000045</v>
      </c>
      <c r="CS141" s="158">
        <f>IF(OR(ISERROR(Model!CP229),ISERROR(Model!CS229),Model!CP229="",Model!CS229=""),"",IF(CS145&lt;&gt;"",-(Model!CS229-Model!CP229),""))</f>
        <v>-50.300000000000068</v>
      </c>
      <c r="CT141" s="158">
        <f>IF(OR(ISERROR(Model!CS229),ISERROR(Model!CT229),Model!CS229="",Model!CT229=""),"",IF(CT145&lt;&gt;"",-(Model!CT229-Model!CS229),""))</f>
        <v>-53.599999999999909</v>
      </c>
      <c r="CU141" s="158">
        <f>IF(OR(ISERROR(Model!CT229),ISERROR(Model!CU229),Model!CT229="",Model!CU229=""),"",IF(CU145&lt;&gt;"",-(Model!CU229-Model!CT229),""))</f>
        <v>-49.900000000000091</v>
      </c>
      <c r="CV141" s="158">
        <f>IF(OR(ISERROR(Model!CS229),ISERROR(Model!CV229),Model!CS229="",Model!CV229=""),"",IF(CV145&lt;&gt;"",-(Model!CV229-Model!CS229),""))</f>
        <v>-103.5</v>
      </c>
      <c r="CW141" s="158">
        <f>IF(OR(ISERROR(Model!CV229),ISERROR(Model!CW229),Model!CV229="",Model!CW229=""),"",IF(CW145&lt;&gt;"",-(Model!CW229-Model!CV229),""))</f>
        <v>-97.5</v>
      </c>
      <c r="CX141" s="158">
        <f>IF(OR(ISERROR(Model!CW229),ISERROR(Model!CX229),Model!CW229="",Model!CX229=""),"",IF(CX145&lt;&gt;"",-(Model!CX229-Model!CW229),""))</f>
        <v>34.299999999999955</v>
      </c>
      <c r="CY141" s="158">
        <f>IF(OR(ISERROR(Model!CV229),ISERROR(Model!CY229),Model!CV229="",Model!CY229=""),"",IF(CY145&lt;&gt;"",-(Model!CY229-Model!CV229),""))</f>
        <v>-63.200000000000045</v>
      </c>
      <c r="CZ141" s="158">
        <f>IF(OR(ISERROR(Model!CY229),ISERROR(Model!CZ229),Model!CY229="",Model!CZ229=""),"",IF(CZ145&lt;&gt;"",-(Model!CZ229-Model!CY229),""))</f>
        <v>-465.69999999999982</v>
      </c>
      <c r="DA141" s="158">
        <f>IF(OR(ISERROR(Model!CZ229),ISERROR(Model!DA229),Model!CZ229="",Model!DA229=""),"",IF(DA145&lt;&gt;"",-(Model!DA229-Model!CZ229),""))</f>
        <v>158.09999999999991</v>
      </c>
      <c r="DB141" s="158">
        <f>IF(OR(ISERROR(Model!CY229),ISERROR(Model!DB229),Model!CY229="",Model!DB229=""),"",IF(DB145&lt;&gt;"",-(Model!DB229-Model!CY229),""))</f>
        <v>-307.59999999999991</v>
      </c>
      <c r="DC141" s="158">
        <f>IF(OR(ISERROR(Model!DB229),ISERROR(Model!DC229),Model!DB229="",Model!DC229=""),"",IF(DC145&lt;&gt;"",-(Model!DC229-Model!DB229),""))</f>
        <v>-598</v>
      </c>
      <c r="DD141" s="158">
        <f>IF(OR(ISERROR(Model!DC229),ISERROR(Model!DD229),Model!DC229="",Model!DD229=""),"",IF(DD145&lt;&gt;"",-(Model!DD229-Model!DC229),""))</f>
        <v>254.29999999999995</v>
      </c>
      <c r="DE141" s="152">
        <f>IF(OR(ISERROR(Model!DB229),ISERROR(Model!DE229),Model!DB229="",Model!DE229=""),"",IF(DE145&lt;&gt;"",-(Model!DE229-Model!DB229),""))</f>
        <v>-343.70000000000005</v>
      </c>
      <c r="DF141" s="158">
        <f>IF(OR(ISERROR(Model!DE229),ISERROR(Model!DF229),Model!DE229="",Model!DF229=""),"",IF(DF145&lt;&gt;"",-(Model!DF229-Model!DE229),""))</f>
        <v>-151.89999999999986</v>
      </c>
      <c r="DG141" s="158">
        <f>IF(OR(ISERROR(Model!DF229),ISERROR(Model!DG229),Model!DF229="",Model!DG229=""),"",IF(DG145&lt;&gt;"",-(Model!DG229-Model!DF229),""))</f>
        <v>269.70999999999981</v>
      </c>
      <c r="DH141" s="152">
        <f>IF(OR(ISERROR(Model!DE229),ISERROR(Model!DH229),Model!DE229="",Model!DH229=""),"",IF(DH145&lt;&gt;"",-(Model!DH229-Model!DE229),""))</f>
        <v>117.80999999999995</v>
      </c>
      <c r="DI141" s="158">
        <f>IF(OR(ISERROR(Model!DH229),ISERROR(Model!DI229),Model!DH229="",Model!DI229=""),"",IF(DI145&lt;&gt;"",-(Model!DI229-Model!DH229),""))</f>
        <v>-318.40999999999985</v>
      </c>
      <c r="DJ141" s="158">
        <f>IF(OR(ISERROR(Model!DI229),ISERROR(Model!DJ229),Model!DI229="",Model!DJ229=""),"",IF(DJ145&lt;&gt;"",-(Model!DJ229-Model!DI229),""))</f>
        <v>311.09999999999991</v>
      </c>
      <c r="DK141" s="152">
        <f>IF(OR(ISERROR(Model!DH229),ISERROR(Model!DK229),Model!DH229="",Model!DK229=""),"",IF(DK145&lt;&gt;"",-(Model!DK229-Model!DH229),""))</f>
        <v>-7.3099999999999454</v>
      </c>
      <c r="DL141" s="158">
        <f>IF(OR(ISERROR(Model!DK229),ISERROR(Model!DL229),Model!DK229="",Model!DL229=""),"",IF(DL145&lt;&gt;"",-(Model!DL229-Model!DK229),""))</f>
        <v>-531.49999999999977</v>
      </c>
      <c r="DM141" s="158">
        <f>IF(OR(ISERROR(Model!DL229),ISERROR(Model!DM229),Model!DL229="",Model!DM229=""),"",IF(DM145&lt;&gt;"",-(Model!DM229-Model!DL229),""))</f>
        <v>585.49999999999977</v>
      </c>
      <c r="DN141" s="152">
        <f>IF(OR(ISERROR(Model!DK229),ISERROR(Model!DN229),Model!DK229="",Model!DN229=""),"",IF(DN145&lt;&gt;"",-(Model!DN229-Model!DK229),""))</f>
        <v>54</v>
      </c>
      <c r="DO141" s="158">
        <f>IF(OR(ISERROR(Model!DN229),ISERROR(Model!DO229),Model!DN229="",Model!DO229=""),"",IF(DO145&lt;&gt;"",-(Model!DO229-Model!DN229),""))</f>
        <v>-1339.2</v>
      </c>
      <c r="DP141" s="158">
        <f>IF(OR(ISERROR(Model!DO229),ISERROR(Model!DP229),Model!DO229="",Model!DP229=""),"",IF(DP145&lt;&gt;"",-(Model!DP229-Model!DO229),""))</f>
        <v>791.40000000000009</v>
      </c>
      <c r="DQ141" s="152">
        <f>IF(OR(ISERROR(Model!DN229),ISERROR(Model!DQ229),Model!DN229="",Model!DQ229=""),"",IF(DQ145&lt;&gt;"",-(Model!DQ229-Model!DN229),""))</f>
        <v>-547.79999999999995</v>
      </c>
      <c r="DR141" s="158">
        <f>IF(OR(ISERROR(Model!DQ229),ISERROR(Model!DR229),Model!DQ229="",Model!DR229=""),"",IF(DR145&lt;&gt;"",-(Model!DR229-Model!DQ229),""))</f>
        <v>-1268</v>
      </c>
      <c r="DS141" s="158">
        <f>IF(OR(ISERROR(Model!DR229),ISERROR(Model!DS229),Model!DR229="",Model!DS229=""),"",IF(DS145&lt;&gt;"",-(Model!DS229-Model!DR229),""))</f>
        <v>578</v>
      </c>
      <c r="DT141" s="152">
        <f>IF(OR(ISERROR(Model!DQ229),ISERROR(Model!DT229),Model!DQ229="",Model!DT229=""),"",IF(DT145&lt;&gt;"",-(Model!DT229-Model!DQ229),""))</f>
        <v>-690</v>
      </c>
      <c r="DU141" s="158">
        <f>IF(OR(ISERROR(Model!DT229),ISERROR(Model!DU229),Model!DT229="",Model!DU229=""),"",IF(DU145&lt;&gt;"",-(Model!DU229-Model!DT229),""))</f>
        <v>-711</v>
      </c>
      <c r="DV141" s="158">
        <f>IF(OR(ISERROR(Model!DU229),ISERROR(Model!DV229),Model!DU229="",Model!DV229=""),"",IF(DV145&lt;&gt;"",-(Model!DV229-Model!DU229),""))</f>
        <v>465</v>
      </c>
      <c r="DW141" s="152">
        <f>IF(OR(ISERROR(Model!DT229),ISERROR(Model!DW229),Model!DT229="",Model!DW229=""),"",IF(DW145&lt;&gt;"",-(Model!DW229-Model!DT229),""))</f>
        <v>-246</v>
      </c>
      <c r="DX141" s="158">
        <f>IF(OR(ISERROR(Model!DW229),ISERROR(Model!DX229),Model!DW229="",Model!DX229=""),"",IF(DX145&lt;&gt;"",-(Model!DX229-Model!DW229),""))</f>
        <v>-860</v>
      </c>
      <c r="DY141" s="158">
        <f>IF(OR(ISERROR(Model!DX229),ISERROR(Model!DY229),Model!DX229="",Model!DY229=""),"",IF(DY145&lt;&gt;"",-(Model!DY229-Model!DX229),""))</f>
        <v>443.19517216472195</v>
      </c>
      <c r="DZ141" s="152">
        <f>IF(OR(ISERROR(Model!DW229),ISERROR(Model!DZ229),Model!DW229="",Model!DZ229=""),"",IF(DZ145&lt;&gt;"",-(Model!DZ229-Model!DW229),""))</f>
        <v>-416.80482783527805</v>
      </c>
      <c r="EA141" s="158">
        <f>IF(OR(ISERROR(Model!DZ229),ISERROR(Model!EA229),Model!DZ229="",Model!EA229=""),"",IF(EA145&lt;&gt;"",-(Model!EA229-Model!DZ229),""))</f>
        <v>-418.41220905083992</v>
      </c>
      <c r="EB141" s="158">
        <f>IF(OR(ISERROR(Model!EA229),ISERROR(Model!EB229),Model!EA229="",Model!EB229=""),"",IF(EB145&lt;&gt;"",-(Model!EB229-Model!EA229),""))</f>
        <v>221.19611528050882</v>
      </c>
      <c r="EC141" s="152">
        <f>IF(OR(ISERROR(Model!DZ229),ISERROR(Model!EC229),Model!DZ229="",Model!EC229=""),"",IF(EC145&lt;&gt;"",-(Model!EC229-Model!DZ229),""))</f>
        <v>-197.2160937703311</v>
      </c>
      <c r="ED141" s="158">
        <f>IF(OR(ISERROR(Model!EC229),ISERROR(Model!ED229),Model!EC229="",Model!ED229=""),"",IF(ED145&lt;&gt;"",-(Model!ED229-Model!EC229),""))</f>
        <v>-404.50011129064933</v>
      </c>
      <c r="EE141" s="158">
        <f>IF(OR(ISERROR(Model!ED229),ISERROR(Model!EE229),Model!ED229="",Model!EE229=""),"",IF(EE145&lt;&gt;"",-(Model!EE229-Model!ED229),""))</f>
        <v>199.682789012576</v>
      </c>
      <c r="EF141" s="152">
        <f>IF(OR(ISERROR(Model!EC229),ISERROR(Model!EF229),Model!EC229="",Model!EF229=""),"",IF(EF145&lt;&gt;"",-(Model!EF229-Model!EC229),""))</f>
        <v>-204.81732227807333</v>
      </c>
      <c r="EG141" s="158">
        <f>IF(OR(ISERROR(Model!EF229),ISERROR(Model!EG229),Model!EF229="",Model!EG229=""),"",IF(EG145&lt;&gt;"",-(Model!EG229-Model!EF229),""))</f>
        <v>-442.76442028290785</v>
      </c>
      <c r="EH141" s="158">
        <f>IF(OR(ISERROR(Model!EG229),ISERROR(Model!EH229),Model!EG229="",Model!EH229=""),"",IF(EH145&lt;&gt;"",-(Model!EH229-Model!EG229),""))</f>
        <v>195.82528441055183</v>
      </c>
      <c r="EI141" s="152">
        <f>IF(OR(ISERROR(Model!EF229),ISERROR(Model!EI229),Model!EF229="",Model!EI229=""),"",IF(EI145&lt;&gt;"",-(Model!EI229-Model!EF229),""))</f>
        <v>-246.93913587235602</v>
      </c>
      <c r="EJ141" s="158">
        <f>IF(OR(ISERROR(Model!EI229),ISERROR(Model!EJ229),Model!EI229="",Model!EJ229=""),"",IF(EJ145&lt;&gt;"",-(Model!EJ229-Model!EI229),""))</f>
        <v>-456.42082339520857</v>
      </c>
      <c r="EK141" s="158">
        <f>IF(OR(ISERROR(Model!EJ229),ISERROR(Model!EK229),Model!EJ229="",Model!EK229=""),"",IF(EK145&lt;&gt;"",-(Model!EK229-Model!EJ229),""))</f>
        <v>189.61623506331489</v>
      </c>
      <c r="EL141" s="152">
        <f>IF(OR(ISERROR(Model!EI229),ISERROR(Model!EL229),Model!EI229="",Model!EL229=""),"",IF(EL145&lt;&gt;"",-(Model!EL229-Model!EI229),""))</f>
        <v>-266.80458833189368</v>
      </c>
      <c r="EM141" s="158">
        <f>IF(OR(ISERROR(Model!EL229),ISERROR(Model!EM229),Model!EL229="",Model!EM229=""),"",IF(EM145&lt;&gt;"",-(Model!EM229-Model!EL229),""))</f>
        <v>-445.35038068600534</v>
      </c>
      <c r="EN141" s="158">
        <f>IF(OR(ISERROR(Model!EM229),ISERROR(Model!EN229),Model!EM229="",Model!EN229=""),"",IF(EN145&lt;&gt;"",-(Model!EN229-Model!EM229),""))</f>
        <v>197.41063101506188</v>
      </c>
      <c r="EO141" s="152">
        <f>IF(OR(ISERROR(Model!EL229),ISERROR(Model!EO229),Model!EL229="",Model!EO229=""),"",IF(EO145&lt;&gt;"",-(Model!EO229-Model!EL229),""))</f>
        <v>-247.93974967094346</v>
      </c>
      <c r="EP141" s="158">
        <f>IF(OR(ISERROR(Model!EO229),ISERROR(Model!EP229),Model!EO229="",Model!EP229=""),"",IF(EP145&lt;&gt;"",-(Model!EP229-Model!EO229),""))</f>
        <v>-463.56336176649711</v>
      </c>
      <c r="EQ141" s="158">
        <f>IF(OR(ISERROR(Model!EP229),ISERROR(Model!EQ229),Model!EP229="",Model!EQ229=""),"",IF(EQ145&lt;&gt;"",-(Model!EQ229-Model!EP229),""))</f>
        <v>196.54869343333212</v>
      </c>
      <c r="ER141" s="152">
        <f>IF(OR(ISERROR(Model!EO229),ISERROR(Model!ER229),Model!EO229="",Model!ER229=""),"",IF(ER145&lt;&gt;"",-(Model!ER229-Model!EO229),""))</f>
        <v>-267.01466833316499</v>
      </c>
      <c r="ES141" s="158">
        <f>IF(OR(ISERROR(Model!ER229),ISERROR(Model!ES229),Model!ER229="",Model!ES229=""),"",IF(ES145&lt;&gt;"",-(Model!ES229-Model!ER229),""))</f>
        <v>-484.46362650006995</v>
      </c>
      <c r="ET141" s="158">
        <f>IF(OR(ISERROR(Model!ES229),ISERROR(Model!ET229),Model!ES229="",Model!ET229=""),"",IF(ET145&lt;&gt;"",-(Model!ET229-Model!ES229),""))</f>
        <v>197.92402901780497</v>
      </c>
      <c r="EU141" s="152">
        <f>IF(OR(ISERROR(Model!ER229),ISERROR(Model!EU229),Model!ER229="",Model!EU229=""),"",IF(EU145&lt;&gt;"",-(Model!EU229-Model!ER229),""))</f>
        <v>-286.53959748226498</v>
      </c>
      <c r="EV141" s="158">
        <f>IF(OR(ISERROR(Model!EU229),ISERROR(Model!EV229),Model!EU229="",Model!EV229=""),"",IF(EV145&lt;&gt;"",-(Model!EV229-Model!EU229),""))</f>
        <v>-503.70226333876599</v>
      </c>
      <c r="EW141" s="158">
        <f>IF(OR(ISERROR(Model!EV229),ISERROR(Model!EW229),Model!EV229="",Model!EW229=""),"",IF(EW145&lt;&gt;"",-(Model!EW229-Model!EV229),""))</f>
        <v>199.00875536524109</v>
      </c>
      <c r="EX141" s="152">
        <f>IF(OR(ISERROR(Model!EU229),ISERROR(Model!EX229),Model!EU229="",Model!EX229=""),"",IF(EX145&lt;&gt;"",-(Model!EX229-Model!EU229),""))</f>
        <v>-304.6935079735249</v>
      </c>
      <c r="EY141" s="158">
        <f>IF(OR(ISERROR(Model!EX229),ISERROR(Model!EY229),Model!EX229="",Model!EY229=""),"",IF(EY145&lt;&gt;"",-(Model!EY229-Model!EX229),""))</f>
        <v>-523.82074125178042</v>
      </c>
      <c r="EZ141" s="158">
        <f>IF(OR(ISERROR(Model!EY229),ISERROR(Model!EZ229),Model!EY229="",Model!EZ229=""),"",IF(EZ145&lt;&gt;"",-(Model!EZ229-Model!EY229),""))</f>
        <v>199.77158584799781</v>
      </c>
      <c r="FA141" s="152">
        <f>IF(OR(ISERROR(Model!EX229),ISERROR(Model!FA229),Model!EX229="",Model!FA229=""),"",IF(FA145&lt;&gt;"",-(Model!FA229-Model!EX229),""))</f>
        <v>-324.04915540378261</v>
      </c>
    </row>
    <row r="142" spans="1:157" ht="13.35" customHeight="1">
      <c r="A142" s="3"/>
      <c r="B142" s="4" t="s">
        <v>648</v>
      </c>
      <c r="C142" s="4"/>
      <c r="D142" s="3"/>
      <c r="E142" s="93"/>
      <c r="F142" s="93"/>
      <c r="G142" s="93"/>
      <c r="H142" s="92">
        <f>IF(OR(ISERROR(Model!G234),ISERROR(Model!H234),Model!G234="",Model!H234=""),"",IF(H146&lt;&gt;"",-(Model!H234-Model!G234),""))</f>
        <v>0</v>
      </c>
      <c r="I142" s="92">
        <f>IF(OR(ISERROR(Model!H234),ISERROR(Model!I234),Model!H234="",Model!I234=""),"",IF(I146&lt;&gt;"",-(Model!I234-Model!H234),""))</f>
        <v>0</v>
      </c>
      <c r="J142" s="92">
        <f>IF(OR(ISERROR(Model!G234),ISERROR(Model!J234),Model!G234="",Model!J234=""),"",IF(J146&lt;&gt;"",-(Model!J234-Model!G234),""))</f>
        <v>0</v>
      </c>
      <c r="K142" s="92">
        <f>IF(OR(ISERROR(Model!J234),ISERROR(Model!K234),Model!J234="",Model!K234=""),"",IF(K146&lt;&gt;"",-(Model!K234-Model!J234),""))</f>
        <v>0</v>
      </c>
      <c r="L142" s="92">
        <f>IF(OR(ISERROR(Model!K234),ISERROR(Model!L234),Model!K234="",Model!L234=""),"",IF(L146&lt;&gt;"",-(Model!L234-Model!K234),""))</f>
        <v>0</v>
      </c>
      <c r="M142" s="92">
        <f>IF(OR(ISERROR(Model!J234),ISERROR(Model!M234),Model!J234="",Model!M234=""),"",IF(M146&lt;&gt;"",-(Model!M234-Model!J234),""))</f>
        <v>0</v>
      </c>
      <c r="N142" s="92">
        <f>IF(OR(ISERROR(Model!M234),ISERROR(Model!N234),Model!M234="",Model!N234=""),"",IF(N146&lt;&gt;"",-(Model!N234-Model!M234),""))</f>
        <v>0</v>
      </c>
      <c r="O142" s="92">
        <f>IF(OR(ISERROR(Model!N234),ISERROR(Model!O234),Model!N234="",Model!O234=""),"",IF(O146&lt;&gt;"",-(Model!O234-Model!N234),""))</f>
        <v>0</v>
      </c>
      <c r="P142" s="92">
        <f>IF(OR(ISERROR(Model!M234),ISERROR(Model!P234),Model!M234="",Model!P234=""),"",IF(P146&lt;&gt;"",-(Model!P234-Model!M234),""))</f>
        <v>0</v>
      </c>
      <c r="Q142" s="92">
        <f>IF(OR(ISERROR(Model!P234),ISERROR(Model!Q234),Model!P234="",Model!Q234=""),"",IF(Q146&lt;&gt;"",-(Model!Q234-Model!P234),""))</f>
        <v>0</v>
      </c>
      <c r="R142" s="92">
        <f>IF(OR(ISERROR(Model!Q234),ISERROR(Model!R234),Model!Q234="",Model!R234=""),"",IF(R146&lt;&gt;"",-(Model!R234-Model!Q234),""))</f>
        <v>0</v>
      </c>
      <c r="S142" s="92">
        <f>IF(OR(ISERROR(Model!P234),ISERROR(Model!S234),Model!P234="",Model!S234=""),"",IF(S146&lt;&gt;"",-(Model!S234-Model!P234),""))</f>
        <v>0</v>
      </c>
      <c r="T142" s="92">
        <f>IF(OR(ISERROR(Model!S234),ISERROR(Model!T234),Model!S234="",Model!T234=""),"",IF(T146&lt;&gt;"",-(Model!T234-Model!S234),""))</f>
        <v>0</v>
      </c>
      <c r="U142" s="92">
        <f>IF(OR(ISERROR(Model!T234),ISERROR(Model!U234),Model!T234="",Model!U234=""),"",IF(U146&lt;&gt;"",-(Model!U234-Model!T234),""))</f>
        <v>0</v>
      </c>
      <c r="V142" s="92">
        <f>IF(OR(ISERROR(Model!S234),ISERROR(Model!V234),Model!S234="",Model!V234=""),"",IF(V146&lt;&gt;"",-(Model!V234-Model!S234),""))</f>
        <v>0</v>
      </c>
      <c r="W142" s="92">
        <f>IF(OR(ISERROR(Model!V234),ISERROR(Model!W234),Model!V234="",Model!W234=""),"",IF(W146&lt;&gt;"",-(Model!W234-Model!V234),""))</f>
        <v>0</v>
      </c>
      <c r="X142" s="92">
        <f>IF(OR(ISERROR(Model!W234),ISERROR(Model!X234),Model!W234="",Model!X234=""),"",IF(X146&lt;&gt;"",-(Model!X234-Model!W234),""))</f>
        <v>0</v>
      </c>
      <c r="Y142" s="92">
        <f>IF(OR(ISERROR(Model!V234),ISERROR(Model!Y234),Model!V234="",Model!Y234=""),"",IF(Y146&lt;&gt;"",-(Model!Y234-Model!V234),""))</f>
        <v>0</v>
      </c>
      <c r="Z142" s="92">
        <f>IF(OR(ISERROR(Model!Y234),ISERROR(Model!Z234),Model!Y234="",Model!Z234=""),"",IF(Z146&lt;&gt;"",-(Model!Z234-Model!Y234),""))</f>
        <v>0</v>
      </c>
      <c r="AA142" s="92">
        <f>IF(OR(ISERROR(Model!Z234),ISERROR(Model!AA234),Model!Z234="",Model!AA234=""),"",IF(AA146&lt;&gt;"",-(Model!AA234-Model!Z234),""))</f>
        <v>0</v>
      </c>
      <c r="AB142" s="92">
        <f>IF(OR(ISERROR(Model!Y234),ISERROR(Model!AB234),Model!Y234="",Model!AB234=""),"",IF(AB146&lt;&gt;"",-(Model!AB234-Model!Y234),""))</f>
        <v>0</v>
      </c>
      <c r="AC142" s="92">
        <f>IF(OR(ISERROR(Model!AB234),ISERROR(Model!AC234),Model!AB234="",Model!AC234=""),"",IF(AC146&lt;&gt;"",-(Model!AC234-Model!AB234),""))</f>
        <v>0</v>
      </c>
      <c r="AD142" s="92">
        <f>IF(OR(ISERROR(Model!AC234),ISERROR(Model!AD234),Model!AC234="",Model!AD234=""),"",IF(AD146&lt;&gt;"",-(Model!AD234-Model!AC234),""))</f>
        <v>0</v>
      </c>
      <c r="AE142" s="92">
        <f>IF(OR(ISERROR(Model!AB234),ISERROR(Model!AE234),Model!AB234="",Model!AE234=""),"",IF(AE146&lt;&gt;"",-(Model!AE234-Model!AB234),""))</f>
        <v>0</v>
      </c>
      <c r="AF142" s="92">
        <f>IF(OR(ISERROR(Model!AE234),ISERROR(Model!AF234),Model!AE234="",Model!AF234=""),"",IF(AF146&lt;&gt;"",-(Model!AF234-Model!AE234),""))</f>
        <v>0</v>
      </c>
      <c r="AG142" s="92">
        <f>IF(OR(ISERROR(Model!AF234),ISERROR(Model!AG234),Model!AF234="",Model!AG234=""),"",IF(AG146&lt;&gt;"",-(Model!AG234-Model!AF234),""))</f>
        <v>0</v>
      </c>
      <c r="AH142" s="92">
        <f>IF(OR(ISERROR(Model!AE234),ISERROR(Model!AH234),Model!AE234="",Model!AH234=""),"",IF(AH146&lt;&gt;"",-(Model!AH234-Model!AE234),""))</f>
        <v>0</v>
      </c>
      <c r="AI142" s="92">
        <f>IF(OR(ISERROR(Model!AH234),ISERROR(Model!AI234),Model!AH234="",Model!AI234=""),"",IF(AI146&lt;&gt;"",-(Model!AI234-Model!AH234),""))</f>
        <v>0</v>
      </c>
      <c r="AJ142" s="92">
        <f>IF(OR(ISERROR(Model!AI234),ISERROR(Model!AJ234),Model!AI234="",Model!AJ234=""),"",IF(AJ146&lt;&gt;"",-(Model!AJ234-Model!AI234),""))</f>
        <v>0</v>
      </c>
      <c r="AK142" s="92">
        <f>IF(OR(ISERROR(Model!AH234),ISERROR(Model!AK234),Model!AH234="",Model!AK234=""),"",IF(AK146&lt;&gt;"",-(Model!AK234-Model!AH234),""))</f>
        <v>0</v>
      </c>
      <c r="AL142" s="92">
        <f>IF(OR(ISERROR(Model!AK234),ISERROR(Model!AL234),Model!AK234="",Model!AL234=""),"",IF(AL146&lt;&gt;"",-(Model!AL234-Model!AK234),""))</f>
        <v>0</v>
      </c>
      <c r="AM142" s="92">
        <f>IF(OR(ISERROR(Model!AL234),ISERROR(Model!AM234),Model!AL234="",Model!AM234=""),"",IF(AM146&lt;&gt;"",-(Model!AM234-Model!AL234),""))</f>
        <v>0</v>
      </c>
      <c r="AN142" s="92">
        <f>IF(OR(ISERROR(Model!AK234),ISERROR(Model!AN234),Model!AK234="",Model!AN234=""),"",IF(AN146&lt;&gt;"",-(Model!AN234-Model!AK234),""))</f>
        <v>0</v>
      </c>
      <c r="AO142" s="92">
        <f>IF(OR(ISERROR(Model!AN234),ISERROR(Model!AO234),Model!AN234="",Model!AO234=""),"",IF(AO146&lt;&gt;"",-(Model!AO234-Model!AN234),""))</f>
        <v>0</v>
      </c>
      <c r="AP142" s="92">
        <f>IF(OR(ISERROR(Model!AO234),ISERROR(Model!AP234),Model!AO234="",Model!AP234=""),"",IF(AP146&lt;&gt;"",-(Model!AP234-Model!AO234),""))</f>
        <v>0</v>
      </c>
      <c r="AQ142" s="92">
        <f>IF(OR(ISERROR(Model!AN234),ISERROR(Model!AQ234),Model!AN234="",Model!AQ234=""),"",IF(AQ146&lt;&gt;"",-(Model!AQ234-Model!AN234),""))</f>
        <v>0</v>
      </c>
      <c r="AR142" s="92">
        <f>IF(OR(ISERROR(Model!AQ234),ISERROR(Model!AR234),Model!AQ234="",Model!AR234=""),"",IF(AR146&lt;&gt;"",-(Model!AR234-Model!AQ234),""))</f>
        <v>0</v>
      </c>
      <c r="AS142" s="92">
        <f>IF(OR(ISERROR(Model!AR234),ISERROR(Model!AS234),Model!AR234="",Model!AS234=""),"",IF(AS146&lt;&gt;"",-(Model!AS234-Model!AR234),""))</f>
        <v>0</v>
      </c>
      <c r="AT142" s="92">
        <f>IF(OR(ISERROR(Model!AQ234),ISERROR(Model!AT234),Model!AQ234="",Model!AT234=""),"",IF(AT146&lt;&gt;"",-(Model!AT234-Model!AQ234),""))</f>
        <v>0</v>
      </c>
      <c r="AU142" s="92">
        <f>IF(OR(ISERROR(Model!AT234),ISERROR(Model!AU234),Model!AT234="",Model!AU234=""),"",IF(AU146&lt;&gt;"",-(Model!AU234-Model!AT234),""))</f>
        <v>0</v>
      </c>
      <c r="AV142" s="92">
        <f>IF(OR(ISERROR(Model!AU234),ISERROR(Model!AV234),Model!AU234="",Model!AV234=""),"",IF(AV146&lt;&gt;"",-(Model!AV234-Model!AU234),""))</f>
        <v>0</v>
      </c>
      <c r="AW142" s="92">
        <f>IF(OR(ISERROR(Model!AT234),ISERROR(Model!AW234),Model!AT234="",Model!AW234=""),"",IF(AW146&lt;&gt;"",-(Model!AW234-Model!AT234),""))</f>
        <v>0</v>
      </c>
      <c r="AX142" s="92">
        <f>IF(OR(ISERROR(Model!AW234),ISERROR(Model!AX234),Model!AW234="",Model!AX234=""),"",IF(AX146&lt;&gt;"",-(Model!AX234-Model!AW234),""))</f>
        <v>0</v>
      </c>
      <c r="AY142" s="92">
        <f>IF(OR(ISERROR(Model!AX234),ISERROR(Model!AY234),Model!AX234="",Model!AY234=""),"",IF(AY146&lt;&gt;"",-(Model!AY234-Model!AX234),""))</f>
        <v>0</v>
      </c>
      <c r="AZ142" s="92">
        <f>IF(OR(ISERROR(Model!AW234),ISERROR(Model!AZ234),Model!AW234="",Model!AZ234=""),"",IF(AZ146&lt;&gt;"",-(Model!AZ234-Model!AW234),""))</f>
        <v>0</v>
      </c>
      <c r="BA142" s="92"/>
      <c r="BB142" s="92"/>
      <c r="BC142" s="92">
        <f>IF(OR(ISERROR(Model!AZ234),ISERROR(Model!BC234),Model!AZ234="",Model!BC234=""),"",IF(BC146&lt;&gt;"",-(Model!BC234-Model!AZ234),""))</f>
        <v>0</v>
      </c>
      <c r="BD142" s="92">
        <f>IF(OR(ISERROR(Model!BC234),ISERROR(Model!BD234),Model!BC234="",Model!BD234=""),"",IF(BD146&lt;&gt;"",-(Model!BD234-Model!BC234),""))</f>
        <v>0</v>
      </c>
      <c r="BE142" s="92">
        <f>IF(OR(ISERROR(Model!BD234),ISERROR(Model!BE234),Model!BD234="",Model!BE234=""),"",IF(BE146&lt;&gt;"",-(Model!BE234-Model!BD234),""))</f>
        <v>0</v>
      </c>
      <c r="BF142" s="92">
        <f>IF(OR(ISERROR(Model!BC234),ISERROR(Model!BF234),Model!BC234="",Model!BF234=""),"",IF(BF146&lt;&gt;"",-(Model!BF234-Model!BC234),""))</f>
        <v>0</v>
      </c>
      <c r="BG142" s="92">
        <f>IF(OR(ISERROR(Model!BF234),ISERROR(Model!BG234),Model!BF234="",Model!BG234=""),"",IF(BG146&lt;&gt;"",-(Model!BG234-Model!BF234),""))</f>
        <v>0</v>
      </c>
      <c r="BH142" s="92">
        <f>IF(OR(ISERROR(Model!BG234),ISERROR(Model!BH234),Model!BG234="",Model!BH234=""),"",IF(BH146&lt;&gt;"",-(Model!BH234-Model!BG234),""))</f>
        <v>0</v>
      </c>
      <c r="BI142" s="92">
        <f>IF(OR(ISERROR(Model!BF234),ISERROR(Model!BI234),Model!BF234="",Model!BI234=""),"",IF(BI146&lt;&gt;"",-(Model!BI234-Model!BF234),""))</f>
        <v>0</v>
      </c>
      <c r="BJ142" s="92">
        <f>IF(OR(ISERROR(Model!BI234),ISERROR(Model!BJ234),Model!BI234="",Model!BJ234=""),"",IF(BJ146&lt;&gt;"",-(Model!BJ234-Model!BI234),""))</f>
        <v>0</v>
      </c>
      <c r="BK142" s="92">
        <f>IF(OR(ISERROR(Model!BJ234),ISERROR(Model!BK234),Model!BJ234="",Model!BK234=""),"",IF(BK146&lt;&gt;"",-(Model!BK234-Model!BJ234),""))</f>
        <v>0</v>
      </c>
      <c r="BL142" s="92">
        <f>IF(OR(ISERROR(Model!BI234),ISERROR(Model!BL234),Model!BI234="",Model!BL234=""),"",IF(BL146&lt;&gt;"",-(Model!BL234-Model!BI234),""))</f>
        <v>0</v>
      </c>
      <c r="BM142" s="158">
        <f>IF(OR(ISERROR(Model!BL234),ISERROR(Model!BM234),Model!BL234="",Model!BM234=""),"",IF(BM146&lt;&gt;"",-(Model!BM234-Model!BL234),""))</f>
        <v>0</v>
      </c>
      <c r="BN142" s="158">
        <f>IF(OR(ISERROR(Model!BM234),ISERROR(Model!BN234),Model!BM234="",Model!BN234=""),"",IF(BN146&lt;&gt;"",-(Model!BN234-Model!BM234),""))</f>
        <v>0</v>
      </c>
      <c r="BO142" s="158">
        <f>IF(OR(ISERROR(Model!BL234),ISERROR(Model!BO234),Model!BL234="",Model!BO234=""),"",IF(BO146&lt;&gt;"",-(Model!BO234-Model!BL234),""))</f>
        <v>0</v>
      </c>
      <c r="BP142" s="158"/>
      <c r="BQ142" s="158"/>
      <c r="BR142" s="158"/>
      <c r="BS142" s="158"/>
      <c r="BT142" s="158"/>
      <c r="BU142" s="158"/>
      <c r="BV142" s="158">
        <f>IF(OR(ISERROR(Model!BU234),ISERROR(Model!BV234),Model!BU234="",Model!BV234=""),"",IF(BV146&lt;&gt;"",-(Model!BV234-Model!BU234),""))</f>
        <v>0</v>
      </c>
      <c r="BW142" s="158">
        <f>IF(OR(ISERROR(Model!BV234),ISERROR(Model!BW234),Model!BV234="",Model!BW234=""),"",IF(BW146&lt;&gt;"",-(Model!BW234-Model!BV234),""))</f>
        <v>-1153</v>
      </c>
      <c r="BX142" s="158">
        <f>IF(OR(ISERROR(Model!BU234),ISERROR(Model!BX234),Model!BU234="",Model!BX234=""),"",IF(BX146&lt;&gt;"",-(Model!BX234-Model!BU234),""))</f>
        <v>-1153</v>
      </c>
      <c r="BY142" s="158">
        <f>IF(OR(ISERROR(Model!BX234),ISERROR(Model!BY234),Model!BX234="",Model!BY234=""),"",IF(BY146&lt;&gt;"",-(Model!BY234-Model!BX234),""))</f>
        <v>1153</v>
      </c>
      <c r="BZ142" s="158">
        <f>IF(OR(ISERROR(Model!BY234),ISERROR(Model!BZ234),Model!BY234="",Model!BZ234=""),"",IF(BZ146&lt;&gt;"",-(Model!BZ234-Model!BY234),""))</f>
        <v>-1235</v>
      </c>
      <c r="CA142" s="158">
        <f>IF(OR(ISERROR(Model!BX234),ISERROR(Model!CA234),Model!BX234="",Model!CA234=""),"",IF(CA146&lt;&gt;"",-(Model!CA234-Model!BX234),""))</f>
        <v>-82</v>
      </c>
      <c r="CB142" s="158">
        <f>IF(OR(ISERROR(Model!CA234),ISERROR(Model!CB234),Model!CA234="",Model!CB234=""),"",IF(CB146&lt;&gt;"",-(Model!CB234-Model!CA234),""))</f>
        <v>1235</v>
      </c>
      <c r="CC142" s="158">
        <f>IF(OR(ISERROR(Model!CB234),ISERROR(Model!CC234),Model!CB234="",Model!CC234=""),"",IF(CC146&lt;&gt;"",-(Model!CC234-Model!CB234),""))</f>
        <v>-1239</v>
      </c>
      <c r="CD142" s="158">
        <f>IF(OR(ISERROR(Model!CA234),ISERROR(Model!CD234),Model!CA234="",Model!CD234=""),"",IF(CD146&lt;&gt;"",-(Model!CD234-Model!CA234),""))</f>
        <v>-4</v>
      </c>
      <c r="CE142" s="158">
        <f>IF(OR(ISERROR(Model!CD234),ISERROR(Model!CE234),Model!CD234="",Model!CE234=""),"",IF(CE146&lt;&gt;"",-(Model!CE234-Model!CD234),""))</f>
        <v>1239</v>
      </c>
      <c r="CF142" s="158">
        <f>IF(OR(ISERROR(Model!CE234),ISERROR(Model!CF234),Model!CE234="",Model!CF234=""),"",IF(CF146&lt;&gt;"",-(Model!CF234-Model!CE234),""))</f>
        <v>-1565</v>
      </c>
      <c r="CG142" s="158">
        <f>IF(OR(ISERROR(Model!CD234),ISERROR(Model!CG234),Model!CD234="",Model!CG234=""),"",IF(CG146&lt;&gt;"",-(Model!CG234-Model!CD234),""))</f>
        <v>-326</v>
      </c>
      <c r="CH142" s="158">
        <f>IF(OR(ISERROR(Model!CG234),ISERROR(Model!CH234),Model!CG234="",Model!CH234=""),"",IF(CH146&lt;&gt;"",-(Model!CH234-Model!CG234),""))</f>
        <v>169.9670000000001</v>
      </c>
      <c r="CI142" s="158">
        <f>IF(OR(ISERROR(Model!CH234),ISERROR(Model!CI234),Model!CH234="",Model!CI234=""),"",IF(CI146&lt;&gt;"",-(Model!CI234-Model!CH234),""))</f>
        <v>-67.067000000000007</v>
      </c>
      <c r="CJ142" s="158">
        <f>IF(OR(ISERROR(Model!CG234),ISERROR(Model!CJ234),Model!CG234="",Model!CJ234=""),"",IF(CJ146&lt;&gt;"",-(Model!CJ234-Model!CG234),""))</f>
        <v>102.90000000000009</v>
      </c>
      <c r="CK142" s="158">
        <f>IF(OR(ISERROR(Model!CJ234),ISERROR(Model!CK234),Model!CJ234="",Model!CK234=""),"",IF(CK146&lt;&gt;"",-(Model!CK234-Model!CJ234),""))</f>
        <v>-177.30000000000018</v>
      </c>
      <c r="CL142" s="158">
        <f>IF(OR(ISERROR(Model!CK234),ISERROR(Model!CL234),Model!CK234="",Model!CL234=""),"",IF(CL146&lt;&gt;"",-(Model!CL234-Model!CK234),""))</f>
        <v>0</v>
      </c>
      <c r="CM142" s="158">
        <f>IF(OR(ISERROR(Model!CJ234),ISERROR(Model!CM234),Model!CJ234="",Model!CM234=""),"",IF(CM146&lt;&gt;"",-(Model!CM234-Model!CJ234),""))</f>
        <v>-177.30000000000018</v>
      </c>
      <c r="CN142" s="158">
        <f>IF(OR(ISERROR(Model!CM234),ISERROR(Model!CN234),Model!CM234="",Model!CN234=""),"",IF(CN146&lt;&gt;"",-(Model!CN234-Model!CM234),""))</f>
        <v>-56.799999999999955</v>
      </c>
      <c r="CO142" s="158">
        <f>IF(OR(ISERROR(Model!CN234),ISERROR(Model!CO234),Model!CN234="",Model!CO234=""),"",IF(CO146&lt;&gt;"",-(Model!CO234-Model!CN234),""))</f>
        <v>51.700000000000045</v>
      </c>
      <c r="CP142" s="158">
        <f>IF(OR(ISERROR(Model!CM234),ISERROR(Model!CP234),Model!CM234="",Model!CP234=""),"",IF(CP146&lt;&gt;"",-(Model!CP234-Model!CM234),""))</f>
        <v>-5.0999999999999091</v>
      </c>
      <c r="CQ142" s="158">
        <f>IF(OR(ISERROR(Model!CP234),ISERROR(Model!CQ234),Model!CP234="",Model!CQ234=""),"",IF(CQ146&lt;&gt;"",-(Model!CQ234-Model!CP234),""))</f>
        <v>17.299999999999955</v>
      </c>
      <c r="CR142" s="158">
        <f>IF(OR(ISERROR(Model!CQ234),ISERROR(Model!CR234),Model!CQ234="",Model!CR234=""),"",IF(CR146&lt;&gt;"",-(Model!CR234-Model!CQ234),""))</f>
        <v>-128.39999999999986</v>
      </c>
      <c r="CS142" s="158">
        <f>IF(OR(ISERROR(Model!CP234),ISERROR(Model!CS234),Model!CP234="",Model!CS234=""),"",IF(CS146&lt;&gt;"",-(Model!CS234-Model!CP234),""))</f>
        <v>-111.09999999999991</v>
      </c>
      <c r="CT142" s="158">
        <f>IF(OR(ISERROR(Model!CS234),ISERROR(Model!CT234),Model!CS234="",Model!CT234=""),"",IF(CT146&lt;&gt;"",-(Model!CT234-Model!CS234),""))</f>
        <v>-138.70000000000005</v>
      </c>
      <c r="CU142" s="158">
        <f>IF(OR(ISERROR(Model!CT234),ISERROR(Model!CU234),Model!CT234="",Model!CU234=""),"",IF(CU146&lt;&gt;"",-(Model!CU234-Model!CT234),""))</f>
        <v>-257.70000000000005</v>
      </c>
      <c r="CV142" s="158">
        <f>IF(OR(ISERROR(Model!CS234),ISERROR(Model!CV234),Model!CS234="",Model!CV234=""),"",IF(CV146&lt;&gt;"",-(Model!CV234-Model!CS234),""))</f>
        <v>-396.40000000000009</v>
      </c>
      <c r="CW142" s="158">
        <f>IF(OR(ISERROR(Model!CV234),ISERROR(Model!CW234),Model!CV234="",Model!CW234=""),"",IF(CW146&lt;&gt;"",-(Model!CW234-Model!CV234),""))</f>
        <v>26.800000000000182</v>
      </c>
      <c r="CX142" s="158">
        <f>IF(OR(ISERROR(Model!CW234),ISERROR(Model!CX234),Model!CW234="",Model!CX234=""),"",IF(CX146&lt;&gt;"",-(Model!CX234-Model!CW234),""))</f>
        <v>-450.60000000000036</v>
      </c>
      <c r="CY142" s="158">
        <f>IF(OR(ISERROR(Model!CV234),ISERROR(Model!CY234),Model!CV234="",Model!CY234=""),"",IF(CY146&lt;&gt;"",-(Model!CY234-Model!CV234),""))</f>
        <v>-423.80000000000018</v>
      </c>
      <c r="CZ142" s="158">
        <f>IF(OR(ISERROR(Model!CY234),ISERROR(Model!CZ234),Model!CY234="",Model!CZ234=""),"",IF(CZ146&lt;&gt;"",-(Model!CZ234-Model!CY234),""))</f>
        <v>50.100000000000364</v>
      </c>
      <c r="DA142" s="158">
        <f>IF(OR(ISERROR(Model!CZ234),ISERROR(Model!DA234),Model!CZ234="",Model!DA234=""),"",IF(DA146&lt;&gt;"",-(Model!DA234-Model!CZ234),""))</f>
        <v>-167.10000000000036</v>
      </c>
      <c r="DB142" s="158">
        <f>IF(OR(ISERROR(Model!CY234),ISERROR(Model!DB234),Model!CY234="",Model!DB234=""),"",IF(DB146&lt;&gt;"",-(Model!DB234-Model!CY234),""))</f>
        <v>-117</v>
      </c>
      <c r="DC142" s="158">
        <f>IF(OR(ISERROR(Model!DB234),ISERROR(Model!DC234),Model!DB234="",Model!DC234=""),"",IF(DC146&lt;&gt;"",-(Model!DC234-Model!DB234),""))</f>
        <v>-102.59999999999991</v>
      </c>
      <c r="DD142" s="158">
        <f>IF(OR(ISERROR(Model!DC234),ISERROR(Model!DD234),Model!DC234="",Model!DD234=""),"",IF(DD146&lt;&gt;"",-(Model!DD234-Model!DC234),""))</f>
        <v>-243.40000000000009</v>
      </c>
      <c r="DE142" s="152">
        <f>IF(OR(ISERROR(Model!DB234),ISERROR(Model!DE234),Model!DB234="",Model!DE234=""),"",IF(DE146&lt;&gt;"",-(Model!DE234-Model!DB234),""))</f>
        <v>-346</v>
      </c>
      <c r="DF142" s="158">
        <f>IF(OR(ISERROR(Model!DE234),ISERROR(Model!DF234),Model!DE234="",Model!DF234=""),"",IF(DF146&lt;&gt;"",-(Model!DF234-Model!DE234),""))</f>
        <v>-187.79999999999973</v>
      </c>
      <c r="DG142" s="158">
        <f>IF(OR(ISERROR(Model!DF234),ISERROR(Model!DG234),Model!DF234="",Model!DG234=""),"",IF(DG146&lt;&gt;"",-(Model!DG234-Model!DF234),""))</f>
        <v>-282.90000000000009</v>
      </c>
      <c r="DH142" s="152">
        <f>IF(OR(ISERROR(Model!DE234),ISERROR(Model!DH234),Model!DE234="",Model!DH234=""),"",IF(DH146&lt;&gt;"",-(Model!DH234-Model!DE234),""))</f>
        <v>-470.69999999999982</v>
      </c>
      <c r="DI142" s="158">
        <f>IF(OR(ISERROR(Model!DH234),ISERROR(Model!DI234),Model!DH234="",Model!DI234=""),"",IF(DI146&lt;&gt;"",-(Model!DI234-Model!DH234),""))</f>
        <v>-124.09999999999991</v>
      </c>
      <c r="DJ142" s="158">
        <f>IF(OR(ISERROR(Model!DI234),ISERROR(Model!DJ234),Model!DI234="",Model!DJ234=""),"",IF(DJ146&lt;&gt;"",-(Model!DJ234-Model!DI234),""))</f>
        <v>-147</v>
      </c>
      <c r="DK142" s="152">
        <f>IF(OR(ISERROR(Model!DH234),ISERROR(Model!DK234),Model!DH234="",Model!DK234=""),"",IF(DK146&lt;&gt;"",-(Model!DK234-Model!DH234),""))</f>
        <v>-271.09999999999991</v>
      </c>
      <c r="DL142" s="158">
        <f>IF(OR(ISERROR(Model!DK234),ISERROR(Model!DL234),Model!DK234="",Model!DL234=""),"",IF(DL146&lt;&gt;"",-(Model!DL234-Model!DK234),""))</f>
        <v>-26</v>
      </c>
      <c r="DM142" s="158">
        <f>IF(OR(ISERROR(Model!DL234),ISERROR(Model!DM234),Model!DL234="",Model!DM234=""),"",IF(DM146&lt;&gt;"",-(Model!DM234-Model!DL234),""))</f>
        <v>-526.40000000000009</v>
      </c>
      <c r="DN142" s="152">
        <f>IF(OR(ISERROR(Model!DK234),ISERROR(Model!DN234),Model!DK234="",Model!DN234=""),"",IF(DN146&lt;&gt;"",-(Model!DN234-Model!DK234),""))</f>
        <v>-552.40000000000009</v>
      </c>
      <c r="DO142" s="158">
        <f>IF(OR(ISERROR(Model!DN234),ISERROR(Model!DO234),Model!DN234="",Model!DO234=""),"",IF(DO146&lt;&gt;"",-(Model!DO234-Model!DN234),""))</f>
        <v>-724.30000000000018</v>
      </c>
      <c r="DP142" s="158">
        <f>IF(OR(ISERROR(Model!DO234),ISERROR(Model!DP234),Model!DO234="",Model!DP234=""),"",IF(DP146&lt;&gt;"",-(Model!DP234-Model!DO234),""))</f>
        <v>-408.69999999999982</v>
      </c>
      <c r="DQ142" s="152">
        <f>IF(OR(ISERROR(Model!DN234),ISERROR(Model!DQ234),Model!DN234="",Model!DQ234=""),"",IF(DQ146&lt;&gt;"",-(Model!DQ234-Model!DN234),""))</f>
        <v>-1133</v>
      </c>
      <c r="DR142" s="158">
        <f>IF(OR(ISERROR(Model!DQ234),ISERROR(Model!DR234),Model!DQ234="",Model!DR234=""),"",IF(DR146&lt;&gt;"",-(Model!DR234-Model!DQ234),""))</f>
        <v>-100</v>
      </c>
      <c r="DS142" s="158">
        <f>IF(OR(ISERROR(Model!DR234),ISERROR(Model!DS234),Model!DR234="",Model!DS234=""),"",IF(DS146&lt;&gt;"",-(Model!DS234-Model!DR234),""))</f>
        <v>-398</v>
      </c>
      <c r="DT142" s="152">
        <f>IF(OR(ISERROR(Model!DQ234),ISERROR(Model!DT234),Model!DQ234="",Model!DT234=""),"",IF(DT146&lt;&gt;"",-(Model!DT234-Model!DQ234),""))</f>
        <v>-498</v>
      </c>
      <c r="DU142" s="158">
        <f>IF(OR(ISERROR(Model!DT234),ISERROR(Model!DU234),Model!DT234="",Model!DU234=""),"",IF(DU146&lt;&gt;"",-(Model!DU234-Model!DT234),""))</f>
        <v>-175</v>
      </c>
      <c r="DV142" s="158">
        <f>IF(OR(ISERROR(Model!DU234),ISERROR(Model!DV234),Model!DU234="",Model!DV234=""),"",IF(DV146&lt;&gt;"",-(Model!DV234-Model!DU234),""))</f>
        <v>-327</v>
      </c>
      <c r="DW142" s="152">
        <f>IF(OR(ISERROR(Model!DT234),ISERROR(Model!DW234),Model!DT234="",Model!DW234=""),"",IF(DW146&lt;&gt;"",-(Model!DW234-Model!DT234),""))</f>
        <v>-502</v>
      </c>
      <c r="DX142" s="158">
        <f>IF(OR(ISERROR(Model!DW234),ISERROR(Model!DX234),Model!DW234="",Model!DX234=""),"",IF(DX146&lt;&gt;"",-(Model!DX234-Model!DW234),""))</f>
        <v>-104</v>
      </c>
      <c r="DY142" s="158">
        <f>IF(OR(ISERROR(Model!DX234),ISERROR(Model!DY234),Model!DX234="",Model!DY234=""),"",IF(DY146&lt;&gt;"",-(Model!DY234-Model!DX234),""))</f>
        <v>-704.27800978808591</v>
      </c>
      <c r="DZ142" s="152">
        <f>IF(OR(ISERROR(Model!DW234),ISERROR(Model!DZ234),Model!DW234="",Model!DZ234=""),"",IF(DZ146&lt;&gt;"",-(Model!DZ234-Model!DW234),""))</f>
        <v>-808.27800978808591</v>
      </c>
      <c r="EA142" s="158">
        <f>IF(OR(ISERROR(Model!DZ234),ISERROR(Model!EA234),Model!DZ234="",Model!EA234=""),"",IF(EA146&lt;&gt;"",-(Model!EA234-Model!DZ234),""))</f>
        <v>359.11794563831518</v>
      </c>
      <c r="EB142" s="158">
        <f>IF(OR(ISERROR(Model!EA234),ISERROR(Model!EB234),Model!EA234="",Model!EB234=""),"",IF(EB146&lt;&gt;"",-(Model!EB234-Model!EA234),""))</f>
        <v>-762.34543098711129</v>
      </c>
      <c r="EC142" s="152">
        <f>IF(OR(ISERROR(Model!DZ234),ISERROR(Model!EC234),Model!DZ234="",Model!EC234=""),"",IF(EC146&lt;&gt;"",-(Model!EC234-Model!DZ234),""))</f>
        <v>-403.22748534879611</v>
      </c>
      <c r="ED142" s="158">
        <f>IF(OR(ISERROR(Model!EC234),ISERROR(Model!ED234),Model!EC234="",Model!ED234=""),"",IF(ED146&lt;&gt;"",-(Model!ED234-Model!EC234),""))</f>
        <v>443.55587270860724</v>
      </c>
      <c r="EE142" s="158">
        <f>IF(OR(ISERROR(Model!ED234),ISERROR(Model!EE234),Model!ED234="",Model!EE234=""),"",IF(EE146&lt;&gt;"",-(Model!EE234-Model!ED234),""))</f>
        <v>-862.32480905231023</v>
      </c>
      <c r="EF142" s="152">
        <f>IF(OR(ISERROR(Model!EC234),ISERROR(Model!EF234),Model!EC234="",Model!EF234=""),"",IF(EF146&lt;&gt;"",-(Model!EF234-Model!EC234),""))</f>
        <v>-418.76893634370299</v>
      </c>
      <c r="EG142" s="158">
        <f>IF(OR(ISERROR(Model!EF234),ISERROR(Model!EG234),Model!EF234="",Model!EG234=""),"",IF(EG146&lt;&gt;"",-(Model!EG234-Model!EF234),""))</f>
        <v>439.57414597347179</v>
      </c>
      <c r="EH142" s="158">
        <f>IF(OR(ISERROR(Model!EG234),ISERROR(Model!EH234),Model!EG234="",Model!EH234=""),"",IF(EH146&lt;&gt;"",-(Model!EH234-Model!EG234),""))</f>
        <v>-944.46522706329779</v>
      </c>
      <c r="EI142" s="152">
        <f>IF(OR(ISERROR(Model!EF234),ISERROR(Model!EI234),Model!EF234="",Model!EI234=""),"",IF(EI146&lt;&gt;"",-(Model!EI234-Model!EF234),""))</f>
        <v>-504.891081089826</v>
      </c>
      <c r="EJ142" s="158">
        <f>IF(OR(ISERROR(Model!EI234),ISERROR(Model!EJ234),Model!EI234="",Model!EJ234=""),"",IF(EJ146&lt;&gt;"",-(Model!EJ234-Model!EI234),""))</f>
        <v>491.25559404650357</v>
      </c>
      <c r="EK142" s="158">
        <f>IF(OR(ISERROR(Model!EJ234),ISERROR(Model!EK234),Model!EJ234="",Model!EK234=""),"",IF(EK146&lt;&gt;"",-(Model!EK234-Model!EJ234),""))</f>
        <v>-1036.7635248438555</v>
      </c>
      <c r="EL142" s="152">
        <f>IF(OR(ISERROR(Model!EI234),ISERROR(Model!EL234),Model!EI234="",Model!EL234=""),"",IF(EL146&lt;&gt;"",-(Model!EL234-Model!EI234),""))</f>
        <v>-545.50793079735195</v>
      </c>
      <c r="EM142" s="158">
        <f>IF(OR(ISERROR(Model!EL234),ISERROR(Model!EM234),Model!EL234="",Model!EM234=""),"",IF(EM146&lt;&gt;"",-(Model!EM234-Model!EL234),""))</f>
        <v>592.00848897830656</v>
      </c>
      <c r="EN142" s="158">
        <f>IF(OR(ISERROR(Model!EM234),ISERROR(Model!EN234),Model!EM234="",Model!EN234=""),"",IF(EN146&lt;&gt;"",-(Model!EN234-Model!EM234),""))</f>
        <v>-1078.4058257549113</v>
      </c>
      <c r="EO142" s="152">
        <f>IF(OR(ISERROR(Model!EL234),ISERROR(Model!EO234),Model!EL234="",Model!EO234=""),"",IF(EO146&lt;&gt;"",-(Model!EO234-Model!EL234),""))</f>
        <v>-486.39733677660479</v>
      </c>
      <c r="EP142" s="158">
        <f>IF(OR(ISERROR(Model!EO234),ISERROR(Model!EP234),Model!EO234="",Model!EP234=""),"",IF(EP146&lt;&gt;"",-(Model!EP234-Model!EO234),""))</f>
        <v>615.53151140458976</v>
      </c>
      <c r="EQ142" s="158">
        <f>IF(OR(ISERROR(Model!EP234),ISERROR(Model!EQ234),Model!EP234="",Model!EQ234=""),"",IF(EQ146&lt;&gt;"",-(Model!EQ234-Model!EP234),""))</f>
        <v>-1138.6062365244197</v>
      </c>
      <c r="ER142" s="152">
        <f>IF(OR(ISERROR(Model!EO234),ISERROR(Model!ER234),Model!EO234="",Model!ER234=""),"",IF(ER146&lt;&gt;"",-(Model!ER234-Model!EO234),""))</f>
        <v>-523.07472511982996</v>
      </c>
      <c r="ES142" s="158">
        <f>IF(OR(ISERROR(Model!ER234),ISERROR(Model!ES234),Model!ER234="",Model!ES234=""),"",IF(ES146&lt;&gt;"",-(Model!ES234-Model!ER234),""))</f>
        <v>637.88461379965702</v>
      </c>
      <c r="ET142" s="158">
        <f>IF(OR(ISERROR(Model!ES234),ISERROR(Model!ET234),Model!ES234="",Model!ET234=""),"",IF(ET146&lt;&gt;"",-(Model!ET234-Model!ES234),""))</f>
        <v>-1198.3020050251744</v>
      </c>
      <c r="EU142" s="152">
        <f>IF(OR(ISERROR(Model!ER234),ISERROR(Model!EU234),Model!ER234="",Model!EU234=""),"",IF(EU146&lt;&gt;"",-(Model!EU234-Model!ER234),""))</f>
        <v>-560.41739122551735</v>
      </c>
      <c r="EV142" s="158">
        <f>IF(OR(ISERROR(Model!EU234),ISERROR(Model!EV234),Model!EU234="",Model!EV234=""),"",IF(EV146&lt;&gt;"",-(Model!EV234-Model!EU234),""))</f>
        <v>666.51377142350429</v>
      </c>
      <c r="EW142" s="158">
        <f>IF(OR(ISERROR(Model!EV234),ISERROR(Model!EW234),Model!EV234="",Model!EW234=""),"",IF(EW146&lt;&gt;"",-(Model!EW234-Model!EV234),""))</f>
        <v>-1261.2396921733452</v>
      </c>
      <c r="EX142" s="152">
        <f>IF(OR(ISERROR(Model!EU234),ISERROR(Model!EX234),Model!EU234="",Model!EX234=""),"",IF(EX146&lt;&gt;"",-(Model!EX234-Model!EU234),""))</f>
        <v>-594.72592074984095</v>
      </c>
      <c r="EY142" s="158">
        <f>IF(OR(ISERROR(Model!EX234),ISERROR(Model!EY234),Model!EX234="",Model!EY234=""),"",IF(EY146&lt;&gt;"",-(Model!EY234-Model!EX234),""))</f>
        <v>696.3492819358853</v>
      </c>
      <c r="EZ142" s="158">
        <f>IF(OR(ISERROR(Model!EY234),ISERROR(Model!EZ234),Model!EY234="",Model!EZ234=""),"",IF(EZ146&lt;&gt;"",-(Model!EZ234-Model!EY234),""))</f>
        <v>-1327.5777414410859</v>
      </c>
      <c r="FA142" s="152">
        <f>IF(OR(ISERROR(Model!EX234),ISERROR(Model!FA234),Model!EX234="",Model!FA234=""),"",IF(FA146&lt;&gt;"",-(Model!FA234-Model!EX234),""))</f>
        <v>-631.22845950520059</v>
      </c>
    </row>
    <row r="143" spans="1:157" ht="13.35" customHeight="1">
      <c r="A143" s="3"/>
      <c r="B143" s="4" t="s">
        <v>600</v>
      </c>
      <c r="C143" s="4"/>
      <c r="D143" s="3"/>
      <c r="E143" s="93"/>
      <c r="F143" s="93"/>
      <c r="G143" s="93"/>
      <c r="H143" s="92">
        <f>IF(OR(ISERROR(Model!G263),ISERROR(Model!H263),Model!G263="",Model!H263=""),"",IF(H147&lt;&gt;"",(Model!H263-Model!G263),""))</f>
        <v>0</v>
      </c>
      <c r="I143" s="92">
        <f>IF(OR(ISERROR(Model!H263),ISERROR(Model!I263),Model!H263="",Model!I263=""),"",IF(I147&lt;&gt;"",(Model!I263-Model!H263),""))</f>
        <v>0</v>
      </c>
      <c r="J143" s="92">
        <f>IF(OR(ISERROR(Model!G263),ISERROR(Model!J263),Model!G263="",Model!J263=""),"",IF(J147&lt;&gt;"",(Model!J263-Model!G263),""))</f>
        <v>0</v>
      </c>
      <c r="K143" s="92">
        <f>IF(OR(ISERROR(Model!J263),ISERROR(Model!K263),Model!J263="",Model!K263=""),"",IF(K147&lt;&gt;"",(Model!K263-Model!J263),""))</f>
        <v>0</v>
      </c>
      <c r="L143" s="92">
        <f>IF(OR(ISERROR(Model!K263),ISERROR(Model!L263),Model!K263="",Model!L263=""),"",IF(L147&lt;&gt;"",(Model!L263-Model!K263),""))</f>
        <v>0</v>
      </c>
      <c r="M143" s="92">
        <f>IF(OR(ISERROR(Model!J263),ISERROR(Model!M263),Model!J263="",Model!M263=""),"",IF(M147&lt;&gt;"",(Model!M263-Model!J263),""))</f>
        <v>0</v>
      </c>
      <c r="N143" s="92">
        <f>IF(OR(ISERROR(Model!M263),ISERROR(Model!N263),Model!M263="",Model!N263=""),"",IF(N147&lt;&gt;"",(Model!N263-Model!M263),""))</f>
        <v>0</v>
      </c>
      <c r="O143" s="92">
        <f>IF(OR(ISERROR(Model!N263),ISERROR(Model!O263),Model!N263="",Model!O263=""),"",IF(O147&lt;&gt;"",(Model!O263-Model!N263),""))</f>
        <v>0</v>
      </c>
      <c r="P143" s="92">
        <f>IF(OR(ISERROR(Model!M263),ISERROR(Model!P263),Model!M263="",Model!P263=""),"",IF(P147&lt;&gt;"",(Model!P263-Model!M263),""))</f>
        <v>0</v>
      </c>
      <c r="Q143" s="92">
        <f>IF(OR(ISERROR(Model!P263),ISERROR(Model!Q263),Model!P263="",Model!Q263=""),"",IF(Q147&lt;&gt;"",(Model!Q263-Model!P263),""))</f>
        <v>0</v>
      </c>
      <c r="R143" s="92">
        <f>IF(OR(ISERROR(Model!Q263),ISERROR(Model!R263),Model!Q263="",Model!R263=""),"",IF(R147&lt;&gt;"",(Model!R263-Model!Q263),""))</f>
        <v>0</v>
      </c>
      <c r="S143" s="92">
        <f>IF(OR(ISERROR(Model!P263),ISERROR(Model!S263),Model!P263="",Model!S263=""),"",IF(S147&lt;&gt;"",(Model!S263-Model!P263),""))</f>
        <v>0</v>
      </c>
      <c r="T143" s="92">
        <f>IF(OR(ISERROR(Model!S263),ISERROR(Model!T263),Model!S263="",Model!T263=""),"",IF(T147&lt;&gt;"",(Model!T263-Model!S263),""))</f>
        <v>0</v>
      </c>
      <c r="U143" s="92">
        <f>IF(OR(ISERROR(Model!T263),ISERROR(Model!U263),Model!T263="",Model!U263=""),"",IF(U147&lt;&gt;"",(Model!U263-Model!T263),""))</f>
        <v>0</v>
      </c>
      <c r="V143" s="92">
        <f>IF(OR(ISERROR(Model!S263),ISERROR(Model!V263),Model!S263="",Model!V263=""),"",IF(V147&lt;&gt;"",(Model!V263-Model!S263),""))</f>
        <v>0</v>
      </c>
      <c r="W143" s="92">
        <f>IF(OR(ISERROR(Model!V263),ISERROR(Model!W263),Model!V263="",Model!W263=""),"",IF(W147&lt;&gt;"",(Model!W263-Model!V263),""))</f>
        <v>0</v>
      </c>
      <c r="X143" s="92">
        <f>IF(OR(ISERROR(Model!W263),ISERROR(Model!X263),Model!W263="",Model!X263=""),"",IF(X147&lt;&gt;"",(Model!X263-Model!W263),""))</f>
        <v>0</v>
      </c>
      <c r="Y143" s="92">
        <f>IF(OR(ISERROR(Model!V263),ISERROR(Model!Y263),Model!V263="",Model!Y263=""),"",IF(Y147&lt;&gt;"",(Model!Y263-Model!V263),""))</f>
        <v>0</v>
      </c>
      <c r="Z143" s="92">
        <f>IF(OR(ISERROR(Model!Y263),ISERROR(Model!Z263),Model!Y263="",Model!Z263=""),"",IF(Z147&lt;&gt;"",(Model!Z263-Model!Y263),""))</f>
        <v>0</v>
      </c>
      <c r="AA143" s="92">
        <f>IF(OR(ISERROR(Model!Z263),ISERROR(Model!AA263),Model!Z263="",Model!AA263=""),"",IF(AA147&lt;&gt;"",(Model!AA263-Model!Z263),""))</f>
        <v>0</v>
      </c>
      <c r="AB143" s="92">
        <f>IF(OR(ISERROR(Model!Y263),ISERROR(Model!AB263),Model!Y263="",Model!AB263=""),"",IF(AB147&lt;&gt;"",(Model!AB263-Model!Y263),""))</f>
        <v>0</v>
      </c>
      <c r="AC143" s="92">
        <f>IF(OR(ISERROR(Model!AB263),ISERROR(Model!AC263),Model!AB263="",Model!AC263=""),"",IF(AC147&lt;&gt;"",(Model!AC263-Model!AB263),""))</f>
        <v>0</v>
      </c>
      <c r="AD143" s="92">
        <f>IF(OR(ISERROR(Model!AC263),ISERROR(Model!AD263),Model!AC263="",Model!AD263=""),"",IF(AD147&lt;&gt;"",(Model!AD263-Model!AC263),""))</f>
        <v>0</v>
      </c>
      <c r="AE143" s="92">
        <f>IF(OR(ISERROR(Model!AB263),ISERROR(Model!AE263),Model!AB263="",Model!AE263=""),"",IF(AE147&lt;&gt;"",(Model!AE263-Model!AB263),""))</f>
        <v>0</v>
      </c>
      <c r="AF143" s="92">
        <f>IF(OR(ISERROR(Model!AE263),ISERROR(Model!AF263),Model!AE263="",Model!AF263=""),"",IF(AF147&lt;&gt;"",(Model!AF263-Model!AE263),""))</f>
        <v>0</v>
      </c>
      <c r="AG143" s="92">
        <f>IF(OR(ISERROR(Model!AF263),ISERROR(Model!AG263),Model!AF263="",Model!AG263=""),"",IF(AG147&lt;&gt;"",(Model!AG263-Model!AF263),""))</f>
        <v>0</v>
      </c>
      <c r="AH143" s="92">
        <f>IF(OR(ISERROR(Model!AE263),ISERROR(Model!AH263),Model!AE263="",Model!AH263=""),"",IF(AH147&lt;&gt;"",(Model!AH263-Model!AE263),""))</f>
        <v>0</v>
      </c>
      <c r="AI143" s="92">
        <f>IF(OR(ISERROR(Model!AH263),ISERROR(Model!AI263),Model!AH263="",Model!AI263=""),"",IF(AI147&lt;&gt;"",(Model!AI263-Model!AH263),""))</f>
        <v>0</v>
      </c>
      <c r="AJ143" s="92">
        <f>IF(OR(ISERROR(Model!AI263),ISERROR(Model!AJ263),Model!AI263="",Model!AJ263=""),"",IF(AJ147&lt;&gt;"",(Model!AJ263-Model!AI263),""))</f>
        <v>0</v>
      </c>
      <c r="AK143" s="92">
        <f>IF(OR(ISERROR(Model!AH263),ISERROR(Model!AK263),Model!AH263="",Model!AK263=""),"",IF(AK147&lt;&gt;"",(Model!AK263-Model!AH263),""))</f>
        <v>0</v>
      </c>
      <c r="AL143" s="92">
        <f>IF(OR(ISERROR(Model!AK263),ISERROR(Model!AL263),Model!AK263="",Model!AL263=""),"",IF(AL147&lt;&gt;"",(Model!AL263-Model!AK263),""))</f>
        <v>0</v>
      </c>
      <c r="AM143" s="92">
        <f>IF(OR(ISERROR(Model!AL263),ISERROR(Model!AM263),Model!AL263="",Model!AM263=""),"",IF(AM147&lt;&gt;"",(Model!AM263-Model!AL263),""))</f>
        <v>0</v>
      </c>
      <c r="AN143" s="92">
        <f>IF(OR(ISERROR(Model!AK263),ISERROR(Model!AN263),Model!AK263="",Model!AN263=""),"",IF(AN147&lt;&gt;"",(Model!AN263-Model!AK263),""))</f>
        <v>0</v>
      </c>
      <c r="AO143" s="92">
        <f>IF(OR(ISERROR(Model!AN263),ISERROR(Model!AO263),Model!AN263="",Model!AO263=""),"",IF(AO147&lt;&gt;"",(Model!AO263-Model!AN263),""))</f>
        <v>0</v>
      </c>
      <c r="AP143" s="92">
        <f>IF(OR(ISERROR(Model!AO263),ISERROR(Model!AP263),Model!AO263="",Model!AP263=""),"",IF(AP147&lt;&gt;"",(Model!AP263-Model!AO263),""))</f>
        <v>0</v>
      </c>
      <c r="AQ143" s="92">
        <f>IF(OR(ISERROR(Model!AN263),ISERROR(Model!AQ263),Model!AN263="",Model!AQ263=""),"",IF(AQ147&lt;&gt;"",(Model!AQ263-Model!AN263),""))</f>
        <v>0</v>
      </c>
      <c r="AR143" s="92">
        <f>IF(OR(ISERROR(Model!AQ263),ISERROR(Model!AR263),Model!AQ263="",Model!AR263=""),"",IF(AR147&lt;&gt;"",(Model!AR263-Model!AQ263),""))</f>
        <v>0</v>
      </c>
      <c r="AS143" s="92">
        <f>IF(OR(ISERROR(Model!AR263),ISERROR(Model!AS263),Model!AR263="",Model!AS263=""),"",IF(AS147&lt;&gt;"",(Model!AS263-Model!AR263),""))</f>
        <v>0</v>
      </c>
      <c r="AT143" s="92">
        <f>IF(OR(ISERROR(Model!AQ263),ISERROR(Model!AT263),Model!AQ263="",Model!AT263=""),"",IF(AT147&lt;&gt;"",(Model!AT263-Model!AQ263),""))</f>
        <v>0</v>
      </c>
      <c r="AU143" s="92">
        <f>IF(OR(ISERROR(Model!AT263),ISERROR(Model!AU263),Model!AT263="",Model!AU263=""),"",IF(AU147&lt;&gt;"",(Model!AU263-Model!AT263),""))</f>
        <v>0</v>
      </c>
      <c r="AV143" s="92">
        <f>IF(OR(ISERROR(Model!AU263),ISERROR(Model!AV263),Model!AU263="",Model!AV263=""),"",IF(AV147&lt;&gt;"",(Model!AV263-Model!AU263),""))</f>
        <v>0</v>
      </c>
      <c r="AW143" s="92">
        <f>IF(OR(ISERROR(Model!AT263),ISERROR(Model!AW263),Model!AT263="",Model!AW263=""),"",IF(AW147&lt;&gt;"",(Model!AW263-Model!AT263),""))</f>
        <v>0</v>
      </c>
      <c r="AX143" s="92">
        <f>IF(OR(ISERROR(Model!AW263),ISERROR(Model!AX263),Model!AW263="",Model!AX263=""),"",IF(AX147&lt;&gt;"",(Model!AX263-Model!AW263),""))</f>
        <v>0</v>
      </c>
      <c r="AY143" s="92">
        <f>IF(OR(ISERROR(Model!AX263),ISERROR(Model!AY263),Model!AX263="",Model!AY263=""),"",IF(AY147&lt;&gt;"",(Model!AY263-Model!AX263),""))</f>
        <v>0</v>
      </c>
      <c r="AZ143" s="92">
        <f>IF(OR(ISERROR(Model!AW263),ISERROR(Model!AZ263),Model!AW263="",Model!AZ263=""),"",IF(AZ147&lt;&gt;"",(Model!AZ263-Model!AW263),""))</f>
        <v>0</v>
      </c>
      <c r="BA143" s="92"/>
      <c r="BB143" s="92"/>
      <c r="BC143" s="92">
        <f>IF(OR(ISERROR(Model!AZ263),ISERROR(Model!BC263),Model!AZ263="",Model!BC263=""),"",IF(BC147&lt;&gt;"",(Model!BC263-Model!AZ263),""))</f>
        <v>0</v>
      </c>
      <c r="BD143" s="92">
        <f>IF(OR(ISERROR(Model!BC263),ISERROR(Model!BD263),Model!BC263="",Model!BD263=""),"",IF(BD147&lt;&gt;"",(Model!BD263-Model!BC263),""))</f>
        <v>0</v>
      </c>
      <c r="BE143" s="92">
        <f>IF(OR(ISERROR(Model!BD263),ISERROR(Model!BE263),Model!BD263="",Model!BE263=""),"",IF(BE147&lt;&gt;"",(Model!BE263-Model!BD263),""))</f>
        <v>0</v>
      </c>
      <c r="BF143" s="92">
        <f>IF(OR(ISERROR(Model!BC263),ISERROR(Model!BF263),Model!BC263="",Model!BF263=""),"",IF(BF147&lt;&gt;"",(Model!BF263-Model!BC263),""))</f>
        <v>0</v>
      </c>
      <c r="BG143" s="92">
        <f>IF(OR(ISERROR(Model!BF263),ISERROR(Model!BG263),Model!BF263="",Model!BG263=""),"",IF(BG147&lt;&gt;"",(Model!BG263-Model!BF263),""))</f>
        <v>0</v>
      </c>
      <c r="BH143" s="92">
        <f>IF(OR(ISERROR(Model!BG263),ISERROR(Model!BH263),Model!BG263="",Model!BH263=""),"",IF(BH147&lt;&gt;"",(Model!BH263-Model!BG263),""))</f>
        <v>0</v>
      </c>
      <c r="BI143" s="92">
        <f>IF(OR(ISERROR(Model!BF263),ISERROR(Model!BI263),Model!BF263="",Model!BI263=""),"",IF(BI147&lt;&gt;"",(Model!BI263-Model!BF263),""))</f>
        <v>0</v>
      </c>
      <c r="BJ143" s="92">
        <f>IF(OR(ISERROR(Model!BI263),ISERROR(Model!BJ263),Model!BI263="",Model!BJ263=""),"",IF(BJ147&lt;&gt;"",(Model!BJ263-Model!BI263),""))</f>
        <v>0</v>
      </c>
      <c r="BK143" s="92">
        <f>IF(OR(ISERROR(Model!BJ263),ISERROR(Model!BK263),Model!BJ263="",Model!BK263=""),"",IF(BK147&lt;&gt;"",(Model!BK263-Model!BJ263),""))</f>
        <v>0</v>
      </c>
      <c r="BL143" s="92">
        <f>IF(OR(ISERROR(Model!BI263),ISERROR(Model!BL263),Model!BI263="",Model!BL263=""),"",IF(BL147&lt;&gt;"",(Model!BL263-Model!BI263),""))</f>
        <v>0</v>
      </c>
      <c r="BM143" s="158">
        <f>IF(OR(ISERROR(Model!BL263),ISERROR(Model!BM263),Model!BL263="",Model!BM263=""),"",IF(BM147&lt;&gt;"",(Model!BM263-Model!BL263),""))</f>
        <v>0</v>
      </c>
      <c r="BN143" s="158">
        <f>IF(OR(ISERROR(Model!BM263),ISERROR(Model!BN263),Model!BM263="",Model!BN263=""),"",IF(BN147&lt;&gt;"",(Model!BN263-Model!BM263),""))</f>
        <v>0</v>
      </c>
      <c r="BO143" s="158">
        <f>IF(OR(ISERROR(Model!BL263),ISERROR(Model!BO263),Model!BL263="",Model!BO263=""),"",IF(BO147&lt;&gt;"",(Model!BO263-Model!BL263),""))</f>
        <v>0</v>
      </c>
      <c r="BP143" s="158"/>
      <c r="BQ143" s="158"/>
      <c r="BR143" s="158"/>
      <c r="BS143" s="158"/>
      <c r="BT143" s="158"/>
      <c r="BU143" s="158"/>
      <c r="BV143" s="158">
        <f>IF(OR(ISERROR(Model!BU263),ISERROR(Model!BV263),Model!BU263="",Model!BV263=""),"",IF(BV147&lt;&gt;"",(Model!BV263-Model!BU263),""))</f>
        <v>0</v>
      </c>
      <c r="BW143" s="158">
        <f>IF(OR(ISERROR(Model!BV263),ISERROR(Model!BW263),Model!BV263="",Model!BW263=""),"",IF(BW147&lt;&gt;"",(Model!BW263-Model!BV263),""))</f>
        <v>423</v>
      </c>
      <c r="BX143" s="158">
        <f>IF(OR(ISERROR(Model!BU263),ISERROR(Model!BX263),Model!BU263="",Model!BX263=""),"",IF(BX147&lt;&gt;"",(Model!BX263-Model!BU263),""))</f>
        <v>423</v>
      </c>
      <c r="BY143" s="158">
        <f>IF(OR(ISERROR(Model!BX263),ISERROR(Model!BY263),Model!BX263="",Model!BY263=""),"",IF(BY147&lt;&gt;"",(Model!BY263-Model!BX263),""))</f>
        <v>-423</v>
      </c>
      <c r="BZ143" s="158">
        <f>IF(OR(ISERROR(Model!BY263),ISERROR(Model!BZ263),Model!BY263="",Model!BZ263=""),"",IF(BZ147&lt;&gt;"",(Model!BZ263-Model!BY263),""))</f>
        <v>539</v>
      </c>
      <c r="CA143" s="158">
        <f>IF(OR(ISERROR(Model!BX263),ISERROR(Model!CA263),Model!BX263="",Model!CA263=""),"",IF(CA147&lt;&gt;"",(Model!CA263-Model!BX263),""))</f>
        <v>116</v>
      </c>
      <c r="CB143" s="158">
        <f>IF(OR(ISERROR(Model!CA263),ISERROR(Model!CB263),Model!CA263="",Model!CB263=""),"",IF(CB147&lt;&gt;"",(Model!CB263-Model!CA263),""))</f>
        <v>-539</v>
      </c>
      <c r="CC143" s="158">
        <f>IF(OR(ISERROR(Model!CB263),ISERROR(Model!CC263),Model!CB263="",Model!CC263=""),"",IF(CC147&lt;&gt;"",(Model!CC263-Model!CB263),""))</f>
        <v>413</v>
      </c>
      <c r="CD143" s="158">
        <f>IF(OR(ISERROR(Model!CA263),ISERROR(Model!CD263),Model!CA263="",Model!CD263=""),"",IF(CD147&lt;&gt;"",(Model!CD263-Model!CA263),""))</f>
        <v>-126</v>
      </c>
      <c r="CE143" s="158">
        <f>IF(OR(ISERROR(Model!CD263),ISERROR(Model!CE263),Model!CD263="",Model!CE263=""),"",IF(CE147&lt;&gt;"",(Model!CE263-Model!CD263),""))</f>
        <v>-413</v>
      </c>
      <c r="CF143" s="158">
        <f>IF(OR(ISERROR(Model!CE263),ISERROR(Model!CF263),Model!CE263="",Model!CF263=""),"",IF(CF147&lt;&gt;"",(Model!CF263-Model!CE263),""))</f>
        <v>530</v>
      </c>
      <c r="CG143" s="158">
        <f>IF(OR(ISERROR(Model!CD263),ISERROR(Model!CG263),Model!CD263="",Model!CG263=""),"",IF(CG147&lt;&gt;"",(Model!CG263-Model!CD263),""))</f>
        <v>117</v>
      </c>
      <c r="CH143" s="158">
        <f>IF(OR(ISERROR(Model!CG263),ISERROR(Model!CH263),Model!CG263="",Model!CH263=""),"",IF(CH147&lt;&gt;"",(Model!CH263-Model!CG263),""))</f>
        <v>-106.089</v>
      </c>
      <c r="CI143" s="158">
        <f>IF(OR(ISERROR(Model!CH263),ISERROR(Model!CI263),Model!CH263="",Model!CI263=""),"",IF(CI147&lt;&gt;"",(Model!CI263-Model!CH263),""))</f>
        <v>104.98899999999998</v>
      </c>
      <c r="CJ143" s="158">
        <f>IF(OR(ISERROR(Model!CG263),ISERROR(Model!CJ263),Model!CG263="",Model!CJ263=""),"",IF(CJ147&lt;&gt;"",(Model!CJ263-Model!CG263),""))</f>
        <v>-1.1000000000000227</v>
      </c>
      <c r="CK143" s="158">
        <f>IF(OR(ISERROR(Model!CJ263),ISERROR(Model!CK263),Model!CJ263="",Model!CK263=""),"",IF(CK147&lt;&gt;"",(Model!CK263-Model!CJ263),""))</f>
        <v>119</v>
      </c>
      <c r="CL143" s="158">
        <f>IF(OR(ISERROR(Model!CK263),ISERROR(Model!CL263),Model!CK263="",Model!CL263=""),"",IF(CL147&lt;&gt;"",(Model!CL263-Model!CK263),""))</f>
        <v>0</v>
      </c>
      <c r="CM143" s="158">
        <f>IF(OR(ISERROR(Model!CJ263),ISERROR(Model!CM263),Model!CJ263="",Model!CM263=""),"",IF(CM147&lt;&gt;"",(Model!CM263-Model!CJ263),""))</f>
        <v>119</v>
      </c>
      <c r="CN143" s="158">
        <f>IF(OR(ISERROR(Model!CM263),ISERROR(Model!CN263),Model!CM263="",Model!CN263=""),"",IF(CN147&lt;&gt;"",(Model!CN263-Model!CM263),""))</f>
        <v>-101.39999999999998</v>
      </c>
      <c r="CO143" s="158">
        <f>IF(OR(ISERROR(Model!CN263),ISERROR(Model!CO263),Model!CN263="",Model!CO263=""),"",IF(CO147&lt;&gt;"",(Model!CO263-Model!CN263),""))</f>
        <v>84.899999999999977</v>
      </c>
      <c r="CP143" s="158">
        <f>IF(OR(ISERROR(Model!CM263),ISERROR(Model!CP263),Model!CM263="",Model!CP263=""),"",IF(CP147&lt;&gt;"",(Model!CP263-Model!CM263),""))</f>
        <v>-16.5</v>
      </c>
      <c r="CQ143" s="158">
        <f>IF(OR(ISERROR(Model!CP263),ISERROR(Model!CQ263),Model!CP263="",Model!CQ263=""),"",IF(CQ147&lt;&gt;"",(Model!CQ263-Model!CP263),""))</f>
        <v>-5</v>
      </c>
      <c r="CR143" s="158">
        <f>IF(OR(ISERROR(Model!CQ263),ISERROR(Model!CR263),Model!CQ263="",Model!CR263=""),"",IF(CR147&lt;&gt;"",(Model!CR263-Model!CQ263),""))</f>
        <v>74.399999999999977</v>
      </c>
      <c r="CS143" s="158">
        <f>IF(OR(ISERROR(Model!CP263),ISERROR(Model!CS263),Model!CP263="",Model!CS263=""),"",IF(CS147&lt;&gt;"",(Model!CS263-Model!CP263),""))</f>
        <v>69.399999999999977</v>
      </c>
      <c r="CT143" s="158">
        <f>IF(OR(ISERROR(Model!CS263),ISERROR(Model!CT263),Model!CS263="",Model!CT263=""),"",IF(CT147&lt;&gt;"",(Model!CT263-Model!CS263),""))</f>
        <v>204.10000000000002</v>
      </c>
      <c r="CU143" s="158">
        <f>IF(OR(ISERROR(Model!CT263),ISERROR(Model!CU263),Model!CT263="",Model!CU263=""),"",IF(CU147&lt;&gt;"",(Model!CU263-Model!CT263),""))</f>
        <v>91.200000000000045</v>
      </c>
      <c r="CV143" s="158">
        <f>IF(OR(ISERROR(Model!CS263),ISERROR(Model!CV263),Model!CS263="",Model!CV263=""),"",IF(CV147&lt;&gt;"",(Model!CV263-Model!CS263),""))</f>
        <v>295.30000000000007</v>
      </c>
      <c r="CW143" s="158">
        <f>IF(OR(ISERROR(Model!CV263),ISERROR(Model!CW263),Model!CV263="",Model!CW263=""),"",IF(CW147&lt;&gt;"",(Model!CW263-Model!CV263),""))</f>
        <v>-19.700000000000045</v>
      </c>
      <c r="CX143" s="158">
        <f>IF(OR(ISERROR(Model!CW263),ISERROR(Model!CX263),Model!CW263="",Model!CX263=""),"",IF(CX147&lt;&gt;"",(Model!CX263-Model!CW263),""))</f>
        <v>179.39999999999998</v>
      </c>
      <c r="CY143" s="158">
        <f>IF(OR(ISERROR(Model!CV263),ISERROR(Model!CY263),Model!CV263="",Model!CY263=""),"",IF(CY147&lt;&gt;"",(Model!CY263-Model!CV263),""))</f>
        <v>159.69999999999993</v>
      </c>
      <c r="CZ143" s="158">
        <f>IF(OR(ISERROR(Model!CY263),ISERROR(Model!CZ263),Model!CY263="",Model!CZ263=""),"",IF(CZ147&lt;&gt;"",(Model!CZ263-Model!CY263),""))</f>
        <v>-139.09999999999991</v>
      </c>
      <c r="DA143" s="158">
        <f>IF(OR(ISERROR(Model!CZ263),ISERROR(Model!DA263),Model!CZ263="",Model!DA263=""),"",IF(DA147&lt;&gt;"",(Model!DA263-Model!CZ263),""))</f>
        <v>240.09999999999991</v>
      </c>
      <c r="DB143" s="158">
        <f>IF(OR(ISERROR(Model!CY263),ISERROR(Model!DB263),Model!CY263="",Model!DB263=""),"",IF(DB147&lt;&gt;"",(Model!DB263-Model!CY263),""))</f>
        <v>101</v>
      </c>
      <c r="DC143" s="158">
        <f>IF(OR(ISERROR(Model!DB263),ISERROR(Model!DC263),Model!DB263="",Model!DC263=""),"",IF(DC147&lt;&gt;"",(Model!DC263-Model!DB263),""))</f>
        <v>-151.59999999999991</v>
      </c>
      <c r="DD143" s="158">
        <f>IF(OR(ISERROR(Model!DC263),ISERROR(Model!DD263),Model!DC263="",Model!DD263=""),"",IF(DD147&lt;&gt;"",(Model!DD263-Model!DC263),""))</f>
        <v>302.5</v>
      </c>
      <c r="DE143" s="152">
        <f>IF(OR(ISERROR(Model!DB263),ISERROR(Model!DE263),Model!DB263="",Model!DE263=""),"",IF(DE147&lt;&gt;"",(Model!DE263-Model!DB263),""))</f>
        <v>150.90000000000009</v>
      </c>
      <c r="DF143" s="158">
        <f>IF(OR(ISERROR(Model!DE263),ISERROR(Model!DF263),Model!DE263="",Model!DF263=""),"",IF(DF147&lt;&gt;"",(Model!DF263-Model!DE263),""))</f>
        <v>-47.900000000000091</v>
      </c>
      <c r="DG143" s="158">
        <f>IF(OR(ISERROR(Model!DF263),ISERROR(Model!DG263),Model!DF263="",Model!DG263=""),"",IF(DG147&lt;&gt;"",(Model!DG263-Model!DF263),""))</f>
        <v>165.60000000000014</v>
      </c>
      <c r="DH143" s="152">
        <f>IF(OR(ISERROR(Model!DE263),ISERROR(Model!DH263),Model!DE263="",Model!DH263=""),"",IF(DH147&lt;&gt;"",(Model!DH263-Model!DE263),""))</f>
        <v>117.70000000000005</v>
      </c>
      <c r="DI143" s="158">
        <f>IF(OR(ISERROR(Model!DH263),ISERROR(Model!DI263),Model!DH263="",Model!DI263=""),"",IF(DI147&lt;&gt;"",(Model!DI263-Model!DH263),""))</f>
        <v>95.099999999999909</v>
      </c>
      <c r="DJ143" s="158">
        <f>IF(OR(ISERROR(Model!DI263),ISERROR(Model!DJ263),Model!DI263="",Model!DJ263=""),"",IF(DJ147&lt;&gt;"",(Model!DJ263-Model!DI263),""))</f>
        <v>419.20000000000005</v>
      </c>
      <c r="DK143" s="152">
        <f>IF(OR(ISERROR(Model!DH263),ISERROR(Model!DK263),Model!DH263="",Model!DK263=""),"",IF(DK147&lt;&gt;"",(Model!DK263-Model!DH263),""))</f>
        <v>514.29999999999995</v>
      </c>
      <c r="DL143" s="158">
        <f>IF(OR(ISERROR(Model!DK263),ISERROR(Model!DL263),Model!DK263="",Model!DL263=""),"",IF(DL147&lt;&gt;"",(Model!DL263-Model!DK263),""))</f>
        <v>-313.20000000000005</v>
      </c>
      <c r="DM143" s="158">
        <f>IF(OR(ISERROR(Model!DL263),ISERROR(Model!DM263),Model!DL263="",Model!DM263=""),"",IF(DM147&lt;&gt;"",(Model!DM263-Model!DL263),""))</f>
        <v>574.69999999999982</v>
      </c>
      <c r="DN143" s="152">
        <f>IF(OR(ISERROR(Model!DK263),ISERROR(Model!DN263),Model!DK263="",Model!DN263=""),"",IF(DN147&lt;&gt;"",(Model!DN263-Model!DK263),""))</f>
        <v>261.49999999999977</v>
      </c>
      <c r="DO143" s="158">
        <f>IF(OR(ISERROR(Model!DN263),ISERROR(Model!DO263),Model!DN263="",Model!DO263=""),"",IF(DO147&lt;&gt;"",(Model!DO263-Model!DN263),""))</f>
        <v>257.80000000000018</v>
      </c>
      <c r="DP143" s="158">
        <f>IF(OR(ISERROR(Model!DO263),ISERROR(Model!DP263),Model!DO263="",Model!DP263=""),"",IF(DP147&lt;&gt;"",(Model!DP263-Model!DO263),""))</f>
        <v>388</v>
      </c>
      <c r="DQ143" s="152">
        <f>IF(OR(ISERROR(Model!DN263),ISERROR(Model!DQ263),Model!DN263="",Model!DQ263=""),"",IF(DQ147&lt;&gt;"",(Model!DQ263-Model!DN263),""))</f>
        <v>645.80000000000018</v>
      </c>
      <c r="DR143" s="158">
        <f>IF(OR(ISERROR(Model!DQ263),ISERROR(Model!DR263),Model!DQ263="",Model!DR263=""),"",IF(DR147&lt;&gt;"",(Model!DR263-Model!DQ263),""))</f>
        <v>-50</v>
      </c>
      <c r="DS143" s="158">
        <f>IF(OR(ISERROR(Model!DR263),ISERROR(Model!DS263),Model!DR263="",Model!DS263=""),"",IF(DS147&lt;&gt;"",(Model!DS263-Model!DR263),""))</f>
        <v>448</v>
      </c>
      <c r="DT143" s="152">
        <f>IF(OR(ISERROR(Model!DQ263),ISERROR(Model!DT263),Model!DQ263="",Model!DT263=""),"",IF(DT147&lt;&gt;"",(Model!DT263-Model!DQ263),""))</f>
        <v>398</v>
      </c>
      <c r="DU143" s="158">
        <f>IF(OR(ISERROR(Model!DT263),ISERROR(Model!DU263),Model!DT263="",Model!DU263=""),"",IF(DU147&lt;&gt;"",(Model!DU263-Model!DT263),""))</f>
        <v>-368</v>
      </c>
      <c r="DV143" s="158">
        <f>IF(OR(ISERROR(Model!DU263),ISERROR(Model!DV263),Model!DU263="",Model!DV263=""),"",IF(DV147&lt;&gt;"",(Model!DV263-Model!DU263),""))</f>
        <v>484</v>
      </c>
      <c r="DW143" s="152">
        <f>IF(OR(ISERROR(Model!DT263),ISERROR(Model!DW263),Model!DT263="",Model!DW263=""),"",IF(DW147&lt;&gt;"",(Model!DW263-Model!DT263),""))</f>
        <v>116</v>
      </c>
      <c r="DX143" s="158">
        <f>IF(OR(ISERROR(Model!DW263),ISERROR(Model!DX263),Model!DW263="",Model!DX263=""),"",IF(DX147&lt;&gt;"",(Model!DX263-Model!DW263),""))</f>
        <v>-290</v>
      </c>
      <c r="DY143" s="158">
        <f>IF(OR(ISERROR(Model!DX263),ISERROR(Model!DY263),Model!DX263="",Model!DY263=""),"",IF(DY147&lt;&gt;"",(Model!DY263-Model!DX263),""))</f>
        <v>698.29681371706738</v>
      </c>
      <c r="DZ143" s="152">
        <f>IF(OR(ISERROR(Model!DW263),ISERROR(Model!DZ263),Model!DW263="",Model!DZ263=""),"",IF(DZ147&lt;&gt;"",(Model!DZ263-Model!DW263),""))</f>
        <v>408.29681371706738</v>
      </c>
      <c r="EA143" s="158">
        <f>IF(OR(ISERROR(Model!DZ263),ISERROR(Model!EA263),Model!DZ263="",Model!EA263=""),"",IF(EA147&lt;&gt;"",(Model!EA263-Model!DZ263),""))</f>
        <v>-584.59578324592667</v>
      </c>
      <c r="EB143" s="158">
        <f>IF(OR(ISERROR(Model!EA263),ISERROR(Model!EB263),Model!EA263="",Model!EB263=""),"",IF(EB147&lt;&gt;"",(Model!EB263-Model!EA263),""))</f>
        <v>758.24069303179203</v>
      </c>
      <c r="EC143" s="152">
        <f>IF(OR(ISERROR(Model!DZ263),ISERROR(Model!EC263),Model!DZ263="",Model!EC263=""),"",IF(EC147&lt;&gt;"",(Model!EC263-Model!DZ263),""))</f>
        <v>173.64490978586537</v>
      </c>
      <c r="ED143" s="158">
        <f>IF(OR(ISERROR(Model!EC263),ISERROR(Model!ED263),Model!EC263="",Model!ED263=""),"",IF(ED147&lt;&gt;"",(Model!ED263-Model!EC263),""))</f>
        <v>-606.81565284950238</v>
      </c>
      <c r="EE143" s="158">
        <f>IF(OR(ISERROR(Model!ED263),ISERROR(Model!EE263),Model!ED263="",Model!EE263=""),"",IF(EE147&lt;&gt;"",(Model!EE263-Model!ED263),""))</f>
        <v>784.27230320347098</v>
      </c>
      <c r="EF143" s="152">
        <f>IF(OR(ISERROR(Model!EC263),ISERROR(Model!EF263),Model!EC263="",Model!EF263=""),"",IF(EF147&lt;&gt;"",(Model!EF263-Model!EC263),""))</f>
        <v>177.4566503539686</v>
      </c>
      <c r="EG143" s="158">
        <f>IF(OR(ISERROR(Model!EF263),ISERROR(Model!EG263),Model!EF263="",Model!EG263=""),"",IF(EG147&lt;&gt;"",(Model!EG263-Model!EF263),""))</f>
        <v>-583.46573824102279</v>
      </c>
      <c r="EH143" s="158">
        <f>IF(OR(ISERROR(Model!EG263),ISERROR(Model!EH263),Model!EG263="",Model!EH263=""),"",IF(EH147&lt;&gt;"",(Model!EH263-Model!EG263),""))</f>
        <v>800.90276182736534</v>
      </c>
      <c r="EI143" s="152">
        <f>IF(OR(ISERROR(Model!EF263),ISERROR(Model!EI263),Model!EF263="",Model!EI263=""),"",IF(EI147&lt;&gt;"",(Model!EI263-Model!EF263),""))</f>
        <v>217.43702358634255</v>
      </c>
      <c r="EJ143" s="158">
        <f>IF(OR(ISERROR(Model!EI263),ISERROR(Model!EJ263),Model!EI263="",Model!EJ263=""),"",IF(EJ147&lt;&gt;"",(Model!EJ263-Model!EI263),""))</f>
        <v>-585.62818614438811</v>
      </c>
      <c r="EK143" s="158">
        <f>IF(OR(ISERROR(Model!EJ263),ISERROR(Model!EK263),Model!EJ263="",Model!EK263=""),"",IF(EK147&lt;&gt;"",(Model!EK263-Model!EJ263),""))</f>
        <v>818.43454701659766</v>
      </c>
      <c r="EL143" s="152">
        <f>IF(OR(ISERROR(Model!EI263),ISERROR(Model!EL263),Model!EI263="",Model!EL263=""),"",IF(EL147&lt;&gt;"",(Model!EL263-Model!EI263),""))</f>
        <v>232.80636087220955</v>
      </c>
      <c r="EM143" s="158">
        <f>IF(OR(ISERROR(Model!EL263),ISERROR(Model!EM263),Model!EL263="",Model!EM263=""),"",IF(EM147&lt;&gt;"",(Model!EM263-Model!EL263),""))</f>
        <v>-607.17590498046184</v>
      </c>
      <c r="EN143" s="158">
        <f>IF(OR(ISERROR(Model!EM263),ISERROR(Model!EN263),Model!EM263="",Model!EN263=""),"",IF(EN147&lt;&gt;"",(Model!EN263-Model!EM263),""))</f>
        <v>814.68832637564219</v>
      </c>
      <c r="EO143" s="152">
        <f>IF(OR(ISERROR(Model!EL263),ISERROR(Model!EO263),Model!EL263="",Model!EO263=""),"",IF(EO147&lt;&gt;"",(Model!EO263-Model!EL263),""))</f>
        <v>207.51242139518035</v>
      </c>
      <c r="EP143" s="158">
        <f>IF(OR(ISERROR(Model!EO263),ISERROR(Model!EP263),Model!EO263="",Model!EP263=""),"",IF(EP147&lt;&gt;"",(Model!EP263-Model!EO263),""))</f>
        <v>-594.82302705923939</v>
      </c>
      <c r="EQ143" s="158">
        <f>IF(OR(ISERROR(Model!EP263),ISERROR(Model!EQ263),Model!EP263="",Model!EQ263=""),"",IF(EQ147&lt;&gt;"",(Model!EQ263-Model!EP263),""))</f>
        <v>816.44276559024365</v>
      </c>
      <c r="ER143" s="152">
        <f>IF(OR(ISERROR(Model!EO263),ISERROR(Model!ER263),Model!EO263="",Model!ER263=""),"",IF(ER147&lt;&gt;"",(Model!ER263-Model!EO263),""))</f>
        <v>221.61973853100426</v>
      </c>
      <c r="ES143" s="158">
        <f>IF(OR(ISERROR(Model!ER263),ISERROR(Model!ES263),Model!ER263="",Model!ES263=""),"",IF(ES147&lt;&gt;"",(Model!ES263-Model!ER263),""))</f>
        <v>-578.59999479598173</v>
      </c>
      <c r="ET143" s="158">
        <f>IF(OR(ISERROR(Model!ES263),ISERROR(Model!ET263),Model!ES263="",Model!ET263=""),"",IF(ET147&lt;&gt;"",(Model!ET263-Model!ES263),""))</f>
        <v>814.15985264397659</v>
      </c>
      <c r="EU143" s="152">
        <f>IF(OR(ISERROR(Model!ER263),ISERROR(Model!EU263),Model!ER263="",Model!EU263=""),"",IF(EU147&lt;&gt;"",(Model!EU263-Model!ER263),""))</f>
        <v>235.55985784799486</v>
      </c>
      <c r="EV143" s="158">
        <f>IF(OR(ISERROR(Model!EU263),ISERROR(Model!EV263),Model!EU263="",Model!EV263=""),"",IF(EV147&lt;&gt;"",(Model!EV263-Model!EU263),""))</f>
        <v>-561.56044168318294</v>
      </c>
      <c r="EW143" s="158">
        <f>IF(OR(ISERROR(Model!EV263),ISERROR(Model!EW263),Model!EV263="",Model!EW263=""),"",IF(EW147&lt;&gt;"",(Model!EW263-Model!EV263),""))</f>
        <v>809.05161830835277</v>
      </c>
      <c r="EX143" s="152">
        <f>IF(OR(ISERROR(Model!EU263),ISERROR(Model!EX263),Model!EU263="",Model!EX263=""),"",IF(EX147&lt;&gt;"",(Model!EX263-Model!EU263),""))</f>
        <v>247.49117662516983</v>
      </c>
      <c r="EY143" s="158">
        <f>IF(OR(ISERROR(Model!EX263),ISERROR(Model!EY263),Model!EX263="",Model!EY263=""),"",IF(EY147&lt;&gt;"",(Model!EY263-Model!EX263),""))</f>
        <v>-540.72867344555925</v>
      </c>
      <c r="EZ143" s="158">
        <f>IF(OR(ISERROR(Model!EY263),ISERROR(Model!EZ263),Model!EY263="",Model!EZ263=""),"",IF(EZ147&lt;&gt;"",(Model!EZ263-Model!EY263),""))</f>
        <v>800.74819483706233</v>
      </c>
      <c r="FA143" s="152">
        <f>IF(OR(ISERROR(Model!EX263),ISERROR(Model!FA263),Model!EX263="",Model!FA263=""),"",IF(FA147&lt;&gt;"",(Model!FA263-Model!EX263),""))</f>
        <v>260.01952139150308</v>
      </c>
    </row>
    <row r="144" spans="1:157" ht="13.35" customHeight="1">
      <c r="A144" s="3"/>
      <c r="B144" s="5" t="s">
        <v>243</v>
      </c>
      <c r="C144" s="5"/>
      <c r="D144" s="3"/>
      <c r="E144" s="84"/>
      <c r="F144" s="84"/>
      <c r="G144" s="84"/>
      <c r="H144" s="84"/>
      <c r="I144" s="84"/>
      <c r="J144" s="84"/>
      <c r="K144" s="84"/>
      <c r="L144" s="84"/>
      <c r="M144" s="84"/>
      <c r="N144" s="84"/>
      <c r="O144" s="84"/>
      <c r="P144" s="84"/>
      <c r="Q144" s="84"/>
      <c r="R144" s="84"/>
      <c r="S144" s="84"/>
      <c r="T144" s="84"/>
      <c r="U144" s="84"/>
      <c r="V144" s="84"/>
      <c r="W144" s="84"/>
      <c r="X144" s="84"/>
      <c r="Y144" s="84"/>
      <c r="Z144" s="84"/>
      <c r="AA144" s="84"/>
      <c r="AB144" s="84"/>
      <c r="AC144" s="84"/>
      <c r="AD144" s="84"/>
      <c r="AE144" s="84"/>
      <c r="AF144" s="84"/>
      <c r="AG144" s="84"/>
      <c r="AH144" s="84"/>
      <c r="AI144" s="84"/>
      <c r="AJ144" s="84"/>
      <c r="AK144" s="84"/>
      <c r="AL144" s="84"/>
      <c r="AM144" s="84"/>
      <c r="AN144" s="84"/>
      <c r="AO144" s="84"/>
      <c r="AP144" s="84"/>
      <c r="AQ144" s="84"/>
      <c r="AR144" s="84"/>
      <c r="AS144" s="84"/>
      <c r="AT144" s="84"/>
      <c r="AU144" s="84"/>
      <c r="AV144" s="84"/>
      <c r="AW144" s="84"/>
      <c r="AX144" s="84"/>
      <c r="AY144" s="84"/>
      <c r="AZ144" s="84"/>
      <c r="BA144" s="84"/>
      <c r="BB144" s="84"/>
      <c r="BC144" s="84"/>
      <c r="BD144" s="84"/>
      <c r="BE144" s="84"/>
      <c r="BF144" s="84"/>
      <c r="BG144" s="84"/>
      <c r="BH144" s="84"/>
      <c r="BI144" s="84"/>
      <c r="BJ144" s="84"/>
      <c r="BK144" s="84"/>
      <c r="BL144" s="84"/>
      <c r="BM144" s="84"/>
      <c r="BN144" s="84"/>
      <c r="BO144" s="84"/>
      <c r="BP144" s="84"/>
      <c r="BQ144" s="84"/>
      <c r="BR144" s="84"/>
      <c r="BS144" s="84"/>
      <c r="BT144" s="84"/>
      <c r="BU144" s="84"/>
      <c r="BV144" s="84"/>
      <c r="BW144" s="84"/>
      <c r="BX144" s="84"/>
      <c r="BY144" s="84"/>
      <c r="BZ144" s="84"/>
      <c r="CA144" s="84"/>
      <c r="CB144" s="84"/>
      <c r="CC144" s="84"/>
      <c r="CD144" s="84"/>
      <c r="CE144" s="84"/>
      <c r="CF144" s="84"/>
      <c r="CG144" s="84"/>
      <c r="CH144" s="84"/>
      <c r="CI144" s="84"/>
      <c r="CJ144" s="84"/>
      <c r="CK144" s="84"/>
      <c r="CL144" s="84"/>
      <c r="CM144" s="84"/>
      <c r="CN144" s="84"/>
      <c r="CO144" s="84"/>
      <c r="CP144" s="84"/>
      <c r="CQ144" s="84"/>
      <c r="CR144" s="84"/>
      <c r="CS144" s="84"/>
      <c r="CT144" s="84"/>
      <c r="CU144" s="84"/>
      <c r="CV144" s="84"/>
      <c r="CW144" s="84"/>
      <c r="CX144" s="84"/>
      <c r="CY144" s="84"/>
      <c r="CZ144" s="84"/>
      <c r="DA144" s="84"/>
      <c r="DB144" s="84"/>
      <c r="DC144" s="84"/>
      <c r="DD144" s="84"/>
      <c r="DE144" s="140"/>
      <c r="DF144" s="84"/>
      <c r="DG144" s="84"/>
      <c r="DH144" s="140"/>
      <c r="DI144" s="84"/>
      <c r="DJ144" s="84"/>
      <c r="DK144" s="140"/>
      <c r="DL144" s="84"/>
      <c r="DM144" s="84"/>
      <c r="DN144" s="140"/>
      <c r="DO144" s="84"/>
      <c r="DP144" s="84"/>
      <c r="DQ144" s="140"/>
      <c r="DR144" s="84"/>
      <c r="DS144" s="84"/>
      <c r="DT144" s="140"/>
      <c r="DU144" s="84"/>
      <c r="DV144" s="84"/>
      <c r="DW144" s="140"/>
      <c r="DX144" s="84"/>
      <c r="DY144" s="84"/>
      <c r="DZ144" s="140"/>
      <c r="EA144" s="84"/>
      <c r="EB144" s="84"/>
      <c r="EC144" s="140"/>
      <c r="ED144" s="84"/>
      <c r="EE144" s="84"/>
      <c r="EF144" s="140"/>
      <c r="EG144" s="84"/>
      <c r="EH144" s="84"/>
      <c r="EI144" s="140"/>
      <c r="EJ144" s="84"/>
      <c r="EK144" s="84"/>
      <c r="EL144" s="140"/>
      <c r="EM144" s="84"/>
      <c r="EN144" s="84"/>
      <c r="EO144" s="140"/>
      <c r="EP144" s="84"/>
      <c r="EQ144" s="84"/>
      <c r="ER144" s="140"/>
      <c r="ES144" s="84"/>
      <c r="ET144" s="84"/>
      <c r="EU144" s="140"/>
      <c r="EV144" s="84"/>
      <c r="EW144" s="84"/>
      <c r="EX144" s="140"/>
      <c r="EY144" s="84"/>
      <c r="EZ144" s="84"/>
      <c r="FA144" s="140"/>
    </row>
    <row r="145" spans="1:157" ht="13.35" customHeight="1">
      <c r="A145" s="3"/>
      <c r="B145" s="4" t="s">
        <v>647</v>
      </c>
      <c r="C145" s="4"/>
      <c r="D145" s="4"/>
      <c r="E145" s="95">
        <f>IF(ISERROR(Model!E325),"",Model!E325)</f>
        <v>0</v>
      </c>
      <c r="F145" s="95">
        <f>IF(ISERROR(Model!F325),"",Model!F325)</f>
        <v>0</v>
      </c>
      <c r="G145" s="95">
        <f>IF(ISERROR(Model!G325),"",Model!G325)</f>
        <v>0</v>
      </c>
      <c r="H145" s="95">
        <f>IF(ISERROR(Model!H325),"",Model!H325)</f>
        <v>0</v>
      </c>
      <c r="I145" s="95">
        <f>IF(ISERROR(Model!I325),"",Model!I325)</f>
        <v>0</v>
      </c>
      <c r="J145" s="95">
        <f>IF(ISERROR(Model!J325),"",Model!J325)</f>
        <v>0</v>
      </c>
      <c r="K145" s="95">
        <f>IF(ISERROR(Model!K325),"",Model!K325)</f>
        <v>0</v>
      </c>
      <c r="L145" s="95">
        <f>IF(ISERROR(Model!L325),"",Model!L325)</f>
        <v>0</v>
      </c>
      <c r="M145" s="95">
        <f>IF(ISERROR(Model!M325),"",Model!M325)</f>
        <v>0</v>
      </c>
      <c r="N145" s="95">
        <f>IF(ISERROR(Model!N325),"",Model!N325)</f>
        <v>0</v>
      </c>
      <c r="O145" s="95">
        <f>IF(ISERROR(Model!O325),"",Model!O325)</f>
        <v>0</v>
      </c>
      <c r="P145" s="95">
        <f>IF(ISERROR(Model!P325),"",Model!P325)</f>
        <v>0</v>
      </c>
      <c r="Q145" s="95">
        <f>IF(ISERROR(Model!Q325),"",Model!Q325)</f>
        <v>0</v>
      </c>
      <c r="R145" s="95">
        <f>IF(ISERROR(Model!R325),"",Model!R325)</f>
        <v>0</v>
      </c>
      <c r="S145" s="95">
        <f>IF(ISERROR(Model!S325),"",Model!S325)</f>
        <v>0</v>
      </c>
      <c r="T145" s="95">
        <f>IF(ISERROR(Model!T325),"",Model!T325)</f>
        <v>0</v>
      </c>
      <c r="U145" s="95">
        <f>IF(ISERROR(Model!U325),"",Model!U325)</f>
        <v>0</v>
      </c>
      <c r="V145" s="95">
        <f>IF(ISERROR(Model!V325),"",Model!V325)</f>
        <v>0</v>
      </c>
      <c r="W145" s="95">
        <f>IF(ISERROR(Model!W325),"",Model!W325)</f>
        <v>0</v>
      </c>
      <c r="X145" s="95">
        <f>IF(ISERROR(Model!X325),"",Model!X325)</f>
        <v>0</v>
      </c>
      <c r="Y145" s="95">
        <f>IF(ISERROR(Model!Y325),"",Model!Y325)</f>
        <v>0</v>
      </c>
      <c r="Z145" s="95">
        <f>IF(ISERROR(Model!Z325),"",Model!Z325)</f>
        <v>0</v>
      </c>
      <c r="AA145" s="95">
        <f>IF(ISERROR(Model!AA325),"",Model!AA325)</f>
        <v>0</v>
      </c>
      <c r="AB145" s="95">
        <f>IF(ISERROR(Model!AB325),"",Model!AB325)</f>
        <v>0</v>
      </c>
      <c r="AC145" s="95">
        <f>IF(ISERROR(Model!AC325),"",Model!AC325)</f>
        <v>0</v>
      </c>
      <c r="AD145" s="95">
        <f>IF(ISERROR(Model!AD325),"",Model!AD325)</f>
        <v>0</v>
      </c>
      <c r="AE145" s="95">
        <f>IF(ISERROR(Model!AE325),"",Model!AE325)</f>
        <v>0</v>
      </c>
      <c r="AF145" s="95">
        <f>IF(ISERROR(Model!AF325),"",Model!AF325)</f>
        <v>0</v>
      </c>
      <c r="AG145" s="95">
        <f>IF(ISERROR(Model!AG325),"",Model!AG325)</f>
        <v>0</v>
      </c>
      <c r="AH145" s="95">
        <f>IF(ISERROR(Model!AH325),"",Model!AH325)</f>
        <v>0</v>
      </c>
      <c r="AI145" s="95">
        <f>IF(ISERROR(Model!AI325),"",Model!AI325)</f>
        <v>0</v>
      </c>
      <c r="AJ145" s="95">
        <f>IF(ISERROR(Model!AJ325),"",Model!AJ325)</f>
        <v>0</v>
      </c>
      <c r="AK145" s="95">
        <f>IF(ISERROR(Model!AK325),"",Model!AK325)</f>
        <v>0</v>
      </c>
      <c r="AL145" s="95">
        <f>IF(ISERROR(Model!AL325),"",Model!AL325)</f>
        <v>0</v>
      </c>
      <c r="AM145" s="95">
        <f>IF(ISERROR(Model!AM325),"",Model!AM325)</f>
        <v>73.425795053003569</v>
      </c>
      <c r="AN145" s="95">
        <f>IF(ISERROR(Model!AN325),"",Model!AN325)</f>
        <v>73.425795053003569</v>
      </c>
      <c r="AO145" s="95">
        <f>(Model!AO230/Model!AO30)/2</f>
        <v>0</v>
      </c>
      <c r="AP145" s="95">
        <f>(Model!AP230/Model!AP30)/2</f>
        <v>0</v>
      </c>
      <c r="AQ145" s="95">
        <f>Model!AQ230/Model!AQ30</f>
        <v>0</v>
      </c>
      <c r="AR145" s="95">
        <f>(Model!AR230/Model!AR30)/2</f>
        <v>0</v>
      </c>
      <c r="AS145" s="95">
        <f>(Model!AS230/Model!AS30)/2</f>
        <v>0</v>
      </c>
      <c r="AT145" s="95">
        <f>Model!AT230/Model!AT30</f>
        <v>0</v>
      </c>
      <c r="AU145" s="95">
        <f>(Model!AU230/Model!AU30)/2</f>
        <v>0</v>
      </c>
      <c r="AV145" s="95">
        <f>(Model!AV230/Model!AV30)/2</f>
        <v>0</v>
      </c>
      <c r="AW145" s="95">
        <f>Model!AW230/Model!AW30</f>
        <v>0</v>
      </c>
      <c r="AX145" s="95">
        <f>(Model!AX230/Model!AX30)/2</f>
        <v>0</v>
      </c>
      <c r="AY145" s="95">
        <f>(Model!AY230/Model!AY30)/2</f>
        <v>0</v>
      </c>
      <c r="AZ145" s="95">
        <f>Model!AZ230/Model!AZ30</f>
        <v>0</v>
      </c>
      <c r="BA145" s="95"/>
      <c r="BB145" s="95"/>
      <c r="BC145" s="95">
        <f>Model!BC230/Model!BC30</f>
        <v>0</v>
      </c>
      <c r="BD145" s="95">
        <f>(Model!BD230/Model!BD30)/2</f>
        <v>0</v>
      </c>
      <c r="BE145" s="95">
        <f>(Model!BE230/Model!BE30)/2</f>
        <v>0</v>
      </c>
      <c r="BF145" s="95">
        <f>Model!BF230/Model!BF30</f>
        <v>0</v>
      </c>
      <c r="BG145" s="95">
        <f>(Model!BG230/Model!BG30)/2</f>
        <v>0</v>
      </c>
      <c r="BH145" s="95">
        <f>(Model!BH230/Model!BH30)/2</f>
        <v>0</v>
      </c>
      <c r="BI145" s="95">
        <f>Model!BI230/Model!BI30</f>
        <v>0</v>
      </c>
      <c r="BJ145" s="95">
        <f>(Model!BJ230/Model!BJ30)/2</f>
        <v>0</v>
      </c>
      <c r="BK145" s="95">
        <f>(Model!BK230/Model!BK30)/2</f>
        <v>0</v>
      </c>
      <c r="BL145" s="95">
        <f>Model!BL230/Model!BL30</f>
        <v>0</v>
      </c>
      <c r="BM145" s="95">
        <f>(Model!BM230/Model!BM30)/2</f>
        <v>0</v>
      </c>
      <c r="BN145" s="95">
        <f>(Model!BN230/Model!BN30)/2</f>
        <v>0</v>
      </c>
      <c r="BO145" s="95">
        <f>Model!BO230/Model!BO30</f>
        <v>0</v>
      </c>
      <c r="BP145" s="95"/>
      <c r="BQ145" s="95"/>
      <c r="BR145" s="95"/>
      <c r="BS145" s="95"/>
      <c r="BT145" s="95"/>
      <c r="BU145" s="95"/>
      <c r="BV145" s="95">
        <f>Model!BV230/(Model!BV30*2)</f>
        <v>0</v>
      </c>
      <c r="BW145" s="95">
        <f>Model!BW230/(Model!BW30*2)</f>
        <v>0.20024912824269619</v>
      </c>
      <c r="BX145" s="95">
        <f>Model!BX230/(Model!BX30)</f>
        <v>0.20997536945812809</v>
      </c>
      <c r="BY145" s="95">
        <f>Model!BY230/(Model!BY30*2)</f>
        <v>0</v>
      </c>
      <c r="BZ145" s="95">
        <f>Model!BZ230/(Model!BZ30*2)</f>
        <v>0.21052262497597146</v>
      </c>
      <c r="CA145" s="95">
        <f>BZ145</f>
        <v>0.21052262497597146</v>
      </c>
      <c r="CB145" s="95">
        <f>Model!CB230/(Model!CB30*2)</f>
        <v>0</v>
      </c>
      <c r="CC145" s="95">
        <f>Model!CC230/(Model!CC30*2)</f>
        <v>0.19075949774389261</v>
      </c>
      <c r="CD145" s="95">
        <f>Model!CD230/(Model!CD30)</f>
        <v>0.18510323650701907</v>
      </c>
      <c r="CE145" s="95">
        <f>Model!CE230/(Model!CE30*2)</f>
        <v>0</v>
      </c>
      <c r="CF145" s="95">
        <f>Model!CF230/(Model!CF30*2)</f>
        <v>0.19780498127122689</v>
      </c>
      <c r="CG145" s="95">
        <f>Model!CG230/(Model!CG30)</f>
        <v>0.20489019751019041</v>
      </c>
      <c r="CH145" s="95">
        <f>Model!CH230/(Model!CH30*2)</f>
        <v>0.18020289124796199</v>
      </c>
      <c r="CI145" s="95">
        <f>Model!CI230/(Model!CI30*2)</f>
        <v>0.16670345709650267</v>
      </c>
      <c r="CJ145" s="95">
        <f>Model!CJ230/Model!CJ30</f>
        <v>0.16713881019830026</v>
      </c>
      <c r="CK145" s="95">
        <f>Model!CK230/(Model!CK30*2)</f>
        <v>0.17062552662199576</v>
      </c>
      <c r="CL145" s="95">
        <f>Model!CL230/(Model!CL30*2)</f>
        <v>0.17229154849688019</v>
      </c>
      <c r="CM145" s="95">
        <f>Model!CM230/(Model!CM30)</f>
        <v>0.17145449047475048</v>
      </c>
      <c r="CN145" s="95">
        <f>Model!CN230/(Model!CN30*2)</f>
        <v>0.17885168207598479</v>
      </c>
      <c r="CO145" s="95">
        <f>Model!CO230/(Model!CO30*2)</f>
        <v>0.17267985220604223</v>
      </c>
      <c r="CP145" s="95">
        <f>Model!CP230/(Model!CP30)</f>
        <v>0.1787133538276974</v>
      </c>
      <c r="CQ145" s="95">
        <f>Model!CQ230/(Model!CQ30*2)</f>
        <v>0.16168847198222661</v>
      </c>
      <c r="CR145" s="95">
        <f>Model!CR230/(Model!CR30*2)</f>
        <v>0.18184288716573652</v>
      </c>
      <c r="CS145" s="95">
        <f>Model!CS230/(Model!CS30)</f>
        <v>0.17937628451434184</v>
      </c>
      <c r="CT145" s="95">
        <f>Model!CT230/(Model!CT30*2)</f>
        <v>0.16859033022376202</v>
      </c>
      <c r="CU145" s="95">
        <f>Model!CU230/(Model!CU30*2)</f>
        <v>0.18960902277002961</v>
      </c>
      <c r="CV145" s="95">
        <f>Model!CV230/(Model!CV30)</f>
        <v>0.18284506390989855</v>
      </c>
      <c r="CW145" s="95">
        <f>Model!CW230/(Model!CW30*2)</f>
        <v>0.1674869313758203</v>
      </c>
      <c r="CX145" s="95">
        <f>Model!CX230/(Model!CX30*2)</f>
        <v>0.18647632400739281</v>
      </c>
      <c r="CY145" s="95">
        <f>Model!CY230/(Model!CY30)</f>
        <v>0.17378908918124317</v>
      </c>
      <c r="CZ145" s="95">
        <f>Model!CZ230/(Model!CZ30*2)</f>
        <v>0.20052552800137197</v>
      </c>
      <c r="DA145" s="95">
        <f>Model!DA230/(Model!DA30*2)</f>
        <v>0.20048999116545321</v>
      </c>
      <c r="DB145" s="95">
        <f>Model!DB230/(Model!DB30)</f>
        <v>0.19032901938059366</v>
      </c>
      <c r="DC145" s="95">
        <f>Model!DC230/(Model!DC30*2)</f>
        <v>0.23502241543268576</v>
      </c>
      <c r="DD145" s="95">
        <f>Model!DD230/(Model!DD30*2)</f>
        <v>0.22968202335022814</v>
      </c>
      <c r="DE145" s="138">
        <f>Model!DE230/(Model!DE30)</f>
        <v>0.21732698662658217</v>
      </c>
      <c r="DF145" s="95">
        <f>Model!DF230/(Model!DF30*2)</f>
        <v>0.20619623380385638</v>
      </c>
      <c r="DG145" s="95">
        <f>Model!DG230/(Model!DG30*2)</f>
        <v>0.20418236242121737</v>
      </c>
      <c r="DH145" s="138">
        <f>Model!DH230/(Model!DH30)</f>
        <v>0.19020443139233925</v>
      </c>
      <c r="DI145" s="95">
        <f>Model!DI230/(Model!DI30*2)</f>
        <v>0.17797722729534093</v>
      </c>
      <c r="DJ145" s="95">
        <f>Model!DJ230/(Model!DJ30*2)</f>
        <v>0.19077110677622811</v>
      </c>
      <c r="DK145" s="138">
        <f>Model!DK230/(Model!DK30)</f>
        <v>0.16832081269006735</v>
      </c>
      <c r="DL145" s="95">
        <f>Model!DL230/(Model!DL30*2)</f>
        <v>0.19002389385029908</v>
      </c>
      <c r="DM145" s="95">
        <f>Model!DM230/(Model!DM30*2)</f>
        <v>0.18736009044658</v>
      </c>
      <c r="DN145" s="138">
        <f>Model!DN230/(Model!DN30)</f>
        <v>0.16052539811693595</v>
      </c>
      <c r="DO145" s="95">
        <f>Model!DO230/(Model!DO30*2)</f>
        <v>0.21537621114976568</v>
      </c>
      <c r="DP145" s="95">
        <f>Model!DP230/(Model!DP30*2)</f>
        <v>0.18840356813288217</v>
      </c>
      <c r="DQ145" s="138">
        <f>Model!DQ230/(Model!DQ30)</f>
        <v>0.17215802623360399</v>
      </c>
      <c r="DR145" s="95">
        <f>Model!DR230/(Model!DR30*2)</f>
        <v>0.22248558616271621</v>
      </c>
      <c r="DS145" s="95">
        <f>Model!DS230/(Model!DS30*2)</f>
        <v>0.22344859524544614</v>
      </c>
      <c r="DT145" s="138">
        <f>Model!DT230/(Model!DT30)</f>
        <v>0.20268851081705525</v>
      </c>
      <c r="DU145" s="95">
        <f>Model!DU230/(Model!DU30*2)</f>
        <v>0.21910317170980678</v>
      </c>
      <c r="DV145" s="95">
        <f>Model!DV230/(Model!DV30*2)</f>
        <v>0.2298741217798595</v>
      </c>
      <c r="DW145" s="138">
        <f>Model!DW230/(Model!DW30)</f>
        <v>0.20855188898479515</v>
      </c>
      <c r="DX145" s="95">
        <f>Model!DX230/(Model!DX30*2)</f>
        <v>0.2472194760257044</v>
      </c>
      <c r="DY145" s="171">
        <f>DV145</f>
        <v>0.2298741217798595</v>
      </c>
      <c r="DZ145" s="172">
        <f>DY145</f>
        <v>0.2298741217798595</v>
      </c>
      <c r="EA145" s="171">
        <v>0.23</v>
      </c>
      <c r="EB145" s="171">
        <f>DY145</f>
        <v>0.2298741217798595</v>
      </c>
      <c r="EC145" s="172">
        <f>EB145</f>
        <v>0.2298741217798595</v>
      </c>
      <c r="ED145" s="171">
        <f>EA145</f>
        <v>0.23</v>
      </c>
      <c r="EE145" s="171">
        <f>EB145</f>
        <v>0.2298741217798595</v>
      </c>
      <c r="EF145" s="172">
        <f>EE145</f>
        <v>0.2298741217798595</v>
      </c>
      <c r="EG145" s="171">
        <f>ED145</f>
        <v>0.23</v>
      </c>
      <c r="EH145" s="171">
        <f>EE145</f>
        <v>0.2298741217798595</v>
      </c>
      <c r="EI145" s="172">
        <f>EH145</f>
        <v>0.2298741217798595</v>
      </c>
      <c r="EJ145" s="171">
        <f>EG145</f>
        <v>0.23</v>
      </c>
      <c r="EK145" s="171">
        <f>EH145</f>
        <v>0.2298741217798595</v>
      </c>
      <c r="EL145" s="172">
        <f>EK145</f>
        <v>0.2298741217798595</v>
      </c>
      <c r="EM145" s="171">
        <f>EJ145</f>
        <v>0.23</v>
      </c>
      <c r="EN145" s="171">
        <f>EK145</f>
        <v>0.2298741217798595</v>
      </c>
      <c r="EO145" s="172">
        <f>EN145</f>
        <v>0.2298741217798595</v>
      </c>
      <c r="EP145" s="171">
        <f>EM145</f>
        <v>0.23</v>
      </c>
      <c r="EQ145" s="171">
        <f>EN145</f>
        <v>0.2298741217798595</v>
      </c>
      <c r="ER145" s="172">
        <f>EQ145</f>
        <v>0.2298741217798595</v>
      </c>
      <c r="ES145" s="171">
        <f>EP145</f>
        <v>0.23</v>
      </c>
      <c r="ET145" s="171">
        <f>EQ145</f>
        <v>0.2298741217798595</v>
      </c>
      <c r="EU145" s="172">
        <f>ET145</f>
        <v>0.2298741217798595</v>
      </c>
      <c r="EV145" s="171">
        <f t="shared" ref="EV145:EW145" si="142">ES145</f>
        <v>0.23</v>
      </c>
      <c r="EW145" s="171">
        <f t="shared" si="142"/>
        <v>0.2298741217798595</v>
      </c>
      <c r="EX145" s="172">
        <f t="shared" ref="EX145" si="143">EW145</f>
        <v>0.2298741217798595</v>
      </c>
      <c r="EY145" s="171">
        <f t="shared" ref="EY145:EZ145" si="144">EV145</f>
        <v>0.23</v>
      </c>
      <c r="EZ145" s="171">
        <f t="shared" si="144"/>
        <v>0.2298741217798595</v>
      </c>
      <c r="FA145" s="172">
        <f t="shared" ref="FA145" si="145">EZ145</f>
        <v>0.2298741217798595</v>
      </c>
    </row>
    <row r="146" spans="1:157" ht="13.35" customHeight="1">
      <c r="A146" s="3"/>
      <c r="B146" s="4" t="s">
        <v>648</v>
      </c>
      <c r="C146" s="4"/>
      <c r="D146" s="3"/>
      <c r="E146" s="95">
        <f>IF(ISERROR(Model!E326),"",Model!E326)</f>
        <v>0</v>
      </c>
      <c r="F146" s="95">
        <f>IF(ISERROR(Model!F326),"",Model!F326)</f>
        <v>0</v>
      </c>
      <c r="G146" s="95">
        <f>IF(ISERROR(Model!G326),"",Model!G326)</f>
        <v>0</v>
      </c>
      <c r="H146" s="95">
        <f>IF(ISERROR(Model!H326),"",Model!H326)</f>
        <v>0</v>
      </c>
      <c r="I146" s="95">
        <f>IF(ISERROR(Model!I326),"",Model!I326)</f>
        <v>0</v>
      </c>
      <c r="J146" s="95">
        <f>IF(ISERROR(Model!J326),"",Model!J326)</f>
        <v>0</v>
      </c>
      <c r="K146" s="95">
        <f>IF(ISERROR(Model!K326),"",Model!K326)</f>
        <v>0</v>
      </c>
      <c r="L146" s="95">
        <f>IF(ISERROR(Model!L326),"",Model!L326)</f>
        <v>0</v>
      </c>
      <c r="M146" s="95">
        <f>IF(ISERROR(Model!M326),"",Model!M326)</f>
        <v>0</v>
      </c>
      <c r="N146" s="95">
        <f>IF(ISERROR(Model!N326),"",Model!N326)</f>
        <v>0</v>
      </c>
      <c r="O146" s="95">
        <f>IF(ISERROR(Model!O326),"",Model!O326)</f>
        <v>0</v>
      </c>
      <c r="P146" s="95">
        <f>IF(ISERROR(Model!P326),"",Model!P326)</f>
        <v>0</v>
      </c>
      <c r="Q146" s="95">
        <f>IF(ISERROR(Model!Q326),"",Model!Q326)</f>
        <v>0</v>
      </c>
      <c r="R146" s="95">
        <f>IF(ISERROR(Model!R326),"",Model!R326)</f>
        <v>0</v>
      </c>
      <c r="S146" s="95">
        <f>IF(ISERROR(Model!S326),"",Model!S326)</f>
        <v>0</v>
      </c>
      <c r="T146" s="95">
        <f>IF(ISERROR(Model!T326),"",Model!T326)</f>
        <v>0</v>
      </c>
      <c r="U146" s="95">
        <f>IF(ISERROR(Model!U326),"",Model!U326)</f>
        <v>0</v>
      </c>
      <c r="V146" s="95">
        <f>IF(ISERROR(Model!V326),"",Model!V326)</f>
        <v>0</v>
      </c>
      <c r="W146" s="95">
        <f>IF(ISERROR(Model!W326),"",Model!W326)</f>
        <v>0</v>
      </c>
      <c r="X146" s="95">
        <f>IF(ISERROR(Model!X326),"",Model!X326)</f>
        <v>0</v>
      </c>
      <c r="Y146" s="95">
        <f>IF(ISERROR(Model!Y326),"",Model!Y326)</f>
        <v>0</v>
      </c>
      <c r="Z146" s="95">
        <f>IF(ISERROR(Model!Z326),"",Model!Z326)</f>
        <v>0</v>
      </c>
      <c r="AA146" s="95">
        <f>IF(ISERROR(Model!AA326),"",Model!AA326)</f>
        <v>0</v>
      </c>
      <c r="AB146" s="95">
        <f>IF(ISERROR(Model!AB326),"",Model!AB326)</f>
        <v>0</v>
      </c>
      <c r="AC146" s="95">
        <f>IF(ISERROR(Model!AC326),"",Model!AC326)</f>
        <v>0</v>
      </c>
      <c r="AD146" s="95">
        <f>IF(ISERROR(Model!AD326),"",Model!AD326)</f>
        <v>0</v>
      </c>
      <c r="AE146" s="95">
        <f>IF(ISERROR(Model!AE326),"",Model!AE326)</f>
        <v>0</v>
      </c>
      <c r="AF146" s="95">
        <f>IF(ISERROR(Model!AF326),"",Model!AF326)</f>
        <v>0</v>
      </c>
      <c r="AG146" s="95">
        <f>IF(ISERROR(Model!AG326),"",Model!AG326)</f>
        <v>0</v>
      </c>
      <c r="AH146" s="95">
        <f>IF(ISERROR(Model!AH326),"",Model!AH326)</f>
        <v>0</v>
      </c>
      <c r="AI146" s="95">
        <f>IF(ISERROR(Model!AI326),"",Model!AI326)</f>
        <v>0</v>
      </c>
      <c r="AJ146" s="95">
        <f>IF(ISERROR(Model!AJ326),"",Model!AJ326)</f>
        <v>0</v>
      </c>
      <c r="AK146" s="95">
        <f>IF(ISERROR(Model!AK326),"",Model!AK326)</f>
        <v>0</v>
      </c>
      <c r="AL146" s="95">
        <f>IF(ISERROR(Model!AL326),"",Model!AL326)</f>
        <v>0</v>
      </c>
      <c r="AM146" s="95">
        <f>IF(ISERROR(Model!AM326),"",Model!AM326)</f>
        <v>0</v>
      </c>
      <c r="AN146" s="95">
        <f>IF(ISERROR(Model!AN326),"",Model!AN326)</f>
        <v>0</v>
      </c>
      <c r="AO146" s="95">
        <f>(Model!AO234/Model!AO30)/2</f>
        <v>0</v>
      </c>
      <c r="AP146" s="95">
        <f>(Model!AP234/Model!AP30)/2</f>
        <v>0</v>
      </c>
      <c r="AQ146" s="95">
        <f>Model!AQ234/Model!AQ30</f>
        <v>0</v>
      </c>
      <c r="AR146" s="95">
        <f>(Model!AR234/Model!AR30)/2</f>
        <v>0</v>
      </c>
      <c r="AS146" s="95">
        <f>(Model!AS234/Model!AS30)/2</f>
        <v>0</v>
      </c>
      <c r="AT146" s="95">
        <f>Model!AT234/Model!AT30</f>
        <v>0</v>
      </c>
      <c r="AU146" s="95">
        <f>(Model!AU234/Model!AU30)/2</f>
        <v>0</v>
      </c>
      <c r="AV146" s="95">
        <f>(Model!AV234/Model!AV30)/2</f>
        <v>0</v>
      </c>
      <c r="AW146" s="95">
        <f>Model!AW234/Model!AW30</f>
        <v>0</v>
      </c>
      <c r="AX146" s="95">
        <f>(Model!AX234/Model!AX30)/2</f>
        <v>0</v>
      </c>
      <c r="AY146" s="95">
        <f>(Model!AY234/Model!AY30)/2</f>
        <v>0</v>
      </c>
      <c r="AZ146" s="95">
        <f>Model!AZ234/Model!AZ30</f>
        <v>0</v>
      </c>
      <c r="BA146" s="95"/>
      <c r="BB146" s="95"/>
      <c r="BC146" s="95">
        <f>Model!BC234/Model!BC30</f>
        <v>0</v>
      </c>
      <c r="BD146" s="95">
        <f>(Model!BD234/Model!BD30)/2</f>
        <v>0</v>
      </c>
      <c r="BE146" s="95">
        <f>(Model!BE234/Model!BE30)/2</f>
        <v>0</v>
      </c>
      <c r="BF146" s="95">
        <f>Model!BF234/Model!BF30</f>
        <v>0</v>
      </c>
      <c r="BG146" s="95">
        <f>(Model!BG234/Model!BG30)/2</f>
        <v>0</v>
      </c>
      <c r="BH146" s="95">
        <f>(Model!BH234/Model!BH30)/2</f>
        <v>0</v>
      </c>
      <c r="BI146" s="95">
        <f>Model!BI234/Model!BI30</f>
        <v>0</v>
      </c>
      <c r="BJ146" s="95">
        <f>(Model!BJ234/Model!BJ30)/2</f>
        <v>0</v>
      </c>
      <c r="BK146" s="95">
        <f>(Model!BK234/Model!BK30)/2</f>
        <v>0</v>
      </c>
      <c r="BL146" s="95">
        <f>Model!BL234/Model!BL30</f>
        <v>0</v>
      </c>
      <c r="BM146" s="95">
        <f>(Model!BM234/Model!BM30)/2</f>
        <v>0</v>
      </c>
      <c r="BN146" s="95">
        <f>(Model!BN234/Model!BN30)/2</f>
        <v>0</v>
      </c>
      <c r="BO146" s="95">
        <f>Model!BO234/Model!BO30</f>
        <v>0</v>
      </c>
      <c r="BP146" s="95"/>
      <c r="BQ146" s="95"/>
      <c r="BR146" s="95"/>
      <c r="BS146" s="95"/>
      <c r="BT146" s="95"/>
      <c r="BU146" s="95"/>
      <c r="BV146" s="95">
        <f>Model!BV234/(Model!BV30*2)</f>
        <v>0</v>
      </c>
      <c r="BW146" s="95">
        <f>Model!BW234/(Model!BW30*2)</f>
        <v>0.33854434730766669</v>
      </c>
      <c r="BX146" s="95">
        <f>Model!BX234/(Model!BX30)</f>
        <v>0.35498768472906406</v>
      </c>
      <c r="BY146" s="95">
        <f>Model!BY234/(Model!BY30*2)</f>
        <v>0</v>
      </c>
      <c r="BZ146" s="95">
        <f>Model!BZ234/(Model!BZ30*2)</f>
        <v>0.36160701230225978</v>
      </c>
      <c r="CA146" s="95">
        <f>BZ146</f>
        <v>0.36160701230225978</v>
      </c>
      <c r="CB146" s="95">
        <f>Model!CB234/(Model!CB30*2)</f>
        <v>0</v>
      </c>
      <c r="CC146" s="95">
        <f>Model!CC234/(Model!CC30*2)</f>
        <v>0.31429656609665285</v>
      </c>
      <c r="CD146" s="95">
        <f>Model!CD234/(Model!CD30)</f>
        <v>0.30497727397898489</v>
      </c>
      <c r="CE146" s="95">
        <f>Model!CE234/(Model!CE30*2)</f>
        <v>0</v>
      </c>
      <c r="CF146" s="95">
        <f>Model!CF234/(Model!CF30*2)</f>
        <v>0.35623106523529352</v>
      </c>
      <c r="CG146" s="95">
        <f>Model!CG234/(Model!CG30)</f>
        <v>0.36899097710408285</v>
      </c>
      <c r="CH146" s="95">
        <f>Model!CH234/(Model!CH30*2)</f>
        <v>0.30246431388643752</v>
      </c>
      <c r="CI146" s="95">
        <f>Model!CI234/(Model!CI30*2)</f>
        <v>0.31535402331581902</v>
      </c>
      <c r="CJ146" s="95">
        <f>Model!CJ234/Model!CJ30</f>
        <v>0.31617758363427972</v>
      </c>
      <c r="CK146" s="95">
        <f>Model!CK234/(Model!CK30*2)</f>
        <v>0.32889299041046427</v>
      </c>
      <c r="CL146" s="95">
        <f>Model!CL234/(Model!CL30*2)</f>
        <v>0.33210436755530326</v>
      </c>
      <c r="CM146" s="95">
        <f>Model!CM234/(Model!CM30)</f>
        <v>0.33049087793569187</v>
      </c>
      <c r="CN146" s="95">
        <f>Model!CN234/(Model!CN30*2)</f>
        <v>0.32946158029679129</v>
      </c>
      <c r="CO146" s="95">
        <f>Model!CO234/(Model!CO30*2)</f>
        <v>0.29785191625009066</v>
      </c>
      <c r="CP146" s="95">
        <f>Model!CP234/(Model!CP30)</f>
        <v>0.3082589787808353</v>
      </c>
      <c r="CQ146" s="95">
        <f>Model!CQ234/(Model!CQ30*2)</f>
        <v>0.28691328419790524</v>
      </c>
      <c r="CR146" s="95">
        <f>Model!CR234/(Model!CR30*2)</f>
        <v>0.31806652655989542</v>
      </c>
      <c r="CS146" s="95">
        <f>Model!CS234/(Model!CS30)</f>
        <v>0.31375212224108645</v>
      </c>
      <c r="CT146" s="95">
        <f>Model!CT234/(Model!CT30*2)</f>
        <v>0.30205302425316599</v>
      </c>
      <c r="CU146" s="95">
        <f>Model!CU234/(Model!CU30*2)</f>
        <v>0.36853198789839564</v>
      </c>
      <c r="CV146" s="95">
        <f>Model!CV234/(Model!CV30)</f>
        <v>0.35538527595204267</v>
      </c>
      <c r="CW146" s="95">
        <f>Model!CW234/(Model!CW30*2)</f>
        <v>0.29546212879546213</v>
      </c>
      <c r="CX146" s="95">
        <f>Model!CX234/(Model!CX30*2)</f>
        <v>0.41039449365878533</v>
      </c>
      <c r="CY146" s="95">
        <f>Model!CY234/(Model!CY30)</f>
        <v>0.38247260416357326</v>
      </c>
      <c r="CZ146" s="95">
        <f>Model!CZ234/(Model!CZ30*2)</f>
        <v>0.30955768356033564</v>
      </c>
      <c r="DA146" s="95">
        <f>Model!DA234/(Model!DA30*2)</f>
        <v>0.36527702855908828</v>
      </c>
      <c r="DB146" s="95">
        <f>Model!DB234/(Model!DB30)</f>
        <v>0.34676453544523855</v>
      </c>
      <c r="DC146" s="95">
        <f>Model!DC234/(Model!DC30*2)</f>
        <v>0.31646515419100663</v>
      </c>
      <c r="DD146" s="95">
        <f>Model!DD234/(Model!DD30*2)</f>
        <v>0.38313538593438728</v>
      </c>
      <c r="DE146" s="138">
        <f>Model!DE234/(Model!DE30)</f>
        <v>0.36252579840855131</v>
      </c>
      <c r="DF146" s="95">
        <f>Model!DF234/(Model!DF30*2)</f>
        <v>0.33710618564629258</v>
      </c>
      <c r="DG146" s="95">
        <f>Model!DG234/(Model!DG30*2)</f>
        <v>0.42055414429174554</v>
      </c>
      <c r="DH146" s="138">
        <f>Model!DH234/(Model!DH30)</f>
        <v>0.39176381807007177</v>
      </c>
      <c r="DI146" s="95">
        <f>Model!DI234/(Model!DI30*2)</f>
        <v>0.31978344118100716</v>
      </c>
      <c r="DJ146" s="95">
        <f>Model!DJ234/(Model!DJ30*2)</f>
        <v>0.42147571661886862</v>
      </c>
      <c r="DK146" s="138">
        <f>Model!DK234/(Model!DK30)</f>
        <v>0.37187568049092368</v>
      </c>
      <c r="DL146" s="95">
        <f>Model!DL234/(Model!DL30*2)</f>
        <v>0.32253308705156664</v>
      </c>
      <c r="DM146" s="95">
        <f>Model!DM234/(Model!DM30*2)</f>
        <v>0.48988128886376486</v>
      </c>
      <c r="DN146" s="138">
        <f>Model!DN234/(Model!DN30)</f>
        <v>0.41971792785462436</v>
      </c>
      <c r="DO146" s="95">
        <f>Model!DO234/(Model!DO30*2)</f>
        <v>0.36351024984905556</v>
      </c>
      <c r="DP146" s="95">
        <f>Model!DP234/(Model!DP30*2)</f>
        <v>0.46703578386137595</v>
      </c>
      <c r="DQ146" s="138">
        <f>Model!DQ234/(Model!DQ30)</f>
        <v>0.42676452217364147</v>
      </c>
      <c r="DR146" s="95">
        <f>Model!DR234/(Model!DR30*2)</f>
        <v>0.35656630365150543</v>
      </c>
      <c r="DS146" s="95">
        <f>Model!DS234/(Model!DS30*2)</f>
        <v>0.4603272615004631</v>
      </c>
      <c r="DT146" s="138">
        <f>Model!DT234/(Model!DT30)</f>
        <v>0.41755933627389202</v>
      </c>
      <c r="DU146" s="95">
        <f>Model!DU234/(Model!DU30*2)</f>
        <v>0.37301008628022847</v>
      </c>
      <c r="DV146" s="95">
        <f>Model!DV234/(Model!DV30*2)</f>
        <v>0.4732142857142857</v>
      </c>
      <c r="DW146" s="138">
        <f>Model!DW234/(Model!DW30)</f>
        <v>0.42932076223358345</v>
      </c>
      <c r="DX146" s="95">
        <f>Model!DX234/(Model!DX30*2)</f>
        <v>0.40595650024715768</v>
      </c>
      <c r="DY146" s="171">
        <v>0.47</v>
      </c>
      <c r="DZ146" s="172">
        <f>DY146</f>
        <v>0.47</v>
      </c>
      <c r="EA146" s="171">
        <v>0.4</v>
      </c>
      <c r="EB146" s="171">
        <f>+DY146</f>
        <v>0.47</v>
      </c>
      <c r="EC146" s="172">
        <f>EB146</f>
        <v>0.47</v>
      </c>
      <c r="ED146" s="171">
        <f>+EA146</f>
        <v>0.4</v>
      </c>
      <c r="EE146" s="171">
        <f>+EB146</f>
        <v>0.47</v>
      </c>
      <c r="EF146" s="172">
        <f>EE146</f>
        <v>0.47</v>
      </c>
      <c r="EG146" s="171">
        <f>+ED146</f>
        <v>0.4</v>
      </c>
      <c r="EH146" s="171">
        <f>+EE146</f>
        <v>0.47</v>
      </c>
      <c r="EI146" s="172">
        <f>EH146</f>
        <v>0.47</v>
      </c>
      <c r="EJ146" s="171">
        <f>+EG146</f>
        <v>0.4</v>
      </c>
      <c r="EK146" s="171">
        <f>+EH146</f>
        <v>0.47</v>
      </c>
      <c r="EL146" s="172">
        <f>EK146</f>
        <v>0.47</v>
      </c>
      <c r="EM146" s="171">
        <f>+EJ146</f>
        <v>0.4</v>
      </c>
      <c r="EN146" s="171">
        <f>+EK146-0.1%</f>
        <v>0.46899999999999997</v>
      </c>
      <c r="EO146" s="172">
        <f>EN146</f>
        <v>0.46899999999999997</v>
      </c>
      <c r="EP146" s="171">
        <f>+EM146</f>
        <v>0.4</v>
      </c>
      <c r="EQ146" s="171">
        <f>+EN146-0.1%</f>
        <v>0.46799999999999997</v>
      </c>
      <c r="ER146" s="172">
        <f>EQ146</f>
        <v>0.46799999999999997</v>
      </c>
      <c r="ES146" s="171">
        <f>+EP146</f>
        <v>0.4</v>
      </c>
      <c r="ET146" s="171">
        <f>+EQ146-0.1%</f>
        <v>0.46699999999999997</v>
      </c>
      <c r="EU146" s="172">
        <f>ET146</f>
        <v>0.46699999999999997</v>
      </c>
      <c r="EV146" s="171">
        <f>+ES146</f>
        <v>0.4</v>
      </c>
      <c r="EW146" s="171">
        <f>+ET146-0.1%</f>
        <v>0.46599999999999997</v>
      </c>
      <c r="EX146" s="172">
        <f>EW146</f>
        <v>0.46599999999999997</v>
      </c>
      <c r="EY146" s="171">
        <f>+EV146</f>
        <v>0.4</v>
      </c>
      <c r="EZ146" s="171">
        <f>+EW146-0.1%</f>
        <v>0.46499999999999997</v>
      </c>
      <c r="FA146" s="172">
        <f>EZ146</f>
        <v>0.46499999999999997</v>
      </c>
    </row>
    <row r="147" spans="1:157" ht="13.35" customHeight="1">
      <c r="A147" s="3"/>
      <c r="B147" s="4" t="s">
        <v>600</v>
      </c>
      <c r="C147" s="4"/>
      <c r="D147" s="3"/>
      <c r="E147" s="95">
        <f>IF(ISERROR(Model!E327),"",Model!E327)</f>
        <v>0</v>
      </c>
      <c r="F147" s="95">
        <f>IF(ISERROR(Model!F327),"",Model!F327)</f>
        <v>0</v>
      </c>
      <c r="G147" s="95">
        <f>IF(ISERROR(Model!G327),"",Model!G327)</f>
        <v>0</v>
      </c>
      <c r="H147" s="95">
        <f>IF(ISERROR(Model!H327),"",Model!H327)</f>
        <v>0</v>
      </c>
      <c r="I147" s="95">
        <f>IF(ISERROR(Model!I327),"",Model!I327)</f>
        <v>0</v>
      </c>
      <c r="J147" s="95">
        <f>IF(ISERROR(Model!J327),"",Model!J327)</f>
        <v>0</v>
      </c>
      <c r="K147" s="95">
        <f>IF(ISERROR(Model!K327),"",Model!K327)</f>
        <v>0</v>
      </c>
      <c r="L147" s="95">
        <f>IF(ISERROR(Model!L327),"",Model!L327)</f>
        <v>0</v>
      </c>
      <c r="M147" s="95">
        <f>IF(ISERROR(Model!M327),"",Model!M327)</f>
        <v>0</v>
      </c>
      <c r="N147" s="95">
        <f>IF(ISERROR(Model!N327),"",Model!N327)</f>
        <v>0</v>
      </c>
      <c r="O147" s="95">
        <f>IF(ISERROR(Model!O327),"",Model!O327)</f>
        <v>0</v>
      </c>
      <c r="P147" s="95">
        <f>IF(ISERROR(Model!P327),"",Model!P327)</f>
        <v>0</v>
      </c>
      <c r="Q147" s="95">
        <f>IF(ISERROR(Model!Q327),"",Model!Q327)</f>
        <v>0</v>
      </c>
      <c r="R147" s="95">
        <f>IF(ISERROR(Model!R327),"",Model!R327)</f>
        <v>0</v>
      </c>
      <c r="S147" s="95">
        <f>IF(ISERROR(Model!S327),"",Model!S327)</f>
        <v>0</v>
      </c>
      <c r="T147" s="95">
        <f>IF(ISERROR(Model!T327),"",Model!T327)</f>
        <v>0</v>
      </c>
      <c r="U147" s="95">
        <f>IF(ISERROR(Model!U327),"",Model!U327)</f>
        <v>0</v>
      </c>
      <c r="V147" s="95">
        <f>IF(ISERROR(Model!V327),"",Model!V327)</f>
        <v>0</v>
      </c>
      <c r="W147" s="95">
        <f>IF(ISERROR(Model!W327),"",Model!W327)</f>
        <v>0</v>
      </c>
      <c r="X147" s="95">
        <f>IF(ISERROR(Model!X327),"",Model!X327)</f>
        <v>0</v>
      </c>
      <c r="Y147" s="95">
        <f>IF(ISERROR(Model!Y327),"",Model!Y327)</f>
        <v>0</v>
      </c>
      <c r="Z147" s="95">
        <f>IF(ISERROR(Model!Z327),"",Model!Z327)</f>
        <v>0</v>
      </c>
      <c r="AA147" s="95">
        <f>IF(ISERROR(Model!AA327),"",Model!AA327)</f>
        <v>0</v>
      </c>
      <c r="AB147" s="95">
        <f>IF(ISERROR(Model!AB327),"",Model!AB327)</f>
        <v>0</v>
      </c>
      <c r="AC147" s="95">
        <f>IF(ISERROR(Model!AC327),"",Model!AC327)</f>
        <v>0</v>
      </c>
      <c r="AD147" s="95">
        <f>IF(ISERROR(Model!AD327),"",Model!AD327)</f>
        <v>0</v>
      </c>
      <c r="AE147" s="95">
        <f>IF(ISERROR(Model!AE327),"",Model!AE327)</f>
        <v>0</v>
      </c>
      <c r="AF147" s="95">
        <f>IF(ISERROR(Model!AF327),"",Model!AF327)</f>
        <v>0</v>
      </c>
      <c r="AG147" s="95">
        <f>IF(ISERROR(Model!AG327),"",Model!AG327)</f>
        <v>0</v>
      </c>
      <c r="AH147" s="95">
        <f>IF(ISERROR(Model!AH327),"",Model!AH327)</f>
        <v>0</v>
      </c>
      <c r="AI147" s="95">
        <f>IF(ISERROR(Model!AI327),"",Model!AI327)</f>
        <v>0</v>
      </c>
      <c r="AJ147" s="95">
        <f>IF(ISERROR(Model!AJ327),"",Model!AJ327)</f>
        <v>0</v>
      </c>
      <c r="AK147" s="95">
        <f>IF(ISERROR(Model!AK327),"",Model!AK327)</f>
        <v>0</v>
      </c>
      <c r="AL147" s="95">
        <f>IF(ISERROR(Model!AL327),"",Model!AL327)</f>
        <v>0</v>
      </c>
      <c r="AM147" s="95">
        <f>IF(ISERROR(Model!AM327),"",Model!AM327)</f>
        <v>0</v>
      </c>
      <c r="AN147" s="95">
        <f>IF(ISERROR(Model!AN327),"",Model!AN327)</f>
        <v>0</v>
      </c>
      <c r="AO147" s="95">
        <f>(Model!AO264/Model!AO30)/2</f>
        <v>0</v>
      </c>
      <c r="AP147" s="95">
        <f>(Model!AP264/Model!AP30)/2</f>
        <v>0</v>
      </c>
      <c r="AQ147" s="95">
        <f>Model!AQ264/Model!AQ30</f>
        <v>0</v>
      </c>
      <c r="AR147" s="95">
        <f>(Model!AR264/Model!AR30)/2</f>
        <v>0</v>
      </c>
      <c r="AS147" s="95">
        <f>(Model!AS264/Model!AS30)/2</f>
        <v>0</v>
      </c>
      <c r="AT147" s="95">
        <f>Model!AT264/Model!AT30</f>
        <v>0</v>
      </c>
      <c r="AU147" s="95">
        <f>(Model!AU264/Model!AU30)/2</f>
        <v>0</v>
      </c>
      <c r="AV147" s="95">
        <f>(Model!AV264/Model!AV30)/2</f>
        <v>0</v>
      </c>
      <c r="AW147" s="95">
        <f>Model!AW264/Model!AW30</f>
        <v>0</v>
      </c>
      <c r="AX147" s="95">
        <f>(Model!AX264/Model!AX30)/2</f>
        <v>0</v>
      </c>
      <c r="AY147" s="95">
        <f>(Model!AY264/Model!AY30)/2</f>
        <v>0</v>
      </c>
      <c r="AZ147" s="95">
        <f>Model!AZ264/Model!AZ30</f>
        <v>0</v>
      </c>
      <c r="BA147" s="95"/>
      <c r="BB147" s="95"/>
      <c r="BC147" s="95">
        <f>Model!BC264/Model!BC30</f>
        <v>0</v>
      </c>
      <c r="BD147" s="95">
        <f>(Model!BD264/Model!BD30)/2</f>
        <v>0</v>
      </c>
      <c r="BE147" s="95">
        <f>(Model!BE264/Model!BE30)/2</f>
        <v>0</v>
      </c>
      <c r="BF147" s="95">
        <f>Model!BF264/Model!BF30</f>
        <v>0</v>
      </c>
      <c r="BG147" s="95">
        <f>(Model!BG264/Model!BG30)/2</f>
        <v>0</v>
      </c>
      <c r="BH147" s="95">
        <f>(Model!BH264/Model!BH30)/2</f>
        <v>0</v>
      </c>
      <c r="BI147" s="95">
        <f>Model!BI264/Model!BI30</f>
        <v>0</v>
      </c>
      <c r="BJ147" s="95">
        <f>(Model!BJ264/Model!BJ30)/2</f>
        <v>0</v>
      </c>
      <c r="BK147" s="95">
        <f>(Model!BK264/Model!BK30)/2</f>
        <v>0</v>
      </c>
      <c r="BL147" s="95">
        <f>Model!BL264/Model!BL30</f>
        <v>0</v>
      </c>
      <c r="BM147" s="95">
        <f>(Model!BM264/Model!BM30)/2</f>
        <v>0</v>
      </c>
      <c r="BN147" s="95">
        <f>(Model!BN264/Model!BN30)/2</f>
        <v>0</v>
      </c>
      <c r="BO147" s="95">
        <f>Model!BO264/Model!BO30</f>
        <v>0</v>
      </c>
      <c r="BP147" s="95"/>
      <c r="BQ147" s="95"/>
      <c r="BR147" s="95"/>
      <c r="BS147" s="95"/>
      <c r="BT147" s="95"/>
      <c r="BU147" s="95"/>
      <c r="BV147" s="95">
        <f>Model!BV263/(Model!BV30*2)</f>
        <v>0</v>
      </c>
      <c r="BW147" s="95">
        <f>Model!BW263/(Model!BW30*2)</f>
        <v>0.12420143877809456</v>
      </c>
      <c r="BX147" s="95">
        <f>Model!BX263/(Model!BX30)</f>
        <v>0.13023399014778325</v>
      </c>
      <c r="BY147" s="95">
        <f>Model!BY263/(Model!BY30*2)</f>
        <v>0</v>
      </c>
      <c r="BZ147" s="95">
        <f>Model!BZ263/(Model!BZ30*2)</f>
        <v>0.15781876893191743</v>
      </c>
      <c r="CA147" s="95">
        <f>BZ147</f>
        <v>0.15781876893191743</v>
      </c>
      <c r="CB147" s="95">
        <f>Model!CB263/(Model!CB30*2)</f>
        <v>0</v>
      </c>
      <c r="CC147" s="95">
        <f>Model!CC263/(Model!CC30*2)</f>
        <v>0.10476552203221762</v>
      </c>
      <c r="CD147" s="95">
        <f>Model!CD263/(Model!CD30)</f>
        <v>0.10165909132632829</v>
      </c>
      <c r="CE147" s="95">
        <f>Model!CE263/(Model!CE30*2)</f>
        <v>0</v>
      </c>
      <c r="CF147" s="95">
        <f>Model!CF263/(Model!CF30*2)</f>
        <v>0.12064055244390132</v>
      </c>
      <c r="CG147" s="95">
        <f>Model!CG263/(Model!CG30)</f>
        <v>0.12496180055282038</v>
      </c>
      <c r="CH147" s="95">
        <f>Model!CH264/(Model!CH30*2)</f>
        <v>9.1910334568367655E-2</v>
      </c>
      <c r="CI147" s="95">
        <f>Model!CI264/(Model!CI30*2)</f>
        <v>0.11407615274723801</v>
      </c>
      <c r="CJ147" s="95">
        <f>Model!CJ264/Model!CJ30</f>
        <v>0.11437406742642128</v>
      </c>
      <c r="CK147" s="95">
        <f>Model!CK264/(Model!CK30*2)</f>
        <v>0.12998033944549212</v>
      </c>
      <c r="CL147" s="95">
        <f>Model!CL264/(Model!CL30*2)</f>
        <v>0.1312494935580584</v>
      </c>
      <c r="CM147" s="95">
        <f>Model!CM264/(Model!CM30)</f>
        <v>0.13061183348452771</v>
      </c>
      <c r="CN147" s="95">
        <f>Model!CN264/(Model!CN30*2)</f>
        <v>0.10614948333462824</v>
      </c>
      <c r="CO147" s="95">
        <f>Model!CO264/(Model!CO30*2)</f>
        <v>0.11435919727595455</v>
      </c>
      <c r="CP147" s="95">
        <f>Model!CP264/(Model!CP30)</f>
        <v>0.11835495238809329</v>
      </c>
      <c r="CQ147" s="95">
        <f>Model!CQ264/(Model!CQ30*2)</f>
        <v>0.11044891913813167</v>
      </c>
      <c r="CR147" s="95">
        <f>Model!CR264/(Model!CR30*2)</f>
        <v>0.12696572215377916</v>
      </c>
      <c r="CS147" s="95">
        <f>Model!CS264/(Model!CS30)</f>
        <v>0.12524349924046105</v>
      </c>
      <c r="CT147" s="95">
        <f>Model!CT264/(Model!CT30*2)</f>
        <v>0.14428959597037952</v>
      </c>
      <c r="CU147" s="95">
        <f>Model!CU264/(Model!CU30*2)</f>
        <v>0.17058304514200368</v>
      </c>
      <c r="CV147" s="95">
        <f>Model!CV264/(Model!CV30)</f>
        <v>0.16449780361330377</v>
      </c>
      <c r="CW147" s="95">
        <f>Model!CW264/(Model!CW30*2)</f>
        <v>0.1357468579690802</v>
      </c>
      <c r="CX147" s="95">
        <f>Model!CX264/(Model!CX30*2)</f>
        <v>0.18415014976738259</v>
      </c>
      <c r="CY147" s="95">
        <f>Model!CY264/(Model!CY30)</f>
        <v>0.17162118017402667</v>
      </c>
      <c r="CZ147" s="95">
        <f>Model!CZ264/(Model!CZ30*2)</f>
        <v>0.12460992868345144</v>
      </c>
      <c r="DA147" s="95">
        <f>Model!DA264/(Model!DA30*2)</f>
        <v>0.17048431725084004</v>
      </c>
      <c r="DB147" s="95">
        <f>Model!DB264/(Model!DB30)</f>
        <v>0.16184405382782821</v>
      </c>
      <c r="DC147" s="95">
        <f>Model!DC264/(Model!DC30*2)</f>
        <v>0.12511886971878819</v>
      </c>
      <c r="DD147" s="95">
        <f>Model!DD264/(Model!DD30*2)</f>
        <v>0.17748442897849051</v>
      </c>
      <c r="DE147" s="138">
        <f>Model!DE264/(Model!DE30)</f>
        <v>0.16793720100688353</v>
      </c>
      <c r="DF147" s="95">
        <f>Model!DF264/(Model!DF30*2)</f>
        <v>0.14206811852780904</v>
      </c>
      <c r="DG147" s="95">
        <f>Model!DG264/(Model!DG30*2)</f>
        <v>0.18279335851335765</v>
      </c>
      <c r="DH147" s="138">
        <f>Model!DH264/(Model!DH30)</f>
        <v>0.17027967747088973</v>
      </c>
      <c r="DI147" s="95">
        <f>Model!DI264/(Model!DI30*2)</f>
        <v>0.14261588133911882</v>
      </c>
      <c r="DJ147" s="95">
        <f>Model!DJ264/(Model!DJ30*2)</f>
        <v>0.22739354049291285</v>
      </c>
      <c r="DK147" s="138">
        <f>Model!DK264/(Model!DK30)</f>
        <v>0.20063345117106729</v>
      </c>
      <c r="DL147" s="95">
        <f>Model!DL264/(Model!DL30*2)</f>
        <v>0.14628628560776805</v>
      </c>
      <c r="DM147" s="95">
        <f>Model!DM264/(Model!DM30*2)</f>
        <v>0.2601695873374788</v>
      </c>
      <c r="DN147" s="138">
        <f>Model!DN264/(Model!DN30)</f>
        <v>0.22290673795962646</v>
      </c>
      <c r="DO147" s="95">
        <f>Model!DO264/(Model!DO30*2)</f>
        <v>0.18393663206923322</v>
      </c>
      <c r="DP147" s="95">
        <f>Model!DP264/(Model!DP30*2)</f>
        <v>0.25180286407601077</v>
      </c>
      <c r="DQ147" s="138">
        <f>Model!DQ264/(Model!DQ30)</f>
        <v>0.23009056839475328</v>
      </c>
      <c r="DR147" s="95">
        <f>Model!DR264/(Model!DR30*2)</f>
        <v>0.18558616271620756</v>
      </c>
      <c r="DS147" s="95">
        <f>Model!DS264/(Model!DS30*2)</f>
        <v>0.25818153751157763</v>
      </c>
      <c r="DT147" s="138">
        <f>Model!DT264/(Model!DT30)</f>
        <v>0.23419449695442135</v>
      </c>
      <c r="DU147" s="95">
        <f>Model!DU264/(Model!DU30*2)</f>
        <v>0.18088467614533965</v>
      </c>
      <c r="DV147" s="95">
        <f>Model!DV264/(Model!DV30*2)</f>
        <v>0.25329332552693207</v>
      </c>
      <c r="DW147" s="138">
        <f>Model!DW264/(Model!DW30)</f>
        <v>0.22979881813956576</v>
      </c>
      <c r="DX147" s="95">
        <f>Model!DX264/(Model!DX30*2)</f>
        <v>0.19593425605536333</v>
      </c>
      <c r="DY147" s="171">
        <v>0.25</v>
      </c>
      <c r="DZ147" s="172">
        <f>DY147</f>
        <v>0.25</v>
      </c>
      <c r="EA147" s="171">
        <v>0.19</v>
      </c>
      <c r="EB147" s="171">
        <f>+DY147-0.25%</f>
        <v>0.2475</v>
      </c>
      <c r="EC147" s="172">
        <f>EB147</f>
        <v>0.2475</v>
      </c>
      <c r="ED147" s="171">
        <f>+EA147</f>
        <v>0.19</v>
      </c>
      <c r="EE147" s="171">
        <f>+EB147-0.25%</f>
        <v>0.245</v>
      </c>
      <c r="EF147" s="172">
        <f>EE147</f>
        <v>0.245</v>
      </c>
      <c r="EG147" s="171">
        <f>+ED147</f>
        <v>0.19</v>
      </c>
      <c r="EH147" s="171">
        <f>+EE147-0.25%</f>
        <v>0.24249999999999999</v>
      </c>
      <c r="EI147" s="172">
        <f>EH147</f>
        <v>0.24249999999999999</v>
      </c>
      <c r="EJ147" s="171">
        <f>+EG147</f>
        <v>0.19</v>
      </c>
      <c r="EK147" s="171">
        <f>+EH147-0.25%</f>
        <v>0.24</v>
      </c>
      <c r="EL147" s="172">
        <f>EK147</f>
        <v>0.24</v>
      </c>
      <c r="EM147" s="171">
        <f>+EJ147</f>
        <v>0.19</v>
      </c>
      <c r="EN147" s="171">
        <f>+EK147-0.25%</f>
        <v>0.23749999999999999</v>
      </c>
      <c r="EO147" s="172">
        <f>EN147</f>
        <v>0.23749999999999999</v>
      </c>
      <c r="EP147" s="171">
        <f>+EM147</f>
        <v>0.19</v>
      </c>
      <c r="EQ147" s="171">
        <f>+EN147-0.25%</f>
        <v>0.23499999999999999</v>
      </c>
      <c r="ER147" s="172">
        <f>EQ147</f>
        <v>0.23499999999999999</v>
      </c>
      <c r="ES147" s="171">
        <f>+EP147</f>
        <v>0.19</v>
      </c>
      <c r="ET147" s="171">
        <f>+EQ147-0.25%</f>
        <v>0.23249999999999998</v>
      </c>
      <c r="EU147" s="172">
        <f>ET147</f>
        <v>0.23249999999999998</v>
      </c>
      <c r="EV147" s="171">
        <f>+ES147</f>
        <v>0.19</v>
      </c>
      <c r="EW147" s="171">
        <f>+ET147-0.25%</f>
        <v>0.22999999999999998</v>
      </c>
      <c r="EX147" s="172">
        <f>EW147</f>
        <v>0.22999999999999998</v>
      </c>
      <c r="EY147" s="171">
        <f>+EV147</f>
        <v>0.19</v>
      </c>
      <c r="EZ147" s="171">
        <f>+EW147-0.25%</f>
        <v>0.22749999999999998</v>
      </c>
      <c r="FA147" s="172">
        <f>EZ147</f>
        <v>0.22749999999999998</v>
      </c>
    </row>
    <row r="148" spans="1:157" ht="13.35" customHeight="1">
      <c r="A148" s="3"/>
      <c r="B148" s="5" t="s">
        <v>244</v>
      </c>
      <c r="C148" s="5"/>
      <c r="D148" s="3"/>
      <c r="E148" s="84"/>
      <c r="F148" s="84"/>
      <c r="G148" s="84"/>
      <c r="H148" s="84"/>
      <c r="I148" s="84"/>
      <c r="J148" s="84"/>
      <c r="K148" s="84"/>
      <c r="L148" s="84"/>
      <c r="M148" s="84"/>
      <c r="N148" s="84"/>
      <c r="O148" s="84"/>
      <c r="P148" s="84"/>
      <c r="Q148" s="84"/>
      <c r="R148" s="84"/>
      <c r="S148" s="84"/>
      <c r="T148" s="84"/>
      <c r="U148" s="84"/>
      <c r="V148" s="84"/>
      <c r="W148" s="84"/>
      <c r="X148" s="84"/>
      <c r="Y148" s="84"/>
      <c r="Z148" s="84"/>
      <c r="AA148" s="84"/>
      <c r="AB148" s="84"/>
      <c r="AC148" s="84"/>
      <c r="AD148" s="84"/>
      <c r="AE148" s="84"/>
      <c r="AF148" s="84"/>
      <c r="AG148" s="84"/>
      <c r="AH148" s="84"/>
      <c r="AI148" s="84"/>
      <c r="AJ148" s="84"/>
      <c r="AK148" s="84"/>
      <c r="AL148" s="84"/>
      <c r="AM148" s="84"/>
      <c r="AN148" s="84"/>
      <c r="AO148" s="84"/>
      <c r="AP148" s="84"/>
      <c r="AQ148" s="84"/>
      <c r="AR148" s="84"/>
      <c r="AS148" s="84"/>
      <c r="AT148" s="84"/>
      <c r="AU148" s="84"/>
      <c r="AV148" s="84"/>
      <c r="AW148" s="84"/>
      <c r="AX148" s="84"/>
      <c r="AY148" s="84"/>
      <c r="AZ148" s="84"/>
      <c r="BA148" s="84"/>
      <c r="BB148" s="84"/>
      <c r="BC148" s="84"/>
      <c r="BD148" s="84"/>
      <c r="BE148" s="84"/>
      <c r="BF148" s="84"/>
      <c r="BG148" s="84"/>
      <c r="BH148" s="84"/>
      <c r="BI148" s="84"/>
      <c r="BJ148" s="84"/>
      <c r="BK148" s="84"/>
      <c r="BL148" s="84"/>
      <c r="BM148" s="84"/>
      <c r="BN148" s="84"/>
      <c r="BO148" s="84"/>
      <c r="BP148" s="84"/>
      <c r="BQ148" s="84"/>
      <c r="BR148" s="84"/>
      <c r="BS148" s="84"/>
      <c r="BT148" s="84"/>
      <c r="BU148" s="84"/>
      <c r="BV148" s="84"/>
      <c r="BW148" s="84"/>
      <c r="BX148" s="84"/>
      <c r="BY148" s="84"/>
      <c r="BZ148" s="84"/>
      <c r="CA148" s="84"/>
      <c r="CB148" s="84"/>
      <c r="CC148" s="84"/>
      <c r="CD148" s="84"/>
      <c r="CE148" s="84"/>
      <c r="CF148" s="84"/>
      <c r="CG148" s="84"/>
      <c r="CH148" s="84"/>
      <c r="CI148" s="84"/>
      <c r="CJ148" s="84"/>
      <c r="CK148" s="84"/>
      <c r="CL148" s="84"/>
      <c r="CM148" s="84"/>
      <c r="CN148" s="84"/>
      <c r="CO148" s="84"/>
      <c r="CP148" s="84"/>
      <c r="CQ148" s="84"/>
      <c r="CR148" s="84"/>
      <c r="CS148" s="84"/>
      <c r="CT148" s="84"/>
      <c r="CU148" s="84"/>
      <c r="CV148" s="84"/>
      <c r="CW148" s="84"/>
      <c r="CX148" s="84"/>
      <c r="CY148" s="84"/>
      <c r="CZ148" s="84"/>
      <c r="DA148" s="84"/>
      <c r="DB148" s="84"/>
      <c r="DC148" s="84"/>
      <c r="DD148" s="84"/>
      <c r="DE148" s="140"/>
      <c r="DF148" s="84"/>
      <c r="DG148" s="84"/>
      <c r="DH148" s="140"/>
      <c r="DI148" s="84"/>
      <c r="DJ148" s="84"/>
      <c r="DK148" s="140"/>
      <c r="DL148" s="84"/>
      <c r="DM148" s="84"/>
      <c r="DN148" s="140"/>
      <c r="DO148" s="84"/>
      <c r="DP148" s="84"/>
      <c r="DQ148" s="140"/>
      <c r="DR148" s="84"/>
      <c r="DS148" s="84"/>
      <c r="DT148" s="140"/>
      <c r="DU148" s="84"/>
      <c r="DV148" s="84"/>
      <c r="DW148" s="140"/>
      <c r="DX148" s="84"/>
      <c r="DY148" s="84"/>
      <c r="DZ148" s="140"/>
      <c r="EA148" s="84"/>
      <c r="EB148" s="84"/>
      <c r="EC148" s="140"/>
      <c r="ED148" s="84"/>
      <c r="EE148" s="84"/>
      <c r="EF148" s="140"/>
      <c r="EG148" s="84"/>
      <c r="EH148" s="84"/>
      <c r="EI148" s="140"/>
      <c r="EJ148" s="84"/>
      <c r="EK148" s="84"/>
      <c r="EL148" s="140"/>
      <c r="EM148" s="84"/>
      <c r="EN148" s="84"/>
      <c r="EO148" s="140"/>
      <c r="EP148" s="84"/>
      <c r="EQ148" s="84"/>
      <c r="ER148" s="140"/>
      <c r="ES148" s="84"/>
      <c r="ET148" s="84"/>
      <c r="EU148" s="140"/>
      <c r="EV148" s="84"/>
      <c r="EW148" s="84"/>
      <c r="EX148" s="140"/>
      <c r="EY148" s="84"/>
      <c r="EZ148" s="84"/>
      <c r="FA148" s="140"/>
    </row>
    <row r="149" spans="1:157" ht="13.35" customHeight="1">
      <c r="A149" s="3"/>
      <c r="B149" s="4" t="s">
        <v>245</v>
      </c>
      <c r="C149" s="4"/>
      <c r="D149" s="82"/>
      <c r="E149" s="82"/>
      <c r="F149" s="82"/>
      <c r="G149" s="82"/>
      <c r="H149" s="93"/>
      <c r="I149" s="93"/>
      <c r="J149" s="93"/>
      <c r="K149" s="93"/>
      <c r="L149" s="93"/>
      <c r="M149" s="93"/>
      <c r="N149" s="93"/>
      <c r="O149" s="93"/>
      <c r="P149" s="93"/>
      <c r="Q149" s="93"/>
      <c r="R149" s="93"/>
      <c r="S149" s="93"/>
      <c r="T149" s="93"/>
      <c r="U149" s="93"/>
      <c r="V149" s="93"/>
      <c r="W149" s="93"/>
      <c r="X149" s="93"/>
      <c r="Y149" s="93"/>
      <c r="Z149" s="93"/>
      <c r="AA149" s="93"/>
      <c r="AB149" s="93"/>
      <c r="AC149" s="93"/>
      <c r="AD149" s="93"/>
      <c r="AE149" s="93"/>
      <c r="AF149" s="93"/>
      <c r="AG149" s="93"/>
      <c r="AH149" s="93"/>
      <c r="AI149" s="93"/>
      <c r="AJ149" s="93"/>
      <c r="AK149" s="93"/>
      <c r="AL149" s="93"/>
      <c r="AM149" s="93"/>
      <c r="AN149" s="93"/>
      <c r="AO149" s="93"/>
      <c r="AP149" s="93"/>
      <c r="AQ149" s="93"/>
      <c r="AR149" s="95">
        <f>Model!AR273/Model!AR30</f>
        <v>0</v>
      </c>
      <c r="AS149" s="95">
        <f>Model!AS273/Model!AS30</f>
        <v>0</v>
      </c>
      <c r="AT149" s="95">
        <f>Model!AT273/Model!AT30</f>
        <v>0</v>
      </c>
      <c r="AU149" s="95">
        <f>Model!AU273/Model!AU30</f>
        <v>0</v>
      </c>
      <c r="AV149" s="95">
        <f>Model!AV273/Model!AV30</f>
        <v>0</v>
      </c>
      <c r="AW149" s="95">
        <f>Model!AW273/Model!AW30</f>
        <v>0</v>
      </c>
      <c r="AX149" s="95">
        <f>Model!AX273/Model!AX30</f>
        <v>0</v>
      </c>
      <c r="AY149" s="95">
        <f>Model!AY273/Model!AY30</f>
        <v>0</v>
      </c>
      <c r="AZ149" s="95">
        <f>Model!AZ273/Model!AZ30</f>
        <v>0</v>
      </c>
      <c r="BA149" s="95"/>
      <c r="BB149" s="95"/>
      <c r="BC149" s="95">
        <f>Model!BC273/Model!BC30</f>
        <v>0</v>
      </c>
      <c r="BD149" s="95">
        <f>Model!BD273/Model!BD30</f>
        <v>0</v>
      </c>
      <c r="BE149" s="82"/>
      <c r="BF149" s="82"/>
      <c r="BG149" s="82"/>
      <c r="BH149" s="82"/>
      <c r="BI149" s="82"/>
      <c r="BJ149" s="82"/>
      <c r="BK149" s="82"/>
      <c r="BL149" s="82"/>
      <c r="BM149" s="82"/>
      <c r="BN149" s="82"/>
      <c r="BO149" s="82"/>
      <c r="BP149" s="82"/>
      <c r="BQ149" s="82"/>
      <c r="BR149" s="82"/>
      <c r="BS149" s="82"/>
      <c r="BT149" s="82"/>
      <c r="BU149" s="82"/>
      <c r="BV149" s="82"/>
      <c r="BW149" s="82"/>
      <c r="BX149" s="82"/>
      <c r="BY149" s="79"/>
      <c r="BZ149" s="82"/>
      <c r="CA149" s="82"/>
      <c r="CB149" s="82"/>
      <c r="CC149" s="82"/>
      <c r="CD149" s="82"/>
      <c r="CE149" s="82"/>
      <c r="CF149" s="82"/>
      <c r="CG149" s="82"/>
      <c r="CH149" s="82"/>
      <c r="CI149" s="82"/>
      <c r="CJ149" s="82"/>
      <c r="CK149" s="82"/>
      <c r="CL149" s="82"/>
      <c r="CM149" s="82"/>
      <c r="CN149" s="82"/>
      <c r="CO149" s="82"/>
      <c r="CP149" s="82"/>
      <c r="CQ149" s="82"/>
      <c r="CR149" s="82"/>
      <c r="CS149" s="82"/>
      <c r="CT149" s="82"/>
      <c r="CU149" s="82"/>
      <c r="CV149" s="82"/>
      <c r="CW149" s="82"/>
      <c r="CX149" s="82"/>
      <c r="CY149" s="82"/>
      <c r="CZ149" s="82"/>
      <c r="DA149" s="82"/>
      <c r="DB149" s="82"/>
      <c r="DC149" s="82"/>
      <c r="DD149" s="82"/>
      <c r="DE149" s="138"/>
      <c r="DF149" s="116"/>
      <c r="DG149" s="82"/>
      <c r="DH149" s="138"/>
      <c r="DI149" s="82"/>
      <c r="DJ149" s="82"/>
      <c r="DK149" s="138"/>
      <c r="DL149" s="82"/>
      <c r="DM149" s="82"/>
      <c r="DN149" s="138"/>
      <c r="DO149" s="114"/>
      <c r="DP149" s="114"/>
      <c r="DQ149" s="138"/>
      <c r="DR149" s="82"/>
      <c r="DS149" s="82"/>
      <c r="DT149" s="138"/>
      <c r="DU149" s="82"/>
      <c r="DV149" s="82"/>
      <c r="DW149" s="138"/>
      <c r="DX149" s="82"/>
      <c r="DY149" s="82"/>
      <c r="DZ149" s="138"/>
      <c r="EA149" s="82"/>
      <c r="EB149" s="82"/>
      <c r="EC149" s="138"/>
      <c r="ED149" s="82"/>
      <c r="EE149" s="82"/>
      <c r="EF149" s="138"/>
      <c r="EG149" s="82"/>
      <c r="EH149" s="82"/>
      <c r="EI149" s="138"/>
      <c r="EJ149" s="82"/>
      <c r="EK149" s="82"/>
      <c r="EL149" s="138"/>
      <c r="EM149" s="82"/>
      <c r="EN149" s="82"/>
      <c r="EO149" s="138"/>
      <c r="EP149" s="82"/>
      <c r="EQ149" s="82"/>
      <c r="ER149" s="138"/>
      <c r="ES149" s="82"/>
      <c r="ET149" s="82"/>
      <c r="EU149" s="138"/>
      <c r="EV149" s="82"/>
      <c r="EW149" s="82"/>
      <c r="EX149" s="138"/>
      <c r="EY149" s="82"/>
      <c r="EZ149" s="82"/>
      <c r="FA149" s="138"/>
    </row>
    <row r="150" spans="1:157" ht="13.35" customHeight="1">
      <c r="A150" s="3"/>
      <c r="B150" s="4" t="s">
        <v>246</v>
      </c>
      <c r="C150" s="4"/>
      <c r="D150" s="4"/>
      <c r="E150" s="82"/>
      <c r="F150" s="8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95">
        <f>Model!AR279/Model!AR30</f>
        <v>0</v>
      </c>
      <c r="AS150" s="95">
        <f>Model!AS279/Model!AS30</f>
        <v>0</v>
      </c>
      <c r="AT150" s="95">
        <f>Model!AT279/Model!AT30</f>
        <v>0</v>
      </c>
      <c r="AU150" s="95">
        <f>Model!AU279/Model!AU30</f>
        <v>0</v>
      </c>
      <c r="AV150" s="95">
        <f>Model!AV279/Model!AV30</f>
        <v>0</v>
      </c>
      <c r="AW150" s="95">
        <f>Model!AW279/Model!AW30</f>
        <v>0</v>
      </c>
      <c r="AX150" s="95">
        <f>Model!AX279/Model!AX30</f>
        <v>0</v>
      </c>
      <c r="AY150" s="95">
        <f>Model!AY279/Model!AY30</f>
        <v>0</v>
      </c>
      <c r="AZ150" s="95">
        <f>Model!AZ279/Model!AZ30</f>
        <v>0</v>
      </c>
      <c r="BA150" s="95"/>
      <c r="BB150" s="95"/>
      <c r="BC150" s="95">
        <f>Model!BC279/Model!BC30</f>
        <v>0</v>
      </c>
      <c r="BD150" s="95">
        <f>Model!BD279/Model!BD30</f>
        <v>0</v>
      </c>
      <c r="BE150" s="82"/>
      <c r="BF150" s="82"/>
      <c r="BG150" s="82"/>
      <c r="BH150" s="82"/>
      <c r="BI150" s="82"/>
      <c r="BJ150" s="82"/>
      <c r="BK150" s="82"/>
      <c r="BL150" s="82"/>
      <c r="BM150" s="82"/>
      <c r="BN150" s="82"/>
      <c r="BO150" s="82"/>
      <c r="BP150" s="82"/>
      <c r="BQ150" s="82"/>
      <c r="BR150" s="82"/>
      <c r="BS150" s="82"/>
      <c r="BT150" s="82"/>
      <c r="BU150" s="82"/>
      <c r="BV150" s="82"/>
      <c r="BW150" s="82"/>
      <c r="BX150" s="82"/>
      <c r="BY150" s="82"/>
      <c r="BZ150" s="82"/>
      <c r="CA150" s="82"/>
      <c r="CB150" s="82"/>
      <c r="CC150" s="82"/>
      <c r="CD150" s="82"/>
      <c r="CE150" s="82"/>
      <c r="CF150" s="82"/>
      <c r="CG150" s="82"/>
      <c r="CH150" s="82"/>
      <c r="CI150" s="82"/>
      <c r="CJ150" s="82"/>
      <c r="CK150" s="82"/>
      <c r="CL150" s="82"/>
      <c r="CM150" s="82"/>
      <c r="CN150" s="82"/>
      <c r="CO150" s="82"/>
      <c r="CP150" s="82"/>
      <c r="CQ150" s="82"/>
      <c r="CR150" s="82"/>
      <c r="CS150" s="82"/>
      <c r="CT150" s="82"/>
      <c r="CU150" s="82"/>
      <c r="CV150" s="82"/>
      <c r="CW150" s="82"/>
      <c r="CX150" s="82"/>
      <c r="CY150" s="82"/>
      <c r="CZ150" s="82"/>
      <c r="DA150" s="82"/>
      <c r="DB150" s="82"/>
      <c r="DC150" s="82"/>
      <c r="DD150" s="82"/>
      <c r="DE150" s="152"/>
      <c r="DF150" s="116"/>
      <c r="DG150" s="82"/>
      <c r="DH150" s="138"/>
      <c r="DI150" s="82"/>
      <c r="DJ150" s="82"/>
      <c r="DK150" s="138"/>
      <c r="DL150" s="82"/>
      <c r="DM150" s="82"/>
      <c r="DN150" s="138"/>
      <c r="DQ150" s="138"/>
      <c r="DR150" s="92"/>
      <c r="DS150" s="92"/>
      <c r="DT150" s="138"/>
      <c r="DU150" s="92"/>
      <c r="DV150" s="92"/>
      <c r="DW150" s="138"/>
      <c r="DX150" s="92"/>
      <c r="DY150" s="92"/>
      <c r="DZ150" s="138"/>
      <c r="EA150" s="92"/>
      <c r="EB150" s="92"/>
      <c r="EC150" s="138"/>
      <c r="ED150" s="92"/>
      <c r="EE150" s="92"/>
      <c r="EF150" s="138"/>
      <c r="EG150" s="92"/>
      <c r="EH150" s="92"/>
      <c r="EI150" s="138"/>
      <c r="EJ150" s="92"/>
      <c r="EK150" s="92"/>
      <c r="EL150" s="138"/>
      <c r="EM150" s="92"/>
      <c r="EN150" s="92"/>
      <c r="EO150" s="138"/>
      <c r="EP150" s="92"/>
      <c r="EQ150" s="92"/>
      <c r="ER150" s="138"/>
      <c r="ES150" s="92"/>
      <c r="ET150" s="92"/>
      <c r="EU150" s="138"/>
      <c r="EV150" s="92"/>
      <c r="EW150" s="92"/>
      <c r="EX150" s="138"/>
      <c r="EY150" s="92"/>
      <c r="EZ150" s="92"/>
      <c r="FA150" s="138"/>
    </row>
    <row r="151" spans="1:157" ht="13.35" customHeight="1">
      <c r="A151" s="3"/>
      <c r="B151" s="4" t="s">
        <v>188</v>
      </c>
      <c r="C151" s="4"/>
      <c r="D151" s="3"/>
      <c r="E151" s="82"/>
      <c r="F151" s="82"/>
      <c r="G151" s="82"/>
      <c r="H151" s="93"/>
      <c r="I151" s="93"/>
      <c r="J151" s="93"/>
      <c r="K151" s="93"/>
      <c r="L151" s="93"/>
      <c r="M151" s="93"/>
      <c r="N151" s="93"/>
      <c r="O151" s="93"/>
      <c r="P151" s="93"/>
      <c r="Q151" s="93"/>
      <c r="R151" s="93"/>
      <c r="S151" s="93"/>
      <c r="T151" s="93"/>
      <c r="U151" s="93"/>
      <c r="V151" s="93"/>
      <c r="W151" s="93"/>
      <c r="X151" s="93"/>
      <c r="Y151" s="93"/>
      <c r="Z151" s="93"/>
      <c r="AA151" s="93"/>
      <c r="AB151" s="93"/>
      <c r="AC151" s="93"/>
      <c r="AD151" s="93"/>
      <c r="AE151" s="93"/>
      <c r="AF151" s="93"/>
      <c r="AG151" s="93"/>
      <c r="AH151" s="93"/>
      <c r="AI151" s="93"/>
      <c r="AJ151" s="93"/>
      <c r="AK151" s="93"/>
      <c r="AL151" s="93"/>
      <c r="AM151" s="93"/>
      <c r="AN151" s="93"/>
      <c r="AO151" s="93"/>
      <c r="AP151" s="93"/>
      <c r="AQ151" s="93"/>
      <c r="AR151" s="95">
        <f>Model!AR293/Model!AR30</f>
        <v>0</v>
      </c>
      <c r="AS151" s="95">
        <f>Model!AS293/Model!AS30</f>
        <v>0</v>
      </c>
      <c r="AT151" s="95">
        <f>Model!AT293/Model!AT30</f>
        <v>0</v>
      </c>
      <c r="AU151" s="95">
        <f>Model!AU293/Model!AU30</f>
        <v>0</v>
      </c>
      <c r="AV151" s="95">
        <f>Model!AV293/Model!AV30</f>
        <v>0</v>
      </c>
      <c r="AW151" s="95">
        <f>Model!AW293/Model!AW30</f>
        <v>0</v>
      </c>
      <c r="AX151" s="95">
        <f>Model!AX293/Model!AX30</f>
        <v>0</v>
      </c>
      <c r="AY151" s="95">
        <f>Model!AY293/Model!AY30</f>
        <v>0</v>
      </c>
      <c r="AZ151" s="95">
        <f>Model!AZ293/Model!AZ30</f>
        <v>0</v>
      </c>
      <c r="BA151" s="95"/>
      <c r="BB151" s="95"/>
      <c r="BC151" s="95">
        <f>Model!BC293/Model!BC30</f>
        <v>0</v>
      </c>
      <c r="BD151" s="95">
        <f>Model!BD293/Model!BD30</f>
        <v>0</v>
      </c>
      <c r="BE151" s="82"/>
      <c r="BF151" s="82"/>
      <c r="BG151" s="82"/>
      <c r="BH151" s="82"/>
      <c r="BI151" s="82"/>
      <c r="BJ151" s="82"/>
      <c r="BK151" s="82"/>
      <c r="BL151" s="82"/>
      <c r="BM151" s="82"/>
      <c r="BN151" s="82"/>
      <c r="BO151" s="82"/>
      <c r="BP151" s="82"/>
      <c r="BQ151" s="82"/>
      <c r="BR151" s="82"/>
      <c r="BS151" s="82"/>
      <c r="BT151" s="82"/>
      <c r="BU151" s="82"/>
      <c r="BV151" s="82"/>
      <c r="BW151" s="82"/>
      <c r="BX151" s="82"/>
      <c r="BY151" s="82"/>
      <c r="BZ151" s="82"/>
      <c r="CA151" s="82"/>
      <c r="CB151" s="82"/>
      <c r="CC151" s="82"/>
      <c r="CD151" s="82"/>
      <c r="CE151" s="82"/>
      <c r="CF151" s="82"/>
      <c r="CG151" s="82"/>
      <c r="CH151" s="82"/>
      <c r="CI151" s="82"/>
      <c r="CJ151" s="82"/>
      <c r="CK151" s="82"/>
      <c r="CL151" s="82"/>
      <c r="CM151" s="82"/>
      <c r="CN151" s="82"/>
      <c r="CO151" s="82"/>
      <c r="CP151" s="82"/>
      <c r="CQ151" s="82"/>
      <c r="CR151" s="82"/>
      <c r="CS151" s="82"/>
      <c r="CT151" s="82"/>
      <c r="CU151" s="82"/>
      <c r="CV151" s="82"/>
      <c r="CW151" s="82"/>
      <c r="CX151" s="82"/>
      <c r="CY151" s="82"/>
      <c r="CZ151" s="82"/>
      <c r="DA151" s="82"/>
      <c r="DB151" s="82"/>
      <c r="DC151" s="82"/>
      <c r="DD151" s="82"/>
      <c r="DE151" s="138"/>
      <c r="DF151" s="82"/>
      <c r="DG151" s="82"/>
      <c r="DH151" s="138"/>
      <c r="DI151" s="82"/>
      <c r="DJ151" s="82"/>
      <c r="DK151" s="138"/>
      <c r="DL151" s="82"/>
      <c r="DM151" s="82"/>
      <c r="DN151" s="138"/>
      <c r="DO151" s="82"/>
      <c r="DP151" s="82"/>
      <c r="DQ151" s="138"/>
      <c r="DR151" s="82"/>
      <c r="DS151" s="82"/>
      <c r="DT151" s="138"/>
      <c r="DU151" s="82"/>
      <c r="DV151" s="82"/>
      <c r="DW151" s="138"/>
      <c r="DX151" s="82"/>
      <c r="DY151" s="82"/>
      <c r="DZ151" s="138"/>
      <c r="EA151" s="82"/>
      <c r="EB151" s="82"/>
      <c r="EC151" s="138"/>
      <c r="ED151" s="82"/>
      <c r="EE151" s="82"/>
      <c r="EF151" s="138"/>
      <c r="EG151" s="82"/>
      <c r="EH151" s="82"/>
      <c r="EI151" s="138"/>
      <c r="EJ151" s="82"/>
      <c r="EK151" s="82"/>
      <c r="EL151" s="138"/>
      <c r="EM151" s="82"/>
      <c r="EN151" s="82"/>
      <c r="EO151" s="138"/>
      <c r="EP151" s="82"/>
      <c r="EQ151" s="82"/>
      <c r="ER151" s="138"/>
      <c r="ES151" s="82"/>
      <c r="ET151" s="82"/>
      <c r="EU151" s="138"/>
      <c r="EV151" s="82"/>
      <c r="EW151" s="82"/>
      <c r="EX151" s="138"/>
      <c r="EY151" s="82"/>
      <c r="EZ151" s="82"/>
      <c r="FA151" s="138"/>
    </row>
    <row r="152" spans="1:157" ht="13.35" customHeight="1">
      <c r="A152" s="3"/>
      <c r="B152" s="5" t="s">
        <v>127</v>
      </c>
      <c r="C152" s="5"/>
      <c r="D152" s="3"/>
      <c r="E152" s="84"/>
      <c r="F152" s="84"/>
      <c r="G152" s="84"/>
      <c r="H152" s="84"/>
      <c r="I152" s="84"/>
      <c r="J152" s="84"/>
      <c r="K152" s="84"/>
      <c r="L152" s="84"/>
      <c r="M152" s="84"/>
      <c r="N152" s="84"/>
      <c r="O152" s="84"/>
      <c r="P152" s="84"/>
      <c r="Q152" s="84"/>
      <c r="R152" s="84"/>
      <c r="S152" s="84"/>
      <c r="T152" s="84"/>
      <c r="U152" s="84"/>
      <c r="V152" s="84"/>
      <c r="W152" s="84"/>
      <c r="X152" s="84"/>
      <c r="Y152" s="84"/>
      <c r="Z152" s="84"/>
      <c r="AA152" s="84"/>
      <c r="AB152" s="84"/>
      <c r="AC152" s="84"/>
      <c r="AD152" s="84"/>
      <c r="AE152" s="84"/>
      <c r="AF152" s="84"/>
      <c r="AG152" s="84"/>
      <c r="AH152" s="84"/>
      <c r="AI152" s="84"/>
      <c r="AJ152" s="84"/>
      <c r="AK152" s="84"/>
      <c r="AL152" s="84"/>
      <c r="AM152" s="84"/>
      <c r="AN152" s="84"/>
      <c r="AO152" s="84"/>
      <c r="AP152" s="84"/>
      <c r="AQ152" s="84"/>
      <c r="AR152" s="84"/>
      <c r="AS152" s="84"/>
      <c r="AT152" s="84"/>
      <c r="AU152" s="84"/>
      <c r="AV152" s="84"/>
      <c r="AW152" s="84"/>
      <c r="AX152" s="84"/>
      <c r="AY152" s="84"/>
      <c r="AZ152" s="84"/>
      <c r="BA152" s="84"/>
      <c r="BB152" s="84"/>
      <c r="BC152" s="84"/>
      <c r="BD152" s="84"/>
      <c r="BE152" s="84"/>
      <c r="BF152" s="84"/>
      <c r="BG152" s="84"/>
      <c r="BH152" s="84"/>
      <c r="BI152" s="84"/>
      <c r="BJ152" s="84"/>
      <c r="BK152" s="84"/>
      <c r="BL152" s="84"/>
      <c r="BM152" s="84"/>
      <c r="BN152" s="84"/>
      <c r="BO152" s="84"/>
      <c r="BP152" s="84"/>
      <c r="BQ152" s="84"/>
      <c r="BR152" s="84"/>
      <c r="BS152" s="84"/>
      <c r="BT152" s="84"/>
      <c r="BU152" s="84"/>
      <c r="BV152" s="84"/>
      <c r="BW152" s="84"/>
      <c r="BX152" s="84"/>
      <c r="BY152" s="84"/>
      <c r="BZ152" s="84"/>
      <c r="CA152" s="84"/>
      <c r="CB152" s="84"/>
      <c r="CC152" s="84"/>
      <c r="CD152" s="84"/>
      <c r="CE152" s="84"/>
      <c r="CF152" s="84"/>
      <c r="CG152" s="84"/>
      <c r="CH152" s="84"/>
      <c r="CI152" s="84"/>
      <c r="CJ152" s="84"/>
      <c r="CK152" s="84"/>
      <c r="CL152" s="84"/>
      <c r="CM152" s="84"/>
      <c r="CN152" s="84"/>
      <c r="CO152" s="84"/>
      <c r="CP152" s="84"/>
      <c r="CQ152" s="84"/>
      <c r="CR152" s="84"/>
      <c r="CS152" s="84"/>
      <c r="CT152" s="84"/>
      <c r="CU152" s="84"/>
      <c r="CV152" s="84">
        <f>Model!CV188</f>
        <v>-495</v>
      </c>
      <c r="CW152" s="84">
        <f>Model!CW188</f>
        <v>-461.64566169188777</v>
      </c>
      <c r="CX152" s="84">
        <f>Model!CX188</f>
        <v>-394.93529068906457</v>
      </c>
      <c r="CY152" s="84">
        <f>Model!CY188</f>
        <v>-856.58095238095234</v>
      </c>
      <c r="CZ152" s="84">
        <f>Model!CZ188</f>
        <v>-317.60000000000002</v>
      </c>
      <c r="DA152" s="84">
        <f>Model!DA188</f>
        <v>-674.99999999999989</v>
      </c>
      <c r="DB152" s="84"/>
      <c r="DC152" s="84"/>
      <c r="DD152" s="84"/>
      <c r="DE152" s="140"/>
      <c r="DF152" s="84"/>
      <c r="DG152" s="84"/>
      <c r="DH152" s="140"/>
      <c r="DI152" s="84"/>
      <c r="DJ152" s="84"/>
      <c r="DK152" s="140"/>
      <c r="DL152" s="84"/>
      <c r="DM152" s="84"/>
      <c r="DN152" s="140"/>
      <c r="DO152" s="84"/>
      <c r="DP152" s="84"/>
      <c r="DQ152" s="140"/>
      <c r="DR152" s="84"/>
      <c r="DS152" s="84"/>
      <c r="DT152" s="140"/>
      <c r="DU152" s="84"/>
      <c r="DV152" s="84"/>
      <c r="DW152" s="140"/>
      <c r="DX152" s="84"/>
      <c r="DY152" s="84"/>
      <c r="DZ152" s="140"/>
      <c r="EA152" s="84"/>
      <c r="EB152" s="84"/>
      <c r="EC152" s="140"/>
      <c r="ED152" s="84"/>
      <c r="EE152" s="84"/>
      <c r="EF152" s="140"/>
      <c r="EG152" s="84"/>
      <c r="EH152" s="84"/>
      <c r="EI152" s="140"/>
      <c r="EJ152" s="84"/>
      <c r="EK152" s="84"/>
      <c r="EL152" s="140"/>
      <c r="EM152" s="84"/>
      <c r="EN152" s="84"/>
      <c r="EO152" s="140"/>
      <c r="EP152" s="84"/>
      <c r="EQ152" s="84"/>
      <c r="ER152" s="140"/>
      <c r="ES152" s="84"/>
      <c r="ET152" s="84"/>
      <c r="EU152" s="140"/>
      <c r="EV152" s="84"/>
      <c r="EW152" s="84"/>
      <c r="EX152" s="140"/>
      <c r="EY152" s="84"/>
      <c r="EZ152" s="84"/>
      <c r="FA152" s="140"/>
    </row>
    <row r="153" spans="1:157" ht="13.35" customHeight="1">
      <c r="A153" s="3"/>
      <c r="B153" s="4" t="s">
        <v>189</v>
      </c>
      <c r="C153" s="4"/>
      <c r="D153" s="4"/>
      <c r="E153" s="114"/>
      <c r="F153" s="114"/>
      <c r="G153" s="114"/>
      <c r="H153" s="114"/>
      <c r="I153" s="114"/>
      <c r="J153" s="114"/>
      <c r="K153" s="114"/>
      <c r="L153" s="114"/>
      <c r="M153" s="114"/>
      <c r="N153" s="114"/>
      <c r="O153" s="114"/>
      <c r="P153" s="114"/>
      <c r="Q153" s="114"/>
      <c r="R153" s="114"/>
      <c r="S153" s="114"/>
      <c r="T153" s="114"/>
      <c r="U153" s="114"/>
      <c r="V153" s="114"/>
      <c r="W153" s="114"/>
      <c r="X153" s="114"/>
      <c r="Y153" s="114"/>
      <c r="Z153" s="114"/>
      <c r="AA153" s="114"/>
      <c r="AB153" s="114"/>
      <c r="AC153" s="114"/>
      <c r="AD153" s="114"/>
      <c r="AE153" s="114"/>
      <c r="AF153" s="114"/>
      <c r="AG153" s="114"/>
      <c r="AH153" s="114"/>
      <c r="AI153" s="114"/>
      <c r="AJ153" s="114"/>
      <c r="AK153" s="114"/>
      <c r="AL153" s="114"/>
      <c r="AM153" s="114"/>
      <c r="AN153" s="114"/>
      <c r="AO153" s="114"/>
      <c r="AP153" s="114"/>
      <c r="AQ153" s="114"/>
      <c r="AR153" s="114"/>
      <c r="AS153" s="114"/>
      <c r="AT153" s="114"/>
      <c r="AU153" s="114"/>
      <c r="AV153" s="114"/>
      <c r="AW153" s="114"/>
      <c r="AX153" s="114"/>
      <c r="AY153" s="114"/>
      <c r="AZ153" s="114"/>
      <c r="BA153" s="117">
        <v>0</v>
      </c>
      <c r="BB153" s="117"/>
      <c r="BC153" s="117">
        <v>0</v>
      </c>
      <c r="BD153" s="117">
        <v>0</v>
      </c>
      <c r="BE153" s="117"/>
      <c r="BF153" s="7">
        <v>0.1</v>
      </c>
      <c r="BG153" s="7">
        <f t="shared" ref="BG153:CL153" si="146">BF153</f>
        <v>0.1</v>
      </c>
      <c r="BH153" s="7">
        <f t="shared" si="146"/>
        <v>0.1</v>
      </c>
      <c r="BI153" s="7">
        <f t="shared" si="146"/>
        <v>0.1</v>
      </c>
      <c r="BJ153" s="7">
        <f t="shared" si="146"/>
        <v>0.1</v>
      </c>
      <c r="BK153" s="7">
        <f t="shared" si="146"/>
        <v>0.1</v>
      </c>
      <c r="BL153" s="7">
        <f t="shared" si="146"/>
        <v>0.1</v>
      </c>
      <c r="BM153" s="7">
        <f t="shared" si="146"/>
        <v>0.1</v>
      </c>
      <c r="BN153" s="7">
        <f t="shared" si="146"/>
        <v>0.1</v>
      </c>
      <c r="BO153" s="7">
        <f t="shared" si="146"/>
        <v>0.1</v>
      </c>
      <c r="BP153" s="7">
        <f t="shared" si="146"/>
        <v>0.1</v>
      </c>
      <c r="BQ153" s="7">
        <f t="shared" si="146"/>
        <v>0.1</v>
      </c>
      <c r="BR153" s="7">
        <f t="shared" si="146"/>
        <v>0.1</v>
      </c>
      <c r="BS153" s="7">
        <f t="shared" si="146"/>
        <v>0.1</v>
      </c>
      <c r="BT153" s="7">
        <f t="shared" si="146"/>
        <v>0.1</v>
      </c>
      <c r="BU153" s="7">
        <f t="shared" si="146"/>
        <v>0.1</v>
      </c>
      <c r="BV153" s="7">
        <f t="shared" si="146"/>
        <v>0.1</v>
      </c>
      <c r="BW153" s="7">
        <f t="shared" si="146"/>
        <v>0.1</v>
      </c>
      <c r="BX153" s="7">
        <f t="shared" si="146"/>
        <v>0.1</v>
      </c>
      <c r="BY153" s="7">
        <f t="shared" si="146"/>
        <v>0.1</v>
      </c>
      <c r="BZ153" s="7">
        <f t="shared" si="146"/>
        <v>0.1</v>
      </c>
      <c r="CA153" s="7">
        <f t="shared" si="146"/>
        <v>0.1</v>
      </c>
      <c r="CB153" s="7">
        <f t="shared" si="146"/>
        <v>0.1</v>
      </c>
      <c r="CC153" s="7">
        <f t="shared" si="146"/>
        <v>0.1</v>
      </c>
      <c r="CD153" s="7">
        <f t="shared" si="146"/>
        <v>0.1</v>
      </c>
      <c r="CE153" s="7">
        <f t="shared" si="146"/>
        <v>0.1</v>
      </c>
      <c r="CF153" s="7">
        <f t="shared" si="146"/>
        <v>0.1</v>
      </c>
      <c r="CG153" s="7">
        <f t="shared" si="146"/>
        <v>0.1</v>
      </c>
      <c r="CH153" s="7">
        <f t="shared" si="146"/>
        <v>0.1</v>
      </c>
      <c r="CI153" s="7">
        <f t="shared" si="146"/>
        <v>0.1</v>
      </c>
      <c r="CJ153" s="7">
        <f t="shared" si="146"/>
        <v>0.1</v>
      </c>
      <c r="CK153" s="7">
        <f t="shared" si="146"/>
        <v>0.1</v>
      </c>
      <c r="CL153" s="7">
        <f t="shared" si="146"/>
        <v>0.1</v>
      </c>
      <c r="CM153" s="7">
        <f>CL153</f>
        <v>0.1</v>
      </c>
      <c r="CN153" s="7">
        <f>CM153</f>
        <v>0.1</v>
      </c>
      <c r="CO153" s="7">
        <f>CN153</f>
        <v>0.1</v>
      </c>
      <c r="CP153" s="7">
        <f t="shared" ref="CP153:DQ153" si="147">CO153</f>
        <v>0.1</v>
      </c>
      <c r="CQ153" s="7">
        <f t="shared" si="147"/>
        <v>0.1</v>
      </c>
      <c r="CR153" s="7">
        <f t="shared" si="147"/>
        <v>0.1</v>
      </c>
      <c r="CS153" s="7">
        <f t="shared" si="147"/>
        <v>0.1</v>
      </c>
      <c r="CT153" s="7">
        <v>0.08</v>
      </c>
      <c r="CU153" s="7">
        <f t="shared" si="147"/>
        <v>0.08</v>
      </c>
      <c r="CV153" s="7">
        <f t="shared" si="147"/>
        <v>0.08</v>
      </c>
      <c r="CW153" s="7">
        <v>0.06</v>
      </c>
      <c r="CX153" s="7">
        <f t="shared" si="147"/>
        <v>0.06</v>
      </c>
      <c r="CY153" s="7">
        <f t="shared" si="147"/>
        <v>0.06</v>
      </c>
      <c r="CZ153" s="7">
        <v>0.04</v>
      </c>
      <c r="DA153" s="7">
        <f t="shared" si="147"/>
        <v>0.04</v>
      </c>
      <c r="DB153" s="7">
        <f t="shared" si="147"/>
        <v>0.04</v>
      </c>
      <c r="DC153" s="7">
        <v>0.03</v>
      </c>
      <c r="DD153" s="7">
        <f t="shared" si="147"/>
        <v>0.03</v>
      </c>
      <c r="DE153" s="146">
        <f t="shared" si="147"/>
        <v>0.03</v>
      </c>
      <c r="DF153" s="7">
        <f t="shared" si="147"/>
        <v>0.03</v>
      </c>
      <c r="DG153" s="7">
        <f t="shared" si="147"/>
        <v>0.03</v>
      </c>
      <c r="DH153" s="146">
        <f t="shared" si="147"/>
        <v>0.03</v>
      </c>
      <c r="DI153" s="7">
        <v>0.03</v>
      </c>
      <c r="DJ153" s="7">
        <f t="shared" si="147"/>
        <v>0.03</v>
      </c>
      <c r="DK153" s="146">
        <f t="shared" si="147"/>
        <v>0.03</v>
      </c>
      <c r="DL153" s="7">
        <f t="shared" si="147"/>
        <v>0.03</v>
      </c>
      <c r="DM153" s="7">
        <f t="shared" si="147"/>
        <v>0.03</v>
      </c>
      <c r="DN153" s="146">
        <f t="shared" si="147"/>
        <v>0.03</v>
      </c>
      <c r="DO153" s="7">
        <f t="shared" si="147"/>
        <v>0.03</v>
      </c>
      <c r="DP153" s="7">
        <f t="shared" si="147"/>
        <v>0.03</v>
      </c>
      <c r="DQ153" s="146">
        <f t="shared" si="147"/>
        <v>0.03</v>
      </c>
      <c r="DR153" s="7">
        <f t="shared" ref="DR153:DZ153" si="148">DQ153</f>
        <v>0.03</v>
      </c>
      <c r="DS153" s="7">
        <f t="shared" si="148"/>
        <v>0.03</v>
      </c>
      <c r="DT153" s="146">
        <f t="shared" si="148"/>
        <v>0.03</v>
      </c>
      <c r="DU153" s="7">
        <v>3.5000000000000003E-2</v>
      </c>
      <c r="DV153" s="7">
        <f>DU153</f>
        <v>3.5000000000000003E-2</v>
      </c>
      <c r="DW153" s="146">
        <f>DV153</f>
        <v>3.5000000000000003E-2</v>
      </c>
      <c r="DX153" s="7">
        <v>3.5000000000000003E-2</v>
      </c>
      <c r="DY153" s="7">
        <f t="shared" si="148"/>
        <v>3.5000000000000003E-2</v>
      </c>
      <c r="DZ153" s="146">
        <f t="shared" si="148"/>
        <v>3.5000000000000003E-2</v>
      </c>
      <c r="EA153" s="7">
        <v>0.04</v>
      </c>
      <c r="EB153" s="7">
        <f>EA153</f>
        <v>0.04</v>
      </c>
      <c r="EC153" s="146">
        <f>EB153</f>
        <v>0.04</v>
      </c>
      <c r="ED153" s="7">
        <f>EC153</f>
        <v>0.04</v>
      </c>
      <c r="EE153" s="7">
        <f>ED153</f>
        <v>0.04</v>
      </c>
      <c r="EF153" s="146">
        <f>EE153</f>
        <v>0.04</v>
      </c>
      <c r="EG153" s="7">
        <f t="shared" ref="EG153:EL153" si="149">EF153</f>
        <v>0.04</v>
      </c>
      <c r="EH153" s="7">
        <f t="shared" si="149"/>
        <v>0.04</v>
      </c>
      <c r="EI153" s="146">
        <f t="shared" si="149"/>
        <v>0.04</v>
      </c>
      <c r="EJ153" s="7">
        <f t="shared" si="149"/>
        <v>0.04</v>
      </c>
      <c r="EK153" s="7">
        <f t="shared" si="149"/>
        <v>0.04</v>
      </c>
      <c r="EL153" s="146">
        <f t="shared" si="149"/>
        <v>0.04</v>
      </c>
      <c r="EM153" s="7">
        <f t="shared" ref="EM153:FA153" si="150">EL153</f>
        <v>0.04</v>
      </c>
      <c r="EN153" s="7">
        <f t="shared" si="150"/>
        <v>0.04</v>
      </c>
      <c r="EO153" s="146">
        <f t="shared" si="150"/>
        <v>0.04</v>
      </c>
      <c r="EP153" s="7">
        <f t="shared" si="150"/>
        <v>0.04</v>
      </c>
      <c r="EQ153" s="7">
        <f t="shared" si="150"/>
        <v>0.04</v>
      </c>
      <c r="ER153" s="146">
        <f t="shared" si="150"/>
        <v>0.04</v>
      </c>
      <c r="ES153" s="7">
        <f t="shared" si="150"/>
        <v>0.04</v>
      </c>
      <c r="ET153" s="7">
        <f t="shared" si="150"/>
        <v>0.04</v>
      </c>
      <c r="EU153" s="146">
        <f t="shared" si="150"/>
        <v>0.04</v>
      </c>
      <c r="EV153" s="7">
        <f t="shared" si="150"/>
        <v>0.04</v>
      </c>
      <c r="EW153" s="7">
        <f t="shared" si="150"/>
        <v>0.04</v>
      </c>
      <c r="EX153" s="146">
        <f t="shared" si="150"/>
        <v>0.04</v>
      </c>
      <c r="EY153" s="7">
        <f t="shared" si="150"/>
        <v>0.04</v>
      </c>
      <c r="EZ153" s="7">
        <f t="shared" si="150"/>
        <v>0.04</v>
      </c>
      <c r="FA153" s="146">
        <f t="shared" si="150"/>
        <v>0.04</v>
      </c>
    </row>
    <row r="154" spans="1:157" ht="13.35" customHeight="1">
      <c r="A154" s="3"/>
      <c r="B154" s="4" t="s">
        <v>687</v>
      </c>
      <c r="C154" s="4"/>
      <c r="D154" s="92"/>
      <c r="E154" s="92" t="str">
        <f>IF(Model!E190&lt;&gt;"",-Model!E190,"")</f>
        <v/>
      </c>
      <c r="F154" s="92" t="str">
        <f>IF(Model!G190&lt;&gt;"",-Model!F190,"")</f>
        <v/>
      </c>
      <c r="G154" s="92" t="str">
        <f>IF(Model!G190&lt;&gt;"",-Model!G190,"")</f>
        <v/>
      </c>
      <c r="H154" s="92" t="str">
        <f>IF(Model!H190&lt;&gt;"",-Model!H190,"")</f>
        <v/>
      </c>
      <c r="I154" s="92" t="str">
        <f>IF(Model!J190&lt;&gt;"",-Model!I190,"")</f>
        <v/>
      </c>
      <c r="J154" s="92" t="str">
        <f>IF(Model!J190&lt;&gt;"",-Model!J190,"")</f>
        <v/>
      </c>
      <c r="K154" s="92" t="str">
        <f>IF(Model!K190&lt;&gt;"",-Model!K190,"")</f>
        <v/>
      </c>
      <c r="L154" s="92" t="str">
        <f>IF(Model!M190&lt;&gt;"",-Model!L190,"")</f>
        <v/>
      </c>
      <c r="M154" s="92" t="str">
        <f>IF(Model!M190&lt;&gt;"",-Model!M190,"")</f>
        <v/>
      </c>
      <c r="N154" s="92" t="str">
        <f>IF(Model!N190&lt;&gt;"",-Model!N190,"")</f>
        <v/>
      </c>
      <c r="O154" s="92" t="str">
        <f>IF(Model!P190&lt;&gt;"",-Model!O190,"")</f>
        <v/>
      </c>
      <c r="P154" s="92" t="str">
        <f>IF(Model!P190&lt;&gt;"",-Model!P190,"")</f>
        <v/>
      </c>
      <c r="Q154" s="92" t="str">
        <f>IF(Model!Q190&lt;&gt;"",-Model!Q190,"")</f>
        <v/>
      </c>
      <c r="R154" s="92" t="str">
        <f>IF(Model!S190&lt;&gt;"",-Model!R190,"")</f>
        <v/>
      </c>
      <c r="S154" s="92" t="str">
        <f>IF(Model!S190&lt;&gt;"",-Model!S190,"")</f>
        <v/>
      </c>
      <c r="T154" s="92" t="str">
        <f>IF(Model!T190&lt;&gt;"",-Model!T190,"")</f>
        <v/>
      </c>
      <c r="U154" s="92" t="str">
        <f>IF(Model!V190&lt;&gt;"",-Model!U190,"")</f>
        <v/>
      </c>
      <c r="V154" s="92" t="str">
        <f>IF(Model!V190&lt;&gt;"",-Model!V190,"")</f>
        <v/>
      </c>
      <c r="W154" s="92" t="str">
        <f>IF(Model!W190&lt;&gt;"",-Model!W190,"")</f>
        <v/>
      </c>
      <c r="X154" s="92" t="str">
        <f>IF(Model!Y190&lt;&gt;"",-Model!X190,"")</f>
        <v/>
      </c>
      <c r="Y154" s="92" t="str">
        <f>IF(Model!Y190&lt;&gt;"",-Model!Y190,"")</f>
        <v/>
      </c>
      <c r="Z154" s="92" t="str">
        <f>IF(Model!Z190&lt;&gt;"",-Model!Z190,"")</f>
        <v/>
      </c>
      <c r="AA154" s="92" t="str">
        <f>IF(Model!AB190&lt;&gt;"",-Model!AA190,"")</f>
        <v/>
      </c>
      <c r="AB154" s="92" t="str">
        <f>IF(Model!AB190&lt;&gt;"",-Model!AB190,"")</f>
        <v/>
      </c>
      <c r="AC154" s="92" t="str">
        <f>IF(Model!AC190&lt;&gt;"",-Model!AC190,"")</f>
        <v/>
      </c>
      <c r="AD154" s="92" t="str">
        <f>IF(Model!AE190&lt;&gt;"",-Model!AD190,"")</f>
        <v/>
      </c>
      <c r="AE154" s="92" t="str">
        <f>IF(Model!AE190&lt;&gt;"",-Model!AE190,"")</f>
        <v/>
      </c>
      <c r="AF154" s="92" t="str">
        <f>IF(Model!AF190&lt;&gt;"",-Model!AF190,"")</f>
        <v/>
      </c>
      <c r="AG154" s="92" t="str">
        <f>IF(Model!AH190&lt;&gt;"",-Model!AG190,"")</f>
        <v/>
      </c>
      <c r="AH154" s="92" t="str">
        <f>IF(Model!AH190&lt;&gt;"",-Model!AH190,"")</f>
        <v/>
      </c>
      <c r="AI154" s="92" t="str">
        <f>IF(Model!AI190&lt;&gt;"",-Model!AI190,"")</f>
        <v/>
      </c>
      <c r="AJ154" s="92">
        <f>IF(Model!AK190&lt;&gt;"",-Model!AJ190,"")</f>
        <v>0.03</v>
      </c>
      <c r="AK154" s="92">
        <f>IF(Model!AK190&lt;&gt;"",-Model!AK190,"")</f>
        <v>0.03</v>
      </c>
      <c r="AL154" s="92" t="str">
        <f>IF(Model!AL190&lt;&gt;"",-Model!AL190,"")</f>
        <v/>
      </c>
      <c r="AM154" s="92">
        <f>IF(Model!AN190&lt;&gt;"",-Model!AM190,"")</f>
        <v>16.219000000000001</v>
      </c>
      <c r="AN154" s="92">
        <f>IF(Model!AN190&lt;&gt;"",-Model!AN190,"")</f>
        <v>16.219000000000001</v>
      </c>
      <c r="AO154" s="92" t="str">
        <f>IF(Model!AO190&lt;&gt;"",-Model!AO190,"")</f>
        <v/>
      </c>
      <c r="AP154" s="92">
        <f>IF(Model!AQ190&lt;&gt;"",-Model!AP190,"")</f>
        <v>16.623000000000001</v>
      </c>
      <c r="AQ154" s="92">
        <f>IF(Model!AQ190&lt;&gt;"",-Model!AQ190,"")</f>
        <v>16.623000000000001</v>
      </c>
      <c r="AR154" s="92">
        <f>IF(Model!AR190&lt;&gt;"",-Model!AR190,"")</f>
        <v>9.1329999999999991</v>
      </c>
      <c r="AS154" s="92">
        <f>IF(Model!AT190&lt;&gt;"",-Model!AS190,"")</f>
        <v>12.028000000000002</v>
      </c>
      <c r="AT154" s="92">
        <f>IF(Model!AT190&lt;&gt;"",-Model!AT190,"")</f>
        <v>21.161000000000001</v>
      </c>
      <c r="AU154" s="92">
        <f>IF(Model!AU190&lt;&gt;"",-Model!AU190,"")</f>
        <v>17.677</v>
      </c>
      <c r="AV154" s="92">
        <f>IF(Model!AW190&lt;&gt;"",-Model!AV190,"")</f>
        <v>21.344999999999999</v>
      </c>
      <c r="AW154" s="92">
        <f>IF(Model!AW190&lt;&gt;"",-Model!AW190,"")</f>
        <v>39.021999999999998</v>
      </c>
      <c r="AX154" s="92">
        <f>IF(Model!AX190&lt;&gt;"",-Model!AX190,"")</f>
        <v>13.669</v>
      </c>
      <c r="AY154" s="92">
        <f>IF(Model!AZ190&lt;&gt;"",-Model!AY190,"")</f>
        <v>23.499999999999996</v>
      </c>
      <c r="AZ154" s="92">
        <f>IF(Model!AZ190&lt;&gt;"",-Model!AZ190,"")</f>
        <v>37.168999999999997</v>
      </c>
      <c r="BA154" s="92"/>
      <c r="BB154" s="92"/>
      <c r="BC154" s="100">
        <f>(PRODUCT(BC293,Model!BC30))</f>
        <v>68.385919999999999</v>
      </c>
      <c r="BD154" s="92">
        <f>Model!BD190</f>
        <v>-36.889000000000003</v>
      </c>
      <c r="BE154" s="92">
        <f>BF154-BD154</f>
        <v>119.74799999999999</v>
      </c>
      <c r="BF154" s="92">
        <f>PRODUCT(BF293,Model!BF30)</f>
        <v>82.858999999999995</v>
      </c>
      <c r="BG154" s="92">
        <f>PRODUCT(BG293,Model!BG30)</f>
        <v>47.558</v>
      </c>
      <c r="BH154" s="92">
        <f>BI154-BG154</f>
        <v>36.964360000000006</v>
      </c>
      <c r="BI154" s="100">
        <f>PRODUCT(BI293,Model!BI30)</f>
        <v>84.522360000000006</v>
      </c>
      <c r="BJ154" s="92">
        <f>PRODUCT(BJ293,Model!BJ30)</f>
        <v>41.348970000000001</v>
      </c>
      <c r="BK154" s="92">
        <f>BL154-BJ154</f>
        <v>65.91377</v>
      </c>
      <c r="BL154" s="100">
        <f>PRODUCT(BL293,Model!BL30)</f>
        <v>107.26273999999999</v>
      </c>
      <c r="BM154" s="92">
        <f>(PRODUCT(BM293,Model!BM30))</f>
        <v>70.707300000000004</v>
      </c>
      <c r="BN154" s="92">
        <f>BO154-BM154</f>
        <v>66.789400000000001</v>
      </c>
      <c r="BO154" s="100">
        <f>(PRODUCT(BO293,Model!BO30))</f>
        <v>137.4967</v>
      </c>
      <c r="BP154" s="92">
        <f>(PRODUCT(BP293,Model!BP30))</f>
        <v>0</v>
      </c>
      <c r="BQ154" s="92">
        <f>BR154-BP154</f>
        <v>0</v>
      </c>
      <c r="BR154" s="100">
        <f>(PRODUCT(BR293,Model!BR30))</f>
        <v>0</v>
      </c>
      <c r="BS154" s="92">
        <f>Segment!BM99</f>
        <v>0</v>
      </c>
      <c r="BT154" s="92">
        <f>Segment!BN99</f>
        <v>0</v>
      </c>
      <c r="BU154" s="100">
        <f>SUM(BS154:BT154)</f>
        <v>0</v>
      </c>
      <c r="BV154" s="92">
        <f>Segment!BV99</f>
        <v>47.270000000000017</v>
      </c>
      <c r="BW154" s="92">
        <f>Segment!BW99</f>
        <v>53.769999999999975</v>
      </c>
      <c r="BX154" s="100">
        <f>SUM(BV154:BW154)</f>
        <v>101.03999999999999</v>
      </c>
      <c r="BY154" s="92">
        <f>Segment!BY99</f>
        <v>57.160000000000018</v>
      </c>
      <c r="BZ154" s="92">
        <f>Segment!BZ99</f>
        <v>54.039999999999985</v>
      </c>
      <c r="CA154" s="100">
        <f>SUM(BY154:BZ154)</f>
        <v>111.2</v>
      </c>
      <c r="CB154" s="92">
        <f>Segment!CB99</f>
        <v>61.880000000000017</v>
      </c>
      <c r="CC154" s="92">
        <f>Segment!CC99</f>
        <v>60.879999999999995</v>
      </c>
      <c r="CD154" s="100">
        <f>SUM(CB154:CC154)</f>
        <v>122.76000000000002</v>
      </c>
      <c r="CE154" s="92">
        <f>Segment!CE99</f>
        <v>64.432000000000002</v>
      </c>
      <c r="CF154" s="92">
        <f>Segment!CF99</f>
        <v>70.728000000000009</v>
      </c>
      <c r="CG154" s="100">
        <f>SUM(CE154:CF154)</f>
        <v>135.16000000000003</v>
      </c>
      <c r="CH154" s="92">
        <f>Segment!CH99</f>
        <v>81.30024017801145</v>
      </c>
      <c r="CI154" s="92">
        <f>Segment!CI99</f>
        <v>86.435759821988555</v>
      </c>
      <c r="CJ154" s="100">
        <f>SUM(CH154:CI154)</f>
        <v>167.73599999999999</v>
      </c>
      <c r="CK154" s="92">
        <f>Segment!CK99</f>
        <v>100.47149999999999</v>
      </c>
      <c r="CL154" s="92">
        <f>Segment!CL99</f>
        <v>323.7285</v>
      </c>
      <c r="CM154" s="100">
        <f>SUM(CK154:CL154)</f>
        <v>424.2</v>
      </c>
      <c r="CN154" s="92">
        <f>Segment!CN99</f>
        <v>70.706999999999979</v>
      </c>
      <c r="CO154" s="92">
        <f>Segment!CO99</f>
        <v>307.89299999999997</v>
      </c>
      <c r="CP154" s="100">
        <f>SUM(CN154:CO154)</f>
        <v>378.59999999999997</v>
      </c>
      <c r="CQ154" s="92">
        <f>Segment!CQ99</f>
        <v>176.9</v>
      </c>
      <c r="CR154" s="92">
        <f>Segment!CR99</f>
        <v>276.3217585222892</v>
      </c>
      <c r="CS154" s="100">
        <f>SUM(CQ154:CR154)</f>
        <v>453.22175852228918</v>
      </c>
      <c r="CT154" s="92">
        <f>Segment!CT99</f>
        <v>334.01949301669197</v>
      </c>
      <c r="CU154" s="92">
        <f>Segment!CU99</f>
        <v>331.68050698330808</v>
      </c>
      <c r="CV154" s="100">
        <f>SUM(CT154:CU154)</f>
        <v>665.7</v>
      </c>
      <c r="CW154" s="92">
        <f>Segment!CW99</f>
        <v>461.74566169188779</v>
      </c>
      <c r="CX154" s="92">
        <f>Segment!CX99</f>
        <v>394.93529068906457</v>
      </c>
      <c r="CY154" s="100">
        <f>SUM(CW154:CX154)</f>
        <v>856.68095238095236</v>
      </c>
      <c r="CZ154" s="92">
        <f>Segment!CZ99</f>
        <v>520.74526027227375</v>
      </c>
      <c r="DA154" s="92">
        <f>Segment!DA99</f>
        <v>471.89223972772612</v>
      </c>
      <c r="DB154" s="100">
        <f>SUM(CZ154:DA154)</f>
        <v>992.63749999999982</v>
      </c>
      <c r="DC154" s="92">
        <f>Segment!DC99</f>
        <v>630.76800000000003</v>
      </c>
      <c r="DD154" s="92">
        <f>Segment!DD99</f>
        <v>654.01119999999901</v>
      </c>
      <c r="DE154" s="148">
        <f>SUM(DC154:DD154)</f>
        <v>1284.779199999999</v>
      </c>
      <c r="DF154" s="92">
        <f>Segment!DF99</f>
        <v>704</v>
      </c>
      <c r="DG154" s="92">
        <f>Segment!DG99</f>
        <v>663.59999999999991</v>
      </c>
      <c r="DH154" s="148">
        <f>SUM(DF154:DG154)</f>
        <v>1367.6</v>
      </c>
      <c r="DI154" s="92">
        <f>Segment!DI99</f>
        <v>498.82684320874631</v>
      </c>
      <c r="DJ154" s="92">
        <f>Segment!DJ99</f>
        <v>697.47315679125359</v>
      </c>
      <c r="DK154" s="148">
        <f>SUM(DI154:DJ154)</f>
        <v>1196.3</v>
      </c>
      <c r="DL154" s="92">
        <f>Segment!DL99</f>
        <v>525</v>
      </c>
      <c r="DM154" s="92">
        <f>Segment!DM99</f>
        <v>554</v>
      </c>
      <c r="DN154" s="148">
        <f>SUM(DL154:DM154)</f>
        <v>1079</v>
      </c>
      <c r="DO154" s="92">
        <f>Segment!DO99</f>
        <v>570</v>
      </c>
      <c r="DP154" s="92">
        <f>Segment!DP99</f>
        <v>658</v>
      </c>
      <c r="DQ154" s="148">
        <f>SUM(DO154:DP154)</f>
        <v>1228</v>
      </c>
      <c r="DR154" s="92">
        <f>Segment!DR99</f>
        <v>475</v>
      </c>
      <c r="DS154" s="92">
        <f>Segment!DS99</f>
        <v>374</v>
      </c>
      <c r="DT154" s="148">
        <f>SUM(DR154:DS154)</f>
        <v>849</v>
      </c>
      <c r="DU154" s="92">
        <f>Segment!DU99</f>
        <v>378</v>
      </c>
      <c r="DV154" s="92">
        <f>Segment!DV99</f>
        <v>258</v>
      </c>
      <c r="DW154" s="148">
        <f>SUM(DU154:DV154)</f>
        <v>636</v>
      </c>
      <c r="DX154" s="92">
        <f>Segment!DX99</f>
        <v>296</v>
      </c>
      <c r="DY154" s="92">
        <f>Segment!DY99</f>
        <v>516.96310784077889</v>
      </c>
      <c r="DZ154" s="148">
        <f>SUM(DX154:DY154)</f>
        <v>812.96310784077889</v>
      </c>
      <c r="EA154" s="92">
        <f>Segment!EA99</f>
        <v>518.63700481123271</v>
      </c>
      <c r="EB154" s="92">
        <f>Segment!EB99</f>
        <v>461.47007967432671</v>
      </c>
      <c r="EC154" s="148">
        <f>SUM(EA154:EB154)</f>
        <v>980.10708448555943</v>
      </c>
      <c r="ED154" s="92">
        <f>Segment!ED99</f>
        <v>632.97059196247403</v>
      </c>
      <c r="EE154" s="92">
        <f>Segment!EE99</f>
        <v>572.8575148537833</v>
      </c>
      <c r="EF154" s="148">
        <f>SUM(ED154:EE154)</f>
        <v>1205.8281068162573</v>
      </c>
      <c r="EG154" s="92">
        <f>Segment!EG99</f>
        <v>669.96127498187241</v>
      </c>
      <c r="EH154" s="92">
        <f>Segment!EH99</f>
        <v>611.06337582648678</v>
      </c>
      <c r="EI154" s="148">
        <f>SUM(EG154:EH154)</f>
        <v>1281.0246508083592</v>
      </c>
      <c r="EJ154" s="92">
        <f>Segment!EJ99</f>
        <v>608.24324388929301</v>
      </c>
      <c r="EK154" s="92">
        <f>Segment!EK99</f>
        <v>559.41719568957035</v>
      </c>
      <c r="EL154" s="148">
        <f>SUM(EJ154:EK154)</f>
        <v>1167.6604395788634</v>
      </c>
      <c r="EM154" s="92">
        <f>Segment!EM99</f>
        <v>534.66655964934102</v>
      </c>
      <c r="EN154" s="92">
        <f>Segment!EN99</f>
        <v>492.31326765816107</v>
      </c>
      <c r="EO154" s="148">
        <f>SUM(EM154:EN154)</f>
        <v>1026.9798273075021</v>
      </c>
      <c r="EP154" s="92">
        <f>Segment!EP99</f>
        <v>563.59620429623612</v>
      </c>
      <c r="EQ154" s="92">
        <f>Segment!EQ99</f>
        <v>521.46207618070821</v>
      </c>
      <c r="ER154" s="148">
        <f>SUM(EP154:EQ154)</f>
        <v>1085.0582804769442</v>
      </c>
      <c r="ES154" s="92">
        <f>Segment!ES99</f>
        <v>594.89130571653379</v>
      </c>
      <c r="ET154" s="92">
        <f>Segment!ET99</f>
        <v>552.4923020446779</v>
      </c>
      <c r="EU154" s="148">
        <f>SUM(ES154:ET154)</f>
        <v>1147.3836077612118</v>
      </c>
      <c r="EV154" s="92">
        <f>Segment!EV99</f>
        <v>628.12807031663817</v>
      </c>
      <c r="EW154" s="92">
        <f>Segment!EW99</f>
        <v>585.52952809962335</v>
      </c>
      <c r="EX154" s="148">
        <f>SUM(EV154:EW154)</f>
        <v>1213.6575984162614</v>
      </c>
      <c r="EY154" s="92">
        <f>Segment!EY99</f>
        <v>663.43372095647942</v>
      </c>
      <c r="EZ154" s="92">
        <f>Segment!EZ99</f>
        <v>620.70792170424716</v>
      </c>
      <c r="FA154" s="148">
        <f>SUM(EY154:EZ154)</f>
        <v>1284.1416426607266</v>
      </c>
    </row>
    <row r="155" spans="1:157" ht="13.35" customHeight="1">
      <c r="A155" s="3"/>
      <c r="B155" s="4" t="s">
        <v>688</v>
      </c>
      <c r="C155" s="4"/>
      <c r="D155" s="115"/>
      <c r="E155" s="115" t="str">
        <f>IF(AND(-Model!E188&lt;&gt;"",-Model!E188&lt;&gt;0,-Model!E57&lt;&gt;"",-Model!E57&lt;&gt;0),(--Model!E188)/(-Model!E57+-Model!E66),"")</f>
        <v/>
      </c>
      <c r="F155" s="115" t="str">
        <f>IF(AND(-Model!F188&lt;&gt;"",-Model!F188&lt;&gt;0,-Model!F57&lt;&gt;"",-Model!F57&lt;&gt;0),(--Model!F188)/(-Model!F57+-Model!F66),"")</f>
        <v/>
      </c>
      <c r="G155" s="115" t="str">
        <f>IF(AND(-Model!G188&lt;&gt;"",-Model!G188&lt;&gt;0,-Model!G57&lt;&gt;"",-Model!G57&lt;&gt;0),(--Model!G188)/(-Model!G57+-Model!G66),"")</f>
        <v/>
      </c>
      <c r="H155" s="115" t="str">
        <f>IF(AND(-Model!H188&lt;&gt;"",-Model!H188&lt;&gt;0,-Model!H57&lt;&gt;"",-Model!H57&lt;&gt;0),(--Model!H188)/(-Model!H57+-Model!H66),"")</f>
        <v/>
      </c>
      <c r="I155" s="115" t="str">
        <f>IF(AND(-Model!I188&lt;&gt;"",-Model!I188&lt;&gt;0,-Model!I57&lt;&gt;"",-Model!I57&lt;&gt;0),(--Model!I188)/(-Model!I57+-Model!I66),"")</f>
        <v/>
      </c>
      <c r="J155" s="115" t="str">
        <f>IF(AND(-Model!J188&lt;&gt;"",-Model!J188&lt;&gt;0,-Model!J57&lt;&gt;"",-Model!J57&lt;&gt;0),(--Model!J188)/(-Model!J57+-Model!J66),"")</f>
        <v/>
      </c>
      <c r="K155" s="115" t="str">
        <f>IF(AND(-Model!K188&lt;&gt;"",-Model!K188&lt;&gt;0,-Model!K57&lt;&gt;"",-Model!K57&lt;&gt;0),(--Model!K188)/(-Model!K57+-Model!K66),"")</f>
        <v/>
      </c>
      <c r="L155" s="115" t="str">
        <f>IF(AND(-Model!L188&lt;&gt;"",-Model!L188&lt;&gt;0,-Model!L57&lt;&gt;"",-Model!L57&lt;&gt;0),(--Model!L188)/(-Model!L57+-Model!L66),"")</f>
        <v/>
      </c>
      <c r="M155" s="115" t="str">
        <f>IF(AND(-Model!M188&lt;&gt;"",-Model!M188&lt;&gt;0,-Model!M57&lt;&gt;"",-Model!M57&lt;&gt;0),(--Model!M188)/(-Model!M57+-Model!M66),"")</f>
        <v/>
      </c>
      <c r="N155" s="115" t="str">
        <f>IF(AND(-Model!N188&lt;&gt;"",-Model!N188&lt;&gt;0,-Model!N57&lt;&gt;"",-Model!N57&lt;&gt;0),(--Model!N188)/(-Model!N57+-Model!N66),"")</f>
        <v/>
      </c>
      <c r="O155" s="115" t="str">
        <f>IF(AND(-Model!O188&lt;&gt;"",-Model!O188&lt;&gt;0,-Model!O57&lt;&gt;"",-Model!O57&lt;&gt;0),(--Model!O188)/(-Model!O57+-Model!O66),"")</f>
        <v/>
      </c>
      <c r="P155" s="115" t="str">
        <f>IF(AND(-Model!P188&lt;&gt;"",-Model!P188&lt;&gt;0,-Model!P57&lt;&gt;"",-Model!P57&lt;&gt;0),(--Model!P188)/(-Model!P57+-Model!P66),"")</f>
        <v/>
      </c>
      <c r="Q155" s="115" t="str">
        <f>IF(AND(-Model!Q188&lt;&gt;"",-Model!Q188&lt;&gt;0,-Model!Q57&lt;&gt;"",-Model!Q57&lt;&gt;0),(--Model!Q188)/(-Model!Q57+-Model!Q66),"")</f>
        <v/>
      </c>
      <c r="R155" s="115" t="str">
        <f>IF(AND(-Model!R188&lt;&gt;"",-Model!R188&lt;&gt;0,-Model!R57&lt;&gt;"",-Model!R57&lt;&gt;0),(--Model!R188)/(-Model!R57+-Model!R66),"")</f>
        <v/>
      </c>
      <c r="S155" s="115" t="str">
        <f>IF(AND(-Model!S188&lt;&gt;"",-Model!S188&lt;&gt;0,-Model!S57&lt;&gt;"",-Model!S57&lt;&gt;0),(--Model!S188)/(-Model!S57+-Model!S66),"")</f>
        <v/>
      </c>
      <c r="T155" s="115" t="str">
        <f>IF(AND(-Model!T188&lt;&gt;"",-Model!T188&lt;&gt;0,-Model!T57&lt;&gt;"",-Model!T57&lt;&gt;0),(--Model!T188)/(-Model!T57+-Model!T66),"")</f>
        <v/>
      </c>
      <c r="U155" s="115" t="str">
        <f>IF(AND(-Model!U188&lt;&gt;"",-Model!U188&lt;&gt;0,-Model!U57&lt;&gt;"",-Model!U57&lt;&gt;0),(--Model!U188)/(-Model!U57+-Model!U66),"")</f>
        <v/>
      </c>
      <c r="V155" s="115" t="str">
        <f>IF(AND(-Model!V188&lt;&gt;"",-Model!V188&lt;&gt;0,-Model!V57&lt;&gt;"",-Model!V57&lt;&gt;0),(--Model!V188)/(-Model!V57+-Model!V66),"")</f>
        <v/>
      </c>
      <c r="W155" s="115" t="str">
        <f>IF(AND(-Model!W188&lt;&gt;"",-Model!W188&lt;&gt;0,-Model!W57&lt;&gt;"",-Model!W57&lt;&gt;0),(--Model!W188)/(-Model!W57+-Model!W66),"")</f>
        <v/>
      </c>
      <c r="X155" s="115" t="str">
        <f>IF(AND(-Model!X188&lt;&gt;"",-Model!X188&lt;&gt;0,-Model!X57&lt;&gt;"",-Model!X57&lt;&gt;0),(--Model!X188)/(-Model!X57+-Model!X66),"")</f>
        <v/>
      </c>
      <c r="Y155" s="115" t="str">
        <f>IF(AND(-Model!Y188&lt;&gt;"",-Model!Y188&lt;&gt;0,-Model!Y57&lt;&gt;"",-Model!Y57&lt;&gt;0),(--Model!Y188)/(-Model!Y57+-Model!Y66),"")</f>
        <v/>
      </c>
      <c r="Z155" s="115" t="str">
        <f>IF(AND(-Model!Z188&lt;&gt;"",-Model!Z188&lt;&gt;0,-Model!Z57&lt;&gt;"",-Model!Z57&lt;&gt;0),(--Model!Z188)/(-Model!Z57+-Model!Z66),"")</f>
        <v/>
      </c>
      <c r="AA155" s="115" t="str">
        <f>IF(AND(-Model!AA188&lt;&gt;"",-Model!AA188&lt;&gt;0,-Model!AA57&lt;&gt;"",-Model!AA57&lt;&gt;0),(--Model!AA188)/(-Model!AA57+-Model!AA66),"")</f>
        <v/>
      </c>
      <c r="AB155" s="115" t="str">
        <f>IF(AND(-Model!AB188&lt;&gt;"",-Model!AB188&lt;&gt;0,-Model!AB57&lt;&gt;"",-Model!AB57&lt;&gt;0),(--Model!AB188)/(-Model!AB57+-Model!AB66),"")</f>
        <v/>
      </c>
      <c r="AC155" s="115" t="str">
        <f>IF(AND(-Model!AC188&lt;&gt;"",-Model!AC188&lt;&gt;0,-Model!AC57&lt;&gt;"",-Model!AC57&lt;&gt;0),(--Model!AC188)/(-Model!AC57+-Model!AC66),"")</f>
        <v/>
      </c>
      <c r="AD155" s="115" t="str">
        <f>IF(AND(-Model!AD188&lt;&gt;"",-Model!AD188&lt;&gt;0,-Model!AD57&lt;&gt;"",-Model!AD57&lt;&gt;0),(--Model!AD188)/(-Model!AD57+-Model!AD66),"")</f>
        <v/>
      </c>
      <c r="AE155" s="115" t="str">
        <f>IF(AND(-Model!AE188&lt;&gt;"",-Model!AE188&lt;&gt;0,-Model!AE57&lt;&gt;"",-Model!AE57&lt;&gt;0),(--Model!AE188)/(-Model!AE57+-Model!AE66),"")</f>
        <v/>
      </c>
      <c r="AF155" s="115" t="str">
        <f>IF(AND(-Model!AF188&lt;&gt;"",-Model!AF188&lt;&gt;0,-Model!AF57&lt;&gt;"",-Model!AF57&lt;&gt;0),(--Model!AF188)/(-Model!AF57+-Model!AF66),"")</f>
        <v/>
      </c>
      <c r="AG155" s="115" t="str">
        <f>IF(AND(-Model!AG188&lt;&gt;"",-Model!AG188&lt;&gt;0,-Model!AG57&lt;&gt;"",-Model!AG57&lt;&gt;0),(--Model!AG188)/(-Model!AG57+-Model!AG66),"")</f>
        <v/>
      </c>
      <c r="AH155" s="115" t="str">
        <f>IF(AND(-Model!AH188&lt;&gt;"",-Model!AH188&lt;&gt;0,-Model!AH57&lt;&gt;"",-Model!AH57&lt;&gt;0),(--Model!AH188)/(-Model!AH57+-Model!AH66),"")</f>
        <v/>
      </c>
      <c r="AI155" s="115" t="str">
        <f>IF(AND(-Model!AI188&lt;&gt;"",-Model!AI188&lt;&gt;0,-Model!AI57&lt;&gt;"",-Model!AI57&lt;&gt;0),(--Model!AI188)/(-Model!AI57+-Model!AI66),"")</f>
        <v/>
      </c>
      <c r="AJ155" s="115">
        <f>IF(AND(-Model!AJ188&lt;&gt;"",-Model!AJ188&lt;&gt;0,-Model!AJ57&lt;&gt;"",-Model!AJ57&lt;&gt;0),(--Model!AJ188)/(-Model!AJ57+-Model!AJ66),"")</f>
        <v>0.625</v>
      </c>
      <c r="AK155" s="115">
        <f>IF(AND(-Model!AK188&lt;&gt;"",-Model!AK188&lt;&gt;0,-Model!AK57&lt;&gt;"",-Model!AK57&lt;&gt;0),(--Model!AK188)/(-Model!AK57+-Model!AK66),"")</f>
        <v>0.625</v>
      </c>
      <c r="AL155" s="115" t="str">
        <f>IF(AND(-Model!AL188&lt;&gt;"",-Model!AL188&lt;&gt;0,-Model!AL57&lt;&gt;"",-Model!AL57&lt;&gt;0),(--Model!AL188)/(-Model!AL57+-Model!AL66),"")</f>
        <v/>
      </c>
      <c r="AM155" s="115">
        <f>IF(AND(-Model!AM188&lt;&gt;"",-Model!AM188&lt;&gt;0,-Model!AM57&lt;&gt;"",-Model!AM57&lt;&gt;0),(--Model!AM188)/(-Model!AM57+-Model!AM66),"")</f>
        <v>0.55204220558202854</v>
      </c>
      <c r="AN155" s="115">
        <f>IF(AND(-Model!AN188&lt;&gt;"",-Model!AN188&lt;&gt;0,-Model!AN57&lt;&gt;"",-Model!AN57&lt;&gt;0),(--Model!AN188)/(-Model!AN57+-Model!AN66),"")</f>
        <v>0.55204220558202854</v>
      </c>
      <c r="AO155" s="115" t="str">
        <f>IF(AND(-Model!AO188&lt;&gt;"",-Model!AO188&lt;&gt;0,-Model!AO57&lt;&gt;"",-Model!AO57&lt;&gt;0),(--Model!AO188)/(-Model!AO57+-Model!AO66),"")</f>
        <v/>
      </c>
      <c r="AP155" s="115">
        <f>IF(AND(-Model!AP188&lt;&gt;"",-Model!AP188&lt;&gt;0,-Model!AP57&lt;&gt;"",-Model!AP57&lt;&gt;0),(--Model!AP188)/(-Model!AP57+-Model!AP66),"")</f>
        <v>0.55295722174173378</v>
      </c>
      <c r="AQ155" s="115">
        <f>IF(AND(-Model!AQ188&lt;&gt;"",-Model!AQ188&lt;&gt;0,-Model!AQ57&lt;&gt;"",-Model!AQ57&lt;&gt;0),(--Model!AQ188)/(-Model!AQ57+-Model!AQ66),"")</f>
        <v>0.55295722174173378</v>
      </c>
      <c r="AR155" s="115" t="str">
        <f>IF(AND(-Model!AR188&lt;&gt;"",-Model!AR188&lt;&gt;0,-Model!AR57&lt;&gt;"",-Model!AR57&lt;&gt;0),(--Model!AR188)/(-Model!AR57+-Model!AR66),"")</f>
        <v/>
      </c>
      <c r="AS155" s="115">
        <f>IF(AND(-Model!AS188&lt;&gt;"",-Model!AS188&lt;&gt;0,-Model!AS57&lt;&gt;"",-Model!AS57&lt;&gt;0),(--Model!AS188)/(-Model!AS57+-Model!AS66),"")</f>
        <v>0.38031998988174298</v>
      </c>
      <c r="AT155" s="115">
        <f>IF(AND(-Model!AT188&lt;&gt;"",-Model!AT188&lt;&gt;0,-Model!AT57&lt;&gt;"",-Model!AT57&lt;&gt;0),(--Model!AT188)/(-Model!AT57+-Model!AT66),"")</f>
        <v>0.66910137228862343</v>
      </c>
      <c r="AU155" s="115">
        <f>IF(AND(-Model!AU188&lt;&gt;"",-Model!AU188&lt;&gt;0,-Model!AU57&lt;&gt;"",-Model!AU57&lt;&gt;0),(--Model!AU188)/(-Model!AU57+-Model!AU66),"")</f>
        <v>1.054776537979593</v>
      </c>
      <c r="AV155" s="115">
        <f>IF(AND(-Model!AV188&lt;&gt;"",-Model!AV188&lt;&gt;0,-Model!AV57&lt;&gt;"",-Model!AV57&lt;&gt;0),(--Model!AV188)/(-Model!AV57+-Model!AV66),"")</f>
        <v>1.3024774225042715</v>
      </c>
      <c r="AW155" s="115">
        <f>IF(AND(-Model!AW188&lt;&gt;"",-Model!AW188&lt;&gt;0,-Model!AW57&lt;&gt;"",-Model!AW57&lt;&gt;0),(--Model!AW188)/(-Model!AW57+-Model!AW66),"")</f>
        <v>1.1772407759374905</v>
      </c>
      <c r="AX155" s="115">
        <f>IF(AND(-Model!AX188&lt;&gt;"",-Model!AX188&lt;&gt;0,-Model!AX57&lt;&gt;"",-Model!AX57&lt;&gt;0),(--Model!AX188)/(-Model!AX57+-Model!AX66),"")</f>
        <v>6.8345000000000002</v>
      </c>
      <c r="AY155" s="115">
        <f>IF(AND(-Model!AY188&lt;&gt;"",-Model!AY188&lt;&gt;0,-Model!AY57&lt;&gt;"",-Model!AY57&lt;&gt;0),(--Model!AY188)/(-Model!AY57+-Model!AY66),"")</f>
        <v>0.76230905188738773</v>
      </c>
      <c r="AZ155" s="115">
        <f>IF(AND(-Model!AZ188&lt;&gt;"",-Model!AZ188&lt;&gt;0,-Model!AZ57&lt;&gt;"",-Model!AZ57&lt;&gt;0),(--Model!AZ188)/(-Model!AZ57+-Model!AZ66),"")</f>
        <v>1.1228476427977674</v>
      </c>
      <c r="BA155" s="115">
        <f>IF(AND(-Model!BA188&lt;&gt;"",-Model!BA188&lt;&gt;0,-Model!BA57&lt;&gt;"",-Model!BA57&lt;&gt;0),(--Model!BA188)/(-Model!BA57+-Model!BA66),"")</f>
        <v>1.1898138054332186</v>
      </c>
      <c r="BB155" s="115">
        <f>IF(AND(-Model!BB188&lt;&gt;"",-Model!BB188&lt;&gt;0,-Model!BB57&lt;&gt;"",-Model!BB57&lt;&gt;0),(--Model!BB188)/(-Model!BB57+-Model!BB66),"")</f>
        <v>1.5130847108198653</v>
      </c>
      <c r="BC155" s="115">
        <f>IF(AND(-Model!BC188&lt;&gt;"",-Model!BC188&lt;&gt;0,-Model!BC57&lt;&gt;"",-Model!BC57&lt;&gt;0),(--Model!BC188)/(-Model!BC57+-Model!BC66),"")</f>
        <v>1.3650974129671032</v>
      </c>
      <c r="BD155" s="115">
        <f>IF(AND(-Model!BD188&lt;&gt;"",-Model!BD188&lt;&gt;0,-Model!BD57&lt;&gt;"",-Model!BD57&lt;&gt;0),(--Model!BD188)/(-Model!BD57+-Model!BD66),"")</f>
        <v>1.292727608421917</v>
      </c>
      <c r="BE155" s="115">
        <f>IF(AND(-Model!BE188&lt;&gt;"",-Model!BE188&lt;&gt;0,-Model!BE57&lt;&gt;"",-Model!BE57&lt;&gt;0),(--Model!BE188)/(-Model!BE57+-Model!BE66),"")</f>
        <v>1.5954616068367566</v>
      </c>
      <c r="BF155" s="115">
        <f>IF(AND(-Model!BF188&lt;&gt;"",-Model!BF188&lt;&gt;0,-Model!BF57&lt;&gt;"",-Model!BF57&lt;&gt;0),(--Model!BF188)/(-Model!BF57+-Model!BF66),"")</f>
        <v>1.4393739360038911</v>
      </c>
      <c r="BG155" s="115">
        <f>IF(AND(-Model!BG188&lt;&gt;"",-Model!BG188&lt;&gt;0,-Model!BG57&lt;&gt;"",-Model!BG57&lt;&gt;0),(--Model!BG188)/(-Model!BG57+-Model!BG66),"")</f>
        <v>1.4372752274169664</v>
      </c>
      <c r="BH155" s="115">
        <f>IF(AND(-Model!BH188&lt;&gt;"",-Model!BH188&lt;&gt;0,-Model!BH57&lt;&gt;"",-Model!BH57&lt;&gt;0),(--Model!BH188)/(-Model!BH57+-Model!BH66),"")</f>
        <v>0.79971867237302841</v>
      </c>
      <c r="BI155" s="115">
        <f>IF(AND(-Model!BI188&lt;&gt;"",-Model!BI188&lt;&gt;0,-Model!BI57&lt;&gt;"",-Model!BI57&lt;&gt;0),(--Model!BI188)/(-Model!BI57+-Model!BI66),"")</f>
        <v>1.1169438513127425</v>
      </c>
      <c r="BJ155" s="115">
        <f>IF(AND(-Model!BJ188&lt;&gt;"",-Model!BJ188&lt;&gt;0,-Model!BJ57&lt;&gt;"",-Model!BJ57&lt;&gt;0),(--Model!BJ188)/(-Model!BJ57+-Model!BJ66),"")</f>
        <v>2.130069867651585</v>
      </c>
      <c r="BK155" s="115">
        <f>IF(AND(-Model!BK188&lt;&gt;"",-Model!BK188&lt;&gt;0,-Model!BK57&lt;&gt;"",-Model!BK57&lt;&gt;0),(--Model!BK188)/(-Model!BK57+-Model!BK66),"")</f>
        <v>0.74487838562064523</v>
      </c>
      <c r="BL155" s="115">
        <f>IF(AND(-Model!BL188&lt;&gt;"",-Model!BL188&lt;&gt;0,-Model!BL57&lt;&gt;"",-Model!BL57&lt;&gt;0),(--Model!BL188)/(-Model!BL57+-Model!BL66),"")</f>
        <v>1.3004666436225369</v>
      </c>
      <c r="BM155" s="115">
        <f>IF(AND(-Model!BM188&lt;&gt;"",-Model!BM188&lt;&gt;0,-Model!BM57&lt;&gt;"",-Model!BM57&lt;&gt;0),(--Model!BM188)/(-Model!BM57+-Model!BM66),"")</f>
        <v>2.1562139946002645</v>
      </c>
      <c r="BN155" s="115">
        <f>IF(AND(-Model!BN188&lt;&gt;"",-Model!BN188&lt;&gt;0,-Model!BN57&lt;&gt;"",-Model!BN57&lt;&gt;0),(--Model!BN188)/(-Model!BN57+-Model!BN66),"")</f>
        <v>1.0394220711297073</v>
      </c>
      <c r="BO155" s="115">
        <f>IF(AND(-Model!BO188&lt;&gt;"",-Model!BO188&lt;&gt;0,-Model!BO57&lt;&gt;"",-Model!BO57&lt;&gt;0),(--Model!BO188)/(-Model!BO57+-Model!BO66),"")</f>
        <v>1.5836259270121926</v>
      </c>
      <c r="BP155" s="115" t="str">
        <f>IF(AND(-Model!BP188&lt;&gt;"",-Model!BP188&lt;&gt;0,-Model!BP57&lt;&gt;"",-Model!BP57&lt;&gt;0),(--Model!BP188)/(-Model!BP57+-Model!BP66),"")</f>
        <v/>
      </c>
      <c r="BQ155" s="115">
        <f>IF(AND(-Model!BQ188&lt;&gt;"",-Model!BQ188&lt;&gt;0,-Model!BQ57&lt;&gt;"",-Model!BQ57&lt;&gt;0),(--Model!BQ188)/(-Model!BQ57+-Model!BQ66),"")</f>
        <v>1.777999504755801</v>
      </c>
      <c r="BR155" s="115">
        <f>IF(AND(-Model!BR188&lt;&gt;"",-Model!BR188&lt;&gt;0,-Model!BR57&lt;&gt;"",-Model!BR57&lt;&gt;0),(--Model!BR188)/(-Model!BR57+-Model!BR66),"")</f>
        <v>1.0517042321477805</v>
      </c>
      <c r="BS155" s="115" t="str">
        <f>IF(AND(-Model!BS188&lt;&gt;"",-Model!BS188&lt;&gt;0,-Model!BS57&lt;&gt;"",-Model!BS57&lt;&gt;0),(--Model!BS188)/(-Model!BS57+-Model!BS66),"")</f>
        <v/>
      </c>
      <c r="BT155" s="115">
        <f>IF(AND(-Model!BT188&lt;&gt;"",-Model!BT188&lt;&gt;0,-Model!BT57&lt;&gt;"",-Model!BT57&lt;&gt;0),(--Model!BT188)/(-Model!BT57+-Model!BT66),"")</f>
        <v>1.0166177613167482</v>
      </c>
      <c r="BU155" s="115">
        <f>IF(AND(-Model!BU188&lt;&gt;"",-Model!BU188&lt;&gt;0,-Model!BU57&lt;&gt;"",-Model!BU57&lt;&gt;0),(--Model!BU188)/(-Model!BU57+-Model!BU66),"")</f>
        <v>1.5660297656314823</v>
      </c>
      <c r="BV155" s="115">
        <f>IF(AND(-Model!BV188&lt;&gt;"",-Model!BV188&lt;&gt;0,-Model!BV57&lt;&gt;"",-Model!BV57&lt;&gt;0),(--Model!BV188)/(-Model!BV57+-Model!BV66),"")</f>
        <v>1.5022110906554389</v>
      </c>
      <c r="BW155" s="115">
        <f>IF(AND(-Model!BW188&lt;&gt;"",-Model!BW188&lt;&gt;0,-Model!BW57&lt;&gt;"",-Model!BW57&lt;&gt;0),(--Model!BW188)/(-Model!BW57+-Model!BW66),"")</f>
        <v>1.5423950872516823</v>
      </c>
      <c r="BX155" s="115">
        <f>IF(AND(-Model!BX188&lt;&gt;"",-Model!BX188&lt;&gt;0,-Model!BX57&lt;&gt;"",-Model!BX57&lt;&gt;0),(--Model!BX188)/(-Model!BX57+-Model!BX66),"")</f>
        <v>1.523236214479337</v>
      </c>
      <c r="BY155" s="115">
        <f>IF(AND(-Model!BY188&lt;&gt;"",-Model!BY188&lt;&gt;0,-Model!BY57&lt;&gt;"",-Model!BY57&lt;&gt;0),(--Model!BY188)/(-Model!BY57+-Model!BY66),"")</f>
        <v>1.7756358455828456</v>
      </c>
      <c r="BZ155" s="115">
        <f>IF(AND(-Model!BZ188&lt;&gt;"",-Model!BZ188&lt;&gt;0,-Model!BZ57&lt;&gt;"",-Model!BZ57&lt;&gt;0),(--Model!BZ188)/(-Model!BZ57+-Model!BZ66),"")</f>
        <v>2.6319924495515838</v>
      </c>
      <c r="CA155" s="115">
        <f>IF(AND(-Model!CA188&lt;&gt;"",-Model!CA188&lt;&gt;0,-Model!CA57&lt;&gt;"",-Model!CA57&lt;&gt;0),(--Model!CA188)/(-Model!CA57+-Model!CA66),"")</f>
        <v>2.1487423085001773</v>
      </c>
      <c r="CB155" s="115">
        <f>IF(AND(-Model!CB188&lt;&gt;"",-Model!CB188&lt;&gt;0,-Model!CB57&lt;&gt;"",-Model!CB57&lt;&gt;0),(--Model!CB188)/(-Model!CB57+-Model!CB66),"")</f>
        <v>1.0228870378791255</v>
      </c>
      <c r="CC155" s="115">
        <f>IF(AND(-Model!CC188&lt;&gt;"",-Model!CC188&lt;&gt;0,-Model!CC57&lt;&gt;"",-Model!CC57&lt;&gt;0),(--Model!CC188)/(-Model!CC57+-Model!CC66),"")</f>
        <v>2.590408041128017</v>
      </c>
      <c r="CD155" s="115">
        <f>IF(AND(-Model!CD188&lt;&gt;"",-Model!CD188&lt;&gt;0,-Model!CD57&lt;&gt;"",-Model!CD57&lt;&gt;0),(--Model!CD188)/(-Model!CD57+-Model!CD66),"")</f>
        <v>1.8097351726148716</v>
      </c>
      <c r="CE155" s="115">
        <f>IF(AND(-Model!CE188&lt;&gt;"",-Model!CE188&lt;&gt;0,-Model!CE57&lt;&gt;"",-Model!CE57&lt;&gt;0),(--Model!CE188)/(-Model!CE57+-Model!CE66),"")</f>
        <v>1.0246783434436588</v>
      </c>
      <c r="CF155" s="115">
        <f>IF(AND(-Model!CF188&lt;&gt;"",-Model!CF188&lt;&gt;0,-Model!CF57&lt;&gt;"",-Model!CF57&lt;&gt;0),(--Model!CF188)/(-Model!CF57+-Model!CF66),"")</f>
        <v>1.36680476195066</v>
      </c>
      <c r="CG155" s="115">
        <f>IF(AND(-Model!CG188&lt;&gt;"",-Model!CG188&lt;&gt;0,-Model!CG57&lt;&gt;"",-Model!CG57&lt;&gt;0),(--Model!CG188)/(-Model!CG57+-Model!CG66),"")</f>
        <v>1.2009430474493477</v>
      </c>
      <c r="CH155" s="115">
        <f>IF(AND(-Model!CH188&lt;&gt;"",-Model!CH188&lt;&gt;0,-Model!CH57&lt;&gt;"",-Model!CH57&lt;&gt;0),(--Model!CH188)/(-Model!CH57+-Model!CH66),"")</f>
        <v>1.6129246599548854</v>
      </c>
      <c r="CI155" s="115">
        <f>IF(AND(-Model!CI188&lt;&gt;"",-Model!CI188&lt;&gt;0,-Model!CI57&lt;&gt;"",-Model!CI57&lt;&gt;0),(--Model!CI188)/(-Model!CI57+-Model!CI66),"")</f>
        <v>2.1471500322605173</v>
      </c>
      <c r="CJ155" s="115">
        <f>IF(AND(-Model!CJ188&lt;&gt;"",-Model!CJ188&lt;&gt;0,-Model!CJ57&lt;&gt;"",-Model!CJ57&lt;&gt;0),(--Model!CJ188)/(-Model!CJ57+-Model!CJ66),"")</f>
        <v>1.8546178395940378</v>
      </c>
      <c r="CK155" s="115">
        <f>IF(AND(-Model!CK188&lt;&gt;"",-Model!CK188&lt;&gt;0,-Model!CK57&lt;&gt;"",-Model!CK57&lt;&gt;0),(--Model!CK188)/(-Model!CK57+-Model!CK66),"")</f>
        <v>2.5652219183689624</v>
      </c>
      <c r="CL155" s="115">
        <f>IF(AND(-Model!CL188&lt;&gt;"",-Model!CL188&lt;&gt;0,-Model!CL57&lt;&gt;"",-Model!CL57&lt;&gt;0),(--Model!CL188)/(-Model!CL57+-Model!CL66),"")</f>
        <v>2.098089653231193</v>
      </c>
      <c r="CM155" s="115">
        <f>IF(AND(-Model!CM188&lt;&gt;"",-Model!CM188&lt;&gt;0,-Model!CM57&lt;&gt;"",-Model!CM57&lt;&gt;0),(--Model!CM188)/(-Model!CM57+-Model!CM66),"")</f>
        <v>2.3249404178026509</v>
      </c>
      <c r="CN155" s="115">
        <f>IF(AND(-Model!CN188&lt;&gt;"",-Model!CN188&lt;&gt;0,-Model!CN57&lt;&gt;"",-Model!CN57&lt;&gt;0),(--Model!CN188)/(-Model!CN57+-Model!CN66),"")</f>
        <v>2.1477272727272729</v>
      </c>
      <c r="CO155" s="115">
        <f>IF(AND(-Model!CO188&lt;&gt;"",-Model!CO188&lt;&gt;0,-Model!CO57&lt;&gt;"",-Model!CO57&lt;&gt;0),(--Model!CO188)/(-Model!CO57+-Model!CO66),"")</f>
        <v>1.7436440677966123</v>
      </c>
      <c r="CP155" s="115">
        <f>IF(AND(-Model!CP188&lt;&gt;"",-Model!CP188&lt;&gt;0,-Model!CP57&lt;&gt;"",-Model!CP57&lt;&gt;0),(--Model!CP188)/(-Model!CP57+-Model!CP66),"")</f>
        <v>1.9385964912280715</v>
      </c>
      <c r="CQ155" s="115">
        <f>IF(AND(-Model!CQ188&lt;&gt;"",-Model!CQ188&lt;&gt;0,-Model!CQ57&lt;&gt;"",-Model!CQ57&lt;&gt;0),(--Model!CQ188)/(-Model!CQ57+-Model!CQ66),"")</f>
        <v>2.093491124260356</v>
      </c>
      <c r="CR155" s="115">
        <f>IF(AND(-Model!CR188&lt;&gt;"",-Model!CR188&lt;&gt;0,-Model!CR57&lt;&gt;"",-Model!CR57&lt;&gt;0),(--Model!CR188)/(-Model!CR57+-Model!CR66),"")</f>
        <v>1.9929906542056059</v>
      </c>
      <c r="CS155" s="115">
        <f>IF(AND(-Model!CS188&lt;&gt;"",-Model!CS188&lt;&gt;0,-Model!CS57&lt;&gt;"",-Model!CS57&lt;&gt;0),(--Model!CS188)/(-Model!CS57+-Model!CS66),"")</f>
        <v>2.0429159318048202</v>
      </c>
      <c r="CT155" s="115">
        <f>IF(AND(-Model!CT188&lt;&gt;"",-Model!CT188&lt;&gt;0,-Model!CT57&lt;&gt;"",-Model!CT57&lt;&gt;0),(--Model!CT188)/(-Model!CT57+-Model!CT66),"")</f>
        <v>2.3442688398533282</v>
      </c>
      <c r="CU155" s="115">
        <f>IF(AND(-Model!CU188&lt;&gt;"",-Model!CU188&lt;&gt;0,-Model!CU57&lt;&gt;"",-Model!CU57&lt;&gt;0),(--Model!CU188)/(-Model!CU57+-Model!CU66),"")</f>
        <v>2.3325584153717398</v>
      </c>
      <c r="CV155" s="115">
        <f>IF(AND(-Model!CV188&lt;&gt;"",-Model!CV188&lt;&gt;0,-Model!CV57&lt;&gt;"",-Model!CV57&lt;&gt;0),(--Model!CV188)/(-Model!CV57+-Model!CV66),"")</f>
        <v>2.3382144544166272</v>
      </c>
      <c r="CW155" s="115">
        <f>IF(AND(-Model!CW188&lt;&gt;"",-Model!CW188&lt;&gt;0,-Model!CW57&lt;&gt;"",-Model!CW57&lt;&gt;0),(--Model!CW188)/(-Model!CW57+-Model!CW66),"")</f>
        <v>3.524012684670899</v>
      </c>
      <c r="CX155" s="115">
        <f>IF(AND(-Model!CX188&lt;&gt;"",-Model!CX188&lt;&gt;0,-Model!CX57&lt;&gt;"",-Model!CX57&lt;&gt;0),(--Model!CX188)/(-Model!CX57+-Model!CX66),"")</f>
        <v>2.6746752507869713</v>
      </c>
      <c r="CY155" s="115">
        <f>IF(AND(-Model!CY188&lt;&gt;"",-Model!CY188&lt;&gt;0,-Model!CY57&lt;&gt;"",-Model!CY57&lt;&gt;0),(--Model!CY188)/(-Model!CY57+-Model!CY66),"")</f>
        <v>3.0739585607752038</v>
      </c>
      <c r="CZ155" s="115">
        <f>IF(AND(-Model!CZ188&lt;&gt;"",-Model!CZ188&lt;&gt;0,-Model!CZ57&lt;&gt;"",-Model!CZ57&lt;&gt;0),(--Model!CZ188)/(-Model!CZ57+-Model!CZ66),"")</f>
        <v>2.2476999292285917</v>
      </c>
      <c r="DA155" s="115">
        <f>IF(AND(-Model!DA188&lt;&gt;"",-Model!DA188&lt;&gt;0,-Model!DA57&lt;&gt;"",-Model!DA57&lt;&gt;0),(--Model!DA188)/(-Model!DA57+-Model!DA66),"")</f>
        <v>4.3436293436293436</v>
      </c>
      <c r="DB155" s="115">
        <f>IF(AND(-Model!DB188&lt;&gt;"",-Model!DB188&lt;&gt;0,-Model!DB57&lt;&gt;"",-Model!DB57&lt;&gt;0),(--Model!DB188)/(-Model!DB57+-Model!DB66),"")</f>
        <v>3.3454668014829791</v>
      </c>
      <c r="DC155" s="115">
        <f>IF(AND(-Model!DC188&lt;&gt;"",-Model!DC188&lt;&gt;0,-Model!DC57&lt;&gt;"",-Model!DC57&lt;&gt;0),(--Model!DC188)/(-Model!DC57+-Model!DC66),"")</f>
        <v>3.2489451476793243</v>
      </c>
      <c r="DD155" s="115">
        <f>IF(AND(-Model!DD188&lt;&gt;"",-Model!DD188&lt;&gt;0,-Model!DD57&lt;&gt;"",-Model!DD57&lt;&gt;0),(--Model!DD188)/(-Model!DD57+-Model!DD66),"")</f>
        <v>3.559904534606205</v>
      </c>
      <c r="DE155" s="153">
        <f>IF(AND(-Model!DE188&lt;&gt;"",-Model!DE188&lt;&gt;0,-Model!DE57&lt;&gt;"",-Model!DE57&lt;&gt;0),(--Model!DE188)/(-Model!DE57+-Model!DE66),"")</f>
        <v>3.4224826851358547</v>
      </c>
      <c r="DF155" s="115">
        <f>IF(AND(-Model!DF188&lt;&gt;"",-Model!DF188&lt;&gt;0,-Model!DF57&lt;&gt;"",-Model!DF57&lt;&gt;0),(--Model!DF188)/(-Model!DF57+-Model!DF66),"")</f>
        <v>3.4389504625972784</v>
      </c>
      <c r="DG155" s="115">
        <f>IF(AND(-Model!DG188&lt;&gt;"",-Model!DG188&lt;&gt;0,-Model!DG57&lt;&gt;"",-Model!DG57&lt;&gt;0),(--Model!DG188)/(-Model!DG57+-Model!DG66),"")</f>
        <v>3.0794394447629037</v>
      </c>
      <c r="DH155" s="153">
        <f>IF(AND(-Model!DH188&lt;&gt;"",-Model!DH188&lt;&gt;0,-Model!DH57&lt;&gt;"",-Model!DH57&lt;&gt;0),(--Model!DH188)/(-Model!DH57+-Model!DH66),"")</f>
        <v>3.2545834441708963</v>
      </c>
      <c r="DI155" s="115">
        <f>IF(AND(-Model!DI188&lt;&gt;"",-Model!DI188&lt;&gt;0,-Model!DI57&lt;&gt;"",-Model!DI57&lt;&gt;0),(--Model!DI188)/(-Model!DI57+-Model!DI66),"")</f>
        <v>2.2814455885322027</v>
      </c>
      <c r="DJ155" s="115">
        <f>IF(AND(-Model!DJ188&lt;&gt;"",-Model!DJ188&lt;&gt;0,-Model!DJ57&lt;&gt;"",-Model!DJ57&lt;&gt;0),(--Model!DJ188)/(-Model!DJ57+-Model!DJ66),"")</f>
        <v>2.5491621239652735</v>
      </c>
      <c r="DK155" s="153">
        <f>IF(AND(-Model!DK188&lt;&gt;"",-Model!DK188&lt;&gt;0,-Model!DK57&lt;&gt;"",-Model!DK57&lt;&gt;0),(--Model!DK188)/(-Model!DK57+-Model!DK66),"")</f>
        <v>2.4153038562487383</v>
      </c>
      <c r="DL155" s="115">
        <f>IF(AND(-Model!DL188&lt;&gt;"",-Model!DL188&lt;&gt;0,-Model!DL57&lt;&gt;"",-Model!DL57&lt;&gt;0),(--Model!DL188)/(-Model!DL57+-Model!DL66),"")</f>
        <v>1.9871309613928843</v>
      </c>
      <c r="DM155" s="115">
        <f>IF(AND(-Model!DM188&lt;&gt;"",-Model!DM188&lt;&gt;0,-Model!DM57&lt;&gt;"",-Model!DM57&lt;&gt;0),(--Model!DM188)/(-Model!DM57+-Model!DM66),"")</f>
        <v>1.9906575637800938</v>
      </c>
      <c r="DN155" s="153">
        <f>IF(AND(-Model!DN188&lt;&gt;"",-Model!DN188&lt;&gt;0,-Model!DN57&lt;&gt;"",-Model!DN57&lt;&gt;0),(--Model!DN188)/(-Model!DN57+-Model!DN66),"")</f>
        <v>1.9889400921658986</v>
      </c>
      <c r="DO155" s="115">
        <f>IF(AND(-Model!DO188&lt;&gt;"",-Model!DO188&lt;&gt;0,-Model!DO57&lt;&gt;"",-Model!DO57&lt;&gt;0),(--Model!DO188)/(-Model!DO57+-Model!DO66),"")</f>
        <v>1.9440654843110505</v>
      </c>
      <c r="DP155" s="115">
        <f>IF(AND(-Model!DP188&lt;&gt;"",-Model!DP188&lt;&gt;0,-Model!DP57&lt;&gt;"",-Model!DP57&lt;&gt;0),(--Model!DP188)/(-Model!DP57+-Model!DP66),"")</f>
        <v>2.1730515191545572</v>
      </c>
      <c r="DQ155" s="153">
        <f>IF(AND(-Model!DQ188&lt;&gt;"",-Model!DQ188&lt;&gt;0,-Model!DQ57&lt;&gt;"",-Model!DQ57&lt;&gt;0),(--Model!DQ188)/(-Model!DQ57+-Model!DQ66),"")</f>
        <v>2.0604026845637584</v>
      </c>
      <c r="DR155" s="115">
        <f>IF(AND(-Model!DR188&lt;&gt;"",-Model!DR188&lt;&gt;0,-Model!DR57&lt;&gt;"",-Model!DR57&lt;&gt;0),(--Model!DR188)/(-Model!DR57+-Model!DR66),"")</f>
        <v>1.5993265993265993</v>
      </c>
      <c r="DS155" s="115">
        <f>IF(AND(-Model!DS188&lt;&gt;"",-Model!DS188&lt;&gt;0,-Model!DS57&lt;&gt;"",-Model!DS57&lt;&gt;0),(--Model!DS188)/(-Model!DS57+-Model!DS66),"")</f>
        <v>1.1000000000000001</v>
      </c>
      <c r="DT155" s="153">
        <f>IF(AND(-Model!DT188&lt;&gt;"",-Model!DT188&lt;&gt;0,-Model!DT57&lt;&gt;"",-Model!DT57&lt;&gt;0),(--Model!DT188)/(-Model!DT57+-Model!DT66),"")</f>
        <v>1.3328100470957613</v>
      </c>
      <c r="DU155" s="115">
        <f>IF(AND(-Model!DU188&lt;&gt;"",-Model!DU188&lt;&gt;0,-Model!DU57&lt;&gt;"",-Model!DU57&lt;&gt;0),(--Model!DU188)/(-Model!DU57+-Model!DU66),"")</f>
        <v>1.1775700934579438</v>
      </c>
      <c r="DV155" s="115">
        <f>IF(AND(-Model!DV188&lt;&gt;"",-Model!DV188&lt;&gt;0,-Model!DV57&lt;&gt;"",-Model!DV57&lt;&gt;0),(--Model!DV188)/(-Model!DV57+-Model!DV66),"")</f>
        <v>0.77710843373493976</v>
      </c>
      <c r="DW155" s="153">
        <f>IF(AND(-Model!DW188&lt;&gt;"",-Model!DW188&lt;&gt;0,-Model!DW57&lt;&gt;"",-Model!DW57&lt;&gt;0),(--Model!DW188)/(-Model!DW57+-Model!DW66),"")</f>
        <v>0.97396630934150075</v>
      </c>
      <c r="DX155" s="115">
        <f>IF(AND(-Model!DX188&lt;&gt;"",-Model!DX188&lt;&gt;0,-Model!DX57&lt;&gt;"",-Model!DX57&lt;&gt;0),(--Model!DX188)/(-Model!DX57+-Model!DX66),"")</f>
        <v>0.91076923076923078</v>
      </c>
      <c r="DY155" s="115">
        <f>IF(AND(-Model!DY188&lt;&gt;"",-Model!DY188&lt;&gt;0,-Model!DY57&lt;&gt;"",-Model!DY57&lt;&gt;0),(--Model!DY188)/(-Model!DY57+-Model!DY66),"")</f>
        <v>1.6657643554021666</v>
      </c>
      <c r="DZ155" s="153">
        <f>IF(AND(-Model!DZ188&lt;&gt;"",-Model!DZ188&lt;&gt;0,-Model!DZ57&lt;&gt;"",-Model!DZ57&lt;&gt;0),(--Model!DZ188)/(-Model!DZ57+-Model!DZ66),"")</f>
        <v>1.2795598917970927</v>
      </c>
      <c r="EA155" s="115">
        <f>IF(AND(-Model!EA188&lt;&gt;"",-Model!EA188&lt;&gt;0,-Model!EA57&lt;&gt;"",-Model!EA57&lt;&gt;0),(--Model!EA188)/(-Model!EA57+-Model!EA66),"")</f>
        <v>1.3876852229332561</v>
      </c>
      <c r="EB155" s="115">
        <f>IF(AND(-Model!EB188&lt;&gt;"",-Model!EB188&lt;&gt;0,-Model!EB57&lt;&gt;"",-Model!EB57&lt;&gt;0),(--Model!EB188)/(-Model!EB57+-Model!EB66),"")</f>
        <v>1.4104811765246312</v>
      </c>
      <c r="EC155" s="153">
        <f>IF(AND(-Model!EC188&lt;&gt;"",-Model!EC188&lt;&gt;0,-Model!EC57&lt;&gt;"",-Model!EC57&lt;&gt;0),(--Model!EC188)/(-Model!EC57+-Model!EC66),"")</f>
        <v>1.3984188370089057</v>
      </c>
      <c r="ED155" s="115">
        <f>IF(AND(-Model!ED188&lt;&gt;"",-Model!ED188&lt;&gt;0,-Model!ED57&lt;&gt;"",-Model!ED57&lt;&gt;0),(--Model!ED188)/(-Model!ED57+-Model!ED66),"")</f>
        <v>1.5298095168394636</v>
      </c>
      <c r="EE155" s="115">
        <f>IF(AND(-Model!EE188&lt;&gt;"",-Model!EE188&lt;&gt;0,-Model!EE57&lt;&gt;"",-Model!EE57&lt;&gt;0),(--Model!EE188)/(-Model!EE57+-Model!EE66),"")</f>
        <v>1.5554504045713435</v>
      </c>
      <c r="EF155" s="153">
        <f>IF(AND(-Model!EF188&lt;&gt;"",-Model!EF188&lt;&gt;0,-Model!EF57&lt;&gt;"",-Model!EF57&lt;&gt;0),(--Model!EF188)/(-Model!EF57+-Model!EF66),"")</f>
        <v>1.541990828147807</v>
      </c>
      <c r="EG155" s="115">
        <f>IF(AND(-Model!EG188&lt;&gt;"",-Model!EG188&lt;&gt;0,-Model!EG57&lt;&gt;"",-Model!EG57&lt;&gt;0),(--Model!EG188)/(-Model!EG57+-Model!EG66),"")</f>
        <v>1.4487166397707714</v>
      </c>
      <c r="EH155" s="115">
        <f>IF(AND(-Model!EH188&lt;&gt;"",-Model!EH188&lt;&gt;0,-Model!EH57&lt;&gt;"",-Model!EH57&lt;&gt;0),(--Model!EH188)/(-Model!EH57+-Model!EH66),"")</f>
        <v>1.4762056414684246</v>
      </c>
      <c r="EI155" s="153">
        <f>IF(AND(-Model!EI188&lt;&gt;"",-Model!EI188&lt;&gt;0,-Model!EI57&lt;&gt;"",-Model!EI57&lt;&gt;0),(--Model!EI188)/(-Model!EI57+-Model!EI66),"")</f>
        <v>1.4618290028202547</v>
      </c>
      <c r="EJ155" s="115">
        <f>IF(AND(-Model!EJ188&lt;&gt;"",-Model!EJ188&lt;&gt;0,-Model!EJ57&lt;&gt;"",-Model!EJ57&lt;&gt;0),(--Model!EJ188)/(-Model!EJ57+-Model!EJ66),"")</f>
        <v>1.2388066823837349</v>
      </c>
      <c r="EK155" s="115">
        <f>IF(AND(-Model!EK188&lt;&gt;"",-Model!EK188&lt;&gt;0,-Model!EK57&lt;&gt;"",-Model!EK57&lt;&gt;0),(--Model!EK188)/(-Model!EK57+-Model!EK66),"")</f>
        <v>1.2689841333963063</v>
      </c>
      <c r="EL155" s="153">
        <f>IF(AND(-Model!EL188&lt;&gt;"",-Model!EL188&lt;&gt;0,-Model!EL57&lt;&gt;"",-Model!EL57&lt;&gt;0),(--Model!EL188)/(-Model!EL57+-Model!EL66),"")</f>
        <v>1.2532640359372125</v>
      </c>
      <c r="EM155" s="115">
        <f>IF(AND(-Model!EM188&lt;&gt;"",-Model!EM188&lt;&gt;0,-Model!EM57&lt;&gt;"",-Model!EM57&lt;&gt;0),(--Model!EM188)/(-Model!EM57+-Model!EM66),"")</f>
        <v>1.0289122333550726</v>
      </c>
      <c r="EN155" s="115">
        <f>IF(AND(-Model!EN188&lt;&gt;"",-Model!EN188&lt;&gt;0,-Model!EN57&lt;&gt;"",-Model!EN57&lt;&gt;0),(--Model!EN188)/(-Model!EN57+-Model!EN66),"")</f>
        <v>1.0615758724226729</v>
      </c>
      <c r="EO155" s="153">
        <f>IF(AND(-Model!EO188&lt;&gt;"",-Model!EO188&lt;&gt;0,-Model!EO57&lt;&gt;"",-Model!EO57&lt;&gt;0),(--Model!EO188)/(-Model!EO57+-Model!EO66),"")</f>
        <v>1.0445700500789903</v>
      </c>
      <c r="EP155" s="115">
        <f>IF(AND(-Model!EP188&lt;&gt;"",-Model!EP188&lt;&gt;0,-Model!EP57&lt;&gt;"",-Model!EP57&lt;&gt;0),(--Model!EP188)/(-Model!EP57+-Model!EP66),"")</f>
        <v>1.0280304846909958</v>
      </c>
      <c r="EQ155" s="115">
        <f>IF(AND(-Model!EQ188&lt;&gt;"",-Model!EQ188&lt;&gt;0,-Model!EQ57&lt;&gt;"",-Model!EQ57&lt;&gt;0),(--Model!EQ188)/(-Model!EQ57+-Model!EQ66),"")</f>
        <v>1.0628179083988847</v>
      </c>
      <c r="ER155" s="153">
        <f>IF(AND(-Model!ER188&lt;&gt;"",-Model!ER188&lt;&gt;0,-Model!ER57&lt;&gt;"",-Model!ER57&lt;&gt;0),(--Model!ER188)/(-Model!ER57+-Model!ER66),"")</f>
        <v>1.0447481759329371</v>
      </c>
      <c r="ES155" s="115">
        <f>IF(AND(-Model!ES188&lt;&gt;"",-Model!ES188&lt;&gt;0,-Model!ES57&lt;&gt;"",-Model!ES57&lt;&gt;0),(--Model!ES188)/(-Model!ES57+-Model!ES66),"")</f>
        <v>1.0273175741425717</v>
      </c>
      <c r="ET155" s="115">
        <f>IF(AND(-Model!ET188&lt;&gt;"",-Model!ET188&lt;&gt;0,-Model!ET57&lt;&gt;"",-Model!ET57&lt;&gt;0),(--Model!ET188)/(-Model!ET57+-Model!ET66),"")</f>
        <v>1.0619837881441485</v>
      </c>
      <c r="EU155" s="153">
        <f>IF(AND(-Model!EU188&lt;&gt;"",-Model!EU188&lt;&gt;0,-Model!EU57&lt;&gt;"",-Model!EU57&lt;&gt;0),(--Model!EU188)/(-Model!EU57+-Model!EU66),"")</f>
        <v>1.0440095144269306</v>
      </c>
      <c r="EV155" s="115">
        <f>IF(AND(-Model!EV188&lt;&gt;"",-Model!EV188&lt;&gt;0,-Model!EV57&lt;&gt;"",-Model!EV57&lt;&gt;0),(--Model!EV188)/(-Model!EV57+-Model!EV66),"")</f>
        <v>1.0284056793182406</v>
      </c>
      <c r="EW155" s="115">
        <f>IF(AND(-Model!EW188&lt;&gt;"",-Model!EW188&lt;&gt;0,-Model!EW57&lt;&gt;"",-Model!EW57&lt;&gt;0),(--Model!EW188)/(-Model!EW57+-Model!EW66),"")</f>
        <v>1.061193324662731</v>
      </c>
      <c r="EX155" s="153">
        <f>IF(AND(-Model!EX188&lt;&gt;"",-Model!EX188&lt;&gt;0,-Model!EX57&lt;&gt;"",-Model!EX57&lt;&gt;0),(--Model!EX188)/(-Model!EX57+-Model!EX66),"")</f>
        <v>1.0442234175710827</v>
      </c>
      <c r="EY155" s="115">
        <f>IF(AND(-Model!EY188&lt;&gt;"",-Model!EY188&lt;&gt;0,-Model!EY57&lt;&gt;"",-Model!EY57&lt;&gt;0),(--Model!EY188)/(-Model!EY57+-Model!EY66),"")</f>
        <v>1.0294430955643532</v>
      </c>
      <c r="EZ155" s="115">
        <f>IF(AND(-Model!EZ188&lt;&gt;"",-Model!EZ188&lt;&gt;0,-Model!EZ57&lt;&gt;"",-Model!EZ57&lt;&gt;0),(--Model!EZ188)/(-Model!EZ57+-Model!EZ66),"")</f>
        <v>1.0604445649824166</v>
      </c>
      <c r="FA155" s="153">
        <f>IF(AND(-Model!FA188&lt;&gt;"",-Model!FA188&lt;&gt;0,-Model!FA57&lt;&gt;"",-Model!FA57&lt;&gt;0),(--Model!FA188)/(-Model!FA57+-Model!FA66),"")</f>
        <v>1.0444274187080447</v>
      </c>
    </row>
    <row r="156" spans="1:157" ht="13.35" customHeight="1">
      <c r="A156" s="3"/>
      <c r="B156" s="4" t="s">
        <v>512</v>
      </c>
      <c r="C156" s="4"/>
      <c r="D156" s="92"/>
      <c r="E156" s="92" t="str">
        <f>IF(Model!E191&lt;&gt;"",Model!E191,"")</f>
        <v/>
      </c>
      <c r="F156" s="92" t="str">
        <f>IF(Model!G191&lt;&gt;"",Model!F191,"")</f>
        <v/>
      </c>
      <c r="G156" s="92" t="str">
        <f>IF(Model!G191&lt;&gt;"",Model!G191,"")</f>
        <v/>
      </c>
      <c r="H156" s="92" t="str">
        <f>IF(Model!H191&lt;&gt;"",Model!H191,"")</f>
        <v/>
      </c>
      <c r="I156" s="92" t="str">
        <f>IF(Model!J191&lt;&gt;"",Model!I191,"")</f>
        <v/>
      </c>
      <c r="J156" s="92" t="str">
        <f>IF(Model!J191&lt;&gt;"",Model!J191,"")</f>
        <v/>
      </c>
      <c r="K156" s="92" t="str">
        <f>IF(Model!K191&lt;&gt;"",Model!K191,"")</f>
        <v/>
      </c>
      <c r="L156" s="92" t="str">
        <f>IF(Model!M191&lt;&gt;"",Model!L191,"")</f>
        <v/>
      </c>
      <c r="M156" s="92" t="str">
        <f>IF(Model!M191&lt;&gt;"",Model!M191,"")</f>
        <v/>
      </c>
      <c r="N156" s="92" t="str">
        <f>IF(Model!N191&lt;&gt;"",Model!N191,"")</f>
        <v/>
      </c>
      <c r="O156" s="92" t="str">
        <f>IF(Model!P191&lt;&gt;"",Model!O191,"")</f>
        <v/>
      </c>
      <c r="P156" s="92" t="str">
        <f>IF(Model!P191&lt;&gt;"",Model!P191,"")</f>
        <v/>
      </c>
      <c r="Q156" s="92" t="str">
        <f>IF(Model!Q191&lt;&gt;"",Model!Q191,"")</f>
        <v/>
      </c>
      <c r="R156" s="92" t="str">
        <f>IF(Model!S191&lt;&gt;"",Model!R191,"")</f>
        <v/>
      </c>
      <c r="S156" s="92" t="str">
        <f>IF(Model!S191&lt;&gt;"",Model!S191,"")</f>
        <v/>
      </c>
      <c r="T156" s="92" t="str">
        <f>IF(Model!T191&lt;&gt;"",Model!T191,"")</f>
        <v/>
      </c>
      <c r="U156" s="92" t="str">
        <f>IF(Model!V191&lt;&gt;"",Model!U191,"")</f>
        <v/>
      </c>
      <c r="V156" s="92" t="str">
        <f>IF(Model!V191&lt;&gt;"",Model!V191,"")</f>
        <v/>
      </c>
      <c r="W156" s="92" t="str">
        <f>IF(Model!W191&lt;&gt;"",Model!W191,"")</f>
        <v/>
      </c>
      <c r="X156" s="92" t="str">
        <f>IF(Model!Y191&lt;&gt;"",Model!X191,"")</f>
        <v/>
      </c>
      <c r="Y156" s="92" t="str">
        <f>IF(Model!Y191&lt;&gt;"",Model!Y191,"")</f>
        <v/>
      </c>
      <c r="Z156" s="92" t="str">
        <f>IF(Model!Z191&lt;&gt;"",Model!Z191,"")</f>
        <v/>
      </c>
      <c r="AA156" s="92" t="str">
        <f>IF(Model!AB191&lt;&gt;"",Model!AA191,"")</f>
        <v/>
      </c>
      <c r="AB156" s="92" t="str">
        <f>IF(Model!AB191&lt;&gt;"",Model!AB191,"")</f>
        <v/>
      </c>
      <c r="AC156" s="92" t="str">
        <f>IF(Model!AC191&lt;&gt;"",Model!AC191,"")</f>
        <v/>
      </c>
      <c r="AD156" s="92" t="str">
        <f>IF(Model!AE191&lt;&gt;"",Model!AD191,"")</f>
        <v/>
      </c>
      <c r="AE156" s="92" t="str">
        <f>IF(Model!AE191&lt;&gt;"",Model!AE191,"")</f>
        <v/>
      </c>
      <c r="AF156" s="92" t="str">
        <f>IF(Model!AF191&lt;&gt;"",Model!AF191,"")</f>
        <v/>
      </c>
      <c r="AG156" s="92" t="str">
        <f>IF(Model!AH191&lt;&gt;"",Model!AG191,"")</f>
        <v/>
      </c>
      <c r="AH156" s="92" t="str">
        <f>IF(Model!AH191&lt;&gt;"",Model!AH191,"")</f>
        <v/>
      </c>
      <c r="AI156" s="92" t="str">
        <f>IF(Model!AI191&lt;&gt;"",Model!AI191,"")</f>
        <v/>
      </c>
      <c r="AJ156" s="92" t="str">
        <f>IF(Model!AK191&lt;&gt;"",Model!AJ191,"")</f>
        <v/>
      </c>
      <c r="AK156" s="92" t="str">
        <f>IF(Model!AK191&lt;&gt;"",Model!AK191,"")</f>
        <v/>
      </c>
      <c r="AL156" s="92" t="str">
        <f>IF(Model!AL191&lt;&gt;"",Model!AL191,"")</f>
        <v/>
      </c>
      <c r="AM156" s="92">
        <f>IF(Model!AN191&lt;&gt;"",Model!AM191,"")</f>
        <v>0.252</v>
      </c>
      <c r="AN156" s="92">
        <f>IF(Model!AN191&lt;&gt;"",Model!AN191,"")</f>
        <v>0.252</v>
      </c>
      <c r="AO156" s="92" t="str">
        <f>IF(Model!AO191&lt;&gt;"",Model!AO191,"")</f>
        <v/>
      </c>
      <c r="AP156" s="92">
        <f>IF(Model!AQ191&lt;&gt;"",Model!AP191,"")</f>
        <v>0.11</v>
      </c>
      <c r="AQ156" s="92">
        <f>IF(Model!AQ191&lt;&gt;"",Model!AQ191,"")</f>
        <v>0.11</v>
      </c>
      <c r="AR156" s="92">
        <f>IF(Model!AR191&lt;&gt;"",Model!AR191,"")</f>
        <v>0.30599999999999999</v>
      </c>
      <c r="AS156" s="92">
        <f>IF(Model!AT191&lt;&gt;"",Model!AS191,"")</f>
        <v>0.16999999999999998</v>
      </c>
      <c r="AT156" s="92">
        <f>IF(Model!AT191&lt;&gt;"",Model!AT191,"")</f>
        <v>0.47599999999999998</v>
      </c>
      <c r="AU156" s="92">
        <f>IF(Model!AU191&lt;&gt;"",Model!AU191,"")</f>
        <v>4.0000000000000001E-3</v>
      </c>
      <c r="AV156" s="92">
        <f>IF(Model!AW191&lt;&gt;"",Model!AV191,"")</f>
        <v>0.65300000000000002</v>
      </c>
      <c r="AW156" s="92">
        <f>IF(Model!AW191&lt;&gt;"",Model!AW191,"")</f>
        <v>0.65700000000000003</v>
      </c>
      <c r="AX156" s="92" t="str">
        <f>IF(Model!AX191&lt;&gt;"",Model!AX191,"")</f>
        <v/>
      </c>
      <c r="AY156" s="92">
        <f>IF(Model!AZ191&lt;&gt;"",Model!AY191,"")</f>
        <v>0</v>
      </c>
      <c r="AZ156" s="92">
        <f>IF(Model!AZ191&lt;&gt;"",Model!AZ191,"")</f>
        <v>0</v>
      </c>
      <c r="BA156" s="100"/>
      <c r="BB156" s="92">
        <f>IF(Model!BC191&lt;&gt;"",Model!BB191,"")</f>
        <v>3.5000000000000003E-2</v>
      </c>
      <c r="BC156" s="100">
        <v>0.1</v>
      </c>
      <c r="BD156" s="100"/>
      <c r="BE156" s="92">
        <f>IF(Model!BF191&lt;&gt;"",Model!BE191,"")</f>
        <v>3.400000000000003E-2</v>
      </c>
      <c r="BF156" s="100">
        <v>0.4</v>
      </c>
      <c r="BG156" s="100"/>
      <c r="BH156" s="92">
        <f>IF(Model!BI191&lt;&gt;"",Model!BH191,"")</f>
        <v>4.5839999999999996</v>
      </c>
      <c r="BI156" s="101"/>
      <c r="BJ156" s="101"/>
      <c r="BK156" s="92">
        <f>IF(Model!BL191&lt;&gt;"",Model!BK191,"")</f>
        <v>0.41299999999999998</v>
      </c>
      <c r="BL156" s="101"/>
      <c r="BM156" s="101"/>
      <c r="BN156" s="92">
        <f>IF(Model!BO191&lt;&gt;"",Model!BN191,"")</f>
        <v>-0.38500000000000001</v>
      </c>
      <c r="BO156" s="101"/>
      <c r="BP156" s="101"/>
      <c r="BQ156" s="92">
        <f>IF(Model!BR191&lt;&gt;"",Model!BQ191,"")</f>
        <v>2.7389999999999999</v>
      </c>
      <c r="BR156" s="101"/>
      <c r="BS156" s="101"/>
      <c r="BT156" s="92">
        <f>IF(Model!BU191&lt;&gt;"",Model!BT191,"")</f>
        <v>3.9289999999999998</v>
      </c>
      <c r="BU156" s="101"/>
      <c r="BV156" s="101"/>
      <c r="BW156" s="92">
        <f>IF(Model!BX191&lt;&gt;"",Model!BW191,"")</f>
        <v>-8.0000000000000071E-3</v>
      </c>
      <c r="BX156" s="101"/>
      <c r="BY156" s="101"/>
      <c r="BZ156" s="92">
        <f>IF(Model!CA191&lt;&gt;"",Model!BZ191,"")</f>
        <v>1.0940000000000001</v>
      </c>
      <c r="CA156" s="101"/>
      <c r="CB156" s="101"/>
      <c r="CC156" s="92">
        <f>IF(Model!CD191&lt;&gt;"",Model!CC191,"")</f>
        <v>-0.16200000000000001</v>
      </c>
      <c r="CD156" s="101"/>
      <c r="CE156" s="101"/>
      <c r="CF156" s="92">
        <f>IF(Model!CG191&lt;&gt;"",Model!CF191,"")</f>
        <v>0</v>
      </c>
      <c r="CG156" s="101"/>
      <c r="CH156" s="101"/>
      <c r="CI156" s="92">
        <f>IF(Model!CJ191&lt;&gt;"",Model!CI191,"")</f>
        <v>0</v>
      </c>
      <c r="CJ156" s="101"/>
      <c r="CK156" s="101"/>
      <c r="CL156" s="92">
        <f>IF(Model!CM191&lt;&gt;"",Model!CL191,"")</f>
        <v>0</v>
      </c>
      <c r="CM156" s="101"/>
      <c r="CN156" s="101"/>
      <c r="CO156" s="92">
        <f>IF(Model!CP191&lt;&gt;"",Model!CO191,"")</f>
        <v>-0.1</v>
      </c>
      <c r="CP156" s="101"/>
      <c r="CQ156" s="101"/>
      <c r="CR156" s="92">
        <f>IF(Model!CS191&lt;&gt;"",Model!CR191,"")</f>
        <v>0</v>
      </c>
      <c r="CS156" s="101"/>
      <c r="CT156" s="101"/>
      <c r="CU156" s="92">
        <f>IF(Model!CV191&lt;&gt;"",Model!CU191,"")</f>
        <v>0</v>
      </c>
      <c r="CV156" s="101"/>
      <c r="CW156" s="101"/>
      <c r="CX156" s="92">
        <f>IF(Model!CY191&lt;&gt;"",Model!CX191,"")</f>
        <v>0</v>
      </c>
      <c r="CY156" s="101"/>
      <c r="CZ156" s="101"/>
      <c r="DA156" s="92">
        <f>IF(Model!DB191&lt;&gt;"",Model!DA191,"")</f>
        <v>0</v>
      </c>
      <c r="DB156" s="101"/>
      <c r="DC156" s="101"/>
      <c r="DD156" s="92">
        <f>IF(Model!DE191&lt;&gt;"",Model!DD191,"")</f>
        <v>0</v>
      </c>
      <c r="DE156" s="148"/>
      <c r="DF156" s="101"/>
      <c r="DG156" s="92">
        <f>IF(Model!DH191&lt;&gt;"",Model!DG191,"")</f>
        <v>0</v>
      </c>
      <c r="DH156" s="148"/>
      <c r="DI156" s="101"/>
      <c r="DJ156" s="92">
        <f>IF(Model!DK191&lt;&gt;"",Model!DJ191,"")</f>
        <v>0</v>
      </c>
      <c r="DK156" s="148"/>
      <c r="DL156" s="101"/>
      <c r="DM156" s="92">
        <f>IF(Model!DN191&lt;&gt;"",Model!DM191,"")</f>
        <v>0</v>
      </c>
      <c r="DN156" s="148"/>
      <c r="DO156" s="101"/>
      <c r="DP156" s="92">
        <f>IF(Model!DQ191&lt;&gt;"",Model!DP191,"")</f>
        <v>0</v>
      </c>
      <c r="DQ156" s="148"/>
      <c r="DR156" s="101"/>
      <c r="DS156" s="92">
        <f>IF(Model!DT191&lt;&gt;"",Model!DS191,"")</f>
        <v>0</v>
      </c>
      <c r="DT156" s="148"/>
      <c r="DU156" s="101"/>
      <c r="DV156" s="92">
        <f>IF(Model!DW191&lt;&gt;"",Model!DV191,"")</f>
        <v>-180</v>
      </c>
      <c r="DW156" s="148"/>
      <c r="DX156" s="101"/>
      <c r="DY156" s="92">
        <f>IF(Model!DZ191&lt;&gt;"",Model!DY191,"")</f>
        <v>0</v>
      </c>
      <c r="DZ156" s="148"/>
      <c r="EA156" s="101"/>
      <c r="EB156" s="92">
        <f>IF(Model!EC191&lt;&gt;"",Model!EB191,"")</f>
        <v>0</v>
      </c>
      <c r="EC156" s="148"/>
      <c r="ED156" s="101"/>
      <c r="EE156" s="92">
        <f>IF(Model!EF191&lt;&gt;"",Model!EE191,"")</f>
        <v>0</v>
      </c>
      <c r="EF156" s="148"/>
      <c r="EG156" s="101"/>
      <c r="EH156" s="92">
        <f>IF(Model!EI191&lt;&gt;"",Model!EH191,"")</f>
        <v>0</v>
      </c>
      <c r="EI156" s="148"/>
      <c r="EJ156" s="101"/>
      <c r="EK156" s="92">
        <f>IF(Model!EL191&lt;&gt;"",Model!EK191,"")</f>
        <v>0</v>
      </c>
      <c r="EL156" s="148"/>
      <c r="EM156" s="101"/>
      <c r="EN156" s="92">
        <f>IF(Model!EO191&lt;&gt;"",Model!EN191,"")</f>
        <v>0</v>
      </c>
      <c r="EO156" s="148"/>
      <c r="EP156" s="101"/>
      <c r="EQ156" s="92">
        <f>IF(Model!ER191&lt;&gt;"",Model!EQ191,"")</f>
        <v>0</v>
      </c>
      <c r="ER156" s="148"/>
      <c r="ES156" s="101"/>
      <c r="ET156" s="92">
        <f>IF(Model!EU191&lt;&gt;"",Model!ET191,"")</f>
        <v>0</v>
      </c>
      <c r="EU156" s="148"/>
      <c r="EV156" s="101"/>
      <c r="EW156" s="92">
        <f>IF(Model!EX191&lt;&gt;"",Model!EW191,"")</f>
        <v>0</v>
      </c>
      <c r="EX156" s="148"/>
      <c r="EY156" s="101"/>
      <c r="EZ156" s="92">
        <f>IF(Model!FA191&lt;&gt;"",Model!EZ191,"")</f>
        <v>0</v>
      </c>
      <c r="FA156" s="148"/>
    </row>
    <row r="157" spans="1:157" ht="13.35" customHeight="1">
      <c r="A157" s="3"/>
      <c r="B157" s="5" t="s">
        <v>744</v>
      </c>
      <c r="C157" s="5"/>
      <c r="D157" s="5"/>
      <c r="E157" s="93"/>
      <c r="F157" s="93"/>
      <c r="G157" s="93"/>
      <c r="H157" s="93"/>
      <c r="I157" s="93"/>
      <c r="J157" s="93"/>
      <c r="K157" s="93"/>
      <c r="L157" s="93"/>
      <c r="M157" s="93"/>
      <c r="N157" s="93"/>
      <c r="O157" s="93"/>
      <c r="P157" s="93"/>
      <c r="Q157" s="93"/>
      <c r="R157" s="93"/>
      <c r="S157" s="93"/>
      <c r="T157" s="93"/>
      <c r="U157" s="93"/>
      <c r="V157" s="93"/>
      <c r="W157" s="93"/>
      <c r="X157" s="93"/>
      <c r="Y157" s="93"/>
      <c r="Z157" s="93"/>
      <c r="AA157" s="93"/>
      <c r="AB157" s="93"/>
      <c r="AC157" s="93"/>
      <c r="AD157" s="93"/>
      <c r="AE157" s="93"/>
      <c r="AF157" s="93"/>
      <c r="AG157" s="93"/>
      <c r="AH157" s="93"/>
      <c r="AI157" s="93"/>
      <c r="AJ157" s="93"/>
      <c r="AK157" s="93"/>
      <c r="AL157" s="93"/>
      <c r="AM157" s="93"/>
      <c r="AN157" s="93"/>
      <c r="AO157" s="93"/>
      <c r="AP157" s="93"/>
      <c r="AQ157" s="93"/>
      <c r="AR157" s="93"/>
      <c r="AS157" s="93"/>
      <c r="AT157" s="93"/>
      <c r="AU157" s="93"/>
      <c r="AV157" s="93"/>
      <c r="AW157" s="93"/>
      <c r="AX157" s="93"/>
      <c r="AY157" s="93"/>
      <c r="AZ157" s="93"/>
      <c r="BA157" s="93"/>
      <c r="BB157" s="93"/>
      <c r="BC157" s="93"/>
      <c r="BD157" s="93"/>
      <c r="BE157" s="93"/>
      <c r="BF157" s="93"/>
      <c r="BG157" s="93"/>
      <c r="BH157" s="93"/>
      <c r="BI157" s="93"/>
      <c r="BJ157" s="93"/>
      <c r="BK157" s="93"/>
      <c r="BL157" s="93"/>
      <c r="BM157" s="93"/>
      <c r="BN157" s="93"/>
      <c r="BO157" s="93"/>
      <c r="BP157" s="93"/>
      <c r="BQ157" s="93"/>
      <c r="BR157" s="93"/>
      <c r="BS157" s="93"/>
      <c r="BT157" s="93"/>
      <c r="BU157" s="93"/>
      <c r="BV157" s="93"/>
      <c r="BW157" s="93"/>
      <c r="BX157" s="93"/>
      <c r="BY157" s="93"/>
      <c r="BZ157" s="93"/>
      <c r="CA157" s="93"/>
      <c r="CB157" s="93"/>
      <c r="CC157" s="93"/>
      <c r="CD157" s="93"/>
      <c r="CE157" s="93"/>
      <c r="CF157" s="93"/>
      <c r="CG157" s="93"/>
      <c r="CH157" s="93"/>
      <c r="CI157" s="93"/>
      <c r="CJ157" s="93"/>
      <c r="CK157" s="93"/>
      <c r="CL157" s="93"/>
      <c r="CM157" s="93"/>
      <c r="CN157" s="93"/>
      <c r="CO157" s="93"/>
      <c r="CP157" s="93"/>
      <c r="CQ157" s="93"/>
      <c r="CR157" s="93"/>
      <c r="CS157" s="93"/>
      <c r="CT157" s="93"/>
      <c r="CU157" s="93"/>
      <c r="CV157" s="93"/>
      <c r="CW157" s="93"/>
      <c r="CX157" s="93"/>
      <c r="CY157" s="93"/>
      <c r="CZ157" s="93"/>
      <c r="DA157" s="93"/>
      <c r="DB157" s="93"/>
      <c r="DC157" s="93"/>
      <c r="DD157" s="93"/>
      <c r="DE157" s="144"/>
      <c r="DF157" s="93"/>
      <c r="DG157" s="93"/>
      <c r="DH157" s="144"/>
      <c r="DI157" s="93"/>
      <c r="DJ157" s="93"/>
      <c r="DK157" s="144"/>
      <c r="DL157" s="93"/>
      <c r="DM157" s="93"/>
      <c r="DN157" s="144"/>
      <c r="DO157" s="93"/>
      <c r="DP157" s="93"/>
      <c r="DQ157" s="144"/>
      <c r="DR157" s="93"/>
      <c r="DS157" s="93"/>
      <c r="DT157" s="144"/>
      <c r="DU157" s="93"/>
      <c r="DV157" s="93"/>
      <c r="DW157" s="144"/>
      <c r="DX157" s="93"/>
      <c r="DY157" s="93"/>
      <c r="DZ157" s="144"/>
      <c r="EA157" s="93"/>
      <c r="EB157" s="93"/>
      <c r="EC157" s="144"/>
      <c r="ED157" s="93"/>
      <c r="EE157" s="93"/>
      <c r="EF157" s="144"/>
      <c r="EG157" s="93"/>
      <c r="EH157" s="93"/>
      <c r="EI157" s="144"/>
      <c r="EJ157" s="93"/>
      <c r="EK157" s="93"/>
      <c r="EL157" s="144"/>
      <c r="EM157" s="93"/>
      <c r="EN157" s="93"/>
      <c r="EO157" s="144"/>
      <c r="EP157" s="93"/>
      <c r="EQ157" s="93"/>
      <c r="ER157" s="144"/>
      <c r="ES157" s="93"/>
      <c r="ET157" s="93"/>
      <c r="EU157" s="144"/>
      <c r="EV157" s="93"/>
      <c r="EW157" s="93"/>
      <c r="EX157" s="144"/>
      <c r="EY157" s="93"/>
      <c r="EZ157" s="93"/>
      <c r="FA157" s="144"/>
    </row>
    <row r="158" spans="1:157" ht="13.35" customHeight="1">
      <c r="A158" s="3"/>
      <c r="B158" s="4" t="s">
        <v>513</v>
      </c>
      <c r="C158" s="4"/>
      <c r="D158" s="92"/>
      <c r="E158" s="92" t="str">
        <f>IF(Model!E193&lt;&gt;"",-Model!E193,"")</f>
        <v/>
      </c>
      <c r="F158" s="92" t="str">
        <f>IF(Model!G193&lt;&gt;"",-Model!F193,"")</f>
        <v/>
      </c>
      <c r="G158" s="92" t="str">
        <f>IF(Model!G193&lt;&gt;"",-Model!G193,"")</f>
        <v/>
      </c>
      <c r="H158" s="92" t="str">
        <f>IF(Model!H193&lt;&gt;"",-Model!H193,"")</f>
        <v/>
      </c>
      <c r="I158" s="92" t="str">
        <f>IF(Model!J193&lt;&gt;"",-Model!I193,"")</f>
        <v/>
      </c>
      <c r="J158" s="92" t="str">
        <f>IF(Model!J193&lt;&gt;"",-Model!J193,"")</f>
        <v/>
      </c>
      <c r="K158" s="92" t="str">
        <f>IF(Model!K193&lt;&gt;"",-Model!K193,"")</f>
        <v/>
      </c>
      <c r="L158" s="92" t="str">
        <f>IF(Model!M193&lt;&gt;"",-Model!L193,"")</f>
        <v/>
      </c>
      <c r="M158" s="92" t="str">
        <f>IF(Model!M193&lt;&gt;"",-Model!M193,"")</f>
        <v/>
      </c>
      <c r="N158" s="92" t="str">
        <f>IF(Model!N193&lt;&gt;"",-Model!N193,"")</f>
        <v/>
      </c>
      <c r="O158" s="92" t="str">
        <f>IF(Model!P193&lt;&gt;"",-Model!O193,"")</f>
        <v/>
      </c>
      <c r="P158" s="92" t="str">
        <f>IF(Model!P193&lt;&gt;"",-Model!P193,"")</f>
        <v/>
      </c>
      <c r="Q158" s="92" t="str">
        <f>IF(Model!Q193&lt;&gt;"",-Model!Q193,"")</f>
        <v/>
      </c>
      <c r="R158" s="92" t="str">
        <f>IF(Model!S193&lt;&gt;"",-Model!R193,"")</f>
        <v/>
      </c>
      <c r="S158" s="92" t="str">
        <f>IF(Model!S193&lt;&gt;"",-Model!S193,"")</f>
        <v/>
      </c>
      <c r="T158" s="92" t="str">
        <f>IF(Model!T193&lt;&gt;"",-Model!T193,"")</f>
        <v/>
      </c>
      <c r="U158" s="92" t="str">
        <f>IF(Model!V193&lt;&gt;"",-Model!U193,"")</f>
        <v/>
      </c>
      <c r="V158" s="92" t="str">
        <f>IF(Model!V193&lt;&gt;"",-Model!V193,"")</f>
        <v/>
      </c>
      <c r="W158" s="92" t="str">
        <f>IF(Model!W193&lt;&gt;"",-Model!W193,"")</f>
        <v/>
      </c>
      <c r="X158" s="92" t="str">
        <f>IF(Model!Y193&lt;&gt;"",-Model!X193,"")</f>
        <v/>
      </c>
      <c r="Y158" s="92" t="str">
        <f>IF(Model!Y193&lt;&gt;"",-Model!Y193,"")</f>
        <v/>
      </c>
      <c r="Z158" s="92" t="str">
        <f>IF(Model!Z193&lt;&gt;"",-Model!Z193,"")</f>
        <v/>
      </c>
      <c r="AA158" s="92" t="str">
        <f>IF(Model!AB193&lt;&gt;"",-Model!AA193,"")</f>
        <v/>
      </c>
      <c r="AB158" s="92" t="str">
        <f>IF(Model!AB193&lt;&gt;"",-Model!AB193,"")</f>
        <v/>
      </c>
      <c r="AC158" s="92" t="str">
        <f>IF(Model!AC193&lt;&gt;"",-Model!AC193,"")</f>
        <v/>
      </c>
      <c r="AD158" s="92" t="str">
        <f>IF(Model!AE193&lt;&gt;"",-Model!AD193,"")</f>
        <v/>
      </c>
      <c r="AE158" s="92" t="str">
        <f>IF(Model!AE193&lt;&gt;"",-Model!AE193,"")</f>
        <v/>
      </c>
      <c r="AF158" s="92" t="str">
        <f>IF(Model!AF193&lt;&gt;"",-Model!AF193,"")</f>
        <v/>
      </c>
      <c r="AG158" s="92" t="str">
        <f>IF(Model!AH193&lt;&gt;"",-Model!AG193,"")</f>
        <v/>
      </c>
      <c r="AH158" s="92" t="str">
        <f>IF(Model!AH193&lt;&gt;"",-Model!AH193,"")</f>
        <v/>
      </c>
      <c r="AI158" s="92" t="str">
        <f>IF(Model!AI193&lt;&gt;"",-Model!AI193,"")</f>
        <v/>
      </c>
      <c r="AJ158" s="92">
        <f>IF(Model!AK193&lt;&gt;"",-Model!AJ193,"")</f>
        <v>0</v>
      </c>
      <c r="AK158" s="92">
        <f>IF(Model!AK193&lt;&gt;"",-Model!AK193,"")</f>
        <v>0</v>
      </c>
      <c r="AL158" s="92" t="str">
        <f>IF(Model!AL193&lt;&gt;"",-Model!AL193,"")</f>
        <v/>
      </c>
      <c r="AM158" s="92">
        <f>IF(Model!AN193&lt;&gt;"",-Model!AM193,"")</f>
        <v>0</v>
      </c>
      <c r="AN158" s="92">
        <f>IF(Model!AN193&lt;&gt;"",-Model!AN193,"")</f>
        <v>0</v>
      </c>
      <c r="AO158" s="92" t="str">
        <f>IF(Model!AO193&lt;&gt;"",-Model!AO193,"")</f>
        <v/>
      </c>
      <c r="AP158" s="92">
        <f>IF(Model!AQ193&lt;&gt;"",-Model!AP193,"")</f>
        <v>0</v>
      </c>
      <c r="AQ158" s="92">
        <f>IF(Model!AQ193&lt;&gt;"",-Model!AQ193,"")</f>
        <v>0</v>
      </c>
      <c r="AR158" s="92">
        <f>IF(Model!AR193&lt;&gt;"",-Model!AR193,"")</f>
        <v>-7.5</v>
      </c>
      <c r="AS158" s="92">
        <f>IF(Model!AT193&lt;&gt;"",-Model!AS193,"")</f>
        <v>22.240000000000002</v>
      </c>
      <c r="AT158" s="92">
        <f>IF(Model!AT193&lt;&gt;"",-Model!AT193,"")</f>
        <v>14.74</v>
      </c>
      <c r="AU158" s="92">
        <f>IF(Model!AU193&lt;&gt;"",-Model!AU193,"")</f>
        <v>0.218</v>
      </c>
      <c r="AV158" s="92">
        <f>IF(Model!AW193&lt;&gt;"",-Model!AV193,"")</f>
        <v>1.9140000000000001</v>
      </c>
      <c r="AW158" s="92">
        <f>IF(Model!AW193&lt;&gt;"",-Model!AW193,"")</f>
        <v>2.1320000000000001</v>
      </c>
      <c r="AX158" s="92" t="str">
        <f>IF(Model!AX193&lt;&gt;"",-Model!AX193,"")</f>
        <v/>
      </c>
      <c r="AY158" s="92">
        <f>IF(Model!AZ193&lt;&gt;"",-Model!AY193,"")</f>
        <v>2.048</v>
      </c>
      <c r="AZ158" s="92">
        <f>IF(Model!AZ193&lt;&gt;"",-Model!AZ193,"")</f>
        <v>2.048</v>
      </c>
      <c r="BA158" s="100">
        <f>BC158/2</f>
        <v>1.024</v>
      </c>
      <c r="BB158" s="92">
        <f>IF(Model!BC193&lt;&gt;"",Model!BB193,"")</f>
        <v>-1.5489999999999999</v>
      </c>
      <c r="BC158" s="100">
        <f>AZ158</f>
        <v>2.048</v>
      </c>
      <c r="BD158" s="100">
        <f>BF158/2</f>
        <v>1.024</v>
      </c>
      <c r="BE158" s="92">
        <f>IF(Model!BF193&lt;&gt;"",Model!BE193,"")</f>
        <v>0.32300000000000001</v>
      </c>
      <c r="BF158" s="100">
        <f>BC158</f>
        <v>2.048</v>
      </c>
      <c r="BG158" s="100">
        <f>BI158/2</f>
        <v>1.024</v>
      </c>
      <c r="BH158" s="92">
        <f>IF(Model!BI193&lt;&gt;"",Model!BH193,"")</f>
        <v>-0.35399999999999998</v>
      </c>
      <c r="BI158" s="100">
        <f>BF158</f>
        <v>2.048</v>
      </c>
      <c r="BJ158" s="100">
        <f>BL158/2</f>
        <v>1.024</v>
      </c>
      <c r="BK158" s="92">
        <f>IF(Model!BL193&lt;&gt;"",Model!BK193,"")</f>
        <v>14.396000000000001</v>
      </c>
      <c r="BL158" s="100">
        <f>BI158</f>
        <v>2.048</v>
      </c>
      <c r="BM158" s="100">
        <f>BO158/2</f>
        <v>0</v>
      </c>
      <c r="BN158" s="92">
        <f>IF(Model!BO193&lt;&gt;"",Model!BN193,"")</f>
        <v>-0.27700000000000002</v>
      </c>
      <c r="BO158" s="100">
        <v>0</v>
      </c>
      <c r="BP158" s="100">
        <f>BR158/2</f>
        <v>0</v>
      </c>
      <c r="BQ158" s="92">
        <f>IF(Model!BR193&lt;&gt;"",Model!BQ193,"")</f>
        <v>-15.052</v>
      </c>
      <c r="BR158" s="100">
        <f>BO158</f>
        <v>0</v>
      </c>
      <c r="BS158" s="100">
        <f>BU158/2</f>
        <v>0</v>
      </c>
      <c r="BT158" s="92">
        <f>IF(Model!BU193&lt;&gt;"",Model!BT193,"")</f>
        <v>88.608000000000004</v>
      </c>
      <c r="BU158" s="100">
        <f>BR158</f>
        <v>0</v>
      </c>
      <c r="BV158" s="100">
        <f>BX158/2</f>
        <v>0</v>
      </c>
      <c r="BW158" s="92">
        <f>IF(Model!BX193&lt;&gt;"",Model!BW193,"")</f>
        <v>-4.2000000000000003E-2</v>
      </c>
      <c r="BX158" s="100">
        <f>BU158</f>
        <v>0</v>
      </c>
      <c r="BY158" s="100">
        <f>CA158/2</f>
        <v>0</v>
      </c>
      <c r="BZ158" s="92">
        <f>IF(Model!CA193&lt;&gt;"",Model!BZ193,"")</f>
        <v>0</v>
      </c>
      <c r="CA158" s="100">
        <f>BX158</f>
        <v>0</v>
      </c>
      <c r="CB158" s="100">
        <f>CD158/2</f>
        <v>0</v>
      </c>
      <c r="CC158" s="92">
        <f>IF(Model!CD193&lt;&gt;"",Model!CC193,"")</f>
        <v>0</v>
      </c>
      <c r="CD158" s="100">
        <f>CA158</f>
        <v>0</v>
      </c>
      <c r="CE158" s="100">
        <f>CG158/2</f>
        <v>0</v>
      </c>
      <c r="CF158" s="92">
        <f>IF(Model!CG193&lt;&gt;"",Model!CF193,"")</f>
        <v>0</v>
      </c>
      <c r="CG158" s="100">
        <f>CD158</f>
        <v>0</v>
      </c>
      <c r="CH158" s="100">
        <f>CJ158/2</f>
        <v>0</v>
      </c>
      <c r="CI158" s="92">
        <f>IF(Model!CJ193&lt;&gt;"",Model!CI193,"")</f>
        <v>0</v>
      </c>
      <c r="CJ158" s="100">
        <f>CG158</f>
        <v>0</v>
      </c>
      <c r="CK158" s="100">
        <f>CM158/2</f>
        <v>0</v>
      </c>
      <c r="CL158" s="92">
        <f>IF(Model!CM193&lt;&gt;"",Model!CL193,"")</f>
        <v>0</v>
      </c>
      <c r="CM158" s="100">
        <f>CJ158</f>
        <v>0</v>
      </c>
      <c r="CN158" s="100">
        <f>CP158/2</f>
        <v>0</v>
      </c>
      <c r="CO158" s="92">
        <f>IF(Model!CP193&lt;&gt;"",Model!CO193,"")</f>
        <v>0</v>
      </c>
      <c r="CP158" s="100">
        <f>CM158</f>
        <v>0</v>
      </c>
      <c r="CQ158" s="100">
        <f>CS158/2</f>
        <v>0</v>
      </c>
      <c r="CR158" s="92">
        <f>IF(Model!CS193&lt;&gt;"",Model!CR193,"")</f>
        <v>0</v>
      </c>
      <c r="CS158" s="100">
        <f>CP158</f>
        <v>0</v>
      </c>
      <c r="CT158" s="100">
        <f>CV158/2</f>
        <v>0</v>
      </c>
      <c r="CU158" s="92">
        <f>IF(Model!CV193&lt;&gt;"",Model!CU193,"")</f>
        <v>0</v>
      </c>
      <c r="CV158" s="100">
        <f>CS158</f>
        <v>0</v>
      </c>
      <c r="CW158" s="100">
        <f>CY158/2</f>
        <v>0</v>
      </c>
      <c r="CX158" s="92">
        <f>IF(Model!CY193&lt;&gt;"",Model!CX193,"")</f>
        <v>-2.4</v>
      </c>
      <c r="CY158" s="100">
        <f>CV158</f>
        <v>0</v>
      </c>
      <c r="CZ158" s="100">
        <f>DB158/2</f>
        <v>0</v>
      </c>
      <c r="DA158" s="92">
        <f>IF(Model!DB193&lt;&gt;"",Model!DA193,"")</f>
        <v>-1.8</v>
      </c>
      <c r="DB158" s="100">
        <f>CY158</f>
        <v>0</v>
      </c>
      <c r="DC158" s="100">
        <f>DE158/2</f>
        <v>0</v>
      </c>
      <c r="DD158" s="92">
        <f>IF(Model!DE193&lt;&gt;"",Model!DD193,"")</f>
        <v>0</v>
      </c>
      <c r="DE158" s="148">
        <f>DB158</f>
        <v>0</v>
      </c>
      <c r="DF158" s="100">
        <f>DH158/2</f>
        <v>0</v>
      </c>
      <c r="DG158" s="92">
        <f>IF(Model!DH193&lt;&gt;"",Model!DG193,"")</f>
        <v>0</v>
      </c>
      <c r="DH158" s="148">
        <f>DE158</f>
        <v>0</v>
      </c>
      <c r="DI158" s="100">
        <f>DK158/2</f>
        <v>0</v>
      </c>
      <c r="DJ158" s="92">
        <f>IF(Model!DK193&lt;&gt;"",Model!DJ193,"")</f>
        <v>0</v>
      </c>
      <c r="DK158" s="148">
        <f>DH158</f>
        <v>0</v>
      </c>
      <c r="DL158" s="100">
        <f>DN158/2</f>
        <v>0</v>
      </c>
      <c r="DM158" s="92">
        <f>IF(Model!DN193&lt;&gt;"",Model!DM193,"")</f>
        <v>0</v>
      </c>
      <c r="DN158" s="148">
        <f>DK158</f>
        <v>0</v>
      </c>
      <c r="DO158" s="100">
        <f>DQ158/2</f>
        <v>0</v>
      </c>
      <c r="DP158" s="92">
        <f>IF(Model!DQ193&lt;&gt;"",Model!DP193,"")</f>
        <v>0</v>
      </c>
      <c r="DQ158" s="148">
        <f>DN158</f>
        <v>0</v>
      </c>
      <c r="DR158" s="100">
        <f>DT158/2</f>
        <v>0</v>
      </c>
      <c r="DS158" s="92">
        <f>IF(Model!DT193&lt;&gt;"",Model!DS193,"")</f>
        <v>0</v>
      </c>
      <c r="DT158" s="148">
        <f>DQ158</f>
        <v>0</v>
      </c>
      <c r="DU158" s="100">
        <f>DW158/2</f>
        <v>0</v>
      </c>
      <c r="DV158" s="92">
        <f>IF(Model!DW193&lt;&gt;"",Model!DV193,"")</f>
        <v>0</v>
      </c>
      <c r="DW158" s="148">
        <f>DT158</f>
        <v>0</v>
      </c>
      <c r="DX158" s="100">
        <f>DZ158/2</f>
        <v>0</v>
      </c>
      <c r="DY158" s="92">
        <f>IF(Model!DZ193&lt;&gt;"",Model!DY193,"")</f>
        <v>0</v>
      </c>
      <c r="DZ158" s="148">
        <f>DW158</f>
        <v>0</v>
      </c>
      <c r="EA158" s="100">
        <f>EC158/2</f>
        <v>0</v>
      </c>
      <c r="EB158" s="92">
        <f>IF(Model!EC193&lt;&gt;"",Model!EB193,"")</f>
        <v>0</v>
      </c>
      <c r="EC158" s="148">
        <f>DZ158</f>
        <v>0</v>
      </c>
      <c r="ED158" s="100">
        <f>EF158/2</f>
        <v>0</v>
      </c>
      <c r="EE158" s="92">
        <f>IF(Model!EF193&lt;&gt;"",Model!EE193,"")</f>
        <v>0</v>
      </c>
      <c r="EF158" s="148">
        <f>EC158</f>
        <v>0</v>
      </c>
      <c r="EG158" s="100">
        <f>EI158/2</f>
        <v>0</v>
      </c>
      <c r="EH158" s="92">
        <f>IF(Model!EI193&lt;&gt;"",Model!EH193,"")</f>
        <v>0</v>
      </c>
      <c r="EI158" s="148">
        <f>EF158</f>
        <v>0</v>
      </c>
      <c r="EJ158" s="100">
        <f>EL158/2</f>
        <v>0</v>
      </c>
      <c r="EK158" s="92">
        <f>IF(Model!EL193&lt;&gt;"",Model!EK193,"")</f>
        <v>0</v>
      </c>
      <c r="EL158" s="148">
        <f>EI158</f>
        <v>0</v>
      </c>
      <c r="EM158" s="100">
        <f>EO158/2</f>
        <v>0</v>
      </c>
      <c r="EN158" s="92">
        <f>IF(Model!EO193&lt;&gt;"",Model!EN193,"")</f>
        <v>0</v>
      </c>
      <c r="EO158" s="148">
        <f>EL158</f>
        <v>0</v>
      </c>
      <c r="EP158" s="100">
        <f>ER158/2</f>
        <v>0</v>
      </c>
      <c r="EQ158" s="92">
        <f>IF(Model!ER193&lt;&gt;"",Model!EQ193,"")</f>
        <v>0</v>
      </c>
      <c r="ER158" s="148">
        <f>EO158</f>
        <v>0</v>
      </c>
      <c r="ES158" s="100">
        <f>EU158/2</f>
        <v>0</v>
      </c>
      <c r="ET158" s="92">
        <f>IF(Model!EU193&lt;&gt;"",Model!ET193,"")</f>
        <v>0</v>
      </c>
      <c r="EU158" s="148">
        <f>ER158</f>
        <v>0</v>
      </c>
      <c r="EV158" s="100">
        <f>EX158/2</f>
        <v>0</v>
      </c>
      <c r="EW158" s="92">
        <f>IF(Model!EX193&lt;&gt;"",Model!EW193,"")</f>
        <v>0</v>
      </c>
      <c r="EX158" s="148">
        <f>EU158</f>
        <v>0</v>
      </c>
      <c r="EY158" s="100">
        <f>FA158/2</f>
        <v>0</v>
      </c>
      <c r="EZ158" s="92">
        <f>IF(Model!FA193&lt;&gt;"",Model!EZ193,"")</f>
        <v>0</v>
      </c>
      <c r="FA158" s="148">
        <f>EX158</f>
        <v>0</v>
      </c>
    </row>
    <row r="159" spans="1:157" ht="13.35" customHeight="1">
      <c r="A159" s="3"/>
      <c r="B159" s="4" t="s">
        <v>514</v>
      </c>
      <c r="C159" s="4"/>
      <c r="D159" s="92"/>
      <c r="E159" s="92" t="str">
        <f>IF(Model!E194&lt;&gt;"",-Model!E194,"")</f>
        <v/>
      </c>
      <c r="F159" s="92" t="str">
        <f>IF(Model!G194&lt;&gt;"",-Model!F194,"")</f>
        <v/>
      </c>
      <c r="G159" s="92" t="str">
        <f>IF(Model!G194&lt;&gt;"",-Model!G194,"")</f>
        <v/>
      </c>
      <c r="H159" s="92" t="str">
        <f>IF(Model!H194&lt;&gt;"",-Model!H194,"")</f>
        <v/>
      </c>
      <c r="I159" s="92" t="str">
        <f>IF(Model!J194&lt;&gt;"",-Model!I194,"")</f>
        <v/>
      </c>
      <c r="J159" s="92" t="str">
        <f>IF(Model!J194&lt;&gt;"",-Model!J194,"")</f>
        <v/>
      </c>
      <c r="K159" s="92" t="str">
        <f>IF(Model!K194&lt;&gt;"",-Model!K194,"")</f>
        <v/>
      </c>
      <c r="L159" s="92" t="str">
        <f>IF(Model!M194&lt;&gt;"",-Model!L194,"")</f>
        <v/>
      </c>
      <c r="M159" s="92" t="str">
        <f>IF(Model!M194&lt;&gt;"",-Model!M194,"")</f>
        <v/>
      </c>
      <c r="N159" s="92" t="str">
        <f>IF(Model!N194&lt;&gt;"",-Model!N194,"")</f>
        <v/>
      </c>
      <c r="O159" s="92" t="str">
        <f>IF(Model!P194&lt;&gt;"",-Model!O194,"")</f>
        <v/>
      </c>
      <c r="P159" s="92" t="str">
        <f>IF(Model!P194&lt;&gt;"",-Model!P194,"")</f>
        <v/>
      </c>
      <c r="Q159" s="92" t="str">
        <f>IF(Model!Q194&lt;&gt;"",-Model!Q194,"")</f>
        <v/>
      </c>
      <c r="R159" s="92" t="str">
        <f>IF(Model!S194&lt;&gt;"",-Model!R194,"")</f>
        <v/>
      </c>
      <c r="S159" s="92" t="str">
        <f>IF(Model!S194&lt;&gt;"",-Model!S194,"")</f>
        <v/>
      </c>
      <c r="T159" s="92" t="str">
        <f>IF(Model!T194&lt;&gt;"",-Model!T194,"")</f>
        <v/>
      </c>
      <c r="U159" s="92" t="str">
        <f>IF(Model!V194&lt;&gt;"",-Model!U194,"")</f>
        <v/>
      </c>
      <c r="V159" s="92" t="str">
        <f>IF(Model!V194&lt;&gt;"",-Model!V194,"")</f>
        <v/>
      </c>
      <c r="W159" s="92" t="str">
        <f>IF(Model!W194&lt;&gt;"",-Model!W194,"")</f>
        <v/>
      </c>
      <c r="X159" s="92" t="str">
        <f>IF(Model!Y194&lt;&gt;"",-Model!X194,"")</f>
        <v/>
      </c>
      <c r="Y159" s="92" t="str">
        <f>IF(Model!Y194&lt;&gt;"",-Model!Y194,"")</f>
        <v/>
      </c>
      <c r="Z159" s="92" t="str">
        <f>IF(Model!Z194&lt;&gt;"",-Model!Z194,"")</f>
        <v/>
      </c>
      <c r="AA159" s="92" t="str">
        <f>IF(Model!AB194&lt;&gt;"",-Model!AA194,"")</f>
        <v/>
      </c>
      <c r="AB159" s="92" t="str">
        <f>IF(Model!AB194&lt;&gt;"",-Model!AB194,"")</f>
        <v/>
      </c>
      <c r="AC159" s="92" t="str">
        <f>IF(Model!AC194&lt;&gt;"",-Model!AC194,"")</f>
        <v/>
      </c>
      <c r="AD159" s="92" t="str">
        <f>IF(Model!AE194&lt;&gt;"",-Model!AD194,"")</f>
        <v/>
      </c>
      <c r="AE159" s="92" t="str">
        <f>IF(Model!AE194&lt;&gt;"",-Model!AE194,"")</f>
        <v/>
      </c>
      <c r="AF159" s="92" t="str">
        <f>IF(Model!AF194&lt;&gt;"",-Model!AF194,"")</f>
        <v/>
      </c>
      <c r="AG159" s="92" t="str">
        <f>IF(Model!AH194&lt;&gt;"",-Model!AG194,"")</f>
        <v/>
      </c>
      <c r="AH159" s="92" t="str">
        <f>IF(Model!AH194&lt;&gt;"",-Model!AH194,"")</f>
        <v/>
      </c>
      <c r="AI159" s="92" t="str">
        <f>IF(Model!AI194&lt;&gt;"",-Model!AI194,"")</f>
        <v/>
      </c>
      <c r="AJ159" s="92" t="str">
        <f>IF(Model!AK194&lt;&gt;"",-Model!AJ194,"")</f>
        <v/>
      </c>
      <c r="AK159" s="92" t="str">
        <f>IF(Model!AK194&lt;&gt;"",-Model!AK194,"")</f>
        <v/>
      </c>
      <c r="AL159" s="92" t="str">
        <f>IF(Model!AL194&lt;&gt;"",-Model!AL194,"")</f>
        <v/>
      </c>
      <c r="AM159" s="92" t="str">
        <f>IF(Model!AN194&lt;&gt;"",-Model!AM194,"")</f>
        <v/>
      </c>
      <c r="AN159" s="92" t="str">
        <f>IF(Model!AN194&lt;&gt;"",-Model!AN194,"")</f>
        <v/>
      </c>
      <c r="AO159" s="92" t="str">
        <f>IF(Model!AO194&lt;&gt;"",-Model!AO194,"")</f>
        <v/>
      </c>
      <c r="AP159" s="92" t="str">
        <f>IF(Model!AQ194&lt;&gt;"",-Model!AP194,"")</f>
        <v/>
      </c>
      <c r="AQ159" s="92" t="str">
        <f>IF(Model!AQ194&lt;&gt;"",-Model!AQ194,"")</f>
        <v/>
      </c>
      <c r="AR159" s="92" t="str">
        <f>IF(Model!AR194&lt;&gt;"",-Model!AR194,"")</f>
        <v/>
      </c>
      <c r="AS159" s="92" t="str">
        <f>IF(Model!AT194&lt;&gt;"",-Model!AS194,"")</f>
        <v/>
      </c>
      <c r="AT159" s="92" t="str">
        <f>IF(Model!AT194&lt;&gt;"",-Model!AT194,"")</f>
        <v/>
      </c>
      <c r="AU159" s="92" t="str">
        <f>IF(Model!AU194&lt;&gt;"",-Model!AU194,"")</f>
        <v/>
      </c>
      <c r="AV159" s="92">
        <f>IF(Model!AW194&lt;&gt;"",-Model!AV194,"")</f>
        <v>0.51700000000000002</v>
      </c>
      <c r="AW159" s="92">
        <f>IF(Model!AW194&lt;&gt;"",-Model!AW194,"")</f>
        <v>0.51700000000000002</v>
      </c>
      <c r="AX159" s="92">
        <f>IF(Model!AX194&lt;&gt;"",-Model!AX194,"")</f>
        <v>1.329</v>
      </c>
      <c r="AY159" s="92">
        <f>IF(Model!AZ194&lt;&gt;"",-Model!AY194,"")</f>
        <v>0.75400000000000023</v>
      </c>
      <c r="AZ159" s="92">
        <f>IF(Model!AZ194&lt;&gt;"",-Model!AZ194,"")</f>
        <v>2.0830000000000002</v>
      </c>
      <c r="BA159" s="100">
        <v>-911.7</v>
      </c>
      <c r="BB159" s="92">
        <f>IF(Model!BC194&lt;&gt;"",Model!BB194,"")</f>
        <v>4.8999999999978172E-2</v>
      </c>
      <c r="BC159" s="100">
        <f>BA159</f>
        <v>-911.7</v>
      </c>
      <c r="BD159" s="100">
        <v>292</v>
      </c>
      <c r="BE159" s="92">
        <f>IF(Model!BF194&lt;&gt;"",Model!BE194,"")</f>
        <v>-3.8659999999999854</v>
      </c>
      <c r="BF159" s="100">
        <v>310</v>
      </c>
      <c r="BG159" s="100">
        <v>0</v>
      </c>
      <c r="BH159" s="92">
        <f>IF(Model!BI194&lt;&gt;"",Model!BH194,"")</f>
        <v>-16.222000000000001</v>
      </c>
      <c r="BI159" s="100">
        <v>0</v>
      </c>
      <c r="BJ159" s="100">
        <v>0</v>
      </c>
      <c r="BK159" s="92">
        <f>IF(Model!BL194&lt;&gt;"",Model!BK194,"")</f>
        <v>-772.601</v>
      </c>
      <c r="BL159" s="100">
        <v>0</v>
      </c>
      <c r="BM159" s="100">
        <v>0</v>
      </c>
      <c r="BN159" s="92">
        <f>IF(Model!BO194&lt;&gt;"",Model!BN194,"")</f>
        <v>0</v>
      </c>
      <c r="BO159" s="100">
        <v>0</v>
      </c>
      <c r="BP159" s="100"/>
      <c r="BQ159" s="92">
        <f>IF(Model!BR194&lt;&gt;"",Model!BQ194,"")</f>
        <v>0</v>
      </c>
      <c r="BR159" s="101"/>
      <c r="BS159" s="101"/>
      <c r="BT159" s="92">
        <f>IF(Model!BU194&lt;&gt;"",Model!BT194,"")</f>
        <v>0</v>
      </c>
      <c r="BU159" s="101"/>
      <c r="BV159" s="101"/>
      <c r="BW159" s="92">
        <f>IF(Model!BX194&lt;&gt;"",Model!BW194,"")</f>
        <v>0</v>
      </c>
      <c r="BX159" s="101"/>
      <c r="BY159" s="101"/>
      <c r="BZ159" s="92">
        <f>IF(Model!CA194&lt;&gt;"",Model!BZ194,"")</f>
        <v>0</v>
      </c>
      <c r="CA159" s="101"/>
      <c r="CB159" s="101"/>
      <c r="CC159" s="92">
        <f>IF(Model!CD194&lt;&gt;"",Model!CC194,"")</f>
        <v>0</v>
      </c>
      <c r="CD159" s="101"/>
      <c r="CE159" s="101"/>
      <c r="CF159" s="92">
        <f>IF(Model!CG194&lt;&gt;"",Model!CF194,"")</f>
        <v>0</v>
      </c>
      <c r="CG159" s="101"/>
      <c r="CH159" s="101"/>
      <c r="CI159" s="92">
        <f>IF(Model!CJ194&lt;&gt;"",Model!CI194,"")</f>
        <v>0</v>
      </c>
      <c r="CJ159" s="101"/>
      <c r="CK159" s="101"/>
      <c r="CL159" s="92">
        <f>IF(Model!CM194&lt;&gt;"",Model!CL194,"")</f>
        <v>0</v>
      </c>
      <c r="CM159" s="101"/>
      <c r="CN159" s="101"/>
      <c r="CO159" s="92">
        <f>IF(Model!CP194&lt;&gt;"",Model!CO194,"")</f>
        <v>0</v>
      </c>
      <c r="CP159" s="101"/>
      <c r="CQ159" s="101"/>
      <c r="CR159" s="92">
        <f>IF(Model!CS194&lt;&gt;"",Model!CR194,"")</f>
        <v>0</v>
      </c>
      <c r="CS159" s="101"/>
      <c r="CT159" s="101"/>
      <c r="CU159" s="92">
        <f>IF(Model!CV194&lt;&gt;"",Model!CU194,"")</f>
        <v>16.599999999999994</v>
      </c>
      <c r="CV159" s="101"/>
      <c r="CW159" s="101"/>
      <c r="CX159" s="92">
        <f>IF(Model!CY194&lt;&gt;"",Model!CX194,"")</f>
        <v>0</v>
      </c>
      <c r="CY159" s="101"/>
      <c r="CZ159" s="101"/>
      <c r="DA159" s="92">
        <f>IF(Model!DB194&lt;&gt;"",Model!DA194,"")</f>
        <v>-98.200000000000045</v>
      </c>
      <c r="DB159" s="101"/>
      <c r="DC159" s="101"/>
      <c r="DD159" s="92">
        <f>IF(Model!DE194&lt;&gt;"",Model!DD194,"")</f>
        <v>0</v>
      </c>
      <c r="DE159" s="148"/>
      <c r="DF159" s="101"/>
      <c r="DG159" s="92">
        <f>IF(Model!DH194&lt;&gt;"",Model!DG194,"")</f>
        <v>0</v>
      </c>
      <c r="DH159" s="148"/>
      <c r="DI159" s="101"/>
      <c r="DJ159" s="92">
        <f>IF(Model!DK194&lt;&gt;"",Model!DJ194,"")</f>
        <v>0</v>
      </c>
      <c r="DK159" s="148"/>
      <c r="DL159" s="101"/>
      <c r="DM159" s="92">
        <f>IF(Model!DN194&lt;&gt;"",Model!DM194,"")</f>
        <v>0</v>
      </c>
      <c r="DN159" s="148"/>
      <c r="DO159" s="101"/>
      <c r="DP159" s="92">
        <f>IF(Model!DQ194&lt;&gt;"",Model!DP194,"")</f>
        <v>-10534</v>
      </c>
      <c r="DQ159" s="148"/>
      <c r="DR159" s="101"/>
      <c r="DS159" s="92">
        <f>IF(Model!DT194&lt;&gt;"",Model!DS194,"")</f>
        <v>0</v>
      </c>
      <c r="DT159" s="148"/>
      <c r="DU159" s="101"/>
      <c r="DV159" s="92">
        <f>IF(Model!DW194&lt;&gt;"",Model!DV194,"")</f>
        <v>13</v>
      </c>
      <c r="DW159" s="148"/>
      <c r="DX159" s="101"/>
      <c r="DY159" s="92">
        <f>IF(Model!DZ194&lt;&gt;"",Model!DY194,"")</f>
        <v>0</v>
      </c>
      <c r="DZ159" s="148"/>
      <c r="EA159" s="101"/>
      <c r="EB159" s="92">
        <f>IF(Model!EC194&lt;&gt;"",Model!EB194,"")</f>
        <v>0</v>
      </c>
      <c r="EC159" s="148"/>
      <c r="ED159" s="101"/>
      <c r="EE159" s="92">
        <f>IF(Model!EF194&lt;&gt;"",Model!EE194,"")</f>
        <v>0</v>
      </c>
      <c r="EF159" s="148"/>
      <c r="EG159" s="101"/>
      <c r="EH159" s="92">
        <f>IF(Model!EI194&lt;&gt;"",Model!EH194,"")</f>
        <v>0</v>
      </c>
      <c r="EI159" s="148"/>
      <c r="EJ159" s="101"/>
      <c r="EK159" s="92">
        <f>IF(Model!EL194&lt;&gt;"",Model!EK194,"")</f>
        <v>0</v>
      </c>
      <c r="EL159" s="148"/>
      <c r="EM159" s="101"/>
      <c r="EN159" s="92">
        <f>IF(Model!EO194&lt;&gt;"",Model!EN194,"")</f>
        <v>0</v>
      </c>
      <c r="EO159" s="148"/>
      <c r="EP159" s="101"/>
      <c r="EQ159" s="92">
        <f>IF(Model!ER194&lt;&gt;"",Model!EQ194,"")</f>
        <v>0</v>
      </c>
      <c r="ER159" s="148"/>
      <c r="ES159" s="101"/>
      <c r="ET159" s="92">
        <f>IF(Model!EU194&lt;&gt;"",Model!ET194,"")</f>
        <v>0</v>
      </c>
      <c r="EU159" s="148"/>
      <c r="EV159" s="101"/>
      <c r="EW159" s="92">
        <f>IF(Model!EX194&lt;&gt;"",Model!EW194,"")</f>
        <v>0</v>
      </c>
      <c r="EX159" s="148"/>
      <c r="EY159" s="101"/>
      <c r="EZ159" s="92">
        <f>IF(Model!FA194&lt;&gt;"",Model!EZ194,"")</f>
        <v>0</v>
      </c>
      <c r="FA159" s="148"/>
    </row>
    <row r="160" spans="1:157" ht="13.35" customHeight="1">
      <c r="A160" s="3"/>
      <c r="B160" s="5" t="s">
        <v>602</v>
      </c>
      <c r="C160" s="5"/>
      <c r="D160" s="93"/>
      <c r="E160" s="93"/>
      <c r="F160" s="93"/>
      <c r="G160" s="93"/>
      <c r="H160" s="93"/>
      <c r="I160" s="93"/>
      <c r="J160" s="93"/>
      <c r="K160" s="93"/>
      <c r="L160" s="93"/>
      <c r="M160" s="93"/>
      <c r="N160" s="93"/>
      <c r="O160" s="93"/>
      <c r="P160" s="93"/>
      <c r="Q160" s="93"/>
      <c r="R160" s="93"/>
      <c r="S160" s="93"/>
      <c r="T160" s="93"/>
      <c r="U160" s="93"/>
      <c r="V160" s="93"/>
      <c r="W160" s="93"/>
      <c r="X160" s="93"/>
      <c r="Y160" s="93"/>
      <c r="Z160" s="93"/>
      <c r="AA160" s="93"/>
      <c r="AB160" s="93"/>
      <c r="AC160" s="93"/>
      <c r="AD160" s="93"/>
      <c r="AE160" s="93"/>
      <c r="AF160" s="93"/>
      <c r="AG160" s="93"/>
      <c r="AH160" s="93"/>
      <c r="AI160" s="93"/>
      <c r="AJ160" s="93"/>
      <c r="AK160" s="93"/>
      <c r="AL160" s="93"/>
      <c r="AM160" s="93"/>
      <c r="AN160" s="93"/>
      <c r="AO160" s="93"/>
      <c r="AP160" s="93"/>
      <c r="AQ160" s="93"/>
      <c r="AR160" s="93"/>
      <c r="AS160" s="93"/>
      <c r="AT160" s="93"/>
      <c r="AU160" s="93"/>
      <c r="AV160" s="93"/>
      <c r="AW160" s="93"/>
      <c r="AX160" s="93"/>
      <c r="AY160" s="93"/>
      <c r="AZ160" s="93"/>
      <c r="BA160" s="93"/>
      <c r="BB160" s="93"/>
      <c r="BC160" s="93"/>
      <c r="BD160" s="93"/>
      <c r="BE160" s="93"/>
      <c r="BF160" s="93"/>
      <c r="BG160" s="93"/>
      <c r="BH160" s="93"/>
      <c r="BI160" s="93"/>
      <c r="BJ160" s="93"/>
      <c r="BK160" s="93"/>
      <c r="BL160" s="93"/>
      <c r="BM160" s="93"/>
      <c r="BN160" s="93"/>
      <c r="BO160" s="93"/>
      <c r="BP160" s="93"/>
      <c r="BQ160" s="93"/>
      <c r="BR160" s="93"/>
      <c r="BS160" s="93"/>
      <c r="BT160" s="93"/>
      <c r="BU160" s="93"/>
      <c r="BV160" s="93"/>
      <c r="BW160" s="93"/>
      <c r="BX160" s="93"/>
      <c r="BY160" s="93"/>
      <c r="BZ160" s="93"/>
      <c r="CA160" s="93"/>
      <c r="CB160" s="93"/>
      <c r="CC160" s="93"/>
      <c r="CD160" s="93"/>
      <c r="CE160" s="93"/>
      <c r="CF160" s="93"/>
      <c r="CG160" s="93"/>
      <c r="CH160" s="93"/>
      <c r="CI160" s="93"/>
      <c r="CJ160" s="93"/>
      <c r="CK160" s="93"/>
      <c r="CL160" s="93"/>
      <c r="CM160" s="93"/>
      <c r="CN160" s="93"/>
      <c r="CO160" s="93"/>
      <c r="CP160" s="93"/>
      <c r="CQ160" s="93"/>
      <c r="CR160" s="93"/>
      <c r="CS160" s="93"/>
      <c r="CT160" s="93"/>
      <c r="CU160" s="93"/>
      <c r="CV160" s="93"/>
      <c r="CW160" s="93"/>
      <c r="CX160" s="93"/>
      <c r="CY160" s="93"/>
      <c r="CZ160" s="93"/>
      <c r="DA160" s="93"/>
      <c r="DB160" s="93"/>
      <c r="DC160" s="93"/>
      <c r="DD160" s="93"/>
      <c r="DE160" s="144"/>
      <c r="DF160" s="93"/>
      <c r="DG160" s="93"/>
      <c r="DH160" s="144"/>
      <c r="DI160" s="93"/>
      <c r="DJ160" s="93"/>
      <c r="DK160" s="144"/>
      <c r="DL160" s="93"/>
      <c r="DM160" s="93"/>
      <c r="DN160" s="144"/>
      <c r="DO160" s="93"/>
      <c r="DP160" s="93"/>
      <c r="DQ160" s="144"/>
      <c r="DR160" s="93"/>
      <c r="DS160" s="93"/>
      <c r="DT160" s="144"/>
      <c r="DU160" s="93"/>
      <c r="DV160" s="93"/>
      <c r="DW160" s="144"/>
      <c r="DX160" s="93"/>
      <c r="DY160" s="93"/>
      <c r="DZ160" s="144"/>
      <c r="EA160" s="93"/>
      <c r="EB160" s="93"/>
      <c r="EC160" s="144"/>
      <c r="ED160" s="93"/>
      <c r="EE160" s="93"/>
      <c r="EF160" s="144"/>
      <c r="EG160" s="93"/>
      <c r="EH160" s="93"/>
      <c r="EI160" s="144"/>
      <c r="EJ160" s="93"/>
      <c r="EK160" s="93"/>
      <c r="EL160" s="144"/>
      <c r="EM160" s="93"/>
      <c r="EN160" s="93"/>
      <c r="EO160" s="144"/>
      <c r="EP160" s="93"/>
      <c r="EQ160" s="93"/>
      <c r="ER160" s="144"/>
      <c r="ES160" s="93"/>
      <c r="ET160" s="93"/>
      <c r="EU160" s="144"/>
      <c r="EV160" s="93"/>
      <c r="EW160" s="93"/>
      <c r="EX160" s="144"/>
      <c r="EY160" s="93"/>
      <c r="EZ160" s="93"/>
      <c r="FA160" s="144"/>
    </row>
    <row r="161" spans="1:157" ht="13.35" customHeight="1">
      <c r="A161" s="3"/>
      <c r="B161" s="4" t="s">
        <v>513</v>
      </c>
      <c r="C161" s="4"/>
      <c r="D161" s="92"/>
      <c r="E161" s="92" t="str">
        <f>IF(Model!E196&lt;&gt;"",Model!E196,"")</f>
        <v/>
      </c>
      <c r="F161" s="92" t="str">
        <f>IF(Model!G196&lt;&gt;"",Model!F196,"")</f>
        <v/>
      </c>
      <c r="G161" s="92" t="str">
        <f>IF(Model!G196&lt;&gt;"",Model!G196,"")</f>
        <v/>
      </c>
      <c r="H161" s="92" t="str">
        <f>IF(Model!H196&lt;&gt;"",Model!H196,"")</f>
        <v/>
      </c>
      <c r="I161" s="92" t="str">
        <f>IF(Model!J196&lt;&gt;"",Model!I196,"")</f>
        <v/>
      </c>
      <c r="J161" s="92" t="str">
        <f>IF(Model!J196&lt;&gt;"",Model!J196,"")</f>
        <v/>
      </c>
      <c r="K161" s="92" t="str">
        <f>IF(Model!K196&lt;&gt;"",Model!K196,"")</f>
        <v/>
      </c>
      <c r="L161" s="92" t="str">
        <f>IF(Model!M196&lt;&gt;"",Model!L196,"")</f>
        <v/>
      </c>
      <c r="M161" s="92" t="str">
        <f>IF(Model!M196&lt;&gt;"",Model!M196,"")</f>
        <v/>
      </c>
      <c r="N161" s="92" t="str">
        <f>IF(Model!N196&lt;&gt;"",Model!N196,"")</f>
        <v/>
      </c>
      <c r="O161" s="92" t="str">
        <f>IF(Model!P196&lt;&gt;"",Model!O196,"")</f>
        <v/>
      </c>
      <c r="P161" s="92" t="str">
        <f>IF(Model!P196&lt;&gt;"",Model!P196,"")</f>
        <v/>
      </c>
      <c r="Q161" s="92" t="str">
        <f>IF(Model!Q196&lt;&gt;"",Model!Q196,"")</f>
        <v/>
      </c>
      <c r="R161" s="92" t="str">
        <f>IF(Model!S196&lt;&gt;"",Model!R196,"")</f>
        <v/>
      </c>
      <c r="S161" s="92" t="str">
        <f>IF(Model!S196&lt;&gt;"",Model!S196,"")</f>
        <v/>
      </c>
      <c r="T161" s="92" t="str">
        <f>IF(Model!T196&lt;&gt;"",Model!T196,"")</f>
        <v/>
      </c>
      <c r="U161" s="92" t="str">
        <f>IF(Model!V196&lt;&gt;"",Model!U196,"")</f>
        <v/>
      </c>
      <c r="V161" s="92" t="str">
        <f>IF(Model!V196&lt;&gt;"",Model!V196,"")</f>
        <v/>
      </c>
      <c r="W161" s="92" t="str">
        <f>IF(Model!W196&lt;&gt;"",Model!W196,"")</f>
        <v/>
      </c>
      <c r="X161" s="92" t="str">
        <f>IF(Model!Y196&lt;&gt;"",Model!X196,"")</f>
        <v/>
      </c>
      <c r="Y161" s="92" t="str">
        <f>IF(Model!Y196&lt;&gt;"",Model!Y196,"")</f>
        <v/>
      </c>
      <c r="Z161" s="92" t="str">
        <f>IF(Model!Z196&lt;&gt;"",Model!Z196,"")</f>
        <v/>
      </c>
      <c r="AA161" s="92" t="str">
        <f>IF(Model!AB196&lt;&gt;"",Model!AA196,"")</f>
        <v/>
      </c>
      <c r="AB161" s="92" t="str">
        <f>IF(Model!AB196&lt;&gt;"",Model!AB196,"")</f>
        <v/>
      </c>
      <c r="AC161" s="92" t="str">
        <f>IF(Model!AC196&lt;&gt;"",Model!AC196,"")</f>
        <v/>
      </c>
      <c r="AD161" s="92" t="str">
        <f>IF(Model!AE196&lt;&gt;"",Model!AD196,"")</f>
        <v/>
      </c>
      <c r="AE161" s="92" t="str">
        <f>IF(Model!AE196&lt;&gt;"",Model!AE196,"")</f>
        <v/>
      </c>
      <c r="AF161" s="92" t="str">
        <f>IF(Model!AF196&lt;&gt;"",Model!AF196,"")</f>
        <v/>
      </c>
      <c r="AG161" s="92" t="str">
        <f>IF(Model!AH196&lt;&gt;"",Model!AG196,"")</f>
        <v/>
      </c>
      <c r="AH161" s="92" t="str">
        <f>IF(Model!AH196&lt;&gt;"",Model!AH196,"")</f>
        <v/>
      </c>
      <c r="AI161" s="92" t="str">
        <f>IF(Model!AI196&lt;&gt;"",Model!AI196,"")</f>
        <v/>
      </c>
      <c r="AJ161" s="92" t="str">
        <f>IF(Model!AK196&lt;&gt;"",Model!AJ196,"")</f>
        <v/>
      </c>
      <c r="AK161" s="92" t="str">
        <f>IF(Model!AK196&lt;&gt;"",Model!AK196,"")</f>
        <v/>
      </c>
      <c r="AL161" s="92" t="str">
        <f>IF(Model!AL196&lt;&gt;"",Model!AL196,"")</f>
        <v/>
      </c>
      <c r="AM161" s="92" t="str">
        <f>IF(Model!AN196&lt;&gt;"",Model!AM196,"")</f>
        <v/>
      </c>
      <c r="AN161" s="92" t="str">
        <f>IF(Model!AN196&lt;&gt;"",Model!AN196,"")</f>
        <v/>
      </c>
      <c r="AO161" s="92" t="str">
        <f>IF(Model!AO196&lt;&gt;"",Model!AO196,"")</f>
        <v/>
      </c>
      <c r="AP161" s="92" t="str">
        <f>IF(Model!AQ196&lt;&gt;"",Model!AP196,"")</f>
        <v/>
      </c>
      <c r="AQ161" s="92" t="str">
        <f>IF(Model!AQ196&lt;&gt;"",Model!AQ196,"")</f>
        <v/>
      </c>
      <c r="AR161" s="92" t="str">
        <f>IF(Model!AR196&lt;&gt;"",Model!AR196,"")</f>
        <v/>
      </c>
      <c r="AS161" s="92">
        <f>IF(Model!AT196&lt;&gt;"",Model!AS196,"")</f>
        <v>7.5</v>
      </c>
      <c r="AT161" s="92">
        <f>IF(Model!AT196&lt;&gt;"",Model!AT196,"")</f>
        <v>7.5</v>
      </c>
      <c r="AU161" s="92" t="str">
        <f>IF(Model!AU196&lt;&gt;"",Model!AU196,"")</f>
        <v/>
      </c>
      <c r="AV161" s="92">
        <f>IF(Model!AW196&lt;&gt;"",Model!AV196,"")</f>
        <v>2.1320000000000001</v>
      </c>
      <c r="AW161" s="92">
        <f>IF(Model!AW196&lt;&gt;"",Model!AW196,"")</f>
        <v>2.1320000000000001</v>
      </c>
      <c r="AX161" s="92">
        <f>IF(Model!AX196&lt;&gt;"",Model!AX196,"")</f>
        <v>1.0720000000000001</v>
      </c>
      <c r="AY161" s="92">
        <f>IF(Model!AZ196&lt;&gt;"",Model!AY196,"")</f>
        <v>37.419999999999995</v>
      </c>
      <c r="AZ161" s="92">
        <f>IF(Model!AZ196&lt;&gt;"",Model!AZ196,"")</f>
        <v>38.491999999999997</v>
      </c>
      <c r="BA161" s="100">
        <v>0</v>
      </c>
      <c r="BB161" s="92">
        <f>IF(Model!BC196&lt;&gt;"",Model!BB196,"")</f>
        <v>0</v>
      </c>
      <c r="BC161" s="100">
        <v>0</v>
      </c>
      <c r="BD161" s="100">
        <v>0</v>
      </c>
      <c r="BE161" s="92">
        <f>IF(Model!BF196&lt;&gt;"",Model!BE196,"")</f>
        <v>0</v>
      </c>
      <c r="BF161" s="100">
        <v>0</v>
      </c>
      <c r="BG161" s="100"/>
      <c r="BH161" s="92">
        <f>IF(Model!BI196&lt;&gt;"",Model!BH196,"")</f>
        <v>0</v>
      </c>
      <c r="BI161" s="101"/>
      <c r="BJ161" s="101"/>
      <c r="BK161" s="92">
        <f>IF(Model!BL196&lt;&gt;"",Model!BK196,"")</f>
        <v>-0.40200000000000002</v>
      </c>
      <c r="BL161" s="101"/>
      <c r="BM161" s="101"/>
      <c r="BN161" s="92">
        <f>IF(Model!BO196&lt;&gt;"",Model!BN196,"")</f>
        <v>460.13499999999999</v>
      </c>
      <c r="BO161" s="101"/>
      <c r="BP161" s="101"/>
      <c r="BQ161" s="92">
        <f>IF(Model!BR196&lt;&gt;"",Model!BQ196,"")</f>
        <v>0</v>
      </c>
      <c r="BR161" s="101"/>
      <c r="BS161" s="101"/>
      <c r="BT161" s="92" t="str">
        <f>IF(Model!BU196&lt;&gt;"",Model!BT196,"")</f>
        <v/>
      </c>
      <c r="BU161" s="101"/>
      <c r="BV161" s="101"/>
      <c r="BW161" s="92">
        <f>IF(Model!BX196&lt;&gt;"",Model!BW196,"")</f>
        <v>0</v>
      </c>
      <c r="BX161" s="101"/>
      <c r="BY161" s="101"/>
      <c r="BZ161" s="92">
        <f>IF(Model!CA196&lt;&gt;"",Model!BZ196,"")</f>
        <v>0</v>
      </c>
      <c r="CA161" s="101"/>
      <c r="CB161" s="101"/>
      <c r="CC161" s="92">
        <f>IF(Model!CD196&lt;&gt;"",Model!CC196,"")</f>
        <v>0</v>
      </c>
      <c r="CD161" s="101"/>
      <c r="CE161" s="101"/>
      <c r="CF161" s="92">
        <f>IF(Model!CG196&lt;&gt;"",Model!CF196,"")</f>
        <v>0</v>
      </c>
      <c r="CG161" s="101"/>
      <c r="CH161" s="101"/>
      <c r="CI161" s="92">
        <f>IF(Model!CJ196&lt;&gt;"",Model!CI196,"")</f>
        <v>0</v>
      </c>
      <c r="CJ161" s="101"/>
      <c r="CK161" s="101"/>
      <c r="CL161" s="92">
        <f>IF(Model!CM196&lt;&gt;"",Model!CL196,"")</f>
        <v>0</v>
      </c>
      <c r="CM161" s="101"/>
      <c r="CN161" s="101"/>
      <c r="CO161" s="92">
        <f>IF(Model!CP196&lt;&gt;"",Model!CO196,"")</f>
        <v>0</v>
      </c>
      <c r="CP161" s="101"/>
      <c r="CQ161" s="101"/>
      <c r="CR161" s="92">
        <f>IF(Model!CS196&lt;&gt;"",Model!CR196,"")</f>
        <v>0</v>
      </c>
      <c r="CS161" s="101"/>
      <c r="CT161" s="101"/>
      <c r="CU161" s="92">
        <f>IF(Model!CV196&lt;&gt;"",Model!CU196,"")</f>
        <v>0</v>
      </c>
      <c r="CV161" s="101"/>
      <c r="CW161" s="101"/>
      <c r="CX161" s="92">
        <f>IF(Model!CY196&lt;&gt;"",Model!CX196,"")</f>
        <v>0</v>
      </c>
      <c r="CY161" s="101"/>
      <c r="CZ161" s="101"/>
      <c r="DA161" s="92">
        <f>IF(Model!DB196&lt;&gt;"",Model!DA196,"")</f>
        <v>0</v>
      </c>
      <c r="DB161" s="101"/>
      <c r="DC161" s="101"/>
      <c r="DD161" s="92">
        <f>IF(Model!DE196&lt;&gt;"",Model!DD196,"")</f>
        <v>0</v>
      </c>
      <c r="DE161" s="148"/>
      <c r="DF161" s="101"/>
      <c r="DG161" s="92">
        <f>IF(Model!DH196&lt;&gt;"",Model!DG196,"")</f>
        <v>0</v>
      </c>
      <c r="DH161" s="148"/>
      <c r="DI161" s="101"/>
      <c r="DJ161" s="92">
        <f>IF(Model!DK196&lt;&gt;"",Model!DJ196,"")</f>
        <v>0</v>
      </c>
      <c r="DK161" s="148"/>
      <c r="DL161" s="101"/>
      <c r="DM161" s="92">
        <f>IF(Model!DN196&lt;&gt;"",Model!DM196,"")</f>
        <v>0</v>
      </c>
      <c r="DN161" s="148"/>
      <c r="DO161" s="101"/>
      <c r="DP161" s="92">
        <f>IF(Model!DQ196&lt;&gt;"",Model!DP196,"")</f>
        <v>0</v>
      </c>
      <c r="DQ161" s="148"/>
      <c r="DR161" s="101"/>
      <c r="DS161" s="92">
        <f>IF(Model!DT196&lt;&gt;"",Model!DS196,"")</f>
        <v>0</v>
      </c>
      <c r="DT161" s="148"/>
      <c r="DU161" s="101"/>
      <c r="DV161" s="92">
        <f>IF(Model!DW196&lt;&gt;"",Model!DV196,"")</f>
        <v>180</v>
      </c>
      <c r="DW161" s="148"/>
      <c r="DX161" s="101"/>
      <c r="DY161" s="92">
        <f>IF(Model!DZ196&lt;&gt;"",Model!DY196,"")</f>
        <v>0</v>
      </c>
      <c r="DZ161" s="148"/>
      <c r="EA161" s="101"/>
      <c r="EB161" s="92">
        <f>IF(Model!EC196&lt;&gt;"",Model!EB196,"")</f>
        <v>0</v>
      </c>
      <c r="EC161" s="148"/>
      <c r="ED161" s="101"/>
      <c r="EE161" s="92">
        <f>IF(Model!EF196&lt;&gt;"",Model!EE196,"")</f>
        <v>0</v>
      </c>
      <c r="EF161" s="148"/>
      <c r="EG161" s="101"/>
      <c r="EH161" s="92">
        <f>IF(Model!EI196&lt;&gt;"",Model!EH196,"")</f>
        <v>0</v>
      </c>
      <c r="EI161" s="148"/>
      <c r="EJ161" s="101"/>
      <c r="EK161" s="92">
        <f>IF(Model!EL196&lt;&gt;"",Model!EK196,"")</f>
        <v>0</v>
      </c>
      <c r="EL161" s="148"/>
      <c r="EM161" s="101"/>
      <c r="EN161" s="92">
        <f>IF(Model!EO196&lt;&gt;"",Model!EN196,"")</f>
        <v>0</v>
      </c>
      <c r="EO161" s="148"/>
      <c r="EP161" s="101"/>
      <c r="EQ161" s="92">
        <f>IF(Model!ER196&lt;&gt;"",Model!EQ196,"")</f>
        <v>0</v>
      </c>
      <c r="ER161" s="148"/>
      <c r="ES161" s="101"/>
      <c r="ET161" s="92">
        <f>IF(Model!EU196&lt;&gt;"",Model!ET196,"")</f>
        <v>0</v>
      </c>
      <c r="EU161" s="148"/>
      <c r="EV161" s="101"/>
      <c r="EW161" s="92">
        <f>IF(Model!EX196&lt;&gt;"",Model!EW196,"")</f>
        <v>0</v>
      </c>
      <c r="EX161" s="148"/>
      <c r="EY161" s="101"/>
      <c r="EZ161" s="92">
        <f>IF(Model!FA196&lt;&gt;"",Model!EZ196,"")</f>
        <v>0</v>
      </c>
      <c r="FA161" s="148"/>
    </row>
    <row r="162" spans="1:157" ht="13.35" customHeight="1">
      <c r="A162" s="3"/>
      <c r="B162" s="4" t="s">
        <v>514</v>
      </c>
      <c r="C162" s="4"/>
      <c r="D162" s="92"/>
      <c r="E162" s="92" t="str">
        <f>IF(Model!E197&lt;&gt;"",Model!E197,"")</f>
        <v/>
      </c>
      <c r="F162" s="92" t="str">
        <f>IF(Model!G197&lt;&gt;"",Model!F197,"")</f>
        <v/>
      </c>
      <c r="G162" s="92" t="str">
        <f>IF(Model!G197&lt;&gt;"",Model!G197,"")</f>
        <v/>
      </c>
      <c r="H162" s="92" t="str">
        <f>IF(Model!H197&lt;&gt;"",Model!H197,"")</f>
        <v/>
      </c>
      <c r="I162" s="92" t="str">
        <f>IF(Model!J197&lt;&gt;"",Model!I197,"")</f>
        <v/>
      </c>
      <c r="J162" s="92" t="str">
        <f>IF(Model!J197&lt;&gt;"",Model!J197,"")</f>
        <v/>
      </c>
      <c r="K162" s="92" t="str">
        <f>IF(Model!K197&lt;&gt;"",Model!K197,"")</f>
        <v/>
      </c>
      <c r="L162" s="92" t="str">
        <f>IF(Model!M197&lt;&gt;"",Model!L197,"")</f>
        <v/>
      </c>
      <c r="M162" s="92" t="str">
        <f>IF(Model!M197&lt;&gt;"",Model!M197,"")</f>
        <v/>
      </c>
      <c r="N162" s="92" t="str">
        <f>IF(Model!N197&lt;&gt;"",Model!N197,"")</f>
        <v/>
      </c>
      <c r="O162" s="92" t="str">
        <f>IF(Model!P197&lt;&gt;"",Model!O197,"")</f>
        <v/>
      </c>
      <c r="P162" s="92" t="str">
        <f>IF(Model!P197&lt;&gt;"",Model!P197,"")</f>
        <v/>
      </c>
      <c r="Q162" s="92" t="str">
        <f>IF(Model!Q197&lt;&gt;"",Model!Q197,"")</f>
        <v/>
      </c>
      <c r="R162" s="92" t="str">
        <f>IF(Model!S197&lt;&gt;"",Model!R197,"")</f>
        <v/>
      </c>
      <c r="S162" s="92" t="str">
        <f>IF(Model!S197&lt;&gt;"",Model!S197,"")</f>
        <v/>
      </c>
      <c r="T162" s="92" t="str">
        <f>IF(Model!T197&lt;&gt;"",Model!T197,"")</f>
        <v/>
      </c>
      <c r="U162" s="92" t="str">
        <f>IF(Model!V197&lt;&gt;"",Model!U197,"")</f>
        <v/>
      </c>
      <c r="V162" s="92" t="str">
        <f>IF(Model!V197&lt;&gt;"",Model!V197,"")</f>
        <v/>
      </c>
      <c r="W162" s="92" t="str">
        <f>IF(Model!W197&lt;&gt;"",Model!W197,"")</f>
        <v/>
      </c>
      <c r="X162" s="92" t="str">
        <f>IF(Model!Y197&lt;&gt;"",Model!X197,"")</f>
        <v/>
      </c>
      <c r="Y162" s="92" t="str">
        <f>IF(Model!Y197&lt;&gt;"",Model!Y197,"")</f>
        <v/>
      </c>
      <c r="Z162" s="92" t="str">
        <f>IF(Model!Z197&lt;&gt;"",Model!Z197,"")</f>
        <v/>
      </c>
      <c r="AA162" s="92" t="str">
        <f>IF(Model!AB197&lt;&gt;"",Model!AA197,"")</f>
        <v/>
      </c>
      <c r="AB162" s="92" t="str">
        <f>IF(Model!AB197&lt;&gt;"",Model!AB197,"")</f>
        <v/>
      </c>
      <c r="AC162" s="92" t="str">
        <f>IF(Model!AC197&lt;&gt;"",Model!AC197,"")</f>
        <v/>
      </c>
      <c r="AD162" s="92" t="str">
        <f>IF(Model!AE197&lt;&gt;"",Model!AD197,"")</f>
        <v/>
      </c>
      <c r="AE162" s="92" t="str">
        <f>IF(Model!AE197&lt;&gt;"",Model!AE197,"")</f>
        <v/>
      </c>
      <c r="AF162" s="92" t="str">
        <f>IF(Model!AF197&lt;&gt;"",Model!AF197,"")</f>
        <v/>
      </c>
      <c r="AG162" s="92" t="str">
        <f>IF(Model!AH197&lt;&gt;"",Model!AG197,"")</f>
        <v/>
      </c>
      <c r="AH162" s="92" t="str">
        <f>IF(Model!AH197&lt;&gt;"",Model!AH197,"")</f>
        <v/>
      </c>
      <c r="AI162" s="92" t="str">
        <f>IF(Model!AI197&lt;&gt;"",Model!AI197,"")</f>
        <v/>
      </c>
      <c r="AJ162" s="92" t="str">
        <f>IF(Model!AK197&lt;&gt;"",Model!AJ197,"")</f>
        <v/>
      </c>
      <c r="AK162" s="92" t="str">
        <f>IF(Model!AK197&lt;&gt;"",Model!AK197,"")</f>
        <v/>
      </c>
      <c r="AL162" s="92" t="str">
        <f>IF(Model!AL197&lt;&gt;"",Model!AL197,"")</f>
        <v/>
      </c>
      <c r="AM162" s="92" t="str">
        <f>IF(Model!AN197&lt;&gt;"",Model!AM197,"")</f>
        <v/>
      </c>
      <c r="AN162" s="92" t="str">
        <f>IF(Model!AN197&lt;&gt;"",Model!AN197,"")</f>
        <v/>
      </c>
      <c r="AO162" s="92" t="str">
        <f>IF(Model!AO197&lt;&gt;"",Model!AO197,"")</f>
        <v/>
      </c>
      <c r="AP162" s="92" t="str">
        <f>IF(Model!AQ197&lt;&gt;"",Model!AP197,"")</f>
        <v/>
      </c>
      <c r="AQ162" s="92" t="str">
        <f>IF(Model!AQ197&lt;&gt;"",Model!AQ197,"")</f>
        <v/>
      </c>
      <c r="AR162" s="92" t="str">
        <f>IF(Model!AR197&lt;&gt;"",Model!AR197,"")</f>
        <v/>
      </c>
      <c r="AS162" s="92" t="str">
        <f>IF(Model!AT197&lt;&gt;"",Model!AS197,"")</f>
        <v/>
      </c>
      <c r="AT162" s="92" t="str">
        <f>IF(Model!AT197&lt;&gt;"",Model!AT197,"")</f>
        <v/>
      </c>
      <c r="AU162" s="92" t="str">
        <f>IF(Model!AU197&lt;&gt;"",Model!AU197,"")</f>
        <v/>
      </c>
      <c r="AV162" s="92">
        <f>IF(Model!AW197&lt;&gt;"",Model!AV197,"")</f>
        <v>0</v>
      </c>
      <c r="AW162" s="92">
        <f>IF(Model!AW197&lt;&gt;"",Model!AW197,"")</f>
        <v>0</v>
      </c>
      <c r="AX162" s="92">
        <f>IF(Model!AX197&lt;&gt;"",Model!AX197,"")</f>
        <v>1.1890000000000001</v>
      </c>
      <c r="AY162" s="92">
        <f>IF(Model!AZ197&lt;&gt;"",Model!AY197,"")</f>
        <v>-0.86099999999999999</v>
      </c>
      <c r="AZ162" s="92">
        <f>IF(Model!AZ197&lt;&gt;"",Model!AZ197,"")</f>
        <v>0.32800000000000001</v>
      </c>
      <c r="BA162" s="100">
        <v>0</v>
      </c>
      <c r="BB162" s="92">
        <f>IF(Model!BC197&lt;&gt;"",Model!BB197,"")</f>
        <v>0</v>
      </c>
      <c r="BC162" s="100">
        <v>0</v>
      </c>
      <c r="BD162" s="100">
        <v>0</v>
      </c>
      <c r="BE162" s="92">
        <f>IF(Model!BF197&lt;&gt;"",Model!BE197,"")</f>
        <v>0</v>
      </c>
      <c r="BF162" s="100">
        <v>0</v>
      </c>
      <c r="BG162" s="100"/>
      <c r="BH162" s="92">
        <f>IF(Model!BI197&lt;&gt;"",Model!BH197,"")</f>
        <v>0</v>
      </c>
      <c r="BI162" s="101"/>
      <c r="BJ162" s="101"/>
      <c r="BK162" s="92">
        <f>IF(Model!BL197&lt;&gt;"",Model!BK197,"")</f>
        <v>161.62700000000001</v>
      </c>
      <c r="BL162" s="101"/>
      <c r="BM162" s="101"/>
      <c r="BN162" s="92">
        <f>IF(Model!BO197&lt;&gt;"",Model!BN197,"")</f>
        <v>0</v>
      </c>
      <c r="BO162" s="101"/>
      <c r="BP162" s="101"/>
      <c r="BQ162" s="92">
        <f>IF(Model!BR197&lt;&gt;"",Model!BQ197,"")</f>
        <v>0</v>
      </c>
      <c r="BR162" s="101"/>
      <c r="BS162" s="101"/>
      <c r="BT162" s="92">
        <f>IF(Model!BU197&lt;&gt;"",Model!BT197,"")</f>
        <v>6.3629999999999924</v>
      </c>
      <c r="BU162" s="101"/>
      <c r="BV162" s="101"/>
      <c r="BW162" s="92">
        <f>IF(Model!BX197&lt;&gt;"",Model!BW197,"")</f>
        <v>0</v>
      </c>
      <c r="BX162" s="101"/>
      <c r="BY162" s="101"/>
      <c r="BZ162" s="92">
        <f>IF(Model!CA197&lt;&gt;"",Model!BZ197,"")</f>
        <v>0</v>
      </c>
      <c r="CA162" s="101"/>
      <c r="CB162" s="101"/>
      <c r="CC162" s="92">
        <f>IF(Model!CD197&lt;&gt;"",Model!CC197,"")</f>
        <v>0</v>
      </c>
      <c r="CD162" s="101"/>
      <c r="CE162" s="101"/>
      <c r="CF162" s="92">
        <f>IF(Model!CG197&lt;&gt;"",Model!CF197,"")</f>
        <v>0</v>
      </c>
      <c r="CG162" s="101"/>
      <c r="CH162" s="101"/>
      <c r="CI162" s="92">
        <f>IF(Model!CJ197&lt;&gt;"",Model!CI197,"")</f>
        <v>0</v>
      </c>
      <c r="CJ162" s="101"/>
      <c r="CK162" s="101"/>
      <c r="CL162" s="92">
        <f>IF(Model!CM197&lt;&gt;"",Model!CL197,"")</f>
        <v>0</v>
      </c>
      <c r="CM162" s="101"/>
      <c r="CN162" s="101"/>
      <c r="CO162" s="92">
        <f>IF(Model!CP197&lt;&gt;"",Model!CO197,"")</f>
        <v>0</v>
      </c>
      <c r="CP162" s="101"/>
      <c r="CQ162" s="101"/>
      <c r="CR162" s="92" t="str">
        <f>IF(Model!CS197&lt;&gt;"",Model!CR197,"")</f>
        <v/>
      </c>
      <c r="CS162" s="101"/>
      <c r="CT162" s="101"/>
      <c r="CU162" s="92">
        <f>IF(Model!CV197&lt;&gt;"",Model!CU197,"")</f>
        <v>0</v>
      </c>
      <c r="CV162" s="101"/>
      <c r="CW162" s="101"/>
      <c r="CX162" s="92">
        <f>IF(Model!CY197&lt;&gt;"",Model!CX197,"")</f>
        <v>0</v>
      </c>
      <c r="CY162" s="101"/>
      <c r="CZ162" s="101"/>
      <c r="DA162" s="92">
        <f>IF(Model!DB197&lt;&gt;"",Model!DA197,"")</f>
        <v>0</v>
      </c>
      <c r="DB162" s="101"/>
      <c r="DC162" s="101"/>
      <c r="DD162" s="92">
        <f>IF(Model!DE197&lt;&gt;"",Model!DD197,"")</f>
        <v>0</v>
      </c>
      <c r="DE162" s="148"/>
      <c r="DF162" s="101"/>
      <c r="DG162" s="92">
        <f>IF(Model!DH197&lt;&gt;"",Model!DG197,"")</f>
        <v>0</v>
      </c>
      <c r="DH162" s="148"/>
      <c r="DI162" s="101"/>
      <c r="DJ162" s="92">
        <f>IF(Model!DK197&lt;&gt;"",Model!DJ197,"")</f>
        <v>0</v>
      </c>
      <c r="DK162" s="148"/>
      <c r="DL162" s="101"/>
      <c r="DM162" s="92">
        <f>IF(Model!DN197&lt;&gt;"",Model!DM197,"")</f>
        <v>0</v>
      </c>
      <c r="DN162" s="148"/>
      <c r="DO162" s="101"/>
      <c r="DP162" s="92">
        <f>IF(Model!DQ197&lt;&gt;"",Model!DP197,"")</f>
        <v>0</v>
      </c>
      <c r="DQ162" s="148"/>
      <c r="DR162" s="101"/>
      <c r="DS162" s="92">
        <f>IF(Model!DT197&lt;&gt;"",Model!DS197,"")</f>
        <v>0</v>
      </c>
      <c r="DT162" s="148"/>
      <c r="DU162" s="101"/>
      <c r="DV162" s="92">
        <f>IF(Model!DW197&lt;&gt;"",Model!DV197,"")</f>
        <v>0</v>
      </c>
      <c r="DW162" s="148"/>
      <c r="DX162" s="101"/>
      <c r="DY162" s="92">
        <f>IF(Model!DZ197&lt;&gt;"",Model!DY197,"")</f>
        <v>0</v>
      </c>
      <c r="DZ162" s="148"/>
      <c r="EA162" s="101"/>
      <c r="EB162" s="92">
        <f>IF(Model!EC197&lt;&gt;"",Model!EB197,"")</f>
        <v>0</v>
      </c>
      <c r="EC162" s="148"/>
      <c r="ED162" s="101"/>
      <c r="EE162" s="92">
        <f>IF(Model!EF197&lt;&gt;"",Model!EE197,"")</f>
        <v>0</v>
      </c>
      <c r="EF162" s="148"/>
      <c r="EG162" s="101"/>
      <c r="EH162" s="92">
        <f>IF(Model!EI197&lt;&gt;"",Model!EH197,"")</f>
        <v>0</v>
      </c>
      <c r="EI162" s="148"/>
      <c r="EJ162" s="101"/>
      <c r="EK162" s="92">
        <f>IF(Model!EL197&lt;&gt;"",Model!EK197,"")</f>
        <v>0</v>
      </c>
      <c r="EL162" s="148"/>
      <c r="EM162" s="101"/>
      <c r="EN162" s="92">
        <f>IF(Model!EO197&lt;&gt;"",Model!EN197,"")</f>
        <v>0</v>
      </c>
      <c r="EO162" s="148"/>
      <c r="EP162" s="101"/>
      <c r="EQ162" s="92">
        <f>IF(Model!ER197&lt;&gt;"",Model!EQ197,"")</f>
        <v>0</v>
      </c>
      <c r="ER162" s="148"/>
      <c r="ES162" s="101"/>
      <c r="ET162" s="92">
        <f>IF(Model!EU197&lt;&gt;"",Model!ET197,"")</f>
        <v>0</v>
      </c>
      <c r="EU162" s="148"/>
      <c r="EV162" s="101"/>
      <c r="EW162" s="92">
        <f>IF(Model!EX197&lt;&gt;"",Model!EW197,"")</f>
        <v>0</v>
      </c>
      <c r="EX162" s="148"/>
      <c r="EY162" s="101"/>
      <c r="EZ162" s="92">
        <f>IF(Model!FA197&lt;&gt;"",Model!EZ197,"")</f>
        <v>0</v>
      </c>
      <c r="FA162" s="148"/>
    </row>
    <row r="163" spans="1:157" ht="13.35" customHeight="1">
      <c r="A163" s="3"/>
      <c r="B163" s="5" t="s">
        <v>515</v>
      </c>
      <c r="C163" s="5"/>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c r="AF163" s="93"/>
      <c r="AG163" s="93"/>
      <c r="AH163" s="93"/>
      <c r="AI163" s="93"/>
      <c r="AJ163" s="93"/>
      <c r="AK163" s="93"/>
      <c r="AL163" s="93"/>
      <c r="AM163" s="93"/>
      <c r="AN163" s="93"/>
      <c r="AO163" s="93"/>
      <c r="AP163" s="93"/>
      <c r="AQ163" s="93"/>
      <c r="AR163" s="93"/>
      <c r="AS163" s="93"/>
      <c r="AT163" s="93"/>
      <c r="AU163" s="93"/>
      <c r="AV163" s="93"/>
      <c r="AW163" s="93"/>
      <c r="AX163" s="93"/>
      <c r="AY163" s="93"/>
      <c r="AZ163" s="93"/>
      <c r="BA163" s="93"/>
      <c r="BB163" s="93"/>
      <c r="BC163" s="93"/>
      <c r="BD163" s="93"/>
      <c r="BE163" s="93"/>
      <c r="BF163" s="93"/>
      <c r="BG163" s="93"/>
      <c r="BH163" s="93"/>
      <c r="BI163" s="93"/>
      <c r="BJ163" s="93"/>
      <c r="BK163" s="93"/>
      <c r="BL163" s="93"/>
      <c r="BM163" s="93"/>
      <c r="BN163" s="93"/>
      <c r="BO163" s="93"/>
      <c r="BP163" s="93"/>
      <c r="BQ163" s="93"/>
      <c r="BR163" s="93"/>
      <c r="BS163" s="93"/>
      <c r="BT163" s="93"/>
      <c r="BU163" s="93"/>
      <c r="BV163" s="93"/>
      <c r="BW163" s="93"/>
      <c r="BX163" s="93"/>
      <c r="BY163" s="93"/>
      <c r="BZ163" s="93"/>
      <c r="CA163" s="93"/>
      <c r="CB163" s="93"/>
      <c r="CC163" s="93"/>
      <c r="CD163" s="93"/>
      <c r="CE163" s="93"/>
      <c r="CF163" s="93"/>
      <c r="CG163" s="93"/>
      <c r="CH163" s="93"/>
      <c r="CI163" s="93"/>
      <c r="CJ163" s="93"/>
      <c r="CK163" s="93"/>
      <c r="CL163" s="93"/>
      <c r="CM163" s="93"/>
      <c r="CN163" s="93"/>
      <c r="CO163" s="93"/>
      <c r="CP163" s="93"/>
      <c r="CQ163" s="93"/>
      <c r="CR163" s="93"/>
      <c r="CS163" s="93"/>
      <c r="CT163" s="93"/>
      <c r="CU163" s="93"/>
      <c r="CV163" s="93"/>
      <c r="CW163" s="93"/>
      <c r="CX163" s="93"/>
      <c r="CY163" s="93"/>
      <c r="CZ163" s="93"/>
      <c r="DA163" s="93"/>
      <c r="DB163" s="93"/>
      <c r="DC163" s="93"/>
      <c r="DD163" s="93"/>
      <c r="DE163" s="144"/>
      <c r="DF163" s="93"/>
      <c r="DG163" s="93"/>
      <c r="DH163" s="144"/>
      <c r="DI163" s="93"/>
      <c r="DJ163" s="93"/>
      <c r="DK163" s="144"/>
      <c r="DL163" s="93"/>
      <c r="DM163" s="93"/>
      <c r="DN163" s="144"/>
      <c r="DO163" s="93"/>
      <c r="DP163" s="93"/>
      <c r="DQ163" s="144"/>
      <c r="DR163" s="93"/>
      <c r="DS163" s="93"/>
      <c r="DT163" s="144"/>
      <c r="DU163" s="93"/>
      <c r="DV163" s="93"/>
      <c r="DW163" s="144"/>
      <c r="DX163" s="93"/>
      <c r="DY163" s="93"/>
      <c r="DZ163" s="144"/>
      <c r="EA163" s="93"/>
      <c r="EB163" s="93"/>
      <c r="EC163" s="144"/>
      <c r="ED163" s="93"/>
      <c r="EE163" s="93"/>
      <c r="EF163" s="144"/>
      <c r="EG163" s="93"/>
      <c r="EH163" s="93"/>
      <c r="EI163" s="144"/>
      <c r="EJ163" s="93"/>
      <c r="EK163" s="93"/>
      <c r="EL163" s="144"/>
      <c r="EM163" s="93"/>
      <c r="EN163" s="93"/>
      <c r="EO163" s="144"/>
      <c r="EP163" s="93"/>
      <c r="EQ163" s="93"/>
      <c r="ER163" s="144"/>
      <c r="ES163" s="93"/>
      <c r="ET163" s="93"/>
      <c r="EU163" s="144"/>
      <c r="EV163" s="93"/>
      <c r="EW163" s="93"/>
      <c r="EX163" s="144"/>
      <c r="EY163" s="93"/>
      <c r="EZ163" s="93"/>
      <c r="FA163" s="144"/>
    </row>
    <row r="164" spans="1:157" ht="13.35" customHeight="1">
      <c r="A164" s="3"/>
      <c r="B164" s="54" t="s">
        <v>516</v>
      </c>
      <c r="C164" s="54"/>
      <c r="D164" s="54"/>
      <c r="E164" s="92" t="str">
        <f t="shared" ref="E164:AU164" si="151">IF(OR(E165&lt;&gt;"",E166&lt;&gt;"",E167&lt;&gt;""),SUM(E165:E167),"")</f>
        <v/>
      </c>
      <c r="F164" s="92" t="str">
        <f t="shared" si="151"/>
        <v/>
      </c>
      <c r="G164" s="92" t="str">
        <f t="shared" si="151"/>
        <v/>
      </c>
      <c r="H164" s="92" t="str">
        <f t="shared" si="151"/>
        <v/>
      </c>
      <c r="I164" s="92" t="str">
        <f t="shared" si="151"/>
        <v/>
      </c>
      <c r="J164" s="92" t="str">
        <f t="shared" si="151"/>
        <v/>
      </c>
      <c r="K164" s="92" t="str">
        <f t="shared" si="151"/>
        <v/>
      </c>
      <c r="L164" s="92" t="str">
        <f t="shared" si="151"/>
        <v/>
      </c>
      <c r="M164" s="92" t="str">
        <f t="shared" si="151"/>
        <v/>
      </c>
      <c r="N164" s="92" t="str">
        <f t="shared" si="151"/>
        <v/>
      </c>
      <c r="O164" s="92" t="str">
        <f t="shared" si="151"/>
        <v/>
      </c>
      <c r="P164" s="92" t="str">
        <f t="shared" si="151"/>
        <v/>
      </c>
      <c r="Q164" s="92" t="str">
        <f t="shared" si="151"/>
        <v/>
      </c>
      <c r="R164" s="92" t="str">
        <f t="shared" si="151"/>
        <v/>
      </c>
      <c r="S164" s="92" t="str">
        <f t="shared" si="151"/>
        <v/>
      </c>
      <c r="T164" s="92" t="str">
        <f t="shared" si="151"/>
        <v/>
      </c>
      <c r="U164" s="92" t="str">
        <f t="shared" si="151"/>
        <v/>
      </c>
      <c r="V164" s="92" t="str">
        <f t="shared" si="151"/>
        <v/>
      </c>
      <c r="W164" s="92" t="str">
        <f t="shared" si="151"/>
        <v/>
      </c>
      <c r="X164" s="92" t="str">
        <f t="shared" si="151"/>
        <v/>
      </c>
      <c r="Y164" s="92" t="str">
        <f t="shared" si="151"/>
        <v/>
      </c>
      <c r="Z164" s="92" t="str">
        <f t="shared" si="151"/>
        <v/>
      </c>
      <c r="AA164" s="92" t="str">
        <f t="shared" si="151"/>
        <v/>
      </c>
      <c r="AB164" s="92" t="str">
        <f t="shared" si="151"/>
        <v/>
      </c>
      <c r="AC164" s="92" t="str">
        <f t="shared" si="151"/>
        <v/>
      </c>
      <c r="AD164" s="92" t="str">
        <f t="shared" si="151"/>
        <v/>
      </c>
      <c r="AE164" s="92" t="str">
        <f t="shared" si="151"/>
        <v/>
      </c>
      <c r="AF164" s="92" t="str">
        <f t="shared" si="151"/>
        <v/>
      </c>
      <c r="AG164" s="92" t="str">
        <f t="shared" si="151"/>
        <v/>
      </c>
      <c r="AH164" s="92" t="str">
        <f t="shared" si="151"/>
        <v/>
      </c>
      <c r="AI164" s="92" t="str">
        <f t="shared" si="151"/>
        <v/>
      </c>
      <c r="AJ164" s="92">
        <f t="shared" si="151"/>
        <v>0</v>
      </c>
      <c r="AK164" s="92">
        <f t="shared" si="151"/>
        <v>0</v>
      </c>
      <c r="AL164" s="92" t="str">
        <f t="shared" si="151"/>
        <v/>
      </c>
      <c r="AM164" s="92">
        <f t="shared" si="151"/>
        <v>0</v>
      </c>
      <c r="AN164" s="92">
        <f t="shared" si="151"/>
        <v>0</v>
      </c>
      <c r="AO164" s="92" t="str">
        <f t="shared" si="151"/>
        <v/>
      </c>
      <c r="AP164" s="92">
        <f t="shared" si="151"/>
        <v>0</v>
      </c>
      <c r="AQ164" s="92">
        <f t="shared" si="151"/>
        <v>0</v>
      </c>
      <c r="AR164" s="92" t="str">
        <f t="shared" si="151"/>
        <v/>
      </c>
      <c r="AS164" s="92">
        <f t="shared" si="151"/>
        <v>0</v>
      </c>
      <c r="AT164" s="92">
        <f t="shared" si="151"/>
        <v>0</v>
      </c>
      <c r="AU164" s="92" t="str">
        <f t="shared" si="151"/>
        <v/>
      </c>
      <c r="AV164" s="92">
        <v>0</v>
      </c>
      <c r="AW164" s="92">
        <v>0</v>
      </c>
      <c r="AX164" s="92">
        <f>IF(OR(AX165&lt;&gt;"",AX166&lt;&gt;"",AX167&lt;&gt;""),SUM(AX165:AX167),"")</f>
        <v>0</v>
      </c>
      <c r="AY164" s="92">
        <v>0</v>
      </c>
      <c r="AZ164" s="92">
        <v>0</v>
      </c>
      <c r="BA164" s="92" t="str">
        <f t="shared" ref="BA164:CF164" si="152">IF(OR(BA165&lt;&gt;"",BA166&lt;&gt;"",BA167&lt;&gt;""),SUM(BA165:BA167),"")</f>
        <v/>
      </c>
      <c r="BB164" s="92">
        <f t="shared" si="152"/>
        <v>0</v>
      </c>
      <c r="BC164" s="92" t="str">
        <f t="shared" si="152"/>
        <v/>
      </c>
      <c r="BD164" s="92" t="str">
        <f t="shared" si="152"/>
        <v/>
      </c>
      <c r="BE164" s="92">
        <f t="shared" si="152"/>
        <v>0</v>
      </c>
      <c r="BF164" s="92" t="str">
        <f t="shared" si="152"/>
        <v/>
      </c>
      <c r="BG164" s="92" t="str">
        <f t="shared" si="152"/>
        <v/>
      </c>
      <c r="BH164" s="92">
        <f t="shared" si="152"/>
        <v>-37.109000000000002</v>
      </c>
      <c r="BI164" s="92" t="str">
        <f t="shared" si="152"/>
        <v/>
      </c>
      <c r="BJ164" s="92" t="str">
        <f t="shared" si="152"/>
        <v/>
      </c>
      <c r="BK164" s="92">
        <f t="shared" si="152"/>
        <v>0</v>
      </c>
      <c r="BL164" s="92" t="str">
        <f t="shared" si="152"/>
        <v/>
      </c>
      <c r="BM164" s="92" t="str">
        <f t="shared" si="152"/>
        <v/>
      </c>
      <c r="BN164" s="92">
        <f t="shared" si="152"/>
        <v>0.23600000000000065</v>
      </c>
      <c r="BO164" s="92" t="str">
        <f t="shared" si="152"/>
        <v/>
      </c>
      <c r="BP164" s="92" t="str">
        <f t="shared" si="152"/>
        <v/>
      </c>
      <c r="BQ164" s="92">
        <f t="shared" si="152"/>
        <v>-8.548</v>
      </c>
      <c r="BR164" s="92" t="str">
        <f t="shared" si="152"/>
        <v/>
      </c>
      <c r="BS164" s="92" t="str">
        <f t="shared" si="152"/>
        <v/>
      </c>
      <c r="BT164" s="92">
        <f t="shared" si="152"/>
        <v>-79.305999999999997</v>
      </c>
      <c r="BU164" s="92" t="str">
        <f t="shared" si="152"/>
        <v/>
      </c>
      <c r="BV164" s="92" t="str">
        <f t="shared" si="152"/>
        <v/>
      </c>
      <c r="BW164" s="92">
        <f t="shared" si="152"/>
        <v>-26.577999999999999</v>
      </c>
      <c r="BX164" s="92" t="str">
        <f t="shared" si="152"/>
        <v/>
      </c>
      <c r="BY164" s="92" t="str">
        <f t="shared" si="152"/>
        <v/>
      </c>
      <c r="BZ164" s="92">
        <f t="shared" si="152"/>
        <v>14.281999999999996</v>
      </c>
      <c r="CA164" s="92" t="str">
        <f t="shared" si="152"/>
        <v/>
      </c>
      <c r="CB164" s="92"/>
      <c r="CC164" s="92">
        <f t="shared" si="152"/>
        <v>-23.157000000000004</v>
      </c>
      <c r="CD164" s="92"/>
      <c r="CE164" s="92" t="str">
        <f t="shared" si="152"/>
        <v/>
      </c>
      <c r="CF164" s="92">
        <f t="shared" si="152"/>
        <v>-9.6579999999999995</v>
      </c>
      <c r="CG164" s="92" t="str">
        <f t="shared" ref="CG164:CM164" si="153">IF(OR(CG165&lt;&gt;"",CG166&lt;&gt;"",CG167&lt;&gt;""),SUM(CG165:CG167),"")</f>
        <v/>
      </c>
      <c r="CH164" s="92" t="str">
        <f t="shared" si="153"/>
        <v/>
      </c>
      <c r="CI164" s="92">
        <f t="shared" si="153"/>
        <v>-8.7999999999999989</v>
      </c>
      <c r="CJ164" s="92" t="str">
        <f t="shared" si="153"/>
        <v/>
      </c>
      <c r="CK164" s="92" t="str">
        <f t="shared" si="153"/>
        <v/>
      </c>
      <c r="CL164" s="92">
        <f t="shared" si="153"/>
        <v>-11.7</v>
      </c>
      <c r="CM164" s="92" t="str">
        <f t="shared" si="153"/>
        <v/>
      </c>
      <c r="CN164" s="92" t="str">
        <f t="shared" ref="CN164:DQ164" si="154">IF(OR(CN165&lt;&gt;"",CN166&lt;&gt;"",CN167&lt;&gt;""),SUM(CN165:CN167),"")</f>
        <v/>
      </c>
      <c r="CO164" s="92">
        <f t="shared" si="154"/>
        <v>-48</v>
      </c>
      <c r="CP164" s="92" t="str">
        <f t="shared" si="154"/>
        <v/>
      </c>
      <c r="CQ164" s="92" t="str">
        <f t="shared" si="154"/>
        <v/>
      </c>
      <c r="CR164" s="92">
        <f t="shared" si="154"/>
        <v>-66</v>
      </c>
      <c r="CS164" s="92" t="str">
        <f t="shared" si="154"/>
        <v/>
      </c>
      <c r="CT164" s="92" t="str">
        <f t="shared" si="154"/>
        <v/>
      </c>
      <c r="CU164" s="92">
        <f t="shared" si="154"/>
        <v>-70.599999999999994</v>
      </c>
      <c r="CV164" s="92" t="str">
        <f t="shared" si="154"/>
        <v/>
      </c>
      <c r="CW164" s="92" t="str">
        <f t="shared" si="154"/>
        <v/>
      </c>
      <c r="CX164" s="92">
        <f t="shared" si="154"/>
        <v>57.4</v>
      </c>
      <c r="CY164" s="92" t="str">
        <f t="shared" si="154"/>
        <v/>
      </c>
      <c r="CZ164" s="92" t="str">
        <f t="shared" si="154"/>
        <v/>
      </c>
      <c r="DA164" s="92">
        <f t="shared" si="154"/>
        <v>108.8</v>
      </c>
      <c r="DB164" s="92" t="str">
        <f t="shared" si="154"/>
        <v/>
      </c>
      <c r="DC164" s="92" t="str">
        <f t="shared" si="154"/>
        <v/>
      </c>
      <c r="DD164" s="92">
        <f t="shared" si="154"/>
        <v>0</v>
      </c>
      <c r="DE164" s="144" t="str">
        <f t="shared" si="154"/>
        <v/>
      </c>
      <c r="DF164" s="92" t="str">
        <f t="shared" si="154"/>
        <v/>
      </c>
      <c r="DG164" s="92">
        <f t="shared" si="154"/>
        <v>0</v>
      </c>
      <c r="DH164" s="144" t="str">
        <f t="shared" si="154"/>
        <v/>
      </c>
      <c r="DI164" s="92"/>
      <c r="DJ164" s="92"/>
      <c r="DK164" s="144"/>
      <c r="DL164" s="92" t="str">
        <f t="shared" si="154"/>
        <v/>
      </c>
      <c r="DM164" s="92">
        <f t="shared" si="154"/>
        <v>-144.1</v>
      </c>
      <c r="DN164" s="144" t="str">
        <f t="shared" si="154"/>
        <v/>
      </c>
      <c r="DO164" s="92" t="str">
        <f t="shared" si="154"/>
        <v/>
      </c>
      <c r="DP164" s="92">
        <f t="shared" si="154"/>
        <v>10362.900000000001</v>
      </c>
      <c r="DQ164" s="144" t="str">
        <f t="shared" si="154"/>
        <v/>
      </c>
      <c r="DR164" s="92" t="str">
        <f t="shared" ref="DR164:DZ164" si="155">IF(OR(DR165&lt;&gt;"",DR166&lt;&gt;"",DR167&lt;&gt;""),SUM(DR165:DR167),"")</f>
        <v/>
      </c>
      <c r="DS164" s="92">
        <f t="shared" si="155"/>
        <v>-182</v>
      </c>
      <c r="DT164" s="144" t="str">
        <f t="shared" si="155"/>
        <v/>
      </c>
      <c r="DU164" s="92" t="str">
        <f t="shared" si="155"/>
        <v/>
      </c>
      <c r="DV164" s="92">
        <f>IF(OR(DV165&lt;&gt;"",DV166&lt;&gt;"",DV167&lt;&gt;""),SUM(DV165:DV167),"")</f>
        <v>-207</v>
      </c>
      <c r="DW164" s="144" t="str">
        <f>IF(OR(DW165&lt;&gt;"",DW166&lt;&gt;"",DW167&lt;&gt;""),SUM(DW165:DW167),"")</f>
        <v/>
      </c>
      <c r="DX164" s="92" t="str">
        <f t="shared" si="155"/>
        <v/>
      </c>
      <c r="DY164" s="92">
        <f t="shared" si="155"/>
        <v>-200</v>
      </c>
      <c r="DZ164" s="144" t="str">
        <f t="shared" si="155"/>
        <v/>
      </c>
      <c r="EA164" s="92" t="str">
        <f t="shared" ref="EA164:EF164" si="156">IF(OR(EA165&lt;&gt;"",EA166&lt;&gt;"",EA167&lt;&gt;""),SUM(EA165:EA167),"")</f>
        <v/>
      </c>
      <c r="EB164" s="92">
        <f t="shared" si="156"/>
        <v>-250</v>
      </c>
      <c r="EC164" s="144" t="str">
        <f t="shared" si="156"/>
        <v/>
      </c>
      <c r="ED164" s="92" t="str">
        <f t="shared" si="156"/>
        <v/>
      </c>
      <c r="EE164" s="92">
        <f t="shared" si="156"/>
        <v>-257.5</v>
      </c>
      <c r="EF164" s="144" t="str">
        <f t="shared" si="156"/>
        <v/>
      </c>
      <c r="EG164" s="92" t="str">
        <f t="shared" ref="EG164:EL164" si="157">IF(OR(EG165&lt;&gt;"",EG166&lt;&gt;"",EG167&lt;&gt;""),SUM(EG165:EG167),"")</f>
        <v/>
      </c>
      <c r="EH164" s="92">
        <f t="shared" si="157"/>
        <v>-265.22500000000002</v>
      </c>
      <c r="EI164" s="144" t="str">
        <f t="shared" si="157"/>
        <v/>
      </c>
      <c r="EJ164" s="92" t="str">
        <f t="shared" si="157"/>
        <v/>
      </c>
      <c r="EK164" s="92">
        <f t="shared" si="157"/>
        <v>-273.18175000000002</v>
      </c>
      <c r="EL164" s="144" t="str">
        <f t="shared" si="157"/>
        <v/>
      </c>
      <c r="EM164" s="92" t="str">
        <f t="shared" ref="EM164:ER164" si="158">IF(OR(EM165&lt;&gt;"",EM166&lt;&gt;"",EM167&lt;&gt;""),SUM(EM165:EM167),"")</f>
        <v/>
      </c>
      <c r="EN164" s="92">
        <f t="shared" si="158"/>
        <v>-281.37720250000001</v>
      </c>
      <c r="EO164" s="144" t="str">
        <f t="shared" si="158"/>
        <v/>
      </c>
      <c r="EP164" s="92" t="str">
        <f t="shared" si="158"/>
        <v/>
      </c>
      <c r="EQ164" s="92">
        <f t="shared" si="158"/>
        <v>-289.81851857500004</v>
      </c>
      <c r="ER164" s="144" t="str">
        <f t="shared" si="158"/>
        <v/>
      </c>
      <c r="ES164" s="92" t="str">
        <f t="shared" ref="ES164:FA164" si="159">IF(OR(ES165&lt;&gt;"",ES166&lt;&gt;"",ES167&lt;&gt;""),SUM(ES165:ES167),"")</f>
        <v/>
      </c>
      <c r="ET164" s="92">
        <f t="shared" si="159"/>
        <v>-298.51307413225004</v>
      </c>
      <c r="EU164" s="144" t="str">
        <f t="shared" si="159"/>
        <v/>
      </c>
      <c r="EV164" s="92" t="str">
        <f t="shared" si="159"/>
        <v/>
      </c>
      <c r="EW164" s="92">
        <f t="shared" si="159"/>
        <v>-307.46846635621756</v>
      </c>
      <c r="EX164" s="144" t="str">
        <f t="shared" si="159"/>
        <v/>
      </c>
      <c r="EY164" s="92" t="str">
        <f t="shared" si="159"/>
        <v/>
      </c>
      <c r="EZ164" s="92">
        <f t="shared" si="159"/>
        <v>-316.69252034690408</v>
      </c>
      <c r="FA164" s="144" t="str">
        <f t="shared" si="159"/>
        <v/>
      </c>
    </row>
    <row r="165" spans="1:157" ht="13.35" customHeight="1">
      <c r="A165" s="3"/>
      <c r="B165" s="54" t="s">
        <v>517</v>
      </c>
      <c r="C165" s="54"/>
      <c r="D165" s="3"/>
      <c r="E165" s="92" t="str">
        <f>IF(Model!E199&lt;&gt;"",Model!E199,"")</f>
        <v/>
      </c>
      <c r="F165" s="92" t="str">
        <f>IF(Model!G199&lt;&gt;"",Model!F199,"")</f>
        <v/>
      </c>
      <c r="G165" s="92" t="str">
        <f>IF(Model!G199&lt;&gt;"",Model!G199,"")</f>
        <v/>
      </c>
      <c r="H165" s="92" t="str">
        <f>IF(Model!H199&lt;&gt;"",Model!H199,"")</f>
        <v/>
      </c>
      <c r="I165" s="92" t="str">
        <f>IF(Model!J199&lt;&gt;"",Model!I199,"")</f>
        <v/>
      </c>
      <c r="J165" s="92" t="str">
        <f>IF(Model!J199&lt;&gt;"",Model!J199,"")</f>
        <v/>
      </c>
      <c r="K165" s="92" t="str">
        <f>IF(Model!K199&lt;&gt;"",Model!K199,"")</f>
        <v/>
      </c>
      <c r="L165" s="92" t="str">
        <f>IF(Model!M199&lt;&gt;"",Model!L199,"")</f>
        <v/>
      </c>
      <c r="M165" s="92" t="str">
        <f>IF(Model!M199&lt;&gt;"",Model!M199,"")</f>
        <v/>
      </c>
      <c r="N165" s="92" t="str">
        <f>IF(Model!N199&lt;&gt;"",Model!N199,"")</f>
        <v/>
      </c>
      <c r="O165" s="92" t="str">
        <f>IF(Model!P199&lt;&gt;"",Model!O199,"")</f>
        <v/>
      </c>
      <c r="P165" s="92" t="str">
        <f>IF(Model!P199&lt;&gt;"",Model!P199,"")</f>
        <v/>
      </c>
      <c r="Q165" s="92" t="str">
        <f>IF(Model!Q199&lt;&gt;"",Model!Q199,"")</f>
        <v/>
      </c>
      <c r="R165" s="92" t="str">
        <f>IF(Model!S199&lt;&gt;"",Model!R199,"")</f>
        <v/>
      </c>
      <c r="S165" s="92" t="str">
        <f>IF(Model!S199&lt;&gt;"",Model!S199,"")</f>
        <v/>
      </c>
      <c r="T165" s="92" t="str">
        <f>IF(Model!T199&lt;&gt;"",Model!T199,"")</f>
        <v/>
      </c>
      <c r="U165" s="92" t="str">
        <f>IF(Model!V199&lt;&gt;"",Model!U199,"")</f>
        <v/>
      </c>
      <c r="V165" s="92" t="str">
        <f>IF(Model!V199&lt;&gt;"",Model!V199,"")</f>
        <v/>
      </c>
      <c r="W165" s="92" t="str">
        <f>IF(Model!W199&lt;&gt;"",Model!W199,"")</f>
        <v/>
      </c>
      <c r="X165" s="92" t="str">
        <f>IF(Model!Y199&lt;&gt;"",Model!X199,"")</f>
        <v/>
      </c>
      <c r="Y165" s="92" t="str">
        <f>IF(Model!Y199&lt;&gt;"",Model!Y199,"")</f>
        <v/>
      </c>
      <c r="Z165" s="92" t="str">
        <f>IF(Model!Z199&lt;&gt;"",Model!Z199,"")</f>
        <v/>
      </c>
      <c r="AA165" s="92" t="str">
        <f>IF(Model!AB199&lt;&gt;"",Model!AA199,"")</f>
        <v/>
      </c>
      <c r="AB165" s="92" t="str">
        <f>IF(Model!AB199&lt;&gt;"",Model!AB199,"")</f>
        <v/>
      </c>
      <c r="AC165" s="92" t="str">
        <f>IF(Model!AC199&lt;&gt;"",Model!AC199,"")</f>
        <v/>
      </c>
      <c r="AD165" s="92" t="str">
        <f>IF(Model!AE199&lt;&gt;"",Model!AD199,"")</f>
        <v/>
      </c>
      <c r="AE165" s="92" t="str">
        <f>IF(Model!AE199&lt;&gt;"",Model!AE199,"")</f>
        <v/>
      </c>
      <c r="AF165" s="92" t="str">
        <f>IF(Model!AF199&lt;&gt;"",Model!AF199,"")</f>
        <v/>
      </c>
      <c r="AG165" s="92" t="str">
        <f>IF(Model!AH199&lt;&gt;"",Model!AG199,"")</f>
        <v/>
      </c>
      <c r="AH165" s="92" t="str">
        <f>IF(Model!AH199&lt;&gt;"",Model!AH199,"")</f>
        <v/>
      </c>
      <c r="AI165" s="92" t="str">
        <f>IF(Model!AI199&lt;&gt;"",Model!AI199,"")</f>
        <v/>
      </c>
      <c r="AJ165" s="92" t="str">
        <f>IF(Model!AK199&lt;&gt;"",Model!AJ199,"")</f>
        <v/>
      </c>
      <c r="AK165" s="92" t="str">
        <f>IF(Model!AK199&lt;&gt;"",Model!AK199,"")</f>
        <v/>
      </c>
      <c r="AL165" s="92" t="str">
        <f>IF(Model!AL199&lt;&gt;"",Model!AL199,"")</f>
        <v/>
      </c>
      <c r="AM165" s="92" t="str">
        <f>IF(Model!AN199&lt;&gt;"",Model!AM199,"")</f>
        <v/>
      </c>
      <c r="AN165" s="92" t="str">
        <f>IF(Model!AN199&lt;&gt;"",Model!AN199,"")</f>
        <v/>
      </c>
      <c r="AO165" s="92" t="str">
        <f>IF(Model!AO199&lt;&gt;"",Model!AO199,"")</f>
        <v/>
      </c>
      <c r="AP165" s="92" t="str">
        <f>IF(Model!AQ199&lt;&gt;"",Model!AP199,"")</f>
        <v/>
      </c>
      <c r="AQ165" s="92" t="str">
        <f>IF(Model!AQ199&lt;&gt;"",Model!AQ199,"")</f>
        <v/>
      </c>
      <c r="AR165" s="92" t="str">
        <f>IF(Model!AR199&lt;&gt;"",Model!AR199,"")</f>
        <v/>
      </c>
      <c r="AS165" s="92" t="str">
        <f>IF(Model!AT199&lt;&gt;"",Model!AS199,"")</f>
        <v/>
      </c>
      <c r="AT165" s="92" t="str">
        <f>IF(Model!AT199&lt;&gt;"",Model!AT199,"")</f>
        <v/>
      </c>
      <c r="AU165" s="92" t="str">
        <f>IF(Model!AU199&lt;&gt;"",Model!AU199,"")</f>
        <v/>
      </c>
      <c r="AV165" s="92">
        <f>IF(Model!AW199&lt;&gt;"",Model!AV199,"")</f>
        <v>0</v>
      </c>
      <c r="AW165" s="92">
        <f>IF(Model!AW199&lt;&gt;"",Model!AW199,"")</f>
        <v>0</v>
      </c>
      <c r="AX165" s="92">
        <v>0</v>
      </c>
      <c r="AY165" s="92">
        <f>IF(Model!AZ199&lt;&gt;"",Model!AY199,"")</f>
        <v>0</v>
      </c>
      <c r="AZ165" s="92">
        <f>IF(Model!AZ199&lt;&gt;"",Model!AZ199,"")</f>
        <v>0</v>
      </c>
      <c r="BA165" s="100"/>
      <c r="BB165" s="92">
        <f>IF(Model!BC199&lt;&gt;"",Model!BB199,"")</f>
        <v>0</v>
      </c>
      <c r="BC165" s="101"/>
      <c r="BD165" s="101"/>
      <c r="BE165" s="92">
        <f>IF(Model!BF199&lt;&gt;"",Model!BE199,"")</f>
        <v>0</v>
      </c>
      <c r="BF165" s="101"/>
      <c r="BG165" s="101"/>
      <c r="BH165" s="92">
        <f>IF(Model!BI199&lt;&gt;"",Model!BH199,"")</f>
        <v>0</v>
      </c>
      <c r="BI165" s="101"/>
      <c r="BJ165" s="101"/>
      <c r="BK165" s="92">
        <f>IF(Model!BL199&lt;&gt;"",Model!BK199,"")</f>
        <v>0</v>
      </c>
      <c r="BL165" s="101"/>
      <c r="BM165" s="101"/>
      <c r="BN165" s="92">
        <f>IF(Model!BO199&lt;&gt;"",Model!BN199,"")</f>
        <v>0</v>
      </c>
      <c r="BO165" s="101"/>
      <c r="BP165" s="101"/>
      <c r="BQ165" s="92">
        <f>IF(Model!BR199&lt;&gt;"",Model!BQ199,"")</f>
        <v>0</v>
      </c>
      <c r="BR165" s="101"/>
      <c r="BS165" s="101"/>
      <c r="BT165" s="92">
        <f>IF(Model!BU199&lt;&gt;"",Model!BT199,"")</f>
        <v>0</v>
      </c>
      <c r="BU165" s="101"/>
      <c r="BV165" s="101"/>
      <c r="BW165" s="92">
        <f>IF(Model!BX199&lt;&gt;"",Model!BW199,"")</f>
        <v>0</v>
      </c>
      <c r="BX165" s="101"/>
      <c r="BY165" s="101"/>
      <c r="BZ165" s="92">
        <f>IF(Model!CA199&lt;&gt;"",Model!BZ199,"")</f>
        <v>0</v>
      </c>
      <c r="CA165" s="101"/>
      <c r="CB165" s="101"/>
      <c r="CC165" s="92">
        <f>IF(Model!CD199&lt;&gt;"",Model!CC199,"")</f>
        <v>0</v>
      </c>
      <c r="CD165" s="101"/>
      <c r="CE165" s="101"/>
      <c r="CF165" s="92">
        <f>IF(Model!CG199&lt;&gt;"",Model!CF199,"")</f>
        <v>0</v>
      </c>
      <c r="CG165" s="101"/>
      <c r="CH165" s="101"/>
      <c r="CI165" s="92">
        <f>IF(Model!CJ199&lt;&gt;"",Model!CI199,"")</f>
        <v>0</v>
      </c>
      <c r="CJ165" s="101"/>
      <c r="CK165" s="101"/>
      <c r="CL165" s="92">
        <f>IF(Model!CM199&lt;&gt;"",Model!CL199,"")</f>
        <v>0</v>
      </c>
      <c r="CM165" s="101"/>
      <c r="CN165" s="101"/>
      <c r="CO165" s="92">
        <f>IF(Model!CP199&lt;&gt;"",Model!CO199,"")</f>
        <v>0</v>
      </c>
      <c r="CP165" s="101"/>
      <c r="CQ165" s="101"/>
      <c r="CR165" s="92">
        <f>IF(Model!CS199&lt;&gt;"",Model!CR199,"")</f>
        <v>0</v>
      </c>
      <c r="CS165" s="101"/>
      <c r="CT165" s="101"/>
      <c r="CU165" s="92">
        <f>IF(Model!CV199&lt;&gt;"",Model!CU199,"")</f>
        <v>0</v>
      </c>
      <c r="CV165" s="101"/>
      <c r="CW165" s="101"/>
      <c r="CX165" s="92">
        <f>IF(Model!CY199&lt;&gt;"",Model!CX199,"")</f>
        <v>0</v>
      </c>
      <c r="CY165" s="101"/>
      <c r="CZ165" s="101"/>
      <c r="DA165" s="92">
        <f>IF(Model!DB199&lt;&gt;"",Model!DA199,"")</f>
        <v>108.8</v>
      </c>
      <c r="DB165" s="101"/>
      <c r="DC165" s="101"/>
      <c r="DD165" s="92">
        <f>IF(Model!DE199&lt;&gt;"",Model!DD199,"")</f>
        <v>0</v>
      </c>
      <c r="DE165" s="148"/>
      <c r="DF165" s="101"/>
      <c r="DG165" s="92">
        <f>IF(Model!DH199&lt;&gt;"",Model!DG199,"")</f>
        <v>0</v>
      </c>
      <c r="DH165" s="148"/>
      <c r="DI165" s="101"/>
      <c r="DJ165" s="92"/>
      <c r="DK165" s="148"/>
      <c r="DL165" s="101"/>
      <c r="DM165" s="92">
        <f>IF(Model!DN199&lt;&gt;"",Model!DM199,"")</f>
        <v>-144.1</v>
      </c>
      <c r="DN165" s="148"/>
      <c r="DO165" s="101"/>
      <c r="DP165" s="92">
        <f>IF(Model!DQ199&lt;&gt;"",Model!DP199,"")</f>
        <v>10362.900000000001</v>
      </c>
      <c r="DQ165" s="148"/>
      <c r="DR165" s="101"/>
      <c r="DS165" s="92">
        <f>IF(Model!DT199&lt;&gt;"",Model!DS199,"")</f>
        <v>-182</v>
      </c>
      <c r="DT165" s="148"/>
      <c r="DU165" s="101"/>
      <c r="DV165" s="92">
        <f>IF(Model!DW199&lt;&gt;"",Model!DV199,"")</f>
        <v>-207</v>
      </c>
      <c r="DW165" s="148"/>
      <c r="DX165" s="101"/>
      <c r="DY165" s="92">
        <f>IF(Model!DZ199&lt;&gt;"",Model!DY199,"")</f>
        <v>-200</v>
      </c>
      <c r="DZ165" s="148"/>
      <c r="EA165" s="101"/>
      <c r="EB165" s="92">
        <f>IF(Model!EC199&lt;&gt;"",Model!EB199,"")</f>
        <v>-250</v>
      </c>
      <c r="EC165" s="148"/>
      <c r="ED165" s="101"/>
      <c r="EE165" s="92">
        <f>IF(Model!EF199&lt;&gt;"",Model!EE199,"")</f>
        <v>-257.5</v>
      </c>
      <c r="EF165" s="148"/>
      <c r="EG165" s="101"/>
      <c r="EH165" s="92">
        <f>IF(Model!EI199&lt;&gt;"",Model!EH199,"")</f>
        <v>-265.22500000000002</v>
      </c>
      <c r="EI165" s="148"/>
      <c r="EJ165" s="101"/>
      <c r="EK165" s="92">
        <f>IF(Model!EL199&lt;&gt;"",Model!EK199,"")</f>
        <v>-273.18175000000002</v>
      </c>
      <c r="EL165" s="148"/>
      <c r="EM165" s="101"/>
      <c r="EN165" s="92">
        <f>IF(Model!EO199&lt;&gt;"",Model!EN199,"")</f>
        <v>-281.37720250000001</v>
      </c>
      <c r="EO165" s="148"/>
      <c r="EP165" s="101"/>
      <c r="EQ165" s="92">
        <f>IF(Model!ER199&lt;&gt;"",Model!EQ199,"")</f>
        <v>-289.81851857500004</v>
      </c>
      <c r="ER165" s="148"/>
      <c r="ES165" s="101"/>
      <c r="ET165" s="92">
        <f>IF(Model!EU199&lt;&gt;"",Model!ET199,"")</f>
        <v>-298.51307413225004</v>
      </c>
      <c r="EU165" s="148"/>
      <c r="EV165" s="101"/>
      <c r="EW165" s="92">
        <f>IF(Model!EX199&lt;&gt;"",Model!EW199,"")</f>
        <v>-307.46846635621756</v>
      </c>
      <c r="EX165" s="148"/>
      <c r="EY165" s="101"/>
      <c r="EZ165" s="92">
        <f>IF(Model!FA199&lt;&gt;"",Model!EZ199,"")</f>
        <v>-316.69252034690408</v>
      </c>
      <c r="FA165" s="148"/>
    </row>
    <row r="166" spans="1:157" ht="13.35" customHeight="1">
      <c r="A166" s="3"/>
      <c r="B166" s="54" t="s">
        <v>518</v>
      </c>
      <c r="C166" s="54"/>
      <c r="D166" s="3"/>
      <c r="E166" s="92" t="str">
        <f>IF(Model!E200&lt;&gt;"",Model!E200,"")</f>
        <v/>
      </c>
      <c r="F166" s="92" t="str">
        <f>IF(Model!G200&lt;&gt;"",Model!F200,"")</f>
        <v/>
      </c>
      <c r="G166" s="92" t="str">
        <f>IF(Model!G200&lt;&gt;"",Model!G200,"")</f>
        <v/>
      </c>
      <c r="H166" s="92" t="str">
        <f>IF(Model!H200&lt;&gt;"",Model!H200,"")</f>
        <v/>
      </c>
      <c r="I166" s="92" t="str">
        <f>IF(Model!J200&lt;&gt;"",Model!I200,"")</f>
        <v/>
      </c>
      <c r="J166" s="92" t="str">
        <f>IF(Model!J200&lt;&gt;"",Model!J200,"")</f>
        <v/>
      </c>
      <c r="K166" s="92" t="str">
        <f>IF(Model!K200&lt;&gt;"",Model!K200,"")</f>
        <v/>
      </c>
      <c r="L166" s="92" t="str">
        <f>IF(Model!M200&lt;&gt;"",Model!L200,"")</f>
        <v/>
      </c>
      <c r="M166" s="92" t="str">
        <f>IF(Model!M200&lt;&gt;"",Model!M200,"")</f>
        <v/>
      </c>
      <c r="N166" s="92" t="str">
        <f>IF(Model!N200&lt;&gt;"",Model!N200,"")</f>
        <v/>
      </c>
      <c r="O166" s="92" t="str">
        <f>IF(Model!P200&lt;&gt;"",Model!O200,"")</f>
        <v/>
      </c>
      <c r="P166" s="92" t="str">
        <f>IF(Model!P200&lt;&gt;"",Model!P200,"")</f>
        <v/>
      </c>
      <c r="Q166" s="92" t="str">
        <f>IF(Model!Q200&lt;&gt;"",Model!Q200,"")</f>
        <v/>
      </c>
      <c r="R166" s="92" t="str">
        <f>IF(Model!S200&lt;&gt;"",Model!R200,"")</f>
        <v/>
      </c>
      <c r="S166" s="92" t="str">
        <f>IF(Model!S200&lt;&gt;"",Model!S200,"")</f>
        <v/>
      </c>
      <c r="T166" s="92" t="str">
        <f>IF(Model!T200&lt;&gt;"",Model!T200,"")</f>
        <v/>
      </c>
      <c r="U166" s="92" t="str">
        <f>IF(Model!V200&lt;&gt;"",Model!U200,"")</f>
        <v/>
      </c>
      <c r="V166" s="92" t="str">
        <f>IF(Model!V200&lt;&gt;"",Model!V200,"")</f>
        <v/>
      </c>
      <c r="W166" s="92" t="str">
        <f>IF(Model!W200&lt;&gt;"",Model!W200,"")</f>
        <v/>
      </c>
      <c r="X166" s="92" t="str">
        <f>IF(Model!Y200&lt;&gt;"",Model!X200,"")</f>
        <v/>
      </c>
      <c r="Y166" s="92" t="str">
        <f>IF(Model!Y200&lt;&gt;"",Model!Y200,"")</f>
        <v/>
      </c>
      <c r="Z166" s="92" t="str">
        <f>IF(Model!Z200&lt;&gt;"",Model!Z200,"")</f>
        <v/>
      </c>
      <c r="AA166" s="92" t="str">
        <f>IF(Model!AB200&lt;&gt;"",Model!AA200,"")</f>
        <v/>
      </c>
      <c r="AB166" s="92" t="str">
        <f>IF(Model!AB200&lt;&gt;"",Model!AB200,"")</f>
        <v/>
      </c>
      <c r="AC166" s="92" t="str">
        <f>IF(Model!AC200&lt;&gt;"",Model!AC200,"")</f>
        <v/>
      </c>
      <c r="AD166" s="92" t="str">
        <f>IF(Model!AE200&lt;&gt;"",Model!AD200,"")</f>
        <v/>
      </c>
      <c r="AE166" s="92" t="str">
        <f>IF(Model!AE200&lt;&gt;"",Model!AE200,"")</f>
        <v/>
      </c>
      <c r="AF166" s="92" t="str">
        <f>IF(Model!AF200&lt;&gt;"",Model!AF200,"")</f>
        <v/>
      </c>
      <c r="AG166" s="92" t="str">
        <f>IF(Model!AH200&lt;&gt;"",Model!AG200,"")</f>
        <v/>
      </c>
      <c r="AH166" s="92" t="str">
        <f>IF(Model!AH200&lt;&gt;"",Model!AH200,"")</f>
        <v/>
      </c>
      <c r="AI166" s="92" t="str">
        <f>IF(Model!AI200&lt;&gt;"",Model!AI200,"")</f>
        <v/>
      </c>
      <c r="AJ166" s="92" t="str">
        <f>IF(Model!AK200&lt;&gt;"",Model!AJ200,"")</f>
        <v/>
      </c>
      <c r="AK166" s="92" t="str">
        <f>IF(Model!AK200&lt;&gt;"",Model!AK200,"")</f>
        <v/>
      </c>
      <c r="AL166" s="92" t="str">
        <f>IF(Model!AL200&lt;&gt;"",Model!AL200,"")</f>
        <v/>
      </c>
      <c r="AM166" s="92" t="str">
        <f>IF(Model!AN200&lt;&gt;"",Model!AM200,"")</f>
        <v/>
      </c>
      <c r="AN166" s="92" t="str">
        <f>IF(Model!AN200&lt;&gt;"",Model!AN200,"")</f>
        <v/>
      </c>
      <c r="AO166" s="92" t="str">
        <f>IF(Model!AO200&lt;&gt;"",Model!AO200,"")</f>
        <v/>
      </c>
      <c r="AP166" s="92" t="str">
        <f>IF(Model!AQ200&lt;&gt;"",Model!AP200,"")</f>
        <v/>
      </c>
      <c r="AQ166" s="92" t="str">
        <f>IF(Model!AQ200&lt;&gt;"",Model!AQ200,"")</f>
        <v/>
      </c>
      <c r="AR166" s="92" t="str">
        <f>IF(Model!AR200&lt;&gt;"",Model!AR200,"")</f>
        <v/>
      </c>
      <c r="AS166" s="92" t="str">
        <f>IF(Model!AT200&lt;&gt;"",Model!AS200,"")</f>
        <v/>
      </c>
      <c r="AT166" s="92" t="str">
        <f>IF(Model!AT200&lt;&gt;"",Model!AT200,"")</f>
        <v/>
      </c>
      <c r="AU166" s="92" t="str">
        <f>IF(Model!AU200&lt;&gt;"",Model!AU200,"")</f>
        <v/>
      </c>
      <c r="AV166" s="92">
        <f>IF(Model!AW200&lt;&gt;"",Model!AV200,"")</f>
        <v>0</v>
      </c>
      <c r="AW166" s="92">
        <f>IF(Model!AW200&lt;&gt;"",Model!AW200,"")</f>
        <v>0</v>
      </c>
      <c r="AX166" s="92" t="str">
        <f>IF(Model!AX200&lt;&gt;"",Model!AX200,"")</f>
        <v/>
      </c>
      <c r="AY166" s="92">
        <f>IF(Model!AZ200&lt;&gt;"",Model!AY200,"")</f>
        <v>0</v>
      </c>
      <c r="AZ166" s="92">
        <f>IF(Model!AZ200&lt;&gt;"",Model!AZ200,"")</f>
        <v>0</v>
      </c>
      <c r="BA166" s="100"/>
      <c r="BB166" s="92">
        <f>IF(Model!BC200&lt;&gt;"",Model!BB200,"")</f>
        <v>0</v>
      </c>
      <c r="BC166" s="101"/>
      <c r="BD166" s="101"/>
      <c r="BE166" s="92">
        <f>IF(Model!BF200&lt;&gt;"",Model!BE200,"")</f>
        <v>0</v>
      </c>
      <c r="BF166" s="101"/>
      <c r="BG166" s="101"/>
      <c r="BH166" s="92">
        <f>IF(Model!BI200&lt;&gt;"",Model!BH200,"")</f>
        <v>0</v>
      </c>
      <c r="BI166" s="101"/>
      <c r="BJ166" s="101"/>
      <c r="BK166" s="92">
        <f>IF(Model!BL200&lt;&gt;"",Model!BK200,"")</f>
        <v>0</v>
      </c>
      <c r="BL166" s="101"/>
      <c r="BM166" s="101"/>
      <c r="BN166" s="92">
        <f>IF(Model!BO200&lt;&gt;"",Model!BN200,"")</f>
        <v>0</v>
      </c>
      <c r="BO166" s="101"/>
      <c r="BP166" s="101"/>
      <c r="BQ166" s="92">
        <f>IF(Model!BR200&lt;&gt;"",Model!BQ200,"")</f>
        <v>0</v>
      </c>
      <c r="BR166" s="101"/>
      <c r="BS166" s="101"/>
      <c r="BT166" s="92">
        <f>IF(Model!BU200&lt;&gt;"",Model!BT200,"")</f>
        <v>0</v>
      </c>
      <c r="BU166" s="101"/>
      <c r="BV166" s="101"/>
      <c r="BW166" s="92">
        <f>IF(Model!BX200&lt;&gt;"",Model!BW200,"")</f>
        <v>0</v>
      </c>
      <c r="BX166" s="101"/>
      <c r="BY166" s="101"/>
      <c r="BZ166" s="92">
        <f>IF(Model!CA200&lt;&gt;"",Model!BZ200,"")</f>
        <v>0</v>
      </c>
      <c r="CA166" s="101"/>
      <c r="CB166" s="101"/>
      <c r="CC166" s="92">
        <f>IF(Model!CD200&lt;&gt;"",Model!CC200,"")</f>
        <v>0</v>
      </c>
      <c r="CD166" s="101"/>
      <c r="CE166" s="101"/>
      <c r="CF166" s="92">
        <f>IF(Model!CG200&lt;&gt;"",Model!CF200,"")</f>
        <v>0</v>
      </c>
      <c r="CG166" s="101"/>
      <c r="CH166" s="101"/>
      <c r="CI166" s="92">
        <f>IF(Model!CJ200&lt;&gt;"",Model!CI200,"")</f>
        <v>0</v>
      </c>
      <c r="CJ166" s="101"/>
      <c r="CK166" s="101"/>
      <c r="CL166" s="92">
        <f>IF(Model!CM200&lt;&gt;"",Model!CL200,"")</f>
        <v>0</v>
      </c>
      <c r="CM166" s="101"/>
      <c r="CN166" s="101"/>
      <c r="CO166" s="92">
        <f>IF(Model!CP200&lt;&gt;"",Model!CO200,"")</f>
        <v>0</v>
      </c>
      <c r="CP166" s="101"/>
      <c r="CQ166" s="101"/>
      <c r="CR166" s="92">
        <f>IF(Model!CS200&lt;&gt;"",Model!CR200,"")</f>
        <v>0</v>
      </c>
      <c r="CS166" s="101"/>
      <c r="CT166" s="101"/>
      <c r="CU166" s="92">
        <f>IF(Model!CV200&lt;&gt;"",Model!CU200,"")</f>
        <v>0</v>
      </c>
      <c r="CV166" s="101"/>
      <c r="CW166" s="101"/>
      <c r="CX166" s="92">
        <f>IF(Model!CY200&lt;&gt;"",Model!CX200,"")</f>
        <v>0</v>
      </c>
      <c r="CY166" s="101"/>
      <c r="CZ166" s="101"/>
      <c r="DA166" s="92">
        <f>IF(Model!DB200&lt;&gt;"",Model!DA200,"")</f>
        <v>0</v>
      </c>
      <c r="DB166" s="101"/>
      <c r="DC166" s="101"/>
      <c r="DD166" s="92">
        <f>IF(Model!DE200&lt;&gt;"",Model!DD200,"")</f>
        <v>0</v>
      </c>
      <c r="DE166" s="148"/>
      <c r="DF166" s="101"/>
      <c r="DG166" s="92">
        <f>IF(Model!DH200&lt;&gt;"",Model!DG200,"")</f>
        <v>0</v>
      </c>
      <c r="DH166" s="148"/>
      <c r="DI166" s="101"/>
      <c r="DJ166" s="92">
        <f>IF(Model!DK200&lt;&gt;"",Model!DJ200,"")</f>
        <v>0</v>
      </c>
      <c r="DK166" s="148"/>
      <c r="DL166" s="101"/>
      <c r="DM166" s="92">
        <f>IF(Model!DN200&lt;&gt;"",Model!DM200,"")</f>
        <v>0</v>
      </c>
      <c r="DN166" s="148"/>
      <c r="DO166" s="101"/>
      <c r="DP166" s="92">
        <f>IF(Model!DQ200&lt;&gt;"",Model!DP200,"")</f>
        <v>0</v>
      </c>
      <c r="DQ166" s="148"/>
      <c r="DR166" s="101"/>
      <c r="DS166" s="92">
        <f>IF(Model!DT200&lt;&gt;"",Model!DS200,"")</f>
        <v>0</v>
      </c>
      <c r="DT166" s="148"/>
      <c r="DU166" s="101"/>
      <c r="DV166" s="92">
        <f>IF(Model!DW200&lt;&gt;"",Model!DV200,"")</f>
        <v>0</v>
      </c>
      <c r="DW166" s="148"/>
      <c r="DX166" s="101"/>
      <c r="DY166" s="92">
        <f>IF(Model!DZ200&lt;&gt;"",Model!DY200,"")</f>
        <v>0</v>
      </c>
      <c r="DZ166" s="148"/>
      <c r="EA166" s="101"/>
      <c r="EB166" s="92">
        <f>IF(Model!EC200&lt;&gt;"",Model!EB200,"")</f>
        <v>0</v>
      </c>
      <c r="EC166" s="148"/>
      <c r="ED166" s="101"/>
      <c r="EE166" s="92">
        <f>IF(Model!EF200&lt;&gt;"",Model!EE200,"")</f>
        <v>0</v>
      </c>
      <c r="EF166" s="148"/>
      <c r="EG166" s="101"/>
      <c r="EH166" s="92">
        <f>IF(Model!EI200&lt;&gt;"",Model!EH200,"")</f>
        <v>0</v>
      </c>
      <c r="EI166" s="148"/>
      <c r="EJ166" s="101"/>
      <c r="EK166" s="92">
        <f>IF(Model!EL200&lt;&gt;"",Model!EK200,"")</f>
        <v>0</v>
      </c>
      <c r="EL166" s="148"/>
      <c r="EM166" s="101"/>
      <c r="EN166" s="92">
        <f>IF(Model!EO200&lt;&gt;"",Model!EN200,"")</f>
        <v>0</v>
      </c>
      <c r="EO166" s="148"/>
      <c r="EP166" s="101"/>
      <c r="EQ166" s="92">
        <f>IF(Model!ER200&lt;&gt;"",Model!EQ200,"")</f>
        <v>0</v>
      </c>
      <c r="ER166" s="148"/>
      <c r="ES166" s="101"/>
      <c r="ET166" s="92">
        <f>IF(Model!EU200&lt;&gt;"",Model!ET200,"")</f>
        <v>0</v>
      </c>
      <c r="EU166" s="148"/>
      <c r="EV166" s="101"/>
      <c r="EW166" s="92">
        <f>IF(Model!EX200&lt;&gt;"",Model!EW200,"")</f>
        <v>0</v>
      </c>
      <c r="EX166" s="148"/>
      <c r="EY166" s="101"/>
      <c r="EZ166" s="92">
        <f>IF(Model!FA200&lt;&gt;"",Model!EZ200,"")</f>
        <v>0</v>
      </c>
      <c r="FA166" s="148"/>
    </row>
    <row r="167" spans="1:157" ht="13.35" customHeight="1">
      <c r="A167" s="3"/>
      <c r="B167" s="54" t="s">
        <v>473</v>
      </c>
      <c r="C167" s="54"/>
      <c r="D167" s="54"/>
      <c r="E167" s="92" t="str">
        <f>IF(Model!E201&lt;&gt;"",Model!E201,"")</f>
        <v/>
      </c>
      <c r="F167" s="92" t="str">
        <f>IF(Model!G201&lt;&gt;"",Model!F201,"")</f>
        <v/>
      </c>
      <c r="G167" s="92" t="str">
        <f>IF(Model!G201&lt;&gt;"",Model!G201,"")</f>
        <v/>
      </c>
      <c r="H167" s="92" t="str">
        <f>IF(Model!H201&lt;&gt;"",Model!H201,"")</f>
        <v/>
      </c>
      <c r="I167" s="92" t="str">
        <f>IF(Model!J201&lt;&gt;"",Model!I201,"")</f>
        <v/>
      </c>
      <c r="J167" s="92" t="str">
        <f>IF(Model!J201&lt;&gt;"",Model!J201,"")</f>
        <v/>
      </c>
      <c r="K167" s="92" t="str">
        <f>IF(Model!K201&lt;&gt;"",Model!K201,"")</f>
        <v/>
      </c>
      <c r="L167" s="92" t="str">
        <f>IF(Model!M201&lt;&gt;"",Model!L201,"")</f>
        <v/>
      </c>
      <c r="M167" s="92" t="str">
        <f>IF(Model!M201&lt;&gt;"",Model!M201,"")</f>
        <v/>
      </c>
      <c r="N167" s="92" t="str">
        <f>IF(Model!N201&lt;&gt;"",Model!N201,"")</f>
        <v/>
      </c>
      <c r="O167" s="92" t="str">
        <f>IF(Model!P201&lt;&gt;"",Model!O201,"")</f>
        <v/>
      </c>
      <c r="P167" s="92" t="str">
        <f>IF(Model!P201&lt;&gt;"",Model!P201,"")</f>
        <v/>
      </c>
      <c r="Q167" s="92" t="str">
        <f>IF(Model!Q201&lt;&gt;"",Model!Q201,"")</f>
        <v/>
      </c>
      <c r="R167" s="92" t="str">
        <f>IF(Model!S201&lt;&gt;"",Model!R201,"")</f>
        <v/>
      </c>
      <c r="S167" s="92" t="str">
        <f>IF(Model!S201&lt;&gt;"",Model!S201,"")</f>
        <v/>
      </c>
      <c r="T167" s="92" t="str">
        <f>IF(Model!T201&lt;&gt;"",Model!T201,"")</f>
        <v/>
      </c>
      <c r="U167" s="92" t="str">
        <f>IF(Model!V201&lt;&gt;"",Model!U201,"")</f>
        <v/>
      </c>
      <c r="V167" s="92" t="str">
        <f>IF(Model!V201&lt;&gt;"",Model!V201,"")</f>
        <v/>
      </c>
      <c r="W167" s="92" t="str">
        <f>IF(Model!W201&lt;&gt;"",Model!W201,"")</f>
        <v/>
      </c>
      <c r="X167" s="92" t="str">
        <f>IF(Model!Y201&lt;&gt;"",Model!X201,"")</f>
        <v/>
      </c>
      <c r="Y167" s="92" t="str">
        <f>IF(Model!Y201&lt;&gt;"",Model!Y201,"")</f>
        <v/>
      </c>
      <c r="Z167" s="92" t="str">
        <f>IF(Model!Z201&lt;&gt;"",Model!Z201,"")</f>
        <v/>
      </c>
      <c r="AA167" s="92" t="str">
        <f>IF(Model!AB201&lt;&gt;"",Model!AA201,"")</f>
        <v/>
      </c>
      <c r="AB167" s="92" t="str">
        <f>IF(Model!AB201&lt;&gt;"",Model!AB201,"")</f>
        <v/>
      </c>
      <c r="AC167" s="92" t="str">
        <f>IF(Model!AC201&lt;&gt;"",Model!AC201,"")</f>
        <v/>
      </c>
      <c r="AD167" s="92" t="str">
        <f>IF(Model!AE201&lt;&gt;"",Model!AD201,"")</f>
        <v/>
      </c>
      <c r="AE167" s="92" t="str">
        <f>IF(Model!AE201&lt;&gt;"",Model!AE201,"")</f>
        <v/>
      </c>
      <c r="AF167" s="92" t="str">
        <f>IF(Model!AF201&lt;&gt;"",Model!AF201,"")</f>
        <v/>
      </c>
      <c r="AG167" s="92" t="str">
        <f>IF(Model!AH201&lt;&gt;"",Model!AG201,"")</f>
        <v/>
      </c>
      <c r="AH167" s="92" t="str">
        <f>IF(Model!AH201&lt;&gt;"",Model!AH201,"")</f>
        <v/>
      </c>
      <c r="AI167" s="92" t="str">
        <f>IF(Model!AI201&lt;&gt;"",Model!AI201,"")</f>
        <v/>
      </c>
      <c r="AJ167" s="92">
        <f>IF(Model!AK201&lt;&gt;"",Model!AJ201,"")</f>
        <v>0</v>
      </c>
      <c r="AK167" s="92">
        <f>IF(Model!AK201&lt;&gt;"",Model!AK201,"")</f>
        <v>0</v>
      </c>
      <c r="AL167" s="92" t="str">
        <f>IF(Model!AL201&lt;&gt;"",Model!AL201,"")</f>
        <v/>
      </c>
      <c r="AM167" s="92">
        <f>IF(Model!AN201&lt;&gt;"",Model!AM201,"")</f>
        <v>0</v>
      </c>
      <c r="AN167" s="92">
        <f>IF(Model!AN201&lt;&gt;"",Model!AN201,"")</f>
        <v>0</v>
      </c>
      <c r="AO167" s="92" t="str">
        <f>IF(Model!AO201&lt;&gt;"",Model!AO201,"")</f>
        <v/>
      </c>
      <c r="AP167" s="92">
        <f>IF(Model!AQ201&lt;&gt;"",Model!AP201,"")</f>
        <v>0</v>
      </c>
      <c r="AQ167" s="92">
        <v>0</v>
      </c>
      <c r="AR167" s="92" t="str">
        <f>IF(Model!AR201&lt;&gt;"",Model!AR201,"")</f>
        <v/>
      </c>
      <c r="AS167" s="92">
        <v>0</v>
      </c>
      <c r="AT167" s="92">
        <v>0</v>
      </c>
      <c r="AU167" s="92" t="str">
        <f>IF(Model!AU201&lt;&gt;"",Model!AU201,"")</f>
        <v/>
      </c>
      <c r="AV167" s="92">
        <v>0</v>
      </c>
      <c r="AW167" s="92">
        <v>0</v>
      </c>
      <c r="AX167" s="92" t="str">
        <f>IF(Model!AX201&lt;&gt;"",Model!AX201,"")</f>
        <v/>
      </c>
      <c r="AY167" s="92">
        <v>0</v>
      </c>
      <c r="AZ167" s="92">
        <v>0</v>
      </c>
      <c r="BA167" s="100"/>
      <c r="BB167" s="92">
        <f>IF(Model!BC201&lt;&gt;"",Model!BB201,"")</f>
        <v>0</v>
      </c>
      <c r="BC167" s="101"/>
      <c r="BD167" s="101"/>
      <c r="BE167" s="92">
        <f>IF(Model!BF201&lt;&gt;"",Model!BE201,"")</f>
        <v>0</v>
      </c>
      <c r="BF167" s="101"/>
      <c r="BG167" s="101"/>
      <c r="BH167" s="92">
        <f>IF(Model!BI201&lt;&gt;"",Model!BH201,"")</f>
        <v>-37.109000000000002</v>
      </c>
      <c r="BI167" s="101"/>
      <c r="BJ167" s="101"/>
      <c r="BK167" s="92">
        <f>IF(Model!BL201&lt;&gt;"",Model!BK201,"")</f>
        <v>0</v>
      </c>
      <c r="BL167" s="101"/>
      <c r="BM167" s="101"/>
      <c r="BN167" s="92">
        <f>IF(Model!BO201&lt;&gt;"",Model!BN201,"")</f>
        <v>0.23600000000000065</v>
      </c>
      <c r="BO167" s="101"/>
      <c r="BP167" s="101"/>
      <c r="BQ167" s="92">
        <f>IF(Model!BR201&lt;&gt;"",Model!BQ201,"")</f>
        <v>-8.548</v>
      </c>
      <c r="BR167" s="101"/>
      <c r="BS167" s="101"/>
      <c r="BT167" s="92">
        <f>IF(Model!BU201&lt;&gt;"",Model!BT201,"")</f>
        <v>-79.305999999999997</v>
      </c>
      <c r="BU167" s="101"/>
      <c r="BV167" s="101"/>
      <c r="BW167" s="92">
        <f>IF(Model!BX201&lt;&gt;"",Model!BW201,"")</f>
        <v>-26.577999999999999</v>
      </c>
      <c r="BX167" s="101"/>
      <c r="BY167" s="101"/>
      <c r="BZ167" s="92">
        <f>IF(Model!CA201&lt;&gt;"",Model!BZ201,"")</f>
        <v>14.281999999999996</v>
      </c>
      <c r="CA167" s="101"/>
      <c r="CB167" s="101"/>
      <c r="CC167" s="92">
        <f>IF(Model!CD201&lt;&gt;"",Model!CC201,"")</f>
        <v>-23.157000000000004</v>
      </c>
      <c r="CD167" s="101"/>
      <c r="CE167" s="101"/>
      <c r="CF167" s="92">
        <f>IF(Model!CG201&lt;&gt;"",Model!CF201,"")</f>
        <v>-9.6579999999999995</v>
      </c>
      <c r="CG167" s="101"/>
      <c r="CH167" s="101"/>
      <c r="CI167" s="92">
        <f>IF(Model!CJ201&lt;&gt;"",Model!CI201,"")</f>
        <v>-8.7999999999999989</v>
      </c>
      <c r="CJ167" s="101"/>
      <c r="CK167" s="101"/>
      <c r="CL167" s="92">
        <f>IF(Model!CM201&lt;&gt;"",Model!CL201,"")</f>
        <v>-11.7</v>
      </c>
      <c r="CM167" s="101"/>
      <c r="CN167" s="101"/>
      <c r="CO167" s="92">
        <f>IF(Model!CP201&lt;&gt;"",Model!CO201,"")</f>
        <v>-48</v>
      </c>
      <c r="CP167" s="101"/>
      <c r="CQ167" s="101"/>
      <c r="CR167" s="92">
        <f>IF(Model!CS201&lt;&gt;"",Model!CR201,"")</f>
        <v>-66</v>
      </c>
      <c r="CS167" s="101"/>
      <c r="CT167" s="101"/>
      <c r="CU167" s="92">
        <f>IF(Model!CV201&lt;&gt;"",Model!CU201,"")</f>
        <v>-70.599999999999994</v>
      </c>
      <c r="CV167" s="101"/>
      <c r="CW167" s="101"/>
      <c r="CX167" s="92">
        <f>IF(Model!CY201&lt;&gt;"",Model!CX201,"")</f>
        <v>57.4</v>
      </c>
      <c r="CY167" s="101"/>
      <c r="CZ167" s="101"/>
      <c r="DA167" s="92">
        <f>IF(Model!DB201&lt;&gt;"",Model!DA201,"")</f>
        <v>0</v>
      </c>
      <c r="DB167" s="101"/>
      <c r="DC167" s="101"/>
      <c r="DD167" s="92">
        <f>IF(Model!DE201&lt;&gt;"",Model!DD201,"")</f>
        <v>0</v>
      </c>
      <c r="DE167" s="148"/>
      <c r="DF167" s="101"/>
      <c r="DG167" s="92">
        <f>IF(Model!DH201&lt;&gt;"",Model!DG201,"")</f>
        <v>0</v>
      </c>
      <c r="DH167" s="148"/>
      <c r="DI167" s="101"/>
      <c r="DJ167" s="92">
        <f>IF(Model!DK201&lt;&gt;"",Model!DJ201,"")</f>
        <v>0</v>
      </c>
      <c r="DK167" s="148"/>
      <c r="DL167" s="101"/>
      <c r="DM167" s="92">
        <f>IF(Model!DN201&lt;&gt;"",Model!DM201,"")</f>
        <v>0</v>
      </c>
      <c r="DN167" s="148"/>
      <c r="DO167" s="101"/>
      <c r="DP167" s="92">
        <f>IF(Model!DQ201&lt;&gt;"",Model!DP201,"")</f>
        <v>0</v>
      </c>
      <c r="DQ167" s="148"/>
      <c r="DR167" s="101"/>
      <c r="DS167" s="92">
        <f>IF(Model!DT201&lt;&gt;"",Model!DS201,"")</f>
        <v>0</v>
      </c>
      <c r="DT167" s="148"/>
      <c r="DU167" s="101"/>
      <c r="DV167" s="92">
        <f>IF(Model!DW201&lt;&gt;"",Model!DV201,"")</f>
        <v>0</v>
      </c>
      <c r="DW167" s="148"/>
      <c r="DX167" s="101"/>
      <c r="DY167" s="92">
        <f>IF(Model!DZ201&lt;&gt;"",Model!DY201,"")</f>
        <v>0</v>
      </c>
      <c r="DZ167" s="148"/>
      <c r="EA167" s="101"/>
      <c r="EB167" s="92">
        <f>IF(Model!EC201&lt;&gt;"",Model!EB201,"")</f>
        <v>0</v>
      </c>
      <c r="EC167" s="148"/>
      <c r="ED167" s="101"/>
      <c r="EE167" s="92">
        <f>IF(Model!EF201&lt;&gt;"",Model!EE201,"")</f>
        <v>0</v>
      </c>
      <c r="EF167" s="148"/>
      <c r="EG167" s="101"/>
      <c r="EH167" s="92">
        <f>IF(Model!EI201&lt;&gt;"",Model!EH201,"")</f>
        <v>0</v>
      </c>
      <c r="EI167" s="148"/>
      <c r="EJ167" s="101"/>
      <c r="EK167" s="92">
        <f>IF(Model!EL201&lt;&gt;"",Model!EK201,"")</f>
        <v>0</v>
      </c>
      <c r="EL167" s="148"/>
      <c r="EM167" s="101"/>
      <c r="EN167" s="92">
        <f>IF(Model!EO201&lt;&gt;"",Model!EN201,"")</f>
        <v>0</v>
      </c>
      <c r="EO167" s="148"/>
      <c r="EP167" s="101"/>
      <c r="EQ167" s="92">
        <f>IF(Model!ER201&lt;&gt;"",Model!EQ201,"")</f>
        <v>0</v>
      </c>
      <c r="ER167" s="148"/>
      <c r="ES167" s="101"/>
      <c r="ET167" s="92">
        <f>IF(Model!EU201&lt;&gt;"",Model!ET201,"")</f>
        <v>0</v>
      </c>
      <c r="EU167" s="148"/>
      <c r="EV167" s="101"/>
      <c r="EW167" s="92">
        <f>IF(Model!EX201&lt;&gt;"",Model!EW201,"")</f>
        <v>0</v>
      </c>
      <c r="EX167" s="148"/>
      <c r="EY167" s="101"/>
      <c r="EZ167" s="92">
        <f>IF(Model!FA201&lt;&gt;"",Model!EZ201,"")</f>
        <v>0</v>
      </c>
      <c r="FA167" s="148"/>
    </row>
    <row r="168" spans="1:157" ht="13.35" customHeight="1">
      <c r="A168" s="3"/>
      <c r="B168" s="54" t="s">
        <v>143</v>
      </c>
      <c r="C168" s="54"/>
      <c r="D168" s="54"/>
      <c r="E168" s="92" t="str">
        <f>IF(Model!E202&lt;&gt;"",Model!E202,"")</f>
        <v/>
      </c>
      <c r="F168" s="92" t="str">
        <f>IF(Model!G202&lt;&gt;"",Model!F202,"")</f>
        <v/>
      </c>
      <c r="G168" s="92" t="str">
        <f>IF(Model!G202&lt;&gt;"",Model!G202,"")</f>
        <v/>
      </c>
      <c r="H168" s="92" t="str">
        <f>IF(Model!H202&lt;&gt;"",Model!H202,"")</f>
        <v/>
      </c>
      <c r="I168" s="92" t="str">
        <f>IF(Model!J202&lt;&gt;"",Model!I202,"")</f>
        <v/>
      </c>
      <c r="J168" s="92" t="str">
        <f>IF(Model!J202&lt;&gt;"",Model!J202,"")</f>
        <v/>
      </c>
      <c r="K168" s="92" t="str">
        <f>IF(Model!K202&lt;&gt;"",Model!K202,"")</f>
        <v/>
      </c>
      <c r="L168" s="92" t="str">
        <f>IF(Model!M202&lt;&gt;"",Model!L202,"")</f>
        <v/>
      </c>
      <c r="M168" s="92" t="str">
        <f>IF(Model!M202&lt;&gt;"",Model!M202,"")</f>
        <v/>
      </c>
      <c r="N168" s="92" t="str">
        <f>IF(Model!N202&lt;&gt;"",Model!N202,"")</f>
        <v/>
      </c>
      <c r="O168" s="92" t="str">
        <f>IF(Model!P202&lt;&gt;"",Model!O202,"")</f>
        <v/>
      </c>
      <c r="P168" s="92" t="str">
        <f>IF(Model!P202&lt;&gt;"",Model!P202,"")</f>
        <v/>
      </c>
      <c r="Q168" s="92" t="str">
        <f>IF(Model!Q202&lt;&gt;"",Model!Q202,"")</f>
        <v/>
      </c>
      <c r="R168" s="92" t="str">
        <f>IF(Model!S202&lt;&gt;"",Model!R202,"")</f>
        <v/>
      </c>
      <c r="S168" s="92" t="str">
        <f>IF(Model!S202&lt;&gt;"",Model!S202,"")</f>
        <v/>
      </c>
      <c r="T168" s="92" t="str">
        <f>IF(Model!T202&lt;&gt;"",Model!T202,"")</f>
        <v/>
      </c>
      <c r="U168" s="92" t="str">
        <f>IF(Model!V202&lt;&gt;"",Model!U202,"")</f>
        <v/>
      </c>
      <c r="V168" s="92" t="str">
        <f>IF(Model!V202&lt;&gt;"",Model!V202,"")</f>
        <v/>
      </c>
      <c r="W168" s="92" t="str">
        <f>IF(Model!W202&lt;&gt;"",Model!W202,"")</f>
        <v/>
      </c>
      <c r="X168" s="92" t="str">
        <f>IF(Model!Y202&lt;&gt;"",Model!X202,"")</f>
        <v/>
      </c>
      <c r="Y168" s="92" t="str">
        <f>IF(Model!Y202&lt;&gt;"",Model!Y202,"")</f>
        <v/>
      </c>
      <c r="Z168" s="92" t="str">
        <f>IF(Model!Z202&lt;&gt;"",Model!Z202,"")</f>
        <v/>
      </c>
      <c r="AA168" s="92" t="str">
        <f>IF(Model!AB202&lt;&gt;"",Model!AA202,"")</f>
        <v/>
      </c>
      <c r="AB168" s="92" t="str">
        <f>IF(Model!AB202&lt;&gt;"",Model!AB202,"")</f>
        <v/>
      </c>
      <c r="AC168" s="92" t="str">
        <f>IF(Model!AC202&lt;&gt;"",Model!AC202,"")</f>
        <v/>
      </c>
      <c r="AD168" s="92" t="str">
        <f>IF(Model!AE202&lt;&gt;"",Model!AD202,"")</f>
        <v/>
      </c>
      <c r="AE168" s="92" t="str">
        <f>IF(Model!AE202&lt;&gt;"",Model!AE202,"")</f>
        <v/>
      </c>
      <c r="AF168" s="92" t="str">
        <f>IF(Model!AF202&lt;&gt;"",Model!AF202,"")</f>
        <v/>
      </c>
      <c r="AG168" s="92" t="str">
        <f>IF(Model!AH202&lt;&gt;"",Model!AG202,"")</f>
        <v/>
      </c>
      <c r="AH168" s="92" t="str">
        <f>IF(Model!AH202&lt;&gt;"",Model!AH202,"")</f>
        <v/>
      </c>
      <c r="AI168" s="92" t="str">
        <f>IF(Model!AI202&lt;&gt;"",Model!AI202,"")</f>
        <v/>
      </c>
      <c r="AJ168" s="92" t="str">
        <f>IF(Model!AK202&lt;&gt;"",Model!AJ202,"")</f>
        <v/>
      </c>
      <c r="AK168" s="92" t="str">
        <f>IF(Model!AK202&lt;&gt;"",Model!AK202,"")</f>
        <v/>
      </c>
      <c r="AL168" s="92" t="str">
        <f>IF(Model!AL202&lt;&gt;"",Model!AL202,"")</f>
        <v/>
      </c>
      <c r="AM168" s="92" t="str">
        <f>IF(Model!AN202&lt;&gt;"",Model!AM202,"")</f>
        <v/>
      </c>
      <c r="AN168" s="92" t="str">
        <f>IF(Model!AN202&lt;&gt;"",Model!AN202,"")</f>
        <v/>
      </c>
      <c r="AO168" s="92" t="str">
        <f>IF(Model!AO202&lt;&gt;"",Model!AO202,"")</f>
        <v/>
      </c>
      <c r="AP168" s="92" t="str">
        <f>IF(Model!AQ202&lt;&gt;"",Model!AP202,"")</f>
        <v/>
      </c>
      <c r="AQ168" s="92">
        <v>0</v>
      </c>
      <c r="AR168" s="92" t="str">
        <f>IF(Model!AR202&lt;&gt;"",Model!AR202,"")</f>
        <v/>
      </c>
      <c r="AS168" s="92">
        <f>IF(Model!AT202&lt;&gt;"",Model!AS202,"")</f>
        <v>0</v>
      </c>
      <c r="AT168" s="92">
        <f>IF(Model!AT202&lt;&gt;"",Model!AT202,"")</f>
        <v>0</v>
      </c>
      <c r="AU168" s="92" t="str">
        <f>IF(Model!AU202&lt;&gt;"",Model!AU202,"")</f>
        <v/>
      </c>
      <c r="AV168" s="92">
        <f>IF(Model!AW202&lt;&gt;"",Model!AV202,"")</f>
        <v>0</v>
      </c>
      <c r="AW168" s="92">
        <f>IF(Model!AW202&lt;&gt;"",Model!AW202,"")</f>
        <v>0</v>
      </c>
      <c r="AX168" s="92" t="str">
        <f>IF(Model!AX202&lt;&gt;"",Model!AX202,"")</f>
        <v/>
      </c>
      <c r="AY168" s="92">
        <f>IF(Model!AZ202&lt;&gt;"",Model!AY202,"")</f>
        <v>0</v>
      </c>
      <c r="AZ168" s="92">
        <f>IF(Model!AZ202&lt;&gt;"",Model!AZ202,"")</f>
        <v>0</v>
      </c>
      <c r="BA168" s="100"/>
      <c r="BB168" s="92">
        <f>IF(Model!BC202&lt;&gt;"",Model!BB202,"")</f>
        <v>0</v>
      </c>
      <c r="BC168" s="101"/>
      <c r="BD168" s="101"/>
      <c r="BE168" s="92">
        <f>IF(Model!BF202&lt;&gt;"",Model!BE202,"")</f>
        <v>0</v>
      </c>
      <c r="BF168" s="101"/>
      <c r="BG168" s="101"/>
      <c r="BH168" s="92">
        <f>IF(Model!BI202&lt;&gt;"",Model!BH202,"")</f>
        <v>0</v>
      </c>
      <c r="BI168" s="101"/>
      <c r="BJ168" s="101"/>
      <c r="BK168" s="92">
        <f>IF(Model!BL202&lt;&gt;"",Model!BK202,"")</f>
        <v>0</v>
      </c>
      <c r="BL168" s="101"/>
      <c r="BM168" s="101"/>
      <c r="BN168" s="92">
        <f>IF(Model!BO202&lt;&gt;"",Model!BN202,"")</f>
        <v>-30.433</v>
      </c>
      <c r="BO168" s="101"/>
      <c r="BP168" s="101"/>
      <c r="BQ168" s="92">
        <f>IF(Model!BR202&lt;&gt;"",Model!BQ202,"")</f>
        <v>0</v>
      </c>
      <c r="BR168" s="101"/>
      <c r="BS168" s="101"/>
      <c r="BT168" s="92">
        <f>IF(Model!BU202&lt;&gt;"",Model!BT202,"")</f>
        <v>0</v>
      </c>
      <c r="BU168" s="101"/>
      <c r="BV168" s="101"/>
      <c r="BW168" s="92">
        <f>IF(Model!BX202&lt;&gt;"",Model!BW202,"")</f>
        <v>0</v>
      </c>
      <c r="BX168" s="101"/>
      <c r="BY168" s="101"/>
      <c r="BZ168" s="92">
        <f>IF(Model!CA202&lt;&gt;"",Model!BZ202,"")</f>
        <v>0</v>
      </c>
      <c r="CA168" s="101"/>
      <c r="CB168" s="101"/>
      <c r="CC168" s="92">
        <f>IF(Model!CD202&lt;&gt;"",Model!CC202,"")</f>
        <v>0</v>
      </c>
      <c r="CD168" s="101"/>
      <c r="CE168" s="101"/>
      <c r="CF168" s="92">
        <f>IF(Model!CG202&lt;&gt;"",Model!CF202,"")</f>
        <v>0</v>
      </c>
      <c r="CG168" s="101"/>
      <c r="CH168" s="101"/>
      <c r="CI168" s="92">
        <f>IF(Model!CJ202&lt;&gt;"",Model!CI202,"")</f>
        <v>0</v>
      </c>
      <c r="CJ168" s="101"/>
      <c r="CK168" s="101"/>
      <c r="CL168" s="92">
        <f>IF(Model!CM202&lt;&gt;"",Model!CL202,"")</f>
        <v>0</v>
      </c>
      <c r="CM168" s="101"/>
      <c r="CN168" s="101"/>
      <c r="CO168" s="92">
        <f>IF(Model!CP202&lt;&gt;"",Model!CO202,"")</f>
        <v>0</v>
      </c>
      <c r="CP168" s="101"/>
      <c r="CQ168" s="101"/>
      <c r="CR168" s="92">
        <f>IF(Model!CS202&lt;&gt;"",Model!CR202,"")</f>
        <v>0</v>
      </c>
      <c r="CS168" s="101"/>
      <c r="CT168" s="101"/>
      <c r="CU168" s="92">
        <f>IF(Model!CV202&lt;&gt;"",Model!CU202,"")</f>
        <v>0</v>
      </c>
      <c r="CV168" s="101"/>
      <c r="CW168" s="101"/>
      <c r="CX168" s="92">
        <f>IF(Model!CY202&lt;&gt;"",Model!CX202,"")</f>
        <v>0</v>
      </c>
      <c r="CY168" s="101"/>
      <c r="CZ168" s="101"/>
      <c r="DA168" s="92">
        <f>IF(Model!DB202&lt;&gt;"",Model!DA202,"")</f>
        <v>0</v>
      </c>
      <c r="DB168" s="101"/>
      <c r="DC168" s="101"/>
      <c r="DD168" s="92">
        <f>IF(Model!DE202&lt;&gt;"",Model!DD202,"")</f>
        <v>0</v>
      </c>
      <c r="DE168" s="148"/>
      <c r="DF168" s="101"/>
      <c r="DG168" s="92">
        <f>IF(Model!DH202&lt;&gt;"",Model!DG202,"")</f>
        <v>0</v>
      </c>
      <c r="DH168" s="148"/>
      <c r="DI168" s="101"/>
      <c r="DJ168" s="92">
        <f>IF(Model!DK202&lt;&gt;"",Model!DJ202,"")</f>
        <v>0</v>
      </c>
      <c r="DK168" s="148"/>
      <c r="DL168" s="101"/>
      <c r="DM168" s="92">
        <f>IF(Model!DN202&lt;&gt;"",Model!DM202,"")</f>
        <v>0</v>
      </c>
      <c r="DN168" s="148"/>
      <c r="DO168" s="101"/>
      <c r="DP168" s="92">
        <f>IF(Model!DQ202&lt;&gt;"",Model!DP202,"")</f>
        <v>0</v>
      </c>
      <c r="DQ168" s="148"/>
      <c r="DR168" s="101"/>
      <c r="DS168" s="92">
        <f>IF(Model!DT202&lt;&gt;"",Model!DS202,"")</f>
        <v>0</v>
      </c>
      <c r="DT168" s="148"/>
      <c r="DU168" s="101"/>
      <c r="DV168" s="92">
        <f>IF(Model!DW202&lt;&gt;"",Model!DV202,"")</f>
        <v>0</v>
      </c>
      <c r="DW168" s="148"/>
      <c r="DX168" s="101"/>
      <c r="DY168" s="92">
        <f>IF(Model!DZ202&lt;&gt;"",Model!DY202,"")</f>
        <v>0</v>
      </c>
      <c r="DZ168" s="148"/>
      <c r="EA168" s="101"/>
      <c r="EB168" s="92">
        <f>IF(Model!EC202&lt;&gt;"",Model!EB202,"")</f>
        <v>0</v>
      </c>
      <c r="EC168" s="148"/>
      <c r="ED168" s="101"/>
      <c r="EE168" s="92">
        <f>IF(Model!EF202&lt;&gt;"",Model!EE202,"")</f>
        <v>0</v>
      </c>
      <c r="EF168" s="148"/>
      <c r="EG168" s="101"/>
      <c r="EH168" s="92">
        <f>IF(Model!EI202&lt;&gt;"",Model!EH202,"")</f>
        <v>0</v>
      </c>
      <c r="EI168" s="148"/>
      <c r="EJ168" s="101"/>
      <c r="EK168" s="92">
        <f>IF(Model!EL202&lt;&gt;"",Model!EK202,"")</f>
        <v>0</v>
      </c>
      <c r="EL168" s="148"/>
      <c r="EM168" s="101"/>
      <c r="EN168" s="92">
        <f>IF(Model!EO202&lt;&gt;"",Model!EN202,"")</f>
        <v>0</v>
      </c>
      <c r="EO168" s="148"/>
      <c r="EP168" s="101"/>
      <c r="EQ168" s="92">
        <f>IF(Model!ER202&lt;&gt;"",Model!EQ202,"")</f>
        <v>0</v>
      </c>
      <c r="ER168" s="148"/>
      <c r="ES168" s="101"/>
      <c r="ET168" s="92">
        <f>IF(Model!EU202&lt;&gt;"",Model!ET202,"")</f>
        <v>0</v>
      </c>
      <c r="EU168" s="148"/>
      <c r="EV168" s="101"/>
      <c r="EW168" s="92">
        <f>IF(Model!EX202&lt;&gt;"",Model!EW202,"")</f>
        <v>0</v>
      </c>
      <c r="EX168" s="148"/>
      <c r="EY168" s="101"/>
      <c r="EZ168" s="92">
        <f>IF(Model!FA202&lt;&gt;"",Model!EZ202,"")</f>
        <v>0</v>
      </c>
      <c r="FA168" s="148"/>
    </row>
    <row r="169" spans="1:157" ht="13.35" customHeight="1">
      <c r="A169" s="3"/>
      <c r="B169" s="54" t="s">
        <v>144</v>
      </c>
      <c r="C169" s="54"/>
      <c r="D169" s="54"/>
      <c r="E169" s="92" t="str">
        <f>IF(Model!E203&lt;&gt;"",Model!E203,"")</f>
        <v/>
      </c>
      <c r="F169" s="92" t="str">
        <f>IF(Model!G203&lt;&gt;"",Model!F203,"")</f>
        <v/>
      </c>
      <c r="G169" s="92" t="str">
        <f>IF(Model!G203&lt;&gt;"",Model!G203,"")</f>
        <v/>
      </c>
      <c r="H169" s="92" t="str">
        <f>IF(Model!H203&lt;&gt;"",Model!H203,"")</f>
        <v/>
      </c>
      <c r="I169" s="92" t="str">
        <f>IF(Model!J203&lt;&gt;"",Model!I203,"")</f>
        <v/>
      </c>
      <c r="J169" s="92" t="str">
        <f>IF(Model!J203&lt;&gt;"",Model!J203,"")</f>
        <v/>
      </c>
      <c r="K169" s="92" t="str">
        <f>IF(Model!K203&lt;&gt;"",Model!K203,"")</f>
        <v/>
      </c>
      <c r="L169" s="92" t="str">
        <f>IF(Model!M203&lt;&gt;"",Model!L203,"")</f>
        <v/>
      </c>
      <c r="M169" s="92" t="str">
        <f>IF(Model!M203&lt;&gt;"",Model!M203,"")</f>
        <v/>
      </c>
      <c r="N169" s="92" t="str">
        <f>IF(Model!N203&lt;&gt;"",Model!N203,"")</f>
        <v/>
      </c>
      <c r="O169" s="92" t="str">
        <f>IF(Model!P203&lt;&gt;"",Model!O203,"")</f>
        <v/>
      </c>
      <c r="P169" s="92" t="str">
        <f>IF(Model!P203&lt;&gt;"",Model!P203,"")</f>
        <v/>
      </c>
      <c r="Q169" s="92" t="str">
        <f>IF(Model!Q203&lt;&gt;"",Model!Q203,"")</f>
        <v/>
      </c>
      <c r="R169" s="92" t="str">
        <f>IF(Model!S203&lt;&gt;"",Model!R203,"")</f>
        <v/>
      </c>
      <c r="S169" s="92" t="str">
        <f>IF(Model!S203&lt;&gt;"",Model!S203,"")</f>
        <v/>
      </c>
      <c r="T169" s="92" t="str">
        <f>IF(Model!T203&lt;&gt;"",Model!T203,"")</f>
        <v/>
      </c>
      <c r="U169" s="92" t="str">
        <f>IF(Model!V203&lt;&gt;"",Model!U203,"")</f>
        <v/>
      </c>
      <c r="V169" s="92" t="str">
        <f>IF(Model!V203&lt;&gt;"",Model!V203,"")</f>
        <v/>
      </c>
      <c r="W169" s="92" t="str">
        <f>IF(Model!W203&lt;&gt;"",Model!W203,"")</f>
        <v/>
      </c>
      <c r="X169" s="92" t="str">
        <f>IF(Model!Y203&lt;&gt;"",Model!X203,"")</f>
        <v/>
      </c>
      <c r="Y169" s="92" t="str">
        <f>IF(Model!Y203&lt;&gt;"",Model!Y203,"")</f>
        <v/>
      </c>
      <c r="Z169" s="92" t="str">
        <f>IF(Model!Z203&lt;&gt;"",Model!Z203,"")</f>
        <v/>
      </c>
      <c r="AA169" s="92" t="str">
        <f>IF(Model!AB203&lt;&gt;"",Model!AA203,"")</f>
        <v/>
      </c>
      <c r="AB169" s="92" t="str">
        <f>IF(Model!AB203&lt;&gt;"",Model!AB203,"")</f>
        <v/>
      </c>
      <c r="AC169" s="92" t="str">
        <f>IF(Model!AC203&lt;&gt;"",Model!AC203,"")</f>
        <v/>
      </c>
      <c r="AD169" s="92" t="str">
        <f>IF(Model!AE203&lt;&gt;"",Model!AD203,"")</f>
        <v/>
      </c>
      <c r="AE169" s="92" t="str">
        <f>IF(Model!AE203&lt;&gt;"",Model!AE203,"")</f>
        <v/>
      </c>
      <c r="AF169" s="92" t="str">
        <f>IF(Model!AF203&lt;&gt;"",Model!AF203,"")</f>
        <v/>
      </c>
      <c r="AG169" s="92" t="str">
        <f>IF(Model!AH203&lt;&gt;"",Model!AG203,"")</f>
        <v/>
      </c>
      <c r="AH169" s="92" t="str">
        <f>IF(Model!AH203&lt;&gt;"",Model!AH203,"")</f>
        <v/>
      </c>
      <c r="AI169" s="92" t="str">
        <f>IF(Model!AI203&lt;&gt;"",Model!AI203,"")</f>
        <v/>
      </c>
      <c r="AJ169" s="92" t="str">
        <f>IF(Model!AK203&lt;&gt;"",Model!AJ203,"")</f>
        <v/>
      </c>
      <c r="AK169" s="92" t="str">
        <f>IF(Model!AK203&lt;&gt;"",Model!AK203,"")</f>
        <v/>
      </c>
      <c r="AL169" s="92" t="str">
        <f>IF(Model!AL203&lt;&gt;"",Model!AL203,"")</f>
        <v/>
      </c>
      <c r="AM169" s="92" t="str">
        <f>IF(Model!AN203&lt;&gt;"",Model!AM203,"")</f>
        <v/>
      </c>
      <c r="AN169" s="92" t="str">
        <f>IF(Model!AN203&lt;&gt;"",Model!AN203,"")</f>
        <v/>
      </c>
      <c r="AO169" s="92" t="str">
        <f>IF(Model!AO203&lt;&gt;"",Model!AO203,"")</f>
        <v/>
      </c>
      <c r="AP169" s="92" t="str">
        <f>IF(Model!AQ203&lt;&gt;"",Model!AP203,"")</f>
        <v/>
      </c>
      <c r="AQ169" s="92" t="str">
        <f>IF(Model!AQ203&lt;&gt;"",Model!AQ203,"")</f>
        <v/>
      </c>
      <c r="AR169" s="92" t="str">
        <f>IF(Model!AR203&lt;&gt;"",Model!AR203,"")</f>
        <v/>
      </c>
      <c r="AS169" s="92">
        <v>0</v>
      </c>
      <c r="AT169" s="92">
        <v>0</v>
      </c>
      <c r="AU169" s="92">
        <v>0</v>
      </c>
      <c r="AV169" s="92">
        <f>IF(Model!AW203&lt;&gt;"",Model!AV203,"")</f>
        <v>-0.67900000000000005</v>
      </c>
      <c r="AW169" s="92">
        <f>IF(Model!AW203&lt;&gt;"",Model!AW203,"")</f>
        <v>-0.67900000000000005</v>
      </c>
      <c r="AX169" s="92" t="str">
        <f>IF(Model!AX203&lt;&gt;"",Model!AX203,"")</f>
        <v/>
      </c>
      <c r="AY169" s="92">
        <f>IF(Model!AZ203&lt;&gt;"",Model!AY203,"")</f>
        <v>-6.4989999999999997</v>
      </c>
      <c r="AZ169" s="92">
        <f>IF(Model!AZ203&lt;&gt;"",Model!AZ203,"")</f>
        <v>-6.4989999999999997</v>
      </c>
      <c r="BA169" s="100"/>
      <c r="BB169" s="92"/>
      <c r="BC169" s="101"/>
      <c r="BD169" s="101"/>
      <c r="BE169" s="92"/>
      <c r="BF169" s="101"/>
      <c r="BG169" s="101"/>
      <c r="BH169" s="92"/>
      <c r="BI169" s="101"/>
      <c r="BJ169" s="101"/>
      <c r="BK169" s="92"/>
      <c r="BL169" s="101"/>
      <c r="BM169" s="101"/>
      <c r="BN169" s="92"/>
      <c r="BO169" s="101"/>
      <c r="BP169" s="101"/>
      <c r="BQ169" s="92"/>
      <c r="BR169" s="101"/>
      <c r="BS169" s="101"/>
      <c r="BT169" s="92"/>
      <c r="BU169" s="101"/>
      <c r="BV169" s="101"/>
      <c r="BW169" s="92"/>
      <c r="BX169" s="101"/>
      <c r="BY169" s="101"/>
      <c r="BZ169" s="92"/>
      <c r="CA169" s="101"/>
      <c r="CB169" s="101"/>
      <c r="CC169" s="92"/>
      <c r="CD169" s="101"/>
      <c r="CE169" s="101"/>
      <c r="CF169" s="92"/>
      <c r="CG169" s="101"/>
      <c r="CH169" s="101"/>
      <c r="CI169" s="92"/>
      <c r="CJ169" s="101"/>
      <c r="CK169" s="101"/>
      <c r="CL169" s="92"/>
      <c r="CM169" s="101"/>
      <c r="CN169" s="101"/>
      <c r="CO169" s="92"/>
      <c r="CP169" s="101"/>
      <c r="CQ169" s="101"/>
      <c r="CR169" s="92"/>
      <c r="CS169" s="101"/>
      <c r="CT169" s="101"/>
      <c r="CU169" s="92"/>
      <c r="CV169" s="101"/>
      <c r="CW169" s="101"/>
      <c r="CX169" s="92"/>
      <c r="CY169" s="101"/>
      <c r="CZ169" s="101"/>
      <c r="DA169" s="92"/>
      <c r="DB169" s="101"/>
      <c r="DC169" s="101"/>
      <c r="DD169" s="92"/>
      <c r="DE169" s="148"/>
      <c r="DF169" s="101">
        <v>18.100000000000001</v>
      </c>
      <c r="DG169" s="92"/>
      <c r="DH169" s="148">
        <f>18.7-17.8</f>
        <v>0.89999999999999858</v>
      </c>
      <c r="DI169" s="101"/>
      <c r="DJ169" s="92"/>
      <c r="DK169" s="148"/>
      <c r="DL169" s="101"/>
      <c r="DM169" s="92"/>
      <c r="DN169" s="148"/>
      <c r="DO169" s="101"/>
      <c r="DP169" s="92"/>
      <c r="DQ169" s="148"/>
      <c r="DR169" s="101"/>
      <c r="DS169" s="92"/>
      <c r="DT169" s="148"/>
      <c r="DU169" s="101"/>
      <c r="DV169" s="92"/>
      <c r="DW169" s="148"/>
      <c r="DX169" s="101"/>
      <c r="DY169" s="92"/>
      <c r="DZ169" s="148"/>
      <c r="EA169" s="101"/>
      <c r="EB169" s="92"/>
      <c r="EC169" s="148"/>
      <c r="ED169" s="101"/>
      <c r="EE169" s="92"/>
      <c r="EF169" s="148"/>
      <c r="EG169" s="101"/>
      <c r="EH169" s="92"/>
      <c r="EI169" s="148"/>
      <c r="EJ169" s="101"/>
      <c r="EK169" s="92"/>
      <c r="EL169" s="148"/>
      <c r="EM169" s="101"/>
      <c r="EN169" s="92"/>
      <c r="EO169" s="148"/>
      <c r="EP169" s="101"/>
      <c r="EQ169" s="92"/>
      <c r="ER169" s="148"/>
      <c r="ES169" s="101"/>
      <c r="ET169" s="92"/>
      <c r="EU169" s="148"/>
      <c r="EV169" s="101"/>
      <c r="EW169" s="92"/>
      <c r="EX169" s="148"/>
      <c r="EY169" s="101"/>
      <c r="EZ169" s="92"/>
      <c r="FA169" s="148"/>
    </row>
    <row r="170" spans="1:157" ht="13.35" customHeight="1">
      <c r="A170" s="3"/>
      <c r="B170" s="5" t="s">
        <v>145</v>
      </c>
      <c r="C170" s="5"/>
      <c r="D170" s="3"/>
      <c r="E170" s="93"/>
      <c r="F170" s="93"/>
      <c r="G170" s="93"/>
      <c r="H170" s="93"/>
      <c r="I170" s="93"/>
      <c r="J170" s="93"/>
      <c r="K170" s="93"/>
      <c r="L170" s="93"/>
      <c r="M170" s="93"/>
      <c r="N170" s="93"/>
      <c r="O170" s="93"/>
      <c r="P170" s="93"/>
      <c r="Q170" s="93"/>
      <c r="R170" s="93"/>
      <c r="S170" s="93"/>
      <c r="T170" s="93"/>
      <c r="U170" s="93"/>
      <c r="V170" s="93"/>
      <c r="W170" s="93"/>
      <c r="X170" s="93"/>
      <c r="Y170" s="93"/>
      <c r="Z170" s="93"/>
      <c r="AA170" s="93"/>
      <c r="AB170" s="93"/>
      <c r="AC170" s="93"/>
      <c r="AD170" s="93"/>
      <c r="AE170" s="93"/>
      <c r="AF170" s="93"/>
      <c r="AG170" s="93"/>
      <c r="AH170" s="93"/>
      <c r="AI170" s="93"/>
      <c r="AJ170" s="93"/>
      <c r="AK170" s="93"/>
      <c r="AL170" s="93"/>
      <c r="AM170" s="93"/>
      <c r="AN170" s="93"/>
      <c r="AO170" s="93"/>
      <c r="AP170" s="93"/>
      <c r="AQ170" s="93"/>
      <c r="AR170" s="93"/>
      <c r="AS170" s="93"/>
      <c r="AT170" s="93"/>
      <c r="AU170" s="93"/>
      <c r="AV170" s="93"/>
      <c r="AW170" s="93"/>
      <c r="AX170" s="93"/>
      <c r="AY170" s="93"/>
      <c r="AZ170" s="93"/>
      <c r="BA170" s="93"/>
      <c r="BB170" s="93"/>
      <c r="BC170" s="93"/>
      <c r="BD170" s="93"/>
      <c r="BE170" s="93"/>
      <c r="BF170" s="93"/>
      <c r="BG170" s="93"/>
      <c r="BH170" s="93"/>
      <c r="BI170" s="93"/>
      <c r="BJ170" s="93"/>
      <c r="BK170" s="93"/>
      <c r="BL170" s="93"/>
      <c r="BM170" s="93"/>
      <c r="BN170" s="93"/>
      <c r="BO170" s="93"/>
      <c r="BP170" s="100">
        <f>BM170</f>
        <v>0</v>
      </c>
      <c r="BQ170" s="93"/>
      <c r="BR170" s="93"/>
      <c r="BS170" s="93"/>
      <c r="BT170" s="93"/>
      <c r="BU170" s="93"/>
      <c r="BV170" s="93"/>
      <c r="BW170" s="93"/>
      <c r="BX170" s="93"/>
      <c r="BY170" s="93"/>
      <c r="BZ170" s="93"/>
      <c r="CA170" s="93"/>
      <c r="CB170" s="93"/>
      <c r="CC170" s="93"/>
      <c r="CD170" s="93"/>
      <c r="CE170" s="93"/>
      <c r="CF170" s="93"/>
      <c r="CG170" s="93"/>
      <c r="CH170" s="93"/>
      <c r="CI170" s="93"/>
      <c r="CJ170" s="93"/>
      <c r="CK170" s="93"/>
      <c r="CL170" s="93"/>
      <c r="CM170" s="93"/>
      <c r="CN170" s="93"/>
      <c r="CO170" s="93"/>
      <c r="CP170" s="93"/>
      <c r="CQ170" s="93"/>
      <c r="CR170" s="93"/>
      <c r="CS170" s="93"/>
      <c r="CT170" s="93"/>
      <c r="CU170" s="93"/>
      <c r="CV170" s="93"/>
      <c r="CW170" s="93"/>
      <c r="CX170" s="93"/>
      <c r="CY170" s="93"/>
      <c r="CZ170" s="93"/>
      <c r="DA170" s="93"/>
      <c r="DB170" s="93"/>
      <c r="DC170" s="93"/>
      <c r="DD170" s="93"/>
      <c r="DE170" s="144"/>
      <c r="DF170" s="93"/>
      <c r="DG170" s="93"/>
      <c r="DH170" s="144"/>
      <c r="DI170" s="93"/>
      <c r="DJ170" s="93"/>
      <c r="DK170" s="144"/>
      <c r="DL170" s="93"/>
      <c r="DM170" s="93"/>
      <c r="DN170" s="144"/>
      <c r="DO170" s="93"/>
      <c r="DP170" s="93"/>
      <c r="DQ170" s="144"/>
      <c r="DR170" s="93"/>
      <c r="DS170" s="93"/>
      <c r="DT170" s="144"/>
      <c r="DU170" s="93"/>
      <c r="DV170" s="93"/>
      <c r="DW170" s="144"/>
      <c r="DX170" s="93"/>
      <c r="DY170" s="93"/>
      <c r="DZ170" s="144"/>
      <c r="EA170" s="93"/>
      <c r="EB170" s="93"/>
      <c r="EC170" s="144"/>
      <c r="ED170" s="93"/>
      <c r="EE170" s="93"/>
      <c r="EF170" s="144"/>
      <c r="EG170" s="93"/>
      <c r="EH170" s="93"/>
      <c r="EI170" s="144"/>
      <c r="EJ170" s="93"/>
      <c r="EK170" s="93"/>
      <c r="EL170" s="144"/>
      <c r="EM170" s="93"/>
      <c r="EN170" s="93"/>
      <c r="EO170" s="144"/>
      <c r="EP170" s="93"/>
      <c r="EQ170" s="93"/>
      <c r="ER170" s="144"/>
      <c r="ES170" s="93"/>
      <c r="ET170" s="93"/>
      <c r="EU170" s="144"/>
      <c r="EV170" s="93"/>
      <c r="EW170" s="93"/>
      <c r="EX170" s="144"/>
      <c r="EY170" s="93"/>
      <c r="EZ170" s="93"/>
      <c r="FA170" s="144"/>
    </row>
    <row r="171" spans="1:157" ht="13.35" customHeight="1">
      <c r="A171" s="3"/>
      <c r="B171" s="54" t="s">
        <v>146</v>
      </c>
      <c r="C171" s="54"/>
      <c r="D171" s="54"/>
      <c r="E171" s="92" t="str">
        <f t="shared" ref="E171:AJ171" si="160">IF(OR(E172&lt;&gt;"",E173&lt;&gt;""),SUM(E172:E173),"")</f>
        <v/>
      </c>
      <c r="F171" s="92" t="str">
        <f t="shared" si="160"/>
        <v/>
      </c>
      <c r="G171" s="92" t="str">
        <f t="shared" si="160"/>
        <v/>
      </c>
      <c r="H171" s="92" t="str">
        <f t="shared" si="160"/>
        <v/>
      </c>
      <c r="I171" s="92" t="str">
        <f t="shared" si="160"/>
        <v/>
      </c>
      <c r="J171" s="92" t="str">
        <f t="shared" si="160"/>
        <v/>
      </c>
      <c r="K171" s="92" t="str">
        <f t="shared" si="160"/>
        <v/>
      </c>
      <c r="L171" s="92" t="str">
        <f t="shared" si="160"/>
        <v/>
      </c>
      <c r="M171" s="92" t="str">
        <f t="shared" si="160"/>
        <v/>
      </c>
      <c r="N171" s="92" t="str">
        <f t="shared" si="160"/>
        <v/>
      </c>
      <c r="O171" s="92" t="str">
        <f t="shared" si="160"/>
        <v/>
      </c>
      <c r="P171" s="92" t="str">
        <f t="shared" si="160"/>
        <v/>
      </c>
      <c r="Q171" s="92" t="str">
        <f t="shared" si="160"/>
        <v/>
      </c>
      <c r="R171" s="92" t="str">
        <f t="shared" si="160"/>
        <v/>
      </c>
      <c r="S171" s="92" t="str">
        <f t="shared" si="160"/>
        <v/>
      </c>
      <c r="T171" s="92" t="str">
        <f t="shared" si="160"/>
        <v/>
      </c>
      <c r="U171" s="92" t="str">
        <f t="shared" si="160"/>
        <v/>
      </c>
      <c r="V171" s="92" t="str">
        <f t="shared" si="160"/>
        <v/>
      </c>
      <c r="W171" s="92" t="str">
        <f t="shared" si="160"/>
        <v/>
      </c>
      <c r="X171" s="92" t="str">
        <f t="shared" si="160"/>
        <v/>
      </c>
      <c r="Y171" s="92" t="str">
        <f t="shared" si="160"/>
        <v/>
      </c>
      <c r="Z171" s="92" t="str">
        <f t="shared" si="160"/>
        <v/>
      </c>
      <c r="AA171" s="92" t="str">
        <f t="shared" si="160"/>
        <v/>
      </c>
      <c r="AB171" s="92" t="str">
        <f t="shared" si="160"/>
        <v/>
      </c>
      <c r="AC171" s="92" t="str">
        <f t="shared" si="160"/>
        <v/>
      </c>
      <c r="AD171" s="92" t="str">
        <f t="shared" si="160"/>
        <v/>
      </c>
      <c r="AE171" s="92" t="str">
        <f t="shared" si="160"/>
        <v/>
      </c>
      <c r="AF171" s="92" t="str">
        <f t="shared" si="160"/>
        <v/>
      </c>
      <c r="AG171" s="92" t="str">
        <f t="shared" si="160"/>
        <v/>
      </c>
      <c r="AH171" s="92" t="str">
        <f t="shared" si="160"/>
        <v/>
      </c>
      <c r="AI171" s="92" t="str">
        <f t="shared" si="160"/>
        <v/>
      </c>
      <c r="AJ171" s="92" t="str">
        <f t="shared" si="160"/>
        <v/>
      </c>
      <c r="AK171" s="92" t="str">
        <f t="shared" ref="AK171:BC171" si="161">IF(OR(AK172&lt;&gt;"",AK173&lt;&gt;""),SUM(AK172:AK173),"")</f>
        <v/>
      </c>
      <c r="AL171" s="92" t="str">
        <f t="shared" si="161"/>
        <v/>
      </c>
      <c r="AM171" s="92" t="str">
        <f t="shared" si="161"/>
        <v/>
      </c>
      <c r="AN171" s="92" t="str">
        <f t="shared" si="161"/>
        <v/>
      </c>
      <c r="AO171" s="92" t="str">
        <f t="shared" si="161"/>
        <v/>
      </c>
      <c r="AP171" s="92" t="str">
        <f t="shared" si="161"/>
        <v/>
      </c>
      <c r="AQ171" s="92" t="str">
        <f t="shared" si="161"/>
        <v/>
      </c>
      <c r="AR171" s="92">
        <f t="shared" si="161"/>
        <v>2.6680000000000001</v>
      </c>
      <c r="AS171" s="92">
        <f t="shared" si="161"/>
        <v>0</v>
      </c>
      <c r="AT171" s="92">
        <f t="shared" si="161"/>
        <v>2.6680000000000001</v>
      </c>
      <c r="AU171" s="92">
        <f t="shared" si="161"/>
        <v>0.43</v>
      </c>
      <c r="AV171" s="92">
        <f t="shared" si="161"/>
        <v>0.32800000000000001</v>
      </c>
      <c r="AW171" s="92">
        <f t="shared" si="161"/>
        <v>0.75800000000000001</v>
      </c>
      <c r="AX171" s="92">
        <f t="shared" si="161"/>
        <v>2.4049999999999998</v>
      </c>
      <c r="AY171" s="92">
        <f t="shared" si="161"/>
        <v>354.113</v>
      </c>
      <c r="AZ171" s="92">
        <f t="shared" si="161"/>
        <v>356.51799999999997</v>
      </c>
      <c r="BA171" s="92" t="str">
        <f t="shared" si="161"/>
        <v/>
      </c>
      <c r="BB171" s="92">
        <f t="shared" si="161"/>
        <v>-4.6459999999999999</v>
      </c>
      <c r="BC171" s="92">
        <f t="shared" si="161"/>
        <v>0</v>
      </c>
      <c r="BD171" s="92">
        <v>320</v>
      </c>
      <c r="BE171" s="92">
        <f t="shared" ref="BE171:CG171" si="162">IF(OR(BE172&lt;&gt;"",BE173&lt;&gt;""),SUM(BE172:BE173),"")</f>
        <v>-0.37199999999995725</v>
      </c>
      <c r="BF171" s="92">
        <f t="shared" si="162"/>
        <v>0</v>
      </c>
      <c r="BG171" s="92" t="str">
        <f t="shared" si="162"/>
        <v/>
      </c>
      <c r="BH171" s="92">
        <f t="shared" si="162"/>
        <v>1.0330000000000004</v>
      </c>
      <c r="BI171" s="92">
        <f t="shared" si="162"/>
        <v>0</v>
      </c>
      <c r="BJ171" s="92">
        <f t="shared" si="162"/>
        <v>0</v>
      </c>
      <c r="BK171" s="92">
        <f t="shared" si="162"/>
        <v>0</v>
      </c>
      <c r="BL171" s="92">
        <f t="shared" si="162"/>
        <v>0</v>
      </c>
      <c r="BM171" s="92">
        <f t="shared" si="162"/>
        <v>0</v>
      </c>
      <c r="BN171" s="92">
        <f t="shared" si="162"/>
        <v>0</v>
      </c>
      <c r="BO171" s="92">
        <f t="shared" si="162"/>
        <v>-330</v>
      </c>
      <c r="BP171" s="92">
        <f t="shared" si="162"/>
        <v>-272</v>
      </c>
      <c r="BQ171" s="92">
        <f t="shared" si="162"/>
        <v>0</v>
      </c>
      <c r="BR171" s="92">
        <f t="shared" si="162"/>
        <v>-272</v>
      </c>
      <c r="BS171" s="92">
        <f t="shared" si="162"/>
        <v>0</v>
      </c>
      <c r="BT171" s="92">
        <f t="shared" si="162"/>
        <v>0</v>
      </c>
      <c r="BU171" s="92">
        <f t="shared" si="162"/>
        <v>0</v>
      </c>
      <c r="BV171" s="92">
        <f t="shared" si="162"/>
        <v>0</v>
      </c>
      <c r="BW171" s="92">
        <f t="shared" si="162"/>
        <v>0</v>
      </c>
      <c r="BX171" s="92">
        <f t="shared" si="162"/>
        <v>0</v>
      </c>
      <c r="BY171" s="92">
        <f t="shared" si="162"/>
        <v>1891</v>
      </c>
      <c r="BZ171" s="92">
        <f t="shared" si="162"/>
        <v>0</v>
      </c>
      <c r="CA171" s="92">
        <f t="shared" si="162"/>
        <v>1891</v>
      </c>
      <c r="CB171" s="92">
        <f t="shared" si="162"/>
        <v>-1905.3</v>
      </c>
      <c r="CC171" s="92">
        <f t="shared" si="162"/>
        <v>0</v>
      </c>
      <c r="CD171" s="92">
        <f t="shared" si="162"/>
        <v>-1905.3</v>
      </c>
      <c r="CE171" s="92">
        <f t="shared" si="162"/>
        <v>-300</v>
      </c>
      <c r="CF171" s="92">
        <f t="shared" si="162"/>
        <v>-600</v>
      </c>
      <c r="CG171" s="92">
        <f t="shared" si="162"/>
        <v>-900</v>
      </c>
      <c r="CH171" s="92">
        <f t="shared" ref="CH171:CM171" si="163">IF(OR(CH172&lt;&gt;"",CH173&lt;&gt;""),SUM(CH172:CH173),"")</f>
        <v>-181.12835684999999</v>
      </c>
      <c r="CI171" s="92">
        <f t="shared" si="163"/>
        <v>-315</v>
      </c>
      <c r="CJ171" s="92">
        <f t="shared" si="163"/>
        <v>-496.12835684999999</v>
      </c>
      <c r="CK171" s="92">
        <f t="shared" si="163"/>
        <v>0</v>
      </c>
      <c r="CL171" s="92">
        <f t="shared" si="163"/>
        <v>0</v>
      </c>
      <c r="CM171" s="92">
        <f t="shared" si="163"/>
        <v>0</v>
      </c>
      <c r="CN171" s="92">
        <f t="shared" ref="CN171:DQ171" si="164">IF(OR(CN172&lt;&gt;"",CN173&lt;&gt;""),SUM(CN172:CN173),"")</f>
        <v>0</v>
      </c>
      <c r="CO171" s="92">
        <f t="shared" si="164"/>
        <v>0</v>
      </c>
      <c r="CP171" s="92">
        <f t="shared" si="164"/>
        <v>0</v>
      </c>
      <c r="CQ171" s="92">
        <f t="shared" si="164"/>
        <v>0</v>
      </c>
      <c r="CR171" s="92">
        <f t="shared" si="164"/>
        <v>0</v>
      </c>
      <c r="CS171" s="92">
        <f t="shared" si="164"/>
        <v>0</v>
      </c>
      <c r="CT171" s="92">
        <f t="shared" si="164"/>
        <v>0</v>
      </c>
      <c r="CU171" s="92">
        <f t="shared" si="164"/>
        <v>0</v>
      </c>
      <c r="CV171" s="92">
        <f t="shared" si="164"/>
        <v>0</v>
      </c>
      <c r="CW171" s="92">
        <f t="shared" si="164"/>
        <v>0</v>
      </c>
      <c r="CX171" s="92">
        <f t="shared" si="164"/>
        <v>0</v>
      </c>
      <c r="CY171" s="92">
        <f t="shared" si="164"/>
        <v>0</v>
      </c>
      <c r="CZ171" s="92">
        <f t="shared" si="164"/>
        <v>0</v>
      </c>
      <c r="DA171" s="92">
        <f t="shared" si="164"/>
        <v>0</v>
      </c>
      <c r="DB171" s="92">
        <f t="shared" si="164"/>
        <v>0</v>
      </c>
      <c r="DC171" s="92">
        <f t="shared" si="164"/>
        <v>0</v>
      </c>
      <c r="DD171" s="92">
        <f t="shared" si="164"/>
        <v>0</v>
      </c>
      <c r="DE171" s="144">
        <f t="shared" si="164"/>
        <v>0</v>
      </c>
      <c r="DF171" s="92">
        <f t="shared" si="164"/>
        <v>0</v>
      </c>
      <c r="DG171" s="92">
        <f t="shared" si="164"/>
        <v>0</v>
      </c>
      <c r="DH171" s="144">
        <f t="shared" si="164"/>
        <v>0</v>
      </c>
      <c r="DI171" s="92">
        <f t="shared" si="164"/>
        <v>38.200000000000003</v>
      </c>
      <c r="DJ171" s="92">
        <f>IF(OR(DJ172&lt;&gt;"",DJ173&lt;&gt;""),SUM(DJ172:DJ173),"")</f>
        <v>18.199999999999996</v>
      </c>
      <c r="DK171" s="144">
        <f>IF(OR(DK172&lt;&gt;"",DK173&lt;&gt;""),SUM(DK172:DK173),"")</f>
        <v>56.4</v>
      </c>
      <c r="DL171" s="92">
        <f t="shared" si="164"/>
        <v>0</v>
      </c>
      <c r="DM171" s="92">
        <f t="shared" si="164"/>
        <v>0</v>
      </c>
      <c r="DN171" s="144">
        <f t="shared" si="164"/>
        <v>0</v>
      </c>
      <c r="DO171" s="92">
        <f t="shared" si="164"/>
        <v>0</v>
      </c>
      <c r="DP171" s="92">
        <f t="shared" si="164"/>
        <v>0</v>
      </c>
      <c r="DQ171" s="144">
        <f t="shared" si="164"/>
        <v>0</v>
      </c>
      <c r="DR171" s="92">
        <f t="shared" ref="DR171:DZ171" si="165">IF(OR(DR172&lt;&gt;"",DR173&lt;&gt;""),SUM(DR172:DR173),"")</f>
        <v>0</v>
      </c>
      <c r="DS171" s="92">
        <f t="shared" si="165"/>
        <v>0</v>
      </c>
      <c r="DT171" s="144">
        <f t="shared" si="165"/>
        <v>0</v>
      </c>
      <c r="DU171" s="92">
        <f t="shared" si="165"/>
        <v>0</v>
      </c>
      <c r="DV171" s="92">
        <f>IF(OR(DV172&lt;&gt;"",DV173&lt;&gt;""),SUM(DV172:DV173),"")</f>
        <v>0</v>
      </c>
      <c r="DW171" s="144">
        <f>IF(OR(DW172&lt;&gt;"",DW173&lt;&gt;""),SUM(DW172:DW173),"")</f>
        <v>0</v>
      </c>
      <c r="DX171" s="92">
        <f t="shared" si="165"/>
        <v>-368</v>
      </c>
      <c r="DY171" s="92">
        <f t="shared" si="165"/>
        <v>-382</v>
      </c>
      <c r="DZ171" s="144">
        <f t="shared" si="165"/>
        <v>-750</v>
      </c>
      <c r="EA171" s="92">
        <f t="shared" ref="EA171:EF171" si="166">IF(OR(EA172&lt;&gt;"",EA173&lt;&gt;""),SUM(EA172:EA173),"")</f>
        <v>-375</v>
      </c>
      <c r="EB171" s="92">
        <f t="shared" si="166"/>
        <v>-375</v>
      </c>
      <c r="EC171" s="144">
        <f t="shared" si="166"/>
        <v>-750</v>
      </c>
      <c r="ED171" s="92">
        <f t="shared" si="166"/>
        <v>-375</v>
      </c>
      <c r="EE171" s="92">
        <f t="shared" si="166"/>
        <v>-375</v>
      </c>
      <c r="EF171" s="144">
        <f t="shared" si="166"/>
        <v>-750</v>
      </c>
      <c r="EG171" s="92">
        <f t="shared" ref="EG171:EL171" si="167">IF(OR(EG172&lt;&gt;"",EG173&lt;&gt;""),SUM(EG172:EG173),"")</f>
        <v>0</v>
      </c>
      <c r="EH171" s="92">
        <f t="shared" si="167"/>
        <v>0</v>
      </c>
      <c r="EI171" s="144">
        <f t="shared" si="167"/>
        <v>0</v>
      </c>
      <c r="EJ171" s="92">
        <f t="shared" si="167"/>
        <v>0</v>
      </c>
      <c r="EK171" s="92">
        <f t="shared" si="167"/>
        <v>0</v>
      </c>
      <c r="EL171" s="144">
        <f t="shared" si="167"/>
        <v>0</v>
      </c>
      <c r="EM171" s="92">
        <f t="shared" ref="EM171:ER171" si="168">IF(OR(EM172&lt;&gt;"",EM173&lt;&gt;""),SUM(EM172:EM173),"")</f>
        <v>0</v>
      </c>
      <c r="EN171" s="92">
        <f t="shared" si="168"/>
        <v>0</v>
      </c>
      <c r="EO171" s="144">
        <f t="shared" si="168"/>
        <v>0</v>
      </c>
      <c r="EP171" s="92">
        <f t="shared" si="168"/>
        <v>0</v>
      </c>
      <c r="EQ171" s="92">
        <f t="shared" si="168"/>
        <v>0</v>
      </c>
      <c r="ER171" s="144">
        <f t="shared" si="168"/>
        <v>0</v>
      </c>
      <c r="ES171" s="92">
        <f t="shared" ref="ES171:FA171" si="169">IF(OR(ES172&lt;&gt;"",ES173&lt;&gt;""),SUM(ES172:ES173),"")</f>
        <v>0</v>
      </c>
      <c r="ET171" s="92">
        <f t="shared" si="169"/>
        <v>0</v>
      </c>
      <c r="EU171" s="144">
        <f t="shared" si="169"/>
        <v>0</v>
      </c>
      <c r="EV171" s="92">
        <f t="shared" si="169"/>
        <v>0</v>
      </c>
      <c r="EW171" s="92">
        <f t="shared" si="169"/>
        <v>0</v>
      </c>
      <c r="EX171" s="144">
        <f t="shared" si="169"/>
        <v>0</v>
      </c>
      <c r="EY171" s="92">
        <f t="shared" si="169"/>
        <v>0</v>
      </c>
      <c r="EZ171" s="92">
        <f t="shared" si="169"/>
        <v>0</v>
      </c>
      <c r="FA171" s="144">
        <f t="shared" si="169"/>
        <v>0</v>
      </c>
    </row>
    <row r="172" spans="1:157" ht="13.35" customHeight="1">
      <c r="A172" s="3"/>
      <c r="B172" s="54" t="s">
        <v>679</v>
      </c>
      <c r="C172" s="54"/>
      <c r="D172" s="54"/>
      <c r="E172" s="92" t="str">
        <f>IF(Model!E206&lt;&gt;"",Model!E206,"")</f>
        <v/>
      </c>
      <c r="F172" s="92" t="str">
        <f>IF(Model!G206&lt;&gt;"",Model!F206,"")</f>
        <v/>
      </c>
      <c r="G172" s="92" t="str">
        <f>IF(Model!G206&lt;&gt;"",Model!G206,"")</f>
        <v/>
      </c>
      <c r="H172" s="92" t="str">
        <f>IF(Model!H206&lt;&gt;"",Model!H206,"")</f>
        <v/>
      </c>
      <c r="I172" s="92" t="str">
        <f>IF(Model!J206&lt;&gt;"",Model!I206,"")</f>
        <v/>
      </c>
      <c r="J172" s="92" t="str">
        <f>IF(Model!J206&lt;&gt;"",Model!J206,"")</f>
        <v/>
      </c>
      <c r="K172" s="92" t="str">
        <f>IF(Model!K206&lt;&gt;"",Model!K206,"")</f>
        <v/>
      </c>
      <c r="L172" s="92" t="str">
        <f>IF(Model!M206&lt;&gt;"",Model!L206,"")</f>
        <v/>
      </c>
      <c r="M172" s="92" t="str">
        <f>IF(Model!M206&lt;&gt;"",Model!M206,"")</f>
        <v/>
      </c>
      <c r="N172" s="92" t="str">
        <f>IF(Model!N206&lt;&gt;"",Model!N206,"")</f>
        <v/>
      </c>
      <c r="O172" s="92" t="str">
        <f>IF(Model!P206&lt;&gt;"",Model!O206,"")</f>
        <v/>
      </c>
      <c r="P172" s="92" t="str">
        <f>IF(Model!P206&lt;&gt;"",Model!P206,"")</f>
        <v/>
      </c>
      <c r="Q172" s="92" t="str">
        <f>IF(Model!Q206&lt;&gt;"",Model!Q206,"")</f>
        <v/>
      </c>
      <c r="R172" s="92" t="str">
        <f>IF(Model!S206&lt;&gt;"",Model!R206,"")</f>
        <v/>
      </c>
      <c r="S172" s="92" t="str">
        <f>IF(Model!S206&lt;&gt;"",Model!S206,"")</f>
        <v/>
      </c>
      <c r="T172" s="92" t="str">
        <f>IF(Model!T206&lt;&gt;"",Model!T206,"")</f>
        <v/>
      </c>
      <c r="U172" s="92" t="str">
        <f>IF(Model!V206&lt;&gt;"",Model!U206,"")</f>
        <v/>
      </c>
      <c r="V172" s="92" t="str">
        <f>IF(Model!V206&lt;&gt;"",Model!V206,"")</f>
        <v/>
      </c>
      <c r="W172" s="92" t="str">
        <f>IF(Model!W206&lt;&gt;"",Model!W206,"")</f>
        <v/>
      </c>
      <c r="X172" s="92" t="str">
        <f>IF(Model!Y206&lt;&gt;"",Model!X206,"")</f>
        <v/>
      </c>
      <c r="Y172" s="92" t="str">
        <f>IF(Model!Y206&lt;&gt;"",Model!Y206,"")</f>
        <v/>
      </c>
      <c r="Z172" s="92" t="str">
        <f>IF(Model!Z206&lt;&gt;"",Model!Z206,"")</f>
        <v/>
      </c>
      <c r="AA172" s="92" t="str">
        <f>IF(Model!AB206&lt;&gt;"",Model!AA206,"")</f>
        <v/>
      </c>
      <c r="AB172" s="92" t="str">
        <f>IF(Model!AB206&lt;&gt;"",Model!AB206,"")</f>
        <v/>
      </c>
      <c r="AC172" s="92" t="str">
        <f>IF(Model!AC206&lt;&gt;"",Model!AC206,"")</f>
        <v/>
      </c>
      <c r="AD172" s="92" t="str">
        <f>IF(Model!AE206&lt;&gt;"",Model!AD206,"")</f>
        <v/>
      </c>
      <c r="AE172" s="92" t="str">
        <f>IF(Model!AE206&lt;&gt;"",Model!AE206,"")</f>
        <v/>
      </c>
      <c r="AF172" s="92" t="str">
        <f>IF(Model!AF206&lt;&gt;"",Model!AF206,"")</f>
        <v/>
      </c>
      <c r="AG172" s="92" t="str">
        <f>IF(Model!AH206&lt;&gt;"",Model!AG206,"")</f>
        <v/>
      </c>
      <c r="AH172" s="92" t="str">
        <f>IF(Model!AH206&lt;&gt;"",Model!AH206,"")</f>
        <v/>
      </c>
      <c r="AI172" s="92" t="str">
        <f>IF(Model!AI206&lt;&gt;"",Model!AI206,"")</f>
        <v/>
      </c>
      <c r="AJ172" s="92" t="str">
        <f>IF(Model!AK206&lt;&gt;"",Model!AJ206,"")</f>
        <v/>
      </c>
      <c r="AK172" s="92" t="str">
        <f>IF(Model!AK206&lt;&gt;"",Model!AK206,"")</f>
        <v/>
      </c>
      <c r="AL172" s="92" t="str">
        <f>IF(Model!AL206&lt;&gt;"",Model!AL206,"")</f>
        <v/>
      </c>
      <c r="AM172" s="92" t="str">
        <f>IF(Model!AN206&lt;&gt;"",Model!AM206,"")</f>
        <v/>
      </c>
      <c r="AN172" s="92" t="str">
        <f>IF(Model!AN206&lt;&gt;"",Model!AN206,"")</f>
        <v/>
      </c>
      <c r="AO172" s="92" t="str">
        <f>IF(Model!AO206&lt;&gt;"",Model!AO206,"")</f>
        <v/>
      </c>
      <c r="AP172" s="92" t="str">
        <f>IF(Model!AQ206&lt;&gt;"",Model!AP206,"")</f>
        <v/>
      </c>
      <c r="AQ172" s="92" t="str">
        <f>IF(Model!AQ206&lt;&gt;"",Model!AQ206,"")</f>
        <v/>
      </c>
      <c r="AR172" s="92">
        <f>IF(Model!AR206&lt;&gt;"",Model!AR206,"")</f>
        <v>2.6680000000000001</v>
      </c>
      <c r="AS172" s="92">
        <f>IF(Model!AT206&lt;&gt;"",Model!AS206,"")</f>
        <v>0</v>
      </c>
      <c r="AT172" s="92">
        <f>IF(Model!AT206&lt;&gt;"",Model!AT206,"")</f>
        <v>2.6680000000000001</v>
      </c>
      <c r="AU172" s="92">
        <f>IF(Model!AU206&lt;&gt;"",Model!AU206,"")</f>
        <v>0.43</v>
      </c>
      <c r="AV172" s="92">
        <f>IF(Model!AW206&lt;&gt;"",Model!AV206,"")</f>
        <v>0.32800000000000001</v>
      </c>
      <c r="AW172" s="92">
        <f>IF(Model!AW206&lt;&gt;"",Model!AW206,"")</f>
        <v>0.75800000000000001</v>
      </c>
      <c r="AX172" s="92">
        <f>IF(Model!AX206&lt;&gt;"",Model!AX206,"")</f>
        <v>2.4049999999999998</v>
      </c>
      <c r="AY172" s="92">
        <f>IF(Model!AZ206&lt;&gt;"",Model!AY206,"")</f>
        <v>354.113</v>
      </c>
      <c r="AZ172" s="92">
        <f>IF(Model!AZ206&lt;&gt;"",Model!AZ206,"")</f>
        <v>356.51799999999997</v>
      </c>
      <c r="BA172" s="92"/>
      <c r="BB172" s="92">
        <f>IF(Model!BC206&lt;&gt;"",Model!BB206,"")</f>
        <v>-4.6459999999999999</v>
      </c>
      <c r="BC172" s="93"/>
      <c r="BD172" s="93"/>
      <c r="BE172" s="92">
        <f>IF(Model!BF206&lt;&gt;"",Model!BE206,"")</f>
        <v>-0.37199999999995725</v>
      </c>
      <c r="BF172" s="92">
        <v>0</v>
      </c>
      <c r="BG172" s="92"/>
      <c r="BH172" s="92">
        <f>IF(Model!BI206&lt;&gt;"",Model!BH206,"")</f>
        <v>1.0330000000000004</v>
      </c>
      <c r="BI172" s="92">
        <v>0</v>
      </c>
      <c r="BJ172" s="92">
        <v>0</v>
      </c>
      <c r="BK172" s="92">
        <v>0</v>
      </c>
      <c r="BL172" s="92">
        <v>0</v>
      </c>
      <c r="BM172" s="92">
        <v>0</v>
      </c>
      <c r="BN172" s="92">
        <v>0</v>
      </c>
      <c r="BO172" s="92">
        <f>10*-33</f>
        <v>-330</v>
      </c>
      <c r="BP172" s="92">
        <f>-8*34</f>
        <v>-272</v>
      </c>
      <c r="BQ172" s="92">
        <v>0</v>
      </c>
      <c r="BR172" s="92">
        <f>BP172</f>
        <v>-272</v>
      </c>
      <c r="BS172" s="92">
        <v>0</v>
      </c>
      <c r="BT172" s="92">
        <v>0</v>
      </c>
      <c r="BU172" s="92">
        <v>0</v>
      </c>
      <c r="BV172" s="92">
        <v>0</v>
      </c>
      <c r="BW172" s="92">
        <v>0</v>
      </c>
      <c r="BX172" s="92">
        <v>0</v>
      </c>
      <c r="BY172" s="92">
        <v>1891</v>
      </c>
      <c r="BZ172" s="92">
        <v>0</v>
      </c>
      <c r="CA172" s="92">
        <f>BY172</f>
        <v>1891</v>
      </c>
      <c r="CB172" s="92">
        <f>-1905.3</f>
        <v>-1905.3</v>
      </c>
      <c r="CC172" s="92">
        <v>0</v>
      </c>
      <c r="CD172" s="92">
        <f>CB172</f>
        <v>-1905.3</v>
      </c>
      <c r="CE172" s="92">
        <v>-300</v>
      </c>
      <c r="CF172" s="92">
        <f>CG172-CE172</f>
        <v>-600</v>
      </c>
      <c r="CG172" s="92">
        <v>-900</v>
      </c>
      <c r="CH172" s="92">
        <f>-181.12835685</f>
        <v>-181.12835684999999</v>
      </c>
      <c r="CI172" s="92">
        <f>-315</f>
        <v>-315</v>
      </c>
      <c r="CJ172" s="92">
        <f>CH172+CI172</f>
        <v>-496.12835684999999</v>
      </c>
      <c r="CK172" s="92">
        <v>0</v>
      </c>
      <c r="CL172" s="92">
        <v>0</v>
      </c>
      <c r="CM172" s="92">
        <v>0</v>
      </c>
      <c r="CN172" s="92">
        <v>0</v>
      </c>
      <c r="CO172" s="92">
        <v>0</v>
      </c>
      <c r="CP172" s="92">
        <v>0</v>
      </c>
      <c r="CQ172" s="92">
        <v>0</v>
      </c>
      <c r="CR172" s="92">
        <v>0</v>
      </c>
      <c r="CS172" s="92">
        <v>0</v>
      </c>
      <c r="CT172" s="92">
        <v>0</v>
      </c>
      <c r="CU172" s="92">
        <v>0</v>
      </c>
      <c r="CV172" s="92">
        <v>0</v>
      </c>
      <c r="CW172" s="92">
        <v>0</v>
      </c>
      <c r="CX172" s="92">
        <v>0</v>
      </c>
      <c r="CY172" s="92">
        <v>0</v>
      </c>
      <c r="CZ172" s="92">
        <v>0</v>
      </c>
      <c r="DA172" s="92">
        <v>0</v>
      </c>
      <c r="DB172" s="92">
        <v>0</v>
      </c>
      <c r="DC172" s="92">
        <v>0</v>
      </c>
      <c r="DD172" s="92">
        <v>0</v>
      </c>
      <c r="DE172" s="144">
        <v>0</v>
      </c>
      <c r="DF172" s="92">
        <v>0</v>
      </c>
      <c r="DG172" s="92">
        <v>0</v>
      </c>
      <c r="DH172" s="144">
        <v>0</v>
      </c>
      <c r="DI172" s="92">
        <f>Model!DI206</f>
        <v>38.200000000000003</v>
      </c>
      <c r="DJ172" s="92">
        <f>Model!DJ206</f>
        <v>18.199999999999996</v>
      </c>
      <c r="DK172" s="144">
        <f>Model!DK206</f>
        <v>56.4</v>
      </c>
      <c r="DL172" s="92">
        <v>0</v>
      </c>
      <c r="DM172" s="92">
        <v>0</v>
      </c>
      <c r="DN172" s="144">
        <v>0</v>
      </c>
      <c r="DO172" s="92">
        <v>0</v>
      </c>
      <c r="DP172" s="92">
        <v>0</v>
      </c>
      <c r="DQ172" s="144">
        <v>0</v>
      </c>
      <c r="DR172" s="92">
        <v>0</v>
      </c>
      <c r="DS172" s="92">
        <v>0</v>
      </c>
      <c r="DT172" s="144">
        <v>0</v>
      </c>
      <c r="DU172" s="92">
        <v>0</v>
      </c>
      <c r="DV172" s="92">
        <v>0</v>
      </c>
      <c r="DW172" s="144">
        <v>0</v>
      </c>
      <c r="DX172" s="92">
        <f>+Model!DX206</f>
        <v>-368</v>
      </c>
      <c r="DY172" s="92">
        <f>+DZ172-DX172</f>
        <v>-382</v>
      </c>
      <c r="DZ172" s="144">
        <v>-750</v>
      </c>
      <c r="EA172" s="92">
        <f>+EC172/2</f>
        <v>-375</v>
      </c>
      <c r="EB172" s="92">
        <f>+EC172-EA172</f>
        <v>-375</v>
      </c>
      <c r="EC172" s="144">
        <v>-750</v>
      </c>
      <c r="ED172" s="92">
        <f>+EF172/2</f>
        <v>-375</v>
      </c>
      <c r="EE172" s="92">
        <f>+EF172-ED172</f>
        <v>-375</v>
      </c>
      <c r="EF172" s="144">
        <v>-750</v>
      </c>
      <c r="EG172" s="92">
        <v>0</v>
      </c>
      <c r="EH172" s="92">
        <v>0</v>
      </c>
      <c r="EI172" s="144">
        <v>0</v>
      </c>
      <c r="EJ172" s="92">
        <v>0</v>
      </c>
      <c r="EK172" s="92">
        <v>0</v>
      </c>
      <c r="EL172" s="144">
        <v>0</v>
      </c>
      <c r="EM172" s="92">
        <v>0</v>
      </c>
      <c r="EN172" s="92">
        <v>0</v>
      </c>
      <c r="EO172" s="144">
        <v>0</v>
      </c>
      <c r="EP172" s="92">
        <v>0</v>
      </c>
      <c r="EQ172" s="92">
        <v>0</v>
      </c>
      <c r="ER172" s="144">
        <v>0</v>
      </c>
      <c r="ES172" s="92">
        <v>0</v>
      </c>
      <c r="ET172" s="92">
        <v>0</v>
      </c>
      <c r="EU172" s="144">
        <v>0</v>
      </c>
      <c r="EV172" s="92">
        <v>0</v>
      </c>
      <c r="EW172" s="92">
        <v>0</v>
      </c>
      <c r="EX172" s="144">
        <v>0</v>
      </c>
      <c r="EY172" s="92">
        <v>0</v>
      </c>
      <c r="EZ172" s="92">
        <v>0</v>
      </c>
      <c r="FA172" s="144">
        <v>0</v>
      </c>
    </row>
    <row r="173" spans="1:157" ht="13.35" customHeight="1">
      <c r="A173" s="3"/>
      <c r="B173" s="54" t="s">
        <v>287</v>
      </c>
      <c r="C173" s="54"/>
      <c r="D173" s="54"/>
      <c r="E173" s="92" t="str">
        <f>IF(Model!E207&lt;&gt;"",Model!E207,"")</f>
        <v/>
      </c>
      <c r="F173" s="92" t="str">
        <f>IF(Model!G207&lt;&gt;"",Model!F207,"")</f>
        <v/>
      </c>
      <c r="G173" s="92" t="str">
        <f>IF(Model!G207&lt;&gt;"",Model!G207,"")</f>
        <v/>
      </c>
      <c r="H173" s="92" t="str">
        <f>IF(Model!H207&lt;&gt;"",Model!H207,"")</f>
        <v/>
      </c>
      <c r="I173" s="92" t="str">
        <f>IF(Model!J207&lt;&gt;"",Model!I207,"")</f>
        <v/>
      </c>
      <c r="J173" s="92" t="str">
        <f>IF(Model!J207&lt;&gt;"",Model!J207,"")</f>
        <v/>
      </c>
      <c r="K173" s="92" t="str">
        <f>IF(Model!K207&lt;&gt;"",Model!K207,"")</f>
        <v/>
      </c>
      <c r="L173" s="92" t="str">
        <f>IF(Model!M207&lt;&gt;"",Model!L207,"")</f>
        <v/>
      </c>
      <c r="M173" s="92" t="str">
        <f>IF(Model!M207&lt;&gt;"",Model!M207,"")</f>
        <v/>
      </c>
      <c r="N173" s="92" t="str">
        <f>IF(Model!N207&lt;&gt;"",Model!N207,"")</f>
        <v/>
      </c>
      <c r="O173" s="92" t="str">
        <f>IF(Model!P207&lt;&gt;"",Model!O207,"")</f>
        <v/>
      </c>
      <c r="P173" s="92" t="str">
        <f>IF(Model!P207&lt;&gt;"",Model!P207,"")</f>
        <v/>
      </c>
      <c r="Q173" s="92" t="str">
        <f>IF(Model!Q207&lt;&gt;"",Model!Q207,"")</f>
        <v/>
      </c>
      <c r="R173" s="92" t="str">
        <f>IF(Model!S207&lt;&gt;"",Model!R207,"")</f>
        <v/>
      </c>
      <c r="S173" s="92" t="str">
        <f>IF(Model!S207&lt;&gt;"",Model!S207,"")</f>
        <v/>
      </c>
      <c r="T173" s="92" t="str">
        <f>IF(Model!T207&lt;&gt;"",Model!T207,"")</f>
        <v/>
      </c>
      <c r="U173" s="92" t="str">
        <f>IF(Model!V207&lt;&gt;"",Model!U207,"")</f>
        <v/>
      </c>
      <c r="V173" s="92" t="str">
        <f>IF(Model!V207&lt;&gt;"",Model!V207,"")</f>
        <v/>
      </c>
      <c r="W173" s="92" t="str">
        <f>IF(Model!W207&lt;&gt;"",Model!W207,"")</f>
        <v/>
      </c>
      <c r="X173" s="92" t="str">
        <f>IF(Model!Y207&lt;&gt;"",Model!X207,"")</f>
        <v/>
      </c>
      <c r="Y173" s="92" t="str">
        <f>IF(Model!Y207&lt;&gt;"",Model!Y207,"")</f>
        <v/>
      </c>
      <c r="Z173" s="92" t="str">
        <f>IF(Model!Z207&lt;&gt;"",Model!Z207,"")</f>
        <v/>
      </c>
      <c r="AA173" s="92" t="str">
        <f>IF(Model!AB207&lt;&gt;"",Model!AA207,"")</f>
        <v/>
      </c>
      <c r="AB173" s="92" t="str">
        <f>IF(Model!AB207&lt;&gt;"",Model!AB207,"")</f>
        <v/>
      </c>
      <c r="AC173" s="92" t="str">
        <f>IF(Model!AC207&lt;&gt;"",Model!AC207,"")</f>
        <v/>
      </c>
      <c r="AD173" s="92" t="str">
        <f>IF(Model!AE207&lt;&gt;"",Model!AD207,"")</f>
        <v/>
      </c>
      <c r="AE173" s="92" t="str">
        <f>IF(Model!AE207&lt;&gt;"",Model!AE207,"")</f>
        <v/>
      </c>
      <c r="AF173" s="92" t="str">
        <f>IF(Model!AF207&lt;&gt;"",Model!AF207,"")</f>
        <v/>
      </c>
      <c r="AG173" s="92" t="str">
        <f>IF(Model!AH207&lt;&gt;"",Model!AG207,"")</f>
        <v/>
      </c>
      <c r="AH173" s="92" t="str">
        <f>IF(Model!AH207&lt;&gt;"",Model!AH207,"")</f>
        <v/>
      </c>
      <c r="AI173" s="92" t="str">
        <f>IF(Model!AI207&lt;&gt;"",Model!AI207,"")</f>
        <v/>
      </c>
      <c r="AJ173" s="92" t="str">
        <f>IF(Model!AK207&lt;&gt;"",Model!AJ207,"")</f>
        <v/>
      </c>
      <c r="AK173" s="92" t="str">
        <f>IF(Model!AK207&lt;&gt;"",Model!AK207,"")</f>
        <v/>
      </c>
      <c r="AL173" s="92" t="str">
        <f>IF(Model!AL207&lt;&gt;"",Model!AL207,"")</f>
        <v/>
      </c>
      <c r="AM173" s="92" t="str">
        <f>IF(Model!AN207&lt;&gt;"",Model!AM207,"")</f>
        <v/>
      </c>
      <c r="AN173" s="92" t="str">
        <f>IF(Model!AN207&lt;&gt;"",Model!AN207,"")</f>
        <v/>
      </c>
      <c r="AO173" s="92" t="str">
        <f>IF(Model!AO207&lt;&gt;"",Model!AO207,"")</f>
        <v/>
      </c>
      <c r="AP173" s="92" t="str">
        <f>IF(Model!AQ207&lt;&gt;"",Model!AP207,"")</f>
        <v/>
      </c>
      <c r="AQ173" s="92" t="str">
        <f>IF(Model!AQ207&lt;&gt;"",Model!AQ207,"")</f>
        <v/>
      </c>
      <c r="AR173" s="92" t="str">
        <f>IF(Model!AR207&lt;&gt;"",Model!AR207,"")</f>
        <v/>
      </c>
      <c r="AS173" s="92">
        <f>IF(Model!AT207&lt;&gt;"",Model!AS207,"")</f>
        <v>0</v>
      </c>
      <c r="AT173" s="92">
        <f>IF(Model!AT207&lt;&gt;"",Model!AT207,"")</f>
        <v>0</v>
      </c>
      <c r="AU173" s="92" t="str">
        <f>IF(Model!AU207&lt;&gt;"",Model!AU207,"")</f>
        <v/>
      </c>
      <c r="AV173" s="92">
        <f>IF(Model!AW207&lt;&gt;"",Model!AV207,"")</f>
        <v>0</v>
      </c>
      <c r="AW173" s="92">
        <f>IF(Model!AW207&lt;&gt;"",Model!AW207,"")</f>
        <v>0</v>
      </c>
      <c r="AX173" s="92" t="str">
        <f>IF(Model!AX207&lt;&gt;"",Model!AX207,"")</f>
        <v/>
      </c>
      <c r="AY173" s="92">
        <f>IF(Model!AZ207&lt;&gt;"",Model!AY207,"")</f>
        <v>0</v>
      </c>
      <c r="AZ173" s="92">
        <f>IF(Model!AZ207&lt;&gt;"",Model!AZ207,"")</f>
        <v>0</v>
      </c>
      <c r="BA173" s="92"/>
      <c r="BB173" s="92">
        <f>IF(Model!BC207&lt;&gt;"",Model!BB207,"")</f>
        <v>0</v>
      </c>
      <c r="BC173" s="92">
        <v>0</v>
      </c>
      <c r="BD173" s="92"/>
      <c r="BE173" s="92">
        <f>IF(Model!BF207&lt;&gt;"",Model!BE207,"")</f>
        <v>0</v>
      </c>
      <c r="BF173" s="92">
        <v>0</v>
      </c>
      <c r="BG173" s="92"/>
      <c r="BH173" s="92">
        <f>IF(Model!BI207&lt;&gt;"",Model!BH207,"")</f>
        <v>0</v>
      </c>
      <c r="BI173" s="92">
        <v>0</v>
      </c>
      <c r="BJ173" s="92">
        <v>0</v>
      </c>
      <c r="BK173" s="92">
        <v>0</v>
      </c>
      <c r="BL173" s="92">
        <v>0</v>
      </c>
      <c r="BM173" s="92">
        <v>0</v>
      </c>
      <c r="BN173" s="92">
        <v>0</v>
      </c>
      <c r="BO173" s="92">
        <v>0</v>
      </c>
      <c r="BP173" s="92">
        <v>0</v>
      </c>
      <c r="BQ173" s="92">
        <v>0</v>
      </c>
      <c r="BR173" s="92">
        <v>0</v>
      </c>
      <c r="BS173" s="92">
        <v>0</v>
      </c>
      <c r="BT173" s="92">
        <v>0</v>
      </c>
      <c r="BU173" s="92">
        <v>0</v>
      </c>
      <c r="BV173" s="92">
        <v>0</v>
      </c>
      <c r="BW173" s="92">
        <v>0</v>
      </c>
      <c r="BX173" s="92">
        <v>0</v>
      </c>
      <c r="BY173" s="92">
        <v>0</v>
      </c>
      <c r="BZ173" s="92">
        <v>0</v>
      </c>
      <c r="CA173" s="92">
        <v>0</v>
      </c>
      <c r="CB173" s="92">
        <v>0</v>
      </c>
      <c r="CC173" s="92">
        <v>0</v>
      </c>
      <c r="CD173" s="92">
        <v>0</v>
      </c>
      <c r="CE173" s="92">
        <v>0</v>
      </c>
      <c r="CF173" s="92">
        <v>0</v>
      </c>
      <c r="CG173" s="92">
        <v>0</v>
      </c>
      <c r="CH173" s="92">
        <v>0</v>
      </c>
      <c r="CI173" s="92">
        <v>0</v>
      </c>
      <c r="CJ173" s="92">
        <v>0</v>
      </c>
      <c r="CK173" s="92">
        <v>0</v>
      </c>
      <c r="CL173" s="92">
        <v>0</v>
      </c>
      <c r="CM173" s="92">
        <v>0</v>
      </c>
      <c r="CN173" s="92">
        <v>0</v>
      </c>
      <c r="CO173" s="92">
        <v>0</v>
      </c>
      <c r="CP173" s="92">
        <v>0</v>
      </c>
      <c r="CQ173" s="92">
        <v>0</v>
      </c>
      <c r="CR173" s="92">
        <v>0</v>
      </c>
      <c r="CS173" s="92">
        <v>0</v>
      </c>
      <c r="CT173" s="92">
        <v>0</v>
      </c>
      <c r="CU173" s="92">
        <v>0</v>
      </c>
      <c r="CV173" s="92">
        <v>0</v>
      </c>
      <c r="CW173" s="92">
        <v>0</v>
      </c>
      <c r="CX173" s="92">
        <v>0</v>
      </c>
      <c r="CY173" s="92">
        <v>0</v>
      </c>
      <c r="CZ173" s="92">
        <v>0</v>
      </c>
      <c r="DA173" s="92">
        <v>0</v>
      </c>
      <c r="DB173" s="92">
        <v>0</v>
      </c>
      <c r="DC173" s="92">
        <v>0</v>
      </c>
      <c r="DD173" s="92">
        <v>0</v>
      </c>
      <c r="DE173" s="144">
        <v>0</v>
      </c>
      <c r="DF173" s="92">
        <v>0</v>
      </c>
      <c r="DG173" s="92">
        <v>0</v>
      </c>
      <c r="DH173" s="144">
        <v>0</v>
      </c>
      <c r="DI173" s="92">
        <v>0</v>
      </c>
      <c r="DJ173" s="92">
        <v>0</v>
      </c>
      <c r="DK173" s="144">
        <v>0</v>
      </c>
      <c r="DL173" s="92">
        <v>0</v>
      </c>
      <c r="DM173" s="92">
        <v>0</v>
      </c>
      <c r="DN173" s="144">
        <v>0</v>
      </c>
      <c r="DO173" s="92">
        <v>0</v>
      </c>
      <c r="DP173" s="92">
        <v>0</v>
      </c>
      <c r="DQ173" s="144">
        <v>0</v>
      </c>
      <c r="DR173" s="92">
        <v>0</v>
      </c>
      <c r="DS173" s="92">
        <v>0</v>
      </c>
      <c r="DT173" s="144">
        <v>0</v>
      </c>
      <c r="DU173" s="92">
        <v>0</v>
      </c>
      <c r="DV173" s="92">
        <v>0</v>
      </c>
      <c r="DW173" s="144">
        <v>0</v>
      </c>
      <c r="DX173" s="92">
        <v>0</v>
      </c>
      <c r="DY173" s="92">
        <v>0</v>
      </c>
      <c r="DZ173" s="144">
        <v>0</v>
      </c>
      <c r="EA173" s="92">
        <v>0</v>
      </c>
      <c r="EB173" s="92">
        <v>0</v>
      </c>
      <c r="EC173" s="144">
        <v>0</v>
      </c>
      <c r="ED173" s="92">
        <v>0</v>
      </c>
      <c r="EE173" s="92">
        <v>0</v>
      </c>
      <c r="EF173" s="144">
        <v>0</v>
      </c>
      <c r="EG173" s="92">
        <v>0</v>
      </c>
      <c r="EH173" s="92">
        <v>0</v>
      </c>
      <c r="EI173" s="144">
        <v>0</v>
      </c>
      <c r="EJ173" s="92">
        <v>0</v>
      </c>
      <c r="EK173" s="92">
        <v>0</v>
      </c>
      <c r="EL173" s="144">
        <v>0</v>
      </c>
      <c r="EM173" s="92">
        <v>0</v>
      </c>
      <c r="EN173" s="92">
        <v>0</v>
      </c>
      <c r="EO173" s="144">
        <v>0</v>
      </c>
      <c r="EP173" s="92">
        <v>0</v>
      </c>
      <c r="EQ173" s="92">
        <v>0</v>
      </c>
      <c r="ER173" s="144">
        <v>0</v>
      </c>
      <c r="ES173" s="92">
        <v>0</v>
      </c>
      <c r="ET173" s="92">
        <v>0</v>
      </c>
      <c r="EU173" s="144">
        <v>0</v>
      </c>
      <c r="EV173" s="92">
        <v>0</v>
      </c>
      <c r="EW173" s="92">
        <v>0</v>
      </c>
      <c r="EX173" s="144">
        <v>0</v>
      </c>
      <c r="EY173" s="92">
        <v>0</v>
      </c>
      <c r="EZ173" s="92">
        <v>0</v>
      </c>
      <c r="FA173" s="144">
        <v>0</v>
      </c>
    </row>
    <row r="174" spans="1:157" ht="13.35" customHeight="1">
      <c r="A174" s="3"/>
      <c r="B174" s="54" t="s">
        <v>587</v>
      </c>
      <c r="C174" s="54"/>
      <c r="D174" s="3"/>
      <c r="E174" s="92" t="str">
        <f t="shared" ref="E174:AJ174" si="170">IF(OR(E175&lt;&gt;"",E176&lt;&gt;""),SUM(E175:E176),"")</f>
        <v/>
      </c>
      <c r="F174" s="92" t="str">
        <f t="shared" si="170"/>
        <v/>
      </c>
      <c r="G174" s="92" t="str">
        <f t="shared" si="170"/>
        <v/>
      </c>
      <c r="H174" s="92" t="str">
        <f t="shared" si="170"/>
        <v/>
      </c>
      <c r="I174" s="92" t="str">
        <f t="shared" si="170"/>
        <v/>
      </c>
      <c r="J174" s="92" t="str">
        <f t="shared" si="170"/>
        <v/>
      </c>
      <c r="K174" s="92" t="str">
        <f t="shared" si="170"/>
        <v/>
      </c>
      <c r="L174" s="92" t="str">
        <f t="shared" si="170"/>
        <v/>
      </c>
      <c r="M174" s="92" t="str">
        <f t="shared" si="170"/>
        <v/>
      </c>
      <c r="N174" s="92" t="str">
        <f t="shared" si="170"/>
        <v/>
      </c>
      <c r="O174" s="92" t="str">
        <f t="shared" si="170"/>
        <v/>
      </c>
      <c r="P174" s="92" t="str">
        <f t="shared" si="170"/>
        <v/>
      </c>
      <c r="Q174" s="92" t="str">
        <f t="shared" si="170"/>
        <v/>
      </c>
      <c r="R174" s="92" t="str">
        <f t="shared" si="170"/>
        <v/>
      </c>
      <c r="S174" s="92" t="str">
        <f t="shared" si="170"/>
        <v/>
      </c>
      <c r="T174" s="92" t="str">
        <f t="shared" si="170"/>
        <v/>
      </c>
      <c r="U174" s="92" t="str">
        <f t="shared" si="170"/>
        <v/>
      </c>
      <c r="V174" s="92" t="str">
        <f t="shared" si="170"/>
        <v/>
      </c>
      <c r="W174" s="92" t="str">
        <f t="shared" si="170"/>
        <v/>
      </c>
      <c r="X174" s="92" t="str">
        <f t="shared" si="170"/>
        <v/>
      </c>
      <c r="Y174" s="92" t="str">
        <f t="shared" si="170"/>
        <v/>
      </c>
      <c r="Z174" s="92" t="str">
        <f t="shared" si="170"/>
        <v/>
      </c>
      <c r="AA174" s="92" t="str">
        <f t="shared" si="170"/>
        <v/>
      </c>
      <c r="AB174" s="92" t="str">
        <f t="shared" si="170"/>
        <v/>
      </c>
      <c r="AC174" s="92" t="str">
        <f t="shared" si="170"/>
        <v/>
      </c>
      <c r="AD174" s="92" t="str">
        <f t="shared" si="170"/>
        <v/>
      </c>
      <c r="AE174" s="92" t="str">
        <f t="shared" si="170"/>
        <v/>
      </c>
      <c r="AF174" s="92" t="str">
        <f t="shared" si="170"/>
        <v/>
      </c>
      <c r="AG174" s="92" t="str">
        <f t="shared" si="170"/>
        <v/>
      </c>
      <c r="AH174" s="92" t="str">
        <f t="shared" si="170"/>
        <v/>
      </c>
      <c r="AI174" s="92" t="str">
        <f t="shared" si="170"/>
        <v/>
      </c>
      <c r="AJ174" s="92" t="str">
        <f t="shared" si="170"/>
        <v/>
      </c>
      <c r="AK174" s="92" t="str">
        <f t="shared" ref="AK174:BP174" si="171">IF(OR(AK175&lt;&gt;"",AK176&lt;&gt;""),SUM(AK175:AK176),"")</f>
        <v/>
      </c>
      <c r="AL174" s="92" t="str">
        <f t="shared" si="171"/>
        <v/>
      </c>
      <c r="AM174" s="92">
        <f t="shared" si="171"/>
        <v>-12.021999999999998</v>
      </c>
      <c r="AN174" s="92">
        <f t="shared" si="171"/>
        <v>-12.021999999999998</v>
      </c>
      <c r="AO174" s="92" t="str">
        <f t="shared" si="171"/>
        <v/>
      </c>
      <c r="AP174" s="92">
        <f t="shared" si="171"/>
        <v>-1.228</v>
      </c>
      <c r="AQ174" s="92">
        <f t="shared" si="171"/>
        <v>-1.228</v>
      </c>
      <c r="AR174" s="92">
        <f t="shared" si="171"/>
        <v>-36.484000000000002</v>
      </c>
      <c r="AS174" s="92">
        <f t="shared" si="171"/>
        <v>13.229000000000003</v>
      </c>
      <c r="AT174" s="92">
        <f t="shared" si="171"/>
        <v>-23.254999999999999</v>
      </c>
      <c r="AU174" s="92">
        <f t="shared" si="171"/>
        <v>-0.874</v>
      </c>
      <c r="AV174" s="92">
        <f t="shared" si="171"/>
        <v>-4.9459999999999997</v>
      </c>
      <c r="AW174" s="92">
        <f t="shared" si="171"/>
        <v>-5.82</v>
      </c>
      <c r="AX174" s="92">
        <f t="shared" si="171"/>
        <v>1.35</v>
      </c>
      <c r="AY174" s="92">
        <f t="shared" si="171"/>
        <v>-6.2590000000000003</v>
      </c>
      <c r="AZ174" s="92">
        <f t="shared" si="171"/>
        <v>-4.9089999999999998</v>
      </c>
      <c r="BA174" s="92">
        <f t="shared" si="171"/>
        <v>560.79999999999995</v>
      </c>
      <c r="BB174" s="92">
        <f t="shared" si="171"/>
        <v>0</v>
      </c>
      <c r="BC174" s="92">
        <f t="shared" si="171"/>
        <v>0</v>
      </c>
      <c r="BD174" s="92">
        <f t="shared" si="171"/>
        <v>-42.655999999999999</v>
      </c>
      <c r="BE174" s="92">
        <f t="shared" si="171"/>
        <v>4.0969999999999995</v>
      </c>
      <c r="BF174" s="92">
        <f t="shared" si="171"/>
        <v>-42.512999999999998</v>
      </c>
      <c r="BG174" s="92">
        <f t="shared" si="171"/>
        <v>0</v>
      </c>
      <c r="BH174" s="92">
        <f t="shared" si="171"/>
        <v>601.43299999999999</v>
      </c>
      <c r="BI174" s="92">
        <f t="shared" si="171"/>
        <v>-603.66099999999994</v>
      </c>
      <c r="BJ174" s="92">
        <f t="shared" si="171"/>
        <v>-3.6710000000000003</v>
      </c>
      <c r="BK174" s="92">
        <f t="shared" si="171"/>
        <v>-193.79500000000002</v>
      </c>
      <c r="BL174" s="92">
        <f t="shared" si="171"/>
        <v>-197.46600000000001</v>
      </c>
      <c r="BM174" s="92">
        <f t="shared" si="171"/>
        <v>128.86700000000002</v>
      </c>
      <c r="BN174" s="92">
        <f t="shared" si="171"/>
        <v>68.77800000000002</v>
      </c>
      <c r="BO174" s="92">
        <f t="shared" si="171"/>
        <v>197.64500000000004</v>
      </c>
      <c r="BP174" s="92">
        <f t="shared" si="171"/>
        <v>0</v>
      </c>
      <c r="BQ174" s="92">
        <f t="shared" ref="BQ174:CG174" si="172">IF(OR(BQ175&lt;&gt;"",BQ176&lt;&gt;""),SUM(BQ175:BQ176),"")</f>
        <v>-2.0819999999999999</v>
      </c>
      <c r="BR174" s="92">
        <f t="shared" si="172"/>
        <v>-2.0819999999999999</v>
      </c>
      <c r="BS174" s="92">
        <f t="shared" si="172"/>
        <v>-98.427999999999997</v>
      </c>
      <c r="BT174" s="92">
        <f t="shared" si="172"/>
        <v>331.83799999999997</v>
      </c>
      <c r="BU174" s="92">
        <f t="shared" si="172"/>
        <v>-20.718</v>
      </c>
      <c r="BV174" s="92">
        <f t="shared" si="172"/>
        <v>-35.633000000000003</v>
      </c>
      <c r="BW174" s="92">
        <f t="shared" si="172"/>
        <v>-1.2249999999999943</v>
      </c>
      <c r="BX174" s="92">
        <f t="shared" si="172"/>
        <v>-36.857999999999997</v>
      </c>
      <c r="BY174" s="92">
        <f t="shared" si="172"/>
        <v>-415.1</v>
      </c>
      <c r="BZ174" s="92">
        <f t="shared" si="172"/>
        <v>776.46</v>
      </c>
      <c r="CA174" s="92">
        <f t="shared" si="172"/>
        <v>0</v>
      </c>
      <c r="CB174" s="92">
        <f t="shared" si="172"/>
        <v>-213.56200000000001</v>
      </c>
      <c r="CC174" s="92">
        <f t="shared" si="172"/>
        <v>-1.4890000000000043</v>
      </c>
      <c r="CD174" s="92">
        <f t="shared" si="172"/>
        <v>-0.126</v>
      </c>
      <c r="CE174" s="92">
        <f t="shared" si="172"/>
        <v>-16.925000000000001</v>
      </c>
      <c r="CF174" s="92">
        <f t="shared" si="172"/>
        <v>-1.3670000000000009</v>
      </c>
      <c r="CG174" s="92">
        <f t="shared" si="172"/>
        <v>-18.292000000000002</v>
      </c>
      <c r="CH174" s="92">
        <f t="shared" ref="CH174:CM174" si="173">IF(OR(CH175&lt;&gt;"",CH176&lt;&gt;""),SUM(CH175:CH176),"")</f>
        <v>-242.2</v>
      </c>
      <c r="CI174" s="92">
        <f t="shared" si="173"/>
        <v>-1.4000000000000057</v>
      </c>
      <c r="CJ174" s="92">
        <f t="shared" si="173"/>
        <v>868.80000000000007</v>
      </c>
      <c r="CK174" s="92">
        <f t="shared" si="173"/>
        <v>0</v>
      </c>
      <c r="CL174" s="92">
        <f t="shared" si="173"/>
        <v>564.90000000000009</v>
      </c>
      <c r="CM174" s="92">
        <f t="shared" si="173"/>
        <v>394.90000000000003</v>
      </c>
      <c r="CN174" s="92">
        <f t="shared" ref="CN174:DQ174" si="174">IF(OR(CN175&lt;&gt;"",CN176&lt;&gt;""),SUM(CN175:CN176),"")</f>
        <v>-1.9</v>
      </c>
      <c r="CO174" s="92">
        <f t="shared" si="174"/>
        <v>98.4</v>
      </c>
      <c r="CP174" s="92">
        <f t="shared" si="174"/>
        <v>196.5</v>
      </c>
      <c r="CQ174" s="92">
        <f t="shared" si="174"/>
        <v>-2.2999999999999998</v>
      </c>
      <c r="CR174" s="92">
        <f t="shared" si="174"/>
        <v>-0.60000000000002274</v>
      </c>
      <c r="CS174" s="92">
        <f t="shared" si="174"/>
        <v>491.2</v>
      </c>
      <c r="CT174" s="92">
        <f t="shared" si="174"/>
        <v>-615.6</v>
      </c>
      <c r="CU174" s="92">
        <f t="shared" si="174"/>
        <v>48.700000000000273</v>
      </c>
      <c r="CV174" s="92">
        <f t="shared" si="174"/>
        <v>847.4</v>
      </c>
      <c r="CW174" s="92">
        <f t="shared" si="174"/>
        <v>-580</v>
      </c>
      <c r="CX174" s="92">
        <f t="shared" si="174"/>
        <v>350.90000000000009</v>
      </c>
      <c r="CY174" s="92">
        <f t="shared" si="174"/>
        <v>800.10000000000014</v>
      </c>
      <c r="CZ174" s="92">
        <f t="shared" si="174"/>
        <v>1140.9000000000001</v>
      </c>
      <c r="DA174" s="92">
        <f t="shared" si="174"/>
        <v>-48.5</v>
      </c>
      <c r="DB174" s="92">
        <f t="shared" si="174"/>
        <v>423.40000000000009</v>
      </c>
      <c r="DC174" s="92">
        <f t="shared" si="174"/>
        <v>-503.5</v>
      </c>
      <c r="DD174" s="92">
        <f t="shared" si="174"/>
        <v>28.899999999999977</v>
      </c>
      <c r="DE174" s="144">
        <f t="shared" si="174"/>
        <v>-610.20000000000005</v>
      </c>
      <c r="DF174" s="92">
        <f t="shared" si="174"/>
        <v>-119.19999999999999</v>
      </c>
      <c r="DG174" s="92">
        <f t="shared" si="174"/>
        <v>372.69999999999982</v>
      </c>
      <c r="DH174" s="144">
        <f t="shared" si="174"/>
        <v>253.5</v>
      </c>
      <c r="DI174" s="92">
        <f t="shared" si="174"/>
        <v>-66</v>
      </c>
      <c r="DJ174" s="92">
        <f t="shared" si="174"/>
        <v>-404.9</v>
      </c>
      <c r="DK174" s="144">
        <f t="shared" si="174"/>
        <v>-470.9</v>
      </c>
      <c r="DL174" s="92" t="str">
        <f t="shared" si="174"/>
        <v/>
      </c>
      <c r="DM174" s="92">
        <f t="shared" si="174"/>
        <v>569.59999999999991</v>
      </c>
      <c r="DN174" s="144">
        <f t="shared" si="174"/>
        <v>316.39999999999998</v>
      </c>
      <c r="DO174" s="92">
        <f t="shared" si="174"/>
        <v>0</v>
      </c>
      <c r="DP174" s="92">
        <f t="shared" si="174"/>
        <v>-100.20000000000027</v>
      </c>
      <c r="DQ174" s="144">
        <f t="shared" si="174"/>
        <v>1741</v>
      </c>
      <c r="DR174" s="92" t="str">
        <f t="shared" ref="DR174:DZ174" si="175">IF(OR(DR175&lt;&gt;"",DR176&lt;&gt;""),SUM(DR175:DR176),"")</f>
        <v/>
      </c>
      <c r="DS174" s="92">
        <f t="shared" si="175"/>
        <v>134</v>
      </c>
      <c r="DT174" s="144">
        <f t="shared" si="175"/>
        <v>0</v>
      </c>
      <c r="DU174" s="92">
        <f t="shared" si="175"/>
        <v>0</v>
      </c>
      <c r="DV174" s="92">
        <f t="shared" si="175"/>
        <v>-602</v>
      </c>
      <c r="DW174" s="144">
        <f t="shared" si="175"/>
        <v>0</v>
      </c>
      <c r="DX174" s="92">
        <f t="shared" si="175"/>
        <v>0</v>
      </c>
      <c r="DY174" s="92">
        <f t="shared" si="175"/>
        <v>0</v>
      </c>
      <c r="DZ174" s="144">
        <f t="shared" si="175"/>
        <v>0</v>
      </c>
      <c r="EA174" s="92">
        <f t="shared" ref="EA174:EF174" si="176">IF(OR(EA175&lt;&gt;"",EA176&lt;&gt;""),SUM(EA175:EA176),"")</f>
        <v>0</v>
      </c>
      <c r="EB174" s="92">
        <f t="shared" si="176"/>
        <v>0</v>
      </c>
      <c r="EC174" s="144">
        <f t="shared" si="176"/>
        <v>-2.2737367544323206E-13</v>
      </c>
      <c r="ED174" s="92">
        <f t="shared" si="176"/>
        <v>0</v>
      </c>
      <c r="EE174" s="92">
        <f t="shared" si="176"/>
        <v>0</v>
      </c>
      <c r="EF174" s="144">
        <f t="shared" si="176"/>
        <v>0</v>
      </c>
      <c r="EG174" s="92">
        <f t="shared" ref="EG174:EL174" si="177">IF(OR(EG175&lt;&gt;"",EG176&lt;&gt;""),SUM(EG175:EG176),"")</f>
        <v>0</v>
      </c>
      <c r="EH174" s="92">
        <f t="shared" si="177"/>
        <v>0</v>
      </c>
      <c r="EI174" s="144">
        <f t="shared" si="177"/>
        <v>0</v>
      </c>
      <c r="EJ174" s="92">
        <f t="shared" si="177"/>
        <v>0</v>
      </c>
      <c r="EK174" s="92">
        <f t="shared" si="177"/>
        <v>0</v>
      </c>
      <c r="EL174" s="144">
        <f t="shared" si="177"/>
        <v>0</v>
      </c>
      <c r="EM174" s="92">
        <f t="shared" ref="EM174:ER174" si="178">IF(OR(EM175&lt;&gt;"",EM176&lt;&gt;""),SUM(EM175:EM176),"")</f>
        <v>0</v>
      </c>
      <c r="EN174" s="92">
        <f t="shared" si="178"/>
        <v>0</v>
      </c>
      <c r="EO174" s="144">
        <f t="shared" si="178"/>
        <v>0</v>
      </c>
      <c r="EP174" s="92">
        <f t="shared" si="178"/>
        <v>0</v>
      </c>
      <c r="EQ174" s="92">
        <f t="shared" si="178"/>
        <v>0</v>
      </c>
      <c r="ER174" s="144">
        <f t="shared" si="178"/>
        <v>0</v>
      </c>
      <c r="ES174" s="92">
        <f t="shared" ref="ES174:FA174" si="179">IF(OR(ES175&lt;&gt;"",ES176&lt;&gt;""),SUM(ES175:ES176),"")</f>
        <v>0</v>
      </c>
      <c r="ET174" s="92">
        <f t="shared" si="179"/>
        <v>0</v>
      </c>
      <c r="EU174" s="144">
        <f t="shared" si="179"/>
        <v>4.5474735088646412E-13</v>
      </c>
      <c r="EV174" s="92">
        <f t="shared" si="179"/>
        <v>0</v>
      </c>
      <c r="EW174" s="92">
        <f t="shared" si="179"/>
        <v>0</v>
      </c>
      <c r="EX174" s="144">
        <f t="shared" si="179"/>
        <v>-4.5474735088646412E-13</v>
      </c>
      <c r="EY174" s="92">
        <f t="shared" si="179"/>
        <v>0</v>
      </c>
      <c r="EZ174" s="92">
        <f t="shared" si="179"/>
        <v>0</v>
      </c>
      <c r="FA174" s="144">
        <f t="shared" si="179"/>
        <v>-4.5474735088646412E-13</v>
      </c>
    </row>
    <row r="175" spans="1:157" ht="13.35" customHeight="1">
      <c r="A175" s="3"/>
      <c r="B175" s="54" t="s">
        <v>588</v>
      </c>
      <c r="C175" s="54"/>
      <c r="D175" s="54"/>
      <c r="E175" s="92" t="str">
        <f>IF(Model!E209&lt;&gt;"",Model!E209,"")</f>
        <v/>
      </c>
      <c r="F175" s="92" t="str">
        <f>IF(Model!G209&lt;&gt;"",Model!F209,"")</f>
        <v/>
      </c>
      <c r="G175" s="92" t="str">
        <f>IF(Model!G209&lt;&gt;"",Model!G209,"")</f>
        <v/>
      </c>
      <c r="H175" s="92" t="str">
        <f>IF(Model!H209&lt;&gt;"",Model!H209,"")</f>
        <v/>
      </c>
      <c r="I175" s="92" t="str">
        <f>IF(Model!J209&lt;&gt;"",Model!I209,"")</f>
        <v/>
      </c>
      <c r="J175" s="92" t="str">
        <f>IF(Model!J209&lt;&gt;"",Model!J209,"")</f>
        <v/>
      </c>
      <c r="K175" s="92" t="str">
        <f>IF(Model!K209&lt;&gt;"",Model!K209,"")</f>
        <v/>
      </c>
      <c r="L175" s="92" t="str">
        <f>IF(Model!M209&lt;&gt;"",Model!L209,"")</f>
        <v/>
      </c>
      <c r="M175" s="92" t="str">
        <f>IF(Model!M209&lt;&gt;"",Model!M209,"")</f>
        <v/>
      </c>
      <c r="N175" s="92" t="str">
        <f>IF(Model!N209&lt;&gt;"",Model!N209,"")</f>
        <v/>
      </c>
      <c r="O175" s="92" t="str">
        <f>IF(Model!P209&lt;&gt;"",Model!O209,"")</f>
        <v/>
      </c>
      <c r="P175" s="92" t="str">
        <f>IF(Model!P209&lt;&gt;"",Model!P209,"")</f>
        <v/>
      </c>
      <c r="Q175" s="92" t="str">
        <f>IF(Model!Q209&lt;&gt;"",Model!Q209,"")</f>
        <v/>
      </c>
      <c r="R175" s="92" t="str">
        <f>IF(Model!S209&lt;&gt;"",Model!R209,"")</f>
        <v/>
      </c>
      <c r="S175" s="92" t="str">
        <f>IF(Model!S209&lt;&gt;"",Model!S209,"")</f>
        <v/>
      </c>
      <c r="T175" s="92" t="str">
        <f>IF(Model!T209&lt;&gt;"",Model!T209,"")</f>
        <v/>
      </c>
      <c r="U175" s="92" t="str">
        <f>IF(Model!V209&lt;&gt;"",Model!U209,"")</f>
        <v/>
      </c>
      <c r="V175" s="92" t="str">
        <f>IF(Model!V209&lt;&gt;"",Model!V209,"")</f>
        <v/>
      </c>
      <c r="W175" s="92" t="str">
        <f>IF(Model!W209&lt;&gt;"",Model!W209,"")</f>
        <v/>
      </c>
      <c r="X175" s="92" t="str">
        <f>IF(Model!Y209&lt;&gt;"",Model!X209,"")</f>
        <v/>
      </c>
      <c r="Y175" s="92" t="str">
        <f>IF(Model!Y209&lt;&gt;"",Model!Y209,"")</f>
        <v/>
      </c>
      <c r="Z175" s="92" t="str">
        <f>IF(Model!Z209&lt;&gt;"",Model!Z209,"")</f>
        <v/>
      </c>
      <c r="AA175" s="92" t="str">
        <f>IF(Model!AB209&lt;&gt;"",Model!AA209,"")</f>
        <v/>
      </c>
      <c r="AB175" s="92" t="str">
        <f>IF(Model!AB209&lt;&gt;"",Model!AB209,"")</f>
        <v/>
      </c>
      <c r="AC175" s="92" t="str">
        <f>IF(Model!AC209&lt;&gt;"",Model!AC209,"")</f>
        <v/>
      </c>
      <c r="AD175" s="92" t="str">
        <f>IF(Model!AE209&lt;&gt;"",Model!AD209,"")</f>
        <v/>
      </c>
      <c r="AE175" s="92" t="str">
        <f>IF(Model!AE209&lt;&gt;"",Model!AE209,"")</f>
        <v/>
      </c>
      <c r="AF175" s="92" t="str">
        <f>IF(Model!AF209&lt;&gt;"",Model!AF209,"")</f>
        <v/>
      </c>
      <c r="AG175" s="92" t="str">
        <f>IF(Model!AH209&lt;&gt;"",Model!AG209,"")</f>
        <v/>
      </c>
      <c r="AH175" s="92" t="str">
        <f>IF(Model!AH209&lt;&gt;"",Model!AH209,"")</f>
        <v/>
      </c>
      <c r="AI175" s="92" t="str">
        <f>IF(Model!AI209&lt;&gt;"",Model!AI209,"")</f>
        <v/>
      </c>
      <c r="AJ175" s="92" t="str">
        <f>IF(Model!AK209&lt;&gt;"",Model!AJ209,"")</f>
        <v/>
      </c>
      <c r="AK175" s="92" t="str">
        <f>IF(Model!AK209&lt;&gt;"",Model!AK209,"")</f>
        <v/>
      </c>
      <c r="AL175" s="92" t="str">
        <f>IF(Model!AL209&lt;&gt;"",Model!AL209,"")</f>
        <v/>
      </c>
      <c r="AM175" s="92">
        <v>7</v>
      </c>
      <c r="AN175" s="92">
        <v>7</v>
      </c>
      <c r="AO175" s="92" t="s">
        <v>187</v>
      </c>
      <c r="AP175" s="92">
        <v>0</v>
      </c>
      <c r="AQ175" s="92">
        <v>0</v>
      </c>
      <c r="AR175" s="92" t="s">
        <v>187</v>
      </c>
      <c r="AS175" s="92">
        <v>13.321999999999999</v>
      </c>
      <c r="AT175" s="92">
        <v>13.321999999999999</v>
      </c>
      <c r="AU175" s="92">
        <v>0.98099999999999998</v>
      </c>
      <c r="AV175" s="92">
        <v>-6.8010000000000002</v>
      </c>
      <c r="AW175" s="92">
        <v>-5.82</v>
      </c>
      <c r="AX175" s="92">
        <v>1.35</v>
      </c>
      <c r="AY175" s="92">
        <v>-6.2590000000000003</v>
      </c>
      <c r="AZ175" s="92">
        <v>-4.9089999999999998</v>
      </c>
      <c r="BA175" s="92">
        <v>0</v>
      </c>
      <c r="BB175" s="92">
        <v>0</v>
      </c>
      <c r="BC175" s="92">
        <v>0</v>
      </c>
      <c r="BD175" s="92">
        <v>0</v>
      </c>
      <c r="BE175" s="92">
        <v>4.0969999999999995</v>
      </c>
      <c r="BF175" s="92">
        <v>0</v>
      </c>
      <c r="BG175" s="92">
        <v>0</v>
      </c>
      <c r="BH175" s="92">
        <v>601.43299999999999</v>
      </c>
      <c r="BI175" s="92">
        <v>0</v>
      </c>
      <c r="BJ175" s="92">
        <v>1</v>
      </c>
      <c r="BK175" s="92">
        <v>2</v>
      </c>
      <c r="BL175" s="92">
        <v>3</v>
      </c>
      <c r="BM175" s="92">
        <v>175.316</v>
      </c>
      <c r="BN175" s="92">
        <v>93.301000000000016</v>
      </c>
      <c r="BO175" s="92">
        <v>268.61700000000002</v>
      </c>
      <c r="BP175" s="92">
        <v>0</v>
      </c>
      <c r="BQ175" s="92">
        <v>0</v>
      </c>
      <c r="BR175" s="92">
        <v>0</v>
      </c>
      <c r="BS175" s="92">
        <v>-98.427999999999997</v>
      </c>
      <c r="BT175" s="92">
        <v>352.55599999999998</v>
      </c>
      <c r="BU175" s="92"/>
      <c r="BV175" s="92"/>
      <c r="BW175" s="92">
        <v>0</v>
      </c>
      <c r="BX175" s="92"/>
      <c r="BY175" s="92"/>
      <c r="BZ175" s="92">
        <v>361.35999999999996</v>
      </c>
      <c r="CA175" s="92"/>
      <c r="CB175" s="92"/>
      <c r="CC175" s="92">
        <v>-214.92500000000001</v>
      </c>
      <c r="CD175" s="92"/>
      <c r="CE175" s="92"/>
      <c r="CF175" s="92">
        <v>0</v>
      </c>
      <c r="CG175" s="92">
        <v>0</v>
      </c>
      <c r="CH175" s="92"/>
      <c r="CI175" s="92">
        <v>0</v>
      </c>
      <c r="CJ175" s="92">
        <v>1112.4000000000001</v>
      </c>
      <c r="CK175" s="92"/>
      <c r="CL175" s="92">
        <v>-1.3000000000000114</v>
      </c>
      <c r="CM175" s="92">
        <v>-171.3</v>
      </c>
      <c r="CN175" s="92"/>
      <c r="CO175" s="92">
        <v>-103.5</v>
      </c>
      <c r="CP175" s="92">
        <v>-3.5</v>
      </c>
      <c r="CQ175" s="92"/>
      <c r="CR175" s="92">
        <f>IF(Model!CR209&lt;&gt;"",Model!CR209,"")</f>
        <v>-497.1</v>
      </c>
      <c r="CS175" s="92">
        <f>IF(Model!CS209&lt;&gt;"",Model!CS209,"")</f>
        <v>-3</v>
      </c>
      <c r="CT175" s="92"/>
      <c r="CU175" s="92">
        <f>IF(Model!CU209&lt;&gt;"",Model!CU209,"")</f>
        <v>-2131.1999999999998</v>
      </c>
      <c r="CV175" s="92">
        <f>IF(Model!CV209&lt;&gt;"",Model!CV209,"")</f>
        <v>-716.9</v>
      </c>
      <c r="CW175" s="92"/>
      <c r="CX175" s="92">
        <f>IF(Model!CX209&lt;&gt;"",Model!CX209,"")</f>
        <v>-1610.5</v>
      </c>
      <c r="CY175" s="92">
        <f>IF(Model!CY209&lt;&gt;"",Model!CY209,"")</f>
        <v>-581.29999999999995</v>
      </c>
      <c r="CZ175" s="92"/>
      <c r="DA175" s="92">
        <f>IF(Model!DA209&lt;&gt;"",Model!DA209,"")</f>
        <v>-806.5</v>
      </c>
      <c r="DB175" s="92">
        <f>IF(Model!DB209&lt;&gt;"",Model!DB209,"")</f>
        <v>-1475.5</v>
      </c>
      <c r="DC175" s="92"/>
      <c r="DD175" s="92">
        <f>IF(Model!DD209&lt;&gt;"",Model!DD209,"")</f>
        <v>135.60000000000002</v>
      </c>
      <c r="DE175" s="144"/>
      <c r="DF175" s="92">
        <f>IF(Model!DF209&lt;&gt;"",Model!DF209,"")</f>
        <v>227.2</v>
      </c>
      <c r="DG175" s="92">
        <f>IF(Model!DG209&lt;&gt;"",Model!DG209,"")</f>
        <v>1425.5</v>
      </c>
      <c r="DH175" s="144">
        <f>IF(Model!DH209&lt;&gt;"",Model!DH209,"")</f>
        <v>1652.7</v>
      </c>
      <c r="DI175" s="92">
        <f>IF(Model!DI209&lt;&gt;"",Model!DI209,"")</f>
        <v>-66</v>
      </c>
      <c r="DJ175" s="92">
        <f>IF(Model!DJ209&lt;&gt;"",Model!DJ209,"")</f>
        <v>-404.9</v>
      </c>
      <c r="DK175" s="144">
        <f>IF(Model!DK209&lt;&gt;"",Model!DK209,"")</f>
        <v>-470.9</v>
      </c>
      <c r="DL175" s="92"/>
      <c r="DM175" s="92">
        <f>IF(Model!DM209&lt;&gt;"",Model!DM209,"")</f>
        <v>569.59999999999991</v>
      </c>
      <c r="DN175" s="144">
        <f>IF(Model!DN209&lt;&gt;"",Model!DN209,"")</f>
        <v>316.39999999999998</v>
      </c>
      <c r="DO175" s="92"/>
      <c r="DP175" s="92">
        <f>IF(Model!DP209&lt;&gt;"",Model!DP209,"")</f>
        <v>-100.20000000000027</v>
      </c>
      <c r="DQ175" s="144">
        <f>IF(Model!DQ209&lt;&gt;"",Model!DQ209,"")</f>
        <v>1741</v>
      </c>
      <c r="DR175" s="92"/>
      <c r="DS175" s="92">
        <f>IF(Model!DS209&lt;&gt;"",Model!DS209,"")</f>
        <v>134</v>
      </c>
      <c r="DT175" s="144"/>
      <c r="DU175" s="92"/>
      <c r="DV175" s="92">
        <f>IF(Model!DV209&lt;&gt;"",Model!DV209,"")</f>
        <v>-602</v>
      </c>
      <c r="DW175" s="144"/>
      <c r="DX175" s="92"/>
      <c r="DY175" s="92">
        <f>IF(Model!DY209&lt;&gt;"",Model!DY209,"")</f>
        <v>0</v>
      </c>
      <c r="DZ175" s="144"/>
      <c r="EA175" s="92"/>
      <c r="EB175" s="92" t="str">
        <f>IF(Model!EB209&lt;&gt;"",Model!EB209,"")</f>
        <v/>
      </c>
      <c r="EC175" s="144"/>
      <c r="ED175" s="92"/>
      <c r="EE175" s="92" t="str">
        <f>IF(Model!EE209&lt;&gt;"",Model!EE209,"")</f>
        <v/>
      </c>
      <c r="EF175" s="144"/>
      <c r="EG175" s="92"/>
      <c r="EH175" s="92" t="str">
        <f>IF(Model!EH209&lt;&gt;"",Model!EH209,"")</f>
        <v/>
      </c>
      <c r="EI175" s="144"/>
      <c r="EJ175" s="92"/>
      <c r="EK175" s="92" t="str">
        <f>IF(Model!EK209&lt;&gt;"",Model!EK209,"")</f>
        <v/>
      </c>
      <c r="EL175" s="144"/>
      <c r="EM175" s="92"/>
      <c r="EN175" s="92" t="str">
        <f>IF(Model!EN209&lt;&gt;"",Model!EN209,"")</f>
        <v/>
      </c>
      <c r="EO175" s="144"/>
      <c r="EP175" s="92"/>
      <c r="EQ175" s="92" t="str">
        <f>IF(Model!EQ209&lt;&gt;"",Model!EQ209,"")</f>
        <v/>
      </c>
      <c r="ER175" s="144"/>
      <c r="ES175" s="92"/>
      <c r="ET175" s="92" t="str">
        <f>IF(Model!ET209&lt;&gt;"",Model!ET209,"")</f>
        <v/>
      </c>
      <c r="EU175" s="144"/>
      <c r="EV175" s="92"/>
      <c r="EW175" s="92" t="str">
        <f>IF(Model!EW209&lt;&gt;"",Model!EW209,"")</f>
        <v/>
      </c>
      <c r="EX175" s="144"/>
      <c r="EY175" s="92"/>
      <c r="EZ175" s="92" t="str">
        <f>IF(Model!EZ209&lt;&gt;"",Model!EZ209,"")</f>
        <v/>
      </c>
      <c r="FA175" s="144"/>
    </row>
    <row r="176" spans="1:157" ht="13.35" customHeight="1">
      <c r="A176" s="3"/>
      <c r="B176" s="54" t="s">
        <v>462</v>
      </c>
      <c r="C176" s="54"/>
      <c r="D176" s="54"/>
      <c r="E176" s="92" t="str">
        <f>IF(Model!E210&lt;&gt;"",Model!E210,"")</f>
        <v/>
      </c>
      <c r="F176" s="92" t="str">
        <f>IF(Model!G210&lt;&gt;"",Model!F210,"")</f>
        <v/>
      </c>
      <c r="G176" s="92" t="str">
        <f>IF(Model!G210&lt;&gt;"",Model!G210,"")</f>
        <v/>
      </c>
      <c r="H176" s="92" t="str">
        <f>IF(Model!H210&lt;&gt;"",Model!H210,"")</f>
        <v/>
      </c>
      <c r="I176" s="92" t="str">
        <f>IF(Model!J210&lt;&gt;"",Model!I210,"")</f>
        <v/>
      </c>
      <c r="J176" s="92" t="str">
        <f>IF(Model!J210&lt;&gt;"",Model!J210,"")</f>
        <v/>
      </c>
      <c r="K176" s="92" t="str">
        <f>IF(Model!K210&lt;&gt;"",Model!K210,"")</f>
        <v/>
      </c>
      <c r="L176" s="92" t="str">
        <f>IF(Model!M210&lt;&gt;"",Model!L210,"")</f>
        <v/>
      </c>
      <c r="M176" s="92" t="str">
        <f>IF(Model!M210&lt;&gt;"",Model!M210,"")</f>
        <v/>
      </c>
      <c r="N176" s="92" t="str">
        <f>IF(Model!N210&lt;&gt;"",Model!N210,"")</f>
        <v/>
      </c>
      <c r="O176" s="92" t="str">
        <f>IF(Model!P210&lt;&gt;"",Model!O210,"")</f>
        <v/>
      </c>
      <c r="P176" s="92" t="str">
        <f>IF(Model!P210&lt;&gt;"",Model!P210,"")</f>
        <v/>
      </c>
      <c r="Q176" s="92" t="str">
        <f>IF(Model!Q210&lt;&gt;"",Model!Q210,"")</f>
        <v/>
      </c>
      <c r="R176" s="92" t="str">
        <f>IF(Model!S210&lt;&gt;"",Model!R210,"")</f>
        <v/>
      </c>
      <c r="S176" s="92" t="str">
        <f>IF(Model!S210&lt;&gt;"",Model!S210,"")</f>
        <v/>
      </c>
      <c r="T176" s="92" t="str">
        <f>IF(Model!T210&lt;&gt;"",Model!T210,"")</f>
        <v/>
      </c>
      <c r="U176" s="92" t="str">
        <f>IF(Model!V210&lt;&gt;"",Model!U210,"")</f>
        <v/>
      </c>
      <c r="V176" s="92" t="str">
        <f>IF(Model!V210&lt;&gt;"",Model!V210,"")</f>
        <v/>
      </c>
      <c r="W176" s="92" t="str">
        <f>IF(Model!W210&lt;&gt;"",Model!W210,"")</f>
        <v/>
      </c>
      <c r="X176" s="92" t="str">
        <f>IF(Model!Y210&lt;&gt;"",Model!X210,"")</f>
        <v/>
      </c>
      <c r="Y176" s="92" t="str">
        <f>IF(Model!Y210&lt;&gt;"",Model!Y210,"")</f>
        <v/>
      </c>
      <c r="Z176" s="92" t="str">
        <f>IF(Model!Z210&lt;&gt;"",Model!Z210,"")</f>
        <v/>
      </c>
      <c r="AA176" s="92" t="str">
        <f>IF(Model!AB210&lt;&gt;"",Model!AA210,"")</f>
        <v/>
      </c>
      <c r="AB176" s="92" t="str">
        <f>IF(Model!AB210&lt;&gt;"",Model!AB210,"")</f>
        <v/>
      </c>
      <c r="AC176" s="92" t="str">
        <f>IF(Model!AC210&lt;&gt;"",Model!AC210,"")</f>
        <v/>
      </c>
      <c r="AD176" s="92" t="str">
        <f>IF(Model!AE210&lt;&gt;"",Model!AD210,"")</f>
        <v/>
      </c>
      <c r="AE176" s="92" t="str">
        <f>IF(Model!AE210&lt;&gt;"",Model!AE210,"")</f>
        <v/>
      </c>
      <c r="AF176" s="92" t="str">
        <f>IF(Model!AF210&lt;&gt;"",Model!AF210,"")</f>
        <v/>
      </c>
      <c r="AG176" s="92" t="str">
        <f>IF(Model!AH210&lt;&gt;"",Model!AG210,"")</f>
        <v/>
      </c>
      <c r="AH176" s="92" t="str">
        <f>IF(Model!AH210&lt;&gt;"",Model!AH210,"")</f>
        <v/>
      </c>
      <c r="AI176" s="92" t="str">
        <f>IF(Model!AI210&lt;&gt;"",Model!AI210,"")</f>
        <v/>
      </c>
      <c r="AJ176" s="92" t="str">
        <f>IF(Model!AK210&lt;&gt;"",Model!AJ210,"")</f>
        <v/>
      </c>
      <c r="AK176" s="92" t="str">
        <f>IF(Model!AK210&lt;&gt;"",Model!AK210,"")</f>
        <v/>
      </c>
      <c r="AL176" s="92" t="str">
        <f>IF(Model!AL210&lt;&gt;"",Model!AL210,"")</f>
        <v/>
      </c>
      <c r="AM176" s="92">
        <f>IF(Model!AN210&lt;&gt;"",Model!AM210,"")</f>
        <v>-19.021999999999998</v>
      </c>
      <c r="AN176" s="92">
        <f>IF(Model!AN210&lt;&gt;"",Model!AN210,"")</f>
        <v>-19.021999999999998</v>
      </c>
      <c r="AO176" s="92" t="str">
        <f>IF(Model!AO210&lt;&gt;"",Model!AO210,"")</f>
        <v/>
      </c>
      <c r="AP176" s="92">
        <f>IF(Model!AQ210&lt;&gt;"",Model!AP210,"")</f>
        <v>-1.228</v>
      </c>
      <c r="AQ176" s="92">
        <f>IF(Model!AQ210&lt;&gt;"",Model!AQ210,"")</f>
        <v>-1.228</v>
      </c>
      <c r="AR176" s="92">
        <f>IF(Model!AR210&lt;&gt;"",Model!AR210,"")</f>
        <v>-36.484000000000002</v>
      </c>
      <c r="AS176" s="92">
        <f>IF(Model!AT210&lt;&gt;"",Model!AS210,"")</f>
        <v>-9.2999999999996419E-2</v>
      </c>
      <c r="AT176" s="92">
        <f>IF(Model!AT210&lt;&gt;"",Model!AT210,"")</f>
        <v>-36.576999999999998</v>
      </c>
      <c r="AU176" s="92">
        <f>IF(Model!AU210&lt;&gt;"",Model!AU210,"")</f>
        <v>-1.855</v>
      </c>
      <c r="AV176" s="92">
        <f>IF(Model!AW210&lt;&gt;"",Model!AV210,"")</f>
        <v>1.855</v>
      </c>
      <c r="AW176" s="92">
        <f>IF(Model!AW210&lt;&gt;"",Model!AW210,"")</f>
        <v>0</v>
      </c>
      <c r="AX176" s="92" t="str">
        <f>IF(Model!AX210&lt;&gt;"",Model!AX210,"")</f>
        <v/>
      </c>
      <c r="AY176" s="92">
        <f>IF(Model!AZ210&lt;&gt;"",Model!AY210,"")</f>
        <v>0</v>
      </c>
      <c r="AZ176" s="92" t="str">
        <f>IF(Model!AZ210&lt;&gt;"",Model!AZ210,"")</f>
        <v>0</v>
      </c>
      <c r="BA176" s="92">
        <f>IF(Model!BA210&lt;&gt;"",Model!BA210,"")</f>
        <v>560.79999999999995</v>
      </c>
      <c r="BB176" s="92">
        <v>0</v>
      </c>
      <c r="BC176" s="92" t="str">
        <f>IF(Model!BC210&lt;&gt;"",Model!BC210,"")</f>
        <v>0</v>
      </c>
      <c r="BD176" s="92">
        <f>IF(Model!BD210&lt;&gt;"",Model!BD210,"")</f>
        <v>-42.655999999999999</v>
      </c>
      <c r="BE176" s="92">
        <v>0</v>
      </c>
      <c r="BF176" s="92">
        <f>IF(Model!BF210&lt;&gt;"",Model!BF210,"")</f>
        <v>-42.512999999999998</v>
      </c>
      <c r="BG176" s="92" t="str">
        <f>IF(Model!BG210&lt;&gt;"",Model!BG210,"")</f>
        <v>0</v>
      </c>
      <c r="BH176" s="92">
        <v>0</v>
      </c>
      <c r="BI176" s="92">
        <f>IF(Model!BI210&lt;&gt;"",Model!BI210,"")</f>
        <v>-603.66099999999994</v>
      </c>
      <c r="BJ176" s="92">
        <f>IF(Model!BJ210&lt;&gt;"",Model!BJ210,"")</f>
        <v>-4.6710000000000003</v>
      </c>
      <c r="BK176" s="92">
        <f>IF(Model!BK210&lt;&gt;"",Model!BK210,"")</f>
        <v>-195.79500000000002</v>
      </c>
      <c r="BL176" s="92">
        <f>IF(Model!BL210&lt;&gt;"",Model!BL210,"")</f>
        <v>-200.46600000000001</v>
      </c>
      <c r="BM176" s="92">
        <f>IF(Model!BM210&lt;&gt;"",Model!BM210,"")</f>
        <v>-46.448999999999998</v>
      </c>
      <c r="BN176" s="92">
        <f>IF(Model!BN210&lt;&gt;"",Model!BN210,"")</f>
        <v>-24.522999999999996</v>
      </c>
      <c r="BO176" s="92">
        <f>IF(Model!BO210&lt;&gt;"",Model!BO210,"")</f>
        <v>-70.971999999999994</v>
      </c>
      <c r="BP176" s="92" t="str">
        <f>IF(Model!BP210&lt;&gt;"",Model!BP210,"")</f>
        <v>0</v>
      </c>
      <c r="BQ176" s="92">
        <f>IF(Model!BQ210&lt;&gt;"",Model!BQ210,"")</f>
        <v>-2.0819999999999999</v>
      </c>
      <c r="BR176" s="92">
        <f>IF(Model!BR210&lt;&gt;"",Model!BR210,"")</f>
        <v>-2.0819999999999999</v>
      </c>
      <c r="BS176" s="92" t="str">
        <f>IF(Model!BS210&lt;&gt;"",Model!BS210,"")</f>
        <v>0</v>
      </c>
      <c r="BT176" s="92">
        <f>IF(Model!BT210&lt;&gt;"",Model!BT210,"")</f>
        <v>-20.718</v>
      </c>
      <c r="BU176" s="92">
        <f>IF(Model!BU210&lt;&gt;"",Model!BU210,"")</f>
        <v>-20.718</v>
      </c>
      <c r="BV176" s="92">
        <f>IF(Model!BV210&lt;&gt;"",Model!BV210,"")</f>
        <v>-35.633000000000003</v>
      </c>
      <c r="BW176" s="92">
        <f>IF(Model!BW210&lt;&gt;"",Model!BW210,"")</f>
        <v>-1.2249999999999943</v>
      </c>
      <c r="BX176" s="92">
        <f>IF(Model!BX210&lt;&gt;"",Model!BX210,"")</f>
        <v>-36.857999999999997</v>
      </c>
      <c r="BY176" s="92">
        <f>IF(Model!BY210&lt;&gt;"",Model!BY210,"")</f>
        <v>-415.1</v>
      </c>
      <c r="BZ176" s="92">
        <f>IF(Model!BZ210&lt;&gt;"",Model!BZ210,"")</f>
        <v>415.1</v>
      </c>
      <c r="CA176" s="92">
        <f>IF(Model!CA210&lt;&gt;"",Model!CA210,"")</f>
        <v>0</v>
      </c>
      <c r="CB176" s="92">
        <f>IF(Model!CB210&lt;&gt;"",Model!CB210,"")</f>
        <v>-213.56200000000001</v>
      </c>
      <c r="CC176" s="92">
        <f>IF(Model!CC210&lt;&gt;"",Model!CC210,"")</f>
        <v>213.43600000000001</v>
      </c>
      <c r="CD176" s="92">
        <f>IF(Model!CD210&lt;&gt;"",Model!CD210,"")</f>
        <v>-0.126</v>
      </c>
      <c r="CE176" s="92">
        <f>IF(Model!CE210&lt;&gt;"",Model!CE210,"")</f>
        <v>-16.925000000000001</v>
      </c>
      <c r="CF176" s="92">
        <f>IF(Model!CF210&lt;&gt;"",Model!CF210,"")</f>
        <v>-1.3670000000000009</v>
      </c>
      <c r="CG176" s="92">
        <f>IF(Model!CG210&lt;&gt;"",Model!CG210,"")</f>
        <v>-18.292000000000002</v>
      </c>
      <c r="CH176" s="92">
        <f>IF(Model!CH210&lt;&gt;"",Model!CH210,"")</f>
        <v>-242.2</v>
      </c>
      <c r="CI176" s="92">
        <f>IF(Model!CI210&lt;&gt;"",Model!CI210,"")</f>
        <v>-1.4000000000000057</v>
      </c>
      <c r="CJ176" s="92">
        <f>IF(Model!CJ210&lt;&gt;"",Model!CJ210,"")</f>
        <v>-243.6</v>
      </c>
      <c r="CK176" s="92">
        <f>IF(Model!CK210&lt;&gt;"",Model!CK210,"")</f>
        <v>0</v>
      </c>
      <c r="CL176" s="92">
        <f>IF(Model!CL210&lt;&gt;"",Model!CL210,"")</f>
        <v>566.20000000000005</v>
      </c>
      <c r="CM176" s="92">
        <f>IF(Model!CM210&lt;&gt;"",Model!CM210,"")</f>
        <v>566.20000000000005</v>
      </c>
      <c r="CN176" s="92">
        <f>IF(Model!CN210&lt;&gt;"",Model!CN210,"")</f>
        <v>-1.9</v>
      </c>
      <c r="CO176" s="92">
        <f>IF(Model!CO210&lt;&gt;"",Model!CO210,"")</f>
        <v>201.9</v>
      </c>
      <c r="CP176" s="92">
        <f>IF(Model!CP210&lt;&gt;"",Model!CP210,"")</f>
        <v>200</v>
      </c>
      <c r="CQ176" s="92">
        <f>IF(Model!CQ210&lt;&gt;"",Model!CQ210,"")</f>
        <v>-2.2999999999999998</v>
      </c>
      <c r="CR176" s="92">
        <f>IF(Model!CR210&lt;&gt;"",Model!CR210,"")</f>
        <v>496.5</v>
      </c>
      <c r="CS176" s="92">
        <f>IF(Model!CS210&lt;&gt;"",Model!CS210,"")</f>
        <v>494.2</v>
      </c>
      <c r="CT176" s="92">
        <f>IF(Model!CT210&lt;&gt;"",Model!CT210,"")</f>
        <v>-615.6</v>
      </c>
      <c r="CU176" s="92">
        <f>IF(Model!CU210&lt;&gt;"",Model!CU210,"")</f>
        <v>2179.9</v>
      </c>
      <c r="CV176" s="92">
        <f>IF(Model!CV210&lt;&gt;"",Model!CV210,"")</f>
        <v>1564.3</v>
      </c>
      <c r="CW176" s="92">
        <f>IF(Model!CW210&lt;&gt;"",Model!CW210,"")</f>
        <v>-580</v>
      </c>
      <c r="CX176" s="92">
        <f>IF(Model!CX210&lt;&gt;"",Model!CX210,"")</f>
        <v>1961.4</v>
      </c>
      <c r="CY176" s="92">
        <f>IF(Model!CY210&lt;&gt;"",Model!CY210,"")</f>
        <v>1381.4</v>
      </c>
      <c r="CZ176" s="92">
        <f>IF(Model!CZ210&lt;&gt;"",Model!CZ210,"")</f>
        <v>1140.9000000000001</v>
      </c>
      <c r="DA176" s="92">
        <f>IF(Model!DA210&lt;&gt;"",Model!DA210,"")</f>
        <v>758</v>
      </c>
      <c r="DB176" s="92">
        <f>IF(Model!DB210&lt;&gt;"",Model!DB210,"")</f>
        <v>1898.9</v>
      </c>
      <c r="DC176" s="92">
        <f>IF(Model!DC210&lt;&gt;"",Model!DC210,"")</f>
        <v>-503.5</v>
      </c>
      <c r="DD176" s="92">
        <f>IF(Model!DD210&lt;&gt;"",Model!DD210,"")</f>
        <v>-106.70000000000005</v>
      </c>
      <c r="DE176" s="144">
        <f>IF(Model!DE210&lt;&gt;"",Model!DE210,"")</f>
        <v>-610.20000000000005</v>
      </c>
      <c r="DF176" s="92">
        <f>IF(Model!DF210&lt;&gt;"",Model!DF210,"")</f>
        <v>-346.4</v>
      </c>
      <c r="DG176" s="92">
        <f>IF(Model!DG210&lt;&gt;"",Model!DG210,"")</f>
        <v>-1052.8000000000002</v>
      </c>
      <c r="DH176" s="144">
        <f>IF(Model!DH210&lt;&gt;"",Model!DH210,"")</f>
        <v>-1399.2</v>
      </c>
      <c r="DI176" s="92" t="str">
        <f>IF(Model!DI210&lt;&gt;"",Model!DI210,"")</f>
        <v/>
      </c>
      <c r="DJ176" s="92" t="str">
        <f>IF(Model!DJ210&lt;&gt;"",Model!DJ210,"")</f>
        <v/>
      </c>
      <c r="DK176" s="144" t="str">
        <f>IF(Model!DK210&lt;&gt;"",Model!DK210,"")</f>
        <v/>
      </c>
      <c r="DL176" s="92" t="str">
        <f>IF(Model!DL210&lt;&gt;"",Model!DL210,"")</f>
        <v/>
      </c>
      <c r="DM176" s="92">
        <f>IF(Model!DM210&lt;&gt;"",Model!DM210,"")</f>
        <v>0</v>
      </c>
      <c r="DN176" s="144" t="str">
        <f>IF(Model!DN210&lt;&gt;"",Model!DN210,"")</f>
        <v/>
      </c>
      <c r="DO176" s="92">
        <f>IF(Model!DO210&lt;&gt;"",Model!DO210,"")</f>
        <v>0</v>
      </c>
      <c r="DP176" s="92">
        <f>IF(Model!DP210&lt;&gt;"",Model!DP210,"")</f>
        <v>0</v>
      </c>
      <c r="DQ176" s="144">
        <f>IF(Model!DQ210&lt;&gt;"",Model!DQ210,"")</f>
        <v>0</v>
      </c>
      <c r="DR176" s="92" t="str">
        <f>IF(Model!DR210&lt;&gt;"",Model!DR210,"")</f>
        <v/>
      </c>
      <c r="DS176" s="92">
        <f>IF(Model!DS210&lt;&gt;"",Model!DS210,"")</f>
        <v>0</v>
      </c>
      <c r="DT176" s="144">
        <f>IF(Model!DT210&lt;&gt;"",Model!DT210,"")</f>
        <v>0</v>
      </c>
      <c r="DU176" s="92">
        <f>IF(Model!DU210&lt;&gt;"",Model!DU210,"")</f>
        <v>0</v>
      </c>
      <c r="DV176" s="92">
        <f>IF(Model!DV210&lt;&gt;"",Model!DV210,"")</f>
        <v>0</v>
      </c>
      <c r="DW176" s="144">
        <f>IF(Model!DW210&lt;&gt;"",Model!DW210,"")</f>
        <v>0</v>
      </c>
      <c r="DX176" s="92">
        <f>IF(Model!DX210&lt;&gt;"",Model!DX210,"")</f>
        <v>0</v>
      </c>
      <c r="DY176" s="92">
        <f>IF(Model!DY210&lt;&gt;"",Model!DY210,"")</f>
        <v>0</v>
      </c>
      <c r="DZ176" s="144">
        <f>IF(Model!DZ210&lt;&gt;"",Model!DZ210,"")</f>
        <v>0</v>
      </c>
      <c r="EA176" s="92">
        <f>IF(Model!EA210&lt;&gt;"",Model!EA210,"")</f>
        <v>0</v>
      </c>
      <c r="EB176" s="92">
        <f>IF(Model!EB210&lt;&gt;"",Model!EB210,"")</f>
        <v>0</v>
      </c>
      <c r="EC176" s="144">
        <f>IF(Model!EC210&lt;&gt;"",Model!EC210,"")</f>
        <v>-2.2737367544323206E-13</v>
      </c>
      <c r="ED176" s="92">
        <f>IF(Model!ED210&lt;&gt;"",Model!ED210,"")</f>
        <v>0</v>
      </c>
      <c r="EE176" s="92">
        <f>IF(Model!EE210&lt;&gt;"",Model!EE210,"")</f>
        <v>0</v>
      </c>
      <c r="EF176" s="144">
        <f>IF(Model!EF210&lt;&gt;"",Model!EF210,"")</f>
        <v>0</v>
      </c>
      <c r="EG176" s="92">
        <f>IF(Model!EG210&lt;&gt;"",Model!EG210,"")</f>
        <v>0</v>
      </c>
      <c r="EH176" s="92">
        <f>IF(Model!EH210&lt;&gt;"",Model!EH210,"")</f>
        <v>0</v>
      </c>
      <c r="EI176" s="144">
        <f>IF(Model!EI210&lt;&gt;"",Model!EI210,"")</f>
        <v>0</v>
      </c>
      <c r="EJ176" s="92">
        <f>IF(Model!EJ210&lt;&gt;"",Model!EJ210,"")</f>
        <v>0</v>
      </c>
      <c r="EK176" s="92">
        <f>IF(Model!EK210&lt;&gt;"",Model!EK210,"")</f>
        <v>0</v>
      </c>
      <c r="EL176" s="144">
        <f>IF(Model!EL210&lt;&gt;"",Model!EL210,"")</f>
        <v>0</v>
      </c>
      <c r="EM176" s="92">
        <f>IF(Model!EM210&lt;&gt;"",Model!EM210,"")</f>
        <v>0</v>
      </c>
      <c r="EN176" s="92">
        <f>IF(Model!EN210&lt;&gt;"",Model!EN210,"")</f>
        <v>0</v>
      </c>
      <c r="EO176" s="144">
        <f>IF(Model!EO210&lt;&gt;"",Model!EO210,"")</f>
        <v>0</v>
      </c>
      <c r="EP176" s="92">
        <f>IF(Model!EP210&lt;&gt;"",Model!EP210,"")</f>
        <v>0</v>
      </c>
      <c r="EQ176" s="92">
        <f>IF(Model!EQ210&lt;&gt;"",Model!EQ210,"")</f>
        <v>0</v>
      </c>
      <c r="ER176" s="144">
        <f>IF(Model!ER210&lt;&gt;"",Model!ER210,"")</f>
        <v>0</v>
      </c>
      <c r="ES176" s="92">
        <f>IF(Model!ES210&lt;&gt;"",Model!ES210,"")</f>
        <v>0</v>
      </c>
      <c r="ET176" s="92">
        <f>IF(Model!ET210&lt;&gt;"",Model!ET210,"")</f>
        <v>0</v>
      </c>
      <c r="EU176" s="144">
        <f>IF(Model!EU210&lt;&gt;"",Model!EU210,"")</f>
        <v>4.5474735088646412E-13</v>
      </c>
      <c r="EV176" s="92">
        <f>IF(Model!EV210&lt;&gt;"",Model!EV210,"")</f>
        <v>0</v>
      </c>
      <c r="EW176" s="92">
        <f>IF(Model!EW210&lt;&gt;"",Model!EW210,"")</f>
        <v>0</v>
      </c>
      <c r="EX176" s="144">
        <f>IF(Model!EX210&lt;&gt;"",Model!EX210,"")</f>
        <v>-4.5474735088646412E-13</v>
      </c>
      <c r="EY176" s="92">
        <f>IF(Model!EY210&lt;&gt;"",Model!EY210,"")</f>
        <v>0</v>
      </c>
      <c r="EZ176" s="92">
        <f>IF(Model!EZ210&lt;&gt;"",Model!EZ210,"")</f>
        <v>0</v>
      </c>
      <c r="FA176" s="144">
        <f>IF(Model!FA210&lt;&gt;"",Model!FA210,"")</f>
        <v>-4.5474735088646412E-13</v>
      </c>
    </row>
    <row r="177" spans="1:157" ht="13.35" customHeight="1">
      <c r="A177" s="3"/>
      <c r="B177" s="54" t="s">
        <v>310</v>
      </c>
      <c r="C177" s="54"/>
      <c r="D177" s="54"/>
      <c r="E177" s="92" t="str">
        <f>IF(AND(Model!E211&lt;&gt;"",Model!E91&lt;&gt;0),Model!E211,"")</f>
        <v/>
      </c>
      <c r="F177" s="92" t="str">
        <f>IF(AND(Model!G211&lt;&gt;"",Model!F91&lt;&gt;0),Model!F211,"")</f>
        <v/>
      </c>
      <c r="G177" s="92" t="str">
        <f>IF(AND(Model!G211&lt;&gt;"",Model!G91&lt;&gt;0),Model!G211,"")</f>
        <v/>
      </c>
      <c r="H177" s="92" t="str">
        <f>IF(AND(Model!H211&lt;&gt;"",Model!H91&lt;&gt;0),Model!H211,"")</f>
        <v/>
      </c>
      <c r="I177" s="92" t="str">
        <f>IF(AND(Model!J211&lt;&gt;"",Model!I91&lt;&gt;0),Model!I211,"")</f>
        <v/>
      </c>
      <c r="J177" s="92" t="str">
        <f>IF(AND(Model!J211&lt;&gt;"",Model!J91&lt;&gt;0),Model!J211,"")</f>
        <v/>
      </c>
      <c r="K177" s="92" t="str">
        <f>IF(AND(Model!K211&lt;&gt;"",Model!K91&lt;&gt;0),Model!K211,"")</f>
        <v/>
      </c>
      <c r="L177" s="92" t="str">
        <f>IF(AND(Model!M211&lt;&gt;"",Model!L91&lt;&gt;0),Model!L211,"")</f>
        <v/>
      </c>
      <c r="M177" s="92" t="str">
        <f>IF(AND(Model!M211&lt;&gt;"",Model!M91&lt;&gt;0),Model!M211,"")</f>
        <v/>
      </c>
      <c r="N177" s="92" t="str">
        <f>IF(AND(Model!N211&lt;&gt;"",Model!N91&lt;&gt;0),Model!N211,"")</f>
        <v/>
      </c>
      <c r="O177" s="92" t="str">
        <f>IF(AND(Model!P211&lt;&gt;"",Model!O91&lt;&gt;0),Model!O211,"")</f>
        <v/>
      </c>
      <c r="P177" s="92" t="str">
        <f>IF(AND(Model!P211&lt;&gt;"",Model!P91&lt;&gt;0),Model!P211,"")</f>
        <v/>
      </c>
      <c r="Q177" s="92" t="str">
        <f>IF(AND(Model!Q211&lt;&gt;"",Model!Q91&lt;&gt;0),Model!Q211,"")</f>
        <v/>
      </c>
      <c r="R177" s="92" t="str">
        <f>IF(AND(Model!S211&lt;&gt;"",Model!R91&lt;&gt;0),Model!R211,"")</f>
        <v/>
      </c>
      <c r="S177" s="92" t="str">
        <f>IF(AND(Model!S211&lt;&gt;"",Model!S91&lt;&gt;0),Model!S211,"")</f>
        <v/>
      </c>
      <c r="T177" s="92" t="str">
        <f>IF(AND(Model!T211&lt;&gt;"",Model!T91&lt;&gt;0),Model!T211,"")</f>
        <v/>
      </c>
      <c r="U177" s="92" t="str">
        <f>IF(AND(Model!V211&lt;&gt;"",Model!U91&lt;&gt;0),Model!U211,"")</f>
        <v/>
      </c>
      <c r="V177" s="92" t="str">
        <f>IF(AND(Model!V211&lt;&gt;"",Model!V91&lt;&gt;0),Model!V211,"")</f>
        <v/>
      </c>
      <c r="W177" s="92" t="str">
        <f>IF(AND(Model!W211&lt;&gt;"",Model!W91&lt;&gt;0),Model!W211,"")</f>
        <v/>
      </c>
      <c r="X177" s="92" t="str">
        <f>IF(AND(Model!Y211&lt;&gt;"",Model!X91&lt;&gt;0),Model!X211,"")</f>
        <v/>
      </c>
      <c r="Y177" s="92" t="str">
        <f>IF(AND(Model!Y211&lt;&gt;"",Model!Y91&lt;&gt;0),Model!Y211,"")</f>
        <v/>
      </c>
      <c r="Z177" s="92" t="str">
        <f>IF(AND(Model!Z211&lt;&gt;"",Model!Z91&lt;&gt;0),Model!Z211,"")</f>
        <v/>
      </c>
      <c r="AA177" s="92" t="str">
        <f>IF(AND(Model!AB211&lt;&gt;"",Model!AA91&lt;&gt;0),Model!AA211,"")</f>
        <v/>
      </c>
      <c r="AB177" s="92" t="str">
        <f>IF(AND(Model!AB211&lt;&gt;"",Model!AB91&lt;&gt;0),Model!AB211,"")</f>
        <v/>
      </c>
      <c r="AC177" s="92" t="str">
        <f>IF(AND(Model!AC211&lt;&gt;"",Model!AC91&lt;&gt;0),Model!AC211,"")</f>
        <v/>
      </c>
      <c r="AD177" s="92" t="str">
        <f>IF(AND(Model!AE211&lt;&gt;"",Model!AD91&lt;&gt;0),Model!AD211,"")</f>
        <v/>
      </c>
      <c r="AE177" s="92" t="str">
        <f>IF(AND(Model!AE211&lt;&gt;"",Model!AE91&lt;&gt;0),Model!AE211,"")</f>
        <v/>
      </c>
      <c r="AF177" s="92" t="str">
        <f>IF(AND(Model!AF211&lt;&gt;"",Model!AF91&lt;&gt;0),Model!AF211,"")</f>
        <v/>
      </c>
      <c r="AG177" s="92" t="str">
        <f>IF(AND(Model!AH211&lt;&gt;"",Model!AG91&lt;&gt;0),Model!AG211,"")</f>
        <v/>
      </c>
      <c r="AH177" s="92" t="str">
        <f>IF(AND(Model!AH211&lt;&gt;"",Model!AH91&lt;&gt;0),Model!AH211,"")</f>
        <v/>
      </c>
      <c r="AI177" s="92" t="str">
        <f>IF(AND(Model!AI211&lt;&gt;"",Model!AI91&lt;&gt;0),Model!AI211,"")</f>
        <v/>
      </c>
      <c r="AJ177" s="92" t="str">
        <f>IF(AND(Model!AK211&lt;&gt;"",Model!AJ91&lt;&gt;0),Model!AJ211,"")</f>
        <v/>
      </c>
      <c r="AK177" s="92" t="str">
        <f>IF(AND(Model!AK211&lt;&gt;"",Model!AK91&lt;&gt;0),Model!AK211,"")</f>
        <v/>
      </c>
      <c r="AL177" s="92" t="str">
        <f>IF(AND(Model!AL211&lt;&gt;"",Model!AL91&lt;&gt;0),Model!AL211,"")</f>
        <v/>
      </c>
      <c r="AM177" s="92">
        <f>IF(AND(Model!AN211&lt;&gt;"",Model!AM91&lt;&gt;0),Model!AM211,"")</f>
        <v>-21.650000000000006</v>
      </c>
      <c r="AN177" s="92">
        <f>IF(AND(Model!AN211&lt;&gt;"",Model!AN91&lt;&gt;0),Model!AN211,"")</f>
        <v>-21.650000000000006</v>
      </c>
      <c r="AO177" s="92">
        <f>IF(AND(Model!AO211&lt;&gt;"",Model!AO91&lt;&gt;0),Model!AO211,"")</f>
        <v>-16.681000000000001</v>
      </c>
      <c r="AP177" s="92">
        <f>IF(AND(Model!AQ211&lt;&gt;"",Model!AP91&lt;&gt;0),Model!AP211,"")</f>
        <v>-13.818999999999988</v>
      </c>
      <c r="AQ177" s="92">
        <f>IF(AND(Model!AQ211&lt;&gt;"",Model!AQ91&lt;&gt;0),Model!AQ211,"")</f>
        <v>-30.499999999999989</v>
      </c>
      <c r="AR177" s="92">
        <f>IF(AND(Model!AR211&lt;&gt;"",Model!AR91&lt;&gt;0),Model!AR211,"")</f>
        <v>-34.889999999999993</v>
      </c>
      <c r="AS177" s="92">
        <f>IF(AND(Model!AT211&lt;&gt;"",Model!AS91&lt;&gt;0),Model!AS211,"")</f>
        <v>12.111999999999998</v>
      </c>
      <c r="AT177" s="92">
        <f>IF(AND(Model!AT211&lt;&gt;"",Model!AT91&lt;&gt;0),Model!AT211,"")</f>
        <v>-22.777999999999995</v>
      </c>
      <c r="AU177" s="92">
        <f>IF(AND(Model!AU211&lt;&gt;"",Model!AU91&lt;&gt;0),Model!AU211,"")</f>
        <v>-38.012</v>
      </c>
      <c r="AV177" s="92">
        <f>IF(AND(Model!AW211&lt;&gt;"",Model!AV91&lt;&gt;0),Model!AV211,"")</f>
        <v>35.272000000000006</v>
      </c>
      <c r="AW177" s="92">
        <f>IF(AND(Model!AW211&lt;&gt;"",Model!AW91&lt;&gt;0),Model!AW211,"")</f>
        <v>-2.7399999999999958</v>
      </c>
      <c r="AX177" s="92">
        <f>IF(AND(Model!AX211&lt;&gt;"",Model!AX91&lt;&gt;0),Model!AX211,"")</f>
        <v>18.842999999999996</v>
      </c>
      <c r="AY177" s="92">
        <f>IF(AND(Model!AZ211&lt;&gt;"",Model!AY91&lt;&gt;0),Model!AY211,"")</f>
        <v>-14.677</v>
      </c>
      <c r="AZ177" s="92">
        <f>IF(AND(Model!AZ211&lt;&gt;"",Model!AZ91&lt;&gt;0),Model!AZ211,"")</f>
        <v>4.1659999999999968</v>
      </c>
      <c r="BA177" s="92">
        <f>IF(AND(Model!BA211&lt;&gt;"",Model!BA91&lt;&gt;0),Model!BA211,"")</f>
        <v>4.1000000000100734E-2</v>
      </c>
      <c r="BB177" s="92">
        <f>IF(AND(Model!BC211&lt;&gt;"",Model!BB91&lt;&gt;0),Model!BB211,"")</f>
        <v>569.50391999999999</v>
      </c>
      <c r="BC177" s="92">
        <f>IF(AND(Model!BC211&lt;&gt;"",Model!BC91&lt;&gt;0),Model!BC211,"")</f>
        <v>569.54492000000005</v>
      </c>
      <c r="BD177" s="92">
        <f>IF(AND(Model!BD211&lt;&gt;"",Model!BD91&lt;&gt;0),Model!BD211,"")</f>
        <v>0</v>
      </c>
      <c r="BE177" s="92">
        <f>IF(AND(Model!BF211&lt;&gt;"",Model!BE91&lt;&gt;0),Model!BE211,"")</f>
        <v>0</v>
      </c>
      <c r="BF177" s="92">
        <f>IF(AND(Model!BF211&lt;&gt;"",Model!BF91&lt;&gt;0),Model!BF211,"")</f>
        <v>0</v>
      </c>
      <c r="BG177" s="92">
        <f>IF(AND(Model!BG211&lt;&gt;"",Model!BG91&lt;&gt;0),Model!BG211,"")</f>
        <v>4.4999999999999956</v>
      </c>
      <c r="BH177" s="92">
        <f>IF(AND(Model!BI211&lt;&gt;"",Model!BH91&lt;&gt;0),Model!BH211,"")</f>
        <v>-4.5000000000001554</v>
      </c>
      <c r="BI177" s="92">
        <f>IF(AND(Model!BI211&lt;&gt;"",Model!BI91&lt;&gt;0),Model!BI211,"")</f>
        <v>-1.5987211554602254E-13</v>
      </c>
      <c r="BJ177" s="92">
        <f>IF(AND(Model!BJ211&lt;&gt;"",Model!BJ91&lt;&gt;0),Model!BJ211,"")</f>
        <v>41.348969999999952</v>
      </c>
      <c r="BK177" s="92"/>
      <c r="BL177" s="92"/>
      <c r="BM177" s="92">
        <f>IF(AND(Model!BM211&lt;&gt;"",Model!BM91&lt;&gt;0),Model!BM211,"")</f>
        <v>2.2204460492503131E-14</v>
      </c>
      <c r="BN177" s="92">
        <f>IF(AND(Model!BN211&lt;&gt;"",Model!BN91&lt;&gt;0),Model!BN211,"")</f>
        <v>-2.2204460492503131E-14</v>
      </c>
      <c r="BO177" s="92">
        <f>IF(AND(Model!BO211&lt;&gt;"",Model!BO91&lt;&gt;0),Model!BO211,"")</f>
        <v>0</v>
      </c>
      <c r="BP177" s="92">
        <f>IF(AND(Model!BP211&lt;&gt;"",Model!BP91&lt;&gt;0),Model!BP211,"")</f>
        <v>7.7479999999999905</v>
      </c>
      <c r="BQ177" s="92">
        <f>IF(AND(Model!BQ211&lt;&gt;"",Model!BQ91&lt;&gt;0),Model!BQ211,"")</f>
        <v>-7.7479999999999905</v>
      </c>
      <c r="BR177" s="92">
        <f>IF(AND(Model!BR211&lt;&gt;"",Model!BR91&lt;&gt;0),Model!BR211,"")</f>
        <v>0</v>
      </c>
      <c r="BS177" s="92">
        <f>IF(AND(Model!BS211&lt;&gt;"",Model!BS91&lt;&gt;0),Model!BS211,"")</f>
        <v>-1.0658141036401503E-14</v>
      </c>
      <c r="BT177" s="92">
        <f>IF(AND(Model!BT211&lt;&gt;"",Model!BT91&lt;&gt;0),Model!BT211,"")</f>
        <v>-5.3290705182007514E-14</v>
      </c>
      <c r="BU177" s="92">
        <f>IF(AND(Model!BU211&lt;&gt;"",Model!BU91&lt;&gt;0),Model!BU211,"")</f>
        <v>-6.3948846218409017E-14</v>
      </c>
      <c r="BV177" s="92">
        <f>IF(AND(Model!BV211&lt;&gt;"",Model!BV91&lt;&gt;0),Model!BV211,"")</f>
        <v>-8.3999999999999631E-2</v>
      </c>
      <c r="BW177" s="92">
        <f>IF(AND(Model!BW211&lt;&gt;"",Model!BW91&lt;&gt;0),Model!BW211,"")</f>
        <v>8.4000000000017394E-2</v>
      </c>
      <c r="BX177" s="92">
        <f>IF(AND(Model!BX211&lt;&gt;"",Model!BX91&lt;&gt;0),Model!BX211,"")</f>
        <v>1.7763568394002505E-14</v>
      </c>
      <c r="BY177" s="92">
        <f>IF(AND(Model!BY211&lt;&gt;"",Model!BY91&lt;&gt;0),Model!BY211,"")</f>
        <v>304.56100000000038</v>
      </c>
      <c r="BZ177" s="92">
        <f>IF(AND(Model!BZ211&lt;&gt;"",Model!BZ91&lt;&gt;0),Model!BZ211,"")</f>
        <v>-737.90100000000052</v>
      </c>
      <c r="CA177" s="92">
        <f>IF(AND(Model!CA211&lt;&gt;"",Model!CA91&lt;&gt;0),Model!CA211,"")</f>
        <v>-433.34000000000015</v>
      </c>
      <c r="CB177" s="92">
        <f>IF(AND(Model!CB211&lt;&gt;"",Model!CB91&lt;&gt;0),Model!CB211,"")</f>
        <v>-50.934954045274708</v>
      </c>
      <c r="CC177" s="92">
        <f>IF(AND(Model!CC211&lt;&gt;"",Model!CC91&lt;&gt;0),Model!CC211,"")</f>
        <v>50.934954045274708</v>
      </c>
      <c r="CD177" s="92">
        <f>IF(AND(Model!CD211&lt;&gt;"",Model!CD91&lt;&gt;0),Model!CD211,"")</f>
        <v>0</v>
      </c>
      <c r="CE177" s="92">
        <f>IF(AND(Model!CE211&lt;&gt;"",Model!CE91&lt;&gt;0),Model!CE211,"")</f>
        <v>-0.20900000000006003</v>
      </c>
      <c r="CF177" s="92">
        <f>IF(AND(Model!CF211&lt;&gt;"",Model!CF91&lt;&gt;0),Model!CF211,"")</f>
        <v>65.788999999999987</v>
      </c>
      <c r="CG177" s="92">
        <f>IF(AND(Model!CG211&lt;&gt;"",Model!CG91&lt;&gt;0),Model!CG211,"")</f>
        <v>65.579999999999927</v>
      </c>
      <c r="CH177" s="92">
        <f>IF(AND(Model!CH211&lt;&gt;"",Model!CH91&lt;&gt;0),Model!CH211,"")</f>
        <v>0.59999999999996589</v>
      </c>
      <c r="CI177" s="92">
        <f>IF(AND(Model!CI211&lt;&gt;"",Model!CI91&lt;&gt;0),Model!CI211,"")</f>
        <v>-1.7053025658242404E-13</v>
      </c>
      <c r="CJ177" s="92">
        <f>IF(AND(Model!CJ211&lt;&gt;"",Model!CJ91&lt;&gt;0),Model!CJ211,"")</f>
        <v>0.59999999999979536</v>
      </c>
      <c r="CK177" s="92">
        <f>IF(AND(Model!CK211&lt;&gt;"",Model!CK91&lt;&gt;0),Model!CK211,"")</f>
        <v>9.9999999999965894E-2</v>
      </c>
      <c r="CL177" s="92">
        <f>IF(AND(Model!CL211&lt;&gt;"",Model!CL91&lt;&gt;0),Model!CL211,"")</f>
        <v>-9.9999999999965894E-2</v>
      </c>
      <c r="CM177" s="92">
        <f>IF(AND(Model!CM211&lt;&gt;"",Model!CM91&lt;&gt;0),Model!CM211,"")</f>
        <v>0</v>
      </c>
      <c r="CN177" s="92">
        <f>IF(AND(Model!CN211&lt;&gt;"",Model!CN91&lt;&gt;0),Model!CN211,"")</f>
        <v>-8.5265128291212022E-14</v>
      </c>
      <c r="CO177" s="92">
        <f>IF(AND(Model!CO211&lt;&gt;"",Model!CO91&lt;&gt;0),Model!CO211,"")</f>
        <v>-2.8421709430404007E-14</v>
      </c>
      <c r="CP177" s="92">
        <f>IF(AND(Model!CP211&lt;&gt;"",Model!CP91&lt;&gt;0),Model!CP211,"")</f>
        <v>-1.1368683772161603E-13</v>
      </c>
      <c r="CQ177" s="92">
        <f>IF(AND(Model!CQ211&lt;&gt;"",Model!CQ91&lt;&gt;0),Model!CQ211,"")</f>
        <v>9.9999999999994316E-2</v>
      </c>
      <c r="CR177" s="92">
        <f>IF(AND(Model!CR211&lt;&gt;"",Model!CR91&lt;&gt;0),Model!CR211,"")</f>
        <v>0.10000000000005116</v>
      </c>
      <c r="CS177" s="92">
        <f>IF(AND(Model!CS211&lt;&gt;"",Model!CS91&lt;&gt;0),Model!CS211,"")</f>
        <v>0.20000000000004547</v>
      </c>
      <c r="CT177" s="92">
        <f>IF(AND(Model!CT211&lt;&gt;"",Model!CT91&lt;&gt;0),Model!CT211,"")</f>
        <v>-2.8421709430404007E-14</v>
      </c>
      <c r="CU177" s="92">
        <f>IF(AND(Model!CU211&lt;&gt;"",Model!CU91&lt;&gt;0),Model!CU211,"")</f>
        <v>0.10000000000027853</v>
      </c>
      <c r="CV177" s="92">
        <f>IF(AND(Model!CV211&lt;&gt;"",Model!CV91&lt;&gt;0),Model!CV211,"")</f>
        <v>0.10000000000025011</v>
      </c>
      <c r="CW177" s="92">
        <f>IF(AND(Model!CW211&lt;&gt;"",Model!CW91&lt;&gt;0),Model!CW211,"")</f>
        <v>181.44566169188766</v>
      </c>
      <c r="CX177" s="92">
        <f>IF(AND(Model!CX211&lt;&gt;"",Model!CX91&lt;&gt;0),Model!CX211,"")</f>
        <v>-185.36470931093527</v>
      </c>
      <c r="CY177" s="92">
        <f>IF(AND(Model!CY211&lt;&gt;"",Model!CY91&lt;&gt;0),Model!CY211,"")</f>
        <v>-3.9190476190476033</v>
      </c>
      <c r="CZ177" s="92">
        <f>IF(AND(Model!CZ211&lt;&gt;"",Model!CZ91&lt;&gt;0),Model!CZ211,"")</f>
        <v>-1.1368683772161603E-13</v>
      </c>
      <c r="DA177" s="92">
        <f>IF(AND(Model!DA211&lt;&gt;"",Model!DA91&lt;&gt;0),Model!DA211,"")</f>
        <v>7.1054273576010019E-14</v>
      </c>
      <c r="DB177" s="92">
        <f>IF(AND(Model!DB211&lt;&gt;"",Model!DB91&lt;&gt;0),Model!DB211,"")</f>
        <v>-4.2632564145606011E-14</v>
      </c>
      <c r="DC177" s="92">
        <f>IF(AND(Model!DC211&lt;&gt;"",Model!DC91&lt;&gt;0),Model!DC211,"")</f>
        <v>-5.8000000000000114</v>
      </c>
      <c r="DD177" s="92">
        <f>IF(AND(Model!DD211&lt;&gt;"",Model!DD91&lt;&gt;0),Model!DD211,"")</f>
        <v>0.99999999999978328</v>
      </c>
      <c r="DE177" s="144">
        <f>IF(AND(Model!DE211&lt;&gt;"",Model!DE91&lt;&gt;0),Model!DE211,"")</f>
        <v>-4.8000000000002281</v>
      </c>
      <c r="DF177" s="92">
        <f>IF(AND(Model!DF211&lt;&gt;"",Model!DF91&lt;&gt;0),Model!DF211,"")</f>
        <v>-7.8000000000001464</v>
      </c>
      <c r="DG177" s="92">
        <f>IF(AND(Model!DG211&lt;&gt;"",Model!DG91&lt;&gt;0),Model!DG211,"")</f>
        <v>-47.300000000000104</v>
      </c>
      <c r="DH177" s="144">
        <f>IF(AND(Model!DH211&lt;&gt;"",Model!DH91&lt;&gt;0),Model!DH211,"")</f>
        <v>-55.10000000000025</v>
      </c>
      <c r="DI177" s="92">
        <f>IF(AND(Model!DI211&lt;&gt;"",Model!DI91&lt;&gt;0),Model!DI211,"")</f>
        <v>-1.3000000000000824</v>
      </c>
      <c r="DJ177" s="92">
        <f>IF(AND(Model!DJ211&lt;&gt;"",Model!DJ91&lt;&gt;0),Model!DJ211,"")</f>
        <v>-28.000000000000121</v>
      </c>
      <c r="DK177" s="144">
        <f>IF(AND(Model!DK211&lt;&gt;"",Model!DK91&lt;&gt;0),Model!DK211,"")</f>
        <v>-29.300000000000203</v>
      </c>
      <c r="DL177" s="92">
        <f>IF(AND(Model!DL211&lt;&gt;"",Model!DL91&lt;&gt;0),Model!DL211,"")</f>
        <v>-1.7000000000007276</v>
      </c>
      <c r="DM177" s="92">
        <f>IF(AND(Model!DM211&lt;&gt;"",Model!DM91&lt;&gt;0),Model!DM211,"")</f>
        <v>3411.7000000000025</v>
      </c>
      <c r="DN177" s="144">
        <f>IF(AND(Model!DN211&lt;&gt;"",Model!DN91&lt;&gt;0),Model!DN211,"")</f>
        <v>3410.0000000000018</v>
      </c>
      <c r="DO177" s="92">
        <f>IF(AND(Model!DO211&lt;&gt;"",Model!DO91&lt;&gt;0),Model!DO211,"")</f>
        <v>0.10000000000081855</v>
      </c>
      <c r="DP177" s="92">
        <f>IF(AND(Model!DP211&lt;&gt;"",Model!DP91&lt;&gt;0),Model!DP211,"")</f>
        <v>-234.10000000000082</v>
      </c>
      <c r="DQ177" s="144">
        <f>IF(AND(Model!DQ211&lt;&gt;"",Model!DQ91&lt;&gt;0),Model!DQ211,"")</f>
        <v>-234</v>
      </c>
      <c r="DR177" s="92">
        <f>IF(AND(Model!DR211&lt;&gt;"",Model!DR91&lt;&gt;0),Model!DR211,"")</f>
        <v>-44</v>
      </c>
      <c r="DS177" s="92">
        <f>IF(AND(Model!DS211&lt;&gt;"",Model!DS91&lt;&gt;0),Model!DS211,"")</f>
        <v>-129</v>
      </c>
      <c r="DT177" s="144">
        <f>IF(AND(Model!DT211&lt;&gt;"",Model!DT91&lt;&gt;0),Model!DT211,"")</f>
        <v>-173</v>
      </c>
      <c r="DU177" s="92">
        <f>IF(AND(Model!DU211&lt;&gt;"",Model!DU91&lt;&gt;0),Model!DU211,"")</f>
        <v>-45</v>
      </c>
      <c r="DV177" s="92">
        <f>IF(AND(Model!DV211&lt;&gt;"",Model!DV91&lt;&gt;0),Model!DV211,"")</f>
        <v>-326</v>
      </c>
      <c r="DW177" s="144">
        <f>IF(AND(Model!DW211&lt;&gt;"",Model!DW91&lt;&gt;0),Model!DW211,"")</f>
        <v>-371</v>
      </c>
      <c r="DX177" s="92">
        <f>IF(AND(Model!DX211&lt;&gt;"",Model!DX91&lt;&gt;0),Model!DX211,"")</f>
        <v>-50</v>
      </c>
      <c r="DY177" s="92">
        <f>IF(AND(Model!DY211&lt;&gt;"",Model!DY91&lt;&gt;0),Model!DY211,"")</f>
        <v>0</v>
      </c>
      <c r="DZ177" s="144">
        <f>IF(AND(Model!DZ211&lt;&gt;"",Model!DZ91&lt;&gt;0),Model!DZ211,"")</f>
        <v>-50</v>
      </c>
      <c r="EA177" s="92">
        <f>IF(AND(Model!EA211&lt;&gt;"",Model!EA91&lt;&gt;0),Model!EA211,"")</f>
        <v>0</v>
      </c>
      <c r="EB177" s="92">
        <f>IF(AND(Model!EB211&lt;&gt;"",Model!EB91&lt;&gt;0),Model!EB211,"")</f>
        <v>0</v>
      </c>
      <c r="EC177" s="144">
        <f>IF(AND(Model!EC211&lt;&gt;"",Model!EC91&lt;&gt;0),Model!EC211,"")</f>
        <v>0</v>
      </c>
      <c r="ED177" s="92">
        <f>IF(AND(Model!ED211&lt;&gt;"",Model!ED91&lt;&gt;0),Model!ED211,"")</f>
        <v>0</v>
      </c>
      <c r="EE177" s="92">
        <f>IF(AND(Model!EE211&lt;&gt;"",Model!EE91&lt;&gt;0),Model!EE211,"")</f>
        <v>0</v>
      </c>
      <c r="EF177" s="144">
        <f>IF(AND(Model!EF211&lt;&gt;"",Model!EF91&lt;&gt;0),Model!EF211,"")</f>
        <v>0</v>
      </c>
      <c r="EG177" s="92">
        <f>IF(AND(Model!EG211&lt;&gt;"",Model!EG91&lt;&gt;0),Model!EG211,"")</f>
        <v>0</v>
      </c>
      <c r="EH177" s="92">
        <f>IF(AND(Model!EH211&lt;&gt;"",Model!EH91&lt;&gt;0),Model!EH211,"")</f>
        <v>0</v>
      </c>
      <c r="EI177" s="144">
        <f>IF(AND(Model!EI211&lt;&gt;"",Model!EI91&lt;&gt;0),Model!EI211,"")</f>
        <v>0</v>
      </c>
      <c r="EJ177" s="92">
        <f>IF(AND(Model!EJ211&lt;&gt;"",Model!EJ91&lt;&gt;0),Model!EJ211,"")</f>
        <v>0</v>
      </c>
      <c r="EK177" s="92">
        <f>IF(AND(Model!EK211&lt;&gt;"",Model!EK91&lt;&gt;0),Model!EK211,"")</f>
        <v>0</v>
      </c>
      <c r="EL177" s="144">
        <f>IF(AND(Model!EL211&lt;&gt;"",Model!EL91&lt;&gt;0),Model!EL211,"")</f>
        <v>0</v>
      </c>
      <c r="EM177" s="92">
        <f>IF(AND(Model!EM211&lt;&gt;"",Model!EM91&lt;&gt;0),Model!EM211,"")</f>
        <v>0</v>
      </c>
      <c r="EN177" s="92">
        <f>IF(AND(Model!EN211&lt;&gt;"",Model!EN91&lt;&gt;0),Model!EN211,"")</f>
        <v>0</v>
      </c>
      <c r="EO177" s="144">
        <f>IF(AND(Model!EO211&lt;&gt;"",Model!EO91&lt;&gt;0),Model!EO211,"")</f>
        <v>0</v>
      </c>
      <c r="EP177" s="92">
        <f>IF(AND(Model!EP211&lt;&gt;"",Model!EP91&lt;&gt;0),Model!EP211,"")</f>
        <v>0</v>
      </c>
      <c r="EQ177" s="92">
        <f>IF(AND(Model!EQ211&lt;&gt;"",Model!EQ91&lt;&gt;0),Model!EQ211,"")</f>
        <v>0</v>
      </c>
      <c r="ER177" s="144">
        <f>IF(AND(Model!ER211&lt;&gt;"",Model!ER91&lt;&gt;0),Model!ER211,"")</f>
        <v>0</v>
      </c>
      <c r="ES177" s="92">
        <f>IF(AND(Model!ES211&lt;&gt;"",Model!ES91&lt;&gt;0),Model!ES211,"")</f>
        <v>0</v>
      </c>
      <c r="ET177" s="92">
        <f>IF(AND(Model!ET211&lt;&gt;"",Model!ET91&lt;&gt;0),Model!ET211,"")</f>
        <v>0</v>
      </c>
      <c r="EU177" s="144">
        <f>IF(AND(Model!EU211&lt;&gt;"",Model!EU91&lt;&gt;0),Model!EU211,"")</f>
        <v>0</v>
      </c>
      <c r="EV177" s="92">
        <f>IF(AND(Model!EV211&lt;&gt;"",Model!EV91&lt;&gt;0),Model!EV211,"")</f>
        <v>0</v>
      </c>
      <c r="EW177" s="92">
        <f>IF(AND(Model!EW211&lt;&gt;"",Model!EW91&lt;&gt;0),Model!EW211,"")</f>
        <v>0</v>
      </c>
      <c r="EX177" s="144">
        <f>IF(AND(Model!EX211&lt;&gt;"",Model!EX91&lt;&gt;0),Model!EX211,"")</f>
        <v>0</v>
      </c>
      <c r="EY177" s="92">
        <f>IF(AND(Model!EY211&lt;&gt;"",Model!EY91&lt;&gt;0),Model!EY211,"")</f>
        <v>0</v>
      </c>
      <c r="EZ177" s="92">
        <f>IF(AND(Model!EZ211&lt;&gt;"",Model!EZ91&lt;&gt;0),Model!EZ211,"")</f>
        <v>0</v>
      </c>
      <c r="FA177" s="144">
        <f>IF(AND(Model!FA211&lt;&gt;"",Model!FA91&lt;&gt;0),Model!FA211,"")</f>
        <v>0</v>
      </c>
    </row>
    <row r="178" spans="1:157" ht="13.35" customHeight="1">
      <c r="A178" s="3"/>
      <c r="B178" s="60" t="s">
        <v>368</v>
      </c>
      <c r="C178" s="60"/>
      <c r="D178" s="92"/>
      <c r="E178" s="92" t="str">
        <f>IF(Model!E214&lt;&gt;"",Model!E214,"")</f>
        <v/>
      </c>
      <c r="F178" s="92" t="str">
        <f>IF(Model!G214&lt;&gt;"",Model!F214,"")</f>
        <v/>
      </c>
      <c r="G178" s="92" t="str">
        <f>IF(Model!G214&lt;&gt;"",Model!G214,"")</f>
        <v/>
      </c>
      <c r="H178" s="92" t="str">
        <f>IF(Model!H214&lt;&gt;"",Model!H214,"")</f>
        <v/>
      </c>
      <c r="I178" s="92" t="str">
        <f>IF(Model!J214&lt;&gt;"",Model!I214,"")</f>
        <v/>
      </c>
      <c r="J178" s="92" t="str">
        <f>IF(Model!J214&lt;&gt;"",Model!J214,"")</f>
        <v/>
      </c>
      <c r="K178" s="92" t="str">
        <f>IF(Model!K214&lt;&gt;"",Model!K214,"")</f>
        <v/>
      </c>
      <c r="L178" s="92" t="str">
        <f>IF(Model!M214&lt;&gt;"",Model!L214,"")</f>
        <v/>
      </c>
      <c r="M178" s="92" t="str">
        <f>IF(Model!M214&lt;&gt;"",Model!M214,"")</f>
        <v/>
      </c>
      <c r="N178" s="92" t="str">
        <f>IF(Model!N214&lt;&gt;"",Model!N214,"")</f>
        <v/>
      </c>
      <c r="O178" s="92" t="str">
        <f>IF(Model!P214&lt;&gt;"",Model!O214,"")</f>
        <v/>
      </c>
      <c r="P178" s="92" t="str">
        <f>IF(Model!P214&lt;&gt;"",Model!P214,"")</f>
        <v/>
      </c>
      <c r="Q178" s="92" t="str">
        <f>IF(Model!Q214&lt;&gt;"",Model!Q214,"")</f>
        <v/>
      </c>
      <c r="R178" s="92" t="str">
        <f>IF(Model!S214&lt;&gt;"",Model!R214,"")</f>
        <v/>
      </c>
      <c r="S178" s="92" t="str">
        <f>IF(Model!S214&lt;&gt;"",Model!S214,"")</f>
        <v/>
      </c>
      <c r="T178" s="92" t="str">
        <f>IF(Model!T214&lt;&gt;"",Model!T214,"")</f>
        <v/>
      </c>
      <c r="U178" s="92" t="str">
        <f>IF(Model!V214&lt;&gt;"",Model!U214,"")</f>
        <v/>
      </c>
      <c r="V178" s="92" t="str">
        <f>IF(Model!V214&lt;&gt;"",Model!V214,"")</f>
        <v/>
      </c>
      <c r="W178" s="92" t="str">
        <f>IF(Model!W214&lt;&gt;"",Model!W214,"")</f>
        <v/>
      </c>
      <c r="X178" s="92" t="str">
        <f>IF(Model!Y214&lt;&gt;"",Model!X214,"")</f>
        <v/>
      </c>
      <c r="Y178" s="92" t="str">
        <f>IF(Model!Y214&lt;&gt;"",Model!Y214,"")</f>
        <v/>
      </c>
      <c r="Z178" s="92" t="str">
        <f>IF(Model!Z214&lt;&gt;"",Model!Z214,"")</f>
        <v/>
      </c>
      <c r="AA178" s="92" t="str">
        <f>IF(Model!AB214&lt;&gt;"",Model!AA214,"")</f>
        <v/>
      </c>
      <c r="AB178" s="92" t="str">
        <f>IF(Model!AB214&lt;&gt;"",Model!AB214,"")</f>
        <v/>
      </c>
      <c r="AC178" s="92" t="str">
        <f>IF(Model!AC214&lt;&gt;"",Model!AC214,"")</f>
        <v/>
      </c>
      <c r="AD178" s="92" t="str">
        <f>IF(Model!AE214&lt;&gt;"",Model!AD214,"")</f>
        <v/>
      </c>
      <c r="AE178" s="92" t="str">
        <f>IF(Model!AE214&lt;&gt;"",Model!AE214,"")</f>
        <v/>
      </c>
      <c r="AF178" s="92" t="str">
        <f>IF(Model!AF214&lt;&gt;"",Model!AF214,"")</f>
        <v/>
      </c>
      <c r="AG178" s="92" t="str">
        <f>IF(Model!AH214&lt;&gt;"",Model!AG214,"")</f>
        <v/>
      </c>
      <c r="AH178" s="92" t="str">
        <f>IF(Model!AH214&lt;&gt;"",Model!AH214,"")</f>
        <v/>
      </c>
      <c r="AI178" s="92" t="str">
        <f>IF(Model!AI214&lt;&gt;"",Model!AI214,"")</f>
        <v/>
      </c>
      <c r="AJ178" s="92" t="str">
        <f>IF(Model!AK214&lt;&gt;"",Model!AJ214,"")</f>
        <v/>
      </c>
      <c r="AK178" s="92" t="str">
        <f>IF(Model!AK214&lt;&gt;"",Model!AK214,"")</f>
        <v/>
      </c>
      <c r="AL178" s="92" t="str">
        <f>IF(Model!AL214&lt;&gt;"",Model!AL214,"")</f>
        <v/>
      </c>
      <c r="AM178" s="92">
        <f>IF(Model!AN214&lt;&gt;"",Model!AM214,"")</f>
        <v>13.384</v>
      </c>
      <c r="AN178" s="92">
        <f>IF(Model!AN214&lt;&gt;"",Model!AN214,"")</f>
        <v>13.384</v>
      </c>
      <c r="AO178" s="92" t="str">
        <f>IF(Model!AO214&lt;&gt;"",Model!AO214,"")</f>
        <v/>
      </c>
      <c r="AP178" s="92">
        <f>IF(Model!AQ214&lt;&gt;"",Model!AP214,"")</f>
        <v>22.568000000000001</v>
      </c>
      <c r="AQ178" s="92">
        <f>IF(Model!AQ214&lt;&gt;"",Model!AQ214,"")</f>
        <v>22.568000000000001</v>
      </c>
      <c r="AR178" s="92">
        <f>IF(Model!AR214&lt;&gt;"",Model!AR214,"")</f>
        <v>-29.437999999999999</v>
      </c>
      <c r="AS178" s="92">
        <f>IF(Model!AT214&lt;&gt;"",Model!AS214,"")</f>
        <v>27.224</v>
      </c>
      <c r="AT178" s="92">
        <f>IF(Model!AT214&lt;&gt;"",Model!AT214,"")</f>
        <v>-2.214</v>
      </c>
      <c r="AU178" s="92">
        <f>IF(Model!AU214&lt;&gt;"",Model!AU214,"")</f>
        <v>-18.239999999999998</v>
      </c>
      <c r="AV178" s="92">
        <f>IF(Model!AW214&lt;&gt;"",Model!AV214,"")</f>
        <v>18.239999999999998</v>
      </c>
      <c r="AW178" s="92">
        <f>IF(Model!AW214&lt;&gt;"",Model!AW214,"")</f>
        <v>0</v>
      </c>
      <c r="AX178" s="92" t="str">
        <f>IF(Model!AX214&lt;&gt;"",Model!AX214,"")</f>
        <v/>
      </c>
      <c r="AY178" s="92">
        <f>IF(Model!AZ214&lt;&gt;"",Model!AY214,"")</f>
        <v>371.07299999999998</v>
      </c>
      <c r="AZ178" s="92">
        <f>IF(Model!AZ214&lt;&gt;"",Model!AZ214,"")</f>
        <v>371.07299999999998</v>
      </c>
      <c r="BA178" s="92">
        <f>IF(Model!BA214&lt;&gt;"",Model!BA214,"")</f>
        <v>-349.1</v>
      </c>
      <c r="BB178" s="92">
        <f>IF(Model!BC214&lt;&gt;"",Model!BB214,"")</f>
        <v>43.227000000000032</v>
      </c>
      <c r="BC178" s="92"/>
      <c r="BD178" s="92">
        <f>IF(Model!BE214&lt;&gt;"",Model!BD214,"")</f>
        <v>-82.948999999999998</v>
      </c>
      <c r="BE178" s="92">
        <f>IF(Model!BF214&lt;&gt;"",Model!BE214,"")</f>
        <v>59.581000000000003</v>
      </c>
      <c r="BF178" s="93"/>
      <c r="BG178" s="93"/>
      <c r="BH178" s="92">
        <f>IF(Model!BI214&lt;&gt;"",Model!BH214,"")</f>
        <v>-1.425</v>
      </c>
      <c r="BI178" s="93"/>
      <c r="BJ178" s="93"/>
      <c r="BK178" s="92">
        <f>IF(Model!BL214&lt;&gt;"",Model!BK214,"")</f>
        <v>-398.60399999999998</v>
      </c>
      <c r="BL178" s="92"/>
      <c r="BM178" s="92">
        <v>-146</v>
      </c>
      <c r="BN178" s="92">
        <f>IF(Model!BO214&lt;&gt;"",Model!BN214,"")</f>
        <v>455.44399999999996</v>
      </c>
      <c r="BO178" s="6">
        <v>4.5300000000007197</v>
      </c>
      <c r="BP178" s="92"/>
      <c r="BQ178" s="92">
        <f>IF(Model!BR214&lt;&gt;"",Model!BQ214,"")</f>
        <v>8.2200000000000006</v>
      </c>
      <c r="BR178" s="93"/>
      <c r="BS178" s="93">
        <f>Model!BS214</f>
        <v>-201.02099999999999</v>
      </c>
      <c r="BT178" s="92">
        <f>IF(Model!BU214&lt;&gt;"",Model!BT214,"")</f>
        <v>-50.812000000000012</v>
      </c>
      <c r="BU178" s="93"/>
      <c r="BV178" s="93">
        <v>170</v>
      </c>
      <c r="BW178" s="92">
        <f>IF(Model!BX214&lt;&gt;"",Model!BW214,"")</f>
        <v>154.529</v>
      </c>
      <c r="BX178" s="93">
        <v>314</v>
      </c>
      <c r="BY178" s="93">
        <f>BY172</f>
        <v>1891</v>
      </c>
      <c r="BZ178" s="92"/>
      <c r="CA178" s="93">
        <v>2020</v>
      </c>
      <c r="CB178" s="93">
        <v>-1650</v>
      </c>
      <c r="CC178" s="92"/>
      <c r="CD178" s="93">
        <v>-1400</v>
      </c>
      <c r="CE178" s="93"/>
      <c r="CF178" s="92"/>
      <c r="CG178" s="93"/>
      <c r="CH178" s="93"/>
      <c r="CI178" s="92"/>
      <c r="CJ178" s="93">
        <v>481</v>
      </c>
      <c r="CK178" s="93">
        <f>151-243</f>
        <v>-92</v>
      </c>
      <c r="CL178" s="92"/>
      <c r="CM178" s="93">
        <f>485-243</f>
        <v>242</v>
      </c>
      <c r="CN178" s="93">
        <v>165</v>
      </c>
      <c r="CO178" s="92"/>
      <c r="CP178" s="93">
        <v>517</v>
      </c>
      <c r="CQ178" s="93">
        <v>172</v>
      </c>
      <c r="CR178" s="92"/>
      <c r="CS178" s="93">
        <v>550</v>
      </c>
      <c r="CT178" s="93">
        <v>200</v>
      </c>
      <c r="CU178" s="92"/>
      <c r="CV178" s="93">
        <v>550</v>
      </c>
      <c r="CW178" s="93">
        <v>110</v>
      </c>
      <c r="CX178" s="92"/>
      <c r="CY178" s="93">
        <v>550</v>
      </c>
      <c r="CZ178" s="93"/>
      <c r="DA178" s="92"/>
      <c r="DB178" s="93"/>
      <c r="DC178" s="93"/>
      <c r="DD178" s="92"/>
      <c r="DE178" s="144"/>
      <c r="DF178" s="93"/>
      <c r="DG178" s="92"/>
      <c r="DH178" s="144"/>
      <c r="DI178" s="93"/>
      <c r="DJ178" s="92"/>
      <c r="DK178" s="144"/>
      <c r="DL178" s="93"/>
      <c r="DM178" s="92"/>
      <c r="DN178" s="144">
        <v>915</v>
      </c>
      <c r="DO178" s="93"/>
      <c r="DP178" s="92"/>
      <c r="DQ178" s="144"/>
      <c r="DR178" s="93"/>
      <c r="DS178" s="92"/>
      <c r="DT178" s="144"/>
      <c r="DU178" s="93"/>
      <c r="DV178" s="92"/>
      <c r="DW178" s="144"/>
      <c r="DX178" s="93"/>
      <c r="DY178" s="92"/>
      <c r="DZ178" s="144"/>
      <c r="EA178" s="93"/>
      <c r="EB178" s="92"/>
      <c r="EC178" s="144"/>
      <c r="ED178" s="93"/>
      <c r="EE178" s="92"/>
      <c r="EF178" s="144"/>
      <c r="EG178" s="93"/>
      <c r="EH178" s="92"/>
      <c r="EI178" s="144"/>
      <c r="EJ178" s="93"/>
      <c r="EK178" s="92"/>
      <c r="EL178" s="144"/>
      <c r="EM178" s="93"/>
      <c r="EN178" s="92"/>
      <c r="EO178" s="144"/>
      <c r="EP178" s="93"/>
      <c r="EQ178" s="92"/>
      <c r="ER178" s="144"/>
      <c r="ES178" s="93"/>
      <c r="ET178" s="92"/>
      <c r="EU178" s="144"/>
      <c r="EV178" s="93"/>
      <c r="EW178" s="92"/>
      <c r="EX178" s="144"/>
      <c r="EY178" s="93"/>
      <c r="EZ178" s="92"/>
      <c r="FA178" s="144"/>
    </row>
    <row r="179" spans="1:157" ht="13.35" customHeight="1">
      <c r="A179" s="3"/>
      <c r="B179" s="4"/>
      <c r="C179" s="4"/>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c r="AF179" s="93"/>
      <c r="AG179" s="93"/>
      <c r="AH179" s="93"/>
      <c r="AI179" s="93"/>
      <c r="AJ179" s="93"/>
      <c r="AK179" s="93"/>
      <c r="AL179" s="93"/>
      <c r="AM179" s="93"/>
      <c r="AN179" s="93"/>
      <c r="AO179" s="93"/>
      <c r="AP179" s="93"/>
      <c r="AQ179" s="93"/>
      <c r="AR179" s="93"/>
      <c r="AS179" s="93"/>
      <c r="AT179" s="93"/>
      <c r="AU179" s="93"/>
      <c r="AV179" s="93"/>
      <c r="AW179" s="93"/>
      <c r="AX179" s="93"/>
      <c r="AY179" s="93"/>
      <c r="AZ179" s="93"/>
      <c r="BA179" s="93"/>
      <c r="BB179" s="93"/>
      <c r="BC179" s="93"/>
      <c r="BD179" s="93"/>
      <c r="BE179" s="93"/>
      <c r="BF179" s="93"/>
      <c r="BG179" s="93"/>
      <c r="BH179" s="93"/>
      <c r="BI179" s="93"/>
      <c r="BJ179" s="93"/>
      <c r="BK179" s="93"/>
      <c r="BL179" s="93"/>
      <c r="BM179" s="93"/>
      <c r="BN179" s="93"/>
      <c r="BO179" s="93"/>
      <c r="BP179" s="93"/>
      <c r="BQ179" s="93"/>
      <c r="BR179" s="93"/>
      <c r="BS179" s="93"/>
      <c r="BT179" s="93"/>
      <c r="BU179" s="93"/>
      <c r="BV179" s="93"/>
      <c r="BW179" s="93"/>
      <c r="BX179" s="93"/>
      <c r="BY179" s="93"/>
      <c r="BZ179" s="93"/>
      <c r="CA179" s="93"/>
      <c r="CB179" s="93">
        <f>Model!CB291</f>
        <v>0</v>
      </c>
      <c r="CC179" s="93" t="str">
        <f>Model!CC291</f>
        <v/>
      </c>
      <c r="CD179" s="93" t="str">
        <f>Model!CD291</f>
        <v/>
      </c>
      <c r="CE179" s="93">
        <f>Model!CE291</f>
        <v>0</v>
      </c>
      <c r="CF179" s="93">
        <f>Model!CF291</f>
        <v>0</v>
      </c>
      <c r="CG179" s="93">
        <f>Model!CG291</f>
        <v>0</v>
      </c>
      <c r="CH179" s="93" t="str">
        <f>Model!CH291</f>
        <v/>
      </c>
      <c r="CI179" s="93" t="str">
        <f>Model!CI291</f>
        <v/>
      </c>
      <c r="CJ179" s="93" t="str">
        <f>Model!CJ291</f>
        <v/>
      </c>
      <c r="CK179" s="93" t="str">
        <f>Model!CK291</f>
        <v/>
      </c>
      <c r="CL179" s="93" t="str">
        <f>Model!CL291</f>
        <v/>
      </c>
      <c r="CM179" s="93" t="str">
        <f>Model!CM291</f>
        <v/>
      </c>
      <c r="CN179" s="93" t="str">
        <f>Model!CN291</f>
        <v/>
      </c>
      <c r="CO179" s="93" t="str">
        <f>Model!CO291</f>
        <v/>
      </c>
      <c r="CP179" s="93" t="str">
        <f>Model!CP291</f>
        <v/>
      </c>
      <c r="CQ179" s="93" t="str">
        <f>Model!CQ291</f>
        <v/>
      </c>
      <c r="CR179" s="93" t="str">
        <f>Model!CR291</f>
        <v/>
      </c>
      <c r="CS179" s="93" t="str">
        <f>Model!CS291</f>
        <v/>
      </c>
      <c r="CT179" s="93">
        <f>Model!CT291</f>
        <v>0</v>
      </c>
      <c r="CU179" s="93" t="str">
        <f>Model!CU291</f>
        <v/>
      </c>
      <c r="CV179" s="93" t="str">
        <f>Model!CV291</f>
        <v/>
      </c>
      <c r="CW179" s="93" t="str">
        <f>Model!CW291</f>
        <v/>
      </c>
      <c r="CX179" s="93" t="str">
        <f>Model!CX291</f>
        <v/>
      </c>
      <c r="CY179" s="93" t="str">
        <f>Model!CY291</f>
        <v/>
      </c>
      <c r="CZ179" s="93">
        <f>Model!CZ291</f>
        <v>0</v>
      </c>
      <c r="DA179" s="93">
        <f>Model!DA291</f>
        <v>0</v>
      </c>
      <c r="DB179" s="93">
        <f>Model!DB291</f>
        <v>0</v>
      </c>
      <c r="DC179" s="93">
        <f>Model!DC291</f>
        <v>0</v>
      </c>
      <c r="DD179" s="93" t="str">
        <f>Model!DD291</f>
        <v/>
      </c>
      <c r="DE179" s="144" t="str">
        <f>Model!DE291</f>
        <v/>
      </c>
      <c r="DF179" s="93">
        <f>Model!DF291</f>
        <v>0</v>
      </c>
      <c r="DG179" s="93">
        <f>Model!DG291</f>
        <v>0</v>
      </c>
      <c r="DH179" s="144">
        <f>Model!DH291</f>
        <v>0</v>
      </c>
      <c r="DI179" s="93" t="str">
        <f>Model!DI291</f>
        <v/>
      </c>
      <c r="DJ179" s="93" t="str">
        <f>Model!DJ291</f>
        <v/>
      </c>
      <c r="DK179" s="144" t="str">
        <f>Model!DK291</f>
        <v/>
      </c>
      <c r="DL179" s="93" t="str">
        <f>Model!DL291</f>
        <v/>
      </c>
      <c r="DM179" s="93" t="str">
        <f>Model!DM291</f>
        <v/>
      </c>
      <c r="DN179" s="144" t="str">
        <f>Model!DN291</f>
        <v/>
      </c>
      <c r="DO179" s="93" t="str">
        <f>Model!DO291</f>
        <v/>
      </c>
      <c r="DP179" s="93">
        <f>Model!DP291</f>
        <v>0</v>
      </c>
      <c r="DQ179" s="144">
        <f>Model!DQ291</f>
        <v>0</v>
      </c>
      <c r="DR179" s="93" t="str">
        <f>Model!DR291</f>
        <v/>
      </c>
      <c r="DS179" s="93" t="str">
        <f>Model!DS291</f>
        <v/>
      </c>
      <c r="DT179" s="144" t="str">
        <f>Model!DT291</f>
        <v/>
      </c>
      <c r="DU179" s="93">
        <f>Model!DU291</f>
        <v>0</v>
      </c>
      <c r="DV179" s="93">
        <f>Model!DV291</f>
        <v>0</v>
      </c>
      <c r="DW179" s="144">
        <f>Model!DW291</f>
        <v>0</v>
      </c>
      <c r="DX179" s="93">
        <f>Model!DX291</f>
        <v>0</v>
      </c>
      <c r="DY179" s="93">
        <f>Model!DY291</f>
        <v>0</v>
      </c>
      <c r="DZ179" s="144">
        <f>Model!DZ291</f>
        <v>0</v>
      </c>
      <c r="EA179" s="93">
        <f>Model!EA291</f>
        <v>0</v>
      </c>
      <c r="EB179" s="93">
        <f>Model!EB291</f>
        <v>0</v>
      </c>
      <c r="EC179" s="144">
        <f>Model!EC291</f>
        <v>0</v>
      </c>
      <c r="ED179" s="93">
        <f>Model!ED291</f>
        <v>0</v>
      </c>
      <c r="EE179" s="93">
        <f>Model!EE291</f>
        <v>0</v>
      </c>
      <c r="EF179" s="144">
        <f>Model!EF291</f>
        <v>0</v>
      </c>
      <c r="EG179" s="93">
        <f>Model!EG291</f>
        <v>0</v>
      </c>
      <c r="EH179" s="93">
        <f>Model!EH291</f>
        <v>0</v>
      </c>
      <c r="EI179" s="144">
        <f>Model!EI291</f>
        <v>0</v>
      </c>
      <c r="EJ179" s="93">
        <f>Model!EJ291</f>
        <v>0</v>
      </c>
      <c r="EK179" s="93">
        <f>Model!EK291</f>
        <v>0</v>
      </c>
      <c r="EL179" s="144">
        <f>Model!EL291</f>
        <v>0</v>
      </c>
      <c r="EM179" s="93">
        <f>Model!EM291</f>
        <v>0</v>
      </c>
      <c r="EN179" s="93">
        <f>Model!EN291</f>
        <v>0</v>
      </c>
      <c r="EO179" s="144">
        <f>Model!EO291</f>
        <v>0</v>
      </c>
      <c r="EP179" s="93">
        <f>Model!EP291</f>
        <v>0</v>
      </c>
      <c r="EQ179" s="93">
        <f>Model!EQ291</f>
        <v>0</v>
      </c>
      <c r="ER179" s="144">
        <f>Model!ER291</f>
        <v>0</v>
      </c>
      <c r="ES179" s="93">
        <f>Model!ES291</f>
        <v>0</v>
      </c>
      <c r="ET179" s="93">
        <f>Model!ET291</f>
        <v>0</v>
      </c>
      <c r="EU179" s="144">
        <f>Model!EU291</f>
        <v>0</v>
      </c>
      <c r="EV179" s="93">
        <f>Model!EV291</f>
        <v>0</v>
      </c>
      <c r="EW179" s="93">
        <f>Model!EW291</f>
        <v>0</v>
      </c>
      <c r="EX179" s="144">
        <f>Model!EX291</f>
        <v>0</v>
      </c>
      <c r="EY179" s="93">
        <f>Model!EY291</f>
        <v>0</v>
      </c>
      <c r="EZ179" s="93">
        <f>Model!EZ291</f>
        <v>0</v>
      </c>
      <c r="FA179" s="144">
        <f>Model!FA291</f>
        <v>0</v>
      </c>
    </row>
    <row r="180" spans="1:157" ht="13.35" customHeight="1">
      <c r="A180" s="3"/>
      <c r="B180" s="5" t="s">
        <v>399</v>
      </c>
      <c r="C180" s="5"/>
      <c r="D180" s="5"/>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c r="AF180" s="93"/>
      <c r="AG180" s="93"/>
      <c r="AH180" s="93"/>
      <c r="AI180" s="93"/>
      <c r="AJ180" s="93"/>
      <c r="AK180" s="93"/>
      <c r="AL180" s="93"/>
      <c r="AM180" s="93"/>
      <c r="AN180" s="93"/>
      <c r="AO180" s="93"/>
      <c r="AP180" s="93"/>
      <c r="AQ180" s="93"/>
      <c r="AR180" s="93"/>
      <c r="AS180" s="93"/>
      <c r="AT180" s="93"/>
      <c r="AU180" s="93"/>
      <c r="AV180" s="93"/>
      <c r="AW180" s="93"/>
      <c r="AX180" s="93"/>
      <c r="AY180" s="93"/>
      <c r="AZ180" s="93"/>
      <c r="BA180" s="84"/>
      <c r="BB180" s="84"/>
      <c r="BC180" s="84"/>
      <c r="BD180" s="84"/>
      <c r="BE180" s="84"/>
      <c r="BF180" s="84"/>
      <c r="BG180" s="84"/>
      <c r="BH180" s="84"/>
      <c r="BI180" s="84"/>
      <c r="BJ180" s="84"/>
      <c r="BK180" s="84"/>
      <c r="BL180" s="84"/>
      <c r="BM180" s="84"/>
      <c r="BN180" s="84"/>
      <c r="BO180" s="84"/>
      <c r="BP180" s="84"/>
      <c r="BQ180" s="84"/>
      <c r="BR180" s="84"/>
      <c r="BS180" s="84"/>
      <c r="BT180" s="84"/>
      <c r="BU180" s="84"/>
      <c r="BV180" s="84"/>
      <c r="BW180" s="84"/>
      <c r="BX180" s="84"/>
      <c r="BY180" s="84"/>
      <c r="BZ180" s="84"/>
      <c r="CA180" s="84"/>
      <c r="CB180" s="118"/>
      <c r="CC180" s="118"/>
      <c r="CD180" s="118"/>
      <c r="CE180" s="118"/>
      <c r="CF180" s="118"/>
      <c r="CG180" s="118"/>
      <c r="CH180" s="118"/>
      <c r="CI180" s="118"/>
      <c r="CJ180" s="118"/>
      <c r="CK180" s="118"/>
      <c r="CL180" s="118"/>
      <c r="CM180" s="118"/>
      <c r="CN180" s="118"/>
      <c r="CO180" s="118"/>
      <c r="CP180" s="118"/>
      <c r="CQ180" s="118"/>
      <c r="CR180" s="118"/>
      <c r="CS180" s="118"/>
      <c r="CT180" s="118"/>
      <c r="CU180" s="118"/>
      <c r="CV180" s="118"/>
      <c r="CW180" s="118"/>
      <c r="CX180" s="118"/>
      <c r="CY180" s="118"/>
      <c r="CZ180" s="118"/>
      <c r="DA180" s="118"/>
      <c r="DB180" s="118">
        <f>Model!DB286</f>
        <v>4160.6000000000004</v>
      </c>
      <c r="DC180" s="118"/>
      <c r="DD180" s="118"/>
      <c r="DE180" s="154"/>
      <c r="DF180" s="118"/>
      <c r="DG180" s="118"/>
      <c r="DH180" s="154"/>
      <c r="DI180" s="118"/>
      <c r="DJ180" s="118"/>
      <c r="DK180" s="154"/>
      <c r="DL180" s="118"/>
      <c r="DM180" s="118"/>
      <c r="DN180" s="154"/>
      <c r="DO180" s="118"/>
      <c r="DP180" s="118"/>
      <c r="DQ180" s="154"/>
      <c r="DR180" s="118"/>
      <c r="DS180" s="118"/>
      <c r="DT180" s="154"/>
      <c r="DU180" s="118"/>
      <c r="DV180" s="118"/>
      <c r="DW180" s="154"/>
      <c r="DX180" s="118"/>
      <c r="DY180" s="118"/>
      <c r="DZ180" s="154"/>
      <c r="EA180" s="118"/>
      <c r="EB180" s="118"/>
      <c r="EC180" s="154"/>
      <c r="ED180" s="118"/>
      <c r="EE180" s="118"/>
      <c r="EF180" s="154"/>
      <c r="EG180" s="118"/>
      <c r="EH180" s="118"/>
      <c r="EI180" s="154"/>
      <c r="EJ180" s="118"/>
      <c r="EK180" s="118"/>
      <c r="EL180" s="154"/>
      <c r="EM180" s="118"/>
      <c r="EN180" s="118"/>
      <c r="EO180" s="154"/>
      <c r="EP180" s="118"/>
      <c r="EQ180" s="118"/>
      <c r="ER180" s="154"/>
      <c r="ES180" s="118"/>
      <c r="ET180" s="118"/>
      <c r="EU180" s="154"/>
      <c r="EV180" s="118"/>
      <c r="EW180" s="118"/>
      <c r="EX180" s="154"/>
      <c r="EY180" s="118"/>
      <c r="EZ180" s="118"/>
      <c r="FA180" s="154"/>
    </row>
    <row r="181" spans="1:157" ht="13.35" customHeight="1">
      <c r="A181" s="3"/>
      <c r="B181" s="4" t="s">
        <v>400</v>
      </c>
      <c r="C181" s="4"/>
      <c r="D181" s="3"/>
      <c r="E181" s="92" t="str">
        <f t="shared" ref="E181:AJ181" si="180">IF(OR(E182&lt;&gt;"",E183&lt;&gt;""),SUM(E182:E183),"")</f>
        <v/>
      </c>
      <c r="F181" s="92" t="str">
        <f t="shared" si="180"/>
        <v/>
      </c>
      <c r="G181" s="92" t="str">
        <f t="shared" si="180"/>
        <v/>
      </c>
      <c r="H181" s="92" t="str">
        <f t="shared" si="180"/>
        <v/>
      </c>
      <c r="I181" s="92" t="str">
        <f t="shared" si="180"/>
        <v/>
      </c>
      <c r="J181" s="92" t="str">
        <f t="shared" si="180"/>
        <v/>
      </c>
      <c r="K181" s="92" t="str">
        <f t="shared" si="180"/>
        <v/>
      </c>
      <c r="L181" s="92" t="str">
        <f t="shared" si="180"/>
        <v/>
      </c>
      <c r="M181" s="92" t="str">
        <f t="shared" si="180"/>
        <v/>
      </c>
      <c r="N181" s="92" t="str">
        <f t="shared" si="180"/>
        <v/>
      </c>
      <c r="O181" s="92" t="str">
        <f t="shared" si="180"/>
        <v/>
      </c>
      <c r="P181" s="92" t="str">
        <f t="shared" si="180"/>
        <v/>
      </c>
      <c r="Q181" s="92" t="str">
        <f t="shared" si="180"/>
        <v/>
      </c>
      <c r="R181" s="92" t="str">
        <f t="shared" si="180"/>
        <v/>
      </c>
      <c r="S181" s="92" t="str">
        <f t="shared" si="180"/>
        <v/>
      </c>
      <c r="T181" s="92" t="str">
        <f t="shared" si="180"/>
        <v/>
      </c>
      <c r="U181" s="92" t="str">
        <f t="shared" si="180"/>
        <v/>
      </c>
      <c r="V181" s="92" t="str">
        <f t="shared" si="180"/>
        <v/>
      </c>
      <c r="W181" s="92" t="str">
        <f t="shared" si="180"/>
        <v/>
      </c>
      <c r="X181" s="92" t="str">
        <f t="shared" si="180"/>
        <v/>
      </c>
      <c r="Y181" s="92" t="str">
        <f t="shared" si="180"/>
        <v/>
      </c>
      <c r="Z181" s="92" t="str">
        <f t="shared" si="180"/>
        <v/>
      </c>
      <c r="AA181" s="92" t="str">
        <f t="shared" si="180"/>
        <v/>
      </c>
      <c r="AB181" s="92" t="str">
        <f t="shared" si="180"/>
        <v/>
      </c>
      <c r="AC181" s="92" t="str">
        <f t="shared" si="180"/>
        <v/>
      </c>
      <c r="AD181" s="92" t="str">
        <f t="shared" si="180"/>
        <v/>
      </c>
      <c r="AE181" s="92" t="str">
        <f t="shared" si="180"/>
        <v/>
      </c>
      <c r="AF181" s="92" t="str">
        <f t="shared" si="180"/>
        <v/>
      </c>
      <c r="AG181" s="92" t="str">
        <f t="shared" si="180"/>
        <v/>
      </c>
      <c r="AH181" s="92" t="str">
        <f t="shared" si="180"/>
        <v/>
      </c>
      <c r="AI181" s="92" t="str">
        <f t="shared" si="180"/>
        <v/>
      </c>
      <c r="AJ181" s="92" t="str">
        <f t="shared" si="180"/>
        <v/>
      </c>
      <c r="AK181" s="92" t="str">
        <f t="shared" ref="AK181:BP181" si="181">IF(OR(AK182&lt;&gt;"",AK183&lt;&gt;""),SUM(AK182:AK183),"")</f>
        <v/>
      </c>
      <c r="AL181" s="92" t="str">
        <f t="shared" si="181"/>
        <v/>
      </c>
      <c r="AM181" s="92" t="str">
        <f t="shared" si="181"/>
        <v/>
      </c>
      <c r="AN181" s="92" t="str">
        <f t="shared" si="181"/>
        <v/>
      </c>
      <c r="AO181" s="92" t="str">
        <f t="shared" si="181"/>
        <v/>
      </c>
      <c r="AP181" s="92" t="str">
        <f t="shared" si="181"/>
        <v/>
      </c>
      <c r="AQ181" s="92" t="str">
        <f t="shared" si="181"/>
        <v/>
      </c>
      <c r="AR181" s="92" t="str">
        <f t="shared" si="181"/>
        <v/>
      </c>
      <c r="AS181" s="92" t="str">
        <f t="shared" si="181"/>
        <v/>
      </c>
      <c r="AT181" s="92" t="str">
        <f t="shared" si="181"/>
        <v/>
      </c>
      <c r="AU181" s="92" t="str">
        <f t="shared" si="181"/>
        <v/>
      </c>
      <c r="AV181" s="92" t="str">
        <f t="shared" si="181"/>
        <v/>
      </c>
      <c r="AW181" s="92" t="str">
        <f t="shared" si="181"/>
        <v/>
      </c>
      <c r="AX181" s="92" t="str">
        <f t="shared" si="181"/>
        <v/>
      </c>
      <c r="AY181" s="92" t="str">
        <f t="shared" si="181"/>
        <v/>
      </c>
      <c r="AZ181" s="92" t="str">
        <f t="shared" si="181"/>
        <v/>
      </c>
      <c r="BA181" s="92">
        <f t="shared" si="181"/>
        <v>2.5</v>
      </c>
      <c r="BB181" s="92">
        <f t="shared" si="181"/>
        <v>2.5</v>
      </c>
      <c r="BC181" s="92">
        <f t="shared" si="181"/>
        <v>2.5</v>
      </c>
      <c r="BD181" s="92">
        <f t="shared" si="181"/>
        <v>2.5</v>
      </c>
      <c r="BE181" s="92">
        <f t="shared" si="181"/>
        <v>2.5</v>
      </c>
      <c r="BF181" s="92">
        <f t="shared" si="181"/>
        <v>2.5</v>
      </c>
      <c r="BG181" s="92">
        <f t="shared" si="181"/>
        <v>2</v>
      </c>
      <c r="BH181" s="92">
        <f t="shared" si="181"/>
        <v>2</v>
      </c>
      <c r="BI181" s="92">
        <f t="shared" si="181"/>
        <v>2</v>
      </c>
      <c r="BJ181" s="92">
        <f t="shared" si="181"/>
        <v>2</v>
      </c>
      <c r="BK181" s="92">
        <f t="shared" si="181"/>
        <v>2</v>
      </c>
      <c r="BL181" s="92">
        <f t="shared" si="181"/>
        <v>2</v>
      </c>
      <c r="BM181" s="92" t="str">
        <f t="shared" si="181"/>
        <v/>
      </c>
      <c r="BN181" s="92" t="str">
        <f t="shared" si="181"/>
        <v/>
      </c>
      <c r="BO181" s="92" t="str">
        <f t="shared" si="181"/>
        <v/>
      </c>
      <c r="BP181" s="92" t="str">
        <f t="shared" si="181"/>
        <v/>
      </c>
      <c r="BQ181" s="92" t="str">
        <f t="shared" ref="BQ181:BX181" si="182">IF(OR(BQ182&lt;&gt;"",BQ183&lt;&gt;""),SUM(BQ182:BQ183),"")</f>
        <v/>
      </c>
      <c r="BR181" s="92" t="str">
        <f t="shared" si="182"/>
        <v/>
      </c>
      <c r="BS181" s="92" t="str">
        <f t="shared" si="182"/>
        <v/>
      </c>
      <c r="BT181" s="92" t="str">
        <f t="shared" si="182"/>
        <v/>
      </c>
      <c r="BU181" s="92" t="str">
        <f t="shared" si="182"/>
        <v/>
      </c>
      <c r="BV181" s="92" t="str">
        <f t="shared" si="182"/>
        <v/>
      </c>
      <c r="BW181" s="92" t="str">
        <f t="shared" si="182"/>
        <v/>
      </c>
      <c r="BX181" s="92" t="str">
        <f t="shared" si="182"/>
        <v/>
      </c>
      <c r="BY181" s="92"/>
      <c r="BZ181" s="92"/>
      <c r="CA181" s="92"/>
      <c r="CB181" s="92" t="str">
        <f>IF(OR(CB182&lt;&gt;"",CB183&lt;&gt;""),SUM(CB182:CB183),"")</f>
        <v/>
      </c>
      <c r="CC181" s="92" t="str">
        <f>IF(OR(CC182&lt;&gt;"",CC183&lt;&gt;""),SUM(CC182:CC183),"")</f>
        <v/>
      </c>
      <c r="CD181" s="92" t="str">
        <f>IF(OR(CD182&lt;&gt;"",CD183&lt;&gt;""),SUM(CD182:CD183),"")</f>
        <v/>
      </c>
      <c r="CE181" s="92" t="str">
        <f>IF(OR(CE182&lt;&gt;"",CH183&lt;&gt;""),SUM(CE182:CE183),"")</f>
        <v/>
      </c>
      <c r="CF181" s="92" t="str">
        <f>IF(OR(CF182&lt;&gt;"",CI183&lt;&gt;""),SUM(CF182:CF183),"")</f>
        <v/>
      </c>
      <c r="CG181" s="92"/>
      <c r="CH181" s="92"/>
      <c r="CI181" s="92"/>
      <c r="CJ181" s="92"/>
      <c r="CK181" s="92" t="str">
        <f>IF(OR(CK182&lt;&gt;"",CK183&lt;&gt;""),SUM(CK182:CK183),"")</f>
        <v/>
      </c>
      <c r="CL181" s="92" t="str">
        <f>IF(OR(CL182&lt;&gt;"",CL183&lt;&gt;""),SUM(CL182:CL183),"")</f>
        <v/>
      </c>
      <c r="CM181" s="92" t="str">
        <f>IF(OR(CM182&lt;&gt;"",CM183&lt;&gt;""),SUM(CM182:CM183),"")</f>
        <v/>
      </c>
      <c r="CN181" s="92" t="str">
        <f t="shared" ref="CN181:DQ181" si="183">IF(OR(CN182&lt;&gt;"",CN183&lt;&gt;""),SUM(CN182:CN183),"")</f>
        <v/>
      </c>
      <c r="CO181" s="92" t="str">
        <f t="shared" si="183"/>
        <v/>
      </c>
      <c r="CP181" s="92" t="str">
        <f t="shared" si="183"/>
        <v/>
      </c>
      <c r="CQ181" s="92" t="str">
        <f t="shared" si="183"/>
        <v/>
      </c>
      <c r="CR181" s="92" t="str">
        <f t="shared" si="183"/>
        <v/>
      </c>
      <c r="CS181" s="92" t="str">
        <f t="shared" si="183"/>
        <v/>
      </c>
      <c r="CT181" s="92" t="str">
        <f t="shared" si="183"/>
        <v/>
      </c>
      <c r="CU181" s="92" t="str">
        <f t="shared" si="183"/>
        <v/>
      </c>
      <c r="CV181" s="92" t="str">
        <f t="shared" si="183"/>
        <v/>
      </c>
      <c r="CW181" s="92" t="str">
        <f t="shared" si="183"/>
        <v/>
      </c>
      <c r="CX181" s="92" t="str">
        <f t="shared" si="183"/>
        <v/>
      </c>
      <c r="CY181" s="92" t="str">
        <f t="shared" si="183"/>
        <v/>
      </c>
      <c r="CZ181" s="92" t="str">
        <f t="shared" si="183"/>
        <v/>
      </c>
      <c r="DA181" s="92" t="str">
        <f t="shared" si="183"/>
        <v/>
      </c>
      <c r="DB181" s="92" t="str">
        <f t="shared" si="183"/>
        <v/>
      </c>
      <c r="DC181" s="92" t="str">
        <f t="shared" si="183"/>
        <v/>
      </c>
      <c r="DD181" s="92" t="str">
        <f t="shared" si="183"/>
        <v/>
      </c>
      <c r="DE181" s="144" t="str">
        <f t="shared" si="183"/>
        <v/>
      </c>
      <c r="DF181" s="92" t="str">
        <f t="shared" si="183"/>
        <v/>
      </c>
      <c r="DG181" s="92" t="str">
        <f t="shared" si="183"/>
        <v/>
      </c>
      <c r="DH181" s="144" t="str">
        <f t="shared" si="183"/>
        <v/>
      </c>
      <c r="DI181" s="92" t="str">
        <f t="shared" si="183"/>
        <v/>
      </c>
      <c r="DJ181" s="92" t="str">
        <f t="shared" si="183"/>
        <v/>
      </c>
      <c r="DK181" s="144" t="str">
        <f t="shared" si="183"/>
        <v/>
      </c>
      <c r="DL181" s="92" t="str">
        <f t="shared" si="183"/>
        <v/>
      </c>
      <c r="DM181" s="92" t="str">
        <f t="shared" si="183"/>
        <v/>
      </c>
      <c r="DN181" s="144" t="str">
        <f t="shared" si="183"/>
        <v/>
      </c>
      <c r="DO181" s="92" t="str">
        <f t="shared" si="183"/>
        <v/>
      </c>
      <c r="DP181" s="92" t="str">
        <f t="shared" si="183"/>
        <v/>
      </c>
      <c r="DQ181" s="144" t="str">
        <f t="shared" si="183"/>
        <v/>
      </c>
      <c r="DR181" s="92" t="str">
        <f t="shared" ref="DR181:DZ181" si="184">IF(OR(DR182&lt;&gt;"",DR183&lt;&gt;""),SUM(DR182:DR183),"")</f>
        <v/>
      </c>
      <c r="DS181" s="92" t="str">
        <f t="shared" si="184"/>
        <v/>
      </c>
      <c r="DT181" s="144" t="str">
        <f t="shared" si="184"/>
        <v/>
      </c>
      <c r="DU181" s="92" t="str">
        <f t="shared" si="184"/>
        <v/>
      </c>
      <c r="DV181" s="92" t="str">
        <f>IF(OR(DV182&lt;&gt;"",DV183&lt;&gt;""),SUM(DV182:DV183),"")</f>
        <v/>
      </c>
      <c r="DW181" s="144" t="str">
        <f>IF(OR(DW182&lt;&gt;"",DW183&lt;&gt;""),SUM(DW182:DW183),"")</f>
        <v/>
      </c>
      <c r="DX181" s="92" t="str">
        <f t="shared" si="184"/>
        <v/>
      </c>
      <c r="DY181" s="92" t="str">
        <f t="shared" si="184"/>
        <v/>
      </c>
      <c r="DZ181" s="144" t="str">
        <f t="shared" si="184"/>
        <v/>
      </c>
      <c r="EA181" s="92" t="str">
        <f t="shared" ref="EA181:EF181" si="185">IF(OR(EA182&lt;&gt;"",EA183&lt;&gt;""),SUM(EA182:EA183),"")</f>
        <v/>
      </c>
      <c r="EB181" s="92" t="str">
        <f t="shared" si="185"/>
        <v/>
      </c>
      <c r="EC181" s="144" t="str">
        <f t="shared" si="185"/>
        <v/>
      </c>
      <c r="ED181" s="92" t="str">
        <f t="shared" si="185"/>
        <v/>
      </c>
      <c r="EE181" s="92" t="str">
        <f t="shared" si="185"/>
        <v/>
      </c>
      <c r="EF181" s="144" t="str">
        <f t="shared" si="185"/>
        <v/>
      </c>
      <c r="EG181" s="92" t="str">
        <f t="shared" ref="EG181:EL181" si="186">IF(OR(EG182&lt;&gt;"",EG183&lt;&gt;""),SUM(EG182:EG183),"")</f>
        <v/>
      </c>
      <c r="EH181" s="92" t="str">
        <f t="shared" si="186"/>
        <v/>
      </c>
      <c r="EI181" s="144" t="str">
        <f t="shared" si="186"/>
        <v/>
      </c>
      <c r="EJ181" s="92" t="str">
        <f t="shared" si="186"/>
        <v/>
      </c>
      <c r="EK181" s="92" t="str">
        <f t="shared" si="186"/>
        <v/>
      </c>
      <c r="EL181" s="144" t="str">
        <f t="shared" si="186"/>
        <v/>
      </c>
      <c r="EM181" s="92" t="str">
        <f t="shared" ref="EM181:ER181" si="187">IF(OR(EM182&lt;&gt;"",EM183&lt;&gt;""),SUM(EM182:EM183),"")</f>
        <v/>
      </c>
      <c r="EN181" s="92" t="str">
        <f t="shared" si="187"/>
        <v/>
      </c>
      <c r="EO181" s="144" t="str">
        <f t="shared" si="187"/>
        <v/>
      </c>
      <c r="EP181" s="92" t="str">
        <f t="shared" si="187"/>
        <v/>
      </c>
      <c r="EQ181" s="92" t="str">
        <f t="shared" si="187"/>
        <v/>
      </c>
      <c r="ER181" s="144" t="str">
        <f t="shared" si="187"/>
        <v/>
      </c>
      <c r="ES181" s="92" t="str">
        <f t="shared" ref="ES181:FA181" si="188">IF(OR(ES182&lt;&gt;"",ES183&lt;&gt;""),SUM(ES182:ES183),"")</f>
        <v/>
      </c>
      <c r="ET181" s="92" t="str">
        <f t="shared" si="188"/>
        <v/>
      </c>
      <c r="EU181" s="144" t="str">
        <f t="shared" si="188"/>
        <v/>
      </c>
      <c r="EV181" s="92" t="str">
        <f t="shared" si="188"/>
        <v/>
      </c>
      <c r="EW181" s="92" t="str">
        <f t="shared" si="188"/>
        <v/>
      </c>
      <c r="EX181" s="144" t="str">
        <f t="shared" si="188"/>
        <v/>
      </c>
      <c r="EY181" s="92" t="str">
        <f t="shared" si="188"/>
        <v/>
      </c>
      <c r="EZ181" s="92" t="str">
        <f t="shared" si="188"/>
        <v/>
      </c>
      <c r="FA181" s="144" t="str">
        <f t="shared" si="188"/>
        <v/>
      </c>
    </row>
    <row r="182" spans="1:157" ht="13.35" customHeight="1">
      <c r="A182" s="3"/>
      <c r="B182" s="4" t="s">
        <v>206</v>
      </c>
      <c r="C182" s="4"/>
      <c r="D182" s="3"/>
      <c r="E182" s="92" t="str">
        <f>IF(Model!E240&lt;&gt;"",Model!E240,"")</f>
        <v/>
      </c>
      <c r="F182" s="92" t="str">
        <f>IF(G182&lt;&gt;"",G182,"")</f>
        <v/>
      </c>
      <c r="G182" s="92" t="str">
        <f>IF(Model!G240&lt;&gt;"",Model!G240,"")</f>
        <v/>
      </c>
      <c r="H182" s="92" t="str">
        <f>IF(Model!H240&lt;&gt;"",Model!H240,"")</f>
        <v/>
      </c>
      <c r="I182" s="92" t="str">
        <f>IF(J182&lt;&gt;"",J182,"")</f>
        <v/>
      </c>
      <c r="J182" s="92" t="str">
        <f>IF(Model!J240&lt;&gt;"",Model!J240,"")</f>
        <v/>
      </c>
      <c r="K182" s="92" t="str">
        <f>IF(Model!K240&lt;&gt;"",Model!K240,"")</f>
        <v/>
      </c>
      <c r="L182" s="92" t="str">
        <f>IF(M182&lt;&gt;"",M182,"")</f>
        <v/>
      </c>
      <c r="M182" s="92" t="str">
        <f>IF(Model!M240&lt;&gt;"",Model!M240,"")</f>
        <v/>
      </c>
      <c r="N182" s="92" t="str">
        <f>IF(Model!N240&lt;&gt;"",Model!N240,"")</f>
        <v/>
      </c>
      <c r="O182" s="92" t="str">
        <f>IF(P182&lt;&gt;"",P182,"")</f>
        <v/>
      </c>
      <c r="P182" s="92" t="str">
        <f>IF(Model!P240&lt;&gt;"",Model!P240,"")</f>
        <v/>
      </c>
      <c r="Q182" s="92" t="str">
        <f>IF(Model!Q240&lt;&gt;"",Model!Q240,"")</f>
        <v/>
      </c>
      <c r="R182" s="92" t="str">
        <f>IF(S182&lt;&gt;"",S182,"")</f>
        <v/>
      </c>
      <c r="S182" s="92" t="str">
        <f>IF(Model!S240&lt;&gt;"",Model!S240,"")</f>
        <v/>
      </c>
      <c r="T182" s="92" t="str">
        <f>IF(Model!T240&lt;&gt;"",Model!T240,"")</f>
        <v/>
      </c>
      <c r="U182" s="92" t="str">
        <f>IF(V182&lt;&gt;"",V182,"")</f>
        <v/>
      </c>
      <c r="V182" s="92" t="str">
        <f>IF(Model!V240&lt;&gt;"",Model!V240,"")</f>
        <v/>
      </c>
      <c r="W182" s="92" t="str">
        <f>IF(Model!W240&lt;&gt;"",Model!W240,"")</f>
        <v/>
      </c>
      <c r="X182" s="92" t="str">
        <f>IF(Y182&lt;&gt;"",Y182,"")</f>
        <v/>
      </c>
      <c r="Y182" s="92" t="str">
        <f>IF(Model!Y240&lt;&gt;"",Model!Y240,"")</f>
        <v/>
      </c>
      <c r="Z182" s="92" t="str">
        <f>IF(Model!Z240&lt;&gt;"",Model!Z240,"")</f>
        <v/>
      </c>
      <c r="AA182" s="92" t="str">
        <f>IF(AB182&lt;&gt;"",AB182,"")</f>
        <v/>
      </c>
      <c r="AB182" s="92" t="str">
        <f>IF(Model!AB240&lt;&gt;"",Model!AB240,"")</f>
        <v/>
      </c>
      <c r="AC182" s="92" t="str">
        <f>IF(Model!AC240&lt;&gt;"",Model!AC240,"")</f>
        <v/>
      </c>
      <c r="AD182" s="92" t="str">
        <f>IF(AE182&lt;&gt;"",AE182,"")</f>
        <v/>
      </c>
      <c r="AE182" s="92" t="str">
        <f>IF(Model!AE240&lt;&gt;"",Model!AE240,"")</f>
        <v/>
      </c>
      <c r="AF182" s="92" t="str">
        <f>IF(Model!AF240&lt;&gt;"",Model!AF240,"")</f>
        <v/>
      </c>
      <c r="AG182" s="92" t="str">
        <f>IF(AH182&lt;&gt;"",AH182,"")</f>
        <v/>
      </c>
      <c r="AH182" s="92" t="str">
        <f>IF(Model!AH240&lt;&gt;"",Model!AH240,"")</f>
        <v/>
      </c>
      <c r="AI182" s="92" t="str">
        <f>IF(Model!AI240&lt;&gt;"",Model!AI240,"")</f>
        <v/>
      </c>
      <c r="AJ182" s="92" t="str">
        <f>IF(AK182&lt;&gt;"",AK182,"")</f>
        <v/>
      </c>
      <c r="AK182" s="92" t="str">
        <f>IF(Model!AK240&lt;&gt;"",Model!AK240,"")</f>
        <v/>
      </c>
      <c r="AL182" s="92" t="str">
        <f>IF(Model!AL240&lt;&gt;"",Model!AL240,"")</f>
        <v/>
      </c>
      <c r="AM182" s="92" t="str">
        <f>IF(AN182&lt;&gt;"",AN182,"")</f>
        <v/>
      </c>
      <c r="AN182" s="92" t="str">
        <f>IF(Model!AN240&lt;&gt;"",Model!AN240,"")</f>
        <v/>
      </c>
      <c r="AO182" s="92" t="str">
        <f>IF(Model!AO240&lt;&gt;"",Model!AO240,"")</f>
        <v/>
      </c>
      <c r="AP182" s="92" t="str">
        <f>IF(AQ182&lt;&gt;"",AQ182,"")</f>
        <v/>
      </c>
      <c r="AQ182" s="92" t="str">
        <f>IF(Model!AQ240&lt;&gt;"",Model!AQ240,"")</f>
        <v/>
      </c>
      <c r="AR182" s="92" t="str">
        <f>IF(Model!AR240&lt;&gt;"",Model!AR240,"")</f>
        <v/>
      </c>
      <c r="AS182" s="92" t="str">
        <f>IF(AT182&lt;&gt;"",AT182,"")</f>
        <v/>
      </c>
      <c r="AT182" s="92" t="str">
        <f>IF(Model!AT240&lt;&gt;"",Model!AT240,"")</f>
        <v/>
      </c>
      <c r="AU182" s="92" t="str">
        <f>IF(Model!AU240&lt;&gt;"",Model!AU240,"")</f>
        <v/>
      </c>
      <c r="AV182" s="92" t="str">
        <f>IF(AW182&lt;&gt;"",AW182,"")</f>
        <v/>
      </c>
      <c r="AW182" s="92" t="str">
        <f>IF(Model!AW240&lt;&gt;"",Model!AW240,"")</f>
        <v/>
      </c>
      <c r="AX182" s="92" t="str">
        <f>IF(Model!AX240&lt;&gt;"",Model!AX240,"")</f>
        <v/>
      </c>
      <c r="AY182" s="92" t="str">
        <f>IF(AZ182&lt;&gt;"",AZ182,"")</f>
        <v/>
      </c>
      <c r="AZ182" s="92" t="str">
        <f>IF(Model!AZ240&lt;&gt;"",Model!AZ240,"")</f>
        <v/>
      </c>
      <c r="BA182" s="100">
        <v>2</v>
      </c>
      <c r="BB182" s="92">
        <f>IF(BC182&lt;&gt;"",BC182,"")</f>
        <v>2</v>
      </c>
      <c r="BC182" s="100">
        <f>BA182</f>
        <v>2</v>
      </c>
      <c r="BD182" s="100">
        <v>2</v>
      </c>
      <c r="BE182" s="92">
        <f>IF(BF182&lt;&gt;"",BF182,"")</f>
        <v>2</v>
      </c>
      <c r="BF182" s="100">
        <f>BD182</f>
        <v>2</v>
      </c>
      <c r="BG182" s="100">
        <v>2</v>
      </c>
      <c r="BH182" s="92">
        <f>IF(BI182&lt;&gt;"",BI182,"")</f>
        <v>2</v>
      </c>
      <c r="BI182" s="100">
        <f>BG182</f>
        <v>2</v>
      </c>
      <c r="BJ182" s="100">
        <v>2</v>
      </c>
      <c r="BK182" s="92">
        <f>IF(BL182&lt;&gt;"",BL182,"")</f>
        <v>2</v>
      </c>
      <c r="BL182" s="100">
        <f>BJ182</f>
        <v>2</v>
      </c>
      <c r="BM182" s="100"/>
      <c r="BN182" s="92" t="str">
        <f>IF(BO182&lt;&gt;"",BO182,"")</f>
        <v/>
      </c>
      <c r="BO182" s="101"/>
      <c r="BP182" s="101"/>
      <c r="BQ182" s="92" t="str">
        <f>IF(BR182&lt;&gt;"",BR182,"")</f>
        <v/>
      </c>
      <c r="BR182" s="101"/>
      <c r="BS182" s="101"/>
      <c r="BT182" s="92" t="str">
        <f>IF(BU182&lt;&gt;"",BU182,"")</f>
        <v/>
      </c>
      <c r="BU182" s="101"/>
      <c r="BV182" s="101"/>
      <c r="BW182" s="92" t="str">
        <f>IF(BX182&lt;&gt;"",BX182,"")</f>
        <v/>
      </c>
      <c r="BX182" s="101"/>
      <c r="BY182" s="101"/>
      <c r="BZ182" s="92" t="str">
        <f>IF(CA182&lt;&gt;"",CA182,"")</f>
        <v/>
      </c>
      <c r="CA182" s="101"/>
      <c r="CB182" s="101"/>
      <c r="CC182" s="92" t="str">
        <f>IF(CD182&lt;&gt;"",CD182,"")</f>
        <v/>
      </c>
      <c r="CD182" s="101"/>
      <c r="CE182" s="101"/>
      <c r="CF182" s="92" t="str">
        <f>IF(CG182&lt;&gt;"",CG182,"")</f>
        <v/>
      </c>
      <c r="CG182" s="101"/>
      <c r="CH182" s="101"/>
      <c r="CI182" s="92" t="str">
        <f>IF(CJ182&lt;&gt;"",CJ182,"")</f>
        <v/>
      </c>
      <c r="CJ182" s="101"/>
      <c r="CK182" s="101"/>
      <c r="CL182" s="92" t="str">
        <f>IF(CM182&lt;&gt;"",CM182,"")</f>
        <v/>
      </c>
      <c r="CM182" s="101"/>
      <c r="CN182" s="101"/>
      <c r="CO182" s="92" t="str">
        <f>IF(CP182&lt;&gt;"",CP182,"")</f>
        <v/>
      </c>
      <c r="CP182" s="101"/>
      <c r="CQ182" s="101"/>
      <c r="CR182" s="92" t="str">
        <f>IF(CS182&lt;&gt;"",CS182,"")</f>
        <v/>
      </c>
      <c r="CS182" s="101"/>
      <c r="CT182" s="101"/>
      <c r="CU182" s="92" t="str">
        <f>IF(CV182&lt;&gt;"",CV182,"")</f>
        <v/>
      </c>
      <c r="CV182" s="101"/>
      <c r="CW182" s="101"/>
      <c r="CX182" s="92" t="str">
        <f>IF(CY182&lt;&gt;"",CY182,"")</f>
        <v/>
      </c>
      <c r="CY182" s="101"/>
      <c r="CZ182" s="101"/>
      <c r="DA182" s="92" t="str">
        <f>IF(DB182&lt;&gt;"",DB182,"")</f>
        <v/>
      </c>
      <c r="DB182" s="101"/>
      <c r="DC182" s="101"/>
      <c r="DD182" s="92" t="str">
        <f>IF(DE182&lt;&gt;"",DE182,"")</f>
        <v/>
      </c>
      <c r="DE182" s="148"/>
      <c r="DF182" s="101"/>
      <c r="DG182" s="92" t="str">
        <f>IF(DH182&lt;&gt;"",DH182,"")</f>
        <v/>
      </c>
      <c r="DH182" s="148"/>
      <c r="DI182" s="101"/>
      <c r="DJ182" s="92" t="str">
        <f>IF(DK182&lt;&gt;"",DK182,"")</f>
        <v/>
      </c>
      <c r="DK182" s="148"/>
      <c r="DL182" s="101"/>
      <c r="DM182" s="92" t="str">
        <f>IF(DN182&lt;&gt;"",DN182,"")</f>
        <v/>
      </c>
      <c r="DN182" s="148"/>
      <c r="DO182" s="101"/>
      <c r="DP182" s="92" t="str">
        <f>IF(DQ182&lt;&gt;"",DQ182,"")</f>
        <v/>
      </c>
      <c r="DQ182" s="148"/>
      <c r="DR182" s="101"/>
      <c r="DS182" s="92" t="str">
        <f>IF(DT182&lt;&gt;"",DT182,"")</f>
        <v/>
      </c>
      <c r="DT182" s="148"/>
      <c r="DU182" s="101"/>
      <c r="DV182" s="92" t="str">
        <f>IF(DW182&lt;&gt;"",DW182,"")</f>
        <v/>
      </c>
      <c r="DW182" s="148"/>
      <c r="DX182" s="101"/>
      <c r="DY182" s="92" t="str">
        <f>IF(DZ182&lt;&gt;"",DZ182,"")</f>
        <v/>
      </c>
      <c r="DZ182" s="148"/>
      <c r="EA182" s="101"/>
      <c r="EB182" s="92" t="str">
        <f>IF(EC182&lt;&gt;"",EC182,"")</f>
        <v/>
      </c>
      <c r="EC182" s="148"/>
      <c r="ED182" s="101"/>
      <c r="EE182" s="92" t="str">
        <f>IF(EF182&lt;&gt;"",EF182,"")</f>
        <v/>
      </c>
      <c r="EF182" s="148"/>
      <c r="EG182" s="101"/>
      <c r="EH182" s="92" t="str">
        <f>IF(EI182&lt;&gt;"",EI182,"")</f>
        <v/>
      </c>
      <c r="EI182" s="148"/>
      <c r="EJ182" s="101"/>
      <c r="EK182" s="92" t="str">
        <f>IF(EL182&lt;&gt;"",EL182,"")</f>
        <v/>
      </c>
      <c r="EL182" s="148"/>
      <c r="EM182" s="101"/>
      <c r="EN182" s="92" t="str">
        <f>IF(EO182&lt;&gt;"",EO182,"")</f>
        <v/>
      </c>
      <c r="EO182" s="148"/>
      <c r="EP182" s="101"/>
      <c r="EQ182" s="92" t="str">
        <f>IF(ER182&lt;&gt;"",ER182,"")</f>
        <v/>
      </c>
      <c r="ER182" s="148"/>
      <c r="ES182" s="101"/>
      <c r="ET182" s="92" t="str">
        <f>IF(EU182&lt;&gt;"",EU182,"")</f>
        <v/>
      </c>
      <c r="EU182" s="148"/>
      <c r="EV182" s="101"/>
      <c r="EW182" s="92" t="str">
        <f>IF(EX182&lt;&gt;"",EX182,"")</f>
        <v/>
      </c>
      <c r="EX182" s="148"/>
      <c r="EY182" s="101"/>
      <c r="EZ182" s="92" t="str">
        <f>IF(FA182&lt;&gt;"",FA182,"")</f>
        <v/>
      </c>
      <c r="FA182" s="148"/>
    </row>
    <row r="183" spans="1:157" ht="13.35" customHeight="1">
      <c r="A183" s="3"/>
      <c r="B183" s="4" t="s">
        <v>701</v>
      </c>
      <c r="C183" s="4"/>
      <c r="D183" s="3"/>
      <c r="E183" s="92" t="str">
        <f>IF(Model!E241&lt;&gt;"",Model!E241,"")</f>
        <v/>
      </c>
      <c r="F183" s="92" t="str">
        <f>IF(G183&lt;&gt;"",G183,"")</f>
        <v/>
      </c>
      <c r="G183" s="92" t="str">
        <f>IF(Model!G241&lt;&gt;"",Model!G241,"")</f>
        <v/>
      </c>
      <c r="H183" s="92" t="str">
        <f>IF(Model!H241&lt;&gt;"",Model!H241,"")</f>
        <v/>
      </c>
      <c r="I183" s="92" t="str">
        <f>IF(J183&lt;&gt;"",J183,"")</f>
        <v/>
      </c>
      <c r="J183" s="92" t="str">
        <f>IF(Model!J241&lt;&gt;"",Model!J241,"")</f>
        <v/>
      </c>
      <c r="K183" s="92" t="str">
        <f>IF(Model!K241&lt;&gt;"",Model!K241,"")</f>
        <v/>
      </c>
      <c r="L183" s="92" t="str">
        <f>IF(M183&lt;&gt;"",M183,"")</f>
        <v/>
      </c>
      <c r="M183" s="92" t="str">
        <f>IF(Model!M241&lt;&gt;"",Model!M241,"")</f>
        <v/>
      </c>
      <c r="N183" s="92" t="str">
        <f>IF(Model!N241&lt;&gt;"",Model!N241,"")</f>
        <v/>
      </c>
      <c r="O183" s="92" t="str">
        <f>IF(P183&lt;&gt;"",P183,"")</f>
        <v/>
      </c>
      <c r="P183" s="92" t="str">
        <f>IF(Model!P241&lt;&gt;"",Model!P241,"")</f>
        <v/>
      </c>
      <c r="Q183" s="92" t="str">
        <f>IF(Model!Q241&lt;&gt;"",Model!Q241,"")</f>
        <v/>
      </c>
      <c r="R183" s="92" t="str">
        <f>IF(S183&lt;&gt;"",S183,"")</f>
        <v/>
      </c>
      <c r="S183" s="92" t="str">
        <f>IF(Model!S241&lt;&gt;"",Model!S241,"")</f>
        <v/>
      </c>
      <c r="T183" s="92" t="str">
        <f>IF(Model!T241&lt;&gt;"",Model!T241,"")</f>
        <v/>
      </c>
      <c r="U183" s="92" t="str">
        <f>IF(V183&lt;&gt;"",V183,"")</f>
        <v/>
      </c>
      <c r="V183" s="92" t="str">
        <f>IF(Model!V241&lt;&gt;"",Model!V241,"")</f>
        <v/>
      </c>
      <c r="W183" s="92" t="str">
        <f>IF(Model!W241&lt;&gt;"",Model!W241,"")</f>
        <v/>
      </c>
      <c r="X183" s="92" t="str">
        <f>IF(Y183&lt;&gt;"",Y183,"")</f>
        <v/>
      </c>
      <c r="Y183" s="92" t="str">
        <f>IF(Model!Y241&lt;&gt;"",Model!Y241,"")</f>
        <v/>
      </c>
      <c r="Z183" s="92" t="str">
        <f>IF(Model!Z241&lt;&gt;"",Model!Z241,"")</f>
        <v/>
      </c>
      <c r="AA183" s="92" t="str">
        <f>IF(AB183&lt;&gt;"",AB183,"")</f>
        <v/>
      </c>
      <c r="AB183" s="92" t="str">
        <f>IF(Model!AB241&lt;&gt;"",Model!AB241,"")</f>
        <v/>
      </c>
      <c r="AC183" s="92" t="str">
        <f>IF(Model!AC241&lt;&gt;"",Model!AC241,"")</f>
        <v/>
      </c>
      <c r="AD183" s="92" t="str">
        <f>IF(AE183&lt;&gt;"",AE183,"")</f>
        <v/>
      </c>
      <c r="AE183" s="92" t="str">
        <f>IF(Model!AE241&lt;&gt;"",Model!AE241,"")</f>
        <v/>
      </c>
      <c r="AF183" s="92" t="str">
        <f>IF(Model!AF241&lt;&gt;"",Model!AF241,"")</f>
        <v/>
      </c>
      <c r="AG183" s="92" t="str">
        <f>IF(AH183&lt;&gt;"",AH183,"")</f>
        <v/>
      </c>
      <c r="AH183" s="92" t="str">
        <f>IF(Model!AH241&lt;&gt;"",Model!AH241,"")</f>
        <v/>
      </c>
      <c r="AI183" s="92" t="str">
        <f>IF(Model!AI241&lt;&gt;"",Model!AI241,"")</f>
        <v/>
      </c>
      <c r="AJ183" s="92" t="str">
        <f>IF(AK183&lt;&gt;"",AK183,"")</f>
        <v/>
      </c>
      <c r="AK183" s="92" t="str">
        <f>IF(Model!AK241&lt;&gt;"",Model!AK241,"")</f>
        <v/>
      </c>
      <c r="AL183" s="92" t="str">
        <f>IF(Model!AL241&lt;&gt;"",Model!AL241,"")</f>
        <v/>
      </c>
      <c r="AM183" s="92" t="str">
        <f>IF(AN183&lt;&gt;"",AN183,"")</f>
        <v/>
      </c>
      <c r="AN183" s="92" t="str">
        <f>IF(Model!AN241&lt;&gt;"",Model!AN241,"")</f>
        <v/>
      </c>
      <c r="AO183" s="92" t="str">
        <f>IF(Model!AO241&lt;&gt;"",Model!AO241,"")</f>
        <v/>
      </c>
      <c r="AP183" s="92" t="str">
        <f>IF(AQ183&lt;&gt;"",AQ183,"")</f>
        <v/>
      </c>
      <c r="AQ183" s="92" t="str">
        <f>IF(Model!AQ241&lt;&gt;"",Model!AQ241,"")</f>
        <v/>
      </c>
      <c r="AR183" s="92" t="str">
        <f>IF(Model!AR241&lt;&gt;"",Model!AR241,"")</f>
        <v/>
      </c>
      <c r="AS183" s="92" t="str">
        <f>IF(AT183&lt;&gt;"",AT183,"")</f>
        <v/>
      </c>
      <c r="AT183" s="92" t="str">
        <f>IF(Model!AT241&lt;&gt;"",Model!AT241,"")</f>
        <v/>
      </c>
      <c r="AU183" s="92" t="str">
        <f>IF(Model!AU241&lt;&gt;"",Model!AU241,"")</f>
        <v/>
      </c>
      <c r="AV183" s="92" t="str">
        <f>IF(AW183&lt;&gt;"",AW183,"")</f>
        <v/>
      </c>
      <c r="AW183" s="92" t="str">
        <f>IF(Model!AW241&lt;&gt;"",Model!AW241,"")</f>
        <v/>
      </c>
      <c r="AX183" s="92" t="str">
        <f>IF(Model!AX241&lt;&gt;"",Model!AX241,"")</f>
        <v/>
      </c>
      <c r="AY183" s="92" t="str">
        <f>IF(AZ183&lt;&gt;"",AZ183,"")</f>
        <v/>
      </c>
      <c r="AZ183" s="92" t="str">
        <f>IF(Model!AZ241&lt;&gt;"",Model!AZ241,"")</f>
        <v/>
      </c>
      <c r="BA183" s="100">
        <v>0.5</v>
      </c>
      <c r="BB183" s="92">
        <f>IF(BC183&lt;&gt;"",BC183,"")</f>
        <v>0.5</v>
      </c>
      <c r="BC183" s="100">
        <v>0.5</v>
      </c>
      <c r="BD183" s="100">
        <v>0.5</v>
      </c>
      <c r="BE183" s="92">
        <f>IF(BF183&lt;&gt;"",BF183,"")</f>
        <v>0.5</v>
      </c>
      <c r="BF183" s="100">
        <v>0.5</v>
      </c>
      <c r="BG183" s="100"/>
      <c r="BH183" s="92" t="str">
        <f>IF(BI183&lt;&gt;"",BI183,"")</f>
        <v/>
      </c>
      <c r="BI183" s="101"/>
      <c r="BJ183" s="101"/>
      <c r="BK183" s="92" t="str">
        <f>IF(BL183&lt;&gt;"",BL183,"")</f>
        <v/>
      </c>
      <c r="BL183" s="101"/>
      <c r="BM183" s="101"/>
      <c r="BN183" s="92" t="str">
        <f>IF(BO183&lt;&gt;"",BO183,"")</f>
        <v/>
      </c>
      <c r="BO183" s="101"/>
      <c r="BP183" s="101"/>
      <c r="BQ183" s="92" t="str">
        <f>IF(BR183&lt;&gt;"",BR183,"")</f>
        <v/>
      </c>
      <c r="BR183" s="101"/>
      <c r="BS183" s="101"/>
      <c r="BT183" s="92" t="str">
        <f>IF(BU183&lt;&gt;"",BU183,"")</f>
        <v/>
      </c>
      <c r="BU183" s="101"/>
      <c r="BV183" s="101"/>
      <c r="BW183" s="92" t="str">
        <f>IF(BX183&lt;&gt;"",BX183,"")</f>
        <v/>
      </c>
      <c r="BX183" s="101"/>
      <c r="CB183" s="101"/>
      <c r="CC183" s="92"/>
      <c r="CD183" s="101"/>
      <c r="CE183" s="101"/>
      <c r="CF183" s="92" t="str">
        <f>IF(CG183&lt;&gt;"",CG183,"")</f>
        <v/>
      </c>
      <c r="CG183" s="101"/>
      <c r="CH183" s="101"/>
      <c r="CI183" s="92" t="str">
        <f>IF(CJ183&lt;&gt;"",CJ183,"")</f>
        <v/>
      </c>
      <c r="CJ183" s="101"/>
      <c r="CK183" s="101"/>
      <c r="CL183" s="92" t="str">
        <f>IF(CM183&lt;&gt;"",CM183,"")</f>
        <v/>
      </c>
      <c r="CM183" s="101"/>
      <c r="CN183" s="101"/>
      <c r="CO183" s="92" t="str">
        <f>IF(CP183&lt;&gt;"",CP183,"")</f>
        <v/>
      </c>
      <c r="CP183" s="101"/>
      <c r="CQ183" s="101"/>
      <c r="CR183" s="92" t="str">
        <f>IF(CS183&lt;&gt;"",CS183,"")</f>
        <v/>
      </c>
      <c r="CS183" s="101"/>
      <c r="CT183" s="101"/>
      <c r="CU183" s="92" t="str">
        <f>IF(CV183&lt;&gt;"",CV183,"")</f>
        <v/>
      </c>
      <c r="CV183" s="101"/>
      <c r="CW183" s="101"/>
      <c r="CX183" s="92" t="str">
        <f>IF(CY183&lt;&gt;"",CY183,"")</f>
        <v/>
      </c>
      <c r="CY183" s="101"/>
      <c r="CZ183" s="101"/>
      <c r="DA183" s="92" t="str">
        <f>IF(DB183&lt;&gt;"",DB183,"")</f>
        <v/>
      </c>
      <c r="DB183" s="101"/>
      <c r="DC183" s="101"/>
      <c r="DD183" s="92" t="str">
        <f>IF(DE183&lt;&gt;"",DE183,"")</f>
        <v/>
      </c>
      <c r="DE183" s="148"/>
      <c r="DF183" s="101"/>
      <c r="DG183" s="92" t="str">
        <f>IF(DH183&lt;&gt;"",DH183,"")</f>
        <v/>
      </c>
      <c r="DH183" s="148"/>
      <c r="DI183" s="101"/>
      <c r="DJ183" s="92" t="str">
        <f>IF(DK183&lt;&gt;"",DK183,"")</f>
        <v/>
      </c>
      <c r="DK183" s="148"/>
      <c r="DL183" s="101"/>
      <c r="DM183" s="92" t="str">
        <f>IF(DN183&lt;&gt;"",DN183,"")</f>
        <v/>
      </c>
      <c r="DN183" s="148"/>
      <c r="DO183" s="101"/>
      <c r="DP183" s="92" t="str">
        <f>IF(DQ183&lt;&gt;"",DQ183,"")</f>
        <v/>
      </c>
      <c r="DQ183" s="148"/>
      <c r="DR183" s="101"/>
      <c r="DS183" s="92" t="str">
        <f>IF(DT183&lt;&gt;"",DT183,"")</f>
        <v/>
      </c>
      <c r="DT183" s="148"/>
      <c r="DU183" s="101"/>
      <c r="DV183" s="92" t="str">
        <f>IF(DW183&lt;&gt;"",DW183,"")</f>
        <v/>
      </c>
      <c r="DW183" s="148"/>
      <c r="DX183" s="101"/>
      <c r="DY183" s="92" t="str">
        <f>IF(DZ183&lt;&gt;"",DZ183,"")</f>
        <v/>
      </c>
      <c r="DZ183" s="148"/>
      <c r="EA183" s="101"/>
      <c r="EB183" s="92" t="str">
        <f>IF(EC183&lt;&gt;"",EC183,"")</f>
        <v/>
      </c>
      <c r="EC183" s="148"/>
      <c r="ED183" s="101"/>
      <c r="EE183" s="92" t="str">
        <f>IF(EF183&lt;&gt;"",EF183,"")</f>
        <v/>
      </c>
      <c r="EF183" s="148"/>
      <c r="EG183" s="101"/>
      <c r="EH183" s="92" t="str">
        <f>IF(EI183&lt;&gt;"",EI183,"")</f>
        <v/>
      </c>
      <c r="EI183" s="148"/>
      <c r="EJ183" s="101"/>
      <c r="EK183" s="92" t="str">
        <f>IF(EL183&lt;&gt;"",EL183,"")</f>
        <v/>
      </c>
      <c r="EL183" s="148"/>
      <c r="EM183" s="101"/>
      <c r="EN183" s="92" t="str">
        <f>IF(EO183&lt;&gt;"",EO183,"")</f>
        <v/>
      </c>
      <c r="EO183" s="148"/>
      <c r="EP183" s="101"/>
      <c r="EQ183" s="92" t="str">
        <f>IF(ER183&lt;&gt;"",ER183,"")</f>
        <v/>
      </c>
      <c r="ER183" s="148"/>
      <c r="ES183" s="101"/>
      <c r="ET183" s="92" t="str">
        <f>IF(EU183&lt;&gt;"",EU183,"")</f>
        <v/>
      </c>
      <c r="EU183" s="148"/>
      <c r="EV183" s="101"/>
      <c r="EW183" s="92" t="str">
        <f>IF(EX183&lt;&gt;"",EX183,"")</f>
        <v/>
      </c>
      <c r="EX183" s="148"/>
      <c r="EY183" s="101"/>
      <c r="EZ183" s="92" t="str">
        <f>IF(FA183&lt;&gt;"",FA183,"")</f>
        <v/>
      </c>
      <c r="FA183" s="148"/>
    </row>
    <row r="184" spans="1:157" ht="13.35" customHeight="1">
      <c r="A184" s="3"/>
      <c r="B184" s="4" t="s">
        <v>383</v>
      </c>
      <c r="C184" s="4"/>
      <c r="D184" s="4"/>
      <c r="E184" s="92" t="str">
        <f>IF(Model!E244&lt;&gt;"",Model!E244,"")</f>
        <v/>
      </c>
      <c r="F184" s="92" t="str">
        <f>IF(G184&lt;&gt;"",G184,"")</f>
        <v/>
      </c>
      <c r="G184" s="92" t="str">
        <f>IF(Model!G244&lt;&gt;"",Model!G244,"")</f>
        <v/>
      </c>
      <c r="H184" s="92" t="str">
        <f>IF(Model!H244&lt;&gt;"",Model!H244,"")</f>
        <v/>
      </c>
      <c r="I184" s="92" t="str">
        <f>IF(J184&lt;&gt;"",J184,"")</f>
        <v/>
      </c>
      <c r="J184" s="92" t="str">
        <f>IF(Model!J244&lt;&gt;"",Model!J244,"")</f>
        <v/>
      </c>
      <c r="K184" s="92" t="str">
        <f>IF(Model!K244&lt;&gt;"",Model!K244,"")</f>
        <v/>
      </c>
      <c r="L184" s="92" t="str">
        <f>IF(M184&lt;&gt;"",M184,"")</f>
        <v/>
      </c>
      <c r="M184" s="92" t="str">
        <f>IF(Model!M244&lt;&gt;"",Model!M244,"")</f>
        <v/>
      </c>
      <c r="N184" s="92" t="str">
        <f>IF(Model!N244&lt;&gt;"",Model!N244,"")</f>
        <v/>
      </c>
      <c r="O184" s="92" t="str">
        <f>IF(P184&lt;&gt;"",P184,"")</f>
        <v/>
      </c>
      <c r="P184" s="92" t="str">
        <f>IF(Model!P244&lt;&gt;"",Model!P244,"")</f>
        <v/>
      </c>
      <c r="Q184" s="92" t="str">
        <f>IF(Model!Q244&lt;&gt;"",Model!Q244,"")</f>
        <v/>
      </c>
      <c r="R184" s="92" t="str">
        <f>IF(S184&lt;&gt;"",S184,"")</f>
        <v/>
      </c>
      <c r="S184" s="92" t="str">
        <f>IF(Model!S244&lt;&gt;"",Model!S244,"")</f>
        <v/>
      </c>
      <c r="T184" s="92" t="str">
        <f>IF(Model!T244&lt;&gt;"",Model!T244,"")</f>
        <v/>
      </c>
      <c r="U184" s="92" t="str">
        <f>IF(V184&lt;&gt;"",V184,"")</f>
        <v/>
      </c>
      <c r="V184" s="92" t="str">
        <f>IF(Model!V244&lt;&gt;"",Model!V244,"")</f>
        <v/>
      </c>
      <c r="W184" s="92" t="str">
        <f>IF(Model!W244&lt;&gt;"",Model!W244,"")</f>
        <v/>
      </c>
      <c r="X184" s="92" t="str">
        <f>IF(Y184&lt;&gt;"",Y184,"")</f>
        <v/>
      </c>
      <c r="Y184" s="92" t="str">
        <f>IF(Model!Y244&lt;&gt;"",Model!Y244,"")</f>
        <v/>
      </c>
      <c r="Z184" s="92" t="str">
        <f>IF(Model!Z244&lt;&gt;"",Model!Z244,"")</f>
        <v/>
      </c>
      <c r="AA184" s="92" t="str">
        <f>IF(AB184&lt;&gt;"",AB184,"")</f>
        <v/>
      </c>
      <c r="AB184" s="92" t="str">
        <f>IF(Model!AB244&lt;&gt;"",Model!AB244,"")</f>
        <v/>
      </c>
      <c r="AC184" s="92" t="str">
        <f>IF(Model!AC244&lt;&gt;"",Model!AC244,"")</f>
        <v/>
      </c>
      <c r="AD184" s="92" t="str">
        <f>IF(AE184&lt;&gt;"",AE184,"")</f>
        <v/>
      </c>
      <c r="AE184" s="92" t="str">
        <f>IF(Model!AE244&lt;&gt;"",Model!AE244,"")</f>
        <v/>
      </c>
      <c r="AF184" s="92" t="str">
        <f>IF(Model!AF244&lt;&gt;"",Model!AF244,"")</f>
        <v/>
      </c>
      <c r="AG184" s="92" t="str">
        <f>IF(AH184&lt;&gt;"",AH184,"")</f>
        <v/>
      </c>
      <c r="AH184" s="92" t="str">
        <f>IF(Model!AH244&lt;&gt;"",Model!AH244,"")</f>
        <v/>
      </c>
      <c r="AI184" s="92" t="str">
        <f>IF(Model!AI244&lt;&gt;"",Model!AI244,"")</f>
        <v/>
      </c>
      <c r="AJ184" s="92" t="str">
        <f>IF(AK184&lt;&gt;"",AK184,"")</f>
        <v/>
      </c>
      <c r="AK184" s="92" t="str">
        <f>IF(Model!AK244&lt;&gt;"",Model!AK244,"")</f>
        <v/>
      </c>
      <c r="AL184" s="92" t="str">
        <f>IF(Model!AL244&lt;&gt;"",Model!AL244,"")</f>
        <v/>
      </c>
      <c r="AM184" s="92" t="str">
        <f>IF(AN184&lt;&gt;"",AN184,"")</f>
        <v/>
      </c>
      <c r="AN184" s="92" t="str">
        <f>IF(Model!AN244&lt;&gt;"",Model!AN244,"")</f>
        <v/>
      </c>
      <c r="AO184" s="92" t="str">
        <f>IF(Model!AO244&lt;&gt;"",Model!AO244,"")</f>
        <v/>
      </c>
      <c r="AP184" s="92" t="str">
        <f>IF(AQ184&lt;&gt;"",AQ184,"")</f>
        <v/>
      </c>
      <c r="AQ184" s="92" t="str">
        <f>IF(Model!AQ244&lt;&gt;"",Model!AQ244,"")</f>
        <v/>
      </c>
      <c r="AR184" s="92" t="str">
        <f>IF(Model!AR244&lt;&gt;"",Model!AR244,"")</f>
        <v/>
      </c>
      <c r="AS184" s="92" t="str">
        <f>IF(AT184&lt;&gt;"",AT184,"")</f>
        <v/>
      </c>
      <c r="AT184" s="92" t="str">
        <f>IF(Model!AT244&lt;&gt;"",Model!AT244,"")</f>
        <v/>
      </c>
      <c r="AU184" s="92" t="str">
        <f>IF(Model!AU244&lt;&gt;"",Model!AU244,"")</f>
        <v/>
      </c>
      <c r="AV184" s="92" t="str">
        <f>IF(AW184&lt;&gt;"",AW184,"")</f>
        <v/>
      </c>
      <c r="AW184" s="92" t="str">
        <f>IF(Model!AW244&lt;&gt;"",Model!AW244,"")</f>
        <v/>
      </c>
      <c r="AX184" s="92">
        <v>0</v>
      </c>
      <c r="AY184" s="92" t="str">
        <f>IF(AZ184&lt;&gt;"",AZ184,"")</f>
        <v/>
      </c>
      <c r="AZ184" s="92" t="str">
        <f>IF(Model!AZ244&lt;&gt;"",Model!AZ244,"")</f>
        <v/>
      </c>
      <c r="BA184" s="100"/>
      <c r="BB184" s="92">
        <f>IF(BC184&lt;&gt;"",BC184,"")</f>
        <v>10.257887999999999</v>
      </c>
      <c r="BC184" s="100">
        <f>0.012*Model!BC30</f>
        <v>10.257887999999999</v>
      </c>
      <c r="BD184" s="100">
        <f>0.012*Model!BD30</f>
        <v>7.0776599999999998</v>
      </c>
      <c r="BE184" s="92">
        <f>IF(BF184&lt;&gt;"",BF184,"")</f>
        <v>16.202183999999999</v>
      </c>
      <c r="BF184" s="100">
        <f>0.012*Model!BF30</f>
        <v>16.202183999999999</v>
      </c>
      <c r="BG184" s="100">
        <f>0.012*Model!BG30</f>
        <v>7.6782240000000002</v>
      </c>
      <c r="BH184" s="92">
        <f>IF(BI184&lt;&gt;"",BI184,"")</f>
        <v>15.604128000000001</v>
      </c>
      <c r="BI184" s="100">
        <f>0.012*Model!BI30</f>
        <v>15.604128000000001</v>
      </c>
      <c r="BJ184" s="100">
        <f>0.012*Model!BJ30</f>
        <v>7.6336560000000002</v>
      </c>
      <c r="BK184" s="92">
        <f>IF(BL184&lt;&gt;"",BL184,"")</f>
        <v>19.802351999999999</v>
      </c>
      <c r="BL184" s="100">
        <f>0.012*Model!BL30</f>
        <v>19.802351999999999</v>
      </c>
      <c r="BM184" s="100">
        <f>0.012*Model!BM30</f>
        <v>16.969752</v>
      </c>
      <c r="BN184" s="92">
        <f>IF(BO184&lt;&gt;"",BO184,"")</f>
        <v>32.999208000000003</v>
      </c>
      <c r="BO184" s="100">
        <f>0.012*Model!BO30</f>
        <v>32.999208000000003</v>
      </c>
      <c r="BP184" s="100">
        <f>0.012*Model!BP30</f>
        <v>0</v>
      </c>
      <c r="BQ184" s="92">
        <f>IF(BR184&lt;&gt;"",BR184,"")</f>
        <v>0</v>
      </c>
      <c r="BR184" s="100">
        <f>0.012*Model!BR30</f>
        <v>0</v>
      </c>
      <c r="BS184" s="100">
        <f>0.012*Model!BS30</f>
        <v>0</v>
      </c>
      <c r="BT184" s="92">
        <f>IF(BU184&lt;&gt;"",BU184,"")</f>
        <v>0</v>
      </c>
      <c r="BU184" s="100">
        <f>0.012*Model!BU30</f>
        <v>0</v>
      </c>
      <c r="BV184" s="100">
        <f>0.012*Model!BV30</f>
        <v>18.541454112536194</v>
      </c>
      <c r="BW184" s="92">
        <f>IF(BX184&lt;&gt;"",BX184,"")</f>
        <v>38.975999999999999</v>
      </c>
      <c r="BX184" s="100">
        <f>0.012*Model!BX30</f>
        <v>38.975999999999999</v>
      </c>
      <c r="BY184" s="100">
        <f>0.003*Model!BY30</f>
        <v>5.3961968223910999</v>
      </c>
      <c r="BZ184" s="92">
        <f>IF(CA184&lt;&gt;"",CA184,"")</f>
        <v>10.519161634952681</v>
      </c>
      <c r="CA184" s="100">
        <f>0.003*Model!CA30</f>
        <v>10.519161634952681</v>
      </c>
      <c r="CB184" s="100">
        <f>0.003*Model!CB30</f>
        <v>6.2745884603318345</v>
      </c>
      <c r="CC184" s="92">
        <f>IF(CD184&lt;&gt;"",CD184,"")</f>
        <v>12.187793377207928</v>
      </c>
      <c r="CD184" s="100">
        <f>0.003*Model!CD30</f>
        <v>12.187793377207928</v>
      </c>
      <c r="CE184" s="100">
        <f>0.003*Model!CE30</f>
        <v>6.1340644292310378</v>
      </c>
      <c r="CF184" s="92">
        <f>IF(CG184&lt;&gt;"",CG184,"")</f>
        <v>12.723888364011843</v>
      </c>
      <c r="CG184" s="100">
        <f>0.003*Model!CG30</f>
        <v>12.723888364011843</v>
      </c>
      <c r="CH184" s="100">
        <f>0.003*Model!CH30</f>
        <v>6.9183351685768235</v>
      </c>
      <c r="CI184" s="92">
        <f>IF(CJ184&lt;&gt;"",CJ184,"")</f>
        <v>13.872900000000001</v>
      </c>
      <c r="CJ184" s="100">
        <f>0.003*Model!CJ30</f>
        <v>13.872900000000001</v>
      </c>
      <c r="CK184" s="100">
        <f>0.003*Model!CK30</f>
        <v>7.4768999999999997</v>
      </c>
      <c r="CL184" s="92">
        <f>IF(CM184&lt;&gt;"",CM184,"")</f>
        <v>14.881500000000006</v>
      </c>
      <c r="CM184" s="100">
        <f>0.003*Model!CM30</f>
        <v>14.881500000000006</v>
      </c>
      <c r="CN184" s="100">
        <f>0.003*Model!CN30</f>
        <v>7.7225999999999999</v>
      </c>
      <c r="CO184" s="92">
        <f>IF(CP184&lt;&gt;"",CP184,"")</f>
        <v>16.004399999999997</v>
      </c>
      <c r="CP184" s="100">
        <f>0.003*Model!CP30</f>
        <v>16.004399999999997</v>
      </c>
      <c r="CQ184" s="100">
        <f>0.003*Model!CQ30</f>
        <v>8.5071000000000012</v>
      </c>
      <c r="CR184" s="92">
        <f>IF(CS184&lt;&gt;"",CS184,"")</f>
        <v>16.786500000000007</v>
      </c>
      <c r="CS184" s="100">
        <f>0.003*Model!CS30</f>
        <v>16.786500000000007</v>
      </c>
      <c r="CT184" s="100">
        <f>0.003*Model!CT30</f>
        <v>9.4071231600000011</v>
      </c>
      <c r="CU184" s="92">
        <f>IF(CV184&lt;&gt;"",CV184,"")</f>
        <v>18.166200000000007</v>
      </c>
      <c r="CV184" s="100">
        <f>0.003*Model!CV30</f>
        <v>18.166200000000007</v>
      </c>
      <c r="CW184" s="100">
        <f>0.003*Model!CW30</f>
        <v>10.789199999999999</v>
      </c>
      <c r="CX184" s="92">
        <f>IF(CY184&lt;&gt;"",CY184,"")</f>
        <v>20.203799999999998</v>
      </c>
      <c r="CY184" s="100">
        <f>0.003*Model!CY30</f>
        <v>20.203799999999998</v>
      </c>
      <c r="CZ184" s="100">
        <f>0.003*Model!CZ30</f>
        <v>12.23859138764222</v>
      </c>
      <c r="DA184" s="92">
        <f>IF(DB184&lt;&gt;"",DB184,"")</f>
        <v>23.296500000000002</v>
      </c>
      <c r="DB184" s="100">
        <f>0.003*Model!DB30</f>
        <v>23.296500000000002</v>
      </c>
      <c r="DC184" s="100">
        <f>0.003*Model!DC30</f>
        <v>13.249800000000002</v>
      </c>
      <c r="DD184" s="92">
        <f>IF(DE184&lt;&gt;"",DE184,"")</f>
        <v>25.146900000000002</v>
      </c>
      <c r="DE184" s="148">
        <f>0.003*Model!DE30</f>
        <v>25.146900000000002</v>
      </c>
      <c r="DF184" s="100">
        <f>+Model!DF244</f>
        <v>16.5</v>
      </c>
      <c r="DG184" s="100">
        <f>+Model!DG244</f>
        <v>14.3</v>
      </c>
      <c r="DH184" s="100">
        <f>+Model!DH244</f>
        <v>14.3</v>
      </c>
      <c r="DI184" s="100">
        <f>+Model!DI244</f>
        <v>9.4</v>
      </c>
      <c r="DJ184" s="100">
        <f>+Model!DJ244</f>
        <v>6.6</v>
      </c>
      <c r="DK184" s="100">
        <f>+Model!DK244</f>
        <v>6.6</v>
      </c>
      <c r="DL184" s="100">
        <f>+Model!DL244</f>
        <v>0</v>
      </c>
      <c r="DM184" s="100">
        <f>+Model!DM244</f>
        <v>12.8</v>
      </c>
      <c r="DN184" s="100">
        <f>+Model!DN244</f>
        <v>12.8</v>
      </c>
      <c r="DO184" s="100">
        <f>+Model!DO244</f>
        <v>83.3</v>
      </c>
      <c r="DP184" s="100">
        <f>+Model!DP244</f>
        <v>96</v>
      </c>
      <c r="DQ184" s="100">
        <f>+Model!DQ244</f>
        <v>96</v>
      </c>
      <c r="DR184" s="100">
        <f>+Model!DR244</f>
        <v>124</v>
      </c>
      <c r="DS184" s="100">
        <f>+Model!DS244</f>
        <v>158</v>
      </c>
      <c r="DT184" s="100">
        <f>+Model!DT244</f>
        <v>158</v>
      </c>
      <c r="DU184" s="100">
        <f>+Model!DU244</f>
        <v>165</v>
      </c>
      <c r="DV184" s="100">
        <f>+Model!DV244</f>
        <v>189</v>
      </c>
      <c r="DW184" s="100">
        <f>+Model!DW244</f>
        <v>189</v>
      </c>
      <c r="DX184" s="100">
        <f>+Model!DX244</f>
        <v>183</v>
      </c>
      <c r="DY184" s="92">
        <f t="shared" ref="DY184:EX184" si="189">+DX184</f>
        <v>183</v>
      </c>
      <c r="DZ184" s="148">
        <f t="shared" si="189"/>
        <v>183</v>
      </c>
      <c r="EA184" s="100">
        <f t="shared" si="189"/>
        <v>183</v>
      </c>
      <c r="EB184" s="92">
        <f t="shared" si="189"/>
        <v>183</v>
      </c>
      <c r="EC184" s="148">
        <f t="shared" si="189"/>
        <v>183</v>
      </c>
      <c r="ED184" s="100">
        <f t="shared" si="189"/>
        <v>183</v>
      </c>
      <c r="EE184" s="92">
        <f t="shared" si="189"/>
        <v>183</v>
      </c>
      <c r="EF184" s="148">
        <f t="shared" si="189"/>
        <v>183</v>
      </c>
      <c r="EG184" s="100">
        <f t="shared" si="189"/>
        <v>183</v>
      </c>
      <c r="EH184" s="92">
        <f t="shared" si="189"/>
        <v>183</v>
      </c>
      <c r="EI184" s="148">
        <f t="shared" si="189"/>
        <v>183</v>
      </c>
      <c r="EJ184" s="100">
        <f t="shared" si="189"/>
        <v>183</v>
      </c>
      <c r="EK184" s="92">
        <f t="shared" si="189"/>
        <v>183</v>
      </c>
      <c r="EL184" s="148">
        <f t="shared" si="189"/>
        <v>183</v>
      </c>
      <c r="EM184" s="100">
        <f t="shared" si="189"/>
        <v>183</v>
      </c>
      <c r="EN184" s="92">
        <f t="shared" si="189"/>
        <v>183</v>
      </c>
      <c r="EO184" s="148">
        <f t="shared" si="189"/>
        <v>183</v>
      </c>
      <c r="EP184" s="100">
        <f t="shared" si="189"/>
        <v>183</v>
      </c>
      <c r="EQ184" s="92">
        <f t="shared" si="189"/>
        <v>183</v>
      </c>
      <c r="ER184" s="148">
        <f t="shared" si="189"/>
        <v>183</v>
      </c>
      <c r="ES184" s="100">
        <f t="shared" si="189"/>
        <v>183</v>
      </c>
      <c r="ET184" s="92">
        <f t="shared" si="189"/>
        <v>183</v>
      </c>
      <c r="EU184" s="148">
        <f t="shared" si="189"/>
        <v>183</v>
      </c>
      <c r="EV184" s="100">
        <f t="shared" si="189"/>
        <v>183</v>
      </c>
      <c r="EW184" s="92">
        <f t="shared" si="189"/>
        <v>183</v>
      </c>
      <c r="EX184" s="148">
        <f t="shared" si="189"/>
        <v>183</v>
      </c>
      <c r="EY184" s="100">
        <f>+EX184</f>
        <v>183</v>
      </c>
      <c r="EZ184" s="92">
        <f>+EY184</f>
        <v>183</v>
      </c>
      <c r="FA184" s="148">
        <f>+EZ184</f>
        <v>183</v>
      </c>
    </row>
    <row r="185" spans="1:157" ht="13.35" customHeight="1">
      <c r="A185" s="3"/>
      <c r="B185" s="4" t="s">
        <v>248</v>
      </c>
      <c r="C185" s="4"/>
      <c r="D185" s="3"/>
      <c r="E185" s="92" t="str">
        <f>IF(Model!E249&lt;&gt;"",Model!E249,"")</f>
        <v/>
      </c>
      <c r="F185" s="92" t="str">
        <f>IF(G185&lt;&gt;"",G185,"")</f>
        <v/>
      </c>
      <c r="G185" s="92" t="str">
        <f>IF(Model!G249&lt;&gt;"",Model!G249,"")</f>
        <v/>
      </c>
      <c r="H185" s="92" t="str">
        <f>IF(Model!H249&lt;&gt;"",Model!H249,"")</f>
        <v/>
      </c>
      <c r="I185" s="92" t="str">
        <f>IF(J185&lt;&gt;"",J185,"")</f>
        <v/>
      </c>
      <c r="J185" s="92" t="str">
        <f>IF(Model!J249&lt;&gt;"",Model!J249,"")</f>
        <v/>
      </c>
      <c r="K185" s="92" t="str">
        <f>IF(Model!K249&lt;&gt;"",Model!K249,"")</f>
        <v/>
      </c>
      <c r="L185" s="92" t="str">
        <f>IF(M185&lt;&gt;"",M185,"")</f>
        <v/>
      </c>
      <c r="M185" s="92" t="str">
        <f>IF(Model!M249&lt;&gt;"",Model!M249,"")</f>
        <v/>
      </c>
      <c r="N185" s="92" t="str">
        <f>IF(Model!N249&lt;&gt;"",Model!N249,"")</f>
        <v/>
      </c>
      <c r="O185" s="92" t="str">
        <f>IF(P185&lt;&gt;"",P185,"")</f>
        <v/>
      </c>
      <c r="P185" s="92" t="str">
        <f>IF(Model!P249&lt;&gt;"",Model!P249,"")</f>
        <v/>
      </c>
      <c r="Q185" s="92" t="str">
        <f>IF(Model!Q249&lt;&gt;"",Model!Q249,"")</f>
        <v/>
      </c>
      <c r="R185" s="92" t="str">
        <f>IF(S185&lt;&gt;"",S185,"")</f>
        <v/>
      </c>
      <c r="S185" s="92" t="str">
        <f>IF(Model!S249&lt;&gt;"",Model!S249,"")</f>
        <v/>
      </c>
      <c r="T185" s="92" t="str">
        <f>IF(Model!T249&lt;&gt;"",Model!T249,"")</f>
        <v/>
      </c>
      <c r="U185" s="92" t="str">
        <f>IF(V185&lt;&gt;"",V185,"")</f>
        <v/>
      </c>
      <c r="V185" s="92" t="str">
        <f>IF(Model!V249&lt;&gt;"",Model!V249,"")</f>
        <v/>
      </c>
      <c r="W185" s="92" t="str">
        <f>IF(Model!W249&lt;&gt;"",Model!W249,"")</f>
        <v/>
      </c>
      <c r="X185" s="92" t="str">
        <f>IF(Y185&lt;&gt;"",Y185,"")</f>
        <v/>
      </c>
      <c r="Y185" s="92" t="str">
        <f>IF(Model!Y249&lt;&gt;"",Model!Y249,"")</f>
        <v/>
      </c>
      <c r="Z185" s="92" t="str">
        <f>IF(Model!Z249&lt;&gt;"",Model!Z249,"")</f>
        <v/>
      </c>
      <c r="AA185" s="92" t="str">
        <f>IF(AB185&lt;&gt;"",AB185,"")</f>
        <v/>
      </c>
      <c r="AB185" s="92" t="str">
        <f>IF(Model!AB249&lt;&gt;"",Model!AB249,"")</f>
        <v/>
      </c>
      <c r="AC185" s="92" t="str">
        <f>IF(Model!AC249&lt;&gt;"",Model!AC249,"")</f>
        <v/>
      </c>
      <c r="AD185" s="92" t="str">
        <f>IF(AE185&lt;&gt;"",AE185,"")</f>
        <v/>
      </c>
      <c r="AE185" s="92" t="str">
        <f>IF(Model!AE249&lt;&gt;"",Model!AE249,"")</f>
        <v/>
      </c>
      <c r="AF185" s="92" t="str">
        <f>IF(Model!AF249&lt;&gt;"",Model!AF249,"")</f>
        <v/>
      </c>
      <c r="AG185" s="92" t="str">
        <f>IF(AH185&lt;&gt;"",AH185,"")</f>
        <v/>
      </c>
      <c r="AH185" s="92" t="str">
        <f>IF(Model!AH249&lt;&gt;"",Model!AH249,"")</f>
        <v/>
      </c>
      <c r="AI185" s="92" t="str">
        <f>IF(Model!AI249&lt;&gt;"",Model!AI249,"")</f>
        <v/>
      </c>
      <c r="AJ185" s="92" t="str">
        <f>IF(AK185&lt;&gt;"",AK185,"")</f>
        <v/>
      </c>
      <c r="AK185" s="92" t="str">
        <f>IF(Model!AK249&lt;&gt;"",Model!AK249,"")</f>
        <v/>
      </c>
      <c r="AL185" s="92" t="str">
        <f>IF(Model!AL249&lt;&gt;"",Model!AL249,"")</f>
        <v/>
      </c>
      <c r="AM185" s="92" t="str">
        <f>IF(AN185&lt;&gt;"",AN185,"")</f>
        <v/>
      </c>
      <c r="AN185" s="92" t="str">
        <f>IF(Model!AN249&lt;&gt;"",Model!AN249,"")</f>
        <v/>
      </c>
      <c r="AO185" s="92" t="str">
        <f>IF(Model!AO249&lt;&gt;"",Model!AO249,"")</f>
        <v/>
      </c>
      <c r="AP185" s="92" t="str">
        <f>IF(AQ185&lt;&gt;"",AQ185,"")</f>
        <v/>
      </c>
      <c r="AQ185" s="92" t="str">
        <f>IF(Model!AQ249&lt;&gt;"",Model!AQ249,"")</f>
        <v/>
      </c>
      <c r="AR185" s="92" t="str">
        <f>IF(Model!AR249&lt;&gt;"",Model!AR249,"")</f>
        <v/>
      </c>
      <c r="AS185" s="92" t="str">
        <f>IF(AT185&lt;&gt;"",AT185,"")</f>
        <v/>
      </c>
      <c r="AT185" s="92" t="str">
        <f>IF(Model!AT249&lt;&gt;"",Model!AT249,"")</f>
        <v/>
      </c>
      <c r="AU185" s="92" t="str">
        <f>IF(Model!AU249&lt;&gt;"",Model!AU249,"")</f>
        <v/>
      </c>
      <c r="AV185" s="92" t="str">
        <f>IF(AW185&lt;&gt;"",AW185,"")</f>
        <v/>
      </c>
      <c r="AW185" s="92" t="str">
        <f>IF(Model!AW249&lt;&gt;"",Model!AW249,"")</f>
        <v/>
      </c>
      <c r="AX185" s="92" t="str">
        <f>IF(Model!AX249&lt;&gt;"",Model!AX249,"")</f>
        <v/>
      </c>
      <c r="AY185" s="92" t="str">
        <f>IF(AZ185&lt;&gt;"",AZ185,"")</f>
        <v/>
      </c>
      <c r="AZ185" s="92" t="str">
        <f>IF(Model!AZ249&lt;&gt;"",Model!AZ249,"")</f>
        <v/>
      </c>
      <c r="BA185" s="100"/>
      <c r="BB185" s="92" t="str">
        <f>IF(BC185&lt;&gt;"",BC185,"")</f>
        <v/>
      </c>
      <c r="BC185" s="101"/>
      <c r="BD185" s="101"/>
      <c r="BE185" s="92" t="str">
        <f>IF(BF185&lt;&gt;"",BF185,"")</f>
        <v/>
      </c>
      <c r="BF185" s="101"/>
      <c r="BG185" s="101"/>
      <c r="BH185" s="92" t="str">
        <f>IF(BI185&lt;&gt;"",BI185,"")</f>
        <v/>
      </c>
      <c r="BI185" s="101"/>
      <c r="BJ185" s="101"/>
      <c r="BK185" s="92" t="str">
        <f>IF(BL185&lt;&gt;"",BL185,"")</f>
        <v/>
      </c>
      <c r="BL185" s="101"/>
      <c r="BM185" s="101"/>
      <c r="BN185" s="92" t="str">
        <f>IF(BO185&lt;&gt;"",BO185,"")</f>
        <v/>
      </c>
      <c r="BO185" s="101"/>
      <c r="BP185" s="101"/>
      <c r="BQ185" s="92" t="str">
        <f>IF(BR185&lt;&gt;"",BR185,"")</f>
        <v/>
      </c>
      <c r="BR185" s="101"/>
      <c r="BS185" s="101"/>
      <c r="BT185" s="92" t="str">
        <f>IF(BU185&lt;&gt;"",BU185,"")</f>
        <v/>
      </c>
      <c r="BU185" s="101"/>
      <c r="BV185" s="101"/>
      <c r="BW185" s="92" t="str">
        <f>IF(BX185&lt;&gt;"",BX185,"")</f>
        <v/>
      </c>
      <c r="BX185" s="101"/>
      <c r="BY185" s="101"/>
      <c r="BZ185" s="92" t="str">
        <f>IF(CA185&lt;&gt;"",CA185,"")</f>
        <v/>
      </c>
      <c r="CA185" s="101"/>
      <c r="CB185" s="101"/>
      <c r="CC185" s="92" t="str">
        <f>IF(CD185&lt;&gt;"",CD185,"")</f>
        <v/>
      </c>
      <c r="CD185" s="101"/>
      <c r="CE185" s="101"/>
      <c r="CF185" s="92" t="str">
        <f>IF(CG185&lt;&gt;"",CG185,"")</f>
        <v/>
      </c>
      <c r="CG185" s="101"/>
      <c r="CH185" s="101"/>
      <c r="CI185" s="92" t="str">
        <f>IF(CJ185&lt;&gt;"",CJ185,"")</f>
        <v/>
      </c>
      <c r="CJ185" s="101"/>
      <c r="CK185" s="101"/>
      <c r="CL185" s="92" t="str">
        <f>IF(CM185&lt;&gt;"",CM185,"")</f>
        <v/>
      </c>
      <c r="CM185" s="101"/>
      <c r="CN185" s="101"/>
      <c r="CO185" s="92" t="str">
        <f>IF(CP185&lt;&gt;"",CP185,"")</f>
        <v/>
      </c>
      <c r="CP185" s="101"/>
      <c r="CQ185" s="101"/>
      <c r="CR185" s="92" t="str">
        <f>IF(CS185&lt;&gt;"",CS185,"")</f>
        <v/>
      </c>
      <c r="CS185" s="101"/>
      <c r="CT185" s="101"/>
      <c r="CU185" s="92" t="str">
        <f>IF(CV185&lt;&gt;"",CV185,"")</f>
        <v/>
      </c>
      <c r="CV185" s="101"/>
      <c r="CW185" s="101"/>
      <c r="CX185" s="92" t="str">
        <f>IF(CY185&lt;&gt;"",CY185,"")</f>
        <v/>
      </c>
      <c r="CY185" s="101"/>
      <c r="CZ185" s="101"/>
      <c r="DA185" s="92" t="str">
        <f>IF(DB185&lt;&gt;"",DB185,"")</f>
        <v/>
      </c>
      <c r="DB185" s="101"/>
      <c r="DC185" s="101"/>
      <c r="DD185" s="92" t="str">
        <f>IF(DE185&lt;&gt;"",DE185,"")</f>
        <v/>
      </c>
      <c r="DE185" s="148"/>
      <c r="DF185" s="101"/>
      <c r="DG185" s="92" t="str">
        <f>IF(DH185&lt;&gt;"",DH185,"")</f>
        <v/>
      </c>
      <c r="DH185" s="148"/>
      <c r="DI185" s="101"/>
      <c r="DJ185" s="92" t="str">
        <f>IF(DK185&lt;&gt;"",DK185,"")</f>
        <v/>
      </c>
      <c r="DK185" s="148"/>
      <c r="DL185" s="101"/>
      <c r="DM185" s="92" t="str">
        <f>IF(DN185&lt;&gt;"",DN185,"")</f>
        <v/>
      </c>
      <c r="DN185" s="148"/>
      <c r="DO185" s="101"/>
      <c r="DP185" s="92" t="str">
        <f>IF(DQ185&lt;&gt;"",DQ185,"")</f>
        <v/>
      </c>
      <c r="DQ185" s="148"/>
      <c r="DR185" s="101"/>
      <c r="DS185" s="92" t="str">
        <f>IF(DT185&lt;&gt;"",DT185,"")</f>
        <v/>
      </c>
      <c r="DT185" s="148"/>
      <c r="DU185" s="101"/>
      <c r="DV185" s="92" t="str">
        <f>IF(DW185&lt;&gt;"",DW185,"")</f>
        <v/>
      </c>
      <c r="DW185" s="148"/>
      <c r="DX185" s="101"/>
      <c r="DY185" s="92" t="str">
        <f>IF(DZ185&lt;&gt;"",DZ185,"")</f>
        <v/>
      </c>
      <c r="DZ185" s="148"/>
      <c r="EA185" s="101"/>
      <c r="EB185" s="92" t="str">
        <f>IF(EC185&lt;&gt;"",EC185,"")</f>
        <v/>
      </c>
      <c r="EC185" s="148"/>
      <c r="ED185" s="101"/>
      <c r="EE185" s="92" t="str">
        <f>IF(EF185&lt;&gt;"",EF185,"")</f>
        <v/>
      </c>
      <c r="EF185" s="148"/>
      <c r="EG185" s="101"/>
      <c r="EH185" s="92" t="str">
        <f>IF(EI185&lt;&gt;"",EI185,"")</f>
        <v/>
      </c>
      <c r="EI185" s="148"/>
      <c r="EJ185" s="101"/>
      <c r="EK185" s="92" t="str">
        <f>IF(EL185&lt;&gt;"",EL185,"")</f>
        <v/>
      </c>
      <c r="EL185" s="148"/>
      <c r="EM185" s="101"/>
      <c r="EN185" s="92" t="str">
        <f>IF(EO185&lt;&gt;"",EO185,"")</f>
        <v/>
      </c>
      <c r="EO185" s="148"/>
      <c r="EP185" s="101"/>
      <c r="EQ185" s="92" t="str">
        <f>IF(ER185&lt;&gt;"",ER185,"")</f>
        <v/>
      </c>
      <c r="ER185" s="148"/>
      <c r="ES185" s="101"/>
      <c r="ET185" s="92" t="str">
        <f>IF(EU185&lt;&gt;"",EU185,"")</f>
        <v/>
      </c>
      <c r="EU185" s="148"/>
      <c r="EV185" s="101"/>
      <c r="EW185" s="92" t="str">
        <f>IF(EX185&lt;&gt;"",EX185,"")</f>
        <v/>
      </c>
      <c r="EX185" s="148"/>
      <c r="EY185" s="101"/>
      <c r="EZ185" s="92" t="str">
        <f>IF(FA185&lt;&gt;"",FA185,"")</f>
        <v/>
      </c>
      <c r="FA185" s="148"/>
    </row>
    <row r="186" spans="1:157" ht="13.35" customHeight="1">
      <c r="A186" s="3"/>
      <c r="B186" s="4" t="s">
        <v>249</v>
      </c>
      <c r="C186" s="4"/>
      <c r="D186" s="3"/>
      <c r="E186" s="92" t="str">
        <f t="shared" ref="E186:AJ186" si="190">IF(OR(E187&lt;&gt;"",E188&lt;&gt;"",E189&lt;&gt;""),SUM(E187:E189),"")</f>
        <v/>
      </c>
      <c r="F186" s="92" t="str">
        <f t="shared" si="190"/>
        <v/>
      </c>
      <c r="G186" s="92" t="str">
        <f t="shared" si="190"/>
        <v/>
      </c>
      <c r="H186" s="92" t="str">
        <f t="shared" si="190"/>
        <v/>
      </c>
      <c r="I186" s="92" t="str">
        <f t="shared" si="190"/>
        <v/>
      </c>
      <c r="J186" s="92" t="str">
        <f t="shared" si="190"/>
        <v/>
      </c>
      <c r="K186" s="92" t="str">
        <f t="shared" si="190"/>
        <v/>
      </c>
      <c r="L186" s="92" t="str">
        <f t="shared" si="190"/>
        <v/>
      </c>
      <c r="M186" s="92" t="str">
        <f t="shared" si="190"/>
        <v/>
      </c>
      <c r="N186" s="92" t="str">
        <f t="shared" si="190"/>
        <v/>
      </c>
      <c r="O186" s="92" t="str">
        <f t="shared" si="190"/>
        <v/>
      </c>
      <c r="P186" s="92" t="str">
        <f t="shared" si="190"/>
        <v/>
      </c>
      <c r="Q186" s="92" t="str">
        <f t="shared" si="190"/>
        <v/>
      </c>
      <c r="R186" s="92" t="str">
        <f t="shared" si="190"/>
        <v/>
      </c>
      <c r="S186" s="92" t="str">
        <f t="shared" si="190"/>
        <v/>
      </c>
      <c r="T186" s="92" t="str">
        <f t="shared" si="190"/>
        <v/>
      </c>
      <c r="U186" s="92" t="str">
        <f t="shared" si="190"/>
        <v/>
      </c>
      <c r="V186" s="92" t="str">
        <f t="shared" si="190"/>
        <v/>
      </c>
      <c r="W186" s="92" t="str">
        <f t="shared" si="190"/>
        <v/>
      </c>
      <c r="X186" s="92" t="str">
        <f t="shared" si="190"/>
        <v/>
      </c>
      <c r="Y186" s="92" t="str">
        <f t="shared" si="190"/>
        <v/>
      </c>
      <c r="Z186" s="92" t="str">
        <f t="shared" si="190"/>
        <v/>
      </c>
      <c r="AA186" s="92" t="str">
        <f t="shared" si="190"/>
        <v/>
      </c>
      <c r="AB186" s="92" t="str">
        <f t="shared" si="190"/>
        <v/>
      </c>
      <c r="AC186" s="92" t="str">
        <f t="shared" si="190"/>
        <v/>
      </c>
      <c r="AD186" s="92" t="str">
        <f t="shared" si="190"/>
        <v/>
      </c>
      <c r="AE186" s="92" t="str">
        <f t="shared" si="190"/>
        <v/>
      </c>
      <c r="AF186" s="92" t="str">
        <f t="shared" si="190"/>
        <v/>
      </c>
      <c r="AG186" s="92" t="str">
        <f t="shared" si="190"/>
        <v/>
      </c>
      <c r="AH186" s="92" t="str">
        <f t="shared" si="190"/>
        <v/>
      </c>
      <c r="AI186" s="92" t="str">
        <f t="shared" si="190"/>
        <v/>
      </c>
      <c r="AJ186" s="92" t="str">
        <f t="shared" si="190"/>
        <v/>
      </c>
      <c r="AK186" s="92" t="str">
        <f t="shared" ref="AK186:BP186" si="191">IF(OR(AK187&lt;&gt;"",AK188&lt;&gt;"",AK189&lt;&gt;""),SUM(AK187:AK189),"")</f>
        <v/>
      </c>
      <c r="AL186" s="92" t="str">
        <f t="shared" si="191"/>
        <v/>
      </c>
      <c r="AM186" s="92" t="str">
        <f t="shared" si="191"/>
        <v/>
      </c>
      <c r="AN186" s="92" t="str">
        <f t="shared" si="191"/>
        <v/>
      </c>
      <c r="AO186" s="92" t="str">
        <f t="shared" si="191"/>
        <v/>
      </c>
      <c r="AP186" s="92" t="str">
        <f t="shared" si="191"/>
        <v/>
      </c>
      <c r="AQ186" s="92" t="str">
        <f t="shared" si="191"/>
        <v/>
      </c>
      <c r="AR186" s="92" t="str">
        <f t="shared" si="191"/>
        <v/>
      </c>
      <c r="AS186" s="92" t="str">
        <f t="shared" si="191"/>
        <v/>
      </c>
      <c r="AT186" s="92" t="str">
        <f t="shared" si="191"/>
        <v/>
      </c>
      <c r="AU186" s="92" t="str">
        <f t="shared" si="191"/>
        <v/>
      </c>
      <c r="AV186" s="92" t="str">
        <f t="shared" si="191"/>
        <v/>
      </c>
      <c r="AW186" s="92" t="str">
        <f t="shared" si="191"/>
        <v/>
      </c>
      <c r="AX186" s="92" t="str">
        <f t="shared" si="191"/>
        <v/>
      </c>
      <c r="AY186" s="92" t="str">
        <f t="shared" si="191"/>
        <v/>
      </c>
      <c r="AZ186" s="92" t="str">
        <f t="shared" si="191"/>
        <v/>
      </c>
      <c r="BA186" s="92" t="str">
        <f t="shared" si="191"/>
        <v/>
      </c>
      <c r="BB186" s="92" t="str">
        <f t="shared" si="191"/>
        <v/>
      </c>
      <c r="BC186" s="92" t="str">
        <f t="shared" si="191"/>
        <v/>
      </c>
      <c r="BD186" s="92" t="str">
        <f t="shared" si="191"/>
        <v/>
      </c>
      <c r="BE186" s="92" t="str">
        <f t="shared" si="191"/>
        <v/>
      </c>
      <c r="BF186" s="92" t="str">
        <f t="shared" si="191"/>
        <v/>
      </c>
      <c r="BG186" s="92" t="str">
        <f t="shared" si="191"/>
        <v/>
      </c>
      <c r="BH186" s="92" t="str">
        <f t="shared" si="191"/>
        <v/>
      </c>
      <c r="BI186" s="92" t="str">
        <f t="shared" si="191"/>
        <v/>
      </c>
      <c r="BJ186" s="92" t="str">
        <f t="shared" si="191"/>
        <v/>
      </c>
      <c r="BK186" s="92" t="str">
        <f t="shared" si="191"/>
        <v/>
      </c>
      <c r="BL186" s="92" t="str">
        <f t="shared" si="191"/>
        <v/>
      </c>
      <c r="BM186" s="92" t="str">
        <f t="shared" si="191"/>
        <v/>
      </c>
      <c r="BN186" s="92" t="str">
        <f t="shared" si="191"/>
        <v/>
      </c>
      <c r="BO186" s="92" t="str">
        <f t="shared" si="191"/>
        <v/>
      </c>
      <c r="BP186" s="92" t="str">
        <f t="shared" si="191"/>
        <v/>
      </c>
      <c r="BQ186" s="92" t="str">
        <f t="shared" ref="BQ186:CM186" si="192">IF(OR(BQ187&lt;&gt;"",BQ188&lt;&gt;"",BQ189&lt;&gt;""),SUM(BQ187:BQ189),"")</f>
        <v/>
      </c>
      <c r="BR186" s="92" t="str">
        <f t="shared" si="192"/>
        <v/>
      </c>
      <c r="BS186" s="92" t="str">
        <f t="shared" si="192"/>
        <v/>
      </c>
      <c r="BT186" s="92" t="str">
        <f t="shared" si="192"/>
        <v/>
      </c>
      <c r="BU186" s="92" t="str">
        <f t="shared" si="192"/>
        <v/>
      </c>
      <c r="BV186" s="92" t="str">
        <f t="shared" si="192"/>
        <v/>
      </c>
      <c r="BW186" s="92" t="str">
        <f t="shared" si="192"/>
        <v/>
      </c>
      <c r="BX186" s="92" t="str">
        <f t="shared" si="192"/>
        <v/>
      </c>
      <c r="BY186" s="92" t="str">
        <f t="shared" si="192"/>
        <v/>
      </c>
      <c r="BZ186" s="92" t="str">
        <f t="shared" si="192"/>
        <v/>
      </c>
      <c r="CA186" s="92" t="str">
        <f t="shared" si="192"/>
        <v/>
      </c>
      <c r="CB186" s="92" t="str">
        <f t="shared" si="192"/>
        <v/>
      </c>
      <c r="CC186" s="92" t="str">
        <f t="shared" si="192"/>
        <v/>
      </c>
      <c r="CD186" s="92" t="str">
        <f t="shared" si="192"/>
        <v/>
      </c>
      <c r="CE186" s="92" t="str">
        <f t="shared" si="192"/>
        <v/>
      </c>
      <c r="CF186" s="92" t="str">
        <f t="shared" si="192"/>
        <v/>
      </c>
      <c r="CG186" s="92" t="str">
        <f t="shared" si="192"/>
        <v/>
      </c>
      <c r="CH186" s="92" t="str">
        <f t="shared" si="192"/>
        <v/>
      </c>
      <c r="CI186" s="92" t="str">
        <f t="shared" si="192"/>
        <v/>
      </c>
      <c r="CJ186" s="92" t="str">
        <f t="shared" si="192"/>
        <v/>
      </c>
      <c r="CK186" s="92" t="str">
        <f t="shared" si="192"/>
        <v/>
      </c>
      <c r="CL186" s="92" t="str">
        <f t="shared" si="192"/>
        <v/>
      </c>
      <c r="CM186" s="92" t="str">
        <f t="shared" si="192"/>
        <v/>
      </c>
      <c r="CN186" s="92" t="str">
        <f t="shared" ref="CN186:DQ186" si="193">IF(OR(CN187&lt;&gt;"",CN188&lt;&gt;"",CN189&lt;&gt;""),SUM(CN187:CN189),"")</f>
        <v/>
      </c>
      <c r="CO186" s="92" t="str">
        <f t="shared" si="193"/>
        <v/>
      </c>
      <c r="CP186" s="92" t="str">
        <f t="shared" si="193"/>
        <v/>
      </c>
      <c r="CQ186" s="92" t="str">
        <f t="shared" si="193"/>
        <v/>
      </c>
      <c r="CR186" s="92" t="str">
        <f t="shared" si="193"/>
        <v/>
      </c>
      <c r="CS186" s="92" t="str">
        <f t="shared" si="193"/>
        <v/>
      </c>
      <c r="CT186" s="92" t="str">
        <f t="shared" si="193"/>
        <v/>
      </c>
      <c r="CU186" s="92" t="str">
        <f t="shared" si="193"/>
        <v/>
      </c>
      <c r="CV186" s="92" t="str">
        <f t="shared" si="193"/>
        <v/>
      </c>
      <c r="CW186" s="92" t="str">
        <f t="shared" si="193"/>
        <v/>
      </c>
      <c r="CX186" s="92" t="str">
        <f t="shared" si="193"/>
        <v/>
      </c>
      <c r="CY186" s="92" t="str">
        <f t="shared" si="193"/>
        <v/>
      </c>
      <c r="CZ186" s="92" t="str">
        <f t="shared" si="193"/>
        <v/>
      </c>
      <c r="DA186" s="92" t="str">
        <f t="shared" si="193"/>
        <v/>
      </c>
      <c r="DB186" s="92" t="str">
        <f t="shared" si="193"/>
        <v/>
      </c>
      <c r="DC186" s="92" t="str">
        <f t="shared" si="193"/>
        <v/>
      </c>
      <c r="DD186" s="92" t="str">
        <f t="shared" si="193"/>
        <v/>
      </c>
      <c r="DE186" s="144" t="str">
        <f t="shared" si="193"/>
        <v/>
      </c>
      <c r="DF186" s="92" t="str">
        <f t="shared" si="193"/>
        <v/>
      </c>
      <c r="DG186" s="92" t="str">
        <f t="shared" si="193"/>
        <v/>
      </c>
      <c r="DH186" s="144" t="str">
        <f t="shared" si="193"/>
        <v/>
      </c>
      <c r="DI186" s="92" t="str">
        <f t="shared" si="193"/>
        <v/>
      </c>
      <c r="DJ186" s="92" t="str">
        <f t="shared" si="193"/>
        <v/>
      </c>
      <c r="DK186" s="144" t="str">
        <f t="shared" si="193"/>
        <v/>
      </c>
      <c r="DL186" s="92" t="str">
        <f t="shared" si="193"/>
        <v/>
      </c>
      <c r="DM186" s="92" t="str">
        <f t="shared" si="193"/>
        <v/>
      </c>
      <c r="DN186" s="144" t="str">
        <f t="shared" si="193"/>
        <v/>
      </c>
      <c r="DO186" s="92" t="str">
        <f t="shared" si="193"/>
        <v/>
      </c>
      <c r="DP186" s="92" t="str">
        <f t="shared" si="193"/>
        <v/>
      </c>
      <c r="DQ186" s="144" t="str">
        <f t="shared" si="193"/>
        <v/>
      </c>
      <c r="DR186" s="92" t="str">
        <f t="shared" ref="DR186:DZ186" si="194">IF(OR(DR187&lt;&gt;"",DR188&lt;&gt;"",DR189&lt;&gt;""),SUM(DR187:DR189),"")</f>
        <v/>
      </c>
      <c r="DS186" s="92" t="str">
        <f t="shared" si="194"/>
        <v/>
      </c>
      <c r="DT186" s="144" t="str">
        <f t="shared" si="194"/>
        <v/>
      </c>
      <c r="DU186" s="92" t="str">
        <f t="shared" si="194"/>
        <v/>
      </c>
      <c r="DV186" s="92" t="str">
        <f>IF(OR(DV187&lt;&gt;"",DV188&lt;&gt;"",DV189&lt;&gt;""),SUM(DV187:DV189),"")</f>
        <v/>
      </c>
      <c r="DW186" s="144" t="str">
        <f>IF(OR(DW187&lt;&gt;"",DW188&lt;&gt;"",DW189&lt;&gt;""),SUM(DW187:DW189),"")</f>
        <v/>
      </c>
      <c r="DX186" s="92" t="str">
        <f t="shared" si="194"/>
        <v/>
      </c>
      <c r="DY186" s="92" t="str">
        <f t="shared" si="194"/>
        <v/>
      </c>
      <c r="DZ186" s="144" t="str">
        <f t="shared" si="194"/>
        <v/>
      </c>
      <c r="EA186" s="92" t="str">
        <f t="shared" ref="EA186:EF186" si="195">IF(OR(EA187&lt;&gt;"",EA188&lt;&gt;"",EA189&lt;&gt;""),SUM(EA187:EA189),"")</f>
        <v/>
      </c>
      <c r="EB186" s="92" t="str">
        <f t="shared" si="195"/>
        <v/>
      </c>
      <c r="EC186" s="144" t="str">
        <f t="shared" si="195"/>
        <v/>
      </c>
      <c r="ED186" s="92" t="str">
        <f t="shared" si="195"/>
        <v/>
      </c>
      <c r="EE186" s="92" t="str">
        <f t="shared" si="195"/>
        <v/>
      </c>
      <c r="EF186" s="144" t="str">
        <f t="shared" si="195"/>
        <v/>
      </c>
      <c r="EG186" s="92" t="str">
        <f t="shared" ref="EG186:EL186" si="196">IF(OR(EG187&lt;&gt;"",EG188&lt;&gt;"",EG189&lt;&gt;""),SUM(EG187:EG189),"")</f>
        <v/>
      </c>
      <c r="EH186" s="92" t="str">
        <f t="shared" si="196"/>
        <v/>
      </c>
      <c r="EI186" s="144" t="str">
        <f t="shared" si="196"/>
        <v/>
      </c>
      <c r="EJ186" s="92" t="str">
        <f t="shared" si="196"/>
        <v/>
      </c>
      <c r="EK186" s="92" t="str">
        <f t="shared" si="196"/>
        <v/>
      </c>
      <c r="EL186" s="144" t="str">
        <f t="shared" si="196"/>
        <v/>
      </c>
      <c r="EM186" s="92" t="str">
        <f t="shared" ref="EM186:ER186" si="197">IF(OR(EM187&lt;&gt;"",EM188&lt;&gt;"",EM189&lt;&gt;""),SUM(EM187:EM189),"")</f>
        <v/>
      </c>
      <c r="EN186" s="92" t="str">
        <f t="shared" si="197"/>
        <v/>
      </c>
      <c r="EO186" s="144" t="str">
        <f t="shared" si="197"/>
        <v/>
      </c>
      <c r="EP186" s="92" t="str">
        <f t="shared" si="197"/>
        <v/>
      </c>
      <c r="EQ186" s="92" t="str">
        <f t="shared" si="197"/>
        <v/>
      </c>
      <c r="ER186" s="144" t="str">
        <f t="shared" si="197"/>
        <v/>
      </c>
      <c r="ES186" s="92" t="str">
        <f t="shared" ref="ES186:FA186" si="198">IF(OR(ES187&lt;&gt;"",ES188&lt;&gt;"",ES189&lt;&gt;""),SUM(ES187:ES189),"")</f>
        <v/>
      </c>
      <c r="ET186" s="92" t="str">
        <f t="shared" si="198"/>
        <v/>
      </c>
      <c r="EU186" s="144" t="str">
        <f t="shared" si="198"/>
        <v/>
      </c>
      <c r="EV186" s="92" t="str">
        <f t="shared" si="198"/>
        <v/>
      </c>
      <c r="EW186" s="92" t="str">
        <f t="shared" si="198"/>
        <v/>
      </c>
      <c r="EX186" s="144" t="str">
        <f t="shared" si="198"/>
        <v/>
      </c>
      <c r="EY186" s="92" t="str">
        <f t="shared" si="198"/>
        <v/>
      </c>
      <c r="EZ186" s="92" t="str">
        <f t="shared" si="198"/>
        <v/>
      </c>
      <c r="FA186" s="144" t="str">
        <f t="shared" si="198"/>
        <v/>
      </c>
    </row>
    <row r="187" spans="1:157" ht="13.35" customHeight="1">
      <c r="A187" s="3"/>
      <c r="B187" s="4" t="s">
        <v>186</v>
      </c>
      <c r="C187" s="4"/>
      <c r="D187" s="3"/>
      <c r="E187" s="92" t="str">
        <f>IF(Model!E257&lt;&gt;"",Model!E257,"")</f>
        <v/>
      </c>
      <c r="F187" s="92" t="str">
        <f>IF(G187&lt;&gt;"",G187,"")</f>
        <v/>
      </c>
      <c r="G187" s="92" t="str">
        <f>IF(Model!G257&lt;&gt;"",Model!G257,"")</f>
        <v/>
      </c>
      <c r="H187" s="92" t="str">
        <f>IF(Model!H257&lt;&gt;"",Model!H257,"")</f>
        <v/>
      </c>
      <c r="I187" s="92" t="str">
        <f>IF(J187&lt;&gt;"",J187,"")</f>
        <v/>
      </c>
      <c r="J187" s="92" t="str">
        <f>IF(Model!J257&lt;&gt;"",Model!J257,"")</f>
        <v/>
      </c>
      <c r="K187" s="92" t="str">
        <f>IF(Model!K257&lt;&gt;"",Model!K257,"")</f>
        <v/>
      </c>
      <c r="L187" s="92" t="str">
        <f>IF(M187&lt;&gt;"",M187,"")</f>
        <v/>
      </c>
      <c r="M187" s="92" t="str">
        <f>IF(Model!M257&lt;&gt;"",Model!M257,"")</f>
        <v/>
      </c>
      <c r="N187" s="92" t="str">
        <f>IF(Model!N257&lt;&gt;"",Model!N257,"")</f>
        <v/>
      </c>
      <c r="O187" s="92" t="str">
        <f>IF(P187&lt;&gt;"",P187,"")</f>
        <v/>
      </c>
      <c r="P187" s="92" t="str">
        <f>IF(Model!P257&lt;&gt;"",Model!P257,"")</f>
        <v/>
      </c>
      <c r="Q187" s="92" t="str">
        <f>IF(Model!Q257&lt;&gt;"",Model!Q257,"")</f>
        <v/>
      </c>
      <c r="R187" s="92" t="str">
        <f>IF(S187&lt;&gt;"",S187,"")</f>
        <v/>
      </c>
      <c r="S187" s="92" t="str">
        <f>IF(Model!S257&lt;&gt;"",Model!S257,"")</f>
        <v/>
      </c>
      <c r="T187" s="92" t="str">
        <f>IF(Model!T257&lt;&gt;"",Model!T257,"")</f>
        <v/>
      </c>
      <c r="U187" s="92" t="str">
        <f>IF(V187&lt;&gt;"",V187,"")</f>
        <v/>
      </c>
      <c r="V187" s="92" t="str">
        <f>IF(Model!V257&lt;&gt;"",Model!V257,"")</f>
        <v/>
      </c>
      <c r="W187" s="92" t="str">
        <f>IF(Model!W257&lt;&gt;"",Model!W257,"")</f>
        <v/>
      </c>
      <c r="X187" s="92" t="str">
        <f>IF(Y187&lt;&gt;"",Y187,"")</f>
        <v/>
      </c>
      <c r="Y187" s="92" t="str">
        <f>IF(Model!Y257&lt;&gt;"",Model!Y257,"")</f>
        <v/>
      </c>
      <c r="Z187" s="92" t="str">
        <f>IF(Model!Z257&lt;&gt;"",Model!Z257,"")</f>
        <v/>
      </c>
      <c r="AA187" s="92" t="str">
        <f>IF(AB187&lt;&gt;"",AB187,"")</f>
        <v/>
      </c>
      <c r="AB187" s="92" t="str">
        <f>IF(Model!AB257&lt;&gt;"",Model!AB257,"")</f>
        <v/>
      </c>
      <c r="AC187" s="92" t="str">
        <f>IF(Model!AC257&lt;&gt;"",Model!AC257,"")</f>
        <v/>
      </c>
      <c r="AD187" s="92" t="str">
        <f>IF(AE187&lt;&gt;"",AE187,"")</f>
        <v/>
      </c>
      <c r="AE187" s="92" t="str">
        <f>IF(Model!AE257&lt;&gt;"",Model!AE257,"")</f>
        <v/>
      </c>
      <c r="AF187" s="92" t="str">
        <f>IF(Model!AF257&lt;&gt;"",Model!AF257,"")</f>
        <v/>
      </c>
      <c r="AG187" s="92" t="str">
        <f>IF(AH187&lt;&gt;"",AH187,"")</f>
        <v/>
      </c>
      <c r="AH187" s="92" t="str">
        <f>IF(Model!AH257&lt;&gt;"",Model!AH257,"")</f>
        <v/>
      </c>
      <c r="AI187" s="92" t="str">
        <f>IF(Model!AI257&lt;&gt;"",Model!AI257,"")</f>
        <v/>
      </c>
      <c r="AJ187" s="92" t="str">
        <f>IF(AK187&lt;&gt;"",AK187,"")</f>
        <v/>
      </c>
      <c r="AK187" s="92" t="str">
        <f>IF(Model!AK257&lt;&gt;"",Model!AK257,"")</f>
        <v/>
      </c>
      <c r="AL187" s="92" t="str">
        <f>IF(Model!AL257&lt;&gt;"",Model!AL257,"")</f>
        <v/>
      </c>
      <c r="AM187" s="92" t="str">
        <f>IF(AN187&lt;&gt;"",AN187,"")</f>
        <v/>
      </c>
      <c r="AN187" s="92" t="str">
        <f>IF(Model!AN257&lt;&gt;"",Model!AN257,"")</f>
        <v/>
      </c>
      <c r="AO187" s="92" t="str">
        <f>IF(Model!AO257&lt;&gt;"",Model!AO257,"")</f>
        <v/>
      </c>
      <c r="AP187" s="92" t="str">
        <f>IF(AQ187&lt;&gt;"",AQ187,"")</f>
        <v/>
      </c>
      <c r="AQ187" s="92" t="str">
        <f>IF(Model!AQ257&lt;&gt;"",Model!AQ257,"")</f>
        <v/>
      </c>
      <c r="AR187" s="92" t="str">
        <f>IF(Model!AR257&lt;&gt;"",Model!AR257,"")</f>
        <v/>
      </c>
      <c r="AS187" s="92" t="str">
        <f>IF(AT187&lt;&gt;"",AT187,"")</f>
        <v/>
      </c>
      <c r="AT187" s="92" t="str">
        <f>IF(Model!AT257&lt;&gt;"",Model!AT257,"")</f>
        <v/>
      </c>
      <c r="AU187" s="92" t="str">
        <f>IF(Model!AU257&lt;&gt;"",Model!AU257,"")</f>
        <v/>
      </c>
      <c r="AV187" s="92" t="str">
        <f>IF(AW187&lt;&gt;"",AW187,"")</f>
        <v/>
      </c>
      <c r="AW187" s="92" t="str">
        <f>IF(Model!AW257&lt;&gt;"",Model!AW257,"")</f>
        <v/>
      </c>
      <c r="AX187" s="92" t="str">
        <f>IF(Model!AX257&lt;&gt;"",Model!AX257,"")</f>
        <v/>
      </c>
      <c r="AY187" s="92" t="str">
        <f>IF(AZ187&lt;&gt;"",AZ187,"")</f>
        <v/>
      </c>
      <c r="AZ187" s="92" t="str">
        <f>IF(Model!AZ257&lt;&gt;"",Model!AZ257,"")</f>
        <v/>
      </c>
      <c r="BA187" s="100"/>
      <c r="BB187" s="92" t="str">
        <f>IF(BC187&lt;&gt;"",BC187,"")</f>
        <v/>
      </c>
      <c r="BC187" s="101"/>
      <c r="BD187" s="101"/>
      <c r="BE187" s="92" t="str">
        <f>IF(BF187&lt;&gt;"",BF187,"")</f>
        <v/>
      </c>
      <c r="BF187" s="101"/>
      <c r="BG187" s="101"/>
      <c r="BH187" s="92" t="str">
        <f>IF(BI187&lt;&gt;"",BI187,"")</f>
        <v/>
      </c>
      <c r="BI187" s="101"/>
      <c r="BJ187" s="101"/>
      <c r="BK187" s="92" t="str">
        <f>IF(BL187&lt;&gt;"",BL187,"")</f>
        <v/>
      </c>
      <c r="BL187" s="101"/>
      <c r="BM187" s="101"/>
      <c r="BN187" s="92" t="str">
        <f>IF(BO187&lt;&gt;"",BO187,"")</f>
        <v/>
      </c>
      <c r="BO187" s="101"/>
      <c r="BP187" s="101"/>
      <c r="BQ187" s="92" t="str">
        <f>IF(BR187&lt;&gt;"",BR187,"")</f>
        <v/>
      </c>
      <c r="BR187" s="101"/>
      <c r="BS187" s="101"/>
      <c r="BT187" s="92" t="str">
        <f>IF(BU187&lt;&gt;"",BU187,"")</f>
        <v/>
      </c>
      <c r="BU187" s="101"/>
      <c r="BV187" s="101"/>
      <c r="BW187" s="92" t="str">
        <f>IF(BX187&lt;&gt;"",BX187,"")</f>
        <v/>
      </c>
      <c r="BX187" s="101"/>
      <c r="BY187" s="101"/>
      <c r="BZ187" s="92" t="str">
        <f>IF(CA187&lt;&gt;"",CA187,"")</f>
        <v/>
      </c>
      <c r="CA187" s="101"/>
      <c r="CB187" s="101"/>
      <c r="CC187" s="92" t="str">
        <f>IF(CD187&lt;&gt;"",CD187,"")</f>
        <v/>
      </c>
      <c r="CD187" s="101"/>
      <c r="CE187" s="101"/>
      <c r="CF187" s="92" t="str">
        <f>IF(CG187&lt;&gt;"",CG187,"")</f>
        <v/>
      </c>
      <c r="CG187" s="101"/>
      <c r="CH187" s="101"/>
      <c r="CI187" s="92" t="str">
        <f>IF(CJ187&lt;&gt;"",CJ187,"")</f>
        <v/>
      </c>
      <c r="CJ187" s="101"/>
      <c r="CK187" s="101"/>
      <c r="CL187" s="92" t="str">
        <f>IF(CM187&lt;&gt;"",CM187,"")</f>
        <v/>
      </c>
      <c r="CM187" s="101"/>
      <c r="CN187" s="101"/>
      <c r="CO187" s="92" t="str">
        <f>IF(CP187&lt;&gt;"",CP187,"")</f>
        <v/>
      </c>
      <c r="CP187" s="101"/>
      <c r="CQ187" s="101"/>
      <c r="CR187" s="92" t="str">
        <f>IF(CS187&lt;&gt;"",CS187,"")</f>
        <v/>
      </c>
      <c r="CS187" s="101"/>
      <c r="CT187" s="101"/>
      <c r="CU187" s="92" t="str">
        <f>IF(CV187&lt;&gt;"",CV187,"")</f>
        <v/>
      </c>
      <c r="CV187" s="101"/>
      <c r="CW187" s="101"/>
      <c r="CX187" s="92" t="str">
        <f>IF(CY187&lt;&gt;"",CY187,"")</f>
        <v/>
      </c>
      <c r="CY187" s="101"/>
      <c r="CZ187" s="101"/>
      <c r="DA187" s="92" t="str">
        <f>IF(DB187&lt;&gt;"",DB187,"")</f>
        <v/>
      </c>
      <c r="DB187" s="101"/>
      <c r="DC187" s="101"/>
      <c r="DD187" s="92" t="str">
        <f>IF(DE187&lt;&gt;"",DE187,"")</f>
        <v/>
      </c>
      <c r="DE187" s="148"/>
      <c r="DF187" s="101"/>
      <c r="DG187" s="92" t="str">
        <f>IF(DH187&lt;&gt;"",DH187,"")</f>
        <v/>
      </c>
      <c r="DH187" s="148"/>
      <c r="DI187" s="101"/>
      <c r="DJ187" s="92" t="str">
        <f>IF(DK187&lt;&gt;"",DK187,"")</f>
        <v/>
      </c>
      <c r="DK187" s="148"/>
      <c r="DL187" s="101"/>
      <c r="DM187" s="92" t="str">
        <f>IF(DN187&lt;&gt;"",DN187,"")</f>
        <v/>
      </c>
      <c r="DN187" s="148"/>
      <c r="DO187" s="101"/>
      <c r="DP187" s="92" t="str">
        <f>IF(DQ187&lt;&gt;"",DQ187,"")</f>
        <v/>
      </c>
      <c r="DQ187" s="148"/>
      <c r="DR187" s="101"/>
      <c r="DS187" s="92" t="str">
        <f>IF(DT187&lt;&gt;"",DT187,"")</f>
        <v/>
      </c>
      <c r="DT187" s="148"/>
      <c r="DU187" s="101"/>
      <c r="DV187" s="92" t="str">
        <f>IF(DW187&lt;&gt;"",DW187,"")</f>
        <v/>
      </c>
      <c r="DW187" s="148"/>
      <c r="DX187" s="101"/>
      <c r="DY187" s="92" t="str">
        <f>IF(DZ187&lt;&gt;"",DZ187,"")</f>
        <v/>
      </c>
      <c r="DZ187" s="148"/>
      <c r="EA187" s="101"/>
      <c r="EB187" s="92" t="str">
        <f>IF(EC187&lt;&gt;"",EC187,"")</f>
        <v/>
      </c>
      <c r="EC187" s="148"/>
      <c r="ED187" s="101"/>
      <c r="EE187" s="92" t="str">
        <f>IF(EF187&lt;&gt;"",EF187,"")</f>
        <v/>
      </c>
      <c r="EF187" s="148"/>
      <c r="EG187" s="101"/>
      <c r="EH187" s="92" t="str">
        <f>IF(EI187&lt;&gt;"",EI187,"")</f>
        <v/>
      </c>
      <c r="EI187" s="148"/>
      <c r="EJ187" s="101"/>
      <c r="EK187" s="92" t="str">
        <f>IF(EL187&lt;&gt;"",EL187,"")</f>
        <v/>
      </c>
      <c r="EL187" s="148"/>
      <c r="EM187" s="101"/>
      <c r="EN187" s="92" t="str">
        <f>IF(EO187&lt;&gt;"",EO187,"")</f>
        <v/>
      </c>
      <c r="EO187" s="148"/>
      <c r="EP187" s="101"/>
      <c r="EQ187" s="92" t="str">
        <f>IF(ER187&lt;&gt;"",ER187,"")</f>
        <v/>
      </c>
      <c r="ER187" s="148"/>
      <c r="ES187" s="101"/>
      <c r="ET187" s="92" t="str">
        <f>IF(EU187&lt;&gt;"",EU187,"")</f>
        <v/>
      </c>
      <c r="EU187" s="148"/>
      <c r="EV187" s="101"/>
      <c r="EW187" s="92" t="str">
        <f>IF(EX187&lt;&gt;"",EX187,"")</f>
        <v/>
      </c>
      <c r="EX187" s="148"/>
      <c r="EY187" s="101"/>
      <c r="EZ187" s="92" t="str">
        <f>IF(FA187&lt;&gt;"",FA187,"")</f>
        <v/>
      </c>
      <c r="FA187" s="148"/>
    </row>
    <row r="188" spans="1:157" ht="13.35" customHeight="1">
      <c r="A188" s="3"/>
      <c r="B188" s="4" t="s">
        <v>68</v>
      </c>
      <c r="C188" s="4"/>
      <c r="D188" s="3"/>
      <c r="E188" s="92" t="str">
        <f>IF(Model!E258&lt;&gt;"",Model!E258,"")</f>
        <v/>
      </c>
      <c r="F188" s="92" t="str">
        <f>IF(G188&lt;&gt;"",G188,"")</f>
        <v/>
      </c>
      <c r="G188" s="92" t="str">
        <f>IF(Model!G258&lt;&gt;"",Model!G258,"")</f>
        <v/>
      </c>
      <c r="H188" s="92" t="str">
        <f>IF(Model!H258&lt;&gt;"",Model!H258,"")</f>
        <v/>
      </c>
      <c r="I188" s="92" t="str">
        <f>IF(J188&lt;&gt;"",J188,"")</f>
        <v/>
      </c>
      <c r="J188" s="92" t="str">
        <f>IF(Model!J258&lt;&gt;"",Model!J258,"")</f>
        <v/>
      </c>
      <c r="K188" s="92" t="str">
        <f>IF(Model!K258&lt;&gt;"",Model!K258,"")</f>
        <v/>
      </c>
      <c r="L188" s="92" t="str">
        <f>IF(M188&lt;&gt;"",M188,"")</f>
        <v/>
      </c>
      <c r="M188" s="92" t="str">
        <f>IF(Model!M258&lt;&gt;"",Model!M258,"")</f>
        <v/>
      </c>
      <c r="N188" s="92" t="str">
        <f>IF(Model!N258&lt;&gt;"",Model!N258,"")</f>
        <v/>
      </c>
      <c r="O188" s="92" t="str">
        <f>IF(P188&lt;&gt;"",P188,"")</f>
        <v/>
      </c>
      <c r="P188" s="92" t="str">
        <f>IF(Model!P258&lt;&gt;"",Model!P258,"")</f>
        <v/>
      </c>
      <c r="Q188" s="92" t="str">
        <f>IF(Model!Q258&lt;&gt;"",Model!Q258,"")</f>
        <v/>
      </c>
      <c r="R188" s="92" t="str">
        <f>IF(S188&lt;&gt;"",S188,"")</f>
        <v/>
      </c>
      <c r="S188" s="92" t="str">
        <f>IF(Model!S258&lt;&gt;"",Model!S258,"")</f>
        <v/>
      </c>
      <c r="T188" s="92" t="str">
        <f>IF(Model!T258&lt;&gt;"",Model!T258,"")</f>
        <v/>
      </c>
      <c r="U188" s="92" t="str">
        <f>IF(V188&lt;&gt;"",V188,"")</f>
        <v/>
      </c>
      <c r="V188" s="92" t="str">
        <f>IF(Model!V258&lt;&gt;"",Model!V258,"")</f>
        <v/>
      </c>
      <c r="W188" s="92" t="str">
        <f>IF(Model!W258&lt;&gt;"",Model!W258,"")</f>
        <v/>
      </c>
      <c r="X188" s="92" t="str">
        <f>IF(Y188&lt;&gt;"",Y188,"")</f>
        <v/>
      </c>
      <c r="Y188" s="92" t="str">
        <f>IF(Model!Y258&lt;&gt;"",Model!Y258,"")</f>
        <v/>
      </c>
      <c r="Z188" s="92" t="str">
        <f>IF(Model!Z258&lt;&gt;"",Model!Z258,"")</f>
        <v/>
      </c>
      <c r="AA188" s="92" t="str">
        <f>IF(AB188&lt;&gt;"",AB188,"")</f>
        <v/>
      </c>
      <c r="AB188" s="92" t="str">
        <f>IF(Model!AB258&lt;&gt;"",Model!AB258,"")</f>
        <v/>
      </c>
      <c r="AC188" s="92" t="str">
        <f>IF(Model!AC258&lt;&gt;"",Model!AC258,"")</f>
        <v/>
      </c>
      <c r="AD188" s="92" t="str">
        <f>IF(AE188&lt;&gt;"",AE188,"")</f>
        <v/>
      </c>
      <c r="AE188" s="92" t="str">
        <f>IF(Model!AE258&lt;&gt;"",Model!AE258,"")</f>
        <v/>
      </c>
      <c r="AF188" s="92" t="str">
        <f>IF(Model!AF258&lt;&gt;"",Model!AF258,"")</f>
        <v/>
      </c>
      <c r="AG188" s="92" t="str">
        <f>IF(AH188&lt;&gt;"",AH188,"")</f>
        <v/>
      </c>
      <c r="AH188" s="92" t="str">
        <f>IF(Model!AH258&lt;&gt;"",Model!AH258,"")</f>
        <v/>
      </c>
      <c r="AI188" s="92" t="str">
        <f>IF(Model!AI258&lt;&gt;"",Model!AI258,"")</f>
        <v/>
      </c>
      <c r="AJ188" s="92" t="str">
        <f>IF(AK188&lt;&gt;"",AK188,"")</f>
        <v/>
      </c>
      <c r="AK188" s="92" t="str">
        <f>IF(Model!AK258&lt;&gt;"",Model!AK258,"")</f>
        <v/>
      </c>
      <c r="AL188" s="92" t="str">
        <f>IF(Model!AL258&lt;&gt;"",Model!AL258,"")</f>
        <v/>
      </c>
      <c r="AM188" s="92" t="str">
        <f>IF(AN188&lt;&gt;"",AN188,"")</f>
        <v/>
      </c>
      <c r="AN188" s="92" t="str">
        <f>IF(Model!AN258&lt;&gt;"",Model!AN258,"")</f>
        <v/>
      </c>
      <c r="AO188" s="92" t="str">
        <f>IF(Model!AO258&lt;&gt;"",Model!AO258,"")</f>
        <v/>
      </c>
      <c r="AP188" s="92" t="str">
        <f>IF(AQ188&lt;&gt;"",AQ188,"")</f>
        <v/>
      </c>
      <c r="AQ188" s="92" t="str">
        <f>IF(Model!AQ258&lt;&gt;"",Model!AQ258,"")</f>
        <v/>
      </c>
      <c r="AR188" s="92" t="str">
        <f>IF(Model!AR258&lt;&gt;"",Model!AR258,"")</f>
        <v/>
      </c>
      <c r="AS188" s="92" t="str">
        <f>IF(AT188&lt;&gt;"",AT188,"")</f>
        <v/>
      </c>
      <c r="AT188" s="92" t="str">
        <f>IF(Model!AT258&lt;&gt;"",Model!AT258,"")</f>
        <v/>
      </c>
      <c r="AU188" s="92" t="str">
        <f>IF(Model!AU258&lt;&gt;"",Model!AU258,"")</f>
        <v/>
      </c>
      <c r="AV188" s="92" t="str">
        <f>IF(AW188&lt;&gt;"",AW188,"")</f>
        <v/>
      </c>
      <c r="AW188" s="92" t="str">
        <f>IF(Model!AW258&lt;&gt;"",Model!AW258,"")</f>
        <v/>
      </c>
      <c r="AX188" s="92" t="str">
        <f>IF(Model!AX258&lt;&gt;"",Model!AX258,"")</f>
        <v/>
      </c>
      <c r="AY188" s="92" t="str">
        <f>IF(AZ188&lt;&gt;"",AZ188,"")</f>
        <v/>
      </c>
      <c r="AZ188" s="92" t="str">
        <f>IF(Model!AZ258&lt;&gt;"",Model!AZ258,"")</f>
        <v/>
      </c>
      <c r="BA188" s="100"/>
      <c r="BB188" s="92" t="str">
        <f>IF(BC188&lt;&gt;"",BC188,"")</f>
        <v/>
      </c>
      <c r="BC188" s="101"/>
      <c r="BD188" s="101"/>
      <c r="BE188" s="92" t="str">
        <f>IF(BF188&lt;&gt;"",BF188,"")</f>
        <v/>
      </c>
      <c r="BF188" s="101"/>
      <c r="BG188" s="101"/>
      <c r="BH188" s="92" t="str">
        <f>IF(BI188&lt;&gt;"",BI188,"")</f>
        <v/>
      </c>
      <c r="BI188" s="101"/>
      <c r="BJ188" s="101"/>
      <c r="BK188" s="92" t="str">
        <f>IF(BL188&lt;&gt;"",BL188,"")</f>
        <v/>
      </c>
      <c r="BL188" s="101"/>
      <c r="BM188" s="101"/>
      <c r="BN188" s="92" t="str">
        <f>IF(BO188&lt;&gt;"",BO188,"")</f>
        <v/>
      </c>
      <c r="BO188" s="101"/>
      <c r="BP188" s="101"/>
      <c r="BQ188" s="92" t="str">
        <f>IF(BR188&lt;&gt;"",BR188,"")</f>
        <v/>
      </c>
      <c r="BR188" s="101"/>
      <c r="BS188" s="101"/>
      <c r="BT188" s="92" t="str">
        <f>IF(BU188&lt;&gt;"",BU188,"")</f>
        <v/>
      </c>
      <c r="BU188" s="101"/>
      <c r="BV188" s="101"/>
      <c r="BW188" s="92" t="str">
        <f>IF(BX188&lt;&gt;"",BX188,"")</f>
        <v/>
      </c>
      <c r="BX188" s="101"/>
      <c r="BY188" s="101"/>
      <c r="BZ188" s="92" t="str">
        <f>IF(CA188&lt;&gt;"",CA188,"")</f>
        <v/>
      </c>
      <c r="CA188" s="101"/>
      <c r="CB188" s="101"/>
      <c r="CC188" s="92" t="str">
        <f>IF(CD188&lt;&gt;"",CD188,"")</f>
        <v/>
      </c>
      <c r="CD188" s="101"/>
      <c r="CE188" s="101"/>
      <c r="CF188" s="92" t="str">
        <f>IF(CG188&lt;&gt;"",CG188,"")</f>
        <v/>
      </c>
      <c r="CG188" s="101"/>
      <c r="CH188" s="101"/>
      <c r="CI188" s="92" t="str">
        <f>IF(CJ188&lt;&gt;"",CJ188,"")</f>
        <v/>
      </c>
      <c r="CJ188" s="101"/>
      <c r="CK188" s="101"/>
      <c r="CL188" s="92" t="str">
        <f>IF(CM188&lt;&gt;"",CM188,"")</f>
        <v/>
      </c>
      <c r="CM188" s="101"/>
      <c r="CN188" s="101"/>
      <c r="CO188" s="92" t="str">
        <f>IF(CP188&lt;&gt;"",CP188,"")</f>
        <v/>
      </c>
      <c r="CP188" s="101"/>
      <c r="CQ188" s="101"/>
      <c r="CR188" s="92" t="str">
        <f>IF(CS188&lt;&gt;"",CS188,"")</f>
        <v/>
      </c>
      <c r="CS188" s="101"/>
      <c r="CT188" s="101"/>
      <c r="CU188" s="92" t="str">
        <f>IF(CV188&lt;&gt;"",CV188,"")</f>
        <v/>
      </c>
      <c r="CV188" s="101"/>
      <c r="CW188" s="101"/>
      <c r="CX188" s="92" t="str">
        <f>IF(CY188&lt;&gt;"",CY188,"")</f>
        <v/>
      </c>
      <c r="CY188" s="101"/>
      <c r="CZ188" s="101"/>
      <c r="DA188" s="92" t="str">
        <f>IF(DB188&lt;&gt;"",DB188,"")</f>
        <v/>
      </c>
      <c r="DB188" s="101"/>
      <c r="DC188" s="101"/>
      <c r="DD188" s="92" t="str">
        <f>IF(DE188&lt;&gt;"",DE188,"")</f>
        <v/>
      </c>
      <c r="DE188" s="148"/>
      <c r="DF188" s="101"/>
      <c r="DG188" s="92" t="str">
        <f>IF(DH188&lt;&gt;"",DH188,"")</f>
        <v/>
      </c>
      <c r="DH188" s="148"/>
      <c r="DI188" s="101"/>
      <c r="DJ188" s="92" t="str">
        <f>IF(DK188&lt;&gt;"",DK188,"")</f>
        <v/>
      </c>
      <c r="DK188" s="148"/>
      <c r="DL188" s="101"/>
      <c r="DM188" s="92" t="str">
        <f>IF(DN188&lt;&gt;"",DN188,"")</f>
        <v/>
      </c>
      <c r="DN188" s="148"/>
      <c r="DO188" s="101"/>
      <c r="DP188" s="92" t="str">
        <f>IF(DQ188&lt;&gt;"",DQ188,"")</f>
        <v/>
      </c>
      <c r="DQ188" s="148"/>
      <c r="DR188" s="101"/>
      <c r="DS188" s="92" t="str">
        <f>IF(DT188&lt;&gt;"",DT188,"")</f>
        <v/>
      </c>
      <c r="DT188" s="148"/>
      <c r="DU188" s="101"/>
      <c r="DV188" s="92" t="str">
        <f>IF(DW188&lt;&gt;"",DW188,"")</f>
        <v/>
      </c>
      <c r="DW188" s="148"/>
      <c r="DX188" s="101"/>
      <c r="DY188" s="92" t="str">
        <f>IF(DZ188&lt;&gt;"",DZ188,"")</f>
        <v/>
      </c>
      <c r="DZ188" s="148"/>
      <c r="EA188" s="101"/>
      <c r="EB188" s="92" t="str">
        <f>IF(EC188&lt;&gt;"",EC188,"")</f>
        <v/>
      </c>
      <c r="EC188" s="148"/>
      <c r="ED188" s="101"/>
      <c r="EE188" s="92" t="str">
        <f>IF(EF188&lt;&gt;"",EF188,"")</f>
        <v/>
      </c>
      <c r="EF188" s="148"/>
      <c r="EG188" s="101"/>
      <c r="EH188" s="92" t="str">
        <f>IF(EI188&lt;&gt;"",EI188,"")</f>
        <v/>
      </c>
      <c r="EI188" s="148"/>
      <c r="EJ188" s="101"/>
      <c r="EK188" s="92" t="str">
        <f>IF(EL188&lt;&gt;"",EL188,"")</f>
        <v/>
      </c>
      <c r="EL188" s="148"/>
      <c r="EM188" s="101"/>
      <c r="EN188" s="92" t="str">
        <f>IF(EO188&lt;&gt;"",EO188,"")</f>
        <v/>
      </c>
      <c r="EO188" s="148"/>
      <c r="EP188" s="101"/>
      <c r="EQ188" s="92" t="str">
        <f>IF(ER188&lt;&gt;"",ER188,"")</f>
        <v/>
      </c>
      <c r="ER188" s="148"/>
      <c r="ES188" s="101"/>
      <c r="ET188" s="92" t="str">
        <f>IF(EU188&lt;&gt;"",EU188,"")</f>
        <v/>
      </c>
      <c r="EU188" s="148"/>
      <c r="EV188" s="101"/>
      <c r="EW188" s="92" t="str">
        <f>IF(EX188&lt;&gt;"",EX188,"")</f>
        <v/>
      </c>
      <c r="EX188" s="148"/>
      <c r="EY188" s="101"/>
      <c r="EZ188" s="92" t="str">
        <f>IF(FA188&lt;&gt;"",FA188,"")</f>
        <v/>
      </c>
      <c r="FA188" s="148"/>
    </row>
    <row r="189" spans="1:157" ht="13.35" customHeight="1">
      <c r="A189" s="3"/>
      <c r="B189" s="4" t="s">
        <v>701</v>
      </c>
      <c r="C189" s="4"/>
      <c r="D189" s="3"/>
      <c r="E189" s="92" t="str">
        <f>IF(Model!E259&lt;&gt;"",Model!E259,"")</f>
        <v/>
      </c>
      <c r="F189" s="92" t="str">
        <f>IF(G189&lt;&gt;"",G189,"")</f>
        <v/>
      </c>
      <c r="G189" s="92" t="str">
        <f>IF(Model!G259&lt;&gt;"",Model!G259,"")</f>
        <v/>
      </c>
      <c r="H189" s="92" t="str">
        <f>IF(Model!H259&lt;&gt;"",Model!H259,"")</f>
        <v/>
      </c>
      <c r="I189" s="92" t="str">
        <f>IF(J189&lt;&gt;"",J189,"")</f>
        <v/>
      </c>
      <c r="J189" s="92" t="str">
        <f>IF(Model!J259&lt;&gt;"",Model!J259,"")</f>
        <v/>
      </c>
      <c r="K189" s="92" t="str">
        <f>IF(Model!K259&lt;&gt;"",Model!K259,"")</f>
        <v/>
      </c>
      <c r="L189" s="92" t="str">
        <f>IF(M189&lt;&gt;"",M189,"")</f>
        <v/>
      </c>
      <c r="M189" s="92" t="str">
        <f>IF(Model!M259&lt;&gt;"",Model!M259,"")</f>
        <v/>
      </c>
      <c r="N189" s="92" t="str">
        <f>IF(Model!N259&lt;&gt;"",Model!N259,"")</f>
        <v/>
      </c>
      <c r="O189" s="92" t="str">
        <f>IF(P189&lt;&gt;"",P189,"")</f>
        <v/>
      </c>
      <c r="P189" s="92" t="str">
        <f>IF(Model!P259&lt;&gt;"",Model!P259,"")</f>
        <v/>
      </c>
      <c r="Q189" s="92" t="str">
        <f>IF(Model!Q259&lt;&gt;"",Model!Q259,"")</f>
        <v/>
      </c>
      <c r="R189" s="92" t="str">
        <f>IF(S189&lt;&gt;"",S189,"")</f>
        <v/>
      </c>
      <c r="S189" s="92" t="str">
        <f>IF(Model!S259&lt;&gt;"",Model!S259,"")</f>
        <v/>
      </c>
      <c r="T189" s="92" t="str">
        <f>IF(Model!T259&lt;&gt;"",Model!T259,"")</f>
        <v/>
      </c>
      <c r="U189" s="92" t="str">
        <f>IF(V189&lt;&gt;"",V189,"")</f>
        <v/>
      </c>
      <c r="V189" s="92" t="str">
        <f>IF(Model!V259&lt;&gt;"",Model!V259,"")</f>
        <v/>
      </c>
      <c r="W189" s="92" t="str">
        <f>IF(Model!W259&lt;&gt;"",Model!W259,"")</f>
        <v/>
      </c>
      <c r="X189" s="92" t="str">
        <f>IF(Y189&lt;&gt;"",Y189,"")</f>
        <v/>
      </c>
      <c r="Y189" s="92" t="str">
        <f>IF(Model!Y259&lt;&gt;"",Model!Y259,"")</f>
        <v/>
      </c>
      <c r="Z189" s="92" t="str">
        <f>IF(Model!Z259&lt;&gt;"",Model!Z259,"")</f>
        <v/>
      </c>
      <c r="AA189" s="92" t="str">
        <f>IF(AB189&lt;&gt;"",AB189,"")</f>
        <v/>
      </c>
      <c r="AB189" s="92" t="str">
        <f>IF(Model!AB259&lt;&gt;"",Model!AB259,"")</f>
        <v/>
      </c>
      <c r="AC189" s="92" t="str">
        <f>IF(Model!AC259&lt;&gt;"",Model!AC259,"")</f>
        <v/>
      </c>
      <c r="AD189" s="92" t="str">
        <f>IF(AE189&lt;&gt;"",AE189,"")</f>
        <v/>
      </c>
      <c r="AE189" s="92" t="str">
        <f>IF(Model!AE259&lt;&gt;"",Model!AE259,"")</f>
        <v/>
      </c>
      <c r="AF189" s="92" t="str">
        <f>IF(Model!AF259&lt;&gt;"",Model!AF259,"")</f>
        <v/>
      </c>
      <c r="AG189" s="92" t="str">
        <f>IF(AH189&lt;&gt;"",AH189,"")</f>
        <v/>
      </c>
      <c r="AH189" s="92" t="str">
        <f>IF(Model!AH259&lt;&gt;"",Model!AH259,"")</f>
        <v/>
      </c>
      <c r="AI189" s="92" t="str">
        <f>IF(Model!AI259&lt;&gt;"",Model!AI259,"")</f>
        <v/>
      </c>
      <c r="AJ189" s="92" t="str">
        <f>IF(AK189&lt;&gt;"",AK189,"")</f>
        <v/>
      </c>
      <c r="AK189" s="92" t="str">
        <f>IF(Model!AK259&lt;&gt;"",Model!AK259,"")</f>
        <v/>
      </c>
      <c r="AL189" s="92" t="str">
        <f>IF(Model!AL259&lt;&gt;"",Model!AL259,"")</f>
        <v/>
      </c>
      <c r="AM189" s="92" t="str">
        <f>IF(AN189&lt;&gt;"",AN189,"")</f>
        <v/>
      </c>
      <c r="AN189" s="92" t="str">
        <f>IF(Model!AN259&lt;&gt;"",Model!AN259,"")</f>
        <v/>
      </c>
      <c r="AO189" s="92" t="str">
        <f>IF(Model!AO259&lt;&gt;"",Model!AO259,"")</f>
        <v/>
      </c>
      <c r="AP189" s="92" t="str">
        <f>IF(AQ189&lt;&gt;"",AQ189,"")</f>
        <v/>
      </c>
      <c r="AQ189" s="92" t="str">
        <f>IF(Model!AQ259&lt;&gt;"",Model!AQ259,"")</f>
        <v/>
      </c>
      <c r="AR189" s="92" t="str">
        <f>IF(Model!AR259&lt;&gt;"",Model!AR259,"")</f>
        <v/>
      </c>
      <c r="AS189" s="92" t="str">
        <f>IF(AT189&lt;&gt;"",AT189,"")</f>
        <v/>
      </c>
      <c r="AT189" s="92" t="str">
        <f>IF(Model!AT259&lt;&gt;"",Model!AT259,"")</f>
        <v/>
      </c>
      <c r="AU189" s="92" t="str">
        <f>IF(Model!AU259&lt;&gt;"",Model!AU259,"")</f>
        <v/>
      </c>
      <c r="AV189" s="92" t="str">
        <f>IF(AW189&lt;&gt;"",AW189,"")</f>
        <v/>
      </c>
      <c r="AW189" s="92" t="str">
        <f>IF(Model!AW259&lt;&gt;"",Model!AW259,"")</f>
        <v/>
      </c>
      <c r="AX189" s="92" t="str">
        <f>IF(Model!AX259&lt;&gt;"",Model!AX259,"")</f>
        <v/>
      </c>
      <c r="AY189" s="92" t="str">
        <f>IF(AZ189&lt;&gt;"",AZ189,"")</f>
        <v/>
      </c>
      <c r="AZ189" s="92" t="str">
        <f>IF(Model!AZ259&lt;&gt;"",Model!AZ259,"")</f>
        <v/>
      </c>
      <c r="BA189" s="100"/>
      <c r="BB189" s="92" t="str">
        <f>IF(BC189&lt;&gt;"",BC189,"")</f>
        <v/>
      </c>
      <c r="BC189" s="101"/>
      <c r="BD189" s="101"/>
      <c r="BE189" s="92" t="str">
        <f>IF(BF189&lt;&gt;"",BF189,"")</f>
        <v/>
      </c>
      <c r="BF189" s="101"/>
      <c r="BG189" s="101"/>
      <c r="BH189" s="92" t="str">
        <f>IF(BI189&lt;&gt;"",BI189,"")</f>
        <v/>
      </c>
      <c r="BI189" s="101"/>
      <c r="BJ189" s="101"/>
      <c r="BK189" s="92" t="str">
        <f>IF(BL189&lt;&gt;"",BL189,"")</f>
        <v/>
      </c>
      <c r="BL189" s="101"/>
      <c r="BM189" s="101"/>
      <c r="BN189" s="92" t="str">
        <f>IF(BO189&lt;&gt;"",BO189,"")</f>
        <v/>
      </c>
      <c r="BO189" s="101"/>
      <c r="BP189" s="101"/>
      <c r="BQ189" s="92" t="str">
        <f>IF(BR189&lt;&gt;"",BR189,"")</f>
        <v/>
      </c>
      <c r="BR189" s="101"/>
      <c r="BS189" s="101"/>
      <c r="BT189" s="92" t="str">
        <f>IF(BU189&lt;&gt;"",BU189,"")</f>
        <v/>
      </c>
      <c r="BU189" s="101"/>
      <c r="BV189" s="101"/>
      <c r="BW189" s="92" t="str">
        <f>IF(BX189&lt;&gt;"",BX189,"")</f>
        <v/>
      </c>
      <c r="BX189" s="101"/>
      <c r="BY189" s="101"/>
      <c r="BZ189" s="92" t="str">
        <f>IF(CA189&lt;&gt;"",CA189,"")</f>
        <v/>
      </c>
      <c r="CA189" s="101"/>
      <c r="CB189" s="101"/>
      <c r="CC189" s="92" t="str">
        <f>IF(CD189&lt;&gt;"",CD189,"")</f>
        <v/>
      </c>
      <c r="CD189" s="101"/>
      <c r="CE189" s="101"/>
      <c r="CF189" s="92" t="str">
        <f>IF(CG189&lt;&gt;"",CG189,"")</f>
        <v/>
      </c>
      <c r="CG189" s="101"/>
      <c r="CH189" s="101"/>
      <c r="CI189" s="92" t="str">
        <f>IF(CJ189&lt;&gt;"",CJ189,"")</f>
        <v/>
      </c>
      <c r="CJ189" s="101"/>
      <c r="CK189" s="101"/>
      <c r="CL189" s="92" t="str">
        <f>IF(CM189&lt;&gt;"",CM189,"")</f>
        <v/>
      </c>
      <c r="CM189" s="101"/>
      <c r="CN189" s="101"/>
      <c r="CO189" s="92" t="str">
        <f>IF(CP189&lt;&gt;"",CP189,"")</f>
        <v/>
      </c>
      <c r="CP189" s="101"/>
      <c r="CQ189" s="101"/>
      <c r="CR189" s="92" t="str">
        <f>IF(CS189&lt;&gt;"",CS189,"")</f>
        <v/>
      </c>
      <c r="CS189" s="101"/>
      <c r="CT189" s="101"/>
      <c r="CU189" s="92" t="str">
        <f>IF(CV189&lt;&gt;"",CV189,"")</f>
        <v/>
      </c>
      <c r="CV189" s="101"/>
      <c r="CW189" s="101"/>
      <c r="CX189" s="92" t="str">
        <f>IF(CY189&lt;&gt;"",CY189,"")</f>
        <v/>
      </c>
      <c r="CY189" s="101"/>
      <c r="CZ189" s="101"/>
      <c r="DA189" s="92" t="str">
        <f>IF(DB189&lt;&gt;"",DB189,"")</f>
        <v/>
      </c>
      <c r="DB189" s="101"/>
      <c r="DC189" s="101"/>
      <c r="DD189" s="92" t="str">
        <f>IF(DE189&lt;&gt;"",DE189,"")</f>
        <v/>
      </c>
      <c r="DE189" s="148"/>
      <c r="DF189" s="101"/>
      <c r="DG189" s="92" t="str">
        <f>IF(DH189&lt;&gt;"",DH189,"")</f>
        <v/>
      </c>
      <c r="DH189" s="148"/>
      <c r="DI189" s="101"/>
      <c r="DJ189" s="92" t="str">
        <f>IF(DK189&lt;&gt;"",DK189,"")</f>
        <v/>
      </c>
      <c r="DK189" s="148"/>
      <c r="DL189" s="101"/>
      <c r="DM189" s="92" t="str">
        <f>IF(DN189&lt;&gt;"",DN189,"")</f>
        <v/>
      </c>
      <c r="DN189" s="148"/>
      <c r="DO189" s="101"/>
      <c r="DP189" s="92" t="str">
        <f>IF(DQ189&lt;&gt;"",DQ189,"")</f>
        <v/>
      </c>
      <c r="DQ189" s="148"/>
      <c r="DR189" s="101"/>
      <c r="DS189" s="92" t="str">
        <f>IF(DT189&lt;&gt;"",DT189,"")</f>
        <v/>
      </c>
      <c r="DT189" s="148"/>
      <c r="DU189" s="101"/>
      <c r="DV189" s="92" t="str">
        <f>IF(DW189&lt;&gt;"",DW189,"")</f>
        <v/>
      </c>
      <c r="DW189" s="148"/>
      <c r="DX189" s="101"/>
      <c r="DY189" s="92" t="str">
        <f>IF(DZ189&lt;&gt;"",DZ189,"")</f>
        <v/>
      </c>
      <c r="DZ189" s="148"/>
      <c r="EA189" s="101"/>
      <c r="EB189" s="92" t="str">
        <f>IF(EC189&lt;&gt;"",EC189,"")</f>
        <v/>
      </c>
      <c r="EC189" s="148"/>
      <c r="ED189" s="101"/>
      <c r="EE189" s="92" t="str">
        <f>IF(EF189&lt;&gt;"",EF189,"")</f>
        <v/>
      </c>
      <c r="EF189" s="148"/>
      <c r="EG189" s="101"/>
      <c r="EH189" s="92" t="str">
        <f>IF(EI189&lt;&gt;"",EI189,"")</f>
        <v/>
      </c>
      <c r="EI189" s="148"/>
      <c r="EJ189" s="101"/>
      <c r="EK189" s="92" t="str">
        <f>IF(EL189&lt;&gt;"",EL189,"")</f>
        <v/>
      </c>
      <c r="EL189" s="148"/>
      <c r="EM189" s="101"/>
      <c r="EN189" s="92" t="str">
        <f>IF(EO189&lt;&gt;"",EO189,"")</f>
        <v/>
      </c>
      <c r="EO189" s="148"/>
      <c r="EP189" s="101"/>
      <c r="EQ189" s="92" t="str">
        <f>IF(ER189&lt;&gt;"",ER189,"")</f>
        <v/>
      </c>
      <c r="ER189" s="148"/>
      <c r="ES189" s="101"/>
      <c r="ET189" s="92" t="str">
        <f>IF(EU189&lt;&gt;"",EU189,"")</f>
        <v/>
      </c>
      <c r="EU189" s="148"/>
      <c r="EV189" s="101"/>
      <c r="EW189" s="92" t="str">
        <f>IF(EX189&lt;&gt;"",EX189,"")</f>
        <v/>
      </c>
      <c r="EX189" s="148"/>
      <c r="EY189" s="101"/>
      <c r="EZ189" s="92" t="str">
        <f>IF(FA189&lt;&gt;"",FA189,"")</f>
        <v/>
      </c>
      <c r="FA189" s="148"/>
    </row>
    <row r="190" spans="1:157" ht="13.35" customHeight="1">
      <c r="A190" s="3"/>
      <c r="B190" s="4" t="s">
        <v>69</v>
      </c>
      <c r="C190" s="4"/>
      <c r="D190" s="3"/>
      <c r="E190" s="92" t="str">
        <f t="shared" ref="E190:AJ190" si="199">IF(OR(E191&lt;&gt;"",E192&lt;&gt;""),SUM(E191:E192),"")</f>
        <v/>
      </c>
      <c r="F190" s="92" t="str">
        <f t="shared" si="199"/>
        <v/>
      </c>
      <c r="G190" s="92" t="str">
        <f t="shared" si="199"/>
        <v/>
      </c>
      <c r="H190" s="92" t="str">
        <f t="shared" si="199"/>
        <v/>
      </c>
      <c r="I190" s="92" t="str">
        <f t="shared" si="199"/>
        <v/>
      </c>
      <c r="J190" s="92" t="str">
        <f t="shared" si="199"/>
        <v/>
      </c>
      <c r="K190" s="92" t="str">
        <f t="shared" si="199"/>
        <v/>
      </c>
      <c r="L190" s="92" t="str">
        <f t="shared" si="199"/>
        <v/>
      </c>
      <c r="M190" s="92" t="str">
        <f t="shared" si="199"/>
        <v/>
      </c>
      <c r="N190" s="92" t="str">
        <f t="shared" si="199"/>
        <v/>
      </c>
      <c r="O190" s="92" t="str">
        <f t="shared" si="199"/>
        <v/>
      </c>
      <c r="P190" s="92" t="str">
        <f t="shared" si="199"/>
        <v/>
      </c>
      <c r="Q190" s="92" t="str">
        <f t="shared" si="199"/>
        <v/>
      </c>
      <c r="R190" s="92" t="str">
        <f t="shared" si="199"/>
        <v/>
      </c>
      <c r="S190" s="92" t="str">
        <f t="shared" si="199"/>
        <v/>
      </c>
      <c r="T190" s="92" t="str">
        <f t="shared" si="199"/>
        <v/>
      </c>
      <c r="U190" s="92" t="str">
        <f t="shared" si="199"/>
        <v/>
      </c>
      <c r="V190" s="92" t="str">
        <f t="shared" si="199"/>
        <v/>
      </c>
      <c r="W190" s="92" t="str">
        <f t="shared" si="199"/>
        <v/>
      </c>
      <c r="X190" s="92" t="str">
        <f t="shared" si="199"/>
        <v/>
      </c>
      <c r="Y190" s="92" t="str">
        <f t="shared" si="199"/>
        <v/>
      </c>
      <c r="Z190" s="92" t="str">
        <f t="shared" si="199"/>
        <v/>
      </c>
      <c r="AA190" s="92" t="str">
        <f t="shared" si="199"/>
        <v/>
      </c>
      <c r="AB190" s="92" t="str">
        <f t="shared" si="199"/>
        <v/>
      </c>
      <c r="AC190" s="92" t="str">
        <f t="shared" si="199"/>
        <v/>
      </c>
      <c r="AD190" s="92" t="str">
        <f t="shared" si="199"/>
        <v/>
      </c>
      <c r="AE190" s="92" t="str">
        <f t="shared" si="199"/>
        <v/>
      </c>
      <c r="AF190" s="92" t="str">
        <f t="shared" si="199"/>
        <v/>
      </c>
      <c r="AG190" s="92" t="str">
        <f t="shared" si="199"/>
        <v/>
      </c>
      <c r="AH190" s="92" t="str">
        <f t="shared" si="199"/>
        <v/>
      </c>
      <c r="AI190" s="92" t="str">
        <f t="shared" si="199"/>
        <v/>
      </c>
      <c r="AJ190" s="92" t="str">
        <f t="shared" si="199"/>
        <v/>
      </c>
      <c r="AK190" s="92" t="str">
        <f t="shared" ref="AK190:BP190" si="200">IF(OR(AK191&lt;&gt;"",AK192&lt;&gt;""),SUM(AK191:AK192),"")</f>
        <v/>
      </c>
      <c r="AL190" s="92" t="str">
        <f t="shared" si="200"/>
        <v/>
      </c>
      <c r="AM190" s="92" t="str">
        <f t="shared" si="200"/>
        <v/>
      </c>
      <c r="AN190" s="92" t="str">
        <f t="shared" si="200"/>
        <v/>
      </c>
      <c r="AO190" s="92" t="str">
        <f t="shared" si="200"/>
        <v/>
      </c>
      <c r="AP190" s="92" t="str">
        <f t="shared" si="200"/>
        <v/>
      </c>
      <c r="AQ190" s="92" t="str">
        <f t="shared" si="200"/>
        <v/>
      </c>
      <c r="AR190" s="92" t="str">
        <f t="shared" si="200"/>
        <v/>
      </c>
      <c r="AS190" s="92" t="str">
        <f t="shared" si="200"/>
        <v/>
      </c>
      <c r="AT190" s="92" t="str">
        <f t="shared" si="200"/>
        <v/>
      </c>
      <c r="AU190" s="92" t="str">
        <f t="shared" si="200"/>
        <v/>
      </c>
      <c r="AV190" s="92" t="str">
        <f t="shared" si="200"/>
        <v/>
      </c>
      <c r="AW190" s="92" t="str">
        <f t="shared" si="200"/>
        <v/>
      </c>
      <c r="AX190" s="92" t="str">
        <f t="shared" si="200"/>
        <v/>
      </c>
      <c r="AY190" s="92" t="str">
        <f t="shared" si="200"/>
        <v/>
      </c>
      <c r="AZ190" s="92" t="str">
        <f t="shared" si="200"/>
        <v/>
      </c>
      <c r="BA190" s="92" t="str">
        <f t="shared" si="200"/>
        <v/>
      </c>
      <c r="BB190" s="92" t="str">
        <f t="shared" si="200"/>
        <v/>
      </c>
      <c r="BC190" s="92" t="str">
        <f t="shared" si="200"/>
        <v/>
      </c>
      <c r="BD190" s="92" t="str">
        <f t="shared" si="200"/>
        <v/>
      </c>
      <c r="BE190" s="92" t="str">
        <f t="shared" si="200"/>
        <v/>
      </c>
      <c r="BF190" s="92" t="str">
        <f t="shared" si="200"/>
        <v/>
      </c>
      <c r="BG190" s="92" t="str">
        <f t="shared" si="200"/>
        <v/>
      </c>
      <c r="BH190" s="92" t="str">
        <f t="shared" si="200"/>
        <v/>
      </c>
      <c r="BI190" s="92" t="str">
        <f t="shared" si="200"/>
        <v/>
      </c>
      <c r="BJ190" s="92" t="str">
        <f t="shared" si="200"/>
        <v/>
      </c>
      <c r="BK190" s="92" t="str">
        <f t="shared" si="200"/>
        <v/>
      </c>
      <c r="BL190" s="92" t="str">
        <f t="shared" si="200"/>
        <v/>
      </c>
      <c r="BM190" s="92" t="str">
        <f t="shared" si="200"/>
        <v/>
      </c>
      <c r="BN190" s="92" t="str">
        <f t="shared" si="200"/>
        <v/>
      </c>
      <c r="BO190" s="92" t="str">
        <f t="shared" si="200"/>
        <v/>
      </c>
      <c r="BP190" s="92" t="str">
        <f t="shared" si="200"/>
        <v/>
      </c>
      <c r="BQ190" s="92" t="str">
        <f t="shared" ref="BQ190:CM190" si="201">IF(OR(BQ191&lt;&gt;"",BQ192&lt;&gt;""),SUM(BQ191:BQ192),"")</f>
        <v/>
      </c>
      <c r="BR190" s="92" t="str">
        <f t="shared" si="201"/>
        <v/>
      </c>
      <c r="BS190" s="92" t="str">
        <f t="shared" si="201"/>
        <v/>
      </c>
      <c r="BT190" s="92" t="str">
        <f t="shared" si="201"/>
        <v/>
      </c>
      <c r="BU190" s="92" t="str">
        <f t="shared" si="201"/>
        <v/>
      </c>
      <c r="BV190" s="92" t="str">
        <f t="shared" si="201"/>
        <v/>
      </c>
      <c r="BW190" s="92" t="str">
        <f t="shared" si="201"/>
        <v/>
      </c>
      <c r="BX190" s="92" t="str">
        <f t="shared" si="201"/>
        <v/>
      </c>
      <c r="BY190" s="92" t="str">
        <f t="shared" si="201"/>
        <v/>
      </c>
      <c r="BZ190" s="92" t="str">
        <f t="shared" si="201"/>
        <v/>
      </c>
      <c r="CA190" s="92" t="str">
        <f t="shared" si="201"/>
        <v/>
      </c>
      <c r="CB190" s="92" t="str">
        <f t="shared" si="201"/>
        <v/>
      </c>
      <c r="CC190" s="92" t="str">
        <f t="shared" si="201"/>
        <v/>
      </c>
      <c r="CD190" s="92" t="str">
        <f t="shared" si="201"/>
        <v/>
      </c>
      <c r="CE190" s="92" t="str">
        <f t="shared" si="201"/>
        <v/>
      </c>
      <c r="CF190" s="92" t="str">
        <f t="shared" si="201"/>
        <v/>
      </c>
      <c r="CG190" s="92" t="str">
        <f t="shared" si="201"/>
        <v/>
      </c>
      <c r="CH190" s="92" t="str">
        <f t="shared" si="201"/>
        <v/>
      </c>
      <c r="CI190" s="92" t="str">
        <f t="shared" si="201"/>
        <v/>
      </c>
      <c r="CJ190" s="92" t="str">
        <f t="shared" si="201"/>
        <v/>
      </c>
      <c r="CK190" s="92" t="str">
        <f t="shared" si="201"/>
        <v/>
      </c>
      <c r="CL190" s="92" t="str">
        <f t="shared" si="201"/>
        <v/>
      </c>
      <c r="CM190" s="92" t="str">
        <f t="shared" si="201"/>
        <v/>
      </c>
      <c r="CN190" s="92" t="str">
        <f t="shared" ref="CN190:DQ190" si="202">IF(OR(CN191&lt;&gt;"",CN192&lt;&gt;""),SUM(CN191:CN192),"")</f>
        <v/>
      </c>
      <c r="CO190" s="92" t="str">
        <f t="shared" si="202"/>
        <v/>
      </c>
      <c r="CP190" s="92" t="str">
        <f t="shared" si="202"/>
        <v/>
      </c>
      <c r="CQ190" s="92" t="str">
        <f t="shared" si="202"/>
        <v/>
      </c>
      <c r="CR190" s="92" t="str">
        <f t="shared" si="202"/>
        <v/>
      </c>
      <c r="CS190" s="92" t="str">
        <f t="shared" si="202"/>
        <v/>
      </c>
      <c r="CT190" s="92" t="str">
        <f t="shared" si="202"/>
        <v/>
      </c>
      <c r="CU190" s="92" t="str">
        <f t="shared" si="202"/>
        <v/>
      </c>
      <c r="CV190" s="92" t="str">
        <f t="shared" si="202"/>
        <v/>
      </c>
      <c r="CW190" s="92" t="str">
        <f t="shared" si="202"/>
        <v/>
      </c>
      <c r="CX190" s="92" t="str">
        <f t="shared" si="202"/>
        <v/>
      </c>
      <c r="CY190" s="92" t="str">
        <f t="shared" si="202"/>
        <v/>
      </c>
      <c r="CZ190" s="92" t="str">
        <f t="shared" si="202"/>
        <v/>
      </c>
      <c r="DA190" s="92" t="str">
        <f t="shared" si="202"/>
        <v/>
      </c>
      <c r="DB190" s="92" t="str">
        <f t="shared" si="202"/>
        <v/>
      </c>
      <c r="DC190" s="92" t="str">
        <f t="shared" si="202"/>
        <v/>
      </c>
      <c r="DD190" s="92" t="str">
        <f t="shared" si="202"/>
        <v/>
      </c>
      <c r="DE190" s="144" t="str">
        <f t="shared" si="202"/>
        <v/>
      </c>
      <c r="DF190" s="92" t="str">
        <f t="shared" si="202"/>
        <v/>
      </c>
      <c r="DG190" s="92" t="str">
        <f t="shared" si="202"/>
        <v/>
      </c>
      <c r="DH190" s="144" t="str">
        <f t="shared" si="202"/>
        <v/>
      </c>
      <c r="DI190" s="92" t="str">
        <f t="shared" si="202"/>
        <v/>
      </c>
      <c r="DJ190" s="92" t="str">
        <f t="shared" si="202"/>
        <v/>
      </c>
      <c r="DK190" s="144" t="str">
        <f t="shared" si="202"/>
        <v/>
      </c>
      <c r="DL190" s="92" t="str">
        <f t="shared" si="202"/>
        <v/>
      </c>
      <c r="DM190" s="92" t="str">
        <f t="shared" si="202"/>
        <v/>
      </c>
      <c r="DN190" s="144" t="str">
        <f t="shared" si="202"/>
        <v/>
      </c>
      <c r="DO190" s="92" t="str">
        <f t="shared" si="202"/>
        <v/>
      </c>
      <c r="DP190" s="92" t="str">
        <f t="shared" si="202"/>
        <v/>
      </c>
      <c r="DQ190" s="144" t="str">
        <f t="shared" si="202"/>
        <v/>
      </c>
      <c r="DR190" s="92" t="str">
        <f t="shared" ref="DR190:DZ190" si="203">IF(OR(DR191&lt;&gt;"",DR192&lt;&gt;""),SUM(DR191:DR192),"")</f>
        <v/>
      </c>
      <c r="DS190" s="92" t="str">
        <f t="shared" si="203"/>
        <v/>
      </c>
      <c r="DT190" s="144" t="str">
        <f t="shared" si="203"/>
        <v/>
      </c>
      <c r="DU190" s="92" t="str">
        <f t="shared" si="203"/>
        <v/>
      </c>
      <c r="DV190" s="92" t="str">
        <f>IF(OR(DV191&lt;&gt;"",DV192&lt;&gt;""),SUM(DV191:DV192),"")</f>
        <v/>
      </c>
      <c r="DW190" s="144" t="str">
        <f>IF(OR(DW191&lt;&gt;"",DW192&lt;&gt;""),SUM(DW191:DW192),"")</f>
        <v/>
      </c>
      <c r="DX190" s="92" t="str">
        <f t="shared" si="203"/>
        <v/>
      </c>
      <c r="DY190" s="92" t="str">
        <f t="shared" si="203"/>
        <v/>
      </c>
      <c r="DZ190" s="144" t="str">
        <f t="shared" si="203"/>
        <v/>
      </c>
      <c r="EA190" s="92" t="str">
        <f t="shared" ref="EA190:EF190" si="204">IF(OR(EA191&lt;&gt;"",EA192&lt;&gt;""),SUM(EA191:EA192),"")</f>
        <v/>
      </c>
      <c r="EB190" s="92" t="str">
        <f t="shared" si="204"/>
        <v/>
      </c>
      <c r="EC190" s="144" t="str">
        <f t="shared" si="204"/>
        <v/>
      </c>
      <c r="ED190" s="92" t="str">
        <f t="shared" si="204"/>
        <v/>
      </c>
      <c r="EE190" s="92" t="str">
        <f t="shared" si="204"/>
        <v/>
      </c>
      <c r="EF190" s="144" t="str">
        <f t="shared" si="204"/>
        <v/>
      </c>
      <c r="EG190" s="92" t="str">
        <f t="shared" ref="EG190:EL190" si="205">IF(OR(EG191&lt;&gt;"",EG192&lt;&gt;""),SUM(EG191:EG192),"")</f>
        <v/>
      </c>
      <c r="EH190" s="92" t="str">
        <f t="shared" si="205"/>
        <v/>
      </c>
      <c r="EI190" s="144" t="str">
        <f t="shared" si="205"/>
        <v/>
      </c>
      <c r="EJ190" s="92" t="str">
        <f t="shared" si="205"/>
        <v/>
      </c>
      <c r="EK190" s="92" t="str">
        <f t="shared" si="205"/>
        <v/>
      </c>
      <c r="EL190" s="144" t="str">
        <f t="shared" si="205"/>
        <v/>
      </c>
      <c r="EM190" s="92" t="str">
        <f t="shared" ref="EM190:ER190" si="206">IF(OR(EM191&lt;&gt;"",EM192&lt;&gt;""),SUM(EM191:EM192),"")</f>
        <v/>
      </c>
      <c r="EN190" s="92" t="str">
        <f t="shared" si="206"/>
        <v/>
      </c>
      <c r="EO190" s="144" t="str">
        <f t="shared" si="206"/>
        <v/>
      </c>
      <c r="EP190" s="92" t="str">
        <f t="shared" si="206"/>
        <v/>
      </c>
      <c r="EQ190" s="92" t="str">
        <f t="shared" si="206"/>
        <v/>
      </c>
      <c r="ER190" s="144" t="str">
        <f t="shared" si="206"/>
        <v/>
      </c>
      <c r="ES190" s="92" t="str">
        <f t="shared" ref="ES190:FA190" si="207">IF(OR(ES191&lt;&gt;"",ES192&lt;&gt;""),SUM(ES191:ES192),"")</f>
        <v/>
      </c>
      <c r="ET190" s="92" t="str">
        <f t="shared" si="207"/>
        <v/>
      </c>
      <c r="EU190" s="144" t="str">
        <f t="shared" si="207"/>
        <v/>
      </c>
      <c r="EV190" s="92" t="str">
        <f t="shared" si="207"/>
        <v/>
      </c>
      <c r="EW190" s="92" t="str">
        <f t="shared" si="207"/>
        <v/>
      </c>
      <c r="EX190" s="144" t="str">
        <f t="shared" si="207"/>
        <v/>
      </c>
      <c r="EY190" s="92" t="str">
        <f t="shared" si="207"/>
        <v/>
      </c>
      <c r="EZ190" s="92" t="str">
        <f t="shared" si="207"/>
        <v/>
      </c>
      <c r="FA190" s="144" t="str">
        <f t="shared" si="207"/>
        <v/>
      </c>
    </row>
    <row r="191" spans="1:157" ht="13.35" customHeight="1">
      <c r="A191" s="3"/>
      <c r="B191" s="4" t="s">
        <v>70</v>
      </c>
      <c r="C191" s="4"/>
      <c r="D191" s="3"/>
      <c r="E191" s="92" t="str">
        <f>IF(Model!E281&lt;&gt;"",Model!E281,"")</f>
        <v/>
      </c>
      <c r="F191" s="92" t="str">
        <f>IF(G191&lt;&gt;"",G191,"")</f>
        <v/>
      </c>
      <c r="G191" s="92" t="str">
        <f>IF(Model!G281&lt;&gt;"",Model!G281,"")</f>
        <v/>
      </c>
      <c r="H191" s="92" t="str">
        <f>IF(Model!H281&lt;&gt;"",Model!H281,"")</f>
        <v/>
      </c>
      <c r="I191" s="92" t="str">
        <f>IF(J191&lt;&gt;"",J191,"")</f>
        <v/>
      </c>
      <c r="J191" s="92" t="str">
        <f>IF(Model!J281&lt;&gt;"",Model!J281,"")</f>
        <v/>
      </c>
      <c r="K191" s="92" t="str">
        <f>IF(Model!K281&lt;&gt;"",Model!K281,"")</f>
        <v/>
      </c>
      <c r="L191" s="92" t="str">
        <f>IF(M191&lt;&gt;"",M191,"")</f>
        <v/>
      </c>
      <c r="M191" s="92" t="str">
        <f>IF(Model!M281&lt;&gt;"",Model!M281,"")</f>
        <v/>
      </c>
      <c r="N191" s="92" t="str">
        <f>IF(Model!N281&lt;&gt;"",Model!N281,"")</f>
        <v/>
      </c>
      <c r="O191" s="92" t="str">
        <f>IF(P191&lt;&gt;"",P191,"")</f>
        <v/>
      </c>
      <c r="P191" s="92" t="str">
        <f>IF(Model!P281&lt;&gt;"",Model!P281,"")</f>
        <v/>
      </c>
      <c r="Q191" s="92" t="str">
        <f>IF(Model!Q281&lt;&gt;"",Model!Q281,"")</f>
        <v/>
      </c>
      <c r="R191" s="92" t="str">
        <f>IF(S191&lt;&gt;"",S191,"")</f>
        <v/>
      </c>
      <c r="S191" s="92" t="str">
        <f>IF(Model!S281&lt;&gt;"",Model!S281,"")</f>
        <v/>
      </c>
      <c r="T191" s="92" t="str">
        <f>IF(Model!T281&lt;&gt;"",Model!T281,"")</f>
        <v/>
      </c>
      <c r="U191" s="92" t="str">
        <f>IF(V191&lt;&gt;"",V191,"")</f>
        <v/>
      </c>
      <c r="V191" s="92" t="str">
        <f>IF(Model!V281&lt;&gt;"",Model!V281,"")</f>
        <v/>
      </c>
      <c r="W191" s="92" t="str">
        <f>IF(Model!W281&lt;&gt;"",Model!W281,"")</f>
        <v/>
      </c>
      <c r="X191" s="92" t="str">
        <f>IF(Y191&lt;&gt;"",Y191,"")</f>
        <v/>
      </c>
      <c r="Y191" s="92" t="str">
        <f>IF(Model!Y281&lt;&gt;"",Model!Y281,"")</f>
        <v/>
      </c>
      <c r="Z191" s="92" t="str">
        <f>IF(Model!Z281&lt;&gt;"",Model!Z281,"")</f>
        <v/>
      </c>
      <c r="AA191" s="92" t="str">
        <f>IF(AB191&lt;&gt;"",AB191,"")</f>
        <v/>
      </c>
      <c r="AB191" s="92" t="str">
        <f>IF(Model!AB281&lt;&gt;"",Model!AB281,"")</f>
        <v/>
      </c>
      <c r="AC191" s="92" t="str">
        <f>IF(Model!AC281&lt;&gt;"",Model!AC281,"")</f>
        <v/>
      </c>
      <c r="AD191" s="92" t="str">
        <f>IF(AE191&lt;&gt;"",AE191,"")</f>
        <v/>
      </c>
      <c r="AE191" s="92" t="str">
        <f>IF(Model!AE281&lt;&gt;"",Model!AE281,"")</f>
        <v/>
      </c>
      <c r="AF191" s="92" t="str">
        <f>IF(Model!AF281&lt;&gt;"",Model!AF281,"")</f>
        <v/>
      </c>
      <c r="AG191" s="92" t="str">
        <f>IF(AH191&lt;&gt;"",AH191,"")</f>
        <v/>
      </c>
      <c r="AH191" s="92" t="str">
        <f>IF(Model!AH281&lt;&gt;"",Model!AH281,"")</f>
        <v/>
      </c>
      <c r="AI191" s="92" t="str">
        <f>IF(Model!AI281&lt;&gt;"",Model!AI281,"")</f>
        <v/>
      </c>
      <c r="AJ191" s="92" t="str">
        <f>IF(AK191&lt;&gt;"",AK191,"")</f>
        <v/>
      </c>
      <c r="AK191" s="92" t="str">
        <f>IF(Model!AK281&lt;&gt;"",Model!AK281,"")</f>
        <v/>
      </c>
      <c r="AL191" s="92" t="str">
        <f>IF(Model!AL281&lt;&gt;"",Model!AL281,"")</f>
        <v/>
      </c>
      <c r="AM191" s="92" t="str">
        <f>IF(AN191&lt;&gt;"",AN191,"")</f>
        <v/>
      </c>
      <c r="AN191" s="92" t="str">
        <f>IF(Model!AN281&lt;&gt;"",Model!AN281,"")</f>
        <v/>
      </c>
      <c r="AO191" s="92" t="str">
        <f>IF(Model!AO281&lt;&gt;"",Model!AO281,"")</f>
        <v/>
      </c>
      <c r="AP191" s="92" t="str">
        <f>IF(AQ191&lt;&gt;"",AQ191,"")</f>
        <v/>
      </c>
      <c r="AQ191" s="92" t="str">
        <f>IF(Model!AQ281&lt;&gt;"",Model!AQ281,"")</f>
        <v/>
      </c>
      <c r="AR191" s="92" t="str">
        <f>IF(Model!AR281&lt;&gt;"",Model!AR281,"")</f>
        <v/>
      </c>
      <c r="AS191" s="92" t="str">
        <f>IF(AT191&lt;&gt;"",AT191,"")</f>
        <v/>
      </c>
      <c r="AT191" s="92" t="str">
        <f>IF(Model!AT281&lt;&gt;"",Model!AT281,"")</f>
        <v/>
      </c>
      <c r="AU191" s="92" t="str">
        <f>IF(Model!AU281&lt;&gt;"",Model!AU281,"")</f>
        <v/>
      </c>
      <c r="AV191" s="92" t="str">
        <f>IF(AW191&lt;&gt;"",AW191,"")</f>
        <v/>
      </c>
      <c r="AW191" s="92" t="str">
        <f>IF(Model!AW281&lt;&gt;"",Model!AW281,"")</f>
        <v/>
      </c>
      <c r="AX191" s="92" t="str">
        <f>IF(Model!AX281&lt;&gt;"",Model!AX281,"")</f>
        <v/>
      </c>
      <c r="AY191" s="92" t="str">
        <f>IF(AZ191&lt;&gt;"",AZ191,"")</f>
        <v/>
      </c>
      <c r="AZ191" s="92" t="str">
        <f>IF(Model!AZ281&lt;&gt;"",Model!AZ281,"")</f>
        <v/>
      </c>
      <c r="BA191" s="100"/>
      <c r="BB191" s="92" t="str">
        <f>IF(BC191&lt;&gt;"",BC191,"")</f>
        <v/>
      </c>
      <c r="BC191" s="101"/>
      <c r="BD191" s="101"/>
      <c r="BE191" s="92" t="str">
        <f>IF(BF191&lt;&gt;"",BF191,"")</f>
        <v/>
      </c>
      <c r="BF191" s="101"/>
      <c r="BG191" s="101"/>
      <c r="BH191" s="92" t="str">
        <f>IF(BI191&lt;&gt;"",BI191,"")</f>
        <v/>
      </c>
      <c r="BI191" s="101"/>
      <c r="BJ191" s="101"/>
      <c r="BK191" s="92" t="str">
        <f>IF(BL191&lt;&gt;"",BL191,"")</f>
        <v/>
      </c>
      <c r="BL191" s="101"/>
      <c r="BM191" s="101"/>
      <c r="BN191" s="92" t="str">
        <f>IF(BO191&lt;&gt;"",BO191,"")</f>
        <v/>
      </c>
      <c r="BO191" s="101"/>
      <c r="BP191" s="101"/>
      <c r="BQ191" s="92" t="str">
        <f>IF(BR191&lt;&gt;"",BR191,"")</f>
        <v/>
      </c>
      <c r="BR191" s="101"/>
      <c r="BS191" s="101"/>
      <c r="BT191" s="92" t="str">
        <f>IF(BU191&lt;&gt;"",BU191,"")</f>
        <v/>
      </c>
      <c r="BU191" s="101"/>
      <c r="BV191" s="101"/>
      <c r="BW191" s="92" t="str">
        <f>IF(BX191&lt;&gt;"",BX191,"")</f>
        <v/>
      </c>
      <c r="BX191" s="101"/>
      <c r="BY191" s="101"/>
      <c r="BZ191" s="92" t="str">
        <f>IF(CA191&lt;&gt;"",CA191,"")</f>
        <v/>
      </c>
      <c r="CA191" s="101"/>
      <c r="CB191" s="101"/>
      <c r="CC191" s="92" t="str">
        <f>IF(CD191&lt;&gt;"",CD191,"")</f>
        <v/>
      </c>
      <c r="CD191" s="101"/>
      <c r="CE191" s="101"/>
      <c r="CF191" s="92" t="str">
        <f>IF(CG191&lt;&gt;"",CG191,"")</f>
        <v/>
      </c>
      <c r="CG191" s="101"/>
      <c r="CH191" s="101"/>
      <c r="CI191" s="92" t="str">
        <f>IF(CJ191&lt;&gt;"",CJ191,"")</f>
        <v/>
      </c>
      <c r="CJ191" s="101"/>
      <c r="CK191" s="101"/>
      <c r="CL191" s="92" t="str">
        <f>IF(CM191&lt;&gt;"",CM191,"")</f>
        <v/>
      </c>
      <c r="CM191" s="101"/>
      <c r="CN191" s="101"/>
      <c r="CO191" s="92" t="str">
        <f>IF(CP191&lt;&gt;"",CP191,"")</f>
        <v/>
      </c>
      <c r="CP191" s="101"/>
      <c r="CQ191" s="101"/>
      <c r="CR191" s="92" t="str">
        <f>IF(CS191&lt;&gt;"",CS191,"")</f>
        <v/>
      </c>
      <c r="CS191" s="101"/>
      <c r="CT191" s="101"/>
      <c r="CU191" s="92" t="str">
        <f>IF(CV191&lt;&gt;"",CV191,"")</f>
        <v/>
      </c>
      <c r="CV191" s="101"/>
      <c r="CW191" s="101"/>
      <c r="CX191" s="92" t="str">
        <f>IF(CY191&lt;&gt;"",CY191,"")</f>
        <v/>
      </c>
      <c r="CY191" s="101"/>
      <c r="CZ191" s="101"/>
      <c r="DA191" s="92" t="str">
        <f>IF(DB191&lt;&gt;"",DB191,"")</f>
        <v/>
      </c>
      <c r="DB191" s="101"/>
      <c r="DC191" s="101"/>
      <c r="DD191" s="92" t="str">
        <f>IF(DE191&lt;&gt;"",DE191,"")</f>
        <v/>
      </c>
      <c r="DE191" s="148"/>
      <c r="DF191" s="101"/>
      <c r="DG191" s="92" t="str">
        <f>IF(DH191&lt;&gt;"",DH191,"")</f>
        <v/>
      </c>
      <c r="DH191" s="148"/>
      <c r="DI191" s="101"/>
      <c r="DJ191" s="92" t="str">
        <f>IF(DK191&lt;&gt;"",DK191,"")</f>
        <v/>
      </c>
      <c r="DK191" s="148"/>
      <c r="DL191" s="101"/>
      <c r="DM191" s="92" t="str">
        <f>IF(DN191&lt;&gt;"",DN191,"")</f>
        <v/>
      </c>
      <c r="DN191" s="148"/>
      <c r="DO191" s="101"/>
      <c r="DP191" s="92" t="str">
        <f>IF(DQ191&lt;&gt;"",DQ191,"")</f>
        <v/>
      </c>
      <c r="DQ191" s="148"/>
      <c r="DR191" s="101"/>
      <c r="DS191" s="92" t="str">
        <f>IF(DT191&lt;&gt;"",DT191,"")</f>
        <v/>
      </c>
      <c r="DT191" s="148"/>
      <c r="DU191" s="101"/>
      <c r="DV191" s="92" t="str">
        <f>IF(DW191&lt;&gt;"",DW191,"")</f>
        <v/>
      </c>
      <c r="DW191" s="148"/>
      <c r="DX191" s="101"/>
      <c r="DY191" s="92" t="str">
        <f>IF(DZ191&lt;&gt;"",DZ191,"")</f>
        <v/>
      </c>
      <c r="DZ191" s="148"/>
      <c r="EA191" s="101"/>
      <c r="EB191" s="92" t="str">
        <f>IF(EC191&lt;&gt;"",EC191,"")</f>
        <v/>
      </c>
      <c r="EC191" s="148"/>
      <c r="ED191" s="101"/>
      <c r="EE191" s="92" t="str">
        <f>IF(EF191&lt;&gt;"",EF191,"")</f>
        <v/>
      </c>
      <c r="EF191" s="148"/>
      <c r="EG191" s="101"/>
      <c r="EH191" s="92" t="str">
        <f>IF(EI191&lt;&gt;"",EI191,"")</f>
        <v/>
      </c>
      <c r="EI191" s="148"/>
      <c r="EJ191" s="101"/>
      <c r="EK191" s="92" t="str">
        <f>IF(EL191&lt;&gt;"",EL191,"")</f>
        <v/>
      </c>
      <c r="EL191" s="148"/>
      <c r="EM191" s="101"/>
      <c r="EN191" s="92" t="str">
        <f>IF(EO191&lt;&gt;"",EO191,"")</f>
        <v/>
      </c>
      <c r="EO191" s="148"/>
      <c r="EP191" s="101"/>
      <c r="EQ191" s="92" t="str">
        <f>IF(ER191&lt;&gt;"",ER191,"")</f>
        <v/>
      </c>
      <c r="ER191" s="148"/>
      <c r="ES191" s="101"/>
      <c r="ET191" s="92" t="str">
        <f>IF(EU191&lt;&gt;"",EU191,"")</f>
        <v/>
      </c>
      <c r="EU191" s="148"/>
      <c r="EV191" s="101"/>
      <c r="EW191" s="92" t="str">
        <f>IF(EX191&lt;&gt;"",EX191,"")</f>
        <v/>
      </c>
      <c r="EX191" s="148"/>
      <c r="EY191" s="101"/>
      <c r="EZ191" s="92" t="str">
        <f>IF(FA191&lt;&gt;"",FA191,"")</f>
        <v/>
      </c>
      <c r="FA191" s="148"/>
    </row>
    <row r="192" spans="1:157" ht="13.35" customHeight="1">
      <c r="A192" s="3"/>
      <c r="B192" s="4" t="s">
        <v>701</v>
      </c>
      <c r="C192" s="4"/>
      <c r="D192" s="3"/>
      <c r="E192" s="92" t="str">
        <f>IF(Model!E282&lt;&gt;"",Model!E282,"")</f>
        <v/>
      </c>
      <c r="F192" s="92" t="str">
        <f>IF(G192&lt;&gt;"",G192,"")</f>
        <v/>
      </c>
      <c r="G192" s="92" t="str">
        <f>IF(Model!G282&lt;&gt;"",Model!G282,"")</f>
        <v/>
      </c>
      <c r="H192" s="92" t="str">
        <f>IF(Model!H282&lt;&gt;"",Model!H282,"")</f>
        <v/>
      </c>
      <c r="I192" s="92" t="str">
        <f>IF(J192&lt;&gt;"",J192,"")</f>
        <v/>
      </c>
      <c r="J192" s="92" t="str">
        <f>IF(Model!J282&lt;&gt;"",Model!J282,"")</f>
        <v/>
      </c>
      <c r="K192" s="92" t="str">
        <f>IF(Model!K282&lt;&gt;"",Model!K282,"")</f>
        <v/>
      </c>
      <c r="L192" s="92" t="str">
        <f>IF(M192&lt;&gt;"",M192,"")</f>
        <v/>
      </c>
      <c r="M192" s="92" t="str">
        <f>IF(Model!M282&lt;&gt;"",Model!M282,"")</f>
        <v/>
      </c>
      <c r="N192" s="92" t="str">
        <f>IF(Model!N282&lt;&gt;"",Model!N282,"")</f>
        <v/>
      </c>
      <c r="O192" s="92" t="str">
        <f>IF(P192&lt;&gt;"",P192,"")</f>
        <v/>
      </c>
      <c r="P192" s="92" t="str">
        <f>IF(Model!P282&lt;&gt;"",Model!P282,"")</f>
        <v/>
      </c>
      <c r="Q192" s="92" t="str">
        <f>IF(Model!Q282&lt;&gt;"",Model!Q282,"")</f>
        <v/>
      </c>
      <c r="R192" s="92" t="str">
        <f>IF(S192&lt;&gt;"",S192,"")</f>
        <v/>
      </c>
      <c r="S192" s="92" t="str">
        <f>IF(Model!S282&lt;&gt;"",Model!S282,"")</f>
        <v/>
      </c>
      <c r="T192" s="92" t="str">
        <f>IF(Model!T282&lt;&gt;"",Model!T282,"")</f>
        <v/>
      </c>
      <c r="U192" s="92" t="str">
        <f>IF(V192&lt;&gt;"",V192,"")</f>
        <v/>
      </c>
      <c r="V192" s="92" t="str">
        <f>IF(Model!V282&lt;&gt;"",Model!V282,"")</f>
        <v/>
      </c>
      <c r="W192" s="92" t="str">
        <f>IF(Model!W282&lt;&gt;"",Model!W282,"")</f>
        <v/>
      </c>
      <c r="X192" s="92" t="str">
        <f>IF(Y192&lt;&gt;"",Y192,"")</f>
        <v/>
      </c>
      <c r="Y192" s="92" t="str">
        <f>IF(Model!Y282&lt;&gt;"",Model!Y282,"")</f>
        <v/>
      </c>
      <c r="Z192" s="92" t="str">
        <f>IF(Model!Z282&lt;&gt;"",Model!Z282,"")</f>
        <v/>
      </c>
      <c r="AA192" s="92" t="str">
        <f>IF(AB192&lt;&gt;"",AB192,"")</f>
        <v/>
      </c>
      <c r="AB192" s="92" t="str">
        <f>IF(Model!AB282&lt;&gt;"",Model!AB282,"")</f>
        <v/>
      </c>
      <c r="AC192" s="92" t="str">
        <f>IF(Model!AC282&lt;&gt;"",Model!AC282,"")</f>
        <v/>
      </c>
      <c r="AD192" s="92" t="str">
        <f>IF(AE192&lt;&gt;"",AE192,"")</f>
        <v/>
      </c>
      <c r="AE192" s="92" t="str">
        <f>IF(Model!AE282&lt;&gt;"",Model!AE282,"")</f>
        <v/>
      </c>
      <c r="AF192" s="92" t="str">
        <f>IF(Model!AF282&lt;&gt;"",Model!AF282,"")</f>
        <v/>
      </c>
      <c r="AG192" s="92" t="str">
        <f>IF(AH192&lt;&gt;"",AH192,"")</f>
        <v/>
      </c>
      <c r="AH192" s="92" t="str">
        <f>IF(Model!AH282&lt;&gt;"",Model!AH282,"")</f>
        <v/>
      </c>
      <c r="AI192" s="92" t="str">
        <f>IF(Model!AI282&lt;&gt;"",Model!AI282,"")</f>
        <v/>
      </c>
      <c r="AJ192" s="92" t="str">
        <f>IF(AK192&lt;&gt;"",AK192,"")</f>
        <v/>
      </c>
      <c r="AK192" s="92" t="str">
        <f>IF(Model!AK282&lt;&gt;"",Model!AK282,"")</f>
        <v/>
      </c>
      <c r="AL192" s="92" t="str">
        <f>IF(Model!AL282&lt;&gt;"",Model!AL282,"")</f>
        <v/>
      </c>
      <c r="AM192" s="92" t="str">
        <f>IF(AN192&lt;&gt;"",AN192,"")</f>
        <v/>
      </c>
      <c r="AN192" s="92" t="str">
        <f>IF(Model!AN282&lt;&gt;"",Model!AN282,"")</f>
        <v/>
      </c>
      <c r="AO192" s="92" t="str">
        <f>IF(Model!AO282&lt;&gt;"",Model!AO282,"")</f>
        <v/>
      </c>
      <c r="AP192" s="92" t="str">
        <f>IF(AQ192&lt;&gt;"",AQ192,"")</f>
        <v/>
      </c>
      <c r="AQ192" s="92" t="str">
        <f>IF(Model!AQ282&lt;&gt;"",Model!AQ282,"")</f>
        <v/>
      </c>
      <c r="AR192" s="92" t="str">
        <f>IF(Model!AR282&lt;&gt;"",Model!AR282,"")</f>
        <v/>
      </c>
      <c r="AS192" s="92" t="str">
        <f>IF(AT192&lt;&gt;"",AT192,"")</f>
        <v/>
      </c>
      <c r="AT192" s="92" t="str">
        <f>IF(Model!AT282&lt;&gt;"",Model!AT282,"")</f>
        <v/>
      </c>
      <c r="AU192" s="92" t="str">
        <f>IF(Model!AU282&lt;&gt;"",Model!AU282,"")</f>
        <v/>
      </c>
      <c r="AV192" s="92" t="str">
        <f>IF(AW192&lt;&gt;"",AW192,"")</f>
        <v/>
      </c>
      <c r="AW192" s="92" t="str">
        <f>IF(Model!AW282&lt;&gt;"",Model!AW282,"")</f>
        <v/>
      </c>
      <c r="AX192" s="92" t="str">
        <f>IF(Model!AX282&lt;&gt;"",Model!AX282,"")</f>
        <v/>
      </c>
      <c r="AY192" s="92" t="str">
        <f>IF(AZ192&lt;&gt;"",AZ192,"")</f>
        <v/>
      </c>
      <c r="AZ192" s="92" t="str">
        <f>IF(Model!AZ282&lt;&gt;"",Model!AZ282,"")</f>
        <v/>
      </c>
      <c r="BA192" s="100"/>
      <c r="BB192" s="92" t="str">
        <f>IF(BC192&lt;&gt;"",BC192,"")</f>
        <v/>
      </c>
      <c r="BC192" s="101"/>
      <c r="BD192" s="101"/>
      <c r="BE192" s="92" t="str">
        <f>IF(BF192&lt;&gt;"",BF192,"")</f>
        <v/>
      </c>
      <c r="BF192" s="101"/>
      <c r="BG192" s="101"/>
      <c r="BH192" s="92" t="str">
        <f>IF(BI192&lt;&gt;"",BI192,"")</f>
        <v/>
      </c>
      <c r="BI192" s="101"/>
      <c r="BJ192" s="101"/>
      <c r="BK192" s="92" t="str">
        <f>IF(BL192&lt;&gt;"",BL192,"")</f>
        <v/>
      </c>
      <c r="BL192" s="101"/>
      <c r="BM192" s="101"/>
      <c r="BN192" s="92" t="str">
        <f>IF(BO192&lt;&gt;"",BO192,"")</f>
        <v/>
      </c>
      <c r="BO192" s="101"/>
      <c r="BP192" s="101"/>
      <c r="BQ192" s="92" t="str">
        <f>IF(BR192&lt;&gt;"",BR192,"")</f>
        <v/>
      </c>
      <c r="BR192" s="101"/>
      <c r="BS192" s="101"/>
      <c r="BT192" s="92" t="str">
        <f>IF(BU192&lt;&gt;"",BU192,"")</f>
        <v/>
      </c>
      <c r="BU192" s="101"/>
      <c r="BV192" s="101"/>
      <c r="BW192" s="92" t="str">
        <f>IF(BX192&lt;&gt;"",BX192,"")</f>
        <v/>
      </c>
      <c r="BX192" s="101"/>
      <c r="BY192" s="101"/>
      <c r="BZ192" s="92" t="str">
        <f>IF(CA192&lt;&gt;"",CA192,"")</f>
        <v/>
      </c>
      <c r="CA192" s="101"/>
      <c r="CB192" s="101"/>
      <c r="CC192" s="92" t="str">
        <f>IF(CD192&lt;&gt;"",CD192,"")</f>
        <v/>
      </c>
      <c r="CD192" s="101"/>
      <c r="CE192" s="101"/>
      <c r="CF192" s="92" t="str">
        <f>IF(CG192&lt;&gt;"",CG192,"")</f>
        <v/>
      </c>
      <c r="CG192" s="101"/>
      <c r="CH192" s="101"/>
      <c r="CI192" s="92" t="str">
        <f>IF(CJ192&lt;&gt;"",CJ192,"")</f>
        <v/>
      </c>
      <c r="CJ192" s="101"/>
      <c r="CK192" s="101"/>
      <c r="CL192" s="92" t="str">
        <f>IF(CM192&lt;&gt;"",CM192,"")</f>
        <v/>
      </c>
      <c r="CM192" s="101"/>
      <c r="CN192" s="101"/>
      <c r="CO192" s="92" t="str">
        <f>IF(CP192&lt;&gt;"",CP192,"")</f>
        <v/>
      </c>
      <c r="CP192" s="101"/>
      <c r="CQ192" s="101"/>
      <c r="CR192" s="92" t="str">
        <f>IF(CS192&lt;&gt;"",CS192,"")</f>
        <v/>
      </c>
      <c r="CS192" s="101"/>
      <c r="CT192" s="101"/>
      <c r="CU192" s="92" t="str">
        <f>IF(CV192&lt;&gt;"",CV192,"")</f>
        <v/>
      </c>
      <c r="CV192" s="101"/>
      <c r="CW192" s="101"/>
      <c r="CX192" s="92" t="str">
        <f>IF(CY192&lt;&gt;"",CY192,"")</f>
        <v/>
      </c>
      <c r="CY192" s="101"/>
      <c r="CZ192" s="101"/>
      <c r="DA192" s="92" t="str">
        <f>IF(DB192&lt;&gt;"",DB192,"")</f>
        <v/>
      </c>
      <c r="DB192" s="101"/>
      <c r="DC192" s="101"/>
      <c r="DD192" s="92" t="str">
        <f>IF(DE192&lt;&gt;"",DE192,"")</f>
        <v/>
      </c>
      <c r="DE192" s="148"/>
      <c r="DF192" s="101"/>
      <c r="DG192" s="92" t="str">
        <f>IF(DH192&lt;&gt;"",DH192,"")</f>
        <v/>
      </c>
      <c r="DH192" s="148"/>
      <c r="DI192" s="101"/>
      <c r="DJ192" s="92" t="str">
        <f>IF(DK192&lt;&gt;"",DK192,"")</f>
        <v/>
      </c>
      <c r="DK192" s="148"/>
      <c r="DL192" s="101"/>
      <c r="DM192" s="92" t="str">
        <f>IF(DN192&lt;&gt;"",DN192,"")</f>
        <v/>
      </c>
      <c r="DN192" s="148"/>
      <c r="DO192" s="101"/>
      <c r="DP192" s="92" t="str">
        <f>IF(DQ192&lt;&gt;"",DQ192,"")</f>
        <v/>
      </c>
      <c r="DQ192" s="148"/>
      <c r="DR192" s="101"/>
      <c r="DS192" s="92" t="str">
        <f>IF(DT192&lt;&gt;"",DT192,"")</f>
        <v/>
      </c>
      <c r="DT192" s="148"/>
      <c r="DU192" s="101"/>
      <c r="DV192" s="92" t="str">
        <f>IF(DW192&lt;&gt;"",DW192,"")</f>
        <v/>
      </c>
      <c r="DW192" s="148"/>
      <c r="DX192" s="101"/>
      <c r="DY192" s="92" t="str">
        <f>IF(DZ192&lt;&gt;"",DZ192,"")</f>
        <v/>
      </c>
      <c r="DZ192" s="148"/>
      <c r="EA192" s="101"/>
      <c r="EB192" s="92" t="str">
        <f>IF(EC192&lt;&gt;"",EC192,"")</f>
        <v/>
      </c>
      <c r="EC192" s="148"/>
      <c r="ED192" s="101"/>
      <c r="EE192" s="92" t="str">
        <f>IF(EF192&lt;&gt;"",EF192,"")</f>
        <v/>
      </c>
      <c r="EF192" s="148"/>
      <c r="EG192" s="101"/>
      <c r="EH192" s="92" t="str">
        <f>IF(EI192&lt;&gt;"",EI192,"")</f>
        <v/>
      </c>
      <c r="EI192" s="148"/>
      <c r="EJ192" s="101"/>
      <c r="EK192" s="92" t="str">
        <f>IF(EL192&lt;&gt;"",EL192,"")</f>
        <v/>
      </c>
      <c r="EL192" s="148"/>
      <c r="EM192" s="101"/>
      <c r="EN192" s="92" t="str">
        <f>IF(EO192&lt;&gt;"",EO192,"")</f>
        <v/>
      </c>
      <c r="EO192" s="148"/>
      <c r="EP192" s="101"/>
      <c r="EQ192" s="92" t="str">
        <f>IF(ER192&lt;&gt;"",ER192,"")</f>
        <v/>
      </c>
      <c r="ER192" s="148"/>
      <c r="ES192" s="101"/>
      <c r="ET192" s="92" t="str">
        <f>IF(EU192&lt;&gt;"",EU192,"")</f>
        <v/>
      </c>
      <c r="EU192" s="148"/>
      <c r="EV192" s="101"/>
      <c r="EW192" s="92" t="str">
        <f>IF(EX192&lt;&gt;"",EX192,"")</f>
        <v/>
      </c>
      <c r="EX192" s="148"/>
      <c r="EY192" s="101"/>
      <c r="EZ192" s="92" t="str">
        <f>IF(FA192&lt;&gt;"",FA192,"")</f>
        <v/>
      </c>
      <c r="FA192" s="148"/>
    </row>
    <row r="193" spans="1:157" ht="13.35" customHeight="1">
      <c r="A193" s="3"/>
      <c r="B193" s="4" t="s">
        <v>254</v>
      </c>
      <c r="C193" s="4"/>
      <c r="D193" s="4"/>
      <c r="E193" s="92" t="str">
        <f>IF(Model!E285&lt;&gt;"",Model!E285,"")</f>
        <v/>
      </c>
      <c r="F193" s="92" t="str">
        <f>IF(G193&lt;&gt;"",G193,"")</f>
        <v/>
      </c>
      <c r="G193" s="92" t="str">
        <f>IF(Model!G285&lt;&gt;"",Model!G285,"")</f>
        <v/>
      </c>
      <c r="H193" s="92" t="str">
        <f>IF(Model!H285&lt;&gt;"",Model!H285,"")</f>
        <v/>
      </c>
      <c r="I193" s="92" t="str">
        <f>IF(J193&lt;&gt;"",J193,"")</f>
        <v/>
      </c>
      <c r="J193" s="92" t="str">
        <f>IF(Model!J285&lt;&gt;"",Model!J285,"")</f>
        <v/>
      </c>
      <c r="K193" s="92" t="str">
        <f>IF(Model!K285&lt;&gt;"",Model!K285,"")</f>
        <v/>
      </c>
      <c r="L193" s="92" t="str">
        <f>IF(M193&lt;&gt;"",M193,"")</f>
        <v/>
      </c>
      <c r="M193" s="92" t="str">
        <f>IF(Model!M285&lt;&gt;"",Model!M285,"")</f>
        <v/>
      </c>
      <c r="N193" s="92" t="str">
        <f>IF(Model!N285&lt;&gt;"",Model!N285,"")</f>
        <v/>
      </c>
      <c r="O193" s="92" t="str">
        <f>IF(P193&lt;&gt;"",P193,"")</f>
        <v/>
      </c>
      <c r="P193" s="92" t="str">
        <f>IF(Model!P285&lt;&gt;"",Model!P285,"")</f>
        <v/>
      </c>
      <c r="Q193" s="92" t="str">
        <f>IF(Model!Q285&lt;&gt;"",Model!Q285,"")</f>
        <v/>
      </c>
      <c r="R193" s="92" t="str">
        <f>IF(S193&lt;&gt;"",S193,"")</f>
        <v/>
      </c>
      <c r="S193" s="92" t="str">
        <f>IF(Model!S285&lt;&gt;"",Model!S285,"")</f>
        <v/>
      </c>
      <c r="T193" s="92" t="str">
        <f>IF(Model!T285&lt;&gt;"",Model!T285,"")</f>
        <v/>
      </c>
      <c r="U193" s="92" t="str">
        <f>IF(V193&lt;&gt;"",V193,"")</f>
        <v/>
      </c>
      <c r="V193" s="92" t="str">
        <f>IF(Model!V285&lt;&gt;"",Model!V285,"")</f>
        <v/>
      </c>
      <c r="W193" s="92" t="str">
        <f>IF(Model!W285&lt;&gt;"",Model!W285,"")</f>
        <v/>
      </c>
      <c r="X193" s="92" t="str">
        <f>IF(Y193&lt;&gt;"",Y193,"")</f>
        <v/>
      </c>
      <c r="Y193" s="92" t="str">
        <f>IF(Model!Y285&lt;&gt;"",Model!Y285,"")</f>
        <v/>
      </c>
      <c r="Z193" s="92" t="str">
        <f>IF(Model!Z285&lt;&gt;"",Model!Z285,"")</f>
        <v/>
      </c>
      <c r="AA193" s="92" t="str">
        <f>IF(AB193&lt;&gt;"",AB193,"")</f>
        <v/>
      </c>
      <c r="AB193" s="92" t="str">
        <f>IF(Model!AB285&lt;&gt;"",Model!AB285,"")</f>
        <v/>
      </c>
      <c r="AC193" s="92" t="str">
        <f>IF(Model!AC285&lt;&gt;"",Model!AC285,"")</f>
        <v/>
      </c>
      <c r="AD193" s="92" t="str">
        <f>IF(AE193&lt;&gt;"",AE193,"")</f>
        <v/>
      </c>
      <c r="AE193" s="92" t="str">
        <f>IF(Model!AE285&lt;&gt;"",Model!AE285,"")</f>
        <v/>
      </c>
      <c r="AF193" s="92" t="str">
        <f>IF(Model!AF285&lt;&gt;"",Model!AF285,"")</f>
        <v/>
      </c>
      <c r="AG193" s="92" t="str">
        <f>IF(AH193&lt;&gt;"",AH193,"")</f>
        <v/>
      </c>
      <c r="AH193" s="92" t="str">
        <f>IF(Model!AH285&lt;&gt;"",Model!AH285,"")</f>
        <v/>
      </c>
      <c r="AI193" s="92" t="str">
        <f>IF(Model!AI285&lt;&gt;"",Model!AI285,"")</f>
        <v/>
      </c>
      <c r="AJ193" s="92" t="str">
        <f>IF(AK193&lt;&gt;"",AK193,"")</f>
        <v/>
      </c>
      <c r="AK193" s="92" t="str">
        <f>IF(Model!AK285&lt;&gt;"",Model!AK285,"")</f>
        <v/>
      </c>
      <c r="AL193" s="92" t="str">
        <f>IF(Model!AL285&lt;&gt;"",Model!AL285,"")</f>
        <v/>
      </c>
      <c r="AM193" s="92" t="str">
        <f>IF(AN193&lt;&gt;"",AN193,"")</f>
        <v/>
      </c>
      <c r="AN193" s="92" t="str">
        <f>IF(Model!AN285&lt;&gt;"",Model!AN285,"")</f>
        <v/>
      </c>
      <c r="AO193" s="92" t="str">
        <f>IF(Model!AO285&lt;&gt;"",Model!AO285,"")</f>
        <v/>
      </c>
      <c r="AP193" s="92" t="str">
        <f>IF(AQ193&lt;&gt;"",AQ193,"")</f>
        <v/>
      </c>
      <c r="AQ193" s="92" t="str">
        <f>IF(Model!AQ285&lt;&gt;"",Model!AQ285,"")</f>
        <v/>
      </c>
      <c r="AR193" s="92" t="str">
        <f>IF(Model!AR285&lt;&gt;"",Model!AR285,"")</f>
        <v/>
      </c>
      <c r="AS193" s="92" t="str">
        <f>IF(AT193&lt;&gt;"",AT193,"")</f>
        <v/>
      </c>
      <c r="AT193" s="92" t="str">
        <f>IF(Model!AT285&lt;&gt;"",Model!AT285,"")</f>
        <v/>
      </c>
      <c r="AU193" s="92" t="str">
        <f>IF(Model!AU285&lt;&gt;"",Model!AU285,"")</f>
        <v/>
      </c>
      <c r="AV193" s="92" t="str">
        <f>IF(AW193&lt;&gt;"",AW193,"")</f>
        <v/>
      </c>
      <c r="AW193" s="92" t="str">
        <f>IF(Model!AW285&lt;&gt;"",Model!AW285,"")</f>
        <v/>
      </c>
      <c r="AX193" s="92" t="str">
        <f>IF(Model!AX285&lt;&gt;"",Model!AX285,"")</f>
        <v/>
      </c>
      <c r="AY193" s="92" t="str">
        <f>IF(AZ193&lt;&gt;"",AZ193,"")</f>
        <v/>
      </c>
      <c r="AZ193" s="92" t="str">
        <f>IF(Model!AZ285&lt;&gt;"",Model!AZ285,"")</f>
        <v/>
      </c>
      <c r="BA193" s="100"/>
      <c r="BB193" s="92" t="str">
        <f>IF(BC193&lt;&gt;"",BC193,"")</f>
        <v/>
      </c>
      <c r="BC193" s="101"/>
      <c r="BD193" s="101"/>
      <c r="BE193" s="92" t="str">
        <f>IF(BF193&lt;&gt;"",BF193,"")</f>
        <v/>
      </c>
      <c r="BF193" s="101"/>
      <c r="BG193" s="101"/>
      <c r="BH193" s="92" t="str">
        <f>IF(BI193&lt;&gt;"",BI193,"")</f>
        <v/>
      </c>
      <c r="BI193" s="101"/>
      <c r="BJ193" s="101"/>
      <c r="BK193" s="92" t="str">
        <f>IF(BL193&lt;&gt;"",BL193,"")</f>
        <v/>
      </c>
      <c r="BL193" s="101"/>
      <c r="BM193" s="101"/>
      <c r="BN193" s="92" t="str">
        <f>IF(BO193&lt;&gt;"",BO193,"")</f>
        <v/>
      </c>
      <c r="BO193" s="101"/>
      <c r="BP193" s="101"/>
      <c r="BQ193" s="92" t="str">
        <f>IF(BR193&lt;&gt;"",BR193,"")</f>
        <v/>
      </c>
      <c r="BR193" s="101"/>
      <c r="BS193" s="101"/>
      <c r="BT193" s="92" t="str">
        <f>IF(BU193&lt;&gt;"",BU193,"")</f>
        <v/>
      </c>
      <c r="BU193" s="101"/>
      <c r="BV193" s="101"/>
      <c r="BW193" s="92" t="str">
        <f>IF(BX193&lt;&gt;"",BX193,"")</f>
        <v/>
      </c>
      <c r="BX193" s="101"/>
      <c r="BY193" s="101"/>
      <c r="BZ193" s="92" t="str">
        <f>IF(CA193&lt;&gt;"",CA193,"")</f>
        <v/>
      </c>
      <c r="CA193" s="101"/>
      <c r="CB193" s="101"/>
      <c r="CC193" s="92" t="str">
        <f>IF(CD193&lt;&gt;"",CD193,"")</f>
        <v/>
      </c>
      <c r="CD193" s="101"/>
      <c r="CE193" s="101"/>
      <c r="CF193" s="92" t="str">
        <f>IF(CG193&lt;&gt;"",CG193,"")</f>
        <v/>
      </c>
      <c r="CG193" s="101"/>
      <c r="CH193" s="101"/>
      <c r="CI193" s="92" t="str">
        <f>IF(CJ193&lt;&gt;"",CJ193,"")</f>
        <v/>
      </c>
      <c r="CJ193" s="101"/>
      <c r="CK193" s="101"/>
      <c r="CL193" s="92" t="str">
        <f>IF(CM193&lt;&gt;"",CM193,"")</f>
        <v/>
      </c>
      <c r="CM193" s="101"/>
      <c r="CN193" s="101"/>
      <c r="CO193" s="92" t="str">
        <f>IF(CP193&lt;&gt;"",CP193,"")</f>
        <v/>
      </c>
      <c r="CP193" s="101"/>
      <c r="CQ193" s="101"/>
      <c r="CR193" s="92" t="str">
        <f>IF(CS193&lt;&gt;"",CS193,"")</f>
        <v/>
      </c>
      <c r="CS193" s="101"/>
      <c r="CT193" s="101"/>
      <c r="CU193" s="92" t="str">
        <f>IF(CV193&lt;&gt;"",CV193,"")</f>
        <v/>
      </c>
      <c r="CV193" s="101"/>
      <c r="CW193" s="101"/>
      <c r="CX193" s="92" t="str">
        <f>IF(CY193&lt;&gt;"",CY193,"")</f>
        <v/>
      </c>
      <c r="CY193" s="101"/>
      <c r="CZ193" s="101"/>
      <c r="DA193" s="92" t="str">
        <f>IF(DB193&lt;&gt;"",DB193,"")</f>
        <v/>
      </c>
      <c r="DB193" s="101"/>
      <c r="DC193" s="101"/>
      <c r="DD193" s="92" t="str">
        <f>IF(DE193&lt;&gt;"",DE193,"")</f>
        <v/>
      </c>
      <c r="DE193" s="148"/>
      <c r="DF193" s="101"/>
      <c r="DG193" s="92" t="str">
        <f>IF(DH193&lt;&gt;"",DH193,"")</f>
        <v/>
      </c>
      <c r="DH193" s="148"/>
      <c r="DI193" s="101"/>
      <c r="DJ193" s="92" t="str">
        <f>IF(DK193&lt;&gt;"",DK193,"")</f>
        <v/>
      </c>
      <c r="DK193" s="148"/>
      <c r="DL193" s="101"/>
      <c r="DM193" s="92" t="str">
        <f>IF(DN193&lt;&gt;"",DN193,"")</f>
        <v/>
      </c>
      <c r="DN193" s="148"/>
      <c r="DO193" s="101"/>
      <c r="DP193" s="92" t="str">
        <f>IF(DQ193&lt;&gt;"",DQ193,"")</f>
        <v/>
      </c>
      <c r="DQ193" s="148"/>
      <c r="DR193" s="101"/>
      <c r="DS193" s="92" t="str">
        <f>IF(DT193&lt;&gt;"",DT193,"")</f>
        <v/>
      </c>
      <c r="DT193" s="148"/>
      <c r="DU193" s="101"/>
      <c r="DV193" s="92" t="str">
        <f>IF(DW193&lt;&gt;"",DW193,"")</f>
        <v/>
      </c>
      <c r="DW193" s="148"/>
      <c r="DX193" s="101"/>
      <c r="DY193" s="92" t="str">
        <f>IF(DZ193&lt;&gt;"",DZ193,"")</f>
        <v/>
      </c>
      <c r="DZ193" s="148"/>
      <c r="EA193" s="101"/>
      <c r="EB193" s="92" t="str">
        <f>IF(EC193&lt;&gt;"",EC193,"")</f>
        <v/>
      </c>
      <c r="EC193" s="148"/>
      <c r="ED193" s="101"/>
      <c r="EE193" s="92" t="str">
        <f>IF(EF193&lt;&gt;"",EF193,"")</f>
        <v/>
      </c>
      <c r="EF193" s="148"/>
      <c r="EG193" s="101"/>
      <c r="EH193" s="92" t="str">
        <f>IF(EI193&lt;&gt;"",EI193,"")</f>
        <v/>
      </c>
      <c r="EI193" s="148"/>
      <c r="EJ193" s="101"/>
      <c r="EK193" s="92" t="str">
        <f>IF(EL193&lt;&gt;"",EL193,"")</f>
        <v/>
      </c>
      <c r="EL193" s="148"/>
      <c r="EM193" s="101"/>
      <c r="EN193" s="92" t="str">
        <f>IF(EO193&lt;&gt;"",EO193,"")</f>
        <v/>
      </c>
      <c r="EO193" s="148"/>
      <c r="EP193" s="101"/>
      <c r="EQ193" s="92" t="str">
        <f>IF(ER193&lt;&gt;"",ER193,"")</f>
        <v/>
      </c>
      <c r="ER193" s="148"/>
      <c r="ES193" s="101"/>
      <c r="ET193" s="92" t="str">
        <f>IF(EU193&lt;&gt;"",EU193,"")</f>
        <v/>
      </c>
      <c r="EU193" s="148"/>
      <c r="EV193" s="101"/>
      <c r="EW193" s="92" t="str">
        <f>IF(EX193&lt;&gt;"",EX193,"")</f>
        <v/>
      </c>
      <c r="EX193" s="148"/>
      <c r="EY193" s="101"/>
      <c r="EZ193" s="92" t="str">
        <f>IF(FA193&lt;&gt;"",FA193,"")</f>
        <v/>
      </c>
      <c r="FA193" s="148"/>
    </row>
    <row r="194" spans="1:157" ht="13.35" customHeight="1">
      <c r="A194" s="3"/>
      <c r="B194" s="4" t="s">
        <v>255</v>
      </c>
      <c r="C194" s="4"/>
      <c r="D194" s="3"/>
      <c r="E194" s="92" t="str">
        <f>IF(Model!E298&lt;&gt;"",Model!E298,"")</f>
        <v/>
      </c>
      <c r="F194" s="92" t="str">
        <f>IF(G194&lt;&gt;"",G194,"")</f>
        <v/>
      </c>
      <c r="G194" s="92" t="str">
        <f>IF(Model!G298&lt;&gt;"",Model!G298,"")</f>
        <v/>
      </c>
      <c r="H194" s="92" t="str">
        <f>IF(Model!H298&lt;&gt;"",Model!H298,"")</f>
        <v/>
      </c>
      <c r="I194" s="92" t="str">
        <f>IF(J194&lt;&gt;"",J194,"")</f>
        <v/>
      </c>
      <c r="J194" s="92" t="str">
        <f>IF(Model!J298&lt;&gt;"",Model!J298,"")</f>
        <v/>
      </c>
      <c r="K194" s="92" t="str">
        <f>IF(Model!K298&lt;&gt;"",Model!K298,"")</f>
        <v/>
      </c>
      <c r="L194" s="92" t="str">
        <f>IF(M194&lt;&gt;"",M194,"")</f>
        <v/>
      </c>
      <c r="M194" s="92" t="str">
        <f>IF(Model!M298&lt;&gt;"",Model!M298,"")</f>
        <v/>
      </c>
      <c r="N194" s="92" t="str">
        <f>IF(Model!N298&lt;&gt;"",Model!N298,"")</f>
        <v/>
      </c>
      <c r="O194" s="92" t="str">
        <f>IF(P194&lt;&gt;"",P194,"")</f>
        <v/>
      </c>
      <c r="P194" s="92" t="str">
        <f>IF(Model!P298&lt;&gt;"",Model!P298,"")</f>
        <v/>
      </c>
      <c r="Q194" s="92" t="str">
        <f>IF(Model!Q298&lt;&gt;"",Model!Q298,"")</f>
        <v/>
      </c>
      <c r="R194" s="92" t="str">
        <f>IF(S194&lt;&gt;"",S194,"")</f>
        <v/>
      </c>
      <c r="S194" s="92" t="str">
        <f>IF(Model!S298&lt;&gt;"",Model!S298,"")</f>
        <v/>
      </c>
      <c r="T194" s="92" t="str">
        <f>IF(Model!T298&lt;&gt;"",Model!T298,"")</f>
        <v/>
      </c>
      <c r="U194" s="92" t="str">
        <f>IF(V194&lt;&gt;"",V194,"")</f>
        <v/>
      </c>
      <c r="V194" s="92" t="str">
        <f>IF(Model!V298&lt;&gt;"",Model!V298,"")</f>
        <v/>
      </c>
      <c r="W194" s="92" t="str">
        <f>IF(Model!W298&lt;&gt;"",Model!W298,"")</f>
        <v/>
      </c>
      <c r="X194" s="92" t="str">
        <f>IF(Y194&lt;&gt;"",Y194,"")</f>
        <v/>
      </c>
      <c r="Y194" s="92" t="str">
        <f>IF(Model!Y298&lt;&gt;"",Model!Y298,"")</f>
        <v/>
      </c>
      <c r="Z194" s="92" t="str">
        <f>IF(Model!Z298&lt;&gt;"",Model!Z298,"")</f>
        <v/>
      </c>
      <c r="AA194" s="92" t="str">
        <f>IF(AB194&lt;&gt;"",AB194,"")</f>
        <v/>
      </c>
      <c r="AB194" s="92" t="str">
        <f>IF(Model!AB298&lt;&gt;"",Model!AB298,"")</f>
        <v/>
      </c>
      <c r="AC194" s="92" t="str">
        <f>IF(Model!AC298&lt;&gt;"",Model!AC298,"")</f>
        <v/>
      </c>
      <c r="AD194" s="92" t="str">
        <f>IF(AE194&lt;&gt;"",AE194,"")</f>
        <v/>
      </c>
      <c r="AE194" s="92" t="str">
        <f>IF(Model!AE298&lt;&gt;"",Model!AE298,"")</f>
        <v/>
      </c>
      <c r="AF194" s="92" t="str">
        <f>IF(Model!AF298&lt;&gt;"",Model!AF298,"")</f>
        <v/>
      </c>
      <c r="AG194" s="92" t="str">
        <f>IF(AH194&lt;&gt;"",AH194,"")</f>
        <v/>
      </c>
      <c r="AH194" s="92" t="str">
        <f>IF(Model!AH298&lt;&gt;"",Model!AH298,"")</f>
        <v/>
      </c>
      <c r="AI194" s="92" t="str">
        <f>IF(Model!AI298&lt;&gt;"",Model!AI298,"")</f>
        <v/>
      </c>
      <c r="AJ194" s="92" t="str">
        <f>IF(AK194&lt;&gt;"",AK194,"")</f>
        <v/>
      </c>
      <c r="AK194" s="92" t="str">
        <f>IF(Model!AK298&lt;&gt;"",Model!AK298,"")</f>
        <v/>
      </c>
      <c r="AL194" s="92" t="str">
        <f>IF(Model!AL298&lt;&gt;"",Model!AL298,"")</f>
        <v/>
      </c>
      <c r="AM194" s="92" t="str">
        <f>IF(AN194&lt;&gt;"",AN194,"")</f>
        <v/>
      </c>
      <c r="AN194" s="92" t="str">
        <f>IF(Model!AN298&lt;&gt;"",Model!AN298,"")</f>
        <v/>
      </c>
      <c r="AO194" s="92" t="str">
        <f>IF(Model!AO298&lt;&gt;"",Model!AO298,"")</f>
        <v/>
      </c>
      <c r="AP194" s="92" t="str">
        <f>IF(AQ194&lt;&gt;"",AQ194,"")</f>
        <v/>
      </c>
      <c r="AQ194" s="92" t="str">
        <f>IF(Model!AQ298&lt;&gt;"",Model!AQ298,"")</f>
        <v/>
      </c>
      <c r="AR194" s="92" t="str">
        <f>IF(Model!AR298&lt;&gt;"",Model!AR298,"")</f>
        <v/>
      </c>
      <c r="AS194" s="92" t="str">
        <f>IF(AT194&lt;&gt;"",AT194,"")</f>
        <v/>
      </c>
      <c r="AT194" s="92" t="str">
        <f>IF(Model!AT298&lt;&gt;"",Model!AT298,"")</f>
        <v/>
      </c>
      <c r="AU194" s="92" t="str">
        <f>IF(Model!AU298&lt;&gt;"",Model!AU298,"")</f>
        <v/>
      </c>
      <c r="AV194" s="92" t="str">
        <f>IF(AW194&lt;&gt;"",AW194,"")</f>
        <v/>
      </c>
      <c r="AW194" s="92" t="str">
        <f>IF(Model!AW298&lt;&gt;"",Model!AW298,"")</f>
        <v/>
      </c>
      <c r="AX194" s="92" t="str">
        <f>IF(Model!AX298&lt;&gt;"",Model!AX298,"")</f>
        <v/>
      </c>
      <c r="AY194" s="92" t="str">
        <f>IF(AZ194&lt;&gt;"",AZ194,"")</f>
        <v/>
      </c>
      <c r="AZ194" s="92" t="str">
        <f>IF(Model!AZ298&lt;&gt;"",Model!AZ298,"")</f>
        <v/>
      </c>
      <c r="BA194" s="92">
        <v>223.37</v>
      </c>
      <c r="BB194" s="92">
        <v>223.37</v>
      </c>
      <c r="BC194" s="92">
        <f>223.37+3.08</f>
        <v>226.45000000000002</v>
      </c>
      <c r="BD194" s="92">
        <f t="shared" ref="BD194:BL194" si="208">BC194</f>
        <v>226.45000000000002</v>
      </c>
      <c r="BE194" s="92">
        <f t="shared" si="208"/>
        <v>226.45000000000002</v>
      </c>
      <c r="BF194" s="92">
        <f t="shared" si="208"/>
        <v>226.45000000000002</v>
      </c>
      <c r="BG194" s="92">
        <f t="shared" si="208"/>
        <v>226.45000000000002</v>
      </c>
      <c r="BH194" s="92">
        <f t="shared" si="208"/>
        <v>226.45000000000002</v>
      </c>
      <c r="BI194" s="92">
        <f t="shared" si="208"/>
        <v>226.45000000000002</v>
      </c>
      <c r="BJ194" s="92">
        <f t="shared" si="208"/>
        <v>226.45000000000002</v>
      </c>
      <c r="BK194" s="92">
        <f t="shared" si="208"/>
        <v>226.45000000000002</v>
      </c>
      <c r="BL194" s="92">
        <f t="shared" si="208"/>
        <v>226.45000000000002</v>
      </c>
      <c r="BM194" s="92"/>
      <c r="BN194" s="92">
        <f>BM194</f>
        <v>0</v>
      </c>
      <c r="BO194" s="92"/>
      <c r="BP194" s="92">
        <f t="shared" ref="BP194:CM194" si="209">BO194</f>
        <v>0</v>
      </c>
      <c r="BQ194" s="92">
        <f t="shared" si="209"/>
        <v>0</v>
      </c>
      <c r="BR194" s="92">
        <f t="shared" si="209"/>
        <v>0</v>
      </c>
      <c r="BS194" s="92">
        <f t="shared" si="209"/>
        <v>0</v>
      </c>
      <c r="BT194" s="92">
        <f t="shared" si="209"/>
        <v>0</v>
      </c>
      <c r="BU194" s="92">
        <f t="shared" si="209"/>
        <v>0</v>
      </c>
      <c r="BV194" s="92">
        <f t="shared" si="209"/>
        <v>0</v>
      </c>
      <c r="BW194" s="92">
        <f t="shared" si="209"/>
        <v>0</v>
      </c>
      <c r="BX194" s="92">
        <f t="shared" si="209"/>
        <v>0</v>
      </c>
      <c r="BY194" s="92">
        <f t="shared" si="209"/>
        <v>0</v>
      </c>
      <c r="BZ194" s="92">
        <f t="shared" si="209"/>
        <v>0</v>
      </c>
      <c r="CA194" s="92">
        <f t="shared" si="209"/>
        <v>0</v>
      </c>
      <c r="CB194" s="92">
        <f t="shared" si="209"/>
        <v>0</v>
      </c>
      <c r="CC194" s="92">
        <f t="shared" si="209"/>
        <v>0</v>
      </c>
      <c r="CD194" s="92">
        <f t="shared" si="209"/>
        <v>0</v>
      </c>
      <c r="CE194" s="92">
        <f t="shared" si="209"/>
        <v>0</v>
      </c>
      <c r="CF194" s="92">
        <f t="shared" si="209"/>
        <v>0</v>
      </c>
      <c r="CG194" s="92">
        <f t="shared" si="209"/>
        <v>0</v>
      </c>
      <c r="CH194" s="92">
        <f t="shared" si="209"/>
        <v>0</v>
      </c>
      <c r="CI194" s="92">
        <f t="shared" si="209"/>
        <v>0</v>
      </c>
      <c r="CJ194" s="92">
        <f t="shared" si="209"/>
        <v>0</v>
      </c>
      <c r="CK194" s="92">
        <f t="shared" si="209"/>
        <v>0</v>
      </c>
      <c r="CL194" s="92">
        <f t="shared" si="209"/>
        <v>0</v>
      </c>
      <c r="CM194" s="92">
        <f t="shared" si="209"/>
        <v>0</v>
      </c>
      <c r="CN194" s="92">
        <f t="shared" ref="CN194:DQ194" si="210">CM194</f>
        <v>0</v>
      </c>
      <c r="CO194" s="92">
        <f t="shared" si="210"/>
        <v>0</v>
      </c>
      <c r="CP194" s="92">
        <f t="shared" si="210"/>
        <v>0</v>
      </c>
      <c r="CQ194" s="92">
        <f t="shared" si="210"/>
        <v>0</v>
      </c>
      <c r="CR194" s="92">
        <f t="shared" si="210"/>
        <v>0</v>
      </c>
      <c r="CS194" s="92">
        <f t="shared" si="210"/>
        <v>0</v>
      </c>
      <c r="CT194" s="92">
        <f t="shared" si="210"/>
        <v>0</v>
      </c>
      <c r="CU194" s="92">
        <f t="shared" si="210"/>
        <v>0</v>
      </c>
      <c r="CV194" s="92">
        <f t="shared" si="210"/>
        <v>0</v>
      </c>
      <c r="CW194" s="92">
        <f t="shared" si="210"/>
        <v>0</v>
      </c>
      <c r="CX194" s="92">
        <f t="shared" si="210"/>
        <v>0</v>
      </c>
      <c r="CY194" s="92">
        <f t="shared" si="210"/>
        <v>0</v>
      </c>
      <c r="CZ194" s="92">
        <f t="shared" si="210"/>
        <v>0</v>
      </c>
      <c r="DA194" s="92">
        <f t="shared" si="210"/>
        <v>0</v>
      </c>
      <c r="DB194" s="92">
        <f t="shared" si="210"/>
        <v>0</v>
      </c>
      <c r="DC194" s="92">
        <f t="shared" si="210"/>
        <v>0</v>
      </c>
      <c r="DD194" s="92">
        <f t="shared" si="210"/>
        <v>0</v>
      </c>
      <c r="DE194" s="144">
        <f t="shared" si="210"/>
        <v>0</v>
      </c>
      <c r="DF194" s="92">
        <f t="shared" si="210"/>
        <v>0</v>
      </c>
      <c r="DG194" s="92">
        <f t="shared" si="210"/>
        <v>0</v>
      </c>
      <c r="DH194" s="144">
        <f t="shared" si="210"/>
        <v>0</v>
      </c>
      <c r="DI194" s="92">
        <f t="shared" si="210"/>
        <v>0</v>
      </c>
      <c r="DJ194" s="92">
        <f t="shared" si="210"/>
        <v>0</v>
      </c>
      <c r="DK194" s="144">
        <f t="shared" si="210"/>
        <v>0</v>
      </c>
      <c r="DL194" s="92">
        <f t="shared" si="210"/>
        <v>0</v>
      </c>
      <c r="DM194" s="92">
        <f t="shared" si="210"/>
        <v>0</v>
      </c>
      <c r="DN194" s="144">
        <f t="shared" si="210"/>
        <v>0</v>
      </c>
      <c r="DO194" s="92">
        <f t="shared" si="210"/>
        <v>0</v>
      </c>
      <c r="DP194" s="92">
        <f t="shared" si="210"/>
        <v>0</v>
      </c>
      <c r="DQ194" s="144">
        <f t="shared" si="210"/>
        <v>0</v>
      </c>
      <c r="DR194" s="92">
        <f t="shared" ref="DR194:DZ194" si="211">DQ194</f>
        <v>0</v>
      </c>
      <c r="DS194" s="92">
        <f t="shared" si="211"/>
        <v>0</v>
      </c>
      <c r="DT194" s="144">
        <f t="shared" si="211"/>
        <v>0</v>
      </c>
      <c r="DU194" s="92">
        <f t="shared" si="211"/>
        <v>0</v>
      </c>
      <c r="DV194" s="92">
        <f>DU194</f>
        <v>0</v>
      </c>
      <c r="DW194" s="144">
        <f>DV194</f>
        <v>0</v>
      </c>
      <c r="DX194" s="92">
        <f t="shared" si="211"/>
        <v>0</v>
      </c>
      <c r="DY194" s="92">
        <f t="shared" si="211"/>
        <v>0</v>
      </c>
      <c r="DZ194" s="144">
        <f t="shared" si="211"/>
        <v>0</v>
      </c>
      <c r="EA194" s="92">
        <f t="shared" ref="EA194:EF194" si="212">DZ194</f>
        <v>0</v>
      </c>
      <c r="EB194" s="92">
        <f t="shared" si="212"/>
        <v>0</v>
      </c>
      <c r="EC194" s="144">
        <f t="shared" si="212"/>
        <v>0</v>
      </c>
      <c r="ED194" s="92">
        <f t="shared" si="212"/>
        <v>0</v>
      </c>
      <c r="EE194" s="92">
        <f t="shared" si="212"/>
        <v>0</v>
      </c>
      <c r="EF194" s="144">
        <f t="shared" si="212"/>
        <v>0</v>
      </c>
      <c r="EG194" s="92">
        <f t="shared" ref="EG194:EL194" si="213">EF194</f>
        <v>0</v>
      </c>
      <c r="EH194" s="92">
        <f t="shared" si="213"/>
        <v>0</v>
      </c>
      <c r="EI194" s="144">
        <f t="shared" si="213"/>
        <v>0</v>
      </c>
      <c r="EJ194" s="92">
        <f t="shared" si="213"/>
        <v>0</v>
      </c>
      <c r="EK194" s="92">
        <f t="shared" si="213"/>
        <v>0</v>
      </c>
      <c r="EL194" s="144">
        <f t="shared" si="213"/>
        <v>0</v>
      </c>
      <c r="EM194" s="92">
        <f t="shared" ref="EM194:FA194" si="214">EL194</f>
        <v>0</v>
      </c>
      <c r="EN194" s="92">
        <f t="shared" si="214"/>
        <v>0</v>
      </c>
      <c r="EO194" s="144">
        <f t="shared" si="214"/>
        <v>0</v>
      </c>
      <c r="EP194" s="92">
        <f t="shared" si="214"/>
        <v>0</v>
      </c>
      <c r="EQ194" s="92">
        <f t="shared" si="214"/>
        <v>0</v>
      </c>
      <c r="ER194" s="144">
        <f t="shared" si="214"/>
        <v>0</v>
      </c>
      <c r="ES194" s="92">
        <f t="shared" si="214"/>
        <v>0</v>
      </c>
      <c r="ET194" s="92">
        <f t="shared" si="214"/>
        <v>0</v>
      </c>
      <c r="EU194" s="144">
        <f t="shared" si="214"/>
        <v>0</v>
      </c>
      <c r="EV194" s="92">
        <f t="shared" si="214"/>
        <v>0</v>
      </c>
      <c r="EW194" s="92">
        <f t="shared" si="214"/>
        <v>0</v>
      </c>
      <c r="EX194" s="144">
        <f t="shared" si="214"/>
        <v>0</v>
      </c>
      <c r="EY194" s="92">
        <f t="shared" si="214"/>
        <v>0</v>
      </c>
      <c r="EZ194" s="92">
        <f t="shared" si="214"/>
        <v>0</v>
      </c>
      <c r="FA194" s="144">
        <f t="shared" si="214"/>
        <v>0</v>
      </c>
    </row>
    <row r="195" spans="1:157" ht="13.35" customHeight="1">
      <c r="A195" s="3"/>
      <c r="B195" s="86"/>
      <c r="C195" s="3"/>
      <c r="D195" s="3"/>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c r="AF195" s="84"/>
      <c r="AG195" s="84"/>
      <c r="AH195" s="84"/>
      <c r="AI195" s="84"/>
      <c r="AJ195" s="84"/>
      <c r="AK195" s="84"/>
      <c r="AL195" s="84"/>
      <c r="AM195" s="84"/>
      <c r="AN195" s="84"/>
      <c r="AO195" s="84"/>
      <c r="AP195" s="84"/>
      <c r="AQ195" s="84"/>
      <c r="AR195" s="84"/>
      <c r="AS195" s="84"/>
      <c r="AT195" s="84"/>
      <c r="AU195" s="84"/>
      <c r="AV195" s="84"/>
      <c r="AW195" s="84"/>
      <c r="AX195" s="84"/>
      <c r="AY195" s="84"/>
      <c r="AZ195" s="84"/>
      <c r="BA195" s="84"/>
      <c r="BB195" s="84"/>
      <c r="BC195" s="84"/>
      <c r="BD195" s="84"/>
      <c r="BE195" s="84"/>
      <c r="BF195" s="84"/>
      <c r="BG195" s="119">
        <f>IF(ISERROR(Model!BG355),"",IF(Model!BG355&lt;&gt;"",Model!BG355,""))</f>
        <v>0</v>
      </c>
      <c r="BH195" s="119">
        <v>0</v>
      </c>
      <c r="BI195" s="119">
        <v>0</v>
      </c>
      <c r="BJ195" s="84"/>
      <c r="BK195" s="84"/>
      <c r="BL195" s="84"/>
      <c r="BM195" s="84"/>
      <c r="BN195" s="84"/>
      <c r="BO195" s="84"/>
      <c r="BP195" s="84"/>
      <c r="BQ195" s="84"/>
      <c r="BR195" s="84"/>
      <c r="BS195" s="84"/>
      <c r="BT195" s="84"/>
      <c r="BU195" s="84"/>
      <c r="BV195" s="84"/>
      <c r="BW195" s="84"/>
      <c r="BX195" s="84"/>
      <c r="BY195" s="84"/>
      <c r="BZ195" s="84"/>
      <c r="CA195" s="84"/>
      <c r="CB195" s="84"/>
      <c r="CC195" s="84"/>
      <c r="CD195" s="84"/>
      <c r="CE195" s="84"/>
      <c r="CF195" s="84"/>
      <c r="CG195" s="84"/>
      <c r="CH195" s="84"/>
      <c r="CI195" s="84"/>
      <c r="CJ195" s="84"/>
      <c r="CK195" s="84"/>
      <c r="CL195" s="84"/>
      <c r="CM195" s="84"/>
      <c r="CN195" s="84"/>
      <c r="CO195" s="84"/>
      <c r="CP195" s="84"/>
      <c r="CQ195" s="84"/>
      <c r="CR195" s="84"/>
      <c r="CS195" s="84"/>
      <c r="CT195" s="84"/>
      <c r="CU195" s="84"/>
      <c r="CV195" s="84"/>
      <c r="CW195" s="84"/>
      <c r="CX195" s="84"/>
      <c r="CY195" s="84"/>
      <c r="CZ195" s="84"/>
      <c r="DA195" s="84"/>
      <c r="DB195" s="84"/>
      <c r="DC195" s="84"/>
      <c r="DD195" s="84"/>
      <c r="DE195" s="140"/>
      <c r="DF195" s="84"/>
      <c r="DG195" s="84"/>
      <c r="DH195" s="140"/>
      <c r="DI195" s="84"/>
      <c r="DJ195" s="84"/>
      <c r="DK195" s="140"/>
      <c r="DL195" s="84"/>
      <c r="DM195" s="84"/>
      <c r="DN195" s="140"/>
      <c r="DO195" s="84"/>
      <c r="DP195" s="84"/>
      <c r="DQ195" s="140"/>
      <c r="DR195" s="84"/>
      <c r="DS195" s="84"/>
      <c r="DT195" s="140"/>
      <c r="DU195" s="84"/>
      <c r="DV195" s="84"/>
      <c r="DW195" s="140"/>
      <c r="DX195" s="84"/>
      <c r="DY195" s="84"/>
      <c r="DZ195" s="140"/>
      <c r="EA195" s="84"/>
      <c r="EB195" s="84"/>
      <c r="EC195" s="140"/>
      <c r="ED195" s="84"/>
      <c r="EE195" s="84"/>
      <c r="EF195" s="140"/>
      <c r="EG195" s="84"/>
      <c r="EH195" s="84"/>
      <c r="EI195" s="140"/>
      <c r="EJ195" s="84"/>
      <c r="EK195" s="84"/>
      <c r="EL195" s="140"/>
      <c r="EM195" s="84"/>
      <c r="EN195" s="84"/>
      <c r="EO195" s="140"/>
      <c r="EP195" s="84"/>
      <c r="EQ195" s="84"/>
      <c r="ER195" s="140"/>
      <c r="ES195" s="84"/>
      <c r="ET195" s="84"/>
      <c r="EU195" s="140"/>
      <c r="EV195" s="84"/>
      <c r="EW195" s="84"/>
      <c r="EX195" s="140"/>
      <c r="EY195" s="84"/>
      <c r="EZ195" s="84"/>
      <c r="FA195" s="140"/>
    </row>
    <row r="196" spans="1:157" ht="13.35" customHeight="1">
      <c r="A196" s="3"/>
      <c r="B196" s="5" t="s">
        <v>256</v>
      </c>
      <c r="C196" s="5"/>
      <c r="D196" s="3"/>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c r="AF196" s="84"/>
      <c r="AG196" s="84"/>
      <c r="AH196" s="84"/>
      <c r="AI196" s="84"/>
      <c r="AJ196" s="84"/>
      <c r="AK196" s="84"/>
      <c r="AL196" s="84"/>
      <c r="AM196" s="84"/>
      <c r="AN196" s="84"/>
      <c r="AO196" s="84"/>
      <c r="AP196" s="84"/>
      <c r="AQ196" s="84"/>
      <c r="AR196" s="84"/>
      <c r="AS196" s="84"/>
      <c r="AT196" s="84"/>
      <c r="AU196" s="84"/>
      <c r="AV196" s="84"/>
      <c r="AW196" s="84"/>
      <c r="AX196" s="84"/>
      <c r="AY196" s="84"/>
      <c r="AZ196" s="84"/>
      <c r="BA196" s="84"/>
      <c r="BB196" s="84"/>
      <c r="BC196" s="84"/>
      <c r="BD196" s="84"/>
      <c r="BE196" s="84"/>
      <c r="BF196" s="84"/>
      <c r="BG196" s="84"/>
      <c r="BH196" s="84"/>
      <c r="BI196" s="84"/>
      <c r="BJ196" s="84"/>
      <c r="BK196" s="84"/>
      <c r="BL196" s="84"/>
      <c r="BM196" s="84"/>
      <c r="BN196" s="84"/>
      <c r="BO196" s="84"/>
      <c r="BP196" s="84"/>
      <c r="BQ196" s="84"/>
      <c r="BR196" s="84"/>
      <c r="BS196" s="84"/>
      <c r="BT196" s="84"/>
      <c r="BU196" s="84"/>
      <c r="BV196" s="84"/>
      <c r="BW196" s="84"/>
      <c r="BX196" s="84"/>
      <c r="BY196" s="84"/>
      <c r="BZ196" s="84"/>
      <c r="CA196" s="84"/>
      <c r="CB196" s="84"/>
      <c r="CC196" s="84"/>
      <c r="CD196" s="84"/>
      <c r="CE196" s="84"/>
      <c r="CF196" s="84"/>
      <c r="CG196" s="84"/>
      <c r="CH196" s="84"/>
      <c r="CI196" s="84"/>
      <c r="CJ196" s="84"/>
      <c r="CK196" s="84"/>
      <c r="CL196" s="84"/>
      <c r="CM196" s="84"/>
      <c r="CN196" s="84"/>
      <c r="CO196" s="84"/>
      <c r="CP196" s="84"/>
      <c r="CQ196" s="84"/>
      <c r="CR196" s="84"/>
      <c r="CS196" s="84"/>
      <c r="CT196" s="84"/>
      <c r="CU196" s="84"/>
      <c r="CV196" s="84"/>
      <c r="CW196" s="84"/>
      <c r="CX196" s="84"/>
      <c r="CY196" s="84"/>
      <c r="CZ196" s="84"/>
      <c r="DA196" s="84"/>
      <c r="DB196" s="84"/>
      <c r="DC196" s="84"/>
      <c r="DD196" s="84"/>
      <c r="DE196" s="140"/>
      <c r="DF196" s="84"/>
      <c r="DG196" s="84"/>
      <c r="DH196" s="140"/>
      <c r="DI196" s="84"/>
      <c r="DJ196" s="84"/>
      <c r="DK196" s="140"/>
      <c r="DL196" s="84"/>
      <c r="DM196" s="84"/>
      <c r="DN196" s="140"/>
      <c r="DO196" s="84"/>
      <c r="DP196" s="84"/>
      <c r="DQ196" s="140"/>
      <c r="DR196" s="84"/>
      <c r="DS196" s="84"/>
      <c r="DT196" s="140"/>
      <c r="DU196" s="84"/>
      <c r="DV196" s="84"/>
      <c r="DW196" s="140"/>
      <c r="DX196" s="84"/>
      <c r="DY196" s="84"/>
      <c r="DZ196" s="140"/>
      <c r="EA196" s="84"/>
      <c r="EB196" s="84"/>
      <c r="EC196" s="140"/>
      <c r="ED196" s="84"/>
      <c r="EE196" s="84"/>
      <c r="EF196" s="140"/>
      <c r="EG196" s="84"/>
      <c r="EH196" s="84"/>
      <c r="EI196" s="140"/>
      <c r="EJ196" s="84"/>
      <c r="EK196" s="84"/>
      <c r="EL196" s="140"/>
      <c r="EM196" s="84"/>
      <c r="EN196" s="84"/>
      <c r="EO196" s="140"/>
      <c r="EP196" s="84"/>
      <c r="EQ196" s="84"/>
      <c r="ER196" s="140"/>
      <c r="ES196" s="84"/>
      <c r="ET196" s="84"/>
      <c r="EU196" s="140"/>
      <c r="EV196" s="84"/>
      <c r="EW196" s="84"/>
      <c r="EX196" s="140"/>
      <c r="EY196" s="84"/>
      <c r="EZ196" s="84"/>
      <c r="FA196" s="140"/>
    </row>
    <row r="197" spans="1:157" ht="13.35" customHeight="1">
      <c r="A197" s="3"/>
      <c r="B197" s="4" t="s">
        <v>257</v>
      </c>
      <c r="C197" s="4"/>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2"/>
      <c r="AL197" s="92"/>
      <c r="AM197" s="92"/>
      <c r="AN197" s="92"/>
      <c r="AO197" s="92"/>
      <c r="AP197" s="92"/>
      <c r="AQ197" s="92"/>
      <c r="AR197" s="92"/>
      <c r="AS197" s="92"/>
      <c r="AT197" s="92"/>
      <c r="AU197" s="92">
        <f>IF(Model!AU341&lt;&gt;"",Model!AU341,"")</f>
        <v>7</v>
      </c>
      <c r="AV197" s="92">
        <f>IF(Model!AV341&lt;&gt;"",Model!AV341,"")</f>
        <v>14</v>
      </c>
      <c r="AW197" s="92">
        <f>IF(OR(AU197&lt;&gt;"",AV197&lt;&gt;""),SUM(AU197:AV197),"")</f>
        <v>21</v>
      </c>
      <c r="AX197" s="92">
        <f>IF(Model!AX341&lt;&gt;"",Model!AX341,"")</f>
        <v>8</v>
      </c>
      <c r="AY197" s="92">
        <f>IF(Model!AY341&lt;&gt;"",Model!AY341,"")</f>
        <v>15</v>
      </c>
      <c r="AZ197" s="92">
        <f>IF(OR(AX197&lt;&gt;"",AY197&lt;&gt;""),SUM(AX197:AY197),"")</f>
        <v>23</v>
      </c>
      <c r="BA197" s="92">
        <f>9/3</f>
        <v>3</v>
      </c>
      <c r="BB197" s="92">
        <f>17/3</f>
        <v>5.666666666666667</v>
      </c>
      <c r="BC197" s="92">
        <f>25/3</f>
        <v>8.3333333333333339</v>
      </c>
      <c r="BD197" s="92">
        <f>12/3</f>
        <v>4</v>
      </c>
      <c r="BE197" s="92">
        <f>22/3</f>
        <v>7.333333333333333</v>
      </c>
      <c r="BF197" s="92">
        <f>33/3</f>
        <v>11</v>
      </c>
      <c r="BG197" s="92">
        <f>12/3</f>
        <v>4</v>
      </c>
      <c r="BH197" s="92">
        <f>22/3</f>
        <v>7.333333333333333</v>
      </c>
      <c r="BI197" s="92">
        <f>40/3</f>
        <v>13.333333333333334</v>
      </c>
      <c r="BJ197" s="92">
        <f>12/3</f>
        <v>4</v>
      </c>
      <c r="BK197" s="92">
        <f>26/3</f>
        <v>8.6666666666666661</v>
      </c>
      <c r="BL197" s="92">
        <f>44/3</f>
        <v>14.666666666666666</v>
      </c>
      <c r="BM197" s="92">
        <f>17/3</f>
        <v>5.666666666666667</v>
      </c>
      <c r="BN197" s="92">
        <f>40/3</f>
        <v>13.333333333333334</v>
      </c>
      <c r="BO197" s="92">
        <f>SUM(BM197:BN197)</f>
        <v>19</v>
      </c>
      <c r="BP197" s="92">
        <f>21/3</f>
        <v>7</v>
      </c>
      <c r="BQ197" s="92">
        <f>40/3</f>
        <v>13.333333333333334</v>
      </c>
      <c r="BR197" s="92">
        <f>SUM(BP197:BQ197)</f>
        <v>20.333333333333336</v>
      </c>
      <c r="BS197" s="92">
        <f>49/3</f>
        <v>16.333333333333332</v>
      </c>
      <c r="BT197" s="92">
        <f>55/3</f>
        <v>18.333333333333332</v>
      </c>
      <c r="BU197" s="92">
        <f>SUM(BS197:BT197)</f>
        <v>34.666666666666664</v>
      </c>
      <c r="BV197" s="92">
        <f>BV198*Model!BV14</f>
        <v>22.918579676932662</v>
      </c>
      <c r="BW197" s="92">
        <f>BW198*Model!BW14</f>
        <v>22.868077073707838</v>
      </c>
      <c r="BX197" s="92">
        <f>SUM(BV197:BW197)</f>
        <v>45.786656750640503</v>
      </c>
      <c r="BY197" s="92">
        <f>BY198*Model!BY14</f>
        <v>29.878664589776484</v>
      </c>
      <c r="BZ197" s="92">
        <f>BZ198*Model!BZ14</f>
        <v>30.2404085861928</v>
      </c>
      <c r="CA197" s="92">
        <f>SUM(BY197:BZ197)</f>
        <v>60.119073175969284</v>
      </c>
      <c r="CB197" s="92">
        <f>CB198*Model!CB14</f>
        <v>34.9811384904786</v>
      </c>
      <c r="CC197" s="92">
        <f>CC198*Model!CC14</f>
        <v>25.898157801021657</v>
      </c>
      <c r="CD197" s="92">
        <f>SUM(CB197:CC197)</f>
        <v>60.879296291500253</v>
      </c>
      <c r="CE197" s="92">
        <f>CE198*Model!CE14</f>
        <v>34.999999999999993</v>
      </c>
      <c r="CF197" s="92">
        <f>CF198*Model!CF14</f>
        <v>47.142606059045839</v>
      </c>
      <c r="CG197" s="92">
        <f>SUM(CE197:CF197)</f>
        <v>82.142606059045832</v>
      </c>
      <c r="CH197" s="92">
        <f>CH198*Model!CH14</f>
        <v>36.853267787740883</v>
      </c>
      <c r="CI197" s="92">
        <f>CI198*Model!CI14</f>
        <v>48.405279617328553</v>
      </c>
      <c r="CJ197" s="92">
        <f>SUM(CH197:CI197)</f>
        <v>85.258547405069436</v>
      </c>
      <c r="CK197" s="92">
        <f>CK198*Model!CK14</f>
        <v>49.816557664699324</v>
      </c>
      <c r="CL197" s="92">
        <f>CL198*Model!CL14</f>
        <v>52.202918221920612</v>
      </c>
      <c r="CM197" s="92">
        <f>SUM(CK197:CL197)</f>
        <v>102.01947588661994</v>
      </c>
      <c r="CN197" s="92">
        <f>CN198*Model!CN14</f>
        <v>53.04437988603037</v>
      </c>
      <c r="CO197" s="92">
        <f>CO198*Model!CO14</f>
        <v>59.970106028841471</v>
      </c>
      <c r="CP197" s="92">
        <f>SUM(CN197:CO197)</f>
        <v>113.01448591487184</v>
      </c>
      <c r="CQ197" s="92">
        <f>CQ198*Model!CQ14</f>
        <v>58.000000000000007</v>
      </c>
      <c r="CR197" s="92">
        <f>CR198*Model!CR14</f>
        <v>65.999999999999986</v>
      </c>
      <c r="CS197" s="92">
        <f>SUM(CQ197:CR197)</f>
        <v>124</v>
      </c>
      <c r="CT197" s="92">
        <f>CT198*Model!CT14</f>
        <v>58</v>
      </c>
      <c r="CU197" s="92">
        <f>CU198*Model!CU14</f>
        <v>68</v>
      </c>
      <c r="CV197" s="92">
        <f>SUM(CT197:CU197)</f>
        <v>126</v>
      </c>
      <c r="CW197" s="92">
        <f>CW198*Model!CW14</f>
        <v>78.279236340056116</v>
      </c>
      <c r="CX197" s="92">
        <f>CX198*Model!CX14</f>
        <v>58.650912780043939</v>
      </c>
      <c r="CY197" s="92">
        <f>SUM(CW197:CX197)</f>
        <v>136.93014912010005</v>
      </c>
      <c r="CZ197" s="92">
        <f>CZ198*Model!CZ14</f>
        <v>79.217586953570603</v>
      </c>
      <c r="DA197" s="92">
        <f>DA198*Model!DA14</f>
        <v>93.256146666861639</v>
      </c>
      <c r="DB197" s="92">
        <f>SUM(CZ197:DA197)</f>
        <v>172.47373362043226</v>
      </c>
      <c r="DC197" s="92">
        <f>DC198*Model!DC14</f>
        <v>84.860542833114522</v>
      </c>
      <c r="DD197" s="92">
        <f>DD198*Model!DD14</f>
        <v>100.13945716688559</v>
      </c>
      <c r="DE197" s="144">
        <f>SUM(DC197:DD197)</f>
        <v>185.00000000000011</v>
      </c>
      <c r="DF197" s="92">
        <f>DF198*Model!DF14</f>
        <v>95</v>
      </c>
      <c r="DG197" s="92">
        <f>DG198*Model!DG14</f>
        <v>107.07926149328205</v>
      </c>
      <c r="DH197" s="144">
        <f>SUM(DF197:DG197)</f>
        <v>202.07926149328205</v>
      </c>
      <c r="DI197" s="92">
        <f>DI198*Model!DI14</f>
        <v>103.96749505793404</v>
      </c>
      <c r="DJ197" s="92">
        <f>DJ198*Model!DJ14</f>
        <v>121.41963198055035</v>
      </c>
      <c r="DK197" s="144">
        <f>SUM(DI197:DJ197)</f>
        <v>225.38712703848438</v>
      </c>
      <c r="DL197" s="92">
        <f>DL198*Model!DL14</f>
        <v>104.61536046281159</v>
      </c>
      <c r="DM197" s="92">
        <f>DM198*Model!DM14</f>
        <v>143.97439347334546</v>
      </c>
      <c r="DN197" s="144">
        <f>SUM(DL197:DM197)</f>
        <v>248.58975393615705</v>
      </c>
      <c r="DO197" s="92">
        <f>DO198*Model!DO14</f>
        <v>106.96964353828592</v>
      </c>
      <c r="DP197" s="92">
        <f>DP198*Model!DP14</f>
        <v>128.99237000746771</v>
      </c>
      <c r="DQ197" s="144">
        <f>SUM(DO197:DP197)</f>
        <v>235.96201354575362</v>
      </c>
      <c r="DR197" s="92">
        <f>DR198*Model!DR14</f>
        <v>118.95185457762365</v>
      </c>
      <c r="DS197" s="92">
        <f>DS198*Model!DS14</f>
        <v>144.6089921834743</v>
      </c>
      <c r="DT197" s="144">
        <f>SUM(DR197:DS197)</f>
        <v>263.56084676109793</v>
      </c>
      <c r="DU197" s="92">
        <v>130</v>
      </c>
      <c r="DV197" s="92">
        <f>+DW197-DU197</f>
        <v>162</v>
      </c>
      <c r="DW197" s="144">
        <v>292</v>
      </c>
      <c r="DX197" s="92">
        <f>DX198*Model!DX14</f>
        <v>140.68628399867342</v>
      </c>
      <c r="DY197" s="92">
        <f>DY198*Model!DY14</f>
        <v>168.50452207110013</v>
      </c>
      <c r="DZ197" s="144">
        <f>SUM(DX197:DY197)</f>
        <v>309.19080606977354</v>
      </c>
      <c r="EA197" s="92">
        <f>EA198*Model!EA14</f>
        <v>154.83407947709841</v>
      </c>
      <c r="EB197" s="92">
        <f>EB198*Model!EB14</f>
        <v>158.97251308939349</v>
      </c>
      <c r="EC197" s="144">
        <f>SUM(EA197:EB197)</f>
        <v>313.80659256649187</v>
      </c>
      <c r="ED197" s="92">
        <f>ED198*Model!ED14</f>
        <v>169.80739667019913</v>
      </c>
      <c r="EE197" s="92">
        <f>EE198*Model!EE14</f>
        <v>174.12256738677664</v>
      </c>
      <c r="EF197" s="144">
        <f>SUM(ED197:EE197)</f>
        <v>343.92996405697579</v>
      </c>
      <c r="EG197" s="92">
        <f>EG198*Model!EG14</f>
        <v>184.83793175080697</v>
      </c>
      <c r="EH197" s="92">
        <f>EH198*Model!EH14</f>
        <v>193.9996369143627</v>
      </c>
      <c r="EI197" s="144">
        <f>SUM(EG197:EH197)</f>
        <v>378.83756866516967</v>
      </c>
      <c r="EJ197" s="92">
        <f>EJ198*Model!EJ14</f>
        <v>201.1120586974688</v>
      </c>
      <c r="EK197" s="92">
        <f>EK198*Model!EK14</f>
        <v>216.55825399784581</v>
      </c>
      <c r="EL197" s="144">
        <f>SUM(EJ197:EK197)</f>
        <v>417.67031269531458</v>
      </c>
      <c r="EM197" s="92">
        <f>EM198*Model!EM14</f>
        <v>220.25448215648885</v>
      </c>
      <c r="EN197" s="92">
        <f>EN198*Model!EN14</f>
        <v>238.41542258897829</v>
      </c>
      <c r="EO197" s="144">
        <f>SUM(EM197:EN197)</f>
        <v>458.66990474546714</v>
      </c>
      <c r="EP197" s="92">
        <f>EP198*Model!EP14</f>
        <v>238.54264689352121</v>
      </c>
      <c r="EQ197" s="92">
        <f>EQ198*Model!EQ14</f>
        <v>263.10348036481099</v>
      </c>
      <c r="ER197" s="144">
        <f>SUM(EP197:EQ197)</f>
        <v>501.64612725833217</v>
      </c>
      <c r="ES197" s="92">
        <f>ES198*Model!ES14</f>
        <v>255.96452899138666</v>
      </c>
      <c r="ET197" s="92">
        <f>ET198*Model!ET14</f>
        <v>285.878157541419</v>
      </c>
      <c r="EU197" s="144">
        <f>SUM(ES197:ET197)</f>
        <v>541.8426865328056</v>
      </c>
      <c r="EV197" s="92">
        <f>EV198*Model!EV14</f>
        <v>271.8796060750575</v>
      </c>
      <c r="EW197" s="92">
        <f>EW198*Model!EW14</f>
        <v>306.11075508420311</v>
      </c>
      <c r="EX197" s="144">
        <f>SUM(EV197:EW197)</f>
        <v>577.9903611592606</v>
      </c>
      <c r="EY197" s="92">
        <f>EY198*Model!EY14</f>
        <v>288.78711664238199</v>
      </c>
      <c r="EZ197" s="92">
        <f>EZ198*Model!EZ14</f>
        <v>327.6761270412303</v>
      </c>
      <c r="FA197" s="144">
        <f>SUM(EY197:EZ197)</f>
        <v>616.46324368361229</v>
      </c>
    </row>
    <row r="198" spans="1:157" ht="13.35" customHeight="1">
      <c r="A198" s="3"/>
      <c r="B198" s="4" t="s">
        <v>258</v>
      </c>
      <c r="C198" s="4"/>
      <c r="D198" s="3"/>
      <c r="E198" s="95" t="str">
        <f>IF(ISERROR(Model!E356),"",IF(Model!E356&lt;&gt;"",Model!E356,""))</f>
        <v/>
      </c>
      <c r="F198" s="95" t="str">
        <f>IF(ISERROR(Model!F356),"",IF(Model!F356&lt;&gt;"",Model!F356,""))</f>
        <v/>
      </c>
      <c r="G198" s="95" t="str">
        <f>IF(ISERROR(Model!G356),"",IF(Model!G356&lt;&gt;"",Model!G356,""))</f>
        <v/>
      </c>
      <c r="H198" s="95" t="str">
        <f>IF(ISERROR(Model!H356),"",IF(Model!H356&lt;&gt;"",Model!H356,""))</f>
        <v/>
      </c>
      <c r="I198" s="95" t="str">
        <f>IF(ISERROR(Model!I356),"",IF(Model!I356&lt;&gt;"",Model!I356,""))</f>
        <v/>
      </c>
      <c r="J198" s="95" t="str">
        <f>IF(ISERROR(Model!J356),"",IF(Model!J356&lt;&gt;"",Model!J356,""))</f>
        <v/>
      </c>
      <c r="K198" s="95" t="str">
        <f>IF(ISERROR(Model!K356),"",IF(Model!K356&lt;&gt;"",Model!K356,""))</f>
        <v/>
      </c>
      <c r="L198" s="95" t="str">
        <f>IF(ISERROR(Model!L356),"",IF(Model!L356&lt;&gt;"",Model!L356,""))</f>
        <v/>
      </c>
      <c r="M198" s="95" t="str">
        <f>IF(ISERROR(Model!M356),"",IF(Model!M356&lt;&gt;"",Model!M356,""))</f>
        <v/>
      </c>
      <c r="N198" s="95" t="str">
        <f>IF(ISERROR(Model!N356),"",IF(Model!N356&lt;&gt;"",Model!N356,""))</f>
        <v/>
      </c>
      <c r="O198" s="95" t="str">
        <f>IF(ISERROR(Model!O356),"",IF(Model!O356&lt;&gt;"",Model!O356,""))</f>
        <v/>
      </c>
      <c r="P198" s="95" t="str">
        <f>IF(ISERROR(Model!P356),"",IF(Model!P356&lt;&gt;"",Model!P356,""))</f>
        <v/>
      </c>
      <c r="Q198" s="95" t="str">
        <f>IF(ISERROR(Model!Q356),"",IF(Model!Q356&lt;&gt;"",Model!Q356,""))</f>
        <v/>
      </c>
      <c r="R198" s="95" t="str">
        <f>IF(ISERROR(Model!R356),"",IF(Model!R356&lt;&gt;"",Model!R356,""))</f>
        <v/>
      </c>
      <c r="S198" s="95" t="str">
        <f>IF(ISERROR(Model!S356),"",IF(Model!S356&lt;&gt;"",Model!S356,""))</f>
        <v/>
      </c>
      <c r="T198" s="95" t="str">
        <f>IF(ISERROR(Model!T356),"",IF(Model!T356&lt;&gt;"",Model!T356,""))</f>
        <v/>
      </c>
      <c r="U198" s="95" t="str">
        <f>IF(ISERROR(Model!U356),"",IF(Model!U356&lt;&gt;"",Model!U356,""))</f>
        <v/>
      </c>
      <c r="V198" s="95" t="str">
        <f>IF(ISERROR(Model!V356),"",IF(Model!V356&lt;&gt;"",Model!V356,""))</f>
        <v/>
      </c>
      <c r="W198" s="95" t="str">
        <f>IF(ISERROR(Model!W356),"",IF(Model!W356&lt;&gt;"",Model!W356,""))</f>
        <v/>
      </c>
      <c r="X198" s="95" t="str">
        <f>IF(ISERROR(Model!X356),"",IF(Model!X356&lt;&gt;"",Model!X356,""))</f>
        <v/>
      </c>
      <c r="Y198" s="95" t="str">
        <f>IF(ISERROR(Model!Y356),"",IF(Model!Y356&lt;&gt;"",Model!Y356,""))</f>
        <v/>
      </c>
      <c r="Z198" s="95" t="str">
        <f>IF(ISERROR(Model!Z356),"",IF(Model!Z356&lt;&gt;"",Model!Z356,""))</f>
        <v/>
      </c>
      <c r="AA198" s="95" t="str">
        <f>IF(ISERROR(Model!AA356),"",IF(Model!AA356&lt;&gt;"",Model!AA356,""))</f>
        <v/>
      </c>
      <c r="AB198" s="95" t="str">
        <f>IF(ISERROR(Model!AB356),"",IF(Model!AB356&lt;&gt;"",Model!AB356,""))</f>
        <v/>
      </c>
      <c r="AC198" s="95" t="str">
        <f>IF(ISERROR(Model!AC356),"",IF(Model!AC356&lt;&gt;"",Model!AC356,""))</f>
        <v/>
      </c>
      <c r="AD198" s="95" t="str">
        <f>IF(ISERROR(Model!AD356),"",IF(Model!AD356&lt;&gt;"",Model!AD356,""))</f>
        <v/>
      </c>
      <c r="AE198" s="95" t="str">
        <f>IF(ISERROR(Model!AE356),"",IF(Model!AE356&lt;&gt;"",Model!AE356,""))</f>
        <v/>
      </c>
      <c r="AF198" s="95" t="str">
        <f>IF(ISERROR(Model!AF356),"",IF(Model!AF356&lt;&gt;"",Model!AF356,""))</f>
        <v/>
      </c>
      <c r="AG198" s="95" t="str">
        <f>IF(ISERROR(Model!AG356),"",IF(Model!AG356&lt;&gt;"",Model!AG356,""))</f>
        <v/>
      </c>
      <c r="AH198" s="95" t="str">
        <f>IF(ISERROR(Model!AH356),"",IF(Model!AH356&lt;&gt;"",Model!AH356,""))</f>
        <v/>
      </c>
      <c r="AI198" s="95" t="str">
        <f>IF(ISERROR(Model!AI356),"",IF(Model!AI356&lt;&gt;"",Model!AI356,""))</f>
        <v/>
      </c>
      <c r="AJ198" s="95" t="str">
        <f>IF(ISERROR(Model!AJ356),"",IF(Model!AJ356&lt;&gt;"",Model!AJ356,""))</f>
        <v/>
      </c>
      <c r="AK198" s="95" t="str">
        <f>IF(ISERROR(Model!AK356),"",IF(Model!AK356&lt;&gt;"",Model!AK356,""))</f>
        <v/>
      </c>
      <c r="AL198" s="95" t="str">
        <f>IF(ISERROR(Model!AL356),"",IF(Model!AL356&lt;&gt;"",Model!AL356,""))</f>
        <v/>
      </c>
      <c r="AM198" s="95" t="str">
        <f>IF(ISERROR(Model!AM356),"",IF(Model!AM356&lt;&gt;"",Model!AM356,""))</f>
        <v/>
      </c>
      <c r="AN198" s="95" t="str">
        <f>IF(ISERROR(Model!AN356),"",IF(Model!AN356&lt;&gt;"",Model!AN356,""))</f>
        <v/>
      </c>
      <c r="AO198" s="95" t="str">
        <f>IF(ISERROR(Model!AO356),"",IF(Model!AO356&lt;&gt;"",Model!AO356,""))</f>
        <v/>
      </c>
      <c r="AP198" s="95" t="str">
        <f>IF(ISERROR(Model!AP356),"",IF(Model!AP356&lt;&gt;"",Model!AP356,""))</f>
        <v/>
      </c>
      <c r="AQ198" s="95" t="str">
        <f>IF(ISERROR(Model!AQ356),"",IF(Model!AQ356&lt;&gt;"",Model!AQ356,""))</f>
        <v/>
      </c>
      <c r="AR198" s="95" t="str">
        <f>IF(ISERROR(Model!AR356),"",IF(Model!AR356&lt;&gt;"",Model!AR356,""))</f>
        <v/>
      </c>
      <c r="AS198" s="95" t="str">
        <f>IF(ISERROR(Model!AS356),"",IF(Model!AS356&lt;&gt;"",Model!AS356,""))</f>
        <v/>
      </c>
      <c r="AT198" s="95" t="str">
        <f>IF(ISERROR(Model!AT356),"",IF(Model!AT356&lt;&gt;"",Model!AT356,""))</f>
        <v/>
      </c>
      <c r="AU198" s="95" t="str">
        <f>IF(ISERROR(Model!AU356),"",IF(Model!AU356&lt;&gt;"",Model!AU356,""))</f>
        <v/>
      </c>
      <c r="AV198" s="95" t="str">
        <f>IF(ISERROR(Model!AV356),"",IF(Model!AV356&lt;&gt;"",Model!AV356,""))</f>
        <v/>
      </c>
      <c r="AW198" s="95" t="str">
        <f>IF(ISERROR(Model!AW356),"",IF(Model!AW356&lt;&gt;"",Model!AW356,""))</f>
        <v/>
      </c>
      <c r="AX198" s="95" t="str">
        <f>IF(ISERROR(Model!AX356),"",IF(Model!AX356&lt;&gt;"",Model!AX356,""))</f>
        <v/>
      </c>
      <c r="AY198" s="95" t="str">
        <f>IF(ISERROR(Model!AY356),"",IF(Model!AY356&lt;&gt;"",Model!AY356,""))</f>
        <v/>
      </c>
      <c r="AZ198" s="95" t="str">
        <f>IF(ISERROR(Model!AZ356),"",IF(Model!AZ356&lt;&gt;"",Model!AZ356,""))</f>
        <v/>
      </c>
      <c r="BA198" s="95" t="str">
        <f>IF(ISERROR(Model!BA356),"",IF(Model!BA356&lt;&gt;"",Model!BA356,""))</f>
        <v/>
      </c>
      <c r="BB198" s="95" t="str">
        <f>IF(ISERROR(Model!BB356),"",IF(Model!BB356&lt;&gt;"",Model!BB356,""))</f>
        <v/>
      </c>
      <c r="BC198" s="95" t="str">
        <f>IF(ISERROR(Model!BC356),"",IF(Model!BC356&lt;&gt;"",Model!BC356,""))</f>
        <v/>
      </c>
      <c r="BD198" s="95" t="str">
        <f>IF(ISERROR(Model!BD356),"",IF(Model!BD356&lt;&gt;"",Model!BD356,""))</f>
        <v/>
      </c>
      <c r="BE198" s="95" t="str">
        <f>IF(ISERROR(Model!BE356),"",IF(Model!BE356&lt;&gt;"",Model!BE356,""))</f>
        <v/>
      </c>
      <c r="BF198" s="95" t="str">
        <f>IF(ISERROR(Model!BF356),"",IF(Model!BF356&lt;&gt;"",Model!BF356,""))</f>
        <v/>
      </c>
      <c r="BG198" s="119">
        <f>IF(ISERROR(Model!BG358),"",IF(Model!BG358&lt;&gt;"",Model!BG358,""))</f>
        <v>0.47311125463863923</v>
      </c>
      <c r="BH198" s="119">
        <f>IF(ISERROR(Model!BH358),"",IF(Model!BH358&lt;&gt;"",Model!BH358,""))</f>
        <v>1.0096670053874577</v>
      </c>
      <c r="BI198" s="119">
        <f>IF(ISERROR(Model!BI358),"",IF(Model!BI358&lt;&gt;"",Model!BI358,""))</f>
        <v>0.72105124891180594</v>
      </c>
      <c r="BJ198" s="119">
        <f>IF(ISERROR(Model!BJ358),"",IF(Model!BJ358&lt;&gt;"",Model!BJ358,""))</f>
        <v>2.0548576536002883</v>
      </c>
      <c r="BK198" s="119" t="str">
        <f>IF(ISERROR(Model!BK358),"",IF(Model!BK358&lt;&gt;"",Model!BK358,""))</f>
        <v/>
      </c>
      <c r="BL198" s="119" t="str">
        <f>IF(ISERROR(Model!BL358),"",IF(Model!BL358&lt;&gt;"",Model!BL358,""))</f>
        <v/>
      </c>
      <c r="BM198" s="119">
        <f>IF(ISERROR(Model!BM358),"",IF(Model!BM358&lt;&gt;"",Model!BM358,""))</f>
        <v>0.20690384666887346</v>
      </c>
      <c r="BN198" s="119">
        <f>IF(ISERROR(Model!BN358),"",IF(Model!BN358&lt;&gt;"",Model!BN358,""))</f>
        <v>0.19573967390485067</v>
      </c>
      <c r="BO198" s="119">
        <f>IF(ISERROR(Model!BO358),"",IF(Model!BO358&lt;&gt;"",Model!BO358,""))</f>
        <v>0.19970803643343107</v>
      </c>
      <c r="BP198" s="119">
        <f>IF(ISERROR(Model!BP358),"",IF(Model!BP358&lt;&gt;"",Model!BP358,""))</f>
        <v>0.86834696930253008</v>
      </c>
      <c r="BQ198" s="119">
        <f>IF(ISERROR(Model!BQ358),"",IF(Model!BQ358&lt;&gt;"",Model!BQ358,""))</f>
        <v>0.38446346686214478</v>
      </c>
      <c r="BR198" s="119">
        <f>IF(ISERROR(Model!BR358),"",IF(Model!BR358&lt;&gt;"",Model!BR358,""))</f>
        <v>0.61785451801691316</v>
      </c>
      <c r="BS198" s="119">
        <f>Model!BS358</f>
        <v>0.34449438934881804</v>
      </c>
      <c r="BT198" s="119">
        <f>Model!BT358</f>
        <v>0.31519632013661381</v>
      </c>
      <c r="BU198" s="119">
        <f>Model!BU358</f>
        <v>0.33141116651539487</v>
      </c>
      <c r="BV198" s="119">
        <f>Model!BV358</f>
        <v>0.36264448395310966</v>
      </c>
      <c r="BW198" s="119">
        <f>Model!BW358</f>
        <v>0.35678873542090322</v>
      </c>
      <c r="BX198" s="119">
        <f>Model!BX358</f>
        <v>0.3605699619550814</v>
      </c>
      <c r="BY198" s="119">
        <v>0.35275000000000001</v>
      </c>
      <c r="BZ198" s="119">
        <f>BY198</f>
        <v>0.35275000000000001</v>
      </c>
      <c r="CA198" s="119">
        <f>BZ198</f>
        <v>0.35275000000000001</v>
      </c>
      <c r="CB198" s="119">
        <v>0.33</v>
      </c>
      <c r="CC198" s="119">
        <f>CB198</f>
        <v>0.33</v>
      </c>
      <c r="CD198" s="119">
        <f>CC198</f>
        <v>0.33</v>
      </c>
      <c r="CE198" s="119">
        <v>0.38365030486890622</v>
      </c>
      <c r="CF198" s="119">
        <v>0.57999999999999996</v>
      </c>
      <c r="CG198" s="119">
        <f>CG197/Model!CG12</f>
        <v>0.47204455763821201</v>
      </c>
      <c r="CH198" s="119">
        <f>CE198</f>
        <v>0.38365030486890622</v>
      </c>
      <c r="CI198" s="119">
        <v>0.48</v>
      </c>
      <c r="CJ198" s="119">
        <f>CJ197/Model!CJ12</f>
        <v>0.4322283382641765</v>
      </c>
      <c r="CK198" s="119">
        <v>0.4022522579358751</v>
      </c>
      <c r="CL198" s="119">
        <v>0.42996799226331844</v>
      </c>
      <c r="CM198" s="119">
        <f>CM197/Model!CM12</f>
        <v>0.41821574569649128</v>
      </c>
      <c r="CN198" s="119">
        <v>0.4</v>
      </c>
      <c r="CO198" s="119">
        <v>0.44177804476032057</v>
      </c>
      <c r="CP198" s="119">
        <f>CP197/Model!CP12</f>
        <v>0.41835501788769613</v>
      </c>
      <c r="CQ198" s="119">
        <v>0.39864967307136667</v>
      </c>
      <c r="CR198" s="119">
        <v>0.43920310741084795</v>
      </c>
      <c r="CS198" s="119">
        <f>CS197/Model!CS12</f>
        <v>0.41759698526766592</v>
      </c>
      <c r="CT198" s="119">
        <v>0.44462516737518532</v>
      </c>
      <c r="CU198" s="119">
        <v>0.57279009193336339</v>
      </c>
      <c r="CV198" s="119">
        <f>CV197/Model!CV12</f>
        <v>0.50491756612021854</v>
      </c>
      <c r="CW198" s="119">
        <f>CT198</f>
        <v>0.44462516737518532</v>
      </c>
      <c r="CX198" s="119">
        <v>0.49536872748782584</v>
      </c>
      <c r="CY198" s="119">
        <f>CY197/Model!CY12</f>
        <v>0.46344974673806116</v>
      </c>
      <c r="CZ198" s="119">
        <v>0.33148547338672552</v>
      </c>
      <c r="DA198" s="119">
        <v>0.65967407497665753</v>
      </c>
      <c r="DB198" s="119">
        <f>DB197/Model!DB12</f>
        <v>0.45126409243506588</v>
      </c>
      <c r="DC198" s="119">
        <v>0.3323084974153529</v>
      </c>
      <c r="DD198" s="119">
        <v>0.59988550667199669</v>
      </c>
      <c r="DE198" s="155">
        <f>DE197/Model!DE12</f>
        <v>0.43670248037733916</v>
      </c>
      <c r="DF198" s="119">
        <v>0.34666730280448721</v>
      </c>
      <c r="DG198" s="119">
        <v>0.57099999999999995</v>
      </c>
      <c r="DH198" s="155">
        <f>DH197/Model!DH12</f>
        <v>0.43617170371706271</v>
      </c>
      <c r="DI198" s="119">
        <f>1.04/3.97</f>
        <v>0.26196473551637278</v>
      </c>
      <c r="DJ198" s="119">
        <v>0.95350000000000001</v>
      </c>
      <c r="DK198" s="155">
        <f>DK197/Model!DK12</f>
        <v>0.42807998769129402</v>
      </c>
      <c r="DL198" s="119">
        <v>0.2697</v>
      </c>
      <c r="DM198" s="119">
        <v>1.145</v>
      </c>
      <c r="DN198" s="155">
        <f>DN197/Model!DN12</f>
        <v>0.51515320317421964</v>
      </c>
      <c r="DO198" s="119">
        <v>0.28449999999999998</v>
      </c>
      <c r="DP198" s="119">
        <v>0.78849999999999998</v>
      </c>
      <c r="DQ198" s="155">
        <f>DQ197/Model!DQ12</f>
        <v>0.5185949536431681</v>
      </c>
      <c r="DR198" s="119">
        <v>0.28599999999999998</v>
      </c>
      <c r="DS198" s="119">
        <f>DP198</f>
        <v>0.78849999999999998</v>
      </c>
      <c r="DT198" s="155">
        <f>DT197/Model!DT12</f>
        <v>0.48184235005434711</v>
      </c>
      <c r="DU198" s="119">
        <f>+DU197/Model!DU14</f>
        <v>0.30429016007714565</v>
      </c>
      <c r="DV198" s="119">
        <f>+DV197/Model!DV14</f>
        <v>0.68707710518777265</v>
      </c>
      <c r="DW198" s="155">
        <f>DW197/Model!DW12</f>
        <v>0.47081941878747502</v>
      </c>
      <c r="DX198" s="119">
        <v>0.35</v>
      </c>
      <c r="DY198" s="119">
        <v>0.55000000000000004</v>
      </c>
      <c r="DZ198" s="155">
        <f>DZ197/Model!DZ12</f>
        <v>0.83824243241444596</v>
      </c>
      <c r="EA198" s="119">
        <f>DX198</f>
        <v>0.35</v>
      </c>
      <c r="EB198" s="119">
        <v>0.5</v>
      </c>
      <c r="EC198" s="155">
        <f>EC197/Model!EC12</f>
        <v>0.44253189563269596</v>
      </c>
      <c r="ED198" s="119">
        <f>EA198</f>
        <v>0.35</v>
      </c>
      <c r="EE198" s="119">
        <f>EB198</f>
        <v>0.5</v>
      </c>
      <c r="EF198" s="155">
        <f>EF197/Model!EF12</f>
        <v>0.43972117762105994</v>
      </c>
      <c r="EG198" s="119">
        <f>ED198</f>
        <v>0.35</v>
      </c>
      <c r="EH198" s="119">
        <f>EE198</f>
        <v>0.5</v>
      </c>
      <c r="EI198" s="155">
        <f>EI197/Model!EI12</f>
        <v>0.43800880822656468</v>
      </c>
      <c r="EJ198" s="119">
        <f>EG198</f>
        <v>0.35</v>
      </c>
      <c r="EK198" s="119">
        <f>EH198</f>
        <v>0.5</v>
      </c>
      <c r="EL198" s="155">
        <f>EL197/Model!EL12</f>
        <v>0.43644648697978505</v>
      </c>
      <c r="EM198" s="119">
        <f>EJ198</f>
        <v>0.35</v>
      </c>
      <c r="EN198" s="119">
        <f>EK198</f>
        <v>0.5</v>
      </c>
      <c r="EO198" s="155">
        <f>EO197/Model!EO12</f>
        <v>0.43439933233181904</v>
      </c>
      <c r="EP198" s="119">
        <f>EM198</f>
        <v>0.35</v>
      </c>
      <c r="EQ198" s="119">
        <f>EN198</f>
        <v>0.5</v>
      </c>
      <c r="ER198" s="155">
        <f>ER197/Model!ER12</f>
        <v>0.43320035628342185</v>
      </c>
      <c r="ES198" s="119">
        <f>EP198</f>
        <v>0.35</v>
      </c>
      <c r="ET198" s="119">
        <f>EQ198</f>
        <v>0.5</v>
      </c>
      <c r="EU198" s="155">
        <f>EU197/Model!EU12</f>
        <v>0.43216133122948625</v>
      </c>
      <c r="EV198" s="119">
        <f>ES198</f>
        <v>0.35</v>
      </c>
      <c r="EW198" s="119">
        <f>ET198</f>
        <v>0.5</v>
      </c>
      <c r="EX198" s="155">
        <f>EX197/Model!EX12</f>
        <v>0.43128426352797455</v>
      </c>
      <c r="EY198" s="119">
        <f>EV198</f>
        <v>0.35</v>
      </c>
      <c r="EZ198" s="119">
        <f>EW198</f>
        <v>0.5</v>
      </c>
      <c r="FA198" s="155">
        <f>FA197/Model!FA12</f>
        <v>0.43047590382293804</v>
      </c>
    </row>
    <row r="199" spans="1:157" ht="13.35" customHeight="1">
      <c r="A199" s="3"/>
      <c r="B199" s="4" t="s">
        <v>31</v>
      </c>
      <c r="C199" s="4"/>
      <c r="D199" s="3"/>
      <c r="E199" s="92" t="str">
        <f>IF(ISERROR(Model!E357),"",IF(Model!E357&lt;&gt;"",Model!E357,""))</f>
        <v/>
      </c>
      <c r="F199" s="92" t="str">
        <f>IF(ISERROR(Model!F357),"",IF(Model!F357&lt;&gt;"",Model!F357,""))</f>
        <v/>
      </c>
      <c r="G199" s="92" t="str">
        <f>IF(ISERROR(Model!G357),"",IF(Model!G357&lt;&gt;"",Model!G357,""))</f>
        <v/>
      </c>
      <c r="H199" s="92" t="str">
        <f>IF(ISERROR(Model!H357),"",IF(Model!H357&lt;&gt;"",Model!H357,""))</f>
        <v/>
      </c>
      <c r="I199" s="92" t="str">
        <f>IF(ISERROR(Model!I357),"",IF(Model!I357&lt;&gt;"",Model!I357,""))</f>
        <v/>
      </c>
      <c r="J199" s="92" t="str">
        <f>IF(ISERROR(Model!J357),"",IF(Model!J357&lt;&gt;"",Model!J357,""))</f>
        <v/>
      </c>
      <c r="K199" s="92" t="str">
        <f>IF(ISERROR(Model!K357),"",IF(Model!K357&lt;&gt;"",Model!K357,""))</f>
        <v/>
      </c>
      <c r="L199" s="92" t="str">
        <f>IF(ISERROR(Model!L357),"",IF(Model!L357&lt;&gt;"",Model!L357,""))</f>
        <v/>
      </c>
      <c r="M199" s="92" t="str">
        <f>IF(ISERROR(Model!M357),"",IF(Model!M357&lt;&gt;"",Model!M357,""))</f>
        <v/>
      </c>
      <c r="N199" s="92" t="str">
        <f>IF(ISERROR(Model!N357),"",IF(Model!N357&lt;&gt;"",Model!N357,""))</f>
        <v/>
      </c>
      <c r="O199" s="92" t="str">
        <f>IF(ISERROR(Model!O357),"",IF(Model!O357&lt;&gt;"",Model!O357,""))</f>
        <v/>
      </c>
      <c r="P199" s="92" t="str">
        <f>IF(ISERROR(Model!P357),"",IF(Model!P357&lt;&gt;"",Model!P357,""))</f>
        <v/>
      </c>
      <c r="Q199" s="92" t="str">
        <f>IF(ISERROR(Model!Q357),"",IF(Model!Q357&lt;&gt;"",Model!Q357,""))</f>
        <v/>
      </c>
      <c r="R199" s="92" t="str">
        <f>IF(ISERROR(Model!R357),"",IF(Model!R357&lt;&gt;"",Model!R357,""))</f>
        <v/>
      </c>
      <c r="S199" s="92" t="str">
        <f>IF(ISERROR(Model!S357),"",IF(Model!S357&lt;&gt;"",Model!S357,""))</f>
        <v/>
      </c>
      <c r="T199" s="92" t="str">
        <f>IF(ISERROR(Model!T357),"",IF(Model!T357&lt;&gt;"",Model!T357,""))</f>
        <v/>
      </c>
      <c r="U199" s="92" t="str">
        <f>IF(ISERROR(Model!U357),"",IF(Model!U357&lt;&gt;"",Model!U357,""))</f>
        <v/>
      </c>
      <c r="V199" s="92" t="str">
        <f>IF(ISERROR(Model!V357),"",IF(Model!V357&lt;&gt;"",Model!V357,""))</f>
        <v/>
      </c>
      <c r="W199" s="92" t="str">
        <f>IF(ISERROR(Model!W357),"",IF(Model!W357&lt;&gt;"",Model!W357,""))</f>
        <v/>
      </c>
      <c r="X199" s="92" t="str">
        <f>IF(ISERROR(Model!X357),"",IF(Model!X357&lt;&gt;"",Model!X357,""))</f>
        <v/>
      </c>
      <c r="Y199" s="92" t="str">
        <f>IF(ISERROR(Model!Y357),"",IF(Model!Y357&lt;&gt;"",Model!Y357,""))</f>
        <v/>
      </c>
      <c r="Z199" s="92" t="str">
        <f>IF(ISERROR(Model!Z357),"",IF(Model!Z357&lt;&gt;"",Model!Z357,""))</f>
        <v/>
      </c>
      <c r="AA199" s="92" t="str">
        <f>IF(ISERROR(Model!AA357),"",IF(Model!AA357&lt;&gt;"",Model!AA357,""))</f>
        <v/>
      </c>
      <c r="AB199" s="92" t="str">
        <f>IF(ISERROR(Model!AB357),"",IF(Model!AB357&lt;&gt;"",Model!AB357,""))</f>
        <v/>
      </c>
      <c r="AC199" s="92" t="str">
        <f>IF(ISERROR(Model!AC357),"",IF(Model!AC357&lt;&gt;"",Model!AC357,""))</f>
        <v/>
      </c>
      <c r="AD199" s="92" t="str">
        <f>IF(ISERROR(Model!AD357),"",IF(Model!AD357&lt;&gt;"",Model!AD357,""))</f>
        <v/>
      </c>
      <c r="AE199" s="92" t="str">
        <f>IF(ISERROR(Model!AE357),"",IF(Model!AE357&lt;&gt;"",Model!AE357,""))</f>
        <v/>
      </c>
      <c r="AF199" s="92" t="str">
        <f>IF(ISERROR(Model!AF357),"",IF(Model!AF357&lt;&gt;"",Model!AF357,""))</f>
        <v/>
      </c>
      <c r="AG199" s="92" t="str">
        <f>IF(ISERROR(Model!AG357),"",IF(Model!AG357&lt;&gt;"",Model!AG357,""))</f>
        <v/>
      </c>
      <c r="AH199" s="92" t="str">
        <f>IF(ISERROR(Model!AH357),"",IF(Model!AH357&lt;&gt;"",Model!AH357,""))</f>
        <v/>
      </c>
      <c r="AI199" s="92" t="str">
        <f>IF(ISERROR(Model!AI357),"",IF(Model!AI357&lt;&gt;"",Model!AI357,""))</f>
        <v/>
      </c>
      <c r="AJ199" s="92" t="str">
        <f>IF(ISERROR(Model!AJ357),"",IF(Model!AJ357&lt;&gt;"",Model!AJ357,""))</f>
        <v/>
      </c>
      <c r="AK199" s="92" t="str">
        <f>IF(ISERROR(Model!AK357),"",IF(Model!AK357&lt;&gt;"",Model!AK357,""))</f>
        <v/>
      </c>
      <c r="AL199" s="92" t="str">
        <f>IF(ISERROR(Model!AL357),"",IF(Model!AL357&lt;&gt;"",Model!AL357,""))</f>
        <v/>
      </c>
      <c r="AM199" s="92" t="str">
        <f>IF(ISERROR(Model!AM357),"",IF(Model!AM357&lt;&gt;"",Model!AM357,""))</f>
        <v/>
      </c>
      <c r="AN199" s="92" t="str">
        <f>IF(ISERROR(Model!AN357),"",IF(Model!AN357&lt;&gt;"",Model!AN357,""))</f>
        <v/>
      </c>
      <c r="AO199" s="92" t="str">
        <f>IF(ISERROR(Model!AO357),"",IF(Model!AO357&lt;&gt;"",Model!AO357,""))</f>
        <v/>
      </c>
      <c r="AP199" s="92" t="str">
        <f>IF(ISERROR(Model!AP357),"",IF(Model!AP357&lt;&gt;"",Model!AP357,""))</f>
        <v/>
      </c>
      <c r="AQ199" s="92" t="str">
        <f>IF(ISERROR(Model!AQ357),"",IF(Model!AQ357&lt;&gt;"",Model!AQ357,""))</f>
        <v/>
      </c>
      <c r="AR199" s="92" t="str">
        <f>IF(ISERROR(Model!AR357),"",IF(Model!AR357&lt;&gt;"",Model!AR357,""))</f>
        <v/>
      </c>
      <c r="AS199" s="92" t="str">
        <f>IF(ISERROR(Model!AS357),"",IF(Model!AS357&lt;&gt;"",Model!AS357,""))</f>
        <v/>
      </c>
      <c r="AT199" s="92" t="str">
        <f>IF(ISERROR(Model!AT357),"",IF(Model!AT357&lt;&gt;"",Model!AT357,""))</f>
        <v/>
      </c>
      <c r="AU199" s="92" t="str">
        <f>IF(ISERROR(Model!AU357),"",IF(Model!AU357&lt;&gt;"",Model!AU357,""))</f>
        <v/>
      </c>
      <c r="AV199" s="92" t="str">
        <f>IF(ISERROR(Model!AV357),"",IF(Model!AV357&lt;&gt;"",Model!AV357,""))</f>
        <v/>
      </c>
      <c r="AW199" s="92" t="str">
        <f>IF(ISERROR(Model!AW357),"",IF(Model!AW357&lt;&gt;"",Model!AW357,""))</f>
        <v/>
      </c>
      <c r="AX199" s="92" t="str">
        <f>IF(ISERROR(Model!AX357),"",IF(Model!AX357&lt;&gt;"",Model!AX357,""))</f>
        <v/>
      </c>
      <c r="AY199" s="92" t="str">
        <f>IF(ISERROR(Model!AY357),"",IF(Model!AY357&lt;&gt;"",Model!AY357,""))</f>
        <v/>
      </c>
      <c r="AZ199" s="92" t="str">
        <f>IF(ISERROR(Model!AZ357),"",IF(Model!AZ357&lt;&gt;"",Model!AZ357,""))</f>
        <v/>
      </c>
      <c r="BA199" s="92" t="str">
        <f>IF(ISERROR(Model!BA357),"",IF(Model!BA357&lt;&gt;"",Model!BA357,""))</f>
        <v/>
      </c>
      <c r="BB199" s="92" t="str">
        <f>IF(ISERROR(Model!BB357),"",IF(Model!BB357&lt;&gt;"",Model!BB357,""))</f>
        <v/>
      </c>
      <c r="BC199" s="92" t="str">
        <f>IF(ISERROR(Model!BC357),"",IF(Model!BC357&lt;&gt;"",Model!BC357,""))</f>
        <v/>
      </c>
      <c r="BD199" s="92" t="str">
        <f>IF(ISERROR(Model!BD357),"",IF(Model!BD357&lt;&gt;"",Model!BD357,""))</f>
        <v/>
      </c>
      <c r="BE199" s="92" t="str">
        <f>IF(ISERROR(Model!BE357),"",IF(Model!BE357&lt;&gt;"",Model!BE357,""))</f>
        <v/>
      </c>
      <c r="BF199" s="92" t="str">
        <f>IF(ISERROR(Model!BF357),"",IF(Model!BF357&lt;&gt;"",Model!BF357,""))</f>
        <v/>
      </c>
      <c r="BG199" s="92" t="str">
        <f>IF(ISERROR(Model!BG357),"",IF(Model!BG357&lt;&gt;"",Model!BG357,""))</f>
        <v/>
      </c>
      <c r="BH199" s="92" t="str">
        <f>IF(ISERROR(Model!BH357),"",IF(Model!BH357&lt;&gt;"",Model!BH357,""))</f>
        <v/>
      </c>
      <c r="BI199" s="92" t="str">
        <f>IF(ISERROR(Model!BI357),"",IF(Model!BI357&lt;&gt;"",Model!BI357,""))</f>
        <v/>
      </c>
      <c r="BJ199" s="92" t="str">
        <f>IF(ISERROR(Model!BJ357),"",IF(Model!BJ357&lt;&gt;"",Model!BJ357,""))</f>
        <v/>
      </c>
      <c r="BK199" s="92" t="str">
        <f>IF(ISERROR(Model!BK357),"",IF(Model!BK357&lt;&gt;"",Model!BK357,""))</f>
        <v/>
      </c>
      <c r="BL199" s="92" t="str">
        <f>IF(ISERROR(Model!BL357),"",IF(Model!BL357&lt;&gt;"",Model!BL357,""))</f>
        <v/>
      </c>
      <c r="BM199" s="92" t="str">
        <f>IF(ISERROR(Model!BM357),"",IF(Model!BM357&lt;&gt;"",Model!BM357,""))</f>
        <v/>
      </c>
      <c r="BN199" s="92" t="str">
        <f>IF(ISERROR(Model!BN357),"",IF(Model!BN357&lt;&gt;"",Model!BN357,""))</f>
        <v/>
      </c>
      <c r="BO199" s="92" t="str">
        <f>IF(ISERROR(Model!BO357),"",IF(Model!BO357&lt;&gt;"",Model!BO357,""))</f>
        <v/>
      </c>
      <c r="BP199" s="92" t="str">
        <f>IF(ISERROR(Model!BP357),"",IF(Model!BP357&lt;&gt;"",Model!BP357,""))</f>
        <v/>
      </c>
      <c r="BQ199" s="92" t="str">
        <f>IF(ISERROR(Model!BQ357),"",IF(Model!BQ357&lt;&gt;"",Model!BQ357,""))</f>
        <v/>
      </c>
      <c r="BR199" s="92" t="str">
        <f>IF(ISERROR(Model!BR357),"",IF(Model!BR357&lt;&gt;"",Model!BR357,""))</f>
        <v/>
      </c>
      <c r="BS199" s="92" t="str">
        <f>IF(ISERROR(Model!BS357),"",IF(Model!BS357&lt;&gt;"",Model!BS357,""))</f>
        <v/>
      </c>
      <c r="BT199" s="92" t="str">
        <f>IF(ISERROR(Model!BT357),"",IF(Model!BT357&lt;&gt;"",Model!BT357,""))</f>
        <v/>
      </c>
      <c r="BU199" s="92" t="str">
        <f>IF(ISERROR(Model!BU357),"",IF(Model!BU357&lt;&gt;"",Model!BU357,""))</f>
        <v/>
      </c>
      <c r="BV199" s="92" t="str">
        <f>IF(ISERROR(Model!BV357),"",IF(Model!BV357&lt;&gt;"",Model!BV357,""))</f>
        <v/>
      </c>
      <c r="BW199" s="92" t="str">
        <f>IF(ISERROR(Model!BW357),"",IF(Model!BW357&lt;&gt;"",Model!BW357,""))</f>
        <v/>
      </c>
      <c r="BX199" s="92" t="str">
        <f>IF(ISERROR(Model!BX357),"",IF(Model!BX357&lt;&gt;"",Model!BX357,""))</f>
        <v/>
      </c>
      <c r="BY199" s="92" t="str">
        <f>IF(ISERROR(Model!BY357),"",IF(Model!BY357&lt;&gt;"",Model!BY357,""))</f>
        <v/>
      </c>
      <c r="BZ199" s="92" t="str">
        <f>IF(ISERROR(Model!BZ357),"",IF(Model!BZ357&lt;&gt;"",Model!BZ357,""))</f>
        <v/>
      </c>
      <c r="CA199" s="92" t="str">
        <f>IF(ISERROR(Model!CA357),"",IF(Model!CA357&lt;&gt;"",Model!CA357,""))</f>
        <v/>
      </c>
      <c r="CB199" s="92" t="str">
        <f>IF(ISERROR(Model!CB357),"",IF(Model!CB357&lt;&gt;"",Model!CB357,""))</f>
        <v/>
      </c>
      <c r="CC199" s="92" t="str">
        <f>IF(ISERROR(Model!CC357),"",IF(Model!CC357&lt;&gt;"",Model!CC357,""))</f>
        <v/>
      </c>
      <c r="CD199" s="92" t="str">
        <f>IF(ISERROR(Model!CD357),"",IF(Model!CD357&lt;&gt;"",Model!CD357,""))</f>
        <v/>
      </c>
      <c r="CE199" s="92" t="str">
        <f>IF(ISERROR(Model!CE357),"",IF(Model!CE357&lt;&gt;"",Model!CE357,""))</f>
        <v/>
      </c>
      <c r="CF199" s="92" t="str">
        <f>IF(ISERROR(Model!CF357),"",IF(Model!CF357&lt;&gt;"",Model!CF357,""))</f>
        <v/>
      </c>
      <c r="CG199" s="92" t="str">
        <f>IF(ISERROR(Model!CG357),"",IF(Model!CG357&lt;&gt;"",Model!CG357,""))</f>
        <v/>
      </c>
      <c r="CH199" s="92" t="str">
        <f>IF(ISERROR(Model!CH357),"",IF(Model!CH357&lt;&gt;"",Model!CH357,""))</f>
        <v/>
      </c>
      <c r="CI199" s="92" t="str">
        <f>IF(ISERROR(Model!CI357),"",IF(Model!CI357&lt;&gt;"",Model!CI357,""))</f>
        <v/>
      </c>
      <c r="CJ199" s="92" t="str">
        <f>IF(ISERROR(Model!CJ357),"",IF(Model!CJ357&lt;&gt;"",Model!CJ357,""))</f>
        <v/>
      </c>
      <c r="CK199" s="92" t="str">
        <f>IF(ISERROR(Model!CK357),"",IF(Model!CK357&lt;&gt;"",Model!CK357,""))</f>
        <v/>
      </c>
      <c r="CL199" s="92" t="str">
        <f>IF(ISERROR(Model!CL357),"",IF(Model!CL357&lt;&gt;"",Model!CL357,""))</f>
        <v/>
      </c>
      <c r="CM199" s="92" t="str">
        <f>IF(ISERROR(Model!CM357),"",IF(Model!CM357&lt;&gt;"",Model!CM357,""))</f>
        <v/>
      </c>
      <c r="CN199" s="92" t="str">
        <f>IF(ISERROR(Model!CN357),"",IF(Model!CN357&lt;&gt;"",Model!CN357,""))</f>
        <v/>
      </c>
      <c r="CO199" s="92" t="str">
        <f>IF(ISERROR(Model!CO357),"",IF(Model!CO357&lt;&gt;"",Model!CO357,""))</f>
        <v/>
      </c>
      <c r="CP199" s="92" t="str">
        <f>IF(ISERROR(Model!CP357),"",IF(Model!CP357&lt;&gt;"",Model!CP357,""))</f>
        <v/>
      </c>
      <c r="CQ199" s="92" t="str">
        <f>IF(ISERROR(Model!CQ357),"",IF(Model!CQ357&lt;&gt;"",Model!CQ357,""))</f>
        <v/>
      </c>
      <c r="CR199" s="92" t="str">
        <f>IF(ISERROR(Model!CR357),"",IF(Model!CR357&lt;&gt;"",Model!CR357,""))</f>
        <v/>
      </c>
      <c r="CS199" s="92" t="str">
        <f>IF(ISERROR(Model!CS357),"",IF(Model!CS357&lt;&gt;"",Model!CS357,""))</f>
        <v/>
      </c>
      <c r="CT199" s="92" t="str">
        <f>IF(ISERROR(Model!CT357),"",IF(Model!CT357&lt;&gt;"",Model!CT357,""))</f>
        <v/>
      </c>
      <c r="CU199" s="92" t="str">
        <f>IF(ISERROR(Model!CU357),"",IF(Model!CU357&lt;&gt;"",Model!CU357,""))</f>
        <v/>
      </c>
      <c r="CV199" s="92" t="str">
        <f>IF(ISERROR(Model!CV357),"",IF(Model!CV357&lt;&gt;"",Model!CV357,""))</f>
        <v/>
      </c>
      <c r="CW199" s="92" t="str">
        <f>IF(ISERROR(Model!CW357),"",IF(Model!CW357&lt;&gt;"",Model!CW357,""))</f>
        <v/>
      </c>
      <c r="CX199" s="92" t="str">
        <f>IF(ISERROR(Model!CX357),"",IF(Model!CX357&lt;&gt;"",Model!CX357,""))</f>
        <v/>
      </c>
      <c r="CY199" s="92" t="str">
        <f>IF(ISERROR(Model!CY357),"",IF(Model!CY357&lt;&gt;"",Model!CY357,""))</f>
        <v/>
      </c>
      <c r="CZ199" s="92" t="str">
        <f>IF(ISERROR(Model!CZ357),"",IF(Model!CZ357&lt;&gt;"",Model!CZ357,""))</f>
        <v/>
      </c>
      <c r="DA199" s="92"/>
      <c r="DB199" s="92" t="str">
        <f>IF(ISERROR(Model!DB357),"",IF(Model!DB357&lt;&gt;"",Model!DB357,""))</f>
        <v/>
      </c>
      <c r="DC199" s="92" t="str">
        <f>IF(ISERROR(Model!DC357),"",IF(Model!DC357&lt;&gt;"",Model!DC357,""))</f>
        <v/>
      </c>
      <c r="DD199" s="92" t="str">
        <f>IF(ISERROR(Model!DD357),"",IF(Model!DD357&lt;&gt;"",Model!DD357,""))</f>
        <v/>
      </c>
      <c r="DE199" s="144" t="str">
        <f>IF(ISERROR(Model!DE357),"",IF(Model!DE357&lt;&gt;"",Model!DE357,""))</f>
        <v/>
      </c>
      <c r="DF199" s="92" t="str">
        <f>IF(ISERROR(Model!DF357),"",IF(Model!DF357&lt;&gt;"",Model!DF357,""))</f>
        <v/>
      </c>
      <c r="DG199" s="92" t="str">
        <f>IF(ISERROR(Model!DG357),"",IF(Model!DG357&lt;&gt;"",Model!DG357,""))</f>
        <v/>
      </c>
      <c r="DH199" s="144" t="str">
        <f>IF(ISERROR(Model!DH357),"",IF(Model!DH357&lt;&gt;"",Model!DH357,""))</f>
        <v/>
      </c>
      <c r="DI199" s="92" t="str">
        <f>IF(ISERROR(Model!DI357),"",IF(Model!DI357&lt;&gt;"",Model!DI357,""))</f>
        <v/>
      </c>
      <c r="DJ199" s="92" t="str">
        <f>IF(ISERROR(Model!DJ357),"",IF(Model!DJ357&lt;&gt;"",Model!DJ357,""))</f>
        <v/>
      </c>
      <c r="DK199" s="144" t="str">
        <f>IF(ISERROR(Model!DK357),"",IF(Model!DK357&lt;&gt;"",Model!DK357,""))</f>
        <v/>
      </c>
      <c r="DL199" s="92"/>
      <c r="DM199" s="92"/>
      <c r="DN199" s="144"/>
      <c r="DO199" s="92" t="str">
        <f>IF(ISERROR(Model!DO357),"",IF(Model!DO357&lt;&gt;"",Model!DO357,""))</f>
        <v/>
      </c>
      <c r="DP199" s="92" t="str">
        <f>IF(ISERROR(Model!DP357),"",IF(Model!DP357&lt;&gt;"",Model!DP357,""))</f>
        <v/>
      </c>
      <c r="DQ199" s="144" t="str">
        <f>IF(ISERROR(Model!DQ357),"",IF(Model!DQ357&lt;&gt;"",Model!DQ357,""))</f>
        <v/>
      </c>
      <c r="DR199" s="92" t="str">
        <f>IF(ISERROR(Model!DR357),"",IF(Model!DR357&lt;&gt;"",Model!DR357,""))</f>
        <v/>
      </c>
      <c r="DS199" s="92" t="str">
        <f>IF(ISERROR(Model!DS357),"",IF(Model!DS357&lt;&gt;"",Model!DS357,""))</f>
        <v/>
      </c>
      <c r="DT199" s="144" t="str">
        <f>IF(ISERROR(Model!DT357),"",IF(Model!DT357&lt;&gt;"",Model!DT357,""))</f>
        <v/>
      </c>
      <c r="DU199" s="92" t="str">
        <f>IF(ISERROR(Model!DU357),"",IF(Model!DU357&lt;&gt;"",Model!DU357,""))</f>
        <v/>
      </c>
      <c r="DV199" s="92" t="str">
        <f>IF(ISERROR(Model!DV357),"",IF(Model!DV357&lt;&gt;"",Model!DV357,""))</f>
        <v/>
      </c>
      <c r="DW199" s="144" t="str">
        <f>IF(ISERROR(Model!DW357),"",IF(Model!DW357&lt;&gt;"",Model!DW357,""))</f>
        <v/>
      </c>
      <c r="DX199" s="92" t="str">
        <f>IF(ISERROR(Model!DX357),"",IF(Model!DX357&lt;&gt;"",Model!DX357,""))</f>
        <v/>
      </c>
      <c r="DY199" s="92" t="str">
        <f>IF(ISERROR(Model!DY357),"",IF(Model!DY357&lt;&gt;"",Model!DY357,""))</f>
        <v/>
      </c>
      <c r="DZ199" s="144" t="str">
        <f>IF(ISERROR(Model!DZ357),"",IF(Model!DZ357&lt;&gt;"",Model!DZ357,""))</f>
        <v/>
      </c>
      <c r="EA199" s="92" t="str">
        <f>IF(ISERROR(Model!EA357),"",IF(Model!EA357&lt;&gt;"",Model!EA357,""))</f>
        <v/>
      </c>
      <c r="EB199" s="92" t="str">
        <f>IF(ISERROR(Model!EB357),"",IF(Model!EB357&lt;&gt;"",Model!EB357,""))</f>
        <v/>
      </c>
      <c r="EC199" s="144" t="str">
        <f>IF(ISERROR(Model!EC357),"",IF(Model!EC357&lt;&gt;"",Model!EC357,""))</f>
        <v/>
      </c>
      <c r="ED199" s="92" t="str">
        <f>IF(ISERROR(Model!ED357),"",IF(Model!ED357&lt;&gt;"",Model!ED357,""))</f>
        <v/>
      </c>
      <c r="EE199" s="92" t="str">
        <f>IF(ISERROR(Model!EE357),"",IF(Model!EE357&lt;&gt;"",Model!EE357,""))</f>
        <v/>
      </c>
      <c r="EF199" s="144" t="str">
        <f>IF(ISERROR(Model!EF357),"",IF(Model!EF357&lt;&gt;"",Model!EF357,""))</f>
        <v/>
      </c>
      <c r="EG199" s="92" t="str">
        <f>IF(ISERROR(Model!EG357),"",IF(Model!EG357&lt;&gt;"",Model!EG357,""))</f>
        <v/>
      </c>
      <c r="EH199" s="92" t="str">
        <f>IF(ISERROR(Model!EH357),"",IF(Model!EH357&lt;&gt;"",Model!EH357,""))</f>
        <v/>
      </c>
      <c r="EI199" s="144" t="str">
        <f>IF(ISERROR(Model!EI357),"",IF(Model!EI357&lt;&gt;"",Model!EI357,""))</f>
        <v/>
      </c>
      <c r="EJ199" s="92" t="str">
        <f>IF(ISERROR(Model!EJ357),"",IF(Model!EJ357&lt;&gt;"",Model!EJ357,""))</f>
        <v/>
      </c>
      <c r="EK199" s="92" t="str">
        <f>IF(ISERROR(Model!EK357),"",IF(Model!EK357&lt;&gt;"",Model!EK357,""))</f>
        <v/>
      </c>
      <c r="EL199" s="144" t="str">
        <f>IF(ISERROR(Model!EL357),"",IF(Model!EL357&lt;&gt;"",Model!EL357,""))</f>
        <v/>
      </c>
      <c r="EM199" s="92" t="str">
        <f>IF(ISERROR(Model!EM357),"",IF(Model!EM357&lt;&gt;"",Model!EM357,""))</f>
        <v/>
      </c>
      <c r="EN199" s="92" t="str">
        <f>IF(ISERROR(Model!EN357),"",IF(Model!EN357&lt;&gt;"",Model!EN357,""))</f>
        <v/>
      </c>
      <c r="EO199" s="144" t="str">
        <f>IF(ISERROR(Model!EO357),"",IF(Model!EO357&lt;&gt;"",Model!EO357,""))</f>
        <v/>
      </c>
      <c r="EP199" s="92" t="str">
        <f>IF(ISERROR(Model!EP357),"",IF(Model!EP357&lt;&gt;"",Model!EP357,""))</f>
        <v/>
      </c>
      <c r="EQ199" s="92" t="str">
        <f>IF(ISERROR(Model!EQ357),"",IF(Model!EQ357&lt;&gt;"",Model!EQ357,""))</f>
        <v/>
      </c>
      <c r="ER199" s="144" t="str">
        <f>IF(ISERROR(Model!ER357),"",IF(Model!ER357&lt;&gt;"",Model!ER357,""))</f>
        <v/>
      </c>
      <c r="ES199" s="92" t="str">
        <f>IF(ISERROR(Model!ES357),"",IF(Model!ES357&lt;&gt;"",Model!ES357,""))</f>
        <v/>
      </c>
      <c r="ET199" s="92" t="str">
        <f>IF(ISERROR(Model!ET357),"",IF(Model!ET357&lt;&gt;"",Model!ET357,""))</f>
        <v/>
      </c>
      <c r="EU199" s="144" t="str">
        <f>IF(ISERROR(Model!EU357),"",IF(Model!EU357&lt;&gt;"",Model!EU357,""))</f>
        <v/>
      </c>
      <c r="EV199" s="92" t="str">
        <f>IF(ISERROR(Model!EV357),"",IF(Model!EV357&lt;&gt;"",Model!EV357,""))</f>
        <v/>
      </c>
      <c r="EW199" s="92" t="str">
        <f>IF(ISERROR(Model!EW357),"",IF(Model!EW357&lt;&gt;"",Model!EW357,""))</f>
        <v/>
      </c>
      <c r="EX199" s="144" t="str">
        <f>IF(ISERROR(Model!EX357),"",IF(Model!EX357&lt;&gt;"",Model!EX357,""))</f>
        <v/>
      </c>
      <c r="EY199" s="92" t="str">
        <f>IF(ISERROR(Model!EY357),"",IF(Model!EY357&lt;&gt;"",Model!EY357,""))</f>
        <v/>
      </c>
      <c r="EZ199" s="92" t="str">
        <f>IF(ISERROR(Model!EZ357),"",IF(Model!EZ357&lt;&gt;"",Model!EZ357,""))</f>
        <v/>
      </c>
      <c r="FA199" s="144" t="str">
        <f>IF(ISERROR(Model!FA357),"",IF(Model!FA357&lt;&gt;"",Model!FA357,""))</f>
        <v/>
      </c>
    </row>
    <row r="200" spans="1:157" ht="13.35" customHeight="1">
      <c r="A200" s="3"/>
      <c r="B200" s="4" t="s">
        <v>32</v>
      </c>
      <c r="C200" s="4"/>
      <c r="D200" s="3"/>
      <c r="E200" s="92" t="str">
        <f>IF(Model!E340&lt;&gt;"",Model!E340,"")</f>
        <v>1h85</v>
      </c>
      <c r="F200" s="92" t="str">
        <f>IF(AND(Model!F340&lt;&gt;"",G200&lt;&gt;""),Model!F340,"")</f>
        <v/>
      </c>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2"/>
      <c r="BL200" s="92"/>
      <c r="BM200" s="92"/>
      <c r="BN200" s="92"/>
      <c r="BO200" s="92"/>
      <c r="BP200" s="92"/>
      <c r="BQ200" s="92"/>
      <c r="BR200" s="92"/>
      <c r="BS200" s="92"/>
      <c r="BT200" s="92"/>
      <c r="BU200" s="92"/>
      <c r="BV200" s="92"/>
      <c r="BW200" s="92"/>
      <c r="BX200" s="92"/>
      <c r="BY200" s="92"/>
      <c r="BZ200" s="92"/>
      <c r="CA200" s="92"/>
      <c r="CB200" s="92"/>
      <c r="CC200" s="92"/>
      <c r="CD200" s="92"/>
      <c r="CE200" s="92"/>
      <c r="CF200" s="92"/>
      <c r="CG200" s="92"/>
      <c r="CH200" s="92"/>
      <c r="CI200" s="92"/>
      <c r="CJ200" s="92"/>
      <c r="CK200" s="92"/>
      <c r="CL200" s="92"/>
      <c r="CM200" s="92"/>
      <c r="CN200" s="92"/>
      <c r="CO200" s="92"/>
      <c r="CP200" s="92"/>
      <c r="CQ200" s="92"/>
      <c r="CR200" s="92"/>
      <c r="CS200" s="92"/>
      <c r="CT200" s="92"/>
      <c r="CU200" s="92"/>
      <c r="CV200" s="92"/>
      <c r="CW200" s="92"/>
      <c r="CX200" s="92"/>
      <c r="CY200" s="92"/>
      <c r="CZ200" s="92"/>
      <c r="DA200" s="92"/>
      <c r="DB200" s="92"/>
      <c r="DC200" s="92"/>
      <c r="DD200" s="92"/>
      <c r="DE200" s="144"/>
      <c r="DF200" s="92"/>
      <c r="DG200" s="92"/>
      <c r="DH200" s="144"/>
      <c r="DI200" s="92"/>
      <c r="DJ200" s="92"/>
      <c r="DK200" s="144"/>
      <c r="DL200" s="92"/>
      <c r="DM200" s="92"/>
      <c r="DN200" s="144"/>
      <c r="DO200" s="92"/>
      <c r="DP200" s="92"/>
      <c r="DQ200" s="144"/>
      <c r="DR200" s="92"/>
      <c r="DS200" s="92"/>
      <c r="DT200" s="144"/>
      <c r="DU200" s="92"/>
      <c r="DV200" s="92"/>
      <c r="DW200" s="144"/>
      <c r="DX200" s="92"/>
      <c r="DY200" s="92"/>
      <c r="DZ200" s="144"/>
      <c r="EA200" s="92"/>
      <c r="EB200" s="92"/>
      <c r="EC200" s="144"/>
      <c r="ED200" s="92"/>
      <c r="EE200" s="92"/>
      <c r="EF200" s="144"/>
      <c r="EG200" s="92"/>
      <c r="EH200" s="92"/>
      <c r="EI200" s="144"/>
      <c r="EJ200" s="92"/>
      <c r="EK200" s="92"/>
      <c r="EL200" s="144"/>
      <c r="EM200" s="92"/>
      <c r="EN200" s="92"/>
      <c r="EO200" s="144"/>
      <c r="EP200" s="92"/>
      <c r="EQ200" s="92"/>
      <c r="ER200" s="144"/>
      <c r="ES200" s="92"/>
      <c r="ET200" s="92"/>
      <c r="EU200" s="144"/>
      <c r="EV200" s="92"/>
      <c r="EW200" s="92"/>
      <c r="EX200" s="144"/>
      <c r="EY200" s="92"/>
      <c r="EZ200" s="92"/>
      <c r="FA200" s="144"/>
    </row>
    <row r="201" spans="1:157" ht="13.35" customHeight="1">
      <c r="A201" s="3"/>
      <c r="B201" s="4" t="s">
        <v>460</v>
      </c>
      <c r="C201" s="4"/>
      <c r="D201" s="3"/>
      <c r="E201" s="99">
        <f>IF(Model!E343&lt;&gt;"",Model!E343,"")</f>
        <v>0</v>
      </c>
      <c r="F201" s="99">
        <f>IF(Model!F343&lt;&gt;"",Model!F343,"")</f>
        <v>0</v>
      </c>
      <c r="G201" s="99">
        <f>IF(ISERROR(Model!G343),"",IF(Model!G343&lt;&gt;"",Model!G343,""))</f>
        <v>0</v>
      </c>
      <c r="H201" s="99">
        <f>IF(Model!H343&lt;&gt;"",Model!H343,"")</f>
        <v>0</v>
      </c>
      <c r="I201" s="99">
        <f>IF(Model!I343&lt;&gt;"",Model!I343,"")</f>
        <v>0</v>
      </c>
      <c r="J201" s="99">
        <f>IF(ISERROR(Model!J343),"",IF(Model!J343&lt;&gt;"",Model!J343,""))</f>
        <v>0</v>
      </c>
      <c r="K201" s="99">
        <f>IF(Model!K343&lt;&gt;"",Model!K343,"")</f>
        <v>0</v>
      </c>
      <c r="L201" s="99">
        <f>IF(Model!L343&lt;&gt;"",Model!L343,"")</f>
        <v>0</v>
      </c>
      <c r="M201" s="99">
        <f>IF(ISERROR(Model!M343),"",IF(Model!M343&lt;&gt;"",Model!M343,""))</f>
        <v>0</v>
      </c>
      <c r="N201" s="99">
        <f>IF(Model!N343&lt;&gt;"",Model!N343,"")</f>
        <v>0</v>
      </c>
      <c r="O201" s="99">
        <f>IF(Model!O343&lt;&gt;"",Model!O343,"")</f>
        <v>0</v>
      </c>
      <c r="P201" s="99">
        <f>IF(ISERROR(Model!P343),"",IF(Model!P343&lt;&gt;"",Model!P343,""))</f>
        <v>0</v>
      </c>
      <c r="Q201" s="99">
        <f>IF(Model!Q343&lt;&gt;"",Model!Q343,"")</f>
        <v>0</v>
      </c>
      <c r="R201" s="99">
        <f>IF(Model!R343&lt;&gt;"",Model!R343,"")</f>
        <v>0</v>
      </c>
      <c r="S201" s="99">
        <f>IF(ISERROR(Model!S343),"",IF(Model!S343&lt;&gt;"",Model!S343,""))</f>
        <v>0</v>
      </c>
      <c r="T201" s="99">
        <f>IF(Model!T343&lt;&gt;"",Model!T343,"")</f>
        <v>0</v>
      </c>
      <c r="U201" s="99">
        <f>IF(Model!U343&lt;&gt;"",Model!U343,"")</f>
        <v>0</v>
      </c>
      <c r="V201" s="99">
        <f>IF(ISERROR(Model!V343),"",IF(Model!V343&lt;&gt;"",Model!V343,""))</f>
        <v>0</v>
      </c>
      <c r="W201" s="99">
        <f>IF(Model!W343&lt;&gt;"",Model!W343,"")</f>
        <v>0</v>
      </c>
      <c r="X201" s="99">
        <f>IF(Model!X343&lt;&gt;"",Model!X343,"")</f>
        <v>0</v>
      </c>
      <c r="Y201" s="99">
        <f>IF(ISERROR(Model!Y343),"",IF(Model!Y343&lt;&gt;"",Model!Y343,""))</f>
        <v>0</v>
      </c>
      <c r="Z201" s="99">
        <f>IF(Model!Z343&lt;&gt;"",Model!Z343,"")</f>
        <v>0</v>
      </c>
      <c r="AA201" s="99">
        <f>IF(Model!AA343&lt;&gt;"",Model!AA343,"")</f>
        <v>0</v>
      </c>
      <c r="AB201" s="99">
        <f>IF(ISERROR(Model!AB343),"",IF(Model!AB343&lt;&gt;"",Model!AB343,""))</f>
        <v>0</v>
      </c>
      <c r="AC201" s="99">
        <f>IF(Model!AC343&lt;&gt;"",Model!AC343,"")</f>
        <v>0</v>
      </c>
      <c r="AD201" s="99">
        <f>IF(Model!AD343&lt;&gt;"",Model!AD343,"")</f>
        <v>0</v>
      </c>
      <c r="AE201" s="99">
        <f>IF(ISERROR(Model!AE343),"",IF(Model!AE343&lt;&gt;"",Model!AE343,""))</f>
        <v>0</v>
      </c>
      <c r="AF201" s="99">
        <f>IF(Model!AF343&lt;&gt;"",Model!AF343,"")</f>
        <v>0</v>
      </c>
      <c r="AG201" s="99">
        <f>IF(Model!AG343&lt;&gt;"",Model!AG343,"")</f>
        <v>0</v>
      </c>
      <c r="AH201" s="99">
        <f>IF(ISERROR(Model!AH343),"",IF(Model!AH343&lt;&gt;"",Model!AH343,""))</f>
        <v>0</v>
      </c>
      <c r="AI201" s="99">
        <f>IF(Model!AI343&lt;&gt;"",Model!AI343,"")</f>
        <v>0</v>
      </c>
      <c r="AJ201" s="99">
        <f>IF(Model!AJ343&lt;&gt;"",Model!AJ343,"")</f>
        <v>0</v>
      </c>
      <c r="AK201" s="99">
        <f>IF(ISERROR(Model!AK343),"",IF(Model!AK343&lt;&gt;"",Model!AK343,""))</f>
        <v>0</v>
      </c>
      <c r="AL201" s="99">
        <f>IF(Model!AL343&lt;&gt;"",Model!AL343,"")</f>
        <v>0</v>
      </c>
      <c r="AM201" s="99">
        <f>IF(Model!AM343&lt;&gt;"",Model!AM343,"")</f>
        <v>0</v>
      </c>
      <c r="AN201" s="99">
        <f>IF(ISERROR(Model!AN343),"",IF(Model!AN343&lt;&gt;"",Model!AN343,""))</f>
        <v>0</v>
      </c>
      <c r="AO201" s="99">
        <f>IF(Model!AO343&lt;&gt;"",Model!AO343,"")</f>
        <v>6.4181107415835236E-4</v>
      </c>
      <c r="AP201" s="99">
        <f>IF(Model!AP343&lt;&gt;"",Model!AP343,"")</f>
        <v>1.1669292257424589E-3</v>
      </c>
      <c r="AQ201" s="99">
        <f>IF(ISERROR(Model!AQ343),"",IF(Model!AQ343&lt;&gt;"",Model!AQ343,""))</f>
        <v>9.0437014995040554E-4</v>
      </c>
      <c r="AR201" s="99">
        <f>IF(Model!AR343&lt;&gt;"",Model!AR343,"")</f>
        <v>7.0015753544547526E-4</v>
      </c>
      <c r="AS201" s="99">
        <f>IF(Model!AS343&lt;&gt;"",Model!AS343,"")</f>
        <v>1.4003150708909505E-3</v>
      </c>
      <c r="AT201" s="99">
        <f>IF(ISERROR(Model!AT343),"",IF(Model!AT343&lt;&gt;"",Model!AT343,""))</f>
        <v>1.0502363031682129E-3</v>
      </c>
      <c r="AU201" s="99">
        <f>IF(Model!AU343&lt;&gt;"",Model!AU343,"")</f>
        <v>8.1685045801972126E-4</v>
      </c>
      <c r="AV201" s="99">
        <f>IF(Model!AV343&lt;&gt;"",Model!AV343,"")</f>
        <v>1.6337009160394425E-3</v>
      </c>
      <c r="AW201" s="99">
        <f>IF(ISERROR(Model!AW343),"",IF(Model!AW343&lt;&gt;"",Model!AW343,""))</f>
        <v>1.2252756870295817E-3</v>
      </c>
      <c r="AX201" s="99">
        <f>IF(Model!AX343&lt;&gt;"",Model!AX343,"")</f>
        <v>9.3354338059396704E-4</v>
      </c>
      <c r="AY201" s="99">
        <f>IF(Model!AY343&lt;&gt;"",Model!AY343,"")</f>
        <v>1.7503938386136881E-3</v>
      </c>
      <c r="AZ201" s="99">
        <f>IF(ISERROR(Model!AZ343),"",IF(Model!AZ343&lt;&gt;"",Model!AZ343,""))</f>
        <v>1.3419686096038277E-3</v>
      </c>
      <c r="BA201" s="7">
        <v>0.36</v>
      </c>
      <c r="BB201" s="7">
        <v>0.36</v>
      </c>
      <c r="BC201" s="7">
        <v>0.36</v>
      </c>
      <c r="BD201" s="7">
        <v>0.36</v>
      </c>
      <c r="BE201" s="7">
        <v>0.36</v>
      </c>
      <c r="BF201" s="7">
        <v>0.36</v>
      </c>
      <c r="BG201" s="7">
        <v>0.36</v>
      </c>
      <c r="BH201" s="7">
        <v>0.36</v>
      </c>
      <c r="BI201" s="7">
        <v>0.36</v>
      </c>
      <c r="BJ201" s="7">
        <v>0.36</v>
      </c>
      <c r="BK201" s="7">
        <v>0.36</v>
      </c>
      <c r="BL201" s="7">
        <v>0.36</v>
      </c>
      <c r="BM201" s="7">
        <v>0.36</v>
      </c>
      <c r="BN201" s="7">
        <v>0.36</v>
      </c>
      <c r="BO201" s="7">
        <v>0.36</v>
      </c>
      <c r="BP201" s="7">
        <v>0.36</v>
      </c>
      <c r="BQ201" s="7">
        <v>0.36</v>
      </c>
      <c r="BR201" s="7">
        <v>0.36</v>
      </c>
      <c r="BS201" s="7">
        <v>0</v>
      </c>
      <c r="BT201" s="7">
        <v>0</v>
      </c>
      <c r="BU201" s="7">
        <v>0</v>
      </c>
      <c r="BV201" s="7">
        <v>0.5</v>
      </c>
      <c r="BW201" s="7">
        <f>BV201</f>
        <v>0.5</v>
      </c>
      <c r="BX201" s="7">
        <f>BW201</f>
        <v>0.5</v>
      </c>
      <c r="BY201" s="7">
        <v>0</v>
      </c>
      <c r="BZ201" s="7">
        <f t="shared" ref="BZ201:CM201" si="215">BY201</f>
        <v>0</v>
      </c>
      <c r="CA201" s="7">
        <f t="shared" si="215"/>
        <v>0</v>
      </c>
      <c r="CB201" s="7">
        <f t="shared" si="215"/>
        <v>0</v>
      </c>
      <c r="CC201" s="7">
        <f t="shared" si="215"/>
        <v>0</v>
      </c>
      <c r="CD201" s="7">
        <f t="shared" si="215"/>
        <v>0</v>
      </c>
      <c r="CE201" s="7">
        <f t="shared" si="215"/>
        <v>0</v>
      </c>
      <c r="CF201" s="7">
        <f t="shared" si="215"/>
        <v>0</v>
      </c>
      <c r="CG201" s="7">
        <f t="shared" si="215"/>
        <v>0</v>
      </c>
      <c r="CH201" s="7">
        <f t="shared" si="215"/>
        <v>0</v>
      </c>
      <c r="CI201" s="7">
        <f t="shared" si="215"/>
        <v>0</v>
      </c>
      <c r="CJ201" s="7">
        <f t="shared" si="215"/>
        <v>0</v>
      </c>
      <c r="CK201" s="7">
        <f t="shared" si="215"/>
        <v>0</v>
      </c>
      <c r="CL201" s="7">
        <f t="shared" si="215"/>
        <v>0</v>
      </c>
      <c r="CM201" s="7">
        <f t="shared" si="215"/>
        <v>0</v>
      </c>
      <c r="CN201" s="7">
        <f t="shared" ref="CN201:DQ201" si="216">CM201</f>
        <v>0</v>
      </c>
      <c r="CO201" s="7">
        <f t="shared" si="216"/>
        <v>0</v>
      </c>
      <c r="CP201" s="7">
        <f t="shared" si="216"/>
        <v>0</v>
      </c>
      <c r="CQ201" s="7">
        <f t="shared" si="216"/>
        <v>0</v>
      </c>
      <c r="CR201" s="7">
        <f t="shared" si="216"/>
        <v>0</v>
      </c>
      <c r="CS201" s="7">
        <f t="shared" si="216"/>
        <v>0</v>
      </c>
      <c r="CT201" s="7">
        <f t="shared" si="216"/>
        <v>0</v>
      </c>
      <c r="CU201" s="7">
        <f t="shared" si="216"/>
        <v>0</v>
      </c>
      <c r="CV201" s="7">
        <f t="shared" si="216"/>
        <v>0</v>
      </c>
      <c r="CW201" s="7">
        <f t="shared" si="216"/>
        <v>0</v>
      </c>
      <c r="CX201" s="7">
        <f t="shared" si="216"/>
        <v>0</v>
      </c>
      <c r="CY201" s="7">
        <f t="shared" si="216"/>
        <v>0</v>
      </c>
      <c r="CZ201" s="7">
        <f t="shared" si="216"/>
        <v>0</v>
      </c>
      <c r="DA201" s="7">
        <f t="shared" si="216"/>
        <v>0</v>
      </c>
      <c r="DB201" s="7">
        <f t="shared" si="216"/>
        <v>0</v>
      </c>
      <c r="DC201" s="7">
        <f t="shared" si="216"/>
        <v>0</v>
      </c>
      <c r="DD201" s="7">
        <f t="shared" si="216"/>
        <v>0</v>
      </c>
      <c r="DE201" s="146">
        <f t="shared" si="216"/>
        <v>0</v>
      </c>
      <c r="DF201" s="7">
        <f t="shared" si="216"/>
        <v>0</v>
      </c>
      <c r="DG201" s="7">
        <f t="shared" si="216"/>
        <v>0</v>
      </c>
      <c r="DH201" s="146">
        <f t="shared" si="216"/>
        <v>0</v>
      </c>
      <c r="DI201" s="7">
        <f t="shared" si="216"/>
        <v>0</v>
      </c>
      <c r="DJ201" s="7">
        <f t="shared" si="216"/>
        <v>0</v>
      </c>
      <c r="DK201" s="146">
        <f t="shared" si="216"/>
        <v>0</v>
      </c>
      <c r="DL201" s="7">
        <f t="shared" si="216"/>
        <v>0</v>
      </c>
      <c r="DM201" s="7">
        <f t="shared" si="216"/>
        <v>0</v>
      </c>
      <c r="DN201" s="146">
        <f t="shared" si="216"/>
        <v>0</v>
      </c>
      <c r="DO201" s="7">
        <f t="shared" si="216"/>
        <v>0</v>
      </c>
      <c r="DP201" s="7">
        <f t="shared" si="216"/>
        <v>0</v>
      </c>
      <c r="DQ201" s="146">
        <f t="shared" si="216"/>
        <v>0</v>
      </c>
      <c r="DR201" s="7">
        <f t="shared" ref="DR201:DZ201" si="217">DQ201</f>
        <v>0</v>
      </c>
      <c r="DS201" s="7">
        <f t="shared" si="217"/>
        <v>0</v>
      </c>
      <c r="DT201" s="146">
        <f t="shared" si="217"/>
        <v>0</v>
      </c>
      <c r="DU201" s="7">
        <f t="shared" si="217"/>
        <v>0</v>
      </c>
      <c r="DV201" s="7">
        <f>DU201</f>
        <v>0</v>
      </c>
      <c r="DW201" s="146">
        <f>DV201</f>
        <v>0</v>
      </c>
      <c r="DX201" s="7">
        <f t="shared" si="217"/>
        <v>0</v>
      </c>
      <c r="DY201" s="7">
        <f t="shared" si="217"/>
        <v>0</v>
      </c>
      <c r="DZ201" s="146">
        <f t="shared" si="217"/>
        <v>0</v>
      </c>
      <c r="EA201" s="7">
        <f t="shared" ref="EA201:EF201" si="218">DZ201</f>
        <v>0</v>
      </c>
      <c r="EB201" s="7">
        <f t="shared" si="218"/>
        <v>0</v>
      </c>
      <c r="EC201" s="146">
        <f t="shared" si="218"/>
        <v>0</v>
      </c>
      <c r="ED201" s="7">
        <f t="shared" si="218"/>
        <v>0</v>
      </c>
      <c r="EE201" s="7">
        <f t="shared" si="218"/>
        <v>0</v>
      </c>
      <c r="EF201" s="146">
        <f t="shared" si="218"/>
        <v>0</v>
      </c>
      <c r="EG201" s="7">
        <f t="shared" ref="EG201:EL201" si="219">EF201</f>
        <v>0</v>
      </c>
      <c r="EH201" s="7">
        <f t="shared" si="219"/>
        <v>0</v>
      </c>
      <c r="EI201" s="146">
        <f t="shared" si="219"/>
        <v>0</v>
      </c>
      <c r="EJ201" s="7">
        <f t="shared" si="219"/>
        <v>0</v>
      </c>
      <c r="EK201" s="7">
        <f t="shared" si="219"/>
        <v>0</v>
      </c>
      <c r="EL201" s="146">
        <f t="shared" si="219"/>
        <v>0</v>
      </c>
      <c r="EM201" s="7">
        <f t="shared" ref="EM201:FA201" si="220">EL201</f>
        <v>0</v>
      </c>
      <c r="EN201" s="7">
        <f t="shared" si="220"/>
        <v>0</v>
      </c>
      <c r="EO201" s="146">
        <f t="shared" si="220"/>
        <v>0</v>
      </c>
      <c r="EP201" s="7">
        <f t="shared" si="220"/>
        <v>0</v>
      </c>
      <c r="EQ201" s="7">
        <f t="shared" si="220"/>
        <v>0</v>
      </c>
      <c r="ER201" s="146">
        <f t="shared" si="220"/>
        <v>0</v>
      </c>
      <c r="ES201" s="7">
        <f t="shared" si="220"/>
        <v>0</v>
      </c>
      <c r="ET201" s="7">
        <f t="shared" si="220"/>
        <v>0</v>
      </c>
      <c r="EU201" s="146">
        <f t="shared" si="220"/>
        <v>0</v>
      </c>
      <c r="EV201" s="7">
        <f t="shared" si="220"/>
        <v>0</v>
      </c>
      <c r="EW201" s="7">
        <f t="shared" si="220"/>
        <v>0</v>
      </c>
      <c r="EX201" s="146">
        <f t="shared" si="220"/>
        <v>0</v>
      </c>
      <c r="EY201" s="7">
        <f t="shared" si="220"/>
        <v>0</v>
      </c>
      <c r="EZ201" s="7">
        <f t="shared" si="220"/>
        <v>0</v>
      </c>
      <c r="FA201" s="146">
        <f t="shared" si="220"/>
        <v>0</v>
      </c>
    </row>
    <row r="202" spans="1:157" ht="13.35" customHeight="1">
      <c r="A202" s="3"/>
      <c r="B202" s="4" t="s">
        <v>697</v>
      </c>
      <c r="C202" s="4"/>
      <c r="D202" s="3"/>
      <c r="E202" s="99">
        <f>IF(Model!E345&lt;&gt;"",Model!E345,"")</f>
        <v>0</v>
      </c>
      <c r="F202" s="99">
        <f>IF(Model!F345&lt;&gt;"",Model!F345,"")</f>
        <v>0</v>
      </c>
      <c r="G202" s="99"/>
      <c r="H202" s="99">
        <f>IF(Model!H345&lt;&gt;"",Model!H345,"")</f>
        <v>0</v>
      </c>
      <c r="I202" s="99">
        <f>IF(Model!I345&lt;&gt;"",Model!I345,"")</f>
        <v>0</v>
      </c>
      <c r="J202" s="99"/>
      <c r="K202" s="99">
        <f>IF(Model!K345&lt;&gt;"",Model!K345,"")</f>
        <v>0</v>
      </c>
      <c r="L202" s="99">
        <f>IF(Model!L345&lt;&gt;"",Model!L345,"")</f>
        <v>0</v>
      </c>
      <c r="M202" s="99"/>
      <c r="N202" s="99">
        <f>IF(Model!N345&lt;&gt;"",Model!N345,"")</f>
        <v>0</v>
      </c>
      <c r="O202" s="99">
        <f>IF(Model!O345&lt;&gt;"",Model!O345,"")</f>
        <v>0</v>
      </c>
      <c r="P202" s="99"/>
      <c r="Q202" s="99">
        <f>IF(Model!Q345&lt;&gt;"",Model!Q345,"")</f>
        <v>0</v>
      </c>
      <c r="R202" s="99">
        <f>IF(Model!R345&lt;&gt;"",Model!R345,"")</f>
        <v>0</v>
      </c>
      <c r="S202" s="99"/>
      <c r="T202" s="99">
        <f>IF(Model!T345&lt;&gt;"",Model!T345,"")</f>
        <v>0</v>
      </c>
      <c r="U202" s="99">
        <f>IF(Model!U345&lt;&gt;"",Model!U345,"")</f>
        <v>0</v>
      </c>
      <c r="V202" s="99"/>
      <c r="W202" s="99">
        <f>IF(Model!W345&lt;&gt;"",Model!W345,"")</f>
        <v>0</v>
      </c>
      <c r="X202" s="99">
        <f>IF(Model!X345&lt;&gt;"",Model!X345,"")</f>
        <v>0</v>
      </c>
      <c r="Y202" s="99"/>
      <c r="Z202" s="99">
        <f>IF(Model!Z345&lt;&gt;"",Model!Z345,"")</f>
        <v>0</v>
      </c>
      <c r="AA202" s="99">
        <f>IF(Model!AA345&lt;&gt;"",Model!AA345,"")</f>
        <v>0</v>
      </c>
      <c r="AB202" s="99"/>
      <c r="AC202" s="99">
        <f>IF(Model!AC345&lt;&gt;"",Model!AC345,"")</f>
        <v>0</v>
      </c>
      <c r="AD202" s="99">
        <f>IF(Model!AD345&lt;&gt;"",Model!AD345,"")</f>
        <v>0</v>
      </c>
      <c r="AE202" s="99"/>
      <c r="AF202" s="99">
        <f>IF(Model!AF345&lt;&gt;"",Model!AF345,"")</f>
        <v>0</v>
      </c>
      <c r="AG202" s="99">
        <f>IF(Model!AG345&lt;&gt;"",Model!AG345,"")</f>
        <v>0</v>
      </c>
      <c r="AH202" s="99"/>
      <c r="AI202" s="99">
        <f>IF(Model!AI345&lt;&gt;"",Model!AI345,"")</f>
        <v>0</v>
      </c>
      <c r="AJ202" s="99">
        <f>IF(Model!AJ345&lt;&gt;"",Model!AJ345,"")</f>
        <v>0</v>
      </c>
      <c r="AK202" s="99"/>
      <c r="AL202" s="99">
        <f>IF(Model!AL345&lt;&gt;"",Model!AL345,"")</f>
        <v>0.39</v>
      </c>
      <c r="AM202" s="99">
        <f>IF(Model!AM345&lt;&gt;"",Model!AM345,"")</f>
        <v>0.39</v>
      </c>
      <c r="AN202" s="99"/>
      <c r="AO202" s="99">
        <f>IF(Model!AO345&lt;&gt;"",Model!AO345,"")</f>
        <v>1</v>
      </c>
      <c r="AP202" s="99">
        <f>IF(Model!AP345&lt;&gt;"",Model!AP345,"")</f>
        <v>0.38</v>
      </c>
      <c r="AQ202" s="99">
        <f>IF(Model!AQ345&lt;&gt;"",Model!AQ345,"")</f>
        <v>0.6</v>
      </c>
      <c r="AR202" s="99">
        <f>IF(Model!AR345&lt;&gt;"",Model!AR345,"")</f>
        <v>1</v>
      </c>
      <c r="AS202" s="99">
        <f>IF(Model!AS345&lt;&gt;"",Model!AS345,"")</f>
        <v>1</v>
      </c>
      <c r="AT202" s="99">
        <f>IF(Model!AT345&lt;&gt;"",Model!AT345,"")</f>
        <v>1</v>
      </c>
      <c r="AU202" s="97"/>
      <c r="AV202" s="97"/>
      <c r="AW202" s="99">
        <f>IF(Model!AW345&lt;&gt;"",Model!AW345,"")</f>
        <v>1</v>
      </c>
      <c r="AX202" s="97"/>
      <c r="AY202" s="97"/>
      <c r="AZ202" s="99">
        <f>IF(Model!AZ345&lt;&gt;"",Model!AZ345,"")</f>
        <v>1</v>
      </c>
      <c r="BA202" s="8"/>
      <c r="BB202" s="8"/>
      <c r="BC202" s="99">
        <f>IF(Model!BC345&lt;&gt;"",Model!BC345,"")</f>
        <v>0.99999999999999989</v>
      </c>
      <c r="BD202" s="8"/>
      <c r="BE202" s="8"/>
      <c r="BF202" s="99">
        <f>IF(Model!BF345&lt;&gt;"",Model!BF345,"")</f>
        <v>0.36</v>
      </c>
      <c r="BG202" s="8"/>
      <c r="BH202" s="8"/>
      <c r="BI202" s="99">
        <f>IF(Model!BI345&lt;&gt;"",Model!BI345,"")</f>
        <v>0.36</v>
      </c>
      <c r="BJ202" s="8"/>
      <c r="BK202" s="8"/>
      <c r="BL202" s="99">
        <f>IF(Model!BL345&lt;&gt;"",Model!BL345,"")</f>
        <v>0.36</v>
      </c>
      <c r="BM202" s="8"/>
      <c r="BN202" s="8"/>
      <c r="BO202" s="99">
        <f>IF(Model!BO345&lt;&gt;"",Model!BO345,"")</f>
        <v>0.36</v>
      </c>
      <c r="BP202" s="8"/>
      <c r="BQ202" s="8"/>
      <c r="BR202" s="99">
        <f>IF(Model!BR345&lt;&gt;"",Model!BR345,"")</f>
        <v>0.36</v>
      </c>
      <c r="BS202" s="8"/>
      <c r="BT202" s="8"/>
      <c r="BU202" s="99">
        <f>IF(Model!BU345&lt;&gt;"",Model!BU345,"")</f>
        <v>0</v>
      </c>
      <c r="BV202" s="8"/>
      <c r="BW202" s="8"/>
      <c r="BX202" s="99">
        <f>IF(Model!BX345&lt;&gt;"",Model!BX345,"")</f>
        <v>0.5</v>
      </c>
      <c r="BY202" s="8"/>
      <c r="BZ202" s="8"/>
      <c r="CA202" s="99">
        <f>IF(Model!CA345&lt;&gt;"",Model!CA345,"")</f>
        <v>0</v>
      </c>
      <c r="CB202" s="8"/>
      <c r="CC202" s="8"/>
      <c r="CD202" s="99">
        <f>IF(Model!CD345&lt;&gt;"",Model!CD345,"")</f>
        <v>6.1889591639024681E-2</v>
      </c>
      <c r="CE202" s="8"/>
      <c r="CF202" s="8"/>
      <c r="CG202" s="99">
        <f>IF(Model!CG345&lt;&gt;"",Model!CG345,"")</f>
        <v>0</v>
      </c>
      <c r="CH202" s="8"/>
      <c r="CI202" s="8"/>
      <c r="CJ202" s="99">
        <f>IF(Model!CJ345&lt;&gt;"",Model!CJ345,"")</f>
        <v>0</v>
      </c>
      <c r="CK202" s="8"/>
      <c r="CL202" s="8"/>
      <c r="CM202" s="99">
        <f>IF(Model!CM345&lt;&gt;"",Model!CM345,"")</f>
        <v>0</v>
      </c>
      <c r="CN202" s="8"/>
      <c r="CO202" s="8"/>
      <c r="CP202" s="99">
        <f>IF(Model!CP345&lt;&gt;"",Model!CP345,"")</f>
        <v>0</v>
      </c>
      <c r="CQ202" s="8"/>
      <c r="CR202" s="8"/>
      <c r="CS202" s="99">
        <f>IF(Model!CS345&lt;&gt;"",Model!CS345,"")</f>
        <v>0</v>
      </c>
      <c r="CT202" s="8"/>
      <c r="CU202" s="8"/>
      <c r="CV202" s="99">
        <f>IF(Model!CV345&lt;&gt;"",Model!CV345,"")</f>
        <v>0</v>
      </c>
      <c r="CW202" s="8"/>
      <c r="CX202" s="8"/>
      <c r="CY202" s="99">
        <f>IF(Model!CY345&lt;&gt;"",Model!CY345,"")</f>
        <v>0</v>
      </c>
      <c r="CZ202" s="8"/>
      <c r="DA202" s="8"/>
      <c r="DB202" s="99">
        <f>IF(Model!DB345&lt;&gt;"",Model!DB345,"")</f>
        <v>0</v>
      </c>
      <c r="DC202" s="8"/>
      <c r="DD202" s="8"/>
      <c r="DE202" s="149">
        <f>IF(Model!DE345&lt;&gt;"",Model!DE345,"")</f>
        <v>0</v>
      </c>
      <c r="DF202" s="8"/>
      <c r="DG202" s="8"/>
      <c r="DH202" s="149">
        <f>IF(Model!DH345&lt;&gt;"",Model!DH345,"")</f>
        <v>0</v>
      </c>
      <c r="DI202" s="8"/>
      <c r="DJ202" s="8"/>
      <c r="DK202" s="149">
        <f>IF(Model!DK345&lt;&gt;"",Model!DK345,"")</f>
        <v>0</v>
      </c>
      <c r="DL202" s="8"/>
      <c r="DM202" s="8"/>
      <c r="DN202" s="149">
        <f>IF(Model!DN345&lt;&gt;"",Model!DN345,"")</f>
        <v>0</v>
      </c>
      <c r="DO202" s="8"/>
      <c r="DP202" s="8"/>
      <c r="DQ202" s="149">
        <f>IF(Model!DQ345&lt;&gt;"",Model!DQ345,"")</f>
        <v>0</v>
      </c>
      <c r="DR202" s="8"/>
      <c r="DS202" s="8"/>
      <c r="DT202" s="149">
        <f>IF(Model!DT345&lt;&gt;"",Model!DT345,"")</f>
        <v>0</v>
      </c>
      <c r="DU202" s="8"/>
      <c r="DV202" s="8"/>
      <c r="DW202" s="149">
        <f>IF(Model!DW345&lt;&gt;"",Model!DW345,"")</f>
        <v>0</v>
      </c>
      <c r="DX202" s="8"/>
      <c r="DY202" s="8"/>
      <c r="DZ202" s="149">
        <f>IF(Model!DZ345&lt;&gt;"",Model!DZ345,"")</f>
        <v>0</v>
      </c>
      <c r="EA202" s="8"/>
      <c r="EB202" s="8"/>
      <c r="EC202" s="149">
        <f>IF(Model!EC345&lt;&gt;"",Model!EC345,"")</f>
        <v>0</v>
      </c>
      <c r="ED202" s="8"/>
      <c r="EE202" s="8"/>
      <c r="EF202" s="149">
        <f>IF(Model!EF345&lt;&gt;"",Model!EF345,"")</f>
        <v>0</v>
      </c>
      <c r="EG202" s="8"/>
      <c r="EH202" s="8"/>
      <c r="EI202" s="149">
        <f>IF(Model!EI345&lt;&gt;"",Model!EI345,"")</f>
        <v>0</v>
      </c>
      <c r="EJ202" s="8"/>
      <c r="EK202" s="8"/>
      <c r="EL202" s="149">
        <f>IF(Model!EL345&lt;&gt;"",Model!EL345,"")</f>
        <v>0</v>
      </c>
      <c r="EM202" s="8"/>
      <c r="EN202" s="8"/>
      <c r="EO202" s="149">
        <f>IF(Model!EO345&lt;&gt;"",Model!EO345,"")</f>
        <v>0</v>
      </c>
      <c r="EP202" s="8"/>
      <c r="EQ202" s="8"/>
      <c r="ER202" s="149">
        <f>IF(Model!ER345&lt;&gt;"",Model!ER345,"")</f>
        <v>0</v>
      </c>
      <c r="ES202" s="8"/>
      <c r="ET202" s="8"/>
      <c r="EU202" s="149">
        <f>IF(Model!EU345&lt;&gt;"",Model!EU345,"")</f>
        <v>0</v>
      </c>
      <c r="EV202" s="8"/>
      <c r="EW202" s="8"/>
      <c r="EX202" s="149">
        <f>IF(Model!EX345&lt;&gt;"",Model!EX345,"")</f>
        <v>0</v>
      </c>
      <c r="EY202" s="8"/>
      <c r="EZ202" s="8"/>
      <c r="FA202" s="149">
        <f>IF(Model!FA345&lt;&gt;"",Model!FA345,"")</f>
        <v>0</v>
      </c>
    </row>
    <row r="203" spans="1:157" ht="13.35" customHeight="1">
      <c r="A203" s="3"/>
      <c r="B203" s="4" t="s">
        <v>263</v>
      </c>
      <c r="C203" s="4"/>
      <c r="D203" s="3"/>
      <c r="E203" s="95" t="str">
        <f>IF(Model!E348&lt;&gt;"",Model!E348,"")</f>
        <v/>
      </c>
      <c r="F203" s="95" t="str">
        <f>IF(Model!F348&lt;&gt;"",Model!F348,"")</f>
        <v/>
      </c>
      <c r="G203" s="95">
        <f>IF(Model!G348&lt;&gt;"",Model!G348,"")</f>
        <v>0</v>
      </c>
      <c r="H203" s="95" t="str">
        <f>IF(Model!H348&lt;&gt;"",Model!H348,"")</f>
        <v/>
      </c>
      <c r="I203" s="95" t="str">
        <f>IF(Model!I348&lt;&gt;"",Model!I348,"")</f>
        <v/>
      </c>
      <c r="J203" s="95">
        <f>IF(Model!J348&lt;&gt;"",Model!J348,"")</f>
        <v>0</v>
      </c>
      <c r="K203" s="95" t="str">
        <f>IF(Model!K348&lt;&gt;"",Model!K348,"")</f>
        <v/>
      </c>
      <c r="L203" s="95" t="str">
        <f>IF(Model!L348&lt;&gt;"",Model!L348,"")</f>
        <v/>
      </c>
      <c r="M203" s="95">
        <f>IF(Model!M348&lt;&gt;"",Model!M348,"")</f>
        <v>0</v>
      </c>
      <c r="N203" s="95" t="str">
        <f>IF(Model!N348&lt;&gt;"",Model!N348,"")</f>
        <v/>
      </c>
      <c r="O203" s="95" t="str">
        <f>IF(Model!O348&lt;&gt;"",Model!O348,"")</f>
        <v/>
      </c>
      <c r="P203" s="95">
        <f>IF(Model!P348&lt;&gt;"",Model!P348,"")</f>
        <v>0</v>
      </c>
      <c r="Q203" s="95" t="str">
        <f>IF(Model!Q348&lt;&gt;"",Model!Q348,"")</f>
        <v/>
      </c>
      <c r="R203" s="95" t="str">
        <f>IF(Model!R348&lt;&gt;"",Model!R348,"")</f>
        <v/>
      </c>
      <c r="S203" s="95">
        <f>IF(Model!S348&lt;&gt;"",Model!S348,"")</f>
        <v>0</v>
      </c>
      <c r="T203" s="95" t="str">
        <f>IF(Model!T348&lt;&gt;"",Model!T348,"")</f>
        <v/>
      </c>
      <c r="U203" s="95" t="str">
        <f>IF(Model!U348&lt;&gt;"",Model!U348,"")</f>
        <v/>
      </c>
      <c r="V203" s="95">
        <f>IF(Model!V348&lt;&gt;"",Model!V348,"")</f>
        <v>0</v>
      </c>
      <c r="W203" s="95" t="str">
        <f>IF(Model!W348&lt;&gt;"",Model!W348,"")</f>
        <v/>
      </c>
      <c r="X203" s="95" t="str">
        <f>IF(Model!X348&lt;&gt;"",Model!X348,"")</f>
        <v/>
      </c>
      <c r="Y203" s="95">
        <f>IF(Model!Y348&lt;&gt;"",Model!Y348,"")</f>
        <v>0</v>
      </c>
      <c r="Z203" s="95" t="str">
        <f>IF(Model!Z348&lt;&gt;"",Model!Z348,"")</f>
        <v/>
      </c>
      <c r="AA203" s="95" t="str">
        <f>IF(Model!AA348&lt;&gt;"",Model!AA348,"")</f>
        <v/>
      </c>
      <c r="AB203" s="95">
        <f>IF(Model!AB348&lt;&gt;"",Model!AB348,"")</f>
        <v>0</v>
      </c>
      <c r="AC203" s="95" t="str">
        <f>IF(Model!AC348&lt;&gt;"",Model!AC348,"")</f>
        <v/>
      </c>
      <c r="AD203" s="95" t="str">
        <f>IF(Model!AD348&lt;&gt;"",Model!AD348,"")</f>
        <v/>
      </c>
      <c r="AE203" s="95">
        <f>IF(Model!AE348&lt;&gt;"",Model!AE348,"")</f>
        <v>0</v>
      </c>
      <c r="AF203" s="95" t="str">
        <f>IF(Model!AF348&lt;&gt;"",Model!AF348,"")</f>
        <v/>
      </c>
      <c r="AG203" s="95" t="str">
        <f>IF(Model!AG348&lt;&gt;"",Model!AG348,"")</f>
        <v/>
      </c>
      <c r="AH203" s="95">
        <f>IF(Model!AH348&lt;&gt;"",Model!AH348,"")</f>
        <v>0</v>
      </c>
      <c r="AI203" s="95" t="str">
        <f>IF(Model!AI348&lt;&gt;"",Model!AI348,"")</f>
        <v/>
      </c>
      <c r="AJ203" s="95" t="str">
        <f>IF(Model!AJ348&lt;&gt;"",Model!AJ348,"")</f>
        <v/>
      </c>
      <c r="AK203" s="95">
        <f>IF(Model!AK348&lt;&gt;"",Model!AK348,"")</f>
        <v>0</v>
      </c>
      <c r="AL203" s="95" t="str">
        <f>IF(Model!AL348&lt;&gt;"",Model!AL348,"")</f>
        <v/>
      </c>
      <c r="AM203" s="95" t="str">
        <f>IF(Model!AM348&lt;&gt;"",Model!AM348,"")</f>
        <v/>
      </c>
      <c r="AN203" s="95">
        <f>IF(Model!AN348&lt;&gt;"",Model!AN348,"")</f>
        <v>0</v>
      </c>
      <c r="AO203" s="95" t="str">
        <f>IF(Model!AO348&lt;&gt;"",Model!AO348,"")</f>
        <v/>
      </c>
      <c r="AP203" s="95" t="str">
        <f>IF(Model!AP348&lt;&gt;"",Model!AP348,"")</f>
        <v/>
      </c>
      <c r="AQ203" s="95">
        <f>IF(Model!AQ348&lt;&gt;"",Model!AQ348,"")</f>
        <v>0</v>
      </c>
      <c r="AR203" s="95" t="str">
        <f>IF(Model!AR348&lt;&gt;"",Model!AR348,"")</f>
        <v/>
      </c>
      <c r="AS203" s="95" t="str">
        <f>IF(Model!AS348&lt;&gt;"",Model!AS348,"")</f>
        <v/>
      </c>
      <c r="AT203" s="95">
        <f>IF(Model!AT348&lt;&gt;"",Model!AT348,"")</f>
        <v>0</v>
      </c>
      <c r="AU203" s="95" t="str">
        <f>IF(Model!AU348&lt;&gt;"",Model!AU348,"")</f>
        <v/>
      </c>
      <c r="AV203" s="95" t="str">
        <f>IF(Model!AV348&lt;&gt;"",Model!AV348,"")</f>
        <v/>
      </c>
      <c r="AW203" s="95">
        <f>IF(Model!AW348&lt;&gt;"",Model!AW348,"")</f>
        <v>0</v>
      </c>
      <c r="AX203" s="95" t="str">
        <f>IF(Model!AX348&lt;&gt;"",Model!AX348,"")</f>
        <v/>
      </c>
      <c r="AY203" s="95" t="str">
        <f>IF(Model!AY348&lt;&gt;"",Model!AY348,"")</f>
        <v/>
      </c>
      <c r="AZ203" s="95">
        <f>IF(Model!AZ348&lt;&gt;"",Model!AZ348,"")</f>
        <v>0</v>
      </c>
      <c r="BA203" s="120"/>
      <c r="BB203" s="120"/>
      <c r="BC203" s="95"/>
      <c r="BD203" s="120"/>
      <c r="BE203" s="120"/>
      <c r="BF203" s="95">
        <f>IF(Model!BF348&lt;&gt;"",Model!BF348,"")</f>
        <v>0</v>
      </c>
      <c r="BG203" s="121">
        <f>BE203</f>
        <v>0</v>
      </c>
      <c r="BH203" s="121">
        <f>BG203</f>
        <v>0</v>
      </c>
      <c r="BI203" s="95">
        <f>IF(Model!BI348&lt;&gt;"",Model!BI348,"")</f>
        <v>0</v>
      </c>
      <c r="BJ203" s="121">
        <f>BH203</f>
        <v>0</v>
      </c>
      <c r="BK203" s="121">
        <f>BJ203</f>
        <v>0</v>
      </c>
      <c r="BL203" s="95">
        <f>IF(Model!BL348&lt;&gt;"",Model!BL348,"")</f>
        <v>0</v>
      </c>
      <c r="BM203" s="121">
        <f>BK203</f>
        <v>0</v>
      </c>
      <c r="BN203" s="121">
        <f>BM203</f>
        <v>0</v>
      </c>
      <c r="BO203" s="95">
        <f>IF(Model!BO348&lt;&gt;"",Model!BO348,"")</f>
        <v>0</v>
      </c>
      <c r="BP203" s="121">
        <f>BN203</f>
        <v>0</v>
      </c>
      <c r="BQ203" s="121">
        <f>BP203</f>
        <v>0</v>
      </c>
      <c r="BR203" s="95">
        <f>IF(Model!BR348&lt;&gt;"",Model!BR348,"")</f>
        <v>0</v>
      </c>
      <c r="BS203" s="121">
        <f>BQ203</f>
        <v>0</v>
      </c>
      <c r="BT203" s="121">
        <f>BS203</f>
        <v>0</v>
      </c>
      <c r="BU203" s="95">
        <f>IF(Model!BU348&lt;&gt;"",Model!BU348,"")</f>
        <v>0</v>
      </c>
      <c r="BV203" s="121">
        <f>BT203</f>
        <v>0</v>
      </c>
      <c r="BW203" s="121">
        <f>BV203</f>
        <v>0</v>
      </c>
      <c r="BX203" s="95">
        <f>IF(Model!BX348&lt;&gt;"",Model!BX348,"")</f>
        <v>0</v>
      </c>
      <c r="BY203" s="121">
        <f>BW203</f>
        <v>0</v>
      </c>
      <c r="BZ203" s="121">
        <f>BY203</f>
        <v>0</v>
      </c>
      <c r="CA203" s="95">
        <f>IF(Model!CA348&lt;&gt;"",Model!CA348,"")</f>
        <v>0</v>
      </c>
      <c r="CB203" s="121">
        <f>BZ203</f>
        <v>0</v>
      </c>
      <c r="CC203" s="121">
        <f>CB203</f>
        <v>0</v>
      </c>
      <c r="CD203" s="95">
        <f>IF(Model!CD348&lt;&gt;"",Model!CD348,"")</f>
        <v>0</v>
      </c>
      <c r="CE203" s="121">
        <f>CC203</f>
        <v>0</v>
      </c>
      <c r="CF203" s="121">
        <f>CE203</f>
        <v>0</v>
      </c>
      <c r="CG203" s="95">
        <f>IF(Model!CG348&lt;&gt;"",Model!CG348,"")</f>
        <v>0</v>
      </c>
      <c r="CH203" s="121">
        <f>CF203</f>
        <v>0</v>
      </c>
      <c r="CI203" s="121">
        <f>CH203</f>
        <v>0</v>
      </c>
      <c r="CJ203" s="95">
        <f>IF(Model!CJ348&lt;&gt;"",Model!CJ348,"")</f>
        <v>0</v>
      </c>
      <c r="CK203" s="121">
        <f>CI203</f>
        <v>0</v>
      </c>
      <c r="CL203" s="121">
        <f>CK203</f>
        <v>0</v>
      </c>
      <c r="CM203" s="95">
        <f>IF(Model!CM348&lt;&gt;"",Model!CM348,"")</f>
        <v>0</v>
      </c>
      <c r="CN203" s="121">
        <f>CL203</f>
        <v>0</v>
      </c>
      <c r="CO203" s="121">
        <f>CN203</f>
        <v>0</v>
      </c>
      <c r="CP203" s="95">
        <f>IF(Model!CP348&lt;&gt;"",Model!CP348,"")</f>
        <v>0</v>
      </c>
      <c r="CQ203" s="121">
        <f>CO203</f>
        <v>0</v>
      </c>
      <c r="CR203" s="121">
        <f>CQ203</f>
        <v>0</v>
      </c>
      <c r="CS203" s="95">
        <f>IF(Model!CS348&lt;&gt;"",Model!CS348,"")</f>
        <v>0</v>
      </c>
      <c r="CT203" s="121">
        <f>CR203</f>
        <v>0</v>
      </c>
      <c r="CU203" s="121">
        <f>CT203</f>
        <v>0</v>
      </c>
      <c r="CV203" s="95">
        <f>IF(Model!CV348&lt;&gt;"",Model!CV348,"")</f>
        <v>0</v>
      </c>
      <c r="CW203" s="121">
        <f>CU203</f>
        <v>0</v>
      </c>
      <c r="CX203" s="121">
        <f>CW203</f>
        <v>0</v>
      </c>
      <c r="CY203" s="95">
        <f>IF(Model!CY348&lt;&gt;"",Model!CY348,"")</f>
        <v>0</v>
      </c>
      <c r="CZ203" s="121">
        <f>CX203</f>
        <v>0</v>
      </c>
      <c r="DA203" s="121">
        <f>CZ203</f>
        <v>0</v>
      </c>
      <c r="DB203" s="95">
        <f>IF(Model!DB348&lt;&gt;"",Model!DB348,"")</f>
        <v>0</v>
      </c>
      <c r="DC203" s="121">
        <f>DA203</f>
        <v>0</v>
      </c>
      <c r="DD203" s="121">
        <f>DC203</f>
        <v>0</v>
      </c>
      <c r="DE203" s="138">
        <f>IF(Model!DE348&lt;&gt;"",Model!DE348,"")</f>
        <v>0</v>
      </c>
      <c r="DF203" s="121">
        <f>DD203</f>
        <v>0</v>
      </c>
      <c r="DG203" s="121">
        <f>DF203</f>
        <v>0</v>
      </c>
      <c r="DH203" s="138">
        <f>IF(Model!DH348&lt;&gt;"",Model!DH348,"")</f>
        <v>0</v>
      </c>
      <c r="DI203" s="121">
        <f>DG203</f>
        <v>0</v>
      </c>
      <c r="DJ203" s="121">
        <f>DI203</f>
        <v>0</v>
      </c>
      <c r="DK203" s="138">
        <f>IF(Model!DK348&lt;&gt;"",Model!DK348,"")</f>
        <v>0</v>
      </c>
      <c r="DL203" s="121">
        <f>DJ203</f>
        <v>0</v>
      </c>
      <c r="DM203" s="121">
        <f>DL203</f>
        <v>0</v>
      </c>
      <c r="DN203" s="138">
        <f>IF(Model!DN348&lt;&gt;"",Model!DN348,"")</f>
        <v>0</v>
      </c>
      <c r="DO203" s="121">
        <f>DM203</f>
        <v>0</v>
      </c>
      <c r="DP203" s="121">
        <f>DO203</f>
        <v>0</v>
      </c>
      <c r="DQ203" s="138">
        <f>IF(Model!DQ348&lt;&gt;"",Model!DQ348,"")</f>
        <v>0</v>
      </c>
      <c r="DR203" s="121">
        <f>DP203</f>
        <v>0</v>
      </c>
      <c r="DS203" s="121">
        <f>DR203</f>
        <v>0</v>
      </c>
      <c r="DT203" s="138">
        <f>IF(Model!DT348&lt;&gt;"",Model!DT348,"")</f>
        <v>0</v>
      </c>
      <c r="DU203" s="121">
        <f>DS203</f>
        <v>0</v>
      </c>
      <c r="DV203" s="121">
        <f>DU203</f>
        <v>0</v>
      </c>
      <c r="DW203" s="138">
        <f>IF(Model!DW348&lt;&gt;"",Model!DW348,"")</f>
        <v>0</v>
      </c>
      <c r="DX203" s="121">
        <f>DV203</f>
        <v>0</v>
      </c>
      <c r="DY203" s="121">
        <f>DX203</f>
        <v>0</v>
      </c>
      <c r="DZ203" s="138">
        <f>IF(Model!DZ348&lt;&gt;"",Model!DZ348,"")</f>
        <v>0</v>
      </c>
      <c r="EA203" s="121">
        <f>DY203</f>
        <v>0</v>
      </c>
      <c r="EB203" s="121">
        <f>EA203</f>
        <v>0</v>
      </c>
      <c r="EC203" s="138">
        <f>IF(Model!EC348&lt;&gt;"",Model!EC348,"")</f>
        <v>0</v>
      </c>
      <c r="ED203" s="121">
        <f>EB203</f>
        <v>0</v>
      </c>
      <c r="EE203" s="121">
        <f>ED203</f>
        <v>0</v>
      </c>
      <c r="EF203" s="138">
        <f>IF(Model!EF348&lt;&gt;"",Model!EF348,"")</f>
        <v>0</v>
      </c>
      <c r="EG203" s="121">
        <f>EE203</f>
        <v>0</v>
      </c>
      <c r="EH203" s="121">
        <f>EG203</f>
        <v>0</v>
      </c>
      <c r="EI203" s="138">
        <f>IF(Model!EI348&lt;&gt;"",Model!EI348,"")</f>
        <v>0</v>
      </c>
      <c r="EJ203" s="121">
        <f>EH203</f>
        <v>0</v>
      </c>
      <c r="EK203" s="121">
        <f>EJ203</f>
        <v>0</v>
      </c>
      <c r="EL203" s="138">
        <f>IF(Model!EL348&lt;&gt;"",Model!EL348,"")</f>
        <v>0</v>
      </c>
      <c r="EM203" s="121">
        <f>EK203</f>
        <v>0</v>
      </c>
      <c r="EN203" s="121">
        <f>EM203</f>
        <v>0</v>
      </c>
      <c r="EO203" s="138">
        <f>IF(Model!EO348&lt;&gt;"",Model!EO348,"")</f>
        <v>0</v>
      </c>
      <c r="EP203" s="121">
        <f>EN203</f>
        <v>0</v>
      </c>
      <c r="EQ203" s="121">
        <f>EP203</f>
        <v>0</v>
      </c>
      <c r="ER203" s="138">
        <f>IF(Model!ER348&lt;&gt;"",Model!ER348,"")</f>
        <v>0</v>
      </c>
      <c r="ES203" s="121">
        <f>EQ203</f>
        <v>0</v>
      </c>
      <c r="ET203" s="121">
        <f>ES203</f>
        <v>0</v>
      </c>
      <c r="EU203" s="138">
        <f>IF(Model!EU348&lt;&gt;"",Model!EU348,"")</f>
        <v>0</v>
      </c>
      <c r="EV203" s="121">
        <f>ET203</f>
        <v>0</v>
      </c>
      <c r="EW203" s="121">
        <f>EV203</f>
        <v>0</v>
      </c>
      <c r="EX203" s="138">
        <f>IF(Model!EX348&lt;&gt;"",Model!EX348,"")</f>
        <v>0</v>
      </c>
      <c r="EY203" s="121">
        <f>EW203</f>
        <v>0</v>
      </c>
      <c r="EZ203" s="121">
        <f>EY203</f>
        <v>0</v>
      </c>
      <c r="FA203" s="138">
        <f>IF(Model!FA348&lt;&gt;"",Model!FA348,"")</f>
        <v>0</v>
      </c>
    </row>
    <row r="204" spans="1:157" ht="13.35" customHeight="1">
      <c r="A204" s="3"/>
      <c r="B204" s="4" t="s">
        <v>264</v>
      </c>
      <c r="C204" s="4"/>
      <c r="D204" s="3"/>
      <c r="E204" s="113" t="str">
        <f>IF(Model!E351&lt;&gt;"",Model!E351,"")</f>
        <v/>
      </c>
      <c r="F204" s="113" t="str">
        <f>IF(Model!F351&lt;&gt;"",Model!F351,"")</f>
        <v/>
      </c>
      <c r="G204" s="113" t="str">
        <f>IF(Model!G351&lt;&gt;"",Model!G351,"")</f>
        <v/>
      </c>
      <c r="H204" s="113" t="str">
        <f>IF(Model!H351&lt;&gt;"",Model!H351,"")</f>
        <v/>
      </c>
      <c r="I204" s="113" t="str">
        <f>IF(Model!I351&lt;&gt;"",Model!I351,"")</f>
        <v/>
      </c>
      <c r="J204" s="113" t="str">
        <f>IF(Model!J351&lt;&gt;"",Model!J351,"")</f>
        <v/>
      </c>
      <c r="K204" s="113" t="str">
        <f>IF(Model!K351&lt;&gt;"",Model!K351,"")</f>
        <v/>
      </c>
      <c r="L204" s="113" t="str">
        <f>IF(Model!L351&lt;&gt;"",Model!L351,"")</f>
        <v/>
      </c>
      <c r="M204" s="113" t="str">
        <f>IF(Model!M351&lt;&gt;"",Model!M351,"")</f>
        <v/>
      </c>
      <c r="N204" s="113" t="str">
        <f>IF(Model!N351&lt;&gt;"",Model!N351,"")</f>
        <v/>
      </c>
      <c r="O204" s="113" t="str">
        <f>IF(Model!O351&lt;&gt;"",Model!O351,"")</f>
        <v/>
      </c>
      <c r="P204" s="113" t="str">
        <f>IF(Model!P351&lt;&gt;"",Model!P351,"")</f>
        <v/>
      </c>
      <c r="Q204" s="113" t="str">
        <f>IF(Model!Q351&lt;&gt;"",Model!Q351,"")</f>
        <v/>
      </c>
      <c r="R204" s="113" t="str">
        <f>IF(Model!R351&lt;&gt;"",Model!R351,"")</f>
        <v/>
      </c>
      <c r="S204" s="113" t="str">
        <f>IF(Model!S351&lt;&gt;"",Model!S351,"")</f>
        <v/>
      </c>
      <c r="T204" s="113" t="str">
        <f>IF(Model!T351&lt;&gt;"",Model!T351,"")</f>
        <v/>
      </c>
      <c r="U204" s="113" t="str">
        <f>IF(Model!U351&lt;&gt;"",Model!U351,"")</f>
        <v/>
      </c>
      <c r="V204" s="113" t="str">
        <f>IF(Model!V351&lt;&gt;"",Model!V351,"")</f>
        <v/>
      </c>
      <c r="W204" s="113" t="str">
        <f>IF(Model!W351&lt;&gt;"",Model!W351,"")</f>
        <v/>
      </c>
      <c r="X204" s="113" t="str">
        <f>IF(Model!X351&lt;&gt;"",Model!X351,"")</f>
        <v/>
      </c>
      <c r="Y204" s="113" t="str">
        <f>IF(Model!Y351&lt;&gt;"",Model!Y351,"")</f>
        <v/>
      </c>
      <c r="Z204" s="113" t="str">
        <f>IF(Model!Z351&lt;&gt;"",Model!Z351,"")</f>
        <v/>
      </c>
      <c r="AA204" s="113" t="str">
        <f>IF(Model!AA351&lt;&gt;"",Model!AA351,"")</f>
        <v/>
      </c>
      <c r="AB204" s="113" t="str">
        <f>IF(Model!AB351&lt;&gt;"",Model!AB351,"")</f>
        <v/>
      </c>
      <c r="AC204" s="113" t="str">
        <f>IF(Model!AC351&lt;&gt;"",Model!AC351,"")</f>
        <v/>
      </c>
      <c r="AD204" s="113" t="str">
        <f>IF(Model!AD351&lt;&gt;"",Model!AD351,"")</f>
        <v/>
      </c>
      <c r="AE204" s="113" t="str">
        <f>IF(Model!AE351&lt;&gt;"",Model!AE351,"")</f>
        <v/>
      </c>
      <c r="AF204" s="113" t="str">
        <f>IF(Model!AF351&lt;&gt;"",Model!AF351,"")</f>
        <v/>
      </c>
      <c r="AG204" s="113" t="str">
        <f>IF(Model!AG351&lt;&gt;"",Model!AG351,"")</f>
        <v/>
      </c>
      <c r="AH204" s="113" t="str">
        <f>IF(Model!AH351&lt;&gt;"",Model!AH351,"")</f>
        <v/>
      </c>
      <c r="AI204" s="113" t="str">
        <f>IF(Model!AI351&lt;&gt;"",Model!AI351,"")</f>
        <v/>
      </c>
      <c r="AJ204" s="113" t="str">
        <f>IF(Model!AJ351&lt;&gt;"",Model!AJ351,"")</f>
        <v/>
      </c>
      <c r="AK204" s="113" t="str">
        <f>IF(Model!AK351&lt;&gt;"",Model!AK351,"")</f>
        <v/>
      </c>
      <c r="AL204" s="113" t="str">
        <f>IF(Model!AL351&lt;&gt;"",Model!AL351,"")</f>
        <v/>
      </c>
      <c r="AM204" s="113" t="str">
        <f>IF(Model!AM351&lt;&gt;"",Model!AM351,"")</f>
        <v/>
      </c>
      <c r="AN204" s="113" t="str">
        <f>IF(Model!AN351&lt;&gt;"",Model!AN351,"")</f>
        <v/>
      </c>
      <c r="AO204" s="113" t="str">
        <f>IF(Model!AO351&lt;&gt;"",Model!AO351,"")</f>
        <v/>
      </c>
      <c r="AP204" s="113" t="str">
        <f>IF(Model!AP351&lt;&gt;"",Model!AP351,"")</f>
        <v/>
      </c>
      <c r="AQ204" s="113" t="str">
        <f>IF(Model!AQ351&lt;&gt;"",Model!AQ351,"")</f>
        <v/>
      </c>
      <c r="AR204" s="113" t="str">
        <f>IF(Model!AR351&lt;&gt;"",Model!AR351,"")</f>
        <v/>
      </c>
      <c r="AS204" s="113" t="str">
        <f>IF(Model!AS351&lt;&gt;"",Model!AS351,"")</f>
        <v/>
      </c>
      <c r="AT204" s="113" t="str">
        <f>IF(Model!AT351&lt;&gt;"",Model!AT351,"")</f>
        <v/>
      </c>
      <c r="AU204" s="113" t="str">
        <f>IF(Model!AU351&lt;&gt;"",Model!AU351,"")</f>
        <v/>
      </c>
      <c r="AV204" s="113" t="str">
        <f>IF(Model!AV351&lt;&gt;"",Model!AV351,"")</f>
        <v/>
      </c>
      <c r="AW204" s="113" t="str">
        <f>IF(Model!AW351&lt;&gt;"",Model!AW351,"")</f>
        <v/>
      </c>
      <c r="AX204" s="113"/>
      <c r="AY204" s="113" t="str">
        <f>IF(Model!AY351&lt;&gt;"",Model!AY351,"")</f>
        <v/>
      </c>
      <c r="AZ204" s="113" t="str">
        <f>IF(Model!AZ351&lt;&gt;"",Model!AZ351,"")</f>
        <v/>
      </c>
      <c r="BA204" s="8"/>
      <c r="BB204" s="8"/>
      <c r="BC204" s="113" t="str">
        <f>IF(Model!BC351&lt;&gt;"",Model!BC351,"")</f>
        <v/>
      </c>
      <c r="BD204" s="8"/>
      <c r="BE204" s="8"/>
      <c r="BF204" s="113" t="str">
        <f>IF(Model!BF351&lt;&gt;"",Model!BF351,"")</f>
        <v/>
      </c>
      <c r="BG204" s="8"/>
      <c r="BH204" s="8"/>
      <c r="BI204" s="113" t="str">
        <f>IF(Model!BI351&lt;&gt;"",Model!BI351,"")</f>
        <v/>
      </c>
      <c r="BJ204" s="8"/>
      <c r="BK204" s="8"/>
      <c r="BL204" s="113" t="str">
        <f>IF(Model!BL351&lt;&gt;"",Model!BL351,"")</f>
        <v/>
      </c>
      <c r="BM204" s="8"/>
      <c r="BN204" s="8"/>
      <c r="BO204" s="113" t="str">
        <f>IF(Model!BO351&lt;&gt;"",Model!BO351,"")</f>
        <v/>
      </c>
      <c r="BP204" s="8"/>
      <c r="BQ204" s="8"/>
      <c r="BR204" s="113" t="str">
        <f>IF(Model!BR351&lt;&gt;"",Model!BR351,"")</f>
        <v/>
      </c>
      <c r="BS204" s="8"/>
      <c r="BT204" s="8"/>
      <c r="BU204" s="113" t="str">
        <f>IF(Model!BU351&lt;&gt;"",Model!BU351,"")</f>
        <v/>
      </c>
      <c r="BV204" s="8"/>
      <c r="BW204" s="8"/>
      <c r="BX204" s="113" t="str">
        <f>IF(Model!BX351&lt;&gt;"",Model!BX351,"")</f>
        <v/>
      </c>
      <c r="BY204" s="8"/>
      <c r="BZ204" s="8"/>
      <c r="CA204" s="113" t="str">
        <f>IF(Model!CA351&lt;&gt;"",Model!CA351,"")</f>
        <v/>
      </c>
      <c r="CB204" s="8"/>
      <c r="CC204" s="8"/>
      <c r="CD204" s="113" t="str">
        <f>IF(Model!CD351&lt;&gt;"",Model!CD351,"")</f>
        <v/>
      </c>
      <c r="CE204" s="8"/>
      <c r="CF204" s="8"/>
      <c r="CG204" s="113" t="str">
        <f>IF(Model!CG351&lt;&gt;"",Model!CG351,"")</f>
        <v/>
      </c>
      <c r="CH204" s="8"/>
      <c r="CI204" s="8"/>
      <c r="CJ204" s="113" t="str">
        <f>IF(Model!CJ351&lt;&gt;"",Model!CJ351,"")</f>
        <v/>
      </c>
      <c r="CK204" s="8"/>
      <c r="CL204" s="8"/>
      <c r="CM204" s="113" t="str">
        <f>IF(Model!CM351&lt;&gt;"",Model!CM351,"")</f>
        <v/>
      </c>
      <c r="CN204" s="8"/>
      <c r="CO204" s="8"/>
      <c r="CP204" s="113" t="str">
        <f>IF(Model!CP351&lt;&gt;"",Model!CP351,"")</f>
        <v/>
      </c>
      <c r="CQ204" s="8"/>
      <c r="CR204" s="8"/>
      <c r="CS204" s="113" t="str">
        <f>IF(Model!CS351&lt;&gt;"",Model!CS351,"")</f>
        <v/>
      </c>
      <c r="CT204" s="8"/>
      <c r="CU204" s="8"/>
      <c r="CV204" s="113" t="str">
        <f>IF(Model!CV351&lt;&gt;"",Model!CV351,"")</f>
        <v/>
      </c>
      <c r="CW204" s="8"/>
      <c r="CX204" s="8"/>
      <c r="CY204" s="113" t="str">
        <f>IF(Model!CY351&lt;&gt;"",Model!CY351,"")</f>
        <v/>
      </c>
      <c r="CZ204" s="8"/>
      <c r="DA204" s="8"/>
      <c r="DB204" s="113" t="str">
        <f>IF(Model!DB351&lt;&gt;"",Model!DB351,"")</f>
        <v/>
      </c>
      <c r="DC204" s="8"/>
      <c r="DD204" s="8"/>
      <c r="DE204" s="151" t="str">
        <f>IF(Model!DE351&lt;&gt;"",Model!DE351,"")</f>
        <v/>
      </c>
      <c r="DF204" s="8"/>
      <c r="DG204" s="8"/>
      <c r="DH204" s="151" t="str">
        <f>IF(Model!DH351&lt;&gt;"",Model!DH351,"")</f>
        <v/>
      </c>
      <c r="DI204" s="8"/>
      <c r="DJ204" s="8"/>
      <c r="DK204" s="151" t="str">
        <f>IF(Model!DK351&lt;&gt;"",Model!DK351,"")</f>
        <v/>
      </c>
      <c r="DL204" s="8"/>
      <c r="DM204" s="8"/>
      <c r="DN204" s="151" t="str">
        <f>IF(Model!DN351&lt;&gt;"",Model!DN351,"")</f>
        <v/>
      </c>
      <c r="DO204" s="8"/>
      <c r="DP204" s="8"/>
      <c r="DQ204" s="151" t="str">
        <f>IF(Model!DQ351&lt;&gt;"",Model!DQ351,"")</f>
        <v/>
      </c>
      <c r="DR204" s="8"/>
      <c r="DS204" s="8"/>
      <c r="DT204" s="151" t="str">
        <f>IF(Model!DT351&lt;&gt;"",Model!DT351,"")</f>
        <v/>
      </c>
      <c r="DU204" s="8"/>
      <c r="DV204" s="8"/>
      <c r="DW204" s="151" t="str">
        <f>IF(Model!DW351&lt;&gt;"",Model!DW351,"")</f>
        <v/>
      </c>
      <c r="DX204" s="8"/>
      <c r="DY204" s="8"/>
      <c r="DZ204" s="151" t="str">
        <f>IF(Model!DZ351&lt;&gt;"",Model!DZ351,"")</f>
        <v/>
      </c>
      <c r="EA204" s="8"/>
      <c r="EB204" s="8"/>
      <c r="EC204" s="151" t="str">
        <f>IF(Model!EC351&lt;&gt;"",Model!EC351,"")</f>
        <v/>
      </c>
      <c r="ED204" s="8"/>
      <c r="EE204" s="8"/>
      <c r="EF204" s="151" t="str">
        <f>IF(Model!EF351&lt;&gt;"",Model!EF351,"")</f>
        <v/>
      </c>
      <c r="EG204" s="8"/>
      <c r="EH204" s="8"/>
      <c r="EI204" s="151" t="str">
        <f>IF(Model!EI351&lt;&gt;"",Model!EI351,"")</f>
        <v/>
      </c>
      <c r="EJ204" s="8"/>
      <c r="EK204" s="8"/>
      <c r="EL204" s="151" t="str">
        <f>IF(Model!EL351&lt;&gt;"",Model!EL351,"")</f>
        <v/>
      </c>
      <c r="EM204" s="8"/>
      <c r="EN204" s="8"/>
      <c r="EO204" s="151" t="str">
        <f>IF(Model!EO351&lt;&gt;"",Model!EO351,"")</f>
        <v/>
      </c>
      <c r="EP204" s="8"/>
      <c r="EQ204" s="8"/>
      <c r="ER204" s="151" t="str">
        <f>IF(Model!ER351&lt;&gt;"",Model!ER351,"")</f>
        <v/>
      </c>
      <c r="ES204" s="8"/>
      <c r="ET204" s="8"/>
      <c r="EU204" s="151" t="str">
        <f>IF(Model!EU351&lt;&gt;"",Model!EU351,"")</f>
        <v/>
      </c>
      <c r="EV204" s="8"/>
      <c r="EW204" s="8"/>
      <c r="EX204" s="151" t="str">
        <f>IF(Model!EX351&lt;&gt;"",Model!EX351,"")</f>
        <v/>
      </c>
      <c r="EY204" s="8"/>
      <c r="EZ204" s="8"/>
      <c r="FA204" s="151" t="str">
        <f>IF(Model!FA351&lt;&gt;"",Model!FA351,"")</f>
        <v/>
      </c>
    </row>
    <row r="205" spans="1:157" ht="13.35" customHeight="1">
      <c r="A205" s="3"/>
      <c r="B205" s="54" t="s">
        <v>467</v>
      </c>
      <c r="C205" s="54"/>
      <c r="D205" s="3"/>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2"/>
      <c r="AK205" s="92"/>
      <c r="AL205" s="92"/>
      <c r="AM205" s="92"/>
      <c r="AN205" s="92">
        <f>IF(Model!AN358&lt;&gt;"",Model!AN358,"")</f>
        <v>0</v>
      </c>
      <c r="AO205" s="92"/>
      <c r="AP205" s="92"/>
      <c r="AQ205" s="92">
        <f>IF(Model!AQ358&lt;&gt;"",Model!AQ358,"")</f>
        <v>1.7165297542043985</v>
      </c>
      <c r="AR205" s="92"/>
      <c r="AS205" s="92"/>
      <c r="AT205" s="92">
        <f>IF(Model!AT358&lt;&gt;"",Model!AT358,"")</f>
        <v>1.7328608449051437</v>
      </c>
      <c r="AU205" s="92">
        <f>IF(Model!AU358&lt;&gt;"",Model!AU358,"")</f>
        <v>1.6969225560206846</v>
      </c>
      <c r="AV205" s="92">
        <f>IF(Model!AW358&lt;&gt;"",Model!AV358,"")</f>
        <v>1.9106272223801042</v>
      </c>
      <c r="AW205" s="92">
        <f>IF(Model!AW358&lt;&gt;"",Model!AW358,"")</f>
        <v>0.61367621274108708</v>
      </c>
      <c r="AX205" s="92">
        <f>IF(Model!AX358&lt;&gt;"",Model!AX358,"")</f>
        <v>1.692770903604905</v>
      </c>
      <c r="AY205" s="92">
        <f>IF(Model!AZ358&lt;&gt;"",Model!AY358,"")</f>
        <v>1.6422689664289063</v>
      </c>
      <c r="AZ205" s="92">
        <f>IF(Model!AZ358&lt;&gt;"",Model!AZ358,"")</f>
        <v>0.55542139579811645</v>
      </c>
      <c r="BA205" s="96"/>
      <c r="BB205" s="92">
        <f>IF(Model!BB358&lt;&gt;"",Model!BB358,"")</f>
        <v>0.38876394689515303</v>
      </c>
      <c r="BC205" s="8"/>
      <c r="BD205" s="8"/>
      <c r="BE205" s="92">
        <f>IF(Model!BE358&lt;&gt;"",Model!BE358,"")</f>
        <v>0.36498817106174414</v>
      </c>
      <c r="BF205" s="8"/>
      <c r="BG205" s="8"/>
      <c r="BH205" s="92">
        <f>IF(Model!BH358&lt;&gt;"",Model!BH358,"")</f>
        <v>1.0096670053874577</v>
      </c>
      <c r="BI205" s="8"/>
      <c r="BJ205" s="8"/>
      <c r="BK205" s="92"/>
      <c r="BL205" s="8"/>
      <c r="BM205" s="8"/>
      <c r="BN205" s="92">
        <f>IF(Model!BN358&lt;&gt;"",Model!BN358,"")</f>
        <v>0.19573967390485067</v>
      </c>
      <c r="BO205" s="8"/>
      <c r="BP205" s="8"/>
      <c r="BQ205" s="92">
        <f>IF(Model!BQ358&lt;&gt;"",Model!BQ358,"")</f>
        <v>0.38446346686214478</v>
      </c>
      <c r="BR205" s="8"/>
      <c r="BS205" s="8"/>
      <c r="BT205" s="92">
        <f>IF(Model!BT358&lt;&gt;"",Model!BT358,"")</f>
        <v>0.31519632013661381</v>
      </c>
      <c r="BU205" s="8"/>
      <c r="BV205" s="8"/>
      <c r="BW205" s="92">
        <f>IF(Model!BW358&lt;&gt;"",Model!BW358,"")</f>
        <v>0.35678873542090322</v>
      </c>
      <c r="BX205" s="8"/>
      <c r="BY205" s="8"/>
      <c r="BZ205" s="92">
        <f>IF(Model!BZ358&lt;&gt;"",Model!BZ358,"")</f>
        <v>0.46449278101757202</v>
      </c>
      <c r="CA205" s="8"/>
      <c r="CB205" s="8"/>
      <c r="CC205" s="92">
        <f>IF(Model!CC358&lt;&gt;"",Model!CC358,"")</f>
        <v>0.57155924064224839</v>
      </c>
      <c r="CD205" s="8"/>
      <c r="CE205" s="8"/>
      <c r="CF205" s="92">
        <f>IF(Model!CF358&lt;&gt;"",Model!CF358,"")</f>
        <v>0.57862878737984391</v>
      </c>
      <c r="CG205" s="8"/>
      <c r="CH205" s="8"/>
      <c r="CI205" s="92">
        <f>IF(Model!CI358&lt;&gt;"",Model!CI358,"")</f>
        <v>0.47907230480448254</v>
      </c>
      <c r="CJ205" s="8"/>
      <c r="CK205" s="8"/>
      <c r="CL205" s="92">
        <f>IF(Model!CL358&lt;&gt;"",Model!CL358,"")</f>
        <v>0.42861241825585333</v>
      </c>
      <c r="CM205" s="8"/>
      <c r="CN205" s="8"/>
      <c r="CO205" s="92">
        <f>IF(Model!CO358&lt;&gt;"",Model!CO358,"")</f>
        <v>0.4401445055029044</v>
      </c>
      <c r="CP205" s="8"/>
      <c r="CQ205" s="8"/>
      <c r="CR205" s="92">
        <f>IF(Model!CR358&lt;&gt;"",Model!CR358,"")</f>
        <v>0.43774764352822948</v>
      </c>
      <c r="CS205" s="8"/>
      <c r="CT205" s="8"/>
      <c r="CU205" s="92">
        <f>IF(Model!CU358&lt;&gt;"",Model!CU358,"")</f>
        <v>0.57139834490039643</v>
      </c>
      <c r="CV205" s="8"/>
      <c r="CW205" s="8"/>
      <c r="CX205" s="92">
        <f>IF(Model!CX358&lt;&gt;"",Model!CX358,"")</f>
        <v>0.49423501568468359</v>
      </c>
      <c r="CY205" s="8"/>
      <c r="CZ205" s="8"/>
      <c r="DA205" s="92">
        <f>IF(Model!DA358&lt;&gt;"",Model!DA358,"")</f>
        <v>0.6576768551324238</v>
      </c>
      <c r="DB205" s="8"/>
      <c r="DC205" s="8"/>
      <c r="DD205" s="92">
        <f>IF(Model!DD358&lt;&gt;"",Model!DD358,"")</f>
        <v>0.59842130134948857</v>
      </c>
      <c r="DE205" s="145"/>
      <c r="DF205" s="8"/>
      <c r="DG205" s="92">
        <f>IF(Model!DG358&lt;&gt;"",Model!DG358,"")</f>
        <v>0.56874825157578524</v>
      </c>
      <c r="DH205" s="145"/>
      <c r="DI205" s="8"/>
      <c r="DJ205" s="92">
        <f>IF(Model!DJ358&lt;&gt;"",Model!DJ358,"")</f>
        <v>0.94768760296367616</v>
      </c>
      <c r="DK205" s="145"/>
      <c r="DL205" s="8"/>
      <c r="DM205" s="92">
        <f>IF(Model!DM358&lt;&gt;"",Model!DM358,"")</f>
        <v>1.373878995825494</v>
      </c>
      <c r="DN205" s="145"/>
      <c r="DO205" s="8"/>
      <c r="DP205" s="92">
        <f>IF(Model!DP358&lt;&gt;"",Model!DP358,"")</f>
        <v>1.0896401036174044</v>
      </c>
      <c r="DQ205" s="145"/>
      <c r="DR205" s="8"/>
      <c r="DS205" s="92">
        <f>IF(Model!DS358&lt;&gt;"",Model!DS358,"")</f>
        <v>0.94278148391897376</v>
      </c>
      <c r="DT205" s="145"/>
      <c r="DU205" s="8"/>
      <c r="DV205" s="92">
        <f>IF(Model!DV358&lt;&gt;"",Model!DV358,"")</f>
        <v>0.78706308102512512</v>
      </c>
      <c r="DW205" s="145"/>
      <c r="DX205" s="8"/>
      <c r="DY205" s="92">
        <f>IF(Model!DY358&lt;&gt;"",Model!DY358,"")</f>
        <v>0.58899005657931269</v>
      </c>
      <c r="DZ205" s="145"/>
      <c r="EA205" s="8"/>
      <c r="EB205" s="92">
        <f>IF(Model!EB358&lt;&gt;"",Model!EB358,"")</f>
        <v>0.53959281853903684</v>
      </c>
      <c r="EC205" s="145"/>
      <c r="ED205" s="8"/>
      <c r="EE205" s="92">
        <f>IF(Model!EE358&lt;&gt;"",Model!EE358,"")</f>
        <v>0.53594594560329167</v>
      </c>
      <c r="EF205" s="145"/>
      <c r="EG205" s="8"/>
      <c r="EH205" s="92">
        <f>IF(Model!EH358&lt;&gt;"",Model!EH358,"")</f>
        <v>0.53173699560079468</v>
      </c>
      <c r="EI205" s="145"/>
      <c r="EJ205" s="8"/>
      <c r="EK205" s="92">
        <f>IF(Model!EK358&lt;&gt;"",Model!EK358,"")</f>
        <v>0.52795663859936437</v>
      </c>
      <c r="EL205" s="145"/>
      <c r="EM205" s="8"/>
      <c r="EN205" s="92">
        <f>IF(Model!EN358&lt;&gt;"",Model!EN358,"")</f>
        <v>0.52501366114593018</v>
      </c>
      <c r="EO205" s="145"/>
      <c r="EP205" s="8"/>
      <c r="EQ205" s="92">
        <f>IF(Model!EQ358&lt;&gt;"",Model!EQ358,"")</f>
        <v>0.52230925904657211</v>
      </c>
      <c r="ER205" s="145"/>
      <c r="ES205" s="8"/>
      <c r="ET205" s="92">
        <f>IF(Model!ET358&lt;&gt;"",Model!ET358,"")</f>
        <v>0.52024671616658413</v>
      </c>
      <c r="EU205" s="145"/>
      <c r="EV205" s="8"/>
      <c r="EW205" s="92">
        <f>IF(Model!EW358&lt;&gt;"",Model!EW358,"")</f>
        <v>0.51868152894394581</v>
      </c>
      <c r="EX205" s="145"/>
      <c r="EY205" s="8"/>
      <c r="EZ205" s="92">
        <f>IF(Model!EZ358&lt;&gt;"",Model!EZ358,"")</f>
        <v>0.51723550213543834</v>
      </c>
      <c r="FA205" s="145"/>
    </row>
    <row r="206" spans="1:157" ht="13.35" customHeight="1">
      <c r="A206" s="3"/>
      <c r="B206" s="122" t="s">
        <v>224</v>
      </c>
      <c r="C206" s="122"/>
      <c r="D206" s="122"/>
      <c r="E206" s="123"/>
      <c r="F206" s="123"/>
      <c r="G206" s="123"/>
      <c r="H206" s="123"/>
      <c r="I206" s="123"/>
      <c r="J206" s="123"/>
      <c r="K206" s="123"/>
      <c r="L206" s="123"/>
      <c r="M206" s="123"/>
      <c r="N206" s="123"/>
      <c r="O206" s="123"/>
      <c r="P206" s="123"/>
      <c r="Q206" s="123"/>
      <c r="R206" s="123"/>
      <c r="S206" s="123"/>
      <c r="T206" s="123"/>
      <c r="U206" s="123"/>
      <c r="V206" s="123"/>
      <c r="W206" s="123"/>
      <c r="X206" s="123"/>
      <c r="Y206" s="123"/>
      <c r="Z206" s="123"/>
      <c r="AA206" s="123"/>
      <c r="AB206" s="123"/>
      <c r="AC206" s="123"/>
      <c r="AD206" s="123"/>
      <c r="AE206" s="123"/>
      <c r="AF206" s="123"/>
      <c r="AG206" s="123"/>
      <c r="AH206" s="123"/>
      <c r="AI206" s="123"/>
      <c r="AJ206" s="123"/>
      <c r="AK206" s="123"/>
      <c r="AL206" s="123"/>
      <c r="AM206" s="123"/>
      <c r="AN206" s="123"/>
      <c r="AO206" s="123"/>
      <c r="AP206" s="123"/>
      <c r="AQ206" s="123">
        <f>IF(Model!AQ359&lt;&gt;"",Model!AQ359,"")</f>
        <v>0.5825707346759591</v>
      </c>
      <c r="AR206" s="123"/>
      <c r="AS206" s="123"/>
      <c r="AT206" s="123">
        <f>IF(Model!AT359&lt;&gt;"",Model!AT359,"")</f>
        <v>0.57708038296331854</v>
      </c>
      <c r="AU206" s="123">
        <f>IF(Model!AU359&lt;&gt;"",Model!AU359,"")</f>
        <v>0.58930208479579582</v>
      </c>
      <c r="AV206" s="123">
        <f>IF(Model!AV359&lt;&gt;"",Model!AV359,"")</f>
        <v>0.52338833461939338</v>
      </c>
      <c r="AW206" s="123">
        <f>IF(Model!AW359&lt;&gt;"",Model!AW359,"")</f>
        <v>1.6295238095238094</v>
      </c>
      <c r="AX206" s="123">
        <f>IF(Model!AX359&lt;&gt;"",Model!AX359,"")</f>
        <v>0.59074739403330467</v>
      </c>
      <c r="AY206" s="123">
        <f>IF(Model!AY359&lt;&gt;"",Model!AY359,"")</f>
        <v>0.60891365570554967</v>
      </c>
      <c r="AZ206" s="123">
        <f>IF(Model!AZ359&lt;&gt;"",Model!AZ359,"")</f>
        <v>1.8004347826086955</v>
      </c>
      <c r="BA206" s="124"/>
      <c r="BB206" s="124"/>
      <c r="BC206" s="87"/>
      <c r="BD206" s="124"/>
      <c r="BE206" s="124"/>
      <c r="BF206" s="87"/>
      <c r="BG206" s="124"/>
      <c r="BH206" s="124"/>
      <c r="BI206" s="87"/>
      <c r="BJ206" s="124"/>
      <c r="BK206" s="124"/>
      <c r="BL206" s="87"/>
      <c r="BM206" s="124"/>
      <c r="BN206" s="124"/>
      <c r="BO206" s="87"/>
      <c r="BP206" s="124"/>
      <c r="BQ206" s="124"/>
      <c r="BR206" s="87"/>
      <c r="BS206" s="124"/>
      <c r="BT206" s="124"/>
      <c r="BU206" s="87"/>
      <c r="BV206" s="124"/>
      <c r="BW206" s="124"/>
      <c r="BX206" s="87"/>
      <c r="BY206" s="124"/>
      <c r="BZ206" s="124"/>
      <c r="CA206" s="87"/>
      <c r="CB206" s="124"/>
      <c r="CC206" s="124"/>
      <c r="CD206" s="87"/>
      <c r="CE206" s="124"/>
      <c r="CF206" s="124"/>
      <c r="CG206" s="87"/>
      <c r="CH206" s="124"/>
      <c r="CI206" s="124"/>
      <c r="CJ206" s="87"/>
      <c r="CK206" s="124"/>
      <c r="CL206" s="124"/>
      <c r="CM206" s="87"/>
      <c r="CN206" s="124"/>
      <c r="CO206" s="124"/>
      <c r="CP206" s="87"/>
      <c r="CQ206" s="124"/>
      <c r="CR206" s="124"/>
      <c r="CS206" s="87"/>
      <c r="CT206" s="124"/>
      <c r="CU206" s="124"/>
      <c r="CV206" s="87"/>
      <c r="CW206" s="124"/>
      <c r="CX206" s="124"/>
      <c r="CY206" s="87"/>
      <c r="CZ206" s="124"/>
      <c r="DA206" s="124"/>
      <c r="DB206" s="87"/>
      <c r="DC206" s="124"/>
      <c r="DD206" s="124"/>
      <c r="DE206" s="140"/>
      <c r="DF206" s="124"/>
      <c r="DG206" s="124"/>
      <c r="DH206" s="140"/>
      <c r="DI206" s="124"/>
      <c r="DJ206" s="124"/>
      <c r="DK206" s="140"/>
      <c r="DL206" s="124"/>
      <c r="DM206" s="124"/>
      <c r="DN206" s="140"/>
      <c r="DO206" s="124"/>
      <c r="DP206" s="124"/>
      <c r="DQ206" s="140"/>
      <c r="DR206" s="124"/>
      <c r="DS206" s="124"/>
      <c r="DT206" s="140"/>
      <c r="DU206" s="124"/>
      <c r="DV206" s="124"/>
      <c r="DW206" s="140"/>
      <c r="DX206" s="124"/>
      <c r="DY206" s="124"/>
      <c r="DZ206" s="140"/>
      <c r="EA206" s="124"/>
      <c r="EB206" s="124"/>
      <c r="EC206" s="140"/>
      <c r="ED206" s="124"/>
      <c r="EE206" s="124"/>
      <c r="EF206" s="140"/>
      <c r="EG206" s="124"/>
      <c r="EH206" s="124"/>
      <c r="EI206" s="140"/>
      <c r="EJ206" s="124"/>
      <c r="EK206" s="124"/>
      <c r="EL206" s="140"/>
      <c r="EM206" s="124"/>
      <c r="EN206" s="124"/>
      <c r="EO206" s="140"/>
      <c r="EP206" s="124"/>
      <c r="EQ206" s="124"/>
      <c r="ER206" s="140"/>
      <c r="ES206" s="124"/>
      <c r="ET206" s="124"/>
      <c r="EU206" s="140"/>
      <c r="EV206" s="124"/>
      <c r="EW206" s="124"/>
      <c r="EX206" s="140"/>
      <c r="EY206" s="124"/>
      <c r="EZ206" s="124"/>
      <c r="FA206" s="140"/>
    </row>
    <row r="207" spans="1:157" ht="13.35" customHeight="1">
      <c r="A207" s="3"/>
      <c r="B207" s="122" t="s">
        <v>174</v>
      </c>
      <c r="C207" s="122"/>
      <c r="D207" s="122"/>
      <c r="E207" s="123" t="str">
        <f>IF(Model!E360&lt;&gt;"",Model!E360,"")</f>
        <v/>
      </c>
      <c r="F207" s="123">
        <f>IF(Model!F360&lt;&gt;"",Model!F360,"")</f>
        <v>0</v>
      </c>
      <c r="G207" s="123" t="str">
        <f>IF(Model!G360&lt;&gt;"",Model!G360,"")</f>
        <v/>
      </c>
      <c r="H207" s="123" t="str">
        <f>IF(Model!H360&lt;&gt;"",Model!H360,"")</f>
        <v/>
      </c>
      <c r="I207" s="123">
        <f>IF(Model!I360&lt;&gt;"",Model!I360,"")</f>
        <v>0</v>
      </c>
      <c r="J207" s="123" t="str">
        <f>IF(Model!J360&lt;&gt;"",Model!J360,"")</f>
        <v/>
      </c>
      <c r="K207" s="123" t="str">
        <f>IF(Model!K360&lt;&gt;"",Model!K360,"")</f>
        <v/>
      </c>
      <c r="L207" s="123">
        <f>IF(Model!L360&lt;&gt;"",Model!L360,"")</f>
        <v>0</v>
      </c>
      <c r="M207" s="123" t="str">
        <f>IF(Model!M360&lt;&gt;"",Model!M360,"")</f>
        <v/>
      </c>
      <c r="N207" s="123" t="str">
        <f>IF(Model!N360&lt;&gt;"",Model!N360,"")</f>
        <v/>
      </c>
      <c r="O207" s="123">
        <f>IF(Model!O360&lt;&gt;"",Model!O360,"")</f>
        <v>0</v>
      </c>
      <c r="P207" s="123" t="str">
        <f>IF(Model!P360&lt;&gt;"",Model!P360,"")</f>
        <v/>
      </c>
      <c r="Q207" s="123" t="str">
        <f>IF(Model!Q360&lt;&gt;"",Model!Q360,"")</f>
        <v/>
      </c>
      <c r="R207" s="123">
        <f>IF(Model!R360&lt;&gt;"",Model!R360,"")</f>
        <v>0</v>
      </c>
      <c r="S207" s="123" t="str">
        <f>IF(Model!S360&lt;&gt;"",Model!S360,"")</f>
        <v/>
      </c>
      <c r="T207" s="123" t="str">
        <f>IF(Model!T360&lt;&gt;"",Model!T360,"")</f>
        <v/>
      </c>
      <c r="U207" s="123">
        <f>IF(Model!U360&lt;&gt;"",Model!U360,"")</f>
        <v>0</v>
      </c>
      <c r="V207" s="123" t="str">
        <f>IF(Model!V360&lt;&gt;"",Model!V360,"")</f>
        <v/>
      </c>
      <c r="W207" s="123" t="str">
        <f>IF(Model!W360&lt;&gt;"",Model!W360,"")</f>
        <v/>
      </c>
      <c r="X207" s="123">
        <f>IF(Model!X360&lt;&gt;"",Model!X360,"")</f>
        <v>0</v>
      </c>
      <c r="Y207" s="123" t="str">
        <f>IF(Model!Y360&lt;&gt;"",Model!Y360,"")</f>
        <v/>
      </c>
      <c r="Z207" s="123" t="str">
        <f>IF(Model!Z360&lt;&gt;"",Model!Z360,"")</f>
        <v/>
      </c>
      <c r="AA207" s="123">
        <f>IF(Model!AA360&lt;&gt;"",Model!AA360,"")</f>
        <v>0</v>
      </c>
      <c r="AB207" s="123" t="str">
        <f>IF(Model!AB360&lt;&gt;"",Model!AB360,"")</f>
        <v/>
      </c>
      <c r="AC207" s="123" t="str">
        <f>IF(Model!AC360&lt;&gt;"",Model!AC360,"")</f>
        <v/>
      </c>
      <c r="AD207" s="123">
        <f>IF(Model!AD360&lt;&gt;"",Model!AD360,"")</f>
        <v>0</v>
      </c>
      <c r="AE207" s="123" t="str">
        <f>IF(Model!AE360&lt;&gt;"",Model!AE360,"")</f>
        <v/>
      </c>
      <c r="AF207" s="123" t="str">
        <f>IF(Model!AF360&lt;&gt;"",Model!AF360,"")</f>
        <v/>
      </c>
      <c r="AG207" s="123">
        <f>IF(Model!AG360&lt;&gt;"",Model!AG360,"")</f>
        <v>0</v>
      </c>
      <c r="AH207" s="123" t="str">
        <f>IF(Model!AH360&lt;&gt;"",Model!AH360,"")</f>
        <v/>
      </c>
      <c r="AI207" s="123" t="str">
        <f>IF(Model!AI360&lt;&gt;"",Model!AI360,"")</f>
        <v/>
      </c>
      <c r="AJ207" s="123">
        <f>IF(Model!AJ360&lt;&gt;"",Model!AJ360,"")</f>
        <v>0</v>
      </c>
      <c r="AK207" s="123" t="str">
        <f>IF(Model!AK360&lt;&gt;"",Model!AK360,"")</f>
        <v/>
      </c>
      <c r="AL207" s="123" t="str">
        <f>IF(Model!AL360&lt;&gt;"",Model!AL360,"")</f>
        <v/>
      </c>
      <c r="AM207" s="123">
        <f>IF(Model!AM360&lt;&gt;"",Model!AM360,"")</f>
        <v>0</v>
      </c>
      <c r="AN207" s="123" t="str">
        <f>IF(Model!AN360&lt;&gt;"",Model!AN360,"")</f>
        <v/>
      </c>
      <c r="AO207" s="123" t="str">
        <f>IF(Model!AO360&lt;&gt;"",Model!AO360,"")</f>
        <v/>
      </c>
      <c r="AP207" s="123">
        <f>IF(Model!AP360&lt;&gt;"",Model!AP360,"")</f>
        <v>0</v>
      </c>
      <c r="AQ207" s="123" t="str">
        <f>IF(Model!AQ360&lt;&gt;"",Model!AQ360,"")</f>
        <v/>
      </c>
      <c r="AR207" s="123" t="str">
        <f>IF(Model!AR360&lt;&gt;"",Model!AR360,"")</f>
        <v/>
      </c>
      <c r="AS207" s="123">
        <f>IF(Model!AS360&lt;&gt;"",Model!AS360,"")</f>
        <v>0</v>
      </c>
      <c r="AT207" s="123">
        <f>IF(Model!AT360&lt;&gt;"",Model!AT360,"")</f>
        <v>0</v>
      </c>
      <c r="AU207" s="123" t="str">
        <f>IF(Model!AU360&lt;&gt;"",Model!AU360,"")</f>
        <v/>
      </c>
      <c r="AV207" s="123">
        <f>IF(Model!AV360&lt;&gt;"",Model!AV360,"")</f>
        <v>0</v>
      </c>
      <c r="AW207" s="123">
        <f>IF(Model!AW360&lt;&gt;"",Model!AW360,"")</f>
        <v>0</v>
      </c>
      <c r="AX207" s="123" t="str">
        <f>IF(Model!AX360&lt;&gt;"",Model!AX360,"")</f>
        <v/>
      </c>
      <c r="AY207" s="123">
        <f>IF(Model!AY360&lt;&gt;"",Model!AY360,"")</f>
        <v>0.55542139579811645</v>
      </c>
      <c r="AZ207" s="123">
        <f>IF(Model!AZ360&lt;&gt;"",Model!AZ360,"")</f>
        <v>0.55542139579811645</v>
      </c>
      <c r="BA207" s="124"/>
      <c r="BB207" s="124"/>
      <c r="BC207" s="87"/>
      <c r="BD207" s="124"/>
      <c r="BE207" s="124"/>
      <c r="BF207" s="87"/>
      <c r="BG207" s="124"/>
      <c r="BH207" s="124"/>
      <c r="BI207" s="87"/>
      <c r="BJ207" s="124"/>
      <c r="BK207" s="124"/>
      <c r="BL207" s="87"/>
      <c r="BM207" s="124"/>
      <c r="BN207" s="124"/>
      <c r="BO207" s="87"/>
      <c r="BP207" s="124"/>
      <c r="BQ207" s="124"/>
      <c r="BR207" s="87"/>
      <c r="BS207" s="124"/>
      <c r="BT207" s="124"/>
      <c r="BU207" s="87"/>
      <c r="BV207" s="124"/>
      <c r="BW207" s="124"/>
      <c r="BX207" s="87"/>
      <c r="BY207" s="124"/>
      <c r="BZ207" s="124"/>
      <c r="CA207" s="87"/>
      <c r="CB207" s="124"/>
      <c r="CC207" s="124"/>
      <c r="CD207" s="87"/>
      <c r="CE207" s="124"/>
      <c r="CF207" s="124"/>
      <c r="CG207" s="87"/>
      <c r="CH207" s="124"/>
      <c r="CI207" s="124"/>
      <c r="CJ207" s="87"/>
      <c r="CK207" s="124"/>
      <c r="CL207" s="124"/>
      <c r="CM207" s="87"/>
      <c r="CN207" s="124"/>
      <c r="CO207" s="124"/>
      <c r="CP207" s="87"/>
      <c r="CQ207" s="124"/>
      <c r="CR207" s="124"/>
      <c r="CS207" s="87"/>
      <c r="CT207" s="124"/>
      <c r="CU207" s="124"/>
      <c r="CV207" s="87"/>
      <c r="CW207" s="124"/>
      <c r="CX207" s="124"/>
      <c r="CY207" s="87"/>
      <c r="CZ207" s="124"/>
      <c r="DA207" s="124"/>
      <c r="DB207" s="87"/>
      <c r="DC207" s="124"/>
      <c r="DD207" s="124"/>
      <c r="DE207" s="140"/>
      <c r="DF207" s="124"/>
      <c r="DG207" s="124"/>
      <c r="DH207" s="140"/>
      <c r="DI207" s="124"/>
      <c r="DJ207" s="124"/>
      <c r="DK207" s="140"/>
      <c r="DL207" s="124"/>
      <c r="DM207" s="124"/>
      <c r="DN207" s="140"/>
      <c r="DO207" s="124"/>
      <c r="DP207" s="124"/>
      <c r="DQ207" s="140"/>
      <c r="DR207" s="124"/>
      <c r="DS207" s="124"/>
      <c r="DT207" s="140"/>
      <c r="DU207" s="124"/>
      <c r="DV207" s="124"/>
      <c r="DW207" s="140"/>
      <c r="DX207" s="124"/>
      <c r="DY207" s="124"/>
      <c r="DZ207" s="140"/>
      <c r="EA207" s="124"/>
      <c r="EB207" s="124"/>
      <c r="EC207" s="140"/>
      <c r="ED207" s="124"/>
      <c r="EE207" s="124"/>
      <c r="EF207" s="140"/>
      <c r="EG207" s="124"/>
      <c r="EH207" s="124"/>
      <c r="EI207" s="140"/>
      <c r="EJ207" s="124"/>
      <c r="EK207" s="124"/>
      <c r="EL207" s="140"/>
      <c r="EM207" s="124"/>
      <c r="EN207" s="124"/>
      <c r="EO207" s="140"/>
      <c r="EP207" s="124"/>
      <c r="EQ207" s="124"/>
      <c r="ER207" s="140"/>
      <c r="ES207" s="124"/>
      <c r="ET207" s="124"/>
      <c r="EU207" s="140"/>
      <c r="EV207" s="124"/>
      <c r="EW207" s="124"/>
      <c r="EX207" s="140"/>
      <c r="EY207" s="124"/>
      <c r="EZ207" s="124"/>
      <c r="FA207" s="140"/>
    </row>
    <row r="208" spans="1:157" ht="13.35" customHeight="1">
      <c r="A208" s="3"/>
      <c r="B208" s="122" t="s">
        <v>286</v>
      </c>
      <c r="C208" s="122"/>
      <c r="D208" s="122"/>
      <c r="E208" s="125" t="str">
        <f>IF(Model!E350&lt;&gt;"",Model!E350,"")</f>
        <v/>
      </c>
      <c r="F208" s="125" t="str">
        <f>IF(Model!G350&lt;&gt;"",Model!F350,"")</f>
        <v/>
      </c>
      <c r="G208" s="125" t="str">
        <f>IF(Model!G350&lt;&gt;"",Model!G350,"")</f>
        <v/>
      </c>
      <c r="H208" s="125" t="str">
        <f>IF(Model!H350&lt;&gt;"",Model!H350,"")</f>
        <v/>
      </c>
      <c r="I208" s="125" t="str">
        <f>IF(Model!J350&lt;&gt;"",Model!I350,"")</f>
        <v/>
      </c>
      <c r="J208" s="125" t="str">
        <f>IF(Model!J350&lt;&gt;"",Model!J350,"")</f>
        <v/>
      </c>
      <c r="K208" s="125" t="str">
        <f>IF(Model!K350&lt;&gt;"",Model!K350,"")</f>
        <v/>
      </c>
      <c r="L208" s="125" t="str">
        <f>IF(Model!M350&lt;&gt;"",Model!L350,"")</f>
        <v/>
      </c>
      <c r="M208" s="125" t="str">
        <f>IF(Model!M350&lt;&gt;"",Model!M350,"")</f>
        <v/>
      </c>
      <c r="N208" s="125" t="str">
        <f>IF(Model!N350&lt;&gt;"",Model!N350,"")</f>
        <v/>
      </c>
      <c r="O208" s="125" t="str">
        <f>IF(Model!P350&lt;&gt;"",Model!O350,"")</f>
        <v/>
      </c>
      <c r="P208" s="125" t="str">
        <f>IF(Model!P350&lt;&gt;"",Model!P350,"")</f>
        <v/>
      </c>
      <c r="Q208" s="125" t="str">
        <f>IF(Model!Q350&lt;&gt;"",Model!Q350,"")</f>
        <v/>
      </c>
      <c r="R208" s="125" t="str">
        <f>IF(Model!S350&lt;&gt;"",Model!R350,"")</f>
        <v/>
      </c>
      <c r="S208" s="125" t="str">
        <f>IF(Model!S350&lt;&gt;"",Model!S350,"")</f>
        <v/>
      </c>
      <c r="T208" s="125" t="str">
        <f>IF(Model!T350&lt;&gt;"",Model!T350,"")</f>
        <v/>
      </c>
      <c r="U208" s="125" t="str">
        <f>IF(Model!V350&lt;&gt;"",Model!U350,"")</f>
        <v/>
      </c>
      <c r="V208" s="125" t="str">
        <f>IF(Model!V350&lt;&gt;"",Model!V350,"")</f>
        <v/>
      </c>
      <c r="W208" s="125" t="str">
        <f>IF(Model!W350&lt;&gt;"",Model!W350,"")</f>
        <v/>
      </c>
      <c r="X208" s="125" t="str">
        <f>IF(Model!Y350&lt;&gt;"",Model!X350,"")</f>
        <v/>
      </c>
      <c r="Y208" s="125" t="str">
        <f>IF(Model!Y350&lt;&gt;"",Model!Y350,"")</f>
        <v/>
      </c>
      <c r="Z208" s="125" t="str">
        <f>IF(Model!Z350&lt;&gt;"",Model!Z350,"")</f>
        <v/>
      </c>
      <c r="AA208" s="125" t="str">
        <f>IF(Model!AB350&lt;&gt;"",Model!AA350,"")</f>
        <v/>
      </c>
      <c r="AB208" s="125" t="str">
        <f>IF(Model!AB350&lt;&gt;"",Model!AB350,"")</f>
        <v/>
      </c>
      <c r="AC208" s="125" t="str">
        <f>IF(Model!AC350&lt;&gt;"",Model!AC350,"")</f>
        <v/>
      </c>
      <c r="AD208" s="125" t="str">
        <f>IF(Model!AE350&lt;&gt;"",Model!AD350,"")</f>
        <v/>
      </c>
      <c r="AE208" s="125" t="str">
        <f>IF(Model!AE350&lt;&gt;"",Model!AE350,"")</f>
        <v/>
      </c>
      <c r="AF208" s="125" t="str">
        <f>IF(Model!AF350&lt;&gt;"",Model!AF350,"")</f>
        <v/>
      </c>
      <c r="AG208" s="125" t="str">
        <f>IF(Model!AH350&lt;&gt;"",Model!AG350,"")</f>
        <v/>
      </c>
      <c r="AH208" s="125" t="str">
        <f>IF(Model!AH350&lt;&gt;"",Model!AH350,"")</f>
        <v/>
      </c>
      <c r="AI208" s="125" t="str">
        <f>IF(Model!AI350&lt;&gt;"",Model!AI350,"")</f>
        <v/>
      </c>
      <c r="AJ208" s="125" t="str">
        <f>IF(Model!AK350&lt;&gt;"",Model!AJ350,"")</f>
        <v/>
      </c>
      <c r="AK208" s="125" t="str">
        <f>IF(Model!AK350&lt;&gt;"",Model!AK350,"")</f>
        <v/>
      </c>
      <c r="AL208" s="125" t="str">
        <f>IF(Model!AL350&lt;&gt;"",Model!AL350,"")</f>
        <v/>
      </c>
      <c r="AM208" s="125" t="str">
        <f>IF(Model!AN350&lt;&gt;"",Model!AM350,"")</f>
        <v/>
      </c>
      <c r="AN208" s="125" t="str">
        <f>IF(Model!AN350&lt;&gt;"",Model!AN350,"")</f>
        <v/>
      </c>
      <c r="AO208" s="125" t="str">
        <f>IF(Model!AO350&lt;&gt;"",Model!AO350,"")</f>
        <v/>
      </c>
      <c r="AP208" s="125" t="str">
        <f>IF(Model!AQ350&lt;&gt;"",Model!AP350,"")</f>
        <v/>
      </c>
      <c r="AQ208" s="125" t="str">
        <f>IF(Model!AQ350&lt;&gt;"",Model!AQ350,"")</f>
        <v/>
      </c>
      <c r="AR208" s="125" t="str">
        <f>IF(Model!AR350&lt;&gt;"",Model!AR350,"")</f>
        <v/>
      </c>
      <c r="AS208" s="125" t="str">
        <f>IF(Model!AT350&lt;&gt;"",Model!AS350,"")</f>
        <v/>
      </c>
      <c r="AT208" s="125" t="str">
        <f>IF(Model!AT350&lt;&gt;"",Model!AT350,"")</f>
        <v/>
      </c>
      <c r="AU208" s="125" t="str">
        <f>IF(Model!AU350&lt;&gt;"",Model!AU350,"")</f>
        <v/>
      </c>
      <c r="AV208" s="125" t="str">
        <f>IF(Model!AW350&lt;&gt;"",Model!AV350,"")</f>
        <v/>
      </c>
      <c r="AW208" s="125" t="str">
        <f>IF(Model!AW350&lt;&gt;"",Model!AW350,"")</f>
        <v/>
      </c>
      <c r="AX208" s="125"/>
      <c r="AY208" s="125" t="str">
        <f>IF(Model!AZ350&lt;&gt;"",Model!AY350,"")</f>
        <v/>
      </c>
      <c r="AZ208" s="125" t="str">
        <f>IF(Model!AZ350&lt;&gt;"",Model!AZ350,"")</f>
        <v/>
      </c>
      <c r="BA208" s="125" t="str">
        <f>IF(OR(ISERROR(Model!BA350),Model!BA350=0),"",Model!BA350)</f>
        <v/>
      </c>
      <c r="BB208" s="125" t="str">
        <f>IF(OR(ISERROR(Model!BB350),Model!BB350=0),"",Model!BB350)</f>
        <v/>
      </c>
      <c r="BC208" s="125" t="str">
        <f>IF(OR(BA208&lt;&gt;"",BB208&lt;&gt;""),SUM(BA208:BB208),"")</f>
        <v/>
      </c>
      <c r="BD208" s="125" t="str">
        <f>IF(OR(ISERROR(Model!BD350),Model!BD350=0),"",Model!BD350)</f>
        <v/>
      </c>
      <c r="BE208" s="125" t="str">
        <f>IF(OR(ISERROR(Model!BE350),Model!BE350=0),"",Model!BE350)</f>
        <v/>
      </c>
      <c r="BF208" s="125" t="str">
        <f>IF(OR(BD208&lt;&gt;"",BE208&lt;&gt;""),SUM(BD208:BE208),"")</f>
        <v/>
      </c>
      <c r="BG208" s="125" t="str">
        <f>IF(OR(ISERROR(Model!BG350),Model!BG350=0),"",Model!BG350)</f>
        <v/>
      </c>
      <c r="BH208" s="125" t="str">
        <f>IF(OR(ISERROR(Model!BH350),Model!BH350=0),"",Model!BH350)</f>
        <v/>
      </c>
      <c r="BI208" s="125" t="str">
        <f>IF(OR(BG208&lt;&gt;"",BH208&lt;&gt;""),SUM(BG208:BH208),"")</f>
        <v/>
      </c>
      <c r="BJ208" s="125" t="str">
        <f>IF(OR(ISERROR(Model!BJ350),Model!BJ350=0),"",Model!BJ350)</f>
        <v/>
      </c>
      <c r="BK208" s="125" t="str">
        <f>IF(OR(ISERROR(Model!BK350),Model!BK350=0),"",Model!BK350)</f>
        <v/>
      </c>
      <c r="BL208" s="125" t="str">
        <f>IF(OR(BJ208&lt;&gt;"",BK208&lt;&gt;""),SUM(BJ208:BK208),"")</f>
        <v/>
      </c>
      <c r="BM208" s="125" t="str">
        <f>IF(OR(ISERROR(Model!BM350),Model!BM350=0),"",Model!BM350)</f>
        <v/>
      </c>
      <c r="BN208" s="125" t="str">
        <f>IF(OR(ISERROR(Model!BN350),Model!BN350=0),"",Model!BN350)</f>
        <v/>
      </c>
      <c r="BO208" s="125" t="str">
        <f>IF(OR(BM208&lt;&gt;"",BN208&lt;&gt;""),SUM(BM208:BN208),"")</f>
        <v/>
      </c>
      <c r="BP208" s="125" t="str">
        <f>IF(OR(ISERROR(Model!BP350),Model!BP350=0),"",Model!BP350)</f>
        <v/>
      </c>
      <c r="BQ208" s="125" t="str">
        <f>IF(OR(ISERROR(Model!BQ350),Model!BQ350=0),"",Model!BQ350)</f>
        <v/>
      </c>
      <c r="BR208" s="125" t="str">
        <f>IF(OR(BP208&lt;&gt;"",BQ208&lt;&gt;""),SUM(BP208:BQ208),"")</f>
        <v/>
      </c>
      <c r="BS208" s="125" t="str">
        <f>IF(OR(ISERROR(Model!BS350),Model!BS350=0),"",Model!BS350)</f>
        <v/>
      </c>
      <c r="BT208" s="125" t="str">
        <f>IF(OR(ISERROR(Model!BT350),Model!BT350=0),"",Model!BT350)</f>
        <v/>
      </c>
      <c r="BU208" s="125" t="str">
        <f>IF(OR(BS208&lt;&gt;"",BT208&lt;&gt;""),SUM(BS208:BT208),"")</f>
        <v/>
      </c>
      <c r="BV208" s="125" t="str">
        <f>IF(OR(ISERROR(Model!BV350),Model!BV350=0),"",Model!BV350)</f>
        <v/>
      </c>
      <c r="BW208" s="125" t="str">
        <f>IF(OR(ISERROR(Model!BW350),Model!BW350=0),"",Model!BW350)</f>
        <v/>
      </c>
      <c r="BX208" s="125" t="str">
        <f>IF(OR(BV208&lt;&gt;"",BW208&lt;&gt;""),SUM(BV208:BW208),"")</f>
        <v/>
      </c>
      <c r="BY208" s="125" t="str">
        <f>IF(OR(ISERROR(Model!BY350),Model!BY350=0),"",Model!BY350)</f>
        <v/>
      </c>
      <c r="BZ208" s="125" t="str">
        <f>IF(OR(ISERROR(Model!BZ350),Model!BZ350=0),"",Model!BZ350)</f>
        <v/>
      </c>
      <c r="CA208" s="125" t="str">
        <f>IF(OR(BY208&lt;&gt;"",BZ208&lt;&gt;""),SUM(BY208:BZ208),"")</f>
        <v/>
      </c>
      <c r="CB208" s="125" t="str">
        <f>IF(OR(ISERROR(Model!CB350),Model!CB350=0),"",Model!CB350)</f>
        <v/>
      </c>
      <c r="CC208" s="125" t="str">
        <f>IF(OR(ISERROR(Model!CC350),Model!CC350=0),"",Model!CC350)</f>
        <v/>
      </c>
      <c r="CD208" s="125" t="str">
        <f>IF(OR(CB208&lt;&gt;"",CC208&lt;&gt;""),SUM(CB208:CC208),"")</f>
        <v/>
      </c>
      <c r="CE208" s="125" t="str">
        <f>IF(OR(ISERROR(Model!CE350),Model!CE350=0),"",Model!CE350)</f>
        <v/>
      </c>
      <c r="CF208" s="125" t="str">
        <f>IF(OR(ISERROR(Model!CF350),Model!CF350=0),"",Model!CF350)</f>
        <v/>
      </c>
      <c r="CG208" s="125" t="str">
        <f>IF(OR(CE208&lt;&gt;"",CF208&lt;&gt;""),SUM(CE208:CF208),"")</f>
        <v/>
      </c>
      <c r="CH208" s="125" t="str">
        <f>IF(OR(ISERROR(Model!CH350),Model!CH350=0),"",Model!CH350)</f>
        <v/>
      </c>
      <c r="CI208" s="125" t="str">
        <f>IF(OR(ISERROR(Model!CI350),Model!CI350=0),"",Model!CI350)</f>
        <v/>
      </c>
      <c r="CJ208" s="125" t="str">
        <f>IF(OR(CH208&lt;&gt;"",CI208&lt;&gt;""),SUM(CH208:CI208),"")</f>
        <v/>
      </c>
      <c r="CK208" s="125" t="str">
        <f>IF(OR(ISERROR(Model!CK350),Model!CK350=0),"",Model!CK350)</f>
        <v/>
      </c>
      <c r="CL208" s="125" t="str">
        <f>IF(OR(ISERROR(Model!CL350),Model!CL350=0),"",Model!CL350)</f>
        <v/>
      </c>
      <c r="CM208" s="125" t="str">
        <f>IF(OR(CK208&lt;&gt;"",CL208&lt;&gt;""),SUM(CK208:CL208),"")</f>
        <v/>
      </c>
      <c r="CN208" s="125" t="str">
        <f>IF(OR(ISERROR(Model!CN350),Model!CN350=0),"",Model!CN350)</f>
        <v/>
      </c>
      <c r="CO208" s="125" t="str">
        <f>IF(OR(ISERROR(Model!CO350),Model!CO350=0),"",Model!CO350)</f>
        <v/>
      </c>
      <c r="CP208" s="125" t="str">
        <f>IF(OR(CN208&lt;&gt;"",CO208&lt;&gt;""),SUM(CN208:CO208),"")</f>
        <v/>
      </c>
      <c r="CQ208" s="125" t="str">
        <f>IF(OR(ISERROR(Model!CQ350),Model!CQ350=0),"",Model!CQ350)</f>
        <v/>
      </c>
      <c r="CR208" s="125" t="str">
        <f>IF(OR(ISERROR(Model!CR350),Model!CR350=0),"",Model!CR350)</f>
        <v/>
      </c>
      <c r="CS208" s="125" t="str">
        <f>IF(OR(CQ208&lt;&gt;"",CR208&lt;&gt;""),SUM(CQ208:CR208),"")</f>
        <v/>
      </c>
      <c r="CT208" s="125" t="str">
        <f>IF(OR(ISERROR(Model!CT350),Model!CT350=0),"",Model!CT350)</f>
        <v/>
      </c>
      <c r="CU208" s="125" t="str">
        <f>IF(OR(ISERROR(Model!CU350),Model!CU350=0),"",Model!CU350)</f>
        <v/>
      </c>
      <c r="CV208" s="125" t="str">
        <f>IF(OR(CT208&lt;&gt;"",CU208&lt;&gt;""),SUM(CT208:CU208),"")</f>
        <v/>
      </c>
      <c r="CW208" s="125" t="str">
        <f>IF(OR(ISERROR(Model!CW350),Model!CW350=0),"",Model!CW350)</f>
        <v/>
      </c>
      <c r="CX208" s="125" t="str">
        <f>IF(OR(ISERROR(Model!CX350),Model!CX350=0),"",Model!CX350)</f>
        <v/>
      </c>
      <c r="CY208" s="125" t="str">
        <f>IF(OR(CW208&lt;&gt;"",CX208&lt;&gt;""),SUM(CW208:CX208),"")</f>
        <v/>
      </c>
      <c r="CZ208" s="125" t="str">
        <f>IF(OR(ISERROR(Model!CZ350),Model!CZ350=0),"",Model!CZ350)</f>
        <v/>
      </c>
      <c r="DA208" s="125" t="str">
        <f>IF(OR(ISERROR(Model!DA350),Model!DA350=0),"",Model!DA350)</f>
        <v/>
      </c>
      <c r="DB208" s="125" t="str">
        <f>IF(OR(CZ208&lt;&gt;"",DA208&lt;&gt;""),SUM(CZ208:DA208),"")</f>
        <v/>
      </c>
      <c r="DC208" s="125" t="str">
        <f>IF(OR(ISERROR(Model!DC350),Model!DC350=0),"",Model!DC350)</f>
        <v/>
      </c>
      <c r="DD208" s="125" t="str">
        <f>IF(OR(ISERROR(Model!DD350),Model!DD350=0),"",Model!DD350)</f>
        <v/>
      </c>
      <c r="DE208" s="156" t="str">
        <f>IF(OR(DC208&lt;&gt;"",DD208&lt;&gt;""),SUM(DC208:DD208),"")</f>
        <v/>
      </c>
      <c r="DF208" s="125" t="str">
        <f>IF(OR(ISERROR(Model!DF350),Model!DF350=0),"",Model!DF350)</f>
        <v/>
      </c>
      <c r="DG208" s="125" t="str">
        <f>IF(OR(ISERROR(Model!DG350),Model!DG350=0),"",Model!DG350)</f>
        <v/>
      </c>
      <c r="DH208" s="156" t="str">
        <f>IF(OR(DF208&lt;&gt;"",DG208&lt;&gt;""),SUM(DF208:DG208),"")</f>
        <v/>
      </c>
      <c r="DI208" s="125" t="str">
        <f>IF(OR(ISERROR(Model!DI350),Model!DI350=0),"",Model!DI350)</f>
        <v/>
      </c>
      <c r="DJ208" s="125" t="str">
        <f>IF(OR(ISERROR(Model!DJ350),Model!DJ350=0),"",Model!DJ350)</f>
        <v/>
      </c>
      <c r="DK208" s="156" t="str">
        <f>IF(OR(DI208&lt;&gt;"",DJ208&lt;&gt;""),SUM(DI208:DJ208),"")</f>
        <v/>
      </c>
      <c r="DL208" s="125" t="str">
        <f>IF(OR(ISERROR(Model!DL350),Model!DL350=0),"",Model!DL350)</f>
        <v/>
      </c>
      <c r="DM208" s="125" t="str">
        <f>IF(OR(ISERROR(Model!DM350),Model!DM350=0),"",Model!DM350)</f>
        <v/>
      </c>
      <c r="DN208" s="156" t="str">
        <f>IF(OR(DL208&lt;&gt;"",DM208&lt;&gt;""),SUM(DL208:DM208),"")</f>
        <v/>
      </c>
      <c r="DO208" s="125" t="str">
        <f>IF(OR(ISERROR(Model!DO350),Model!DO350=0),"",Model!DO350)</f>
        <v/>
      </c>
      <c r="DP208" s="125" t="str">
        <f>IF(OR(ISERROR(Model!DP350),Model!DP350=0),"",Model!DP350)</f>
        <v/>
      </c>
      <c r="DQ208" s="156" t="str">
        <f>IF(OR(DO208&lt;&gt;"",DP208&lt;&gt;""),SUM(DO208:DP208),"")</f>
        <v/>
      </c>
      <c r="DR208" s="125" t="str">
        <f>IF(OR(ISERROR(Model!DR350),Model!DR350=0),"",Model!DR350)</f>
        <v/>
      </c>
      <c r="DS208" s="125" t="str">
        <f>IF(OR(ISERROR(Model!DS350),Model!DS350=0),"",Model!DS350)</f>
        <v/>
      </c>
      <c r="DT208" s="156" t="str">
        <f>IF(OR(DR208&lt;&gt;"",DS208&lt;&gt;""),SUM(DR208:DS208),"")</f>
        <v/>
      </c>
      <c r="DU208" s="125" t="str">
        <f>IF(OR(ISERROR(Model!DU350),Model!DU350=0),"",Model!DU350)</f>
        <v/>
      </c>
      <c r="DV208" s="125" t="str">
        <f>IF(OR(ISERROR(Model!DV350),Model!DV350=0),"",Model!DV350)</f>
        <v/>
      </c>
      <c r="DW208" s="156" t="str">
        <f>IF(OR(DU208&lt;&gt;"",DV208&lt;&gt;""),SUM(DU208:DV208),"")</f>
        <v/>
      </c>
      <c r="DX208" s="125" t="str">
        <f>IF(OR(ISERROR(Model!DX350),Model!DX350=0),"",Model!DX350)</f>
        <v/>
      </c>
      <c r="DY208" s="125" t="str">
        <f>IF(OR(ISERROR(Model!DY350),Model!DY350=0),"",Model!DY350)</f>
        <v/>
      </c>
      <c r="DZ208" s="156" t="str">
        <f>IF(OR(DX208&lt;&gt;"",DY208&lt;&gt;""),SUM(DX208:DY208),"")</f>
        <v/>
      </c>
      <c r="EA208" s="125" t="str">
        <f>IF(OR(ISERROR(Model!EA350),Model!EA350=0),"",Model!EA350)</f>
        <v/>
      </c>
      <c r="EB208" s="125" t="str">
        <f>IF(OR(ISERROR(Model!EB350),Model!EB350=0),"",Model!EB350)</f>
        <v/>
      </c>
      <c r="EC208" s="156" t="str">
        <f>IF(OR(EA208&lt;&gt;"",EB208&lt;&gt;""),SUM(EA208:EB208),"")</f>
        <v/>
      </c>
      <c r="ED208" s="125" t="str">
        <f>IF(OR(ISERROR(Model!ED350),Model!ED350=0),"",Model!ED350)</f>
        <v/>
      </c>
      <c r="EE208" s="125" t="str">
        <f>IF(OR(ISERROR(Model!EE350),Model!EE350=0),"",Model!EE350)</f>
        <v/>
      </c>
      <c r="EF208" s="156" t="str">
        <f>IF(OR(ED208&lt;&gt;"",EE208&lt;&gt;""),SUM(ED208:EE208),"")</f>
        <v/>
      </c>
      <c r="EG208" s="125" t="str">
        <f>IF(OR(ISERROR(Model!EG350),Model!EG350=0),"",Model!EG350)</f>
        <v/>
      </c>
      <c r="EH208" s="125" t="str">
        <f>IF(OR(ISERROR(Model!EH350),Model!EH350=0),"",Model!EH350)</f>
        <v/>
      </c>
      <c r="EI208" s="156" t="str">
        <f>IF(OR(EG208&lt;&gt;"",EH208&lt;&gt;""),SUM(EG208:EH208),"")</f>
        <v/>
      </c>
      <c r="EJ208" s="125" t="str">
        <f>IF(OR(ISERROR(Model!EJ350),Model!EJ350=0),"",Model!EJ350)</f>
        <v/>
      </c>
      <c r="EK208" s="125" t="str">
        <f>IF(OR(ISERROR(Model!EK350),Model!EK350=0),"",Model!EK350)</f>
        <v/>
      </c>
      <c r="EL208" s="156" t="str">
        <f>IF(OR(EJ208&lt;&gt;"",EK208&lt;&gt;""),SUM(EJ208:EK208),"")</f>
        <v/>
      </c>
      <c r="EM208" s="125" t="str">
        <f>IF(OR(ISERROR(Model!EM350),Model!EM350=0),"",Model!EM350)</f>
        <v/>
      </c>
      <c r="EN208" s="125" t="str">
        <f>IF(OR(ISERROR(Model!EN350),Model!EN350=0),"",Model!EN350)</f>
        <v/>
      </c>
      <c r="EO208" s="156" t="str">
        <f>IF(OR(EM208&lt;&gt;"",EN208&lt;&gt;""),SUM(EM208:EN208),"")</f>
        <v/>
      </c>
      <c r="EP208" s="125" t="str">
        <f>IF(OR(ISERROR(Model!EP350),Model!EP350=0),"",Model!EP350)</f>
        <v/>
      </c>
      <c r="EQ208" s="125" t="str">
        <f>IF(OR(ISERROR(Model!EQ350),Model!EQ350=0),"",Model!EQ350)</f>
        <v/>
      </c>
      <c r="ER208" s="156" t="str">
        <f>IF(OR(EP208&lt;&gt;"",EQ208&lt;&gt;""),SUM(EP208:EQ208),"")</f>
        <v/>
      </c>
      <c r="ES208" s="125" t="str">
        <f>IF(OR(ISERROR(Model!ES350),Model!ES350=0),"",Model!ES350)</f>
        <v/>
      </c>
      <c r="ET208" s="125" t="str">
        <f>IF(OR(ISERROR(Model!ET350),Model!ET350=0),"",Model!ET350)</f>
        <v/>
      </c>
      <c r="EU208" s="156" t="str">
        <f>IF(OR(ES208&lt;&gt;"",ET208&lt;&gt;""),SUM(ES208:ET208),"")</f>
        <v/>
      </c>
      <c r="EV208" s="125" t="str">
        <f>IF(OR(ISERROR(Model!EV350),Model!EV350=0),"",Model!EV350)</f>
        <v/>
      </c>
      <c r="EW208" s="125" t="str">
        <f>IF(OR(ISERROR(Model!EW350),Model!EW350=0),"",Model!EW350)</f>
        <v/>
      </c>
      <c r="EX208" s="156" t="str">
        <f>IF(OR(EV208&lt;&gt;"",EW208&lt;&gt;""),SUM(EV208:EW208),"")</f>
        <v/>
      </c>
      <c r="EY208" s="125" t="str">
        <f>IF(OR(ISERROR(Model!EY350),Model!EY350=0),"",Model!EY350)</f>
        <v/>
      </c>
      <c r="EZ208" s="125" t="str">
        <f>IF(OR(ISERROR(Model!EZ350),Model!EZ350=0),"",Model!EZ350)</f>
        <v/>
      </c>
      <c r="FA208" s="156" t="str">
        <f>IF(OR(EY208&lt;&gt;"",EZ208&lt;&gt;""),SUM(EY208:EZ208),"")</f>
        <v/>
      </c>
    </row>
    <row r="209" spans="1:157" ht="13.35" customHeight="1">
      <c r="A209" s="3"/>
      <c r="B209" s="5" t="s">
        <v>39</v>
      </c>
      <c r="C209" s="5"/>
      <c r="D209" s="5"/>
      <c r="E209" s="84"/>
      <c r="F209" s="84"/>
      <c r="G209" s="84"/>
      <c r="H209" s="84"/>
      <c r="I209" s="84"/>
      <c r="J209" s="84"/>
      <c r="K209" s="84"/>
      <c r="L209" s="84"/>
      <c r="M209" s="84"/>
      <c r="N209" s="84"/>
      <c r="O209" s="84"/>
      <c r="P209" s="84"/>
      <c r="Q209" s="84"/>
      <c r="R209" s="84"/>
      <c r="S209" s="84"/>
      <c r="T209" s="84"/>
      <c r="U209" s="84"/>
      <c r="V209" s="84"/>
      <c r="W209" s="84"/>
      <c r="X209" s="84"/>
      <c r="Y209" s="84"/>
      <c r="Z209" s="84"/>
      <c r="AA209" s="84"/>
      <c r="AB209" s="84"/>
      <c r="AC209" s="84"/>
      <c r="AD209" s="84"/>
      <c r="AE209" s="84"/>
      <c r="AF209" s="84"/>
      <c r="AG209" s="84"/>
      <c r="AH209" s="84"/>
      <c r="AI209" s="84"/>
      <c r="AJ209" s="84"/>
      <c r="AK209" s="84"/>
      <c r="AL209" s="84"/>
      <c r="AM209" s="84"/>
      <c r="AN209" s="84"/>
      <c r="AO209" s="84"/>
      <c r="AP209" s="84"/>
      <c r="AQ209" s="84"/>
      <c r="AR209" s="84"/>
      <c r="AS209" s="84"/>
      <c r="AT209" s="84"/>
      <c r="AU209" s="84"/>
      <c r="AV209" s="84"/>
      <c r="AW209" s="84"/>
      <c r="AX209" s="84"/>
      <c r="AY209" s="84"/>
      <c r="AZ209" s="84"/>
      <c r="BA209" s="8"/>
      <c r="BB209" s="8"/>
      <c r="BC209" s="87"/>
      <c r="BD209" s="8"/>
      <c r="BE209" s="8"/>
      <c r="BF209" s="87"/>
      <c r="BG209" s="8"/>
      <c r="BH209" s="8"/>
      <c r="BI209" s="87"/>
      <c r="BJ209" s="8"/>
      <c r="BK209" s="8"/>
      <c r="BL209" s="87"/>
      <c r="BM209" s="8"/>
      <c r="BN209" s="8"/>
      <c r="BO209" s="87"/>
      <c r="BP209" s="8"/>
      <c r="BQ209" s="8"/>
      <c r="BR209" s="87"/>
      <c r="BS209" s="8"/>
      <c r="BT209" s="8"/>
      <c r="BU209" s="87"/>
      <c r="BV209" s="8"/>
      <c r="BW209" s="8"/>
      <c r="BX209" s="87"/>
      <c r="BY209" s="8"/>
      <c r="BZ209" s="8"/>
      <c r="CA209" s="87"/>
      <c r="CB209" s="8"/>
      <c r="CC209" s="8"/>
      <c r="CD209" s="87"/>
      <c r="CE209" s="8"/>
      <c r="CF209" s="8"/>
      <c r="CG209" s="87"/>
      <c r="CH209" s="8"/>
      <c r="CI209" s="8"/>
      <c r="CJ209" s="87"/>
      <c r="CK209" s="8"/>
      <c r="CL209" s="8"/>
      <c r="CM209" s="87"/>
      <c r="CN209" s="8"/>
      <c r="CO209" s="8"/>
      <c r="CP209" s="87"/>
      <c r="CQ209" s="8"/>
      <c r="CR209" s="8"/>
      <c r="CS209" s="87"/>
      <c r="CT209" s="8"/>
      <c r="CU209" s="8"/>
      <c r="CV209" s="87"/>
      <c r="CW209" s="8"/>
      <c r="CX209" s="8"/>
      <c r="CY209" s="87"/>
      <c r="CZ209" s="8"/>
      <c r="DA209" s="8"/>
      <c r="DB209" s="87"/>
      <c r="DC209" s="8"/>
      <c r="DD209" s="8"/>
      <c r="DE209" s="140"/>
      <c r="DF209" s="8"/>
      <c r="DG209" s="8"/>
      <c r="DH209" s="140"/>
      <c r="DI209" s="8"/>
      <c r="DJ209" s="8"/>
      <c r="DK209" s="140"/>
      <c r="DL209" s="8"/>
      <c r="DM209" s="8"/>
      <c r="DN209" s="140"/>
      <c r="DO209" s="8"/>
      <c r="DP209" s="8"/>
      <c r="DQ209" s="140"/>
      <c r="DR209" s="8"/>
      <c r="DS209" s="8"/>
      <c r="DT209" s="140"/>
      <c r="DU209" s="8"/>
      <c r="DV209" s="8"/>
      <c r="DW209" s="140"/>
      <c r="DX209" s="8"/>
      <c r="DY209" s="8"/>
      <c r="DZ209" s="140"/>
      <c r="EA209" s="8"/>
      <c r="EB209" s="8"/>
      <c r="EC209" s="140"/>
      <c r="ED209" s="8"/>
      <c r="EE209" s="8"/>
      <c r="EF209" s="140"/>
      <c r="EG209" s="8"/>
      <c r="EH209" s="8"/>
      <c r="EI209" s="140"/>
      <c r="EJ209" s="8"/>
      <c r="EK209" s="8"/>
      <c r="EL209" s="140"/>
      <c r="EM209" s="8"/>
      <c r="EN209" s="8"/>
      <c r="EO209" s="140"/>
      <c r="EP209" s="8"/>
      <c r="EQ209" s="8"/>
      <c r="ER209" s="140"/>
      <c r="ES209" s="8"/>
      <c r="ET209" s="8"/>
      <c r="EU209" s="140"/>
      <c r="EV209" s="8"/>
      <c r="EW209" s="8"/>
      <c r="EX209" s="140"/>
      <c r="EY209" s="8"/>
      <c r="EZ209" s="8"/>
      <c r="FA209" s="140"/>
    </row>
    <row r="210" spans="1:157" ht="13.35" customHeight="1">
      <c r="A210" s="3"/>
      <c r="B210" s="86"/>
      <c r="C210" s="3"/>
      <c r="D210" s="3"/>
      <c r="E210" s="84"/>
      <c r="F210" s="84"/>
      <c r="G210" s="84"/>
      <c r="H210" s="84"/>
      <c r="I210" s="84"/>
      <c r="J210" s="84"/>
      <c r="K210" s="84"/>
      <c r="L210" s="84"/>
      <c r="M210" s="84"/>
      <c r="N210" s="84"/>
      <c r="O210" s="84"/>
      <c r="P210" s="84"/>
      <c r="Q210" s="84"/>
      <c r="R210" s="84"/>
      <c r="S210" s="84"/>
      <c r="T210" s="84"/>
      <c r="U210" s="84"/>
      <c r="V210" s="84"/>
      <c r="W210" s="84"/>
      <c r="X210" s="84"/>
      <c r="Y210" s="84"/>
      <c r="Z210" s="84"/>
      <c r="AA210" s="84"/>
      <c r="AB210" s="84"/>
      <c r="AC210" s="84"/>
      <c r="AD210" s="84"/>
      <c r="AE210" s="84"/>
      <c r="AF210" s="84"/>
      <c r="AG210" s="84"/>
      <c r="AH210" s="84"/>
      <c r="AI210" s="84"/>
      <c r="AJ210" s="84"/>
      <c r="AK210" s="84"/>
      <c r="AL210" s="84"/>
      <c r="AM210" s="84"/>
      <c r="AN210" s="84"/>
      <c r="AO210" s="84"/>
      <c r="AP210" s="84"/>
      <c r="AQ210" s="84"/>
      <c r="AR210" s="84"/>
      <c r="AS210" s="84"/>
      <c r="AT210" s="84"/>
      <c r="AU210" s="84"/>
      <c r="AV210" s="84"/>
      <c r="AW210" s="84"/>
      <c r="AX210" s="84"/>
      <c r="AY210" s="84"/>
      <c r="AZ210" s="84"/>
      <c r="BA210" s="84"/>
      <c r="BB210" s="84"/>
      <c r="BC210" s="84"/>
      <c r="BD210" s="84"/>
      <c r="BE210" s="84"/>
      <c r="BF210" s="84"/>
      <c r="BG210" s="84"/>
      <c r="BH210" s="84"/>
      <c r="BI210" s="84"/>
      <c r="BJ210" s="84"/>
      <c r="BK210" s="84"/>
      <c r="BL210" s="84"/>
      <c r="BM210" s="84"/>
      <c r="BN210" s="84"/>
      <c r="BO210" s="84"/>
      <c r="BP210" s="84"/>
      <c r="BQ210" s="84"/>
      <c r="BR210" s="84"/>
      <c r="BS210" s="84"/>
      <c r="BT210" s="84"/>
      <c r="BU210" s="84"/>
      <c r="BV210" s="84"/>
      <c r="BW210" s="84"/>
      <c r="BX210" s="84"/>
      <c r="BY210" s="84"/>
      <c r="BZ210" s="84"/>
      <c r="CA210" s="84"/>
      <c r="CB210" s="84"/>
      <c r="CC210" s="84"/>
      <c r="CD210" s="84"/>
      <c r="CE210" s="84"/>
      <c r="CF210" s="84"/>
      <c r="CG210" s="84"/>
      <c r="CH210" s="84"/>
      <c r="CI210" s="84"/>
      <c r="CJ210" s="84"/>
      <c r="CK210" s="84"/>
      <c r="CL210" s="84"/>
      <c r="CM210" s="84"/>
      <c r="CN210" s="84"/>
      <c r="CO210" s="84"/>
      <c r="CP210" s="84"/>
      <c r="CQ210" s="84"/>
      <c r="CR210" s="84"/>
      <c r="CS210" s="84"/>
      <c r="CT210" s="84"/>
      <c r="CU210" s="84"/>
      <c r="CV210" s="84"/>
      <c r="CW210" s="84"/>
      <c r="CX210" s="84"/>
      <c r="CY210" s="84"/>
      <c r="CZ210" s="84"/>
      <c r="DA210" s="84"/>
      <c r="DB210" s="84"/>
      <c r="DC210" s="84"/>
      <c r="DD210" s="84"/>
      <c r="DE210" s="140"/>
      <c r="DF210" s="84"/>
      <c r="DG210" s="84"/>
      <c r="DH210" s="140"/>
      <c r="DI210" s="84"/>
      <c r="DJ210" s="84"/>
      <c r="DK210" s="140"/>
      <c r="DL210" s="84"/>
      <c r="DM210" s="84"/>
      <c r="DN210" s="140"/>
      <c r="DO210" s="84"/>
      <c r="DP210" s="84"/>
      <c r="DQ210" s="140"/>
      <c r="DR210" s="84"/>
      <c r="DS210" s="84"/>
      <c r="DT210" s="140"/>
      <c r="DU210" s="84"/>
      <c r="DV210" s="84"/>
      <c r="DW210" s="140"/>
      <c r="DX210" s="84"/>
      <c r="DY210" s="84"/>
      <c r="DZ210" s="140"/>
      <c r="EA210" s="84"/>
      <c r="EB210" s="84"/>
      <c r="EC210" s="140"/>
      <c r="ED210" s="84"/>
      <c r="EE210" s="84"/>
      <c r="EF210" s="140"/>
      <c r="EG210" s="84"/>
      <c r="EH210" s="84"/>
      <c r="EI210" s="140"/>
      <c r="EJ210" s="84"/>
      <c r="EK210" s="84"/>
      <c r="EL210" s="140"/>
      <c r="EM210" s="84"/>
      <c r="EN210" s="84"/>
      <c r="EO210" s="140"/>
      <c r="EP210" s="84"/>
      <c r="EQ210" s="84"/>
      <c r="ER210" s="140"/>
      <c r="ES210" s="84"/>
      <c r="ET210" s="84"/>
      <c r="EU210" s="140"/>
      <c r="EV210" s="84"/>
      <c r="EW210" s="84"/>
      <c r="EX210" s="140"/>
      <c r="EY210" s="84"/>
      <c r="EZ210" s="84"/>
      <c r="FA210" s="140"/>
    </row>
    <row r="211" spans="1:157" ht="13.35" customHeight="1">
      <c r="A211" s="3"/>
      <c r="B211" s="5" t="s">
        <v>585</v>
      </c>
      <c r="C211" s="5"/>
      <c r="D211" s="5"/>
      <c r="E211" s="84"/>
      <c r="F211" s="84"/>
      <c r="G211" s="84"/>
      <c r="H211" s="84"/>
      <c r="I211" s="84"/>
      <c r="J211" s="84"/>
      <c r="K211" s="84"/>
      <c r="L211" s="84"/>
      <c r="M211" s="84"/>
      <c r="N211" s="84"/>
      <c r="O211" s="84"/>
      <c r="P211" s="84"/>
      <c r="Q211" s="84"/>
      <c r="R211" s="84"/>
      <c r="S211" s="84"/>
      <c r="T211" s="84"/>
      <c r="U211" s="84"/>
      <c r="V211" s="84"/>
      <c r="W211" s="84"/>
      <c r="X211" s="84"/>
      <c r="Y211" s="84"/>
      <c r="Z211" s="84"/>
      <c r="AA211" s="84"/>
      <c r="AB211" s="84"/>
      <c r="AC211" s="84"/>
      <c r="AD211" s="84"/>
      <c r="AE211" s="84"/>
      <c r="AF211" s="84"/>
      <c r="AG211" s="84"/>
      <c r="AH211" s="84"/>
      <c r="AI211" s="84"/>
      <c r="AJ211" s="84"/>
      <c r="AK211" s="84"/>
      <c r="AL211" s="84"/>
      <c r="AM211" s="84"/>
      <c r="AN211" s="84"/>
      <c r="AO211" s="84"/>
      <c r="AP211" s="84"/>
      <c r="AQ211" s="84"/>
      <c r="AR211" s="84"/>
      <c r="AS211" s="84"/>
      <c r="AT211" s="84"/>
      <c r="AU211" s="84"/>
      <c r="AV211" s="84"/>
      <c r="AW211" s="84"/>
      <c r="AX211" s="84"/>
      <c r="AY211" s="84"/>
      <c r="AZ211" s="84"/>
      <c r="BA211" s="84"/>
      <c r="BB211" s="84"/>
      <c r="BC211" s="84"/>
      <c r="BD211" s="84"/>
      <c r="BE211" s="84"/>
      <c r="BF211" s="84"/>
      <c r="BG211" s="84"/>
      <c r="BH211" s="84"/>
      <c r="BI211" s="84"/>
      <c r="BJ211" s="84"/>
      <c r="BK211" s="84"/>
      <c r="BL211" s="84"/>
      <c r="BM211" s="84"/>
      <c r="BN211" s="84"/>
      <c r="BO211" s="84"/>
      <c r="BP211" s="84"/>
      <c r="BQ211" s="84"/>
      <c r="BR211" s="84"/>
      <c r="BS211" s="84"/>
      <c r="BT211" s="84"/>
      <c r="BU211" s="84"/>
      <c r="BV211" s="84"/>
      <c r="BW211" s="84"/>
      <c r="BX211" s="84"/>
      <c r="BY211" s="84"/>
      <c r="BZ211" s="84"/>
      <c r="CA211" s="84"/>
      <c r="CB211" s="84"/>
      <c r="CC211" s="84"/>
      <c r="CD211" s="84"/>
      <c r="CE211" s="84"/>
      <c r="CF211" s="84"/>
      <c r="CG211" s="84"/>
      <c r="CH211" s="84"/>
      <c r="CI211" s="84"/>
      <c r="CJ211" s="84"/>
      <c r="CK211" s="84"/>
      <c r="CL211" s="84"/>
      <c r="CM211" s="84"/>
      <c r="CN211" s="84"/>
      <c r="CO211" s="84"/>
      <c r="CP211" s="84"/>
      <c r="CQ211" s="84"/>
      <c r="CR211" s="84"/>
      <c r="CS211" s="84"/>
      <c r="CT211" s="84"/>
      <c r="CU211" s="84"/>
      <c r="CV211" s="84"/>
      <c r="CW211" s="84"/>
      <c r="CX211" s="84"/>
      <c r="CY211" s="84"/>
      <c r="CZ211" s="84"/>
      <c r="DA211" s="84"/>
      <c r="DB211" s="84"/>
      <c r="DC211" s="84"/>
      <c r="DD211" s="84"/>
      <c r="DE211" s="140"/>
      <c r="DF211" s="84"/>
      <c r="DG211" s="84"/>
      <c r="DH211" s="140"/>
      <c r="DI211" s="84"/>
      <c r="DJ211" s="84"/>
      <c r="DK211" s="140"/>
      <c r="DL211" s="84"/>
      <c r="DM211" s="84"/>
      <c r="DN211" s="140"/>
      <c r="DO211" s="84"/>
      <c r="DP211" s="84"/>
      <c r="DQ211" s="140"/>
      <c r="DR211" s="84"/>
      <c r="DS211" s="84"/>
      <c r="DT211" s="140"/>
      <c r="DU211" s="84"/>
      <c r="DV211" s="84"/>
      <c r="DW211" s="140"/>
      <c r="DX211" s="84"/>
      <c r="DY211" s="84"/>
      <c r="DZ211" s="140"/>
      <c r="EA211" s="84"/>
      <c r="EB211" s="84"/>
      <c r="EC211" s="140"/>
      <c r="ED211" s="84"/>
      <c r="EE211" s="84"/>
      <c r="EF211" s="140"/>
      <c r="EG211" s="84"/>
      <c r="EH211" s="84"/>
      <c r="EI211" s="140"/>
      <c r="EJ211" s="84"/>
      <c r="EK211" s="84"/>
      <c r="EL211" s="140"/>
      <c r="EM211" s="84"/>
      <c r="EN211" s="84"/>
      <c r="EO211" s="140"/>
      <c r="EP211" s="84"/>
      <c r="EQ211" s="84"/>
      <c r="ER211" s="140"/>
      <c r="ES211" s="84"/>
      <c r="ET211" s="84"/>
      <c r="EU211" s="140"/>
      <c r="EV211" s="84"/>
      <c r="EW211" s="84"/>
      <c r="EX211" s="140"/>
      <c r="EY211" s="84"/>
      <c r="EZ211" s="84"/>
      <c r="FA211" s="140"/>
    </row>
    <row r="212" spans="1:157" ht="13.35" customHeight="1">
      <c r="A212" s="3"/>
      <c r="B212" s="86"/>
      <c r="C212" s="3"/>
      <c r="D212" s="3"/>
      <c r="E212" s="84"/>
      <c r="F212" s="84"/>
      <c r="G212" s="84"/>
      <c r="H212" s="84"/>
      <c r="I212" s="84"/>
      <c r="J212" s="84"/>
      <c r="K212" s="84"/>
      <c r="L212" s="84"/>
      <c r="M212" s="84"/>
      <c r="N212" s="84"/>
      <c r="O212" s="84"/>
      <c r="P212" s="84"/>
      <c r="Q212" s="84"/>
      <c r="R212" s="84"/>
      <c r="S212" s="84"/>
      <c r="T212" s="84"/>
      <c r="U212" s="84"/>
      <c r="V212" s="84"/>
      <c r="W212" s="84"/>
      <c r="X212" s="84"/>
      <c r="Y212" s="84"/>
      <c r="Z212" s="84"/>
      <c r="AA212" s="84"/>
      <c r="AB212" s="84"/>
      <c r="AC212" s="84"/>
      <c r="AD212" s="84"/>
      <c r="AE212" s="84"/>
      <c r="AF212" s="84"/>
      <c r="AG212" s="84"/>
      <c r="AH212" s="84"/>
      <c r="AI212" s="84"/>
      <c r="AJ212" s="84"/>
      <c r="AK212" s="84"/>
      <c r="AL212" s="84"/>
      <c r="AM212" s="84"/>
      <c r="AN212" s="84"/>
      <c r="AO212" s="84"/>
      <c r="AP212" s="84"/>
      <c r="AQ212" s="84"/>
      <c r="AR212" s="84"/>
      <c r="AS212" s="84"/>
      <c r="AT212" s="84"/>
      <c r="AU212" s="84"/>
      <c r="AV212" s="84"/>
      <c r="AW212" s="84"/>
      <c r="AX212" s="84"/>
      <c r="AY212" s="84"/>
      <c r="AZ212" s="84"/>
      <c r="BA212" s="84"/>
      <c r="BB212" s="84"/>
      <c r="BC212" s="84"/>
      <c r="BD212" s="84"/>
      <c r="BE212" s="84"/>
      <c r="BF212" s="84"/>
      <c r="BG212" s="84"/>
      <c r="BH212" s="84"/>
      <c r="BI212" s="84"/>
      <c r="BJ212" s="84"/>
      <c r="BK212" s="84"/>
      <c r="BL212" s="84"/>
      <c r="BM212" s="84"/>
      <c r="BN212" s="84"/>
      <c r="BO212" s="84"/>
      <c r="BP212" s="84"/>
      <c r="BQ212" s="84"/>
      <c r="BR212" s="84"/>
      <c r="BS212" s="84"/>
      <c r="BT212" s="84"/>
      <c r="BU212" s="84"/>
      <c r="BV212" s="84"/>
      <c r="BW212" s="84"/>
      <c r="BX212" s="84"/>
      <c r="BY212" s="84"/>
      <c r="BZ212" s="84"/>
      <c r="CA212" s="84"/>
      <c r="CB212" s="84"/>
      <c r="CC212" s="84"/>
      <c r="CD212" s="84"/>
      <c r="CE212" s="84"/>
      <c r="CF212" s="84"/>
      <c r="CG212" s="84"/>
      <c r="CH212" s="84"/>
      <c r="CI212" s="84"/>
      <c r="CJ212" s="84"/>
      <c r="CK212" s="84"/>
      <c r="CL212" s="84"/>
      <c r="CM212" s="84"/>
      <c r="CN212" s="84"/>
      <c r="CO212" s="84"/>
      <c r="CP212" s="84"/>
      <c r="CQ212" s="84"/>
      <c r="CR212" s="84"/>
      <c r="CS212" s="84"/>
      <c r="CT212" s="84"/>
      <c r="CU212" s="84"/>
      <c r="CV212" s="84"/>
      <c r="CW212" s="84"/>
      <c r="CX212" s="84"/>
      <c r="CY212" s="84"/>
      <c r="CZ212" s="84"/>
      <c r="DA212" s="84"/>
      <c r="DB212" s="84"/>
      <c r="DC212" s="84"/>
      <c r="DD212" s="84"/>
      <c r="DE212" s="140"/>
      <c r="DF212" s="84"/>
      <c r="DG212" s="84"/>
      <c r="DH212" s="140"/>
      <c r="DI212" s="84"/>
      <c r="DJ212" s="84"/>
      <c r="DK212" s="140"/>
      <c r="DL212" s="84"/>
      <c r="DM212" s="84"/>
      <c r="DN212" s="140"/>
      <c r="DO212" s="84"/>
      <c r="DP212" s="84"/>
      <c r="DQ212" s="140"/>
      <c r="DR212" s="84"/>
      <c r="DS212" s="84"/>
      <c r="DT212" s="140"/>
      <c r="DU212" s="84"/>
      <c r="DV212" s="84"/>
      <c r="DW212" s="140"/>
      <c r="DX212" s="84"/>
      <c r="DY212" s="84"/>
      <c r="DZ212" s="140"/>
      <c r="EA212" s="84"/>
      <c r="EB212" s="84"/>
      <c r="EC212" s="140"/>
      <c r="ED212" s="84"/>
      <c r="EE212" s="84"/>
      <c r="EF212" s="140"/>
      <c r="EG212" s="84"/>
      <c r="EH212" s="84"/>
      <c r="EI212" s="140"/>
      <c r="EJ212" s="84"/>
      <c r="EK212" s="84"/>
      <c r="EL212" s="140"/>
      <c r="EM212" s="84"/>
      <c r="EN212" s="84"/>
      <c r="EO212" s="140"/>
      <c r="EP212" s="84"/>
      <c r="EQ212" s="84"/>
      <c r="ER212" s="140"/>
      <c r="ES212" s="84"/>
      <c r="ET212" s="84"/>
      <c r="EU212" s="140"/>
      <c r="EV212" s="84"/>
      <c r="EW212" s="84"/>
      <c r="EX212" s="140"/>
      <c r="EY212" s="84"/>
      <c r="EZ212" s="84"/>
      <c r="FA212" s="140"/>
    </row>
    <row r="213" spans="1:157" ht="13.35" customHeight="1">
      <c r="A213" s="3"/>
      <c r="B213" s="5" t="s">
        <v>586</v>
      </c>
      <c r="C213" s="5"/>
      <c r="D213" s="3"/>
      <c r="E213" s="84"/>
      <c r="F213" s="84"/>
      <c r="G213" s="84"/>
      <c r="H213" s="84"/>
      <c r="I213" s="84"/>
      <c r="J213" s="84"/>
      <c r="K213" s="84"/>
      <c r="L213" s="84"/>
      <c r="M213" s="84"/>
      <c r="N213" s="84"/>
      <c r="O213" s="84"/>
      <c r="P213" s="84"/>
      <c r="Q213" s="84"/>
      <c r="R213" s="84"/>
      <c r="S213" s="84"/>
      <c r="T213" s="84"/>
      <c r="U213" s="84"/>
      <c r="V213" s="84"/>
      <c r="W213" s="84"/>
      <c r="X213" s="84"/>
      <c r="Y213" s="84"/>
      <c r="Z213" s="84"/>
      <c r="AA213" s="84"/>
      <c r="AB213" s="84"/>
      <c r="AC213" s="84"/>
      <c r="AD213" s="84"/>
      <c r="AE213" s="84"/>
      <c r="AF213" s="84"/>
      <c r="AG213" s="84"/>
      <c r="AH213" s="84"/>
      <c r="AI213" s="84"/>
      <c r="AJ213" s="84"/>
      <c r="AK213" s="84"/>
      <c r="AL213" s="84"/>
      <c r="AM213" s="84"/>
      <c r="AN213" s="84"/>
      <c r="AO213" s="84"/>
      <c r="AP213" s="84"/>
      <c r="AQ213" s="84"/>
      <c r="AR213" s="84"/>
      <c r="AS213" s="84"/>
      <c r="AT213" s="84"/>
      <c r="AU213" s="84"/>
      <c r="AV213" s="84"/>
      <c r="AW213" s="84"/>
      <c r="AX213" s="84"/>
      <c r="AY213" s="84"/>
      <c r="AZ213" s="84"/>
      <c r="BA213" s="84"/>
      <c r="BB213" s="84"/>
      <c r="BC213" s="84"/>
      <c r="BD213" s="84"/>
      <c r="BE213" s="84"/>
      <c r="BF213" s="84"/>
      <c r="BG213" s="84"/>
      <c r="BH213" s="84"/>
      <c r="BI213" s="84"/>
      <c r="BJ213" s="84"/>
      <c r="BK213" s="84"/>
      <c r="BL213" s="84"/>
      <c r="BM213" s="84"/>
      <c r="BN213" s="84"/>
      <c r="BO213" s="84"/>
      <c r="BP213" s="84"/>
      <c r="BQ213" s="84"/>
      <c r="BR213" s="84"/>
      <c r="BS213" s="84"/>
      <c r="BT213" s="84"/>
      <c r="BU213" s="84"/>
      <c r="BV213" s="84"/>
      <c r="BW213" s="84"/>
      <c r="BX213" s="84"/>
      <c r="BY213" s="84"/>
      <c r="BZ213" s="84"/>
      <c r="CA213" s="84"/>
      <c r="CB213" s="84"/>
      <c r="CC213" s="84"/>
      <c r="CD213" s="84"/>
      <c r="CE213" s="84"/>
      <c r="CF213" s="84"/>
      <c r="CG213" s="84"/>
      <c r="CH213" s="84"/>
      <c r="CI213" s="84"/>
      <c r="CJ213" s="84"/>
      <c r="CK213" s="84"/>
      <c r="CL213" s="84"/>
      <c r="CM213" s="84"/>
      <c r="CN213" s="84"/>
      <c r="CO213" s="84"/>
      <c r="CP213" s="84"/>
      <c r="CQ213" s="84"/>
      <c r="CR213" s="84"/>
      <c r="CS213" s="84"/>
      <c r="CT213" s="84"/>
      <c r="CU213" s="84"/>
      <c r="CV213" s="84"/>
      <c r="CW213" s="84"/>
      <c r="CX213" s="84"/>
      <c r="CY213" s="84"/>
      <c r="CZ213" s="84"/>
      <c r="DA213" s="84"/>
      <c r="DB213" s="84"/>
      <c r="DC213" s="84"/>
      <c r="DD213" s="84"/>
      <c r="DE213" s="140"/>
      <c r="DF213" s="84"/>
      <c r="DG213" s="84"/>
      <c r="DH213" s="140"/>
      <c r="DI213" s="84"/>
      <c r="DJ213" s="84"/>
      <c r="DK213" s="140"/>
      <c r="DL213" s="84"/>
      <c r="DM213" s="84"/>
      <c r="DN213" s="140"/>
      <c r="DO213" s="84"/>
      <c r="DP213" s="84"/>
      <c r="DQ213" s="140"/>
      <c r="DR213" s="84"/>
      <c r="DS213" s="84"/>
      <c r="DT213" s="140"/>
      <c r="DU213" s="84"/>
      <c r="DV213" s="84"/>
      <c r="DW213" s="140"/>
      <c r="DX213" s="84"/>
      <c r="DY213" s="84"/>
      <c r="DZ213" s="140"/>
      <c r="EA213" s="84"/>
      <c r="EB213" s="84"/>
      <c r="EC213" s="140"/>
      <c r="ED213" s="84"/>
      <c r="EE213" s="84"/>
      <c r="EF213" s="140"/>
      <c r="EG213" s="84"/>
      <c r="EH213" s="84"/>
      <c r="EI213" s="140"/>
      <c r="EJ213" s="84"/>
      <c r="EK213" s="84"/>
      <c r="EL213" s="140"/>
      <c r="EM213" s="84"/>
      <c r="EN213" s="84"/>
      <c r="EO213" s="140"/>
      <c r="EP213" s="84"/>
      <c r="EQ213" s="84"/>
      <c r="ER213" s="140"/>
      <c r="ES213" s="84"/>
      <c r="ET213" s="84"/>
      <c r="EU213" s="140"/>
      <c r="EV213" s="84"/>
      <c r="EW213" s="84"/>
      <c r="EX213" s="140"/>
      <c r="EY213" s="84"/>
      <c r="EZ213" s="84"/>
      <c r="FA213" s="140"/>
    </row>
    <row r="214" spans="1:157" ht="13.35" customHeight="1">
      <c r="A214" s="3"/>
      <c r="B214" s="122" t="s">
        <v>444</v>
      </c>
      <c r="C214" s="122"/>
      <c r="D214" s="122"/>
      <c r="E214" s="92" t="str">
        <f>IF(Model!E294&lt;&gt;"",Model!E294,"")</f>
        <v/>
      </c>
      <c r="F214" s="92" t="str">
        <f>IF(G214&lt;&gt;"",G214,"")</f>
        <v/>
      </c>
      <c r="G214" s="92" t="str">
        <f>IF(Model!G294&lt;&gt;"",Model!G294,"")</f>
        <v/>
      </c>
      <c r="H214" s="92" t="str">
        <f>IF(Model!H294&lt;&gt;"",Model!H294,"")</f>
        <v/>
      </c>
      <c r="I214" s="92" t="str">
        <f>IF(J214&lt;&gt;"",J214,"")</f>
        <v/>
      </c>
      <c r="J214" s="92" t="str">
        <f>IF(Model!J294&lt;&gt;"",Model!J294,"")</f>
        <v/>
      </c>
      <c r="K214" s="92" t="str">
        <f>IF(Model!K294&lt;&gt;"",Model!K294,"")</f>
        <v/>
      </c>
      <c r="L214" s="92" t="str">
        <f>IF(M214&lt;&gt;"",M214,"")</f>
        <v/>
      </c>
      <c r="M214" s="92" t="str">
        <f>IF(Model!M294&lt;&gt;"",Model!M294,"")</f>
        <v/>
      </c>
      <c r="N214" s="92" t="str">
        <f>IF(Model!N294&lt;&gt;"",Model!N294,"")</f>
        <v/>
      </c>
      <c r="O214" s="92" t="str">
        <f>IF(P214&lt;&gt;"",P214,"")</f>
        <v/>
      </c>
      <c r="P214" s="92" t="str">
        <f>IF(Model!P294&lt;&gt;"",Model!P294,"")</f>
        <v/>
      </c>
      <c r="Q214" s="92" t="str">
        <f>IF(Model!Q294&lt;&gt;"",Model!Q294,"")</f>
        <v/>
      </c>
      <c r="R214" s="92" t="str">
        <f>IF(S214&lt;&gt;"",S214,"")</f>
        <v/>
      </c>
      <c r="S214" s="92" t="str">
        <f>IF(Model!S294&lt;&gt;"",Model!S294,"")</f>
        <v/>
      </c>
      <c r="T214" s="92" t="str">
        <f>IF(Model!T294&lt;&gt;"",Model!T294,"")</f>
        <v/>
      </c>
      <c r="U214" s="92" t="str">
        <f>IF(V214&lt;&gt;"",V214,"")</f>
        <v/>
      </c>
      <c r="V214" s="92" t="str">
        <f>IF(Model!V294&lt;&gt;"",Model!V294,"")</f>
        <v/>
      </c>
      <c r="W214" s="92" t="str">
        <f>IF(Model!W294&lt;&gt;"",Model!W294,"")</f>
        <v/>
      </c>
      <c r="X214" s="92" t="str">
        <f>IF(Y214&lt;&gt;"",Y214,"")</f>
        <v/>
      </c>
      <c r="Y214" s="92" t="str">
        <f>IF(Model!Y294&lt;&gt;"",Model!Y294,"")</f>
        <v/>
      </c>
      <c r="Z214" s="92" t="str">
        <f>IF(Model!Z294&lt;&gt;"",Model!Z294,"")</f>
        <v/>
      </c>
      <c r="AA214" s="92" t="str">
        <f>IF(AB214&lt;&gt;"",AB214,"")</f>
        <v/>
      </c>
      <c r="AB214" s="92" t="str">
        <f>IF(Model!AB294&lt;&gt;"",Model!AB294,"")</f>
        <v/>
      </c>
      <c r="AC214" s="92" t="str">
        <f>IF(Model!AC294&lt;&gt;"",Model!AC294,"")</f>
        <v/>
      </c>
      <c r="AD214" s="92" t="str">
        <f>IF(AE214&lt;&gt;"",AE214,"")</f>
        <v/>
      </c>
      <c r="AE214" s="92" t="str">
        <f>IF(Model!AE294&lt;&gt;"",Model!AE294,"")</f>
        <v/>
      </c>
      <c r="AF214" s="92" t="str">
        <f>IF(Model!AF294&lt;&gt;"",Model!AF294,"")</f>
        <v/>
      </c>
      <c r="AG214" s="92" t="str">
        <f>IF(AH214&lt;&gt;"",AH214,"")</f>
        <v/>
      </c>
      <c r="AH214" s="92" t="str">
        <f>IF(Model!AH294&lt;&gt;"",Model!AH294,"")</f>
        <v/>
      </c>
      <c r="AI214" s="92" t="str">
        <f>IF(Model!AI294&lt;&gt;"",Model!AI294,"")</f>
        <v/>
      </c>
      <c r="AJ214" s="92" t="str">
        <f>IF(AK214&lt;&gt;"",AK214,"")</f>
        <v/>
      </c>
      <c r="AK214" s="92" t="str">
        <f>IF(Model!AK294&lt;&gt;"",Model!AK294,"")</f>
        <v/>
      </c>
      <c r="AL214" s="92" t="str">
        <f>IF(Model!AL294&lt;&gt;"",Model!AL294,"")</f>
        <v/>
      </c>
      <c r="AM214" s="92" t="str">
        <f>IF(AN214&lt;&gt;"",AN214,"")</f>
        <v/>
      </c>
      <c r="AN214" s="92" t="str">
        <f>IF(Model!AN294&lt;&gt;"",Model!AN294,"")</f>
        <v/>
      </c>
      <c r="AO214" s="92" t="str">
        <f>IF(Model!AO294&lt;&gt;"",Model!AO294,"")</f>
        <v/>
      </c>
      <c r="AP214" s="92" t="str">
        <f>IF(AQ214&lt;&gt;"",AQ214,"")</f>
        <v/>
      </c>
      <c r="AQ214" s="92" t="str">
        <f>IF(Model!AQ294&lt;&gt;"",Model!AQ294,"")</f>
        <v/>
      </c>
      <c r="AR214" s="92" t="str">
        <f>IF(Model!AR294&lt;&gt;"",Model!AR294,"")</f>
        <v/>
      </c>
      <c r="AS214" s="92" t="str">
        <f>IF(AT214&lt;&gt;"",AT214,"")</f>
        <v/>
      </c>
      <c r="AT214" s="92" t="str">
        <f>IF(Model!AT294&lt;&gt;"",Model!AT294,"")</f>
        <v/>
      </c>
      <c r="AU214" s="92" t="str">
        <f>IF(Model!AU294&lt;&gt;"",Model!AU294,"")</f>
        <v/>
      </c>
      <c r="AV214" s="92" t="str">
        <f>IF(AW214&lt;&gt;"",AW214,"")</f>
        <v/>
      </c>
      <c r="AW214" s="92" t="str">
        <f>IF(Model!AW294&lt;&gt;"",Model!AW294,"")</f>
        <v/>
      </c>
      <c r="AX214" s="92" t="str">
        <f>IF(Model!AX294&lt;&gt;"",Model!AX294,"")</f>
        <v/>
      </c>
      <c r="AY214" s="92" t="str">
        <f>IF(AZ214&lt;&gt;"",AZ214,"")</f>
        <v/>
      </c>
      <c r="AZ214" s="100"/>
      <c r="BA214" s="100"/>
      <c r="BB214" s="92">
        <f>IF(BC214&lt;&gt;"",BC214,"")</f>
        <v>12.822359999999998</v>
      </c>
      <c r="BC214" s="100">
        <f>0.015*Model!BC30</f>
        <v>12.822359999999998</v>
      </c>
      <c r="BD214" s="100">
        <f>0.0152*Model!BD30</f>
        <v>8.9650359999999996</v>
      </c>
      <c r="BE214" s="92">
        <f>IF(BF214&lt;&gt;"",BF214,"")</f>
        <v>20.25273</v>
      </c>
      <c r="BF214" s="100">
        <f>0.015*Model!BF30</f>
        <v>20.25273</v>
      </c>
      <c r="BG214" s="100">
        <f>0.01*Model!BG30</f>
        <v>6.3985199999999995</v>
      </c>
      <c r="BH214" s="92">
        <f>IF(BI214&lt;&gt;"",BI214,"")</f>
        <v>19.50516</v>
      </c>
      <c r="BI214" s="100">
        <f>0.015*Model!BI30</f>
        <v>19.50516</v>
      </c>
      <c r="BJ214" s="100">
        <f>0.015*Model!BJ30</f>
        <v>9.5420700000000007</v>
      </c>
      <c r="BK214" s="92">
        <f>IF(BL214&lt;&gt;"",BL214,"")</f>
        <v>24.752939999999999</v>
      </c>
      <c r="BL214" s="100">
        <f>0.015*Model!BL30</f>
        <v>24.752939999999999</v>
      </c>
      <c r="BM214" s="100">
        <f>0.015*Model!BM30</f>
        <v>21.21219</v>
      </c>
      <c r="BN214" s="92">
        <f>IF(BO214&lt;&gt;"",BO214,"")</f>
        <v>41.249009999999998</v>
      </c>
      <c r="BO214" s="100">
        <f>0.015*Model!BO30</f>
        <v>41.249009999999998</v>
      </c>
      <c r="BP214" s="100">
        <f>0.015*Model!BP30</f>
        <v>0</v>
      </c>
      <c r="BQ214" s="92">
        <f>IF(BR214&lt;&gt;"",BR214,"")</f>
        <v>0</v>
      </c>
      <c r="BR214" s="100">
        <f>0.015*Model!BR30</f>
        <v>0</v>
      </c>
      <c r="BS214" s="100">
        <f>0.015*Model!BS30</f>
        <v>0</v>
      </c>
      <c r="BT214" s="92">
        <f>IF(BU214&lt;&gt;"",BU214,"")</f>
        <v>0</v>
      </c>
      <c r="BU214" s="100">
        <f>0.015*Model!BU30</f>
        <v>0</v>
      </c>
      <c r="BV214" s="100">
        <f>0.015*Model!BV30</f>
        <v>23.17681764067024</v>
      </c>
      <c r="BW214" s="92">
        <f>IF(BX214&lt;&gt;"",BX214,"")</f>
        <v>48.72</v>
      </c>
      <c r="BX214" s="100">
        <f>0.015*Model!BX30</f>
        <v>48.72</v>
      </c>
      <c r="BY214" s="100">
        <f>0.015*Model!BY30</f>
        <v>26.980984111955497</v>
      </c>
      <c r="BZ214" s="92">
        <f>IF(CA214&lt;&gt;"",CA214,"")</f>
        <v>52.595808174763405</v>
      </c>
      <c r="CA214" s="100">
        <f>0.015*Model!CA30</f>
        <v>52.595808174763405</v>
      </c>
      <c r="CB214" s="100">
        <f>0.015*Model!CB30</f>
        <v>31.372942301659172</v>
      </c>
      <c r="CC214" s="92">
        <f>IF(CD214&lt;&gt;"",CD214,"")</f>
        <v>60.938966886039644</v>
      </c>
      <c r="CD214" s="100">
        <f>0.015*Model!CD30</f>
        <v>60.938966886039644</v>
      </c>
      <c r="CE214" s="100">
        <f>0.015*Model!CE30</f>
        <v>30.670322146155186</v>
      </c>
      <c r="CF214" s="92">
        <f>IF(CG214&lt;&gt;"",CG214,"")</f>
        <v>63.619441820059215</v>
      </c>
      <c r="CG214" s="100">
        <f>0.015*Model!CG30</f>
        <v>63.619441820059215</v>
      </c>
      <c r="CH214" s="100">
        <f>0.015*Model!CH30</f>
        <v>34.591675842884115</v>
      </c>
      <c r="CI214" s="92">
        <f>IF(CJ214&lt;&gt;"",CJ214,"")</f>
        <v>69.364500000000007</v>
      </c>
      <c r="CJ214" s="100">
        <f>0.015*Model!CJ30</f>
        <v>69.364500000000007</v>
      </c>
      <c r="CK214" s="100">
        <f>0.015*Model!CK30</f>
        <v>37.384499999999996</v>
      </c>
      <c r="CL214" s="92">
        <f>IF(CM214&lt;&gt;"",CM214,"")</f>
        <v>74.407500000000027</v>
      </c>
      <c r="CM214" s="100">
        <f>0.015*Model!CM30</f>
        <v>74.407500000000027</v>
      </c>
      <c r="CN214" s="100">
        <f>0.015*Model!CN30</f>
        <v>38.612999999999992</v>
      </c>
      <c r="CO214" s="92">
        <f>IF(CP214&lt;&gt;"",CP214,"")</f>
        <v>80.021999999999991</v>
      </c>
      <c r="CP214" s="100">
        <f>0.015*Model!CP30</f>
        <v>80.021999999999991</v>
      </c>
      <c r="CQ214" s="100">
        <f>0.015*Model!CQ30</f>
        <v>42.535499999999999</v>
      </c>
      <c r="CR214" s="92">
        <f>IF(CS214&lt;&gt;"",CS214,"")</f>
        <v>83.932500000000019</v>
      </c>
      <c r="CS214" s="100">
        <f>0.015*Model!CS30</f>
        <v>83.932500000000019</v>
      </c>
      <c r="CT214" s="100">
        <f>0.015*Model!CT30</f>
        <v>47.035615800000002</v>
      </c>
      <c r="CU214" s="92">
        <f>IF(CV214&lt;&gt;"",CV214,"")</f>
        <v>90.831000000000031</v>
      </c>
      <c r="CV214" s="100">
        <f>0.015*Model!CV30</f>
        <v>90.831000000000031</v>
      </c>
      <c r="CW214" s="100">
        <f>0.015*Model!CW30</f>
        <v>53.945999999999991</v>
      </c>
      <c r="CX214" s="92">
        <f>IF(CY214&lt;&gt;"",CY214,"")</f>
        <v>101.01899999999999</v>
      </c>
      <c r="CY214" s="100">
        <f>0.015*Model!CY30</f>
        <v>101.01899999999999</v>
      </c>
      <c r="CZ214" s="100">
        <f>0.015*Model!CZ30</f>
        <v>61.192956938211097</v>
      </c>
      <c r="DA214" s="92">
        <f>IF(DB214&lt;&gt;"",DB214,"")</f>
        <v>116.4825</v>
      </c>
      <c r="DB214" s="100">
        <f>0.015*Model!DB30</f>
        <v>116.4825</v>
      </c>
      <c r="DC214" s="100">
        <f>0.015*Model!DC30</f>
        <v>66.249000000000009</v>
      </c>
      <c r="DD214" s="92">
        <f>IF(DE214&lt;&gt;"",DE214,"")</f>
        <v>125.73450000000001</v>
      </c>
      <c r="DE214" s="148">
        <f>0.015*Model!DE30</f>
        <v>125.73450000000001</v>
      </c>
      <c r="DF214" s="100">
        <f>0.015*Model!DF30</f>
        <v>71.785986227470872</v>
      </c>
      <c r="DG214" s="92">
        <f>IF(DH214&lt;&gt;"",DH214,"")</f>
        <v>134.37305226227971</v>
      </c>
      <c r="DH214" s="148">
        <f>0.015*Model!DH30</f>
        <v>134.37305226227971</v>
      </c>
      <c r="DI214" s="100">
        <f>0.015*Model!DI30</f>
        <v>85.220172437179244</v>
      </c>
      <c r="DJ214" s="92">
        <f>IF(DK214&lt;&gt;"",DK214,"")</f>
        <v>152.49451086754809</v>
      </c>
      <c r="DK214" s="148">
        <f>0.015*Model!DK30</f>
        <v>152.49451086754809</v>
      </c>
      <c r="DL214" s="100">
        <f>0.015*Model!DL30</f>
        <v>88.516500000000008</v>
      </c>
      <c r="DM214" s="92">
        <f>IF(DN214&lt;&gt;"",DN214,"")</f>
        <v>154.85400000000001</v>
      </c>
      <c r="DN214" s="148">
        <f>0.015*Model!DN30</f>
        <v>154.85400000000001</v>
      </c>
      <c r="DO214" s="100">
        <f>0.015*Model!DO30</f>
        <v>104.34299999999999</v>
      </c>
      <c r="DP214" s="92">
        <f>IF(DQ214&lt;&gt;"",DQ214,"")</f>
        <v>192.12</v>
      </c>
      <c r="DQ214" s="148">
        <f>0.015*Model!DQ30</f>
        <v>192.12</v>
      </c>
      <c r="DR214" s="100">
        <f>0.015*Model!DR30</f>
        <v>117.07499999999999</v>
      </c>
      <c r="DS214" s="92">
        <f>IF(DT214&lt;&gt;"",DT214,"")</f>
        <v>214.245</v>
      </c>
      <c r="DT214" s="148">
        <f>0.015*Model!DT30</f>
        <v>214.245</v>
      </c>
      <c r="DU214" s="100">
        <f>0.015*Model!DU30</f>
        <v>123.435</v>
      </c>
      <c r="DV214" s="92">
        <f>IF(DW214&lt;&gt;"",DW214,"")</f>
        <v>225.91499999999999</v>
      </c>
      <c r="DW214" s="148">
        <f>0.015*Model!DW30</f>
        <v>225.91499999999999</v>
      </c>
      <c r="DX214" s="100">
        <f>0.015*Model!DX30</f>
        <v>121.38</v>
      </c>
      <c r="DY214" s="92">
        <f>IF(DZ214&lt;&gt;"",DZ214,"")</f>
        <v>232.15780882302403</v>
      </c>
      <c r="DZ214" s="148">
        <f>0.015*Model!DZ30</f>
        <v>232.15780882302403</v>
      </c>
      <c r="EA214" s="100">
        <f>0.015*Model!EA30</f>
        <v>129.65925120280818</v>
      </c>
      <c r="EB214" s="92">
        <f>IF(EC214&lt;&gt;"",EC214,"")</f>
        <v>245.02677112138986</v>
      </c>
      <c r="EC214" s="148">
        <f>0.015*Model!EC30</f>
        <v>245.02677112138986</v>
      </c>
      <c r="ED214" s="100">
        <f>0.015*Model!ED30</f>
        <v>135.63655542053016</v>
      </c>
      <c r="EE214" s="92">
        <f>IF(EF214&lt;&gt;"",EF214,"")</f>
        <v>258.39173717491229</v>
      </c>
      <c r="EF214" s="148">
        <f>0.015*Model!EF30</f>
        <v>258.39173717491229</v>
      </c>
      <c r="EG214" s="100">
        <f>0.015*Model!EG30</f>
        <v>143.56313035325837</v>
      </c>
      <c r="EH214" s="92">
        <f>IF(EI214&lt;&gt;"",EI214,"")</f>
        <v>274.50528231607694</v>
      </c>
      <c r="EI214" s="148">
        <f>0.015*Model!EI30</f>
        <v>274.50528231607694</v>
      </c>
      <c r="EJ214" s="100">
        <f>0.015*Model!EJ30</f>
        <v>152.06081097232325</v>
      </c>
      <c r="EK214" s="92">
        <f>IF(EL214&lt;&gt;"",EL214,"")</f>
        <v>291.91510989471584</v>
      </c>
      <c r="EL214" s="148">
        <f>0.015*Model!EL30</f>
        <v>291.91510989471584</v>
      </c>
      <c r="EM214" s="100">
        <f>0.015*Model!EM30</f>
        <v>160.3999678948023</v>
      </c>
      <c r="EN214" s="92">
        <f>IF(EO214&lt;&gt;"",EO214,"")</f>
        <v>308.09394819225054</v>
      </c>
      <c r="EO214" s="148">
        <f>0.015*Model!EO30</f>
        <v>308.09394819225054</v>
      </c>
      <c r="EP214" s="100">
        <f>0.015*Model!EP30</f>
        <v>169.07886128887083</v>
      </c>
      <c r="EQ214" s="92">
        <f>IF(ER214&lt;&gt;"",ER214,"")</f>
        <v>325.51748414308327</v>
      </c>
      <c r="ER214" s="148">
        <f>0.015*Model!ER30</f>
        <v>325.51748414308327</v>
      </c>
      <c r="ES214" s="100">
        <f>0.015*Model!ES30</f>
        <v>178.46739171496012</v>
      </c>
      <c r="ET214" s="92">
        <f>IF(EU214&lt;&gt;"",EU214,"")</f>
        <v>344.21508232836345</v>
      </c>
      <c r="EU214" s="148">
        <f>0.015*Model!EU30</f>
        <v>344.21508232836345</v>
      </c>
      <c r="EV214" s="100">
        <f>0.015*Model!EV30</f>
        <v>188.43842109499144</v>
      </c>
      <c r="EW214" s="92">
        <f>IF(EX214&lt;&gt;"",EX214,"")</f>
        <v>364.09727952487845</v>
      </c>
      <c r="EX214" s="148">
        <f>0.015*Model!EX30</f>
        <v>364.09727952487845</v>
      </c>
      <c r="EY214" s="100">
        <f>0.015*Model!EY30</f>
        <v>199.03011628694381</v>
      </c>
      <c r="EZ214" s="92">
        <f>IF(FA214&lt;&gt;"",FA214,"")</f>
        <v>385.24249279821794</v>
      </c>
      <c r="FA214" s="148">
        <f>0.015*Model!FA30</f>
        <v>385.24249279821794</v>
      </c>
    </row>
    <row r="215" spans="1:157" ht="13.35" customHeight="1">
      <c r="A215" s="3"/>
      <c r="B215" s="86"/>
      <c r="C215" s="4" t="s">
        <v>445</v>
      </c>
      <c r="D215" s="4"/>
      <c r="E215" s="84"/>
      <c r="F215" s="84"/>
      <c r="G215" s="84"/>
      <c r="H215" s="84"/>
      <c r="I215" s="84"/>
      <c r="J215" s="84"/>
      <c r="K215" s="84"/>
      <c r="L215" s="84"/>
      <c r="M215" s="84"/>
      <c r="N215" s="84"/>
      <c r="O215" s="84"/>
      <c r="P215" s="84"/>
      <c r="Q215" s="84"/>
      <c r="R215" s="84"/>
      <c r="S215" s="84"/>
      <c r="T215" s="84"/>
      <c r="U215" s="84"/>
      <c r="V215" s="84"/>
      <c r="W215" s="84"/>
      <c r="X215" s="84"/>
      <c r="Y215" s="84"/>
      <c r="Z215" s="84"/>
      <c r="AA215" s="84"/>
      <c r="AB215" s="84"/>
      <c r="AC215" s="84"/>
      <c r="AD215" s="84"/>
      <c r="AE215" s="84"/>
      <c r="AF215" s="84"/>
      <c r="AG215" s="84"/>
      <c r="AH215" s="84"/>
      <c r="AI215" s="84"/>
      <c r="AJ215" s="84"/>
      <c r="AK215" s="84"/>
      <c r="AL215" s="84"/>
      <c r="AM215" s="84"/>
      <c r="AN215" s="84"/>
      <c r="AO215" s="84"/>
      <c r="AP215" s="84"/>
      <c r="AQ215" s="84"/>
      <c r="AR215" s="84"/>
      <c r="AS215" s="84"/>
      <c r="AT215" s="84"/>
      <c r="AU215" s="84"/>
      <c r="AV215" s="84"/>
      <c r="AW215" s="84"/>
      <c r="AX215" s="84"/>
      <c r="AY215" s="84"/>
      <c r="AZ215" s="84"/>
      <c r="BA215" s="87"/>
      <c r="BB215" s="87">
        <f>+BC215</f>
        <v>0</v>
      </c>
      <c r="BC215" s="87">
        <f>BC151*Model!BC30</f>
        <v>0</v>
      </c>
      <c r="BD215" s="87">
        <f>BD151*Model!BD30</f>
        <v>0</v>
      </c>
      <c r="BE215" s="87">
        <f>+BF215</f>
        <v>0</v>
      </c>
      <c r="BF215" s="87">
        <f>BF151*Model!BF30</f>
        <v>0</v>
      </c>
      <c r="BG215" s="87">
        <f>BG151*Model!BG30</f>
        <v>0</v>
      </c>
      <c r="BH215" s="87">
        <f>+BI215</f>
        <v>0</v>
      </c>
      <c r="BI215" s="87">
        <f>BI151*Model!BI30</f>
        <v>0</v>
      </c>
      <c r="BJ215" s="87">
        <f>BJ151*Model!BJ30</f>
        <v>0</v>
      </c>
      <c r="BK215" s="87">
        <f>+BL215</f>
        <v>0</v>
      </c>
      <c r="BL215" s="87">
        <f>BL151*Model!BL30</f>
        <v>0</v>
      </c>
      <c r="BM215" s="87">
        <f>BM151*Model!BM30</f>
        <v>0</v>
      </c>
      <c r="BN215" s="87">
        <f>+BO215</f>
        <v>0</v>
      </c>
      <c r="BO215" s="87">
        <f>BO151*Model!BO30</f>
        <v>0</v>
      </c>
      <c r="BP215" s="87">
        <f>BP151*Model!BP30</f>
        <v>0</v>
      </c>
      <c r="BQ215" s="87">
        <f>+BR215</f>
        <v>0</v>
      </c>
      <c r="BR215" s="87">
        <f>BR151*Model!BR30</f>
        <v>0</v>
      </c>
      <c r="BS215" s="87">
        <f>BS151*Model!BS30</f>
        <v>0</v>
      </c>
      <c r="BT215" s="87">
        <f>+BU215</f>
        <v>0</v>
      </c>
      <c r="BU215" s="87">
        <f>BU151*Model!BU30</f>
        <v>0</v>
      </c>
      <c r="BV215" s="87">
        <f>BV151*Model!BV30</f>
        <v>0</v>
      </c>
      <c r="BW215" s="87">
        <f>+BX215</f>
        <v>0</v>
      </c>
      <c r="BX215" s="87">
        <f>BX151*Model!BX30</f>
        <v>0</v>
      </c>
      <c r="BY215" s="87">
        <f>BY151*Model!BY30</f>
        <v>0</v>
      </c>
      <c r="BZ215" s="87">
        <f>+CA215</f>
        <v>0</v>
      </c>
      <c r="CA215" s="87">
        <f>CA151*Model!CA30</f>
        <v>0</v>
      </c>
      <c r="CB215" s="87">
        <f>CB151*Model!CB30</f>
        <v>0</v>
      </c>
      <c r="CC215" s="87">
        <f>+CD215</f>
        <v>0</v>
      </c>
      <c r="CD215" s="87">
        <f>CD151*Model!CD30</f>
        <v>0</v>
      </c>
      <c r="CE215" s="87">
        <f>CE151*Model!CE30</f>
        <v>0</v>
      </c>
      <c r="CF215" s="87">
        <f>+CG215</f>
        <v>0</v>
      </c>
      <c r="CG215" s="87">
        <f>CG151*Model!CG30</f>
        <v>0</v>
      </c>
      <c r="CH215" s="87">
        <f>CH151*Model!CH30</f>
        <v>0</v>
      </c>
      <c r="CI215" s="87">
        <f>+CJ215</f>
        <v>0</v>
      </c>
      <c r="CJ215" s="87">
        <f>CJ151*Model!CJ30</f>
        <v>0</v>
      </c>
      <c r="CK215" s="87">
        <f>CK151*Model!CK30</f>
        <v>0</v>
      </c>
      <c r="CL215" s="87">
        <f>+CM215</f>
        <v>0</v>
      </c>
      <c r="CM215" s="87">
        <f>CM151*Model!CM30</f>
        <v>0</v>
      </c>
      <c r="CN215" s="87">
        <f>CN151*Model!CN30</f>
        <v>0</v>
      </c>
      <c r="CO215" s="87">
        <f>+CP215</f>
        <v>0</v>
      </c>
      <c r="CP215" s="87">
        <f>CP151*Model!CP30</f>
        <v>0</v>
      </c>
      <c r="CQ215" s="87">
        <f>CQ151*Model!CQ30</f>
        <v>0</v>
      </c>
      <c r="CR215" s="87">
        <f>+CS215</f>
        <v>0</v>
      </c>
      <c r="CS215" s="87">
        <f>CS151*Model!CS30</f>
        <v>0</v>
      </c>
      <c r="CT215" s="87">
        <f>CT151*Model!CT30</f>
        <v>0</v>
      </c>
      <c r="CU215" s="87">
        <f>+CV215</f>
        <v>0</v>
      </c>
      <c r="CV215" s="87">
        <f>CV151*Model!CV30</f>
        <v>0</v>
      </c>
      <c r="CW215" s="87">
        <f>CW151*Model!CW30</f>
        <v>0</v>
      </c>
      <c r="CX215" s="87">
        <f>+CY215</f>
        <v>0</v>
      </c>
      <c r="CY215" s="87">
        <f>CY151*Model!CY30</f>
        <v>0</v>
      </c>
      <c r="CZ215" s="87">
        <f>CZ151*Model!CZ30</f>
        <v>0</v>
      </c>
      <c r="DA215" s="87">
        <f>+DB215</f>
        <v>0</v>
      </c>
      <c r="DB215" s="87">
        <f>DB151*Model!DB30</f>
        <v>0</v>
      </c>
      <c r="DC215" s="87">
        <f>DC151*Model!DC30</f>
        <v>0</v>
      </c>
      <c r="DD215" s="87">
        <f>+DE215</f>
        <v>0</v>
      </c>
      <c r="DE215" s="140">
        <f>DE151*Model!DE30</f>
        <v>0</v>
      </c>
      <c r="DF215" s="87">
        <f>DF151*Model!DF30</f>
        <v>0</v>
      </c>
      <c r="DG215" s="87">
        <f>+DH215</f>
        <v>0</v>
      </c>
      <c r="DH215" s="140">
        <f>DH151*Model!DH30</f>
        <v>0</v>
      </c>
      <c r="DI215" s="87">
        <f>DI151*Model!DI30</f>
        <v>0</v>
      </c>
      <c r="DJ215" s="87">
        <f>+DK215</f>
        <v>0</v>
      </c>
      <c r="DK215" s="140">
        <f>DK151*Model!DK30</f>
        <v>0</v>
      </c>
      <c r="DL215" s="87">
        <f>DL151*Model!DL30</f>
        <v>0</v>
      </c>
      <c r="DM215" s="87">
        <f>+DN215</f>
        <v>0</v>
      </c>
      <c r="DN215" s="140">
        <f>DN151*Model!DN30</f>
        <v>0</v>
      </c>
      <c r="DO215" s="87">
        <f>DO151*Model!DO30</f>
        <v>0</v>
      </c>
      <c r="DP215" s="87">
        <f>+DQ215</f>
        <v>0</v>
      </c>
      <c r="DQ215" s="140">
        <f>DQ151*Model!DQ30</f>
        <v>0</v>
      </c>
      <c r="DR215" s="87">
        <f>DR151*Model!DR30</f>
        <v>0</v>
      </c>
      <c r="DS215" s="87">
        <f>+DT215</f>
        <v>0</v>
      </c>
      <c r="DT215" s="140">
        <f>DT151*Model!DT30</f>
        <v>0</v>
      </c>
      <c r="DU215" s="87">
        <f>DU151*Model!DU30</f>
        <v>0</v>
      </c>
      <c r="DV215" s="87">
        <f>+DW215</f>
        <v>0</v>
      </c>
      <c r="DW215" s="140">
        <f>DW151*Model!DW30</f>
        <v>0</v>
      </c>
      <c r="DX215" s="87">
        <f>DX151*Model!DX30</f>
        <v>0</v>
      </c>
      <c r="DY215" s="87">
        <f>+DZ215</f>
        <v>0</v>
      </c>
      <c r="DZ215" s="140">
        <f>DZ151*Model!DZ30</f>
        <v>0</v>
      </c>
      <c r="EA215" s="87">
        <f>EA151*Model!EA30</f>
        <v>0</v>
      </c>
      <c r="EB215" s="87">
        <f>+EC215</f>
        <v>0</v>
      </c>
      <c r="EC215" s="140">
        <f>EC151*Model!EC30</f>
        <v>0</v>
      </c>
      <c r="ED215" s="87">
        <f>ED151*Model!ED30</f>
        <v>0</v>
      </c>
      <c r="EE215" s="87">
        <f>+EF215</f>
        <v>0</v>
      </c>
      <c r="EF215" s="140">
        <f>EF151*Model!EF30</f>
        <v>0</v>
      </c>
      <c r="EG215" s="87">
        <f>EG151*Model!EG30</f>
        <v>0</v>
      </c>
      <c r="EH215" s="87">
        <f>+EI215</f>
        <v>0</v>
      </c>
      <c r="EI215" s="140">
        <f>EI151*Model!EI30</f>
        <v>0</v>
      </c>
      <c r="EJ215" s="87">
        <f>EJ151*Model!EJ30</f>
        <v>0</v>
      </c>
      <c r="EK215" s="87">
        <f>+EL215</f>
        <v>0</v>
      </c>
      <c r="EL215" s="140">
        <f>EL151*Model!EL30</f>
        <v>0</v>
      </c>
      <c r="EM215" s="87">
        <f>EM151*Model!EM30</f>
        <v>0</v>
      </c>
      <c r="EN215" s="87">
        <f>+EO215</f>
        <v>0</v>
      </c>
      <c r="EO215" s="140">
        <f>EO151*Model!EO30</f>
        <v>0</v>
      </c>
      <c r="EP215" s="87">
        <f>EP151*Model!EP30</f>
        <v>0</v>
      </c>
      <c r="EQ215" s="87">
        <f>+ER215</f>
        <v>0</v>
      </c>
      <c r="ER215" s="140">
        <f>ER151*Model!ER30</f>
        <v>0</v>
      </c>
      <c r="ES215" s="87">
        <f>ES151*Model!ES30</f>
        <v>0</v>
      </c>
      <c r="ET215" s="87">
        <f>+EU215</f>
        <v>0</v>
      </c>
      <c r="EU215" s="140">
        <f>EU151*Model!EU30</f>
        <v>0</v>
      </c>
      <c r="EV215" s="87">
        <f>EV151*Model!EV30</f>
        <v>0</v>
      </c>
      <c r="EW215" s="87">
        <f>+EX215</f>
        <v>0</v>
      </c>
      <c r="EX215" s="140">
        <f>EX151*Model!EX30</f>
        <v>0</v>
      </c>
      <c r="EY215" s="87">
        <f>EY151*Model!EY30</f>
        <v>0</v>
      </c>
      <c r="EZ215" s="87">
        <f>+FA215</f>
        <v>0</v>
      </c>
      <c r="FA215" s="140">
        <f>FA151*Model!FA30</f>
        <v>0</v>
      </c>
    </row>
    <row r="216" spans="1:157" ht="13.35" customHeight="1">
      <c r="A216" s="3"/>
      <c r="B216" s="86"/>
      <c r="C216" s="3"/>
      <c r="D216" s="3"/>
      <c r="E216" s="84"/>
      <c r="F216" s="84"/>
      <c r="G216" s="84"/>
      <c r="H216" s="84"/>
      <c r="I216" s="84"/>
      <c r="J216" s="84"/>
      <c r="K216" s="84"/>
      <c r="L216" s="84"/>
      <c r="M216" s="84"/>
      <c r="N216" s="84"/>
      <c r="O216" s="84"/>
      <c r="P216" s="84"/>
      <c r="Q216" s="84"/>
      <c r="R216" s="84"/>
      <c r="S216" s="84"/>
      <c r="T216" s="84"/>
      <c r="U216" s="84"/>
      <c r="V216" s="84"/>
      <c r="W216" s="84"/>
      <c r="X216" s="84"/>
      <c r="Y216" s="84"/>
      <c r="Z216" s="84"/>
      <c r="AA216" s="84"/>
      <c r="AB216" s="84"/>
      <c r="AC216" s="84"/>
      <c r="AD216" s="84"/>
      <c r="AE216" s="84"/>
      <c r="AF216" s="84"/>
      <c r="AG216" s="84"/>
      <c r="AH216" s="84"/>
      <c r="AI216" s="84"/>
      <c r="AJ216" s="84"/>
      <c r="AK216" s="84"/>
      <c r="AL216" s="84"/>
      <c r="AM216" s="84"/>
      <c r="AN216" s="84"/>
      <c r="AO216" s="84"/>
      <c r="AP216" s="84"/>
      <c r="AQ216" s="84"/>
      <c r="AR216" s="84"/>
      <c r="AS216" s="84"/>
      <c r="AT216" s="84"/>
      <c r="AU216" s="84"/>
      <c r="AV216" s="84"/>
      <c r="AW216" s="84"/>
      <c r="AX216" s="84"/>
      <c r="AY216" s="84"/>
      <c r="AZ216" s="84"/>
      <c r="BA216" s="84"/>
      <c r="BB216" s="84"/>
      <c r="BC216" s="84"/>
      <c r="BD216" s="84"/>
      <c r="BE216" s="84"/>
      <c r="BF216" s="84"/>
      <c r="BG216" s="84"/>
      <c r="BH216" s="84"/>
      <c r="BI216" s="84"/>
      <c r="BJ216" s="84"/>
      <c r="BK216" s="84"/>
      <c r="BL216" s="84"/>
      <c r="BM216" s="84"/>
      <c r="BN216" s="84"/>
      <c r="BO216" s="84"/>
      <c r="BP216" s="84"/>
      <c r="BQ216" s="84"/>
      <c r="BR216" s="84"/>
      <c r="BS216" s="84"/>
      <c r="BT216" s="84"/>
      <c r="BU216" s="84"/>
      <c r="BV216" s="84"/>
      <c r="BW216" s="84"/>
      <c r="BX216" s="84"/>
      <c r="BY216" s="84"/>
      <c r="BZ216" s="84"/>
      <c r="CA216" s="84"/>
      <c r="CB216" s="84"/>
      <c r="CC216" s="84"/>
      <c r="CD216" s="84"/>
      <c r="CE216" s="84"/>
      <c r="CF216" s="84"/>
      <c r="CG216" s="84"/>
      <c r="CH216" s="84"/>
      <c r="CI216" s="84"/>
      <c r="CJ216" s="84"/>
      <c r="CK216" s="84"/>
      <c r="CL216" s="84"/>
      <c r="CM216" s="84"/>
      <c r="CN216" s="84"/>
      <c r="CO216" s="84"/>
      <c r="CP216" s="84"/>
      <c r="CQ216" s="84"/>
      <c r="CR216" s="84"/>
      <c r="CS216" s="84"/>
      <c r="CT216" s="84"/>
      <c r="CU216" s="84"/>
      <c r="CV216" s="84"/>
      <c r="CW216" s="84"/>
      <c r="CX216" s="84"/>
      <c r="CY216" s="84"/>
      <c r="CZ216" s="84"/>
      <c r="DA216" s="84"/>
      <c r="DB216" s="84"/>
      <c r="DC216" s="84"/>
      <c r="DD216" s="84"/>
      <c r="DE216" s="140"/>
      <c r="DF216" s="84"/>
      <c r="DG216" s="84"/>
      <c r="DH216" s="140"/>
      <c r="DI216" s="84"/>
      <c r="DJ216" s="84"/>
      <c r="DK216" s="140"/>
      <c r="DL216" s="84"/>
      <c r="DM216" s="84"/>
      <c r="DN216" s="140"/>
      <c r="DO216" s="84"/>
      <c r="DP216" s="84"/>
      <c r="DQ216" s="140"/>
      <c r="DR216" s="84"/>
      <c r="DS216" s="84"/>
      <c r="DT216" s="140"/>
      <c r="DU216" s="84"/>
      <c r="DV216" s="84"/>
      <c r="DW216" s="140"/>
      <c r="DX216" s="84"/>
      <c r="DY216" s="84"/>
      <c r="DZ216" s="140"/>
      <c r="EA216" s="84"/>
      <c r="EB216" s="84"/>
      <c r="EC216" s="140"/>
      <c r="ED216" s="84"/>
      <c r="EE216" s="84"/>
      <c r="EF216" s="140"/>
      <c r="EG216" s="84"/>
      <c r="EH216" s="84"/>
      <c r="EI216" s="140"/>
      <c r="EJ216" s="84"/>
      <c r="EK216" s="84"/>
      <c r="EL216" s="140"/>
      <c r="EM216" s="84"/>
      <c r="EN216" s="84"/>
      <c r="EO216" s="140"/>
      <c r="EP216" s="84"/>
      <c r="EQ216" s="84"/>
      <c r="ER216" s="140"/>
      <c r="ES216" s="84"/>
      <c r="ET216" s="84"/>
      <c r="EU216" s="140"/>
      <c r="EV216" s="84"/>
      <c r="EW216" s="84"/>
      <c r="EX216" s="140"/>
      <c r="EY216" s="84"/>
      <c r="EZ216" s="84"/>
      <c r="FA216" s="140"/>
    </row>
    <row r="217" spans="1:157" ht="13.35" customHeight="1">
      <c r="A217" s="3"/>
      <c r="B217" s="86"/>
      <c r="C217" s="3"/>
      <c r="D217" s="3"/>
      <c r="E217" s="84"/>
      <c r="F217" s="84"/>
      <c r="G217" s="84"/>
      <c r="H217" s="84"/>
      <c r="I217" s="84"/>
      <c r="J217" s="84"/>
      <c r="K217" s="84"/>
      <c r="L217" s="84"/>
      <c r="M217" s="84"/>
      <c r="N217" s="84"/>
      <c r="O217" s="84"/>
      <c r="P217" s="84"/>
      <c r="Q217" s="84"/>
      <c r="R217" s="84"/>
      <c r="S217" s="84"/>
      <c r="T217" s="84"/>
      <c r="U217" s="84"/>
      <c r="V217" s="84"/>
      <c r="W217" s="84"/>
      <c r="X217" s="84"/>
      <c r="Y217" s="84"/>
      <c r="Z217" s="84"/>
      <c r="AA217" s="84"/>
      <c r="AB217" s="84"/>
      <c r="AC217" s="84"/>
      <c r="AD217" s="84"/>
      <c r="AE217" s="84"/>
      <c r="AF217" s="84"/>
      <c r="AG217" s="84"/>
      <c r="AH217" s="84"/>
      <c r="AI217" s="84"/>
      <c r="AJ217" s="84"/>
      <c r="AK217" s="84"/>
      <c r="AL217" s="84"/>
      <c r="AM217" s="84"/>
      <c r="AN217" s="84"/>
      <c r="AO217" s="84"/>
      <c r="AP217" s="84"/>
      <c r="AQ217" s="84"/>
      <c r="AR217" s="84"/>
      <c r="AS217" s="84"/>
      <c r="AT217" s="84"/>
      <c r="AU217" s="84"/>
      <c r="AV217" s="84"/>
      <c r="AW217" s="84"/>
      <c r="AX217" s="84"/>
      <c r="AY217" s="84"/>
      <c r="AZ217" s="84"/>
      <c r="BA217" s="84"/>
      <c r="BB217" s="84"/>
      <c r="BC217" s="84"/>
      <c r="BD217" s="84"/>
      <c r="BE217" s="84"/>
      <c r="BF217" s="84"/>
      <c r="BG217" s="84"/>
      <c r="BH217" s="84"/>
      <c r="BI217" s="84"/>
      <c r="BJ217" s="84"/>
      <c r="BK217" s="84"/>
      <c r="BL217" s="84"/>
      <c r="BM217" s="84"/>
      <c r="BN217" s="84"/>
      <c r="BO217" s="84"/>
      <c r="BP217" s="84"/>
      <c r="BQ217" s="84"/>
      <c r="BR217" s="84"/>
      <c r="BS217" s="84"/>
      <c r="BT217" s="84"/>
      <c r="BU217" s="84"/>
      <c r="BV217" s="84"/>
      <c r="BW217" s="84"/>
      <c r="BX217" s="84"/>
      <c r="BY217" s="84"/>
      <c r="BZ217" s="84"/>
      <c r="CA217" s="84"/>
      <c r="CB217" s="84"/>
      <c r="CC217" s="84"/>
      <c r="CD217" s="84"/>
      <c r="CE217" s="84"/>
      <c r="CF217" s="84"/>
      <c r="CG217" s="84"/>
      <c r="CH217" s="84"/>
      <c r="CI217" s="84"/>
      <c r="CJ217" s="84"/>
      <c r="CK217" s="84"/>
      <c r="CL217" s="84"/>
      <c r="CM217" s="84"/>
      <c r="CN217" s="84"/>
      <c r="CO217" s="84"/>
      <c r="CP217" s="84"/>
      <c r="CQ217" s="84"/>
      <c r="CR217" s="84"/>
      <c r="CS217" s="84"/>
      <c r="CT217" s="84"/>
      <c r="CU217" s="84"/>
      <c r="CV217" s="84"/>
      <c r="CW217" s="84"/>
      <c r="CX217" s="84"/>
      <c r="CY217" s="84"/>
      <c r="CZ217" s="84"/>
      <c r="DA217" s="84"/>
      <c r="DB217" s="84"/>
      <c r="DC217" s="84"/>
      <c r="DD217" s="84"/>
      <c r="DE217" s="140"/>
      <c r="DF217" s="84"/>
      <c r="DG217" s="84"/>
      <c r="DH217" s="140"/>
      <c r="DI217" s="84"/>
      <c r="DJ217" s="84"/>
      <c r="DK217" s="140"/>
      <c r="DL217" s="84"/>
      <c r="DM217" s="84"/>
      <c r="DN217" s="140"/>
      <c r="DO217" s="84"/>
      <c r="DP217" s="84"/>
      <c r="DQ217" s="140"/>
      <c r="DR217" s="84"/>
      <c r="DS217" s="84"/>
      <c r="DT217" s="140"/>
      <c r="DU217" s="84"/>
      <c r="DV217" s="84"/>
      <c r="DW217" s="140"/>
      <c r="DX217" s="84"/>
      <c r="DY217" s="84"/>
      <c r="DZ217" s="140"/>
      <c r="EA217" s="84"/>
      <c r="EB217" s="84"/>
      <c r="EC217" s="140"/>
      <c r="ED217" s="84"/>
      <c r="EE217" s="84"/>
      <c r="EF217" s="140"/>
      <c r="EG217" s="84"/>
      <c r="EH217" s="84"/>
      <c r="EI217" s="140"/>
      <c r="EJ217" s="84"/>
      <c r="EK217" s="84"/>
      <c r="EL217" s="140"/>
      <c r="EM217" s="84"/>
      <c r="EN217" s="84"/>
      <c r="EO217" s="140"/>
      <c r="EP217" s="84"/>
      <c r="EQ217" s="84"/>
      <c r="ER217" s="140"/>
      <c r="ES217" s="84"/>
      <c r="ET217" s="84"/>
      <c r="EU217" s="140"/>
      <c r="EV217" s="84"/>
      <c r="EW217" s="84"/>
      <c r="EX217" s="140"/>
      <c r="EY217" s="84"/>
      <c r="EZ217" s="84"/>
      <c r="FA217" s="140"/>
    </row>
    <row r="218" spans="1:157" ht="13.35" customHeight="1">
      <c r="A218" s="3"/>
      <c r="B218" s="86"/>
      <c r="C218" s="4"/>
      <c r="D218" s="4"/>
      <c r="E218" s="84"/>
      <c r="F218" s="84"/>
      <c r="G218" s="84"/>
      <c r="H218" s="84"/>
      <c r="I218" s="84"/>
      <c r="J218" s="84"/>
      <c r="K218" s="84"/>
      <c r="L218" s="84"/>
      <c r="M218" s="84"/>
      <c r="N218" s="84"/>
      <c r="O218" s="84"/>
      <c r="P218" s="84"/>
      <c r="Q218" s="84"/>
      <c r="R218" s="84"/>
      <c r="S218" s="84"/>
      <c r="T218" s="84"/>
      <c r="U218" s="84"/>
      <c r="V218" s="84"/>
      <c r="W218" s="84"/>
      <c r="X218" s="84"/>
      <c r="Y218" s="84"/>
      <c r="Z218" s="84"/>
      <c r="AA218" s="84"/>
      <c r="AB218" s="84"/>
      <c r="AC218" s="84"/>
      <c r="AD218" s="84"/>
      <c r="AE218" s="84"/>
      <c r="AF218" s="84"/>
      <c r="AG218" s="84"/>
      <c r="AH218" s="84"/>
      <c r="AI218" s="84"/>
      <c r="AJ218" s="84"/>
      <c r="AK218" s="84"/>
      <c r="AL218" s="84"/>
      <c r="AM218" s="84"/>
      <c r="AN218" s="84"/>
      <c r="AO218" s="84"/>
      <c r="AP218" s="84"/>
      <c r="AQ218" s="84"/>
      <c r="AR218" s="84"/>
      <c r="AS218" s="84"/>
      <c r="AT218" s="84"/>
      <c r="AU218" s="84"/>
      <c r="AV218" s="84"/>
      <c r="AW218" s="84"/>
      <c r="AX218" s="84"/>
      <c r="AY218" s="84"/>
      <c r="AZ218" s="84"/>
      <c r="BA218" s="84"/>
      <c r="BB218" s="84"/>
      <c r="BC218" s="84"/>
      <c r="BD218" s="84"/>
      <c r="BE218" s="84"/>
      <c r="BF218" s="84"/>
      <c r="BG218" s="84"/>
      <c r="BH218" s="84"/>
      <c r="BI218" s="84"/>
      <c r="BJ218" s="84"/>
      <c r="BK218" s="84"/>
      <c r="BL218" s="84"/>
      <c r="BM218" s="84"/>
      <c r="BN218" s="84"/>
      <c r="BO218" s="84"/>
      <c r="BP218" s="84"/>
      <c r="BQ218" s="84"/>
      <c r="BR218" s="84"/>
      <c r="BS218" s="84"/>
      <c r="BT218" s="84"/>
      <c r="BU218" s="84"/>
      <c r="BV218" s="84"/>
      <c r="BW218" s="84"/>
      <c r="BX218" s="84"/>
      <c r="BY218" s="84"/>
      <c r="BZ218" s="84"/>
      <c r="CA218" s="84"/>
      <c r="CB218" s="84"/>
      <c r="CC218" s="84"/>
      <c r="CD218" s="84"/>
      <c r="CE218" s="84"/>
      <c r="CF218" s="84"/>
      <c r="CG218" s="84"/>
      <c r="CH218" s="84"/>
      <c r="CI218" s="84"/>
      <c r="CJ218" s="84"/>
      <c r="CK218" s="84"/>
      <c r="CL218" s="84"/>
      <c r="CM218" s="84"/>
      <c r="CN218" s="84"/>
      <c r="CO218" s="84"/>
      <c r="CP218" s="84"/>
      <c r="CQ218" s="84"/>
      <c r="CR218" s="84"/>
      <c r="CS218" s="84"/>
      <c r="CT218" s="84"/>
      <c r="CU218" s="84"/>
      <c r="CV218" s="84"/>
      <c r="CW218" s="84"/>
      <c r="CX218" s="84"/>
      <c r="CY218" s="84"/>
      <c r="CZ218" s="84"/>
      <c r="DA218" s="84"/>
      <c r="DB218" s="84"/>
      <c r="DC218" s="84"/>
      <c r="DD218" s="84"/>
      <c r="DE218" s="140"/>
      <c r="DF218" s="84"/>
      <c r="DG218" s="84"/>
      <c r="DH218" s="140"/>
      <c r="DI218" s="84"/>
      <c r="DJ218" s="84"/>
      <c r="DK218" s="140"/>
      <c r="DL218" s="84"/>
      <c r="DM218" s="84"/>
      <c r="DN218" s="140"/>
      <c r="DO218" s="84"/>
      <c r="DP218" s="84"/>
      <c r="DQ218" s="140"/>
      <c r="DR218" s="84"/>
      <c r="DS218" s="84"/>
      <c r="DT218" s="140"/>
      <c r="DU218" s="84"/>
      <c r="DV218" s="84"/>
      <c r="DW218" s="140"/>
      <c r="DX218" s="84"/>
      <c r="DY218" s="84"/>
      <c r="DZ218" s="140"/>
      <c r="EA218" s="84"/>
      <c r="EB218" s="84"/>
      <c r="EC218" s="140"/>
      <c r="ED218" s="84"/>
      <c r="EE218" s="84"/>
      <c r="EF218" s="140"/>
      <c r="EG218" s="84"/>
      <c r="EH218" s="84"/>
      <c r="EI218" s="140"/>
      <c r="EJ218" s="84"/>
      <c r="EK218" s="84"/>
      <c r="EL218" s="140"/>
      <c r="EM218" s="84"/>
      <c r="EN218" s="84"/>
      <c r="EO218" s="140"/>
      <c r="EP218" s="84"/>
      <c r="EQ218" s="84"/>
      <c r="ER218" s="140"/>
      <c r="ES218" s="84"/>
      <c r="ET218" s="84"/>
      <c r="EU218" s="140"/>
      <c r="EV218" s="84"/>
      <c r="EW218" s="84"/>
      <c r="EX218" s="140"/>
      <c r="EY218" s="84"/>
      <c r="EZ218" s="84"/>
      <c r="FA218" s="140"/>
    </row>
    <row r="219" spans="1:157" ht="13.35" customHeight="1">
      <c r="A219" s="3"/>
      <c r="B219" s="126"/>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c r="CY219" s="4"/>
      <c r="CZ219" s="4"/>
      <c r="DA219" s="4"/>
      <c r="DB219" s="4"/>
      <c r="DC219" s="4"/>
      <c r="DD219" s="4"/>
      <c r="DE219" s="134"/>
      <c r="DF219" s="4"/>
      <c r="DG219" s="4"/>
      <c r="DH219" s="134"/>
      <c r="DI219" s="4"/>
      <c r="DJ219" s="4"/>
      <c r="DK219" s="134"/>
      <c r="DL219" s="4"/>
      <c r="DM219" s="4"/>
      <c r="DN219" s="134"/>
      <c r="DO219" s="4"/>
      <c r="DP219" s="4"/>
      <c r="DQ219" s="134"/>
      <c r="DR219" s="4"/>
      <c r="DS219" s="4"/>
      <c r="DT219" s="134"/>
      <c r="DU219" s="4"/>
      <c r="DV219" s="4"/>
      <c r="DW219" s="134"/>
      <c r="DX219" s="4"/>
      <c r="DY219" s="4"/>
      <c r="DZ219" s="134"/>
      <c r="EA219" s="4"/>
      <c r="EB219" s="4"/>
      <c r="EC219" s="134"/>
      <c r="ED219" s="4"/>
      <c r="EE219" s="4"/>
      <c r="EF219" s="134"/>
      <c r="EG219" s="4"/>
      <c r="EH219" s="4"/>
      <c r="EI219" s="134"/>
      <c r="EJ219" s="4"/>
      <c r="EK219" s="4"/>
      <c r="EL219" s="134"/>
      <c r="EM219" s="4"/>
      <c r="EN219" s="4"/>
      <c r="EO219" s="134"/>
      <c r="EP219" s="4"/>
      <c r="EQ219" s="4"/>
      <c r="ER219" s="134"/>
      <c r="ES219" s="4"/>
      <c r="ET219" s="4"/>
      <c r="EU219" s="134"/>
      <c r="EV219" s="4"/>
      <c r="EW219" s="4"/>
      <c r="EX219" s="134"/>
      <c r="EY219" s="4"/>
      <c r="EZ219" s="4"/>
      <c r="FA219" s="134"/>
    </row>
    <row r="220" spans="1:157" ht="16.5" customHeight="1">
      <c r="A220" s="77"/>
      <c r="B220" s="77" t="s">
        <v>446</v>
      </c>
      <c r="C220" s="77"/>
      <c r="D220" s="49" t="str">
        <f t="shared" ref="D220:AI220" si="221">+D2</f>
        <v xml:space="preserve">Year ending Jun </v>
      </c>
      <c r="E220" s="49" t="str">
        <f t="shared" si="221"/>
        <v>1h85</v>
      </c>
      <c r="F220" s="49" t="str">
        <f t="shared" si="221"/>
        <v>2h85</v>
      </c>
      <c r="G220" s="49" t="str">
        <f t="shared" si="221"/>
        <v>1985</v>
      </c>
      <c r="H220" s="49" t="str">
        <f t="shared" si="221"/>
        <v>1h86</v>
      </c>
      <c r="I220" s="49" t="str">
        <f t="shared" si="221"/>
        <v>2h86</v>
      </c>
      <c r="J220" s="49" t="str">
        <f t="shared" si="221"/>
        <v>1986</v>
      </c>
      <c r="K220" s="49" t="str">
        <f t="shared" si="221"/>
        <v>1h87</v>
      </c>
      <c r="L220" s="49" t="str">
        <f t="shared" si="221"/>
        <v>2h87</v>
      </c>
      <c r="M220" s="49" t="str">
        <f t="shared" si="221"/>
        <v>1987</v>
      </c>
      <c r="N220" s="49" t="str">
        <f t="shared" si="221"/>
        <v>1h88</v>
      </c>
      <c r="O220" s="49" t="str">
        <f t="shared" si="221"/>
        <v>2h88</v>
      </c>
      <c r="P220" s="49" t="str">
        <f t="shared" si="221"/>
        <v>1988</v>
      </c>
      <c r="Q220" s="49" t="str">
        <f t="shared" si="221"/>
        <v>1h89</v>
      </c>
      <c r="R220" s="49" t="str">
        <f t="shared" si="221"/>
        <v>2h89</v>
      </c>
      <c r="S220" s="49" t="str">
        <f t="shared" si="221"/>
        <v>1989</v>
      </c>
      <c r="T220" s="49" t="str">
        <f t="shared" si="221"/>
        <v>1h90</v>
      </c>
      <c r="U220" s="49" t="str">
        <f t="shared" si="221"/>
        <v>2h90</v>
      </c>
      <c r="V220" s="49" t="str">
        <f t="shared" si="221"/>
        <v>1990</v>
      </c>
      <c r="W220" s="49" t="str">
        <f t="shared" si="221"/>
        <v>1h91</v>
      </c>
      <c r="X220" s="49" t="str">
        <f t="shared" si="221"/>
        <v>2h91</v>
      </c>
      <c r="Y220" s="49" t="str">
        <f t="shared" si="221"/>
        <v>1991</v>
      </c>
      <c r="Z220" s="49" t="str">
        <f t="shared" si="221"/>
        <v>1h92</v>
      </c>
      <c r="AA220" s="49" t="str">
        <f t="shared" si="221"/>
        <v>2h92</v>
      </c>
      <c r="AB220" s="49" t="str">
        <f t="shared" si="221"/>
        <v>1992</v>
      </c>
      <c r="AC220" s="49" t="str">
        <f t="shared" si="221"/>
        <v>1h93</v>
      </c>
      <c r="AD220" s="49" t="str">
        <f t="shared" si="221"/>
        <v>2h93</v>
      </c>
      <c r="AE220" s="49" t="str">
        <f t="shared" si="221"/>
        <v>1993</v>
      </c>
      <c r="AF220" s="49" t="str">
        <f t="shared" si="221"/>
        <v>1h94</v>
      </c>
      <c r="AG220" s="49" t="str">
        <f t="shared" si="221"/>
        <v>2h94</v>
      </c>
      <c r="AH220" s="49" t="str">
        <f t="shared" si="221"/>
        <v>1994</v>
      </c>
      <c r="AI220" s="49" t="str">
        <f t="shared" si="221"/>
        <v>1h95</v>
      </c>
      <c r="AJ220" s="49" t="str">
        <f t="shared" ref="AJ220:BO220" si="222">+AJ2</f>
        <v>2h95</v>
      </c>
      <c r="AK220" s="49" t="str">
        <f t="shared" si="222"/>
        <v>1995</v>
      </c>
      <c r="AL220" s="49" t="str">
        <f t="shared" si="222"/>
        <v>1h96</v>
      </c>
      <c r="AM220" s="49" t="str">
        <f t="shared" si="222"/>
        <v>2h96</v>
      </c>
      <c r="AN220" s="49" t="str">
        <f t="shared" si="222"/>
        <v>1996</v>
      </c>
      <c r="AO220" s="49" t="str">
        <f t="shared" si="222"/>
        <v>1h97</v>
      </c>
      <c r="AP220" s="49" t="str">
        <f t="shared" si="222"/>
        <v>2h97</v>
      </c>
      <c r="AQ220" s="49" t="str">
        <f t="shared" si="222"/>
        <v>1997</v>
      </c>
      <c r="AR220" s="49" t="str">
        <f t="shared" si="222"/>
        <v>1h98</v>
      </c>
      <c r="AS220" s="49" t="str">
        <f t="shared" si="222"/>
        <v>2h98</v>
      </c>
      <c r="AT220" s="49" t="str">
        <f t="shared" si="222"/>
        <v>1998a</v>
      </c>
      <c r="AU220" s="49" t="str">
        <f t="shared" si="222"/>
        <v>1h99</v>
      </c>
      <c r="AV220" s="49" t="str">
        <f t="shared" si="222"/>
        <v>2h99</v>
      </c>
      <c r="AW220" s="49" t="str">
        <f t="shared" si="222"/>
        <v>1999a</v>
      </c>
      <c r="AX220" s="49" t="str">
        <f t="shared" si="222"/>
        <v>1h00</v>
      </c>
      <c r="AY220" s="49" t="str">
        <f t="shared" si="222"/>
        <v>2h00</v>
      </c>
      <c r="AZ220" s="49" t="str">
        <f t="shared" si="222"/>
        <v>2000a</v>
      </c>
      <c r="BA220" s="49" t="str">
        <f t="shared" si="222"/>
        <v>1h01</v>
      </c>
      <c r="BB220" s="49" t="str">
        <f t="shared" si="222"/>
        <v>2h01</v>
      </c>
      <c r="BC220" s="49" t="str">
        <f t="shared" si="222"/>
        <v>2001a</v>
      </c>
      <c r="BD220" s="49" t="str">
        <f t="shared" si="222"/>
        <v>1h02</v>
      </c>
      <c r="BE220" s="49" t="str">
        <f t="shared" si="222"/>
        <v>2h02f</v>
      </c>
      <c r="BF220" s="49" t="str">
        <f t="shared" si="222"/>
        <v>2002</v>
      </c>
      <c r="BG220" s="49" t="str">
        <f t="shared" si="222"/>
        <v>1h03</v>
      </c>
      <c r="BH220" s="49" t="str">
        <f t="shared" si="222"/>
        <v>2h03</v>
      </c>
      <c r="BI220" s="49" t="str">
        <f t="shared" si="222"/>
        <v>2003</v>
      </c>
      <c r="BJ220" s="49" t="str">
        <f t="shared" si="222"/>
        <v>1h04</v>
      </c>
      <c r="BK220" s="49" t="str">
        <f t="shared" si="222"/>
        <v>2h04</v>
      </c>
      <c r="BL220" s="49" t="str">
        <f t="shared" si="222"/>
        <v>2004</v>
      </c>
      <c r="BM220" s="49" t="str">
        <f t="shared" si="222"/>
        <v>1h05</v>
      </c>
      <c r="BN220" s="49" t="str">
        <f t="shared" si="222"/>
        <v>2h05</v>
      </c>
      <c r="BO220" s="49" t="str">
        <f t="shared" si="222"/>
        <v>2005</v>
      </c>
      <c r="BP220" s="49" t="str">
        <f t="shared" ref="BP220:CU220" si="223">+BP2</f>
        <v>1h06</v>
      </c>
      <c r="BQ220" s="49" t="str">
        <f t="shared" si="223"/>
        <v>2h06</v>
      </c>
      <c r="BR220" s="49" t="str">
        <f t="shared" si="223"/>
        <v>2006</v>
      </c>
      <c r="BS220" s="49" t="str">
        <f t="shared" si="223"/>
        <v>1h07</v>
      </c>
      <c r="BT220" s="49" t="str">
        <f t="shared" si="223"/>
        <v>2h07</v>
      </c>
      <c r="BU220" s="49" t="str">
        <f t="shared" si="223"/>
        <v>2007</v>
      </c>
      <c r="BV220" s="49" t="str">
        <f t="shared" si="223"/>
        <v>1h08</v>
      </c>
      <c r="BW220" s="49" t="str">
        <f t="shared" si="223"/>
        <v>2h08</v>
      </c>
      <c r="BX220" s="49" t="str">
        <f t="shared" si="223"/>
        <v>2008</v>
      </c>
      <c r="BY220" s="49" t="str">
        <f t="shared" si="223"/>
        <v>1h09</v>
      </c>
      <c r="BZ220" s="49" t="str">
        <f t="shared" si="223"/>
        <v>2h09</v>
      </c>
      <c r="CA220" s="49" t="str">
        <f t="shared" si="223"/>
        <v>2009</v>
      </c>
      <c r="CB220" s="49" t="str">
        <f t="shared" si="223"/>
        <v>1h10</v>
      </c>
      <c r="CC220" s="49" t="str">
        <f t="shared" si="223"/>
        <v>2h10</v>
      </c>
      <c r="CD220" s="49" t="str">
        <f t="shared" si="223"/>
        <v>2010</v>
      </c>
      <c r="CE220" s="49" t="str">
        <f t="shared" si="223"/>
        <v>1h11</v>
      </c>
      <c r="CF220" s="49" t="str">
        <f t="shared" si="223"/>
        <v>2h11</v>
      </c>
      <c r="CG220" s="49" t="str">
        <f t="shared" si="223"/>
        <v>2011</v>
      </c>
      <c r="CH220" s="49" t="str">
        <f t="shared" si="223"/>
        <v>1h12</v>
      </c>
      <c r="CI220" s="49" t="str">
        <f t="shared" si="223"/>
        <v>2h12</v>
      </c>
      <c r="CJ220" s="49" t="str">
        <f t="shared" si="223"/>
        <v>2012</v>
      </c>
      <c r="CK220" s="49" t="str">
        <f t="shared" si="223"/>
        <v>1h13</v>
      </c>
      <c r="CL220" s="49" t="str">
        <f t="shared" si="223"/>
        <v>2h13</v>
      </c>
      <c r="CM220" s="49" t="str">
        <f t="shared" si="223"/>
        <v>2013</v>
      </c>
      <c r="CN220" s="49" t="str">
        <f t="shared" si="223"/>
        <v>1h14</v>
      </c>
      <c r="CO220" s="49" t="str">
        <f t="shared" si="223"/>
        <v>2h14</v>
      </c>
      <c r="CP220" s="49" t="str">
        <f t="shared" si="223"/>
        <v>2014</v>
      </c>
      <c r="CQ220" s="49" t="str">
        <f t="shared" si="223"/>
        <v>1h15</v>
      </c>
      <c r="CR220" s="49" t="str">
        <f t="shared" si="223"/>
        <v>2h15</v>
      </c>
      <c r="CS220" s="49" t="str">
        <f t="shared" si="223"/>
        <v>2015</v>
      </c>
      <c r="CT220" s="49" t="str">
        <f t="shared" si="223"/>
        <v>1h16</v>
      </c>
      <c r="CU220" s="49" t="str">
        <f t="shared" si="223"/>
        <v>2h16</v>
      </c>
      <c r="CV220" s="49" t="str">
        <f t="shared" ref="CV220:EC220" si="224">+CV2</f>
        <v>2016</v>
      </c>
      <c r="CW220" s="49" t="str">
        <f t="shared" si="224"/>
        <v>1h17</v>
      </c>
      <c r="CX220" s="49" t="str">
        <f t="shared" si="224"/>
        <v>2h17</v>
      </c>
      <c r="CY220" s="49" t="str">
        <f t="shared" si="224"/>
        <v>2017</v>
      </c>
      <c r="CZ220" s="49" t="str">
        <f t="shared" si="224"/>
        <v>1h18</v>
      </c>
      <c r="DA220" s="49" t="str">
        <f t="shared" si="224"/>
        <v>2h18</v>
      </c>
      <c r="DB220" s="49" t="str">
        <f t="shared" si="224"/>
        <v>2018</v>
      </c>
      <c r="DC220" s="49" t="str">
        <f t="shared" si="224"/>
        <v>1h19</v>
      </c>
      <c r="DD220" s="49" t="str">
        <f t="shared" si="224"/>
        <v>2h19</v>
      </c>
      <c r="DE220" s="63" t="str">
        <f t="shared" si="224"/>
        <v>2019</v>
      </c>
      <c r="DF220" s="49" t="str">
        <f t="shared" si="224"/>
        <v>1h20</v>
      </c>
      <c r="DG220" s="49" t="str">
        <f t="shared" si="224"/>
        <v>2h20</v>
      </c>
      <c r="DH220" s="63" t="str">
        <f t="shared" si="224"/>
        <v>2020</v>
      </c>
      <c r="DI220" s="49" t="str">
        <f t="shared" si="224"/>
        <v>1h21</v>
      </c>
      <c r="DJ220" s="49" t="str">
        <f t="shared" si="224"/>
        <v>2h21</v>
      </c>
      <c r="DK220" s="63" t="str">
        <f t="shared" si="224"/>
        <v>2021</v>
      </c>
      <c r="DL220" s="49" t="str">
        <f t="shared" si="224"/>
        <v>1h22</v>
      </c>
      <c r="DM220" s="49" t="str">
        <f t="shared" si="224"/>
        <v>2h22</v>
      </c>
      <c r="DN220" s="63" t="str">
        <f t="shared" si="224"/>
        <v>2022</v>
      </c>
      <c r="DO220" s="49" t="str">
        <f t="shared" si="224"/>
        <v>1h23</v>
      </c>
      <c r="DP220" s="49" t="str">
        <f t="shared" si="224"/>
        <v>2h23</v>
      </c>
      <c r="DQ220" s="63" t="str">
        <f t="shared" si="224"/>
        <v>2023</v>
      </c>
      <c r="DR220" s="49" t="str">
        <f t="shared" si="224"/>
        <v>1h24</v>
      </c>
      <c r="DS220" s="49" t="str">
        <f t="shared" si="224"/>
        <v>2h24</v>
      </c>
      <c r="DT220" s="63" t="str">
        <f t="shared" si="224"/>
        <v>2024</v>
      </c>
      <c r="DU220" s="49" t="str">
        <f t="shared" si="224"/>
        <v>1h25</v>
      </c>
      <c r="DV220" s="49" t="str">
        <f>+DV2</f>
        <v>2h25</v>
      </c>
      <c r="DW220" s="63" t="str">
        <f>+DW2</f>
        <v>2025</v>
      </c>
      <c r="DX220" s="49" t="str">
        <f t="shared" si="224"/>
        <v>1h26</v>
      </c>
      <c r="DY220" s="49" t="str">
        <f t="shared" si="224"/>
        <v>2h26E</v>
      </c>
      <c r="DZ220" s="63" t="str">
        <f t="shared" si="224"/>
        <v>2026E</v>
      </c>
      <c r="EA220" s="49" t="str">
        <f t="shared" si="224"/>
        <v>1h27E</v>
      </c>
      <c r="EB220" s="49" t="str">
        <f t="shared" si="224"/>
        <v>2h27E</v>
      </c>
      <c r="EC220" s="63" t="str">
        <f t="shared" si="224"/>
        <v>2027E</v>
      </c>
      <c r="ED220" s="49" t="str">
        <f t="shared" ref="ED220:EL220" si="225">+ED2</f>
        <v>1h28E</v>
      </c>
      <c r="EE220" s="49" t="str">
        <f t="shared" si="225"/>
        <v>2h28E</v>
      </c>
      <c r="EF220" s="63" t="str">
        <f t="shared" si="225"/>
        <v>2028E</v>
      </c>
      <c r="EG220" s="49" t="str">
        <f t="shared" si="225"/>
        <v>1h29E</v>
      </c>
      <c r="EH220" s="49" t="str">
        <f t="shared" si="225"/>
        <v>2h29E</v>
      </c>
      <c r="EI220" s="63" t="str">
        <f t="shared" si="225"/>
        <v>2029E</v>
      </c>
      <c r="EJ220" s="49" t="str">
        <f t="shared" si="225"/>
        <v>1h30E</v>
      </c>
      <c r="EK220" s="49" t="str">
        <f t="shared" si="225"/>
        <v>2h30E</v>
      </c>
      <c r="EL220" s="63" t="str">
        <f t="shared" si="225"/>
        <v>2030E</v>
      </c>
      <c r="EM220" s="49" t="str">
        <f t="shared" ref="EM220:ER220" si="226">+EM2</f>
        <v>1h31E</v>
      </c>
      <c r="EN220" s="49" t="str">
        <f t="shared" si="226"/>
        <v>2h31E</v>
      </c>
      <c r="EO220" s="63" t="str">
        <f t="shared" si="226"/>
        <v>2031E</v>
      </c>
      <c r="EP220" s="49" t="str">
        <f t="shared" si="226"/>
        <v>1h32E</v>
      </c>
      <c r="EQ220" s="49" t="str">
        <f t="shared" si="226"/>
        <v>2h32E</v>
      </c>
      <c r="ER220" s="63" t="str">
        <f t="shared" si="226"/>
        <v>2032E</v>
      </c>
      <c r="ES220" s="49" t="str">
        <f t="shared" ref="ES220:FA220" si="227">+ES2</f>
        <v>1h33E</v>
      </c>
      <c r="ET220" s="49" t="str">
        <f t="shared" si="227"/>
        <v>2h33E</v>
      </c>
      <c r="EU220" s="63" t="str">
        <f t="shared" si="227"/>
        <v>2033E</v>
      </c>
      <c r="EV220" s="49" t="str">
        <f t="shared" si="227"/>
        <v>1h34E</v>
      </c>
      <c r="EW220" s="49" t="str">
        <f t="shared" si="227"/>
        <v>2h34E</v>
      </c>
      <c r="EX220" s="63" t="str">
        <f t="shared" si="227"/>
        <v>2034E</v>
      </c>
      <c r="EY220" s="49" t="str">
        <f t="shared" si="227"/>
        <v>1h35E</v>
      </c>
      <c r="EZ220" s="49" t="str">
        <f t="shared" si="227"/>
        <v>2h35E</v>
      </c>
      <c r="FA220" s="63" t="str">
        <f t="shared" si="227"/>
        <v>2035E</v>
      </c>
    </row>
    <row r="221" spans="1:157" ht="13.35" customHeight="1">
      <c r="A221" s="3"/>
      <c r="B221" s="5" t="s">
        <v>272</v>
      </c>
      <c r="C221" s="5"/>
      <c r="D221" s="3"/>
      <c r="E221" s="84"/>
      <c r="F221" s="84"/>
      <c r="G221" s="84"/>
      <c r="H221" s="84"/>
      <c r="I221" s="84"/>
      <c r="J221" s="84"/>
      <c r="K221" s="84"/>
      <c r="L221" s="84"/>
      <c r="M221" s="84"/>
      <c r="N221" s="84"/>
      <c r="O221" s="84"/>
      <c r="P221" s="84"/>
      <c r="Q221" s="84"/>
      <c r="R221" s="84"/>
      <c r="S221" s="84"/>
      <c r="T221" s="84"/>
      <c r="U221" s="84"/>
      <c r="V221" s="84"/>
      <c r="W221" s="84"/>
      <c r="X221" s="84"/>
      <c r="Y221" s="84"/>
      <c r="Z221" s="84"/>
      <c r="AA221" s="84"/>
      <c r="AB221" s="84"/>
      <c r="AC221" s="84"/>
      <c r="AD221" s="84"/>
      <c r="AE221" s="84"/>
      <c r="AF221" s="84"/>
      <c r="AG221" s="84"/>
      <c r="AH221" s="84"/>
      <c r="AI221" s="84"/>
      <c r="AJ221" s="84"/>
      <c r="AK221" s="84"/>
      <c r="AL221" s="84"/>
      <c r="AM221" s="84"/>
      <c r="AN221" s="84"/>
      <c r="AO221" s="84"/>
      <c r="AP221" s="84"/>
      <c r="AQ221" s="84"/>
      <c r="AR221" s="84"/>
      <c r="AS221" s="84"/>
      <c r="AT221" s="84"/>
      <c r="AU221" s="84"/>
      <c r="AV221" s="84"/>
      <c r="AW221" s="84"/>
      <c r="AX221" s="84"/>
      <c r="AY221" s="84"/>
      <c r="AZ221" s="84"/>
      <c r="BA221" s="84"/>
      <c r="BB221" s="84"/>
      <c r="BC221" s="84"/>
      <c r="BD221" s="84"/>
      <c r="BE221" s="84"/>
      <c r="BF221" s="84"/>
      <c r="BG221" s="84"/>
      <c r="BH221" s="84"/>
      <c r="BI221" s="84"/>
      <c r="BJ221" s="84"/>
      <c r="BK221" s="84"/>
      <c r="BL221" s="84"/>
      <c r="BM221" s="84"/>
      <c r="BN221" s="84"/>
      <c r="BO221" s="84"/>
      <c r="BP221" s="84"/>
      <c r="BQ221" s="84"/>
      <c r="BR221" s="84"/>
      <c r="BS221" s="84"/>
      <c r="BT221" s="84"/>
      <c r="BU221" s="84"/>
      <c r="BV221" s="84"/>
      <c r="BW221" s="84"/>
      <c r="BX221" s="84"/>
      <c r="BY221" s="84"/>
      <c r="BZ221" s="84"/>
      <c r="CA221" s="84"/>
      <c r="CB221" s="84"/>
      <c r="CC221" s="84"/>
      <c r="CD221" s="84"/>
      <c r="CE221" s="84"/>
      <c r="CF221" s="84"/>
      <c r="CG221" s="84"/>
      <c r="CH221" s="84"/>
      <c r="CI221" s="84"/>
      <c r="CJ221" s="84"/>
      <c r="CK221" s="84"/>
      <c r="CL221" s="84"/>
      <c r="CM221" s="84"/>
      <c r="CN221" s="84"/>
      <c r="CO221" s="84"/>
      <c r="CP221" s="84"/>
      <c r="CQ221" s="84"/>
      <c r="CR221" s="84"/>
      <c r="CS221" s="84"/>
      <c r="CT221" s="84"/>
      <c r="CU221" s="84"/>
      <c r="CV221" s="84"/>
      <c r="CW221" s="84"/>
      <c r="CX221" s="84"/>
      <c r="CY221" s="84"/>
      <c r="CZ221" s="84"/>
      <c r="DA221" s="84"/>
      <c r="DB221" s="84"/>
      <c r="DC221" s="84"/>
      <c r="DD221" s="84"/>
      <c r="DE221" s="140"/>
      <c r="DF221" s="84"/>
      <c r="DG221" s="84"/>
      <c r="DH221" s="140"/>
      <c r="DI221" s="84"/>
      <c r="DJ221" s="84"/>
      <c r="DK221" s="140"/>
      <c r="DL221" s="84"/>
      <c r="DM221" s="84"/>
      <c r="DN221" s="140"/>
      <c r="DO221" s="84"/>
      <c r="DP221" s="84"/>
      <c r="DQ221" s="140"/>
      <c r="DR221" s="84"/>
      <c r="DS221" s="84"/>
      <c r="DT221" s="140"/>
      <c r="DU221" s="84"/>
      <c r="DV221" s="84"/>
      <c r="DW221" s="140"/>
      <c r="DX221" s="84"/>
      <c r="DY221" s="84"/>
      <c r="DZ221" s="140"/>
      <c r="EA221" s="84"/>
      <c r="EB221" s="84"/>
      <c r="EC221" s="140"/>
      <c r="ED221" s="84"/>
      <c r="EE221" s="84"/>
      <c r="EF221" s="140"/>
      <c r="EG221" s="84"/>
      <c r="EH221" s="84"/>
      <c r="EI221" s="140"/>
      <c r="EJ221" s="84"/>
      <c r="EK221" s="84"/>
      <c r="EL221" s="140"/>
      <c r="EM221" s="84"/>
      <c r="EN221" s="84"/>
      <c r="EO221" s="140"/>
      <c r="EP221" s="84"/>
      <c r="EQ221" s="84"/>
      <c r="ER221" s="140"/>
      <c r="ES221" s="84"/>
      <c r="ET221" s="84"/>
      <c r="EU221" s="140"/>
      <c r="EV221" s="84"/>
      <c r="EW221" s="84"/>
      <c r="EX221" s="140"/>
      <c r="EY221" s="84"/>
      <c r="EZ221" s="84"/>
      <c r="FA221" s="140"/>
    </row>
    <row r="222" spans="1:157" ht="13.35" customHeight="1">
      <c r="A222" s="3"/>
      <c r="B222" s="4" t="s">
        <v>273</v>
      </c>
      <c r="C222" s="4"/>
      <c r="D222" s="4"/>
      <c r="E222" s="82"/>
      <c r="F222" s="82"/>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95">
        <v>0.06</v>
      </c>
      <c r="AL222" s="82"/>
      <c r="AM222" s="82"/>
      <c r="AN222" s="95">
        <v>0.06</v>
      </c>
      <c r="AO222" s="95">
        <v>0.06</v>
      </c>
      <c r="AP222" s="95">
        <v>0.06</v>
      </c>
      <c r="AQ222" s="95">
        <v>0.06</v>
      </c>
      <c r="AR222" s="95">
        <v>0.06</v>
      </c>
      <c r="AS222" s="95">
        <v>0.06</v>
      </c>
      <c r="AT222" s="95">
        <v>0.06</v>
      </c>
      <c r="AU222" s="95">
        <v>0.06</v>
      </c>
      <c r="AV222" s="95">
        <v>0.06</v>
      </c>
      <c r="AW222" s="95">
        <v>0.06</v>
      </c>
      <c r="AX222" s="95">
        <v>0.06</v>
      </c>
      <c r="AY222" s="95">
        <v>0.06</v>
      </c>
      <c r="AZ222" s="95">
        <v>0.06</v>
      </c>
      <c r="BA222" s="95">
        <v>0.06</v>
      </c>
      <c r="BB222" s="95">
        <v>0.06</v>
      </c>
      <c r="BC222" s="95">
        <v>0.06</v>
      </c>
      <c r="BD222" s="95">
        <v>4.4999999999999998E-2</v>
      </c>
      <c r="BE222" s="95">
        <f>BD222</f>
        <v>4.4999999999999998E-2</v>
      </c>
      <c r="BF222" s="95">
        <f>BE222</f>
        <v>4.4999999999999998E-2</v>
      </c>
      <c r="BG222" s="95">
        <f>BF222</f>
        <v>4.4999999999999998E-2</v>
      </c>
      <c r="BH222" s="95">
        <f>BG222</f>
        <v>4.4999999999999998E-2</v>
      </c>
      <c r="BI222" s="95">
        <v>5.0000000000000001E-4</v>
      </c>
      <c r="BJ222" s="95">
        <f t="shared" ref="BJ222:CM222" si="228">BI222</f>
        <v>5.0000000000000001E-4</v>
      </c>
      <c r="BK222" s="95">
        <f t="shared" si="228"/>
        <v>5.0000000000000001E-4</v>
      </c>
      <c r="BL222" s="95">
        <f t="shared" si="228"/>
        <v>5.0000000000000001E-4</v>
      </c>
      <c r="BM222" s="95">
        <f t="shared" si="228"/>
        <v>5.0000000000000001E-4</v>
      </c>
      <c r="BN222" s="95">
        <f t="shared" si="228"/>
        <v>5.0000000000000001E-4</v>
      </c>
      <c r="BO222" s="95">
        <f t="shared" si="228"/>
        <v>5.0000000000000001E-4</v>
      </c>
      <c r="BP222" s="95">
        <f t="shared" si="228"/>
        <v>5.0000000000000001E-4</v>
      </c>
      <c r="BQ222" s="95">
        <f t="shared" si="228"/>
        <v>5.0000000000000001E-4</v>
      </c>
      <c r="BR222" s="95">
        <f t="shared" si="228"/>
        <v>5.0000000000000001E-4</v>
      </c>
      <c r="BS222" s="95">
        <f t="shared" si="228"/>
        <v>5.0000000000000001E-4</v>
      </c>
      <c r="BT222" s="95">
        <f t="shared" si="228"/>
        <v>5.0000000000000001E-4</v>
      </c>
      <c r="BU222" s="95">
        <f t="shared" si="228"/>
        <v>5.0000000000000001E-4</v>
      </c>
      <c r="BV222" s="95">
        <f t="shared" si="228"/>
        <v>5.0000000000000001E-4</v>
      </c>
      <c r="BW222" s="95">
        <f t="shared" si="228"/>
        <v>5.0000000000000001E-4</v>
      </c>
      <c r="BX222" s="95">
        <f t="shared" si="228"/>
        <v>5.0000000000000001E-4</v>
      </c>
      <c r="BY222" s="95">
        <f t="shared" si="228"/>
        <v>5.0000000000000001E-4</v>
      </c>
      <c r="BZ222" s="95">
        <f t="shared" si="228"/>
        <v>5.0000000000000001E-4</v>
      </c>
      <c r="CA222" s="95">
        <f t="shared" si="228"/>
        <v>5.0000000000000001E-4</v>
      </c>
      <c r="CB222" s="95">
        <f t="shared" si="228"/>
        <v>5.0000000000000001E-4</v>
      </c>
      <c r="CC222" s="95">
        <f t="shared" si="228"/>
        <v>5.0000000000000001E-4</v>
      </c>
      <c r="CD222" s="95">
        <f t="shared" si="228"/>
        <v>5.0000000000000001E-4</v>
      </c>
      <c r="CE222" s="95">
        <f t="shared" si="228"/>
        <v>5.0000000000000001E-4</v>
      </c>
      <c r="CF222" s="95">
        <f t="shared" si="228"/>
        <v>5.0000000000000001E-4</v>
      </c>
      <c r="CG222" s="95">
        <f t="shared" si="228"/>
        <v>5.0000000000000001E-4</v>
      </c>
      <c r="CH222" s="95">
        <f t="shared" si="228"/>
        <v>5.0000000000000001E-4</v>
      </c>
      <c r="CI222" s="95">
        <f t="shared" si="228"/>
        <v>5.0000000000000001E-4</v>
      </c>
      <c r="CJ222" s="95">
        <f t="shared" si="228"/>
        <v>5.0000000000000001E-4</v>
      </c>
      <c r="CK222" s="95">
        <f t="shared" si="228"/>
        <v>5.0000000000000001E-4</v>
      </c>
      <c r="CL222" s="95">
        <f t="shared" si="228"/>
        <v>5.0000000000000001E-4</v>
      </c>
      <c r="CM222" s="95">
        <f t="shared" si="228"/>
        <v>5.0000000000000001E-4</v>
      </c>
      <c r="CN222" s="95">
        <f t="shared" ref="CN222:DQ222" si="229">CM222</f>
        <v>5.0000000000000001E-4</v>
      </c>
      <c r="CO222" s="95">
        <f t="shared" si="229"/>
        <v>5.0000000000000001E-4</v>
      </c>
      <c r="CP222" s="95">
        <f t="shared" si="229"/>
        <v>5.0000000000000001E-4</v>
      </c>
      <c r="CQ222" s="95">
        <f t="shared" si="229"/>
        <v>5.0000000000000001E-4</v>
      </c>
      <c r="CR222" s="95">
        <f t="shared" si="229"/>
        <v>5.0000000000000001E-4</v>
      </c>
      <c r="CS222" s="95">
        <f t="shared" si="229"/>
        <v>5.0000000000000001E-4</v>
      </c>
      <c r="CT222" s="95">
        <f t="shared" si="229"/>
        <v>5.0000000000000001E-4</v>
      </c>
      <c r="CU222" s="95">
        <f t="shared" si="229"/>
        <v>5.0000000000000001E-4</v>
      </c>
      <c r="CV222" s="95">
        <f t="shared" si="229"/>
        <v>5.0000000000000001E-4</v>
      </c>
      <c r="CW222" s="95">
        <f t="shared" si="229"/>
        <v>5.0000000000000001E-4</v>
      </c>
      <c r="CX222" s="95">
        <f t="shared" si="229"/>
        <v>5.0000000000000001E-4</v>
      </c>
      <c r="CY222" s="95">
        <f t="shared" si="229"/>
        <v>5.0000000000000001E-4</v>
      </c>
      <c r="CZ222" s="95">
        <f t="shared" si="229"/>
        <v>5.0000000000000001E-4</v>
      </c>
      <c r="DA222" s="95">
        <f t="shared" si="229"/>
        <v>5.0000000000000001E-4</v>
      </c>
      <c r="DB222" s="95">
        <f t="shared" si="229"/>
        <v>5.0000000000000001E-4</v>
      </c>
      <c r="DC222" s="95">
        <f t="shared" si="229"/>
        <v>5.0000000000000001E-4</v>
      </c>
      <c r="DD222" s="95">
        <f t="shared" si="229"/>
        <v>5.0000000000000001E-4</v>
      </c>
      <c r="DE222" s="138">
        <f t="shared" si="229"/>
        <v>5.0000000000000001E-4</v>
      </c>
      <c r="DF222" s="95">
        <f t="shared" si="229"/>
        <v>5.0000000000000001E-4</v>
      </c>
      <c r="DG222" s="95">
        <f t="shared" si="229"/>
        <v>5.0000000000000001E-4</v>
      </c>
      <c r="DH222" s="138">
        <f t="shared" si="229"/>
        <v>5.0000000000000001E-4</v>
      </c>
      <c r="DI222" s="95">
        <f t="shared" si="229"/>
        <v>5.0000000000000001E-4</v>
      </c>
      <c r="DJ222" s="95">
        <f t="shared" si="229"/>
        <v>5.0000000000000001E-4</v>
      </c>
      <c r="DK222" s="138">
        <f t="shared" si="229"/>
        <v>5.0000000000000001E-4</v>
      </c>
      <c r="DL222" s="95">
        <f t="shared" si="229"/>
        <v>5.0000000000000001E-4</v>
      </c>
      <c r="DM222" s="95">
        <f t="shared" si="229"/>
        <v>5.0000000000000001E-4</v>
      </c>
      <c r="DN222" s="138">
        <f t="shared" si="229"/>
        <v>5.0000000000000001E-4</v>
      </c>
      <c r="DO222" s="95">
        <f t="shared" si="229"/>
        <v>5.0000000000000001E-4</v>
      </c>
      <c r="DP222" s="95">
        <f t="shared" si="229"/>
        <v>5.0000000000000001E-4</v>
      </c>
      <c r="DQ222" s="138">
        <f t="shared" si="229"/>
        <v>5.0000000000000001E-4</v>
      </c>
      <c r="DR222" s="95">
        <f t="shared" ref="DR222:DZ222" si="230">DQ222</f>
        <v>5.0000000000000001E-4</v>
      </c>
      <c r="DS222" s="95">
        <f t="shared" si="230"/>
        <v>5.0000000000000001E-4</v>
      </c>
      <c r="DT222" s="138">
        <f t="shared" si="230"/>
        <v>5.0000000000000001E-4</v>
      </c>
      <c r="DU222" s="95">
        <f t="shared" si="230"/>
        <v>5.0000000000000001E-4</v>
      </c>
      <c r="DV222" s="95">
        <f>DU222</f>
        <v>5.0000000000000001E-4</v>
      </c>
      <c r="DW222" s="138">
        <f>DV222</f>
        <v>5.0000000000000001E-4</v>
      </c>
      <c r="DX222" s="95">
        <f t="shared" si="230"/>
        <v>5.0000000000000001E-4</v>
      </c>
      <c r="DY222" s="95">
        <f t="shared" si="230"/>
        <v>5.0000000000000001E-4</v>
      </c>
      <c r="DZ222" s="138">
        <f t="shared" si="230"/>
        <v>5.0000000000000001E-4</v>
      </c>
      <c r="EA222" s="95">
        <f t="shared" ref="EA222:EF222" si="231">DZ222</f>
        <v>5.0000000000000001E-4</v>
      </c>
      <c r="EB222" s="95">
        <f t="shared" si="231"/>
        <v>5.0000000000000001E-4</v>
      </c>
      <c r="EC222" s="138">
        <f t="shared" si="231"/>
        <v>5.0000000000000001E-4</v>
      </c>
      <c r="ED222" s="95">
        <f t="shared" si="231"/>
        <v>5.0000000000000001E-4</v>
      </c>
      <c r="EE222" s="95">
        <f t="shared" si="231"/>
        <v>5.0000000000000001E-4</v>
      </c>
      <c r="EF222" s="138">
        <f t="shared" si="231"/>
        <v>5.0000000000000001E-4</v>
      </c>
      <c r="EG222" s="95">
        <f t="shared" ref="EG222:EL222" si="232">EF222</f>
        <v>5.0000000000000001E-4</v>
      </c>
      <c r="EH222" s="95">
        <f t="shared" si="232"/>
        <v>5.0000000000000001E-4</v>
      </c>
      <c r="EI222" s="138">
        <f t="shared" si="232"/>
        <v>5.0000000000000001E-4</v>
      </c>
      <c r="EJ222" s="95">
        <f t="shared" si="232"/>
        <v>5.0000000000000001E-4</v>
      </c>
      <c r="EK222" s="95">
        <f t="shared" si="232"/>
        <v>5.0000000000000001E-4</v>
      </c>
      <c r="EL222" s="138">
        <f t="shared" si="232"/>
        <v>5.0000000000000001E-4</v>
      </c>
      <c r="EM222" s="95">
        <f t="shared" ref="EM222:FA222" si="233">EL222</f>
        <v>5.0000000000000001E-4</v>
      </c>
      <c r="EN222" s="95">
        <f t="shared" si="233"/>
        <v>5.0000000000000001E-4</v>
      </c>
      <c r="EO222" s="138">
        <f t="shared" si="233"/>
        <v>5.0000000000000001E-4</v>
      </c>
      <c r="EP222" s="95">
        <f t="shared" si="233"/>
        <v>5.0000000000000001E-4</v>
      </c>
      <c r="EQ222" s="95">
        <f t="shared" si="233"/>
        <v>5.0000000000000001E-4</v>
      </c>
      <c r="ER222" s="138">
        <f t="shared" si="233"/>
        <v>5.0000000000000001E-4</v>
      </c>
      <c r="ES222" s="95">
        <f t="shared" si="233"/>
        <v>5.0000000000000001E-4</v>
      </c>
      <c r="ET222" s="95">
        <f t="shared" si="233"/>
        <v>5.0000000000000001E-4</v>
      </c>
      <c r="EU222" s="138">
        <f t="shared" si="233"/>
        <v>5.0000000000000001E-4</v>
      </c>
      <c r="EV222" s="95">
        <f t="shared" si="233"/>
        <v>5.0000000000000001E-4</v>
      </c>
      <c r="EW222" s="95">
        <f t="shared" si="233"/>
        <v>5.0000000000000001E-4</v>
      </c>
      <c r="EX222" s="138">
        <f t="shared" si="233"/>
        <v>5.0000000000000001E-4</v>
      </c>
      <c r="EY222" s="95">
        <f t="shared" si="233"/>
        <v>5.0000000000000001E-4</v>
      </c>
      <c r="EZ222" s="95">
        <f t="shared" si="233"/>
        <v>5.0000000000000001E-4</v>
      </c>
      <c r="FA222" s="138">
        <f t="shared" si="233"/>
        <v>5.0000000000000001E-4</v>
      </c>
    </row>
    <row r="223" spans="1:157" ht="13.35" customHeight="1">
      <c r="A223" s="3"/>
      <c r="B223" s="4" t="s">
        <v>221</v>
      </c>
      <c r="C223" s="4"/>
      <c r="D223" s="3"/>
      <c r="E223" s="82"/>
      <c r="F223" s="82"/>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102"/>
      <c r="AS223" s="102"/>
      <c r="AT223" s="102"/>
      <c r="AU223" s="7"/>
      <c r="AV223" s="102"/>
      <c r="AW223" s="102"/>
      <c r="AX223" s="7"/>
      <c r="AY223" s="102"/>
      <c r="AZ223" s="102"/>
      <c r="BA223" s="7"/>
      <c r="BB223" s="102"/>
      <c r="BC223" s="102"/>
      <c r="BD223" s="102"/>
      <c r="BE223" s="102"/>
      <c r="BF223" s="102"/>
      <c r="BG223" s="102"/>
      <c r="BH223" s="102"/>
      <c r="BI223" s="102"/>
      <c r="BJ223" s="102"/>
      <c r="BK223" s="102"/>
      <c r="BL223" s="102"/>
      <c r="BM223" s="102"/>
      <c r="BN223" s="102"/>
      <c r="BO223" s="102"/>
      <c r="BP223" s="102"/>
      <c r="BQ223" s="102"/>
      <c r="BR223" s="102"/>
      <c r="BS223" s="102"/>
      <c r="BT223" s="102"/>
      <c r="BU223" s="102"/>
      <c r="BV223" s="102"/>
      <c r="BW223" s="102"/>
      <c r="BX223" s="102"/>
      <c r="BY223" s="102"/>
      <c r="BZ223" s="102"/>
      <c r="CA223" s="102"/>
      <c r="CB223" s="102"/>
      <c r="CC223" s="102"/>
      <c r="CD223" s="102"/>
      <c r="CE223" s="102"/>
      <c r="CF223" s="102"/>
      <c r="CG223" s="102"/>
      <c r="CH223" s="102"/>
      <c r="CI223" s="102"/>
      <c r="CJ223" s="102"/>
      <c r="CK223" s="102"/>
      <c r="CL223" s="102"/>
      <c r="CM223" s="102"/>
      <c r="CN223" s="102"/>
      <c r="CO223" s="102"/>
      <c r="CP223" s="102"/>
      <c r="CQ223" s="102"/>
      <c r="CR223" s="102"/>
      <c r="CS223" s="102"/>
      <c r="CT223" s="102"/>
      <c r="CU223" s="102"/>
      <c r="CV223" s="102"/>
      <c r="CW223" s="102"/>
      <c r="CX223" s="102"/>
      <c r="CY223" s="102"/>
      <c r="CZ223" s="102"/>
      <c r="DA223" s="102"/>
      <c r="DB223" s="102"/>
      <c r="DC223" s="102"/>
      <c r="DD223" s="102"/>
      <c r="DE223" s="146"/>
      <c r="DF223" s="102"/>
      <c r="DG223" s="102"/>
      <c r="DH223" s="146"/>
      <c r="DI223" s="102"/>
      <c r="DJ223" s="102"/>
      <c r="DK223" s="146"/>
      <c r="DL223" s="102"/>
      <c r="DM223" s="102"/>
      <c r="DN223" s="146"/>
      <c r="DO223" s="102"/>
      <c r="DP223" s="102"/>
      <c r="DQ223" s="146"/>
      <c r="DR223" s="102"/>
      <c r="DS223" s="102"/>
      <c r="DT223" s="146"/>
      <c r="DU223" s="102"/>
      <c r="DV223" s="102"/>
      <c r="DW223" s="146"/>
      <c r="DX223" s="102"/>
      <c r="DY223" s="102"/>
      <c r="DZ223" s="146"/>
      <c r="EA223" s="102"/>
      <c r="EB223" s="102"/>
      <c r="EC223" s="146"/>
      <c r="ED223" s="102"/>
      <c r="EE223" s="102"/>
      <c r="EF223" s="146"/>
      <c r="EG223" s="102"/>
      <c r="EH223" s="102"/>
      <c r="EI223" s="146"/>
      <c r="EJ223" s="102"/>
      <c r="EK223" s="102"/>
      <c r="EL223" s="146"/>
      <c r="EM223" s="102"/>
      <c r="EN223" s="102"/>
      <c r="EO223" s="146"/>
      <c r="EP223" s="102"/>
      <c r="EQ223" s="102"/>
      <c r="ER223" s="146"/>
      <c r="ES223" s="102"/>
      <c r="ET223" s="102"/>
      <c r="EU223" s="146"/>
      <c r="EV223" s="102"/>
      <c r="EW223" s="102"/>
      <c r="EX223" s="146"/>
      <c r="EY223" s="102"/>
      <c r="EZ223" s="102"/>
      <c r="FA223" s="146"/>
    </row>
    <row r="224" spans="1:157" ht="13.35" customHeight="1">
      <c r="A224" s="3"/>
      <c r="B224" s="127" t="s">
        <v>274</v>
      </c>
      <c r="C224" s="128"/>
      <c r="D224" s="3"/>
      <c r="E224" s="82"/>
      <c r="F224" s="82"/>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95">
        <v>0.06</v>
      </c>
      <c r="AL224" s="95">
        <v>0.06</v>
      </c>
      <c r="AM224" s="95"/>
      <c r="AN224" s="95">
        <v>0.06</v>
      </c>
      <c r="AO224" s="95">
        <v>0.06</v>
      </c>
      <c r="AP224" s="95"/>
      <c r="AQ224" s="95">
        <v>0.06</v>
      </c>
      <c r="AR224" s="7">
        <v>0.06</v>
      </c>
      <c r="AS224" s="7"/>
      <c r="AT224" s="7">
        <v>0.06</v>
      </c>
      <c r="AU224" s="7">
        <v>0.05</v>
      </c>
      <c r="AV224" s="7"/>
      <c r="AW224" s="7">
        <f>IF(AU224&lt;&gt;"",AU224,"")</f>
        <v>0.05</v>
      </c>
      <c r="AX224" s="7">
        <f>AW224</f>
        <v>0.05</v>
      </c>
      <c r="AY224" s="7"/>
      <c r="AZ224" s="7">
        <f>IF(AX224&lt;&gt;"",AX224,"")</f>
        <v>0.05</v>
      </c>
      <c r="BA224" s="7">
        <f>IF(AZ224&lt;&gt;"",AZ224,"")</f>
        <v>0.05</v>
      </c>
      <c r="BB224" s="7"/>
      <c r="BC224" s="7">
        <f>IF(BA224&lt;&gt;"",BA224,"")</f>
        <v>0.05</v>
      </c>
      <c r="BD224" s="7">
        <f>IF(BC224&lt;&gt;"",BC224,"")</f>
        <v>0.05</v>
      </c>
      <c r="BE224" s="7"/>
      <c r="BF224" s="7">
        <f>IF(BD224&lt;&gt;"",BD224,"")</f>
        <v>0.05</v>
      </c>
      <c r="BG224" s="7">
        <f>IF(BF224&lt;&gt;"",BF224,"")</f>
        <v>0.05</v>
      </c>
      <c r="BH224" s="102"/>
      <c r="BI224" s="102"/>
      <c r="BJ224" s="7"/>
      <c r="BK224" s="102"/>
      <c r="BL224" s="102"/>
      <c r="BM224" s="7"/>
      <c r="BN224" s="102"/>
      <c r="BO224" s="102"/>
      <c r="BP224" s="7"/>
      <c r="BQ224" s="102"/>
      <c r="BR224" s="102"/>
      <c r="BS224" s="7"/>
      <c r="BT224" s="102"/>
      <c r="BU224" s="102"/>
      <c r="BV224" s="7"/>
      <c r="BW224" s="102"/>
      <c r="BX224" s="102"/>
      <c r="BY224" s="7"/>
      <c r="BZ224" s="102"/>
      <c r="CA224" s="102"/>
      <c r="CB224" s="7"/>
      <c r="CC224" s="102"/>
      <c r="CD224" s="102"/>
      <c r="CE224" s="7"/>
      <c r="CF224" s="102"/>
      <c r="CG224" s="102"/>
      <c r="CH224" s="7"/>
      <c r="CI224" s="102"/>
      <c r="CJ224" s="102"/>
      <c r="CK224" s="7"/>
      <c r="CL224" s="102"/>
      <c r="CM224" s="102"/>
      <c r="CN224" s="7"/>
      <c r="CO224" s="102"/>
      <c r="CP224" s="102"/>
      <c r="CQ224" s="7"/>
      <c r="CR224" s="102"/>
      <c r="CS224" s="102"/>
      <c r="CT224" s="7"/>
      <c r="CU224" s="102"/>
      <c r="CV224" s="102"/>
      <c r="CW224" s="7"/>
      <c r="CX224" s="102"/>
      <c r="CY224" s="102"/>
      <c r="CZ224" s="7"/>
      <c r="DA224" s="102"/>
      <c r="DB224" s="102"/>
      <c r="DC224" s="7"/>
      <c r="DD224" s="102"/>
      <c r="DE224" s="146"/>
      <c r="DF224" s="7"/>
      <c r="DG224" s="102"/>
      <c r="DH224" s="146"/>
      <c r="DI224" s="7"/>
      <c r="DJ224" s="102"/>
      <c r="DK224" s="146"/>
      <c r="DL224" s="7"/>
      <c r="DM224" s="102"/>
      <c r="DN224" s="146"/>
      <c r="DO224" s="7"/>
      <c r="DP224" s="102"/>
      <c r="DQ224" s="146"/>
      <c r="DR224" s="7"/>
      <c r="DS224" s="102"/>
      <c r="DT224" s="146"/>
      <c r="DU224" s="7"/>
      <c r="DV224" s="102"/>
      <c r="DW224" s="146"/>
      <c r="DX224" s="7"/>
      <c r="DY224" s="102"/>
      <c r="DZ224" s="146"/>
      <c r="EA224" s="7"/>
      <c r="EB224" s="102"/>
      <c r="EC224" s="146"/>
      <c r="ED224" s="7"/>
      <c r="EE224" s="102"/>
      <c r="EF224" s="146"/>
      <c r="EG224" s="7"/>
      <c r="EH224" s="102"/>
      <c r="EI224" s="146"/>
      <c r="EJ224" s="7"/>
      <c r="EK224" s="102"/>
      <c r="EL224" s="146"/>
      <c r="EM224" s="7"/>
      <c r="EN224" s="102"/>
      <c r="EO224" s="146"/>
      <c r="EP224" s="7"/>
      <c r="EQ224" s="102"/>
      <c r="ER224" s="146"/>
      <c r="ES224" s="7"/>
      <c r="ET224" s="102"/>
      <c r="EU224" s="146"/>
      <c r="EV224" s="7"/>
      <c r="EW224" s="102"/>
      <c r="EX224" s="146"/>
      <c r="EY224" s="7"/>
      <c r="EZ224" s="102"/>
      <c r="FA224" s="146"/>
    </row>
    <row r="225" spans="1:157" ht="13.35" customHeight="1">
      <c r="A225" s="3"/>
      <c r="B225" s="4" t="s">
        <v>548</v>
      </c>
      <c r="C225" s="4"/>
      <c r="D225" s="4"/>
      <c r="E225" s="4"/>
      <c r="F225" s="82"/>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102"/>
      <c r="AS225" s="102"/>
      <c r="AT225" s="102"/>
      <c r="AU225" s="102"/>
      <c r="AV225" s="102"/>
      <c r="AW225" s="102"/>
      <c r="AX225" s="102"/>
      <c r="AY225" s="102"/>
      <c r="AZ225" s="102"/>
      <c r="BA225" s="102"/>
      <c r="BB225" s="102"/>
      <c r="BC225" s="102"/>
      <c r="BD225" s="102"/>
      <c r="BE225" s="102"/>
      <c r="BF225" s="102"/>
      <c r="BG225" s="102"/>
      <c r="BH225" s="102"/>
      <c r="BI225" s="102"/>
      <c r="BJ225" s="102"/>
      <c r="BK225" s="102"/>
      <c r="BL225" s="102"/>
      <c r="BM225" s="102"/>
      <c r="BN225" s="102"/>
      <c r="BO225" s="102"/>
      <c r="BP225" s="102"/>
      <c r="BQ225" s="102"/>
      <c r="BR225" s="102"/>
      <c r="BS225" s="102"/>
      <c r="BT225" s="102"/>
      <c r="BU225" s="102"/>
      <c r="BV225" s="102"/>
      <c r="BW225" s="102"/>
      <c r="BX225" s="102"/>
      <c r="BY225" s="102"/>
      <c r="BZ225" s="102"/>
      <c r="CA225" s="102"/>
      <c r="CB225" s="102"/>
      <c r="CC225" s="102"/>
      <c r="CD225" s="102"/>
      <c r="CE225" s="102"/>
      <c r="CF225" s="102"/>
      <c r="CG225" s="102"/>
      <c r="CH225" s="102"/>
      <c r="CI225" s="102"/>
      <c r="CJ225" s="102"/>
      <c r="CK225" s="102"/>
      <c r="CL225" s="102"/>
      <c r="CM225" s="102"/>
      <c r="CN225" s="102"/>
      <c r="CO225" s="102"/>
      <c r="CP225" s="102"/>
      <c r="CQ225" s="102"/>
      <c r="CR225" s="102"/>
      <c r="CS225" s="102"/>
      <c r="CT225" s="102"/>
      <c r="CU225" s="102"/>
      <c r="CV225" s="102"/>
      <c r="CW225" s="102"/>
      <c r="CX225" s="102"/>
      <c r="CY225" s="102"/>
      <c r="CZ225" s="102"/>
      <c r="DA225" s="102"/>
      <c r="DB225" s="102"/>
      <c r="DC225" s="102"/>
      <c r="DD225" s="102"/>
      <c r="DE225" s="146"/>
      <c r="DF225" s="102"/>
      <c r="DG225" s="102"/>
      <c r="DH225" s="146"/>
      <c r="DI225" s="102"/>
      <c r="DJ225" s="102"/>
      <c r="DK225" s="146"/>
      <c r="DL225" s="102"/>
      <c r="DM225" s="102"/>
      <c r="DN225" s="146"/>
      <c r="DO225" s="102"/>
      <c r="DP225" s="102"/>
      <c r="DQ225" s="146"/>
      <c r="DR225" s="102"/>
      <c r="DS225" s="102"/>
      <c r="DT225" s="146"/>
      <c r="DU225" s="102"/>
      <c r="DV225" s="102"/>
      <c r="DW225" s="146"/>
      <c r="DX225" s="102"/>
      <c r="DY225" s="102"/>
      <c r="DZ225" s="146"/>
      <c r="EA225" s="102"/>
      <c r="EB225" s="102"/>
      <c r="EC225" s="146"/>
      <c r="ED225" s="102"/>
      <c r="EE225" s="102"/>
      <c r="EF225" s="146"/>
      <c r="EG225" s="102"/>
      <c r="EH225" s="102"/>
      <c r="EI225" s="146"/>
      <c r="EJ225" s="102"/>
      <c r="EK225" s="102"/>
      <c r="EL225" s="146"/>
      <c r="EM225" s="102"/>
      <c r="EN225" s="102"/>
      <c r="EO225" s="146"/>
      <c r="EP225" s="102"/>
      <c r="EQ225" s="102"/>
      <c r="ER225" s="146"/>
      <c r="ES225" s="102"/>
      <c r="ET225" s="102"/>
      <c r="EU225" s="146"/>
      <c r="EV225" s="102"/>
      <c r="EW225" s="102"/>
      <c r="EX225" s="146"/>
      <c r="EY225" s="102"/>
      <c r="EZ225" s="102"/>
      <c r="FA225" s="146"/>
    </row>
    <row r="226" spans="1:157" ht="13.35" customHeight="1">
      <c r="A226" s="3"/>
      <c r="B226" s="127" t="s">
        <v>549</v>
      </c>
      <c r="C226" s="128"/>
      <c r="D226" s="4"/>
      <c r="E226" s="82"/>
      <c r="F226" s="82"/>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102"/>
      <c r="AS226" s="102"/>
      <c r="AT226" s="102"/>
      <c r="AU226" s="102"/>
      <c r="AV226" s="102"/>
      <c r="AW226" s="102"/>
      <c r="AX226" s="102"/>
      <c r="AY226" s="102"/>
      <c r="AZ226" s="102"/>
      <c r="BA226" s="102"/>
      <c r="BB226" s="102"/>
      <c r="BC226" s="102"/>
      <c r="BD226" s="102"/>
      <c r="BE226" s="102"/>
      <c r="BF226" s="102"/>
      <c r="BG226" s="102"/>
      <c r="BH226" s="102"/>
      <c r="BI226" s="102"/>
      <c r="BJ226" s="102"/>
      <c r="BK226" s="102"/>
      <c r="BL226" s="102"/>
      <c r="BM226" s="102"/>
      <c r="BN226" s="102"/>
      <c r="BO226" s="102"/>
      <c r="BP226" s="102"/>
      <c r="BQ226" s="102"/>
      <c r="BR226" s="102"/>
      <c r="BS226" s="102"/>
      <c r="BT226" s="102"/>
      <c r="BU226" s="102"/>
      <c r="BV226" s="102"/>
      <c r="BW226" s="102"/>
      <c r="BX226" s="102"/>
      <c r="BY226" s="102"/>
      <c r="BZ226" s="102"/>
      <c r="CA226" s="102"/>
      <c r="CB226" s="102"/>
      <c r="CC226" s="102"/>
      <c r="CD226" s="102"/>
      <c r="CE226" s="102"/>
      <c r="CF226" s="102"/>
      <c r="CG226" s="102"/>
      <c r="CH226" s="102"/>
      <c r="CI226" s="102"/>
      <c r="CJ226" s="102"/>
      <c r="CK226" s="102"/>
      <c r="CL226" s="102"/>
      <c r="CM226" s="102"/>
      <c r="CN226" s="102"/>
      <c r="CO226" s="102"/>
      <c r="CP226" s="102"/>
      <c r="CQ226" s="102"/>
      <c r="CR226" s="102"/>
      <c r="CS226" s="102"/>
      <c r="CT226" s="102"/>
      <c r="CU226" s="102"/>
      <c r="CV226" s="102"/>
      <c r="CW226" s="102"/>
      <c r="CX226" s="102"/>
      <c r="CY226" s="102"/>
      <c r="CZ226" s="102"/>
      <c r="DA226" s="102"/>
      <c r="DB226" s="102"/>
      <c r="DC226" s="102"/>
      <c r="DD226" s="102"/>
      <c r="DE226" s="146"/>
      <c r="DF226" s="102"/>
      <c r="DG226" s="102"/>
      <c r="DH226" s="146"/>
      <c r="DI226" s="102"/>
      <c r="DJ226" s="102"/>
      <c r="DK226" s="146"/>
      <c r="DL226" s="102"/>
      <c r="DM226" s="102"/>
      <c r="DN226" s="146"/>
      <c r="DO226" s="102"/>
      <c r="DP226" s="102"/>
      <c r="DQ226" s="146"/>
      <c r="DR226" s="102"/>
      <c r="DS226" s="102"/>
      <c r="DT226" s="146"/>
      <c r="DU226" s="102"/>
      <c r="DV226" s="102"/>
      <c r="DW226" s="146"/>
      <c r="DX226" s="102"/>
      <c r="DY226" s="102"/>
      <c r="DZ226" s="146"/>
      <c r="EA226" s="102"/>
      <c r="EB226" s="102"/>
      <c r="EC226" s="146"/>
      <c r="ED226" s="102"/>
      <c r="EE226" s="102"/>
      <c r="EF226" s="146"/>
      <c r="EG226" s="102"/>
      <c r="EH226" s="102"/>
      <c r="EI226" s="146"/>
      <c r="EJ226" s="102"/>
      <c r="EK226" s="102"/>
      <c r="EL226" s="146"/>
      <c r="EM226" s="102"/>
      <c r="EN226" s="102"/>
      <c r="EO226" s="146"/>
      <c r="EP226" s="102"/>
      <c r="EQ226" s="102"/>
      <c r="ER226" s="146"/>
      <c r="ES226" s="102"/>
      <c r="ET226" s="102"/>
      <c r="EU226" s="146"/>
      <c r="EV226" s="102"/>
      <c r="EW226" s="102"/>
      <c r="EX226" s="146"/>
      <c r="EY226" s="102"/>
      <c r="EZ226" s="102"/>
      <c r="FA226" s="146"/>
    </row>
    <row r="227" spans="1:157" ht="13.35" customHeight="1">
      <c r="A227" s="3"/>
      <c r="B227" s="4" t="s">
        <v>162</v>
      </c>
      <c r="C227" s="4"/>
      <c r="D227" s="4"/>
      <c r="E227" s="82"/>
      <c r="F227" s="82"/>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102"/>
      <c r="AS227" s="102"/>
      <c r="AT227" s="102"/>
      <c r="AU227" s="102"/>
      <c r="AV227" s="102"/>
      <c r="AW227" s="102"/>
      <c r="AX227" s="102"/>
      <c r="AY227" s="102"/>
      <c r="AZ227" s="102"/>
      <c r="BA227" s="102"/>
      <c r="BB227" s="102"/>
      <c r="BC227" s="102"/>
      <c r="BD227" s="102"/>
      <c r="BE227" s="102"/>
      <c r="BF227" s="102"/>
      <c r="BG227" s="102"/>
      <c r="BH227" s="102"/>
      <c r="BI227" s="102"/>
      <c r="BJ227" s="102"/>
      <c r="BK227" s="102"/>
      <c r="BL227" s="102"/>
      <c r="BM227" s="102"/>
      <c r="BN227" s="102"/>
      <c r="BO227" s="102"/>
      <c r="BP227" s="102"/>
      <c r="BQ227" s="102"/>
      <c r="BR227" s="102"/>
      <c r="BS227" s="102"/>
      <c r="BT227" s="102"/>
      <c r="BU227" s="102"/>
      <c r="BV227" s="102"/>
      <c r="BW227" s="102"/>
      <c r="BX227" s="102"/>
      <c r="BY227" s="102"/>
      <c r="BZ227" s="102"/>
      <c r="CA227" s="102"/>
      <c r="CB227" s="102"/>
      <c r="CC227" s="102"/>
      <c r="CD227" s="102"/>
      <c r="CE227" s="102"/>
      <c r="CF227" s="102"/>
      <c r="CG227" s="102"/>
      <c r="CH227" s="102"/>
      <c r="CI227" s="102"/>
      <c r="CJ227" s="102"/>
      <c r="CK227" s="102"/>
      <c r="CL227" s="102"/>
      <c r="CM227" s="102"/>
      <c r="CN227" s="102"/>
      <c r="CO227" s="102"/>
      <c r="CP227" s="102"/>
      <c r="CQ227" s="102"/>
      <c r="CR227" s="102"/>
      <c r="CS227" s="102"/>
      <c r="CT227" s="102"/>
      <c r="CU227" s="102"/>
      <c r="CV227" s="102"/>
      <c r="CW227" s="102"/>
      <c r="CX227" s="102"/>
      <c r="CY227" s="102"/>
      <c r="CZ227" s="102"/>
      <c r="DA227" s="102"/>
      <c r="DB227" s="102"/>
      <c r="DC227" s="102"/>
      <c r="DD227" s="102"/>
      <c r="DE227" s="146"/>
      <c r="DF227" s="102"/>
      <c r="DG227" s="102"/>
      <c r="DH227" s="146"/>
      <c r="DI227" s="102"/>
      <c r="DJ227" s="102"/>
      <c r="DK227" s="146"/>
      <c r="DL227" s="102"/>
      <c r="DM227" s="102"/>
      <c r="DN227" s="146"/>
      <c r="DO227" s="102"/>
      <c r="DP227" s="102"/>
      <c r="DQ227" s="146"/>
      <c r="DR227" s="102"/>
      <c r="DS227" s="102"/>
      <c r="DT227" s="146"/>
      <c r="DU227" s="102"/>
      <c r="DV227" s="102"/>
      <c r="DW227" s="146"/>
      <c r="DX227" s="102"/>
      <c r="DY227" s="102"/>
      <c r="DZ227" s="146"/>
      <c r="EA227" s="102"/>
      <c r="EB227" s="102"/>
      <c r="EC227" s="146"/>
      <c r="ED227" s="102"/>
      <c r="EE227" s="102"/>
      <c r="EF227" s="146"/>
      <c r="EG227" s="102"/>
      <c r="EH227" s="102"/>
      <c r="EI227" s="146"/>
      <c r="EJ227" s="102"/>
      <c r="EK227" s="102"/>
      <c r="EL227" s="146"/>
      <c r="EM227" s="102"/>
      <c r="EN227" s="102"/>
      <c r="EO227" s="146"/>
      <c r="EP227" s="102"/>
      <c r="EQ227" s="102"/>
      <c r="ER227" s="146"/>
      <c r="ES227" s="102"/>
      <c r="ET227" s="102"/>
      <c r="EU227" s="146"/>
      <c r="EV227" s="102"/>
      <c r="EW227" s="102"/>
      <c r="EX227" s="146"/>
      <c r="EY227" s="102"/>
      <c r="EZ227" s="102"/>
      <c r="FA227" s="146"/>
    </row>
    <row r="228" spans="1:157" ht="13.35" customHeight="1">
      <c r="A228" s="3"/>
      <c r="B228" s="4" t="s">
        <v>162</v>
      </c>
      <c r="C228" s="4"/>
      <c r="D228" s="4"/>
      <c r="E228" s="82"/>
      <c r="F228" s="82"/>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102"/>
      <c r="AS228" s="102"/>
      <c r="AT228" s="102"/>
      <c r="AU228" s="102"/>
      <c r="AV228" s="102"/>
      <c r="AW228" s="102"/>
      <c r="AX228" s="102"/>
      <c r="AY228" s="102"/>
      <c r="AZ228" s="102"/>
      <c r="BA228" s="102"/>
      <c r="BB228" s="102"/>
      <c r="BC228" s="102"/>
      <c r="BD228" s="102"/>
      <c r="BE228" s="102"/>
      <c r="BF228" s="102"/>
      <c r="BG228" s="102"/>
      <c r="BH228" s="102"/>
      <c r="BI228" s="102"/>
      <c r="BJ228" s="102"/>
      <c r="BK228" s="102"/>
      <c r="BL228" s="102"/>
      <c r="BM228" s="102"/>
      <c r="BN228" s="102"/>
      <c r="BO228" s="102"/>
      <c r="BP228" s="102"/>
      <c r="BQ228" s="102"/>
      <c r="BR228" s="102"/>
      <c r="BS228" s="102"/>
      <c r="BT228" s="102"/>
      <c r="BU228" s="102"/>
      <c r="BV228" s="102"/>
      <c r="BW228" s="102"/>
      <c r="BX228" s="102"/>
      <c r="BY228" s="102"/>
      <c r="BZ228" s="102"/>
      <c r="CA228" s="102"/>
      <c r="CB228" s="102"/>
      <c r="CC228" s="102"/>
      <c r="CD228" s="102"/>
      <c r="CE228" s="102"/>
      <c r="CF228" s="102"/>
      <c r="CG228" s="102"/>
      <c r="CH228" s="102"/>
      <c r="CI228" s="102"/>
      <c r="CJ228" s="102"/>
      <c r="CK228" s="102"/>
      <c r="CL228" s="102"/>
      <c r="CM228" s="102"/>
      <c r="CN228" s="102"/>
      <c r="CO228" s="102"/>
      <c r="CP228" s="102"/>
      <c r="CQ228" s="102"/>
      <c r="CR228" s="102"/>
      <c r="CS228" s="102"/>
      <c r="CT228" s="102"/>
      <c r="CU228" s="102"/>
      <c r="CV228" s="102"/>
      <c r="CW228" s="102"/>
      <c r="CX228" s="102"/>
      <c r="CY228" s="102"/>
      <c r="CZ228" s="102"/>
      <c r="DA228" s="102"/>
      <c r="DB228" s="102"/>
      <c r="DC228" s="102"/>
      <c r="DD228" s="102"/>
      <c r="DE228" s="146"/>
      <c r="DF228" s="102"/>
      <c r="DG228" s="102"/>
      <c r="DH228" s="146"/>
      <c r="DI228" s="102"/>
      <c r="DJ228" s="102"/>
      <c r="DK228" s="146"/>
      <c r="DL228" s="102"/>
      <c r="DM228" s="102"/>
      <c r="DN228" s="146"/>
      <c r="DO228" s="102"/>
      <c r="DP228" s="102"/>
      <c r="DQ228" s="146"/>
      <c r="DR228" s="102"/>
      <c r="DS228" s="102"/>
      <c r="DT228" s="146"/>
      <c r="DU228" s="102"/>
      <c r="DV228" s="102"/>
      <c r="DW228" s="146"/>
      <c r="DX228" s="102"/>
      <c r="DY228" s="102"/>
      <c r="DZ228" s="146"/>
      <c r="EA228" s="102"/>
      <c r="EB228" s="102"/>
      <c r="EC228" s="146"/>
      <c r="ED228" s="102"/>
      <c r="EE228" s="102"/>
      <c r="EF228" s="146"/>
      <c r="EG228" s="102"/>
      <c r="EH228" s="102"/>
      <c r="EI228" s="146"/>
      <c r="EJ228" s="102"/>
      <c r="EK228" s="102"/>
      <c r="EL228" s="146"/>
      <c r="EM228" s="102"/>
      <c r="EN228" s="102"/>
      <c r="EO228" s="146"/>
      <c r="EP228" s="102"/>
      <c r="EQ228" s="102"/>
      <c r="ER228" s="146"/>
      <c r="ES228" s="102"/>
      <c r="ET228" s="102"/>
      <c r="EU228" s="146"/>
      <c r="EV228" s="102"/>
      <c r="EW228" s="102"/>
      <c r="EX228" s="146"/>
      <c r="EY228" s="102"/>
      <c r="EZ228" s="102"/>
      <c r="FA228" s="146"/>
    </row>
    <row r="229" spans="1:157" ht="13.35" customHeight="1">
      <c r="A229" s="3"/>
      <c r="B229" s="4" t="s">
        <v>162</v>
      </c>
      <c r="C229" s="4"/>
      <c r="D229" s="4"/>
      <c r="E229" s="82"/>
      <c r="F229" s="82"/>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102"/>
      <c r="AS229" s="102"/>
      <c r="AT229" s="102"/>
      <c r="AU229" s="102"/>
      <c r="AV229" s="102"/>
      <c r="AW229" s="102"/>
      <c r="AX229" s="102"/>
      <c r="AY229" s="102"/>
      <c r="AZ229" s="102"/>
      <c r="BA229" s="102"/>
      <c r="BB229" s="102"/>
      <c r="BC229" s="102"/>
      <c r="BD229" s="102"/>
      <c r="BE229" s="102"/>
      <c r="BF229" s="102"/>
      <c r="BG229" s="102"/>
      <c r="BH229" s="102"/>
      <c r="BI229" s="102"/>
      <c r="BJ229" s="102"/>
      <c r="BK229" s="102"/>
      <c r="BL229" s="102"/>
      <c r="BM229" s="102"/>
      <c r="BN229" s="102"/>
      <c r="BO229" s="102"/>
      <c r="BP229" s="102"/>
      <c r="BQ229" s="102"/>
      <c r="BR229" s="102"/>
      <c r="BS229" s="102"/>
      <c r="BT229" s="102"/>
      <c r="BU229" s="102"/>
      <c r="BV229" s="102"/>
      <c r="BW229" s="102"/>
      <c r="BX229" s="102"/>
      <c r="BY229" s="102"/>
      <c r="BZ229" s="102"/>
      <c r="CA229" s="102"/>
      <c r="CB229" s="102"/>
      <c r="CC229" s="102"/>
      <c r="CD229" s="102"/>
      <c r="CE229" s="102"/>
      <c r="CF229" s="102"/>
      <c r="CG229" s="102"/>
      <c r="CH229" s="102"/>
      <c r="CI229" s="102"/>
      <c r="CJ229" s="102"/>
      <c r="CK229" s="102"/>
      <c r="CL229" s="102"/>
      <c r="CM229" s="102"/>
      <c r="CN229" s="102"/>
      <c r="CO229" s="102"/>
      <c r="CP229" s="102"/>
      <c r="CQ229" s="102"/>
      <c r="CR229" s="102"/>
      <c r="CS229" s="102"/>
      <c r="CT229" s="102"/>
      <c r="CU229" s="102"/>
      <c r="CV229" s="102"/>
      <c r="CW229" s="102"/>
      <c r="CX229" s="102"/>
      <c r="CY229" s="102"/>
      <c r="CZ229" s="102"/>
      <c r="DA229" s="102"/>
      <c r="DB229" s="102"/>
      <c r="DC229" s="102"/>
      <c r="DD229" s="102"/>
      <c r="DE229" s="146"/>
      <c r="DF229" s="102"/>
      <c r="DG229" s="102"/>
      <c r="DH229" s="146"/>
      <c r="DI229" s="102"/>
      <c r="DJ229" s="102"/>
      <c r="DK229" s="146"/>
      <c r="DL229" s="102"/>
      <c r="DM229" s="102"/>
      <c r="DN229" s="146"/>
      <c r="DO229" s="102"/>
      <c r="DP229" s="102"/>
      <c r="DQ229" s="146"/>
      <c r="DR229" s="102"/>
      <c r="DS229" s="102"/>
      <c r="DT229" s="146"/>
      <c r="DU229" s="102"/>
      <c r="DV229" s="102"/>
      <c r="DW229" s="146"/>
      <c r="DX229" s="102"/>
      <c r="DY229" s="102"/>
      <c r="DZ229" s="146"/>
      <c r="EA229" s="102"/>
      <c r="EB229" s="102"/>
      <c r="EC229" s="146"/>
      <c r="ED229" s="102"/>
      <c r="EE229" s="102"/>
      <c r="EF229" s="146"/>
      <c r="EG229" s="102"/>
      <c r="EH229" s="102"/>
      <c r="EI229" s="146"/>
      <c r="EJ229" s="102"/>
      <c r="EK229" s="102"/>
      <c r="EL229" s="146"/>
      <c r="EM229" s="102"/>
      <c r="EN229" s="102"/>
      <c r="EO229" s="146"/>
      <c r="EP229" s="102"/>
      <c r="EQ229" s="102"/>
      <c r="ER229" s="146"/>
      <c r="ES229" s="102"/>
      <c r="ET229" s="102"/>
      <c r="EU229" s="146"/>
      <c r="EV229" s="102"/>
      <c r="EW229" s="102"/>
      <c r="EX229" s="146"/>
      <c r="EY229" s="102"/>
      <c r="EZ229" s="102"/>
      <c r="FA229" s="146"/>
    </row>
    <row r="230" spans="1:157" ht="13.35" customHeight="1">
      <c r="A230" s="3"/>
      <c r="B230" s="4" t="s">
        <v>162</v>
      </c>
      <c r="C230" s="4"/>
      <c r="D230" s="4"/>
      <c r="E230" s="82"/>
      <c r="F230" s="82"/>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102"/>
      <c r="AS230" s="102"/>
      <c r="AT230" s="102"/>
      <c r="AU230" s="102"/>
      <c r="AV230" s="102"/>
      <c r="AW230" s="102"/>
      <c r="AX230" s="102"/>
      <c r="AY230" s="102"/>
      <c r="AZ230" s="102"/>
      <c r="BA230" s="102"/>
      <c r="BB230" s="102"/>
      <c r="BC230" s="102"/>
      <c r="BD230" s="102"/>
      <c r="BE230" s="102"/>
      <c r="BF230" s="102"/>
      <c r="BG230" s="102"/>
      <c r="BH230" s="102"/>
      <c r="BI230" s="102"/>
      <c r="BJ230" s="102"/>
      <c r="BK230" s="102"/>
      <c r="BL230" s="102"/>
      <c r="BM230" s="102"/>
      <c r="BN230" s="102"/>
      <c r="BO230" s="102"/>
      <c r="BP230" s="102"/>
      <c r="BQ230" s="102"/>
      <c r="BR230" s="102"/>
      <c r="BS230" s="102"/>
      <c r="BT230" s="102"/>
      <c r="BU230" s="102"/>
      <c r="BV230" s="102"/>
      <c r="BW230" s="102"/>
      <c r="BX230" s="102"/>
      <c r="BY230" s="102"/>
      <c r="BZ230" s="102"/>
      <c r="CA230" s="102"/>
      <c r="CB230" s="102"/>
      <c r="CC230" s="102"/>
      <c r="CD230" s="102"/>
      <c r="CE230" s="102"/>
      <c r="CF230" s="102"/>
      <c r="CG230" s="102"/>
      <c r="CH230" s="102"/>
      <c r="CI230" s="102"/>
      <c r="CJ230" s="102"/>
      <c r="CK230" s="102"/>
      <c r="CL230" s="102"/>
      <c r="CM230" s="102"/>
      <c r="CN230" s="102"/>
      <c r="CO230" s="102"/>
      <c r="CP230" s="102"/>
      <c r="CQ230" s="102"/>
      <c r="CR230" s="102"/>
      <c r="CS230" s="102"/>
      <c r="CT230" s="102"/>
      <c r="CU230" s="102"/>
      <c r="CV230" s="102"/>
      <c r="CW230" s="102"/>
      <c r="CX230" s="102"/>
      <c r="CY230" s="102"/>
      <c r="CZ230" s="102"/>
      <c r="DA230" s="102"/>
      <c r="DB230" s="102"/>
      <c r="DC230" s="102"/>
      <c r="DD230" s="102"/>
      <c r="DE230" s="146"/>
      <c r="DF230" s="102"/>
      <c r="DG230" s="102"/>
      <c r="DH230" s="146"/>
      <c r="DI230" s="102"/>
      <c r="DJ230" s="102"/>
      <c r="DK230" s="146"/>
      <c r="DL230" s="102"/>
      <c r="DM230" s="102"/>
      <c r="DN230" s="146"/>
      <c r="DO230" s="102"/>
      <c r="DP230" s="102"/>
      <c r="DQ230" s="146"/>
      <c r="DR230" s="102"/>
      <c r="DS230" s="102"/>
      <c r="DT230" s="146"/>
      <c r="DU230" s="102"/>
      <c r="DV230" s="102"/>
      <c r="DW230" s="146"/>
      <c r="DX230" s="102"/>
      <c r="DY230" s="102"/>
      <c r="DZ230" s="146"/>
      <c r="EA230" s="102"/>
      <c r="EB230" s="102"/>
      <c r="EC230" s="146"/>
      <c r="ED230" s="102"/>
      <c r="EE230" s="102"/>
      <c r="EF230" s="146"/>
      <c r="EG230" s="102"/>
      <c r="EH230" s="102"/>
      <c r="EI230" s="146"/>
      <c r="EJ230" s="102"/>
      <c r="EK230" s="102"/>
      <c r="EL230" s="146"/>
      <c r="EM230" s="102"/>
      <c r="EN230" s="102"/>
      <c r="EO230" s="146"/>
      <c r="EP230" s="102"/>
      <c r="EQ230" s="102"/>
      <c r="ER230" s="146"/>
      <c r="ES230" s="102"/>
      <c r="ET230" s="102"/>
      <c r="EU230" s="146"/>
      <c r="EV230" s="102"/>
      <c r="EW230" s="102"/>
      <c r="EX230" s="146"/>
      <c r="EY230" s="102"/>
      <c r="EZ230" s="102"/>
      <c r="FA230" s="146"/>
    </row>
    <row r="231" spans="1:157" ht="13.35" customHeight="1">
      <c r="A231" s="3"/>
      <c r="B231" s="4" t="s">
        <v>162</v>
      </c>
      <c r="C231" s="4"/>
      <c r="D231" s="4"/>
      <c r="E231" s="82"/>
      <c r="F231" s="82"/>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102"/>
      <c r="AS231" s="102"/>
      <c r="AT231" s="102"/>
      <c r="AU231" s="102"/>
      <c r="AV231" s="102"/>
      <c r="AW231" s="102"/>
      <c r="AX231" s="102"/>
      <c r="AY231" s="102"/>
      <c r="AZ231" s="102"/>
      <c r="BA231" s="102"/>
      <c r="BB231" s="102"/>
      <c r="BC231" s="102"/>
      <c r="BD231" s="102"/>
      <c r="BE231" s="102"/>
      <c r="BF231" s="102"/>
      <c r="BG231" s="102"/>
      <c r="BH231" s="102"/>
      <c r="BI231" s="102"/>
      <c r="BJ231" s="102"/>
      <c r="BK231" s="102"/>
      <c r="BL231" s="102"/>
      <c r="BM231" s="102"/>
      <c r="BN231" s="102"/>
      <c r="BO231" s="102"/>
      <c r="BP231" s="102"/>
      <c r="BQ231" s="102"/>
      <c r="BR231" s="102"/>
      <c r="BS231" s="102"/>
      <c r="BT231" s="102"/>
      <c r="BU231" s="102"/>
      <c r="BV231" s="102"/>
      <c r="BW231" s="102"/>
      <c r="BX231" s="102"/>
      <c r="BY231" s="102"/>
      <c r="BZ231" s="102"/>
      <c r="CA231" s="102"/>
      <c r="CB231" s="102"/>
      <c r="CC231" s="102"/>
      <c r="CD231" s="102"/>
      <c r="CE231" s="102"/>
      <c r="CF231" s="102"/>
      <c r="CG231" s="102"/>
      <c r="CH231" s="102"/>
      <c r="CI231" s="102"/>
      <c r="CJ231" s="102"/>
      <c r="CK231" s="102"/>
      <c r="CL231" s="102"/>
      <c r="CM231" s="102"/>
      <c r="CN231" s="102"/>
      <c r="CO231" s="102"/>
      <c r="CP231" s="102"/>
      <c r="CQ231" s="102"/>
      <c r="CR231" s="102"/>
      <c r="CS231" s="102"/>
      <c r="CT231" s="102"/>
      <c r="CU231" s="102"/>
      <c r="CV231" s="102"/>
      <c r="CW231" s="102"/>
      <c r="CX231" s="102"/>
      <c r="CY231" s="102"/>
      <c r="CZ231" s="102"/>
      <c r="DA231" s="102"/>
      <c r="DB231" s="102"/>
      <c r="DC231" s="102"/>
      <c r="DD231" s="102"/>
      <c r="DE231" s="146"/>
      <c r="DF231" s="102"/>
      <c r="DG231" s="102"/>
      <c r="DH231" s="146"/>
      <c r="DI231" s="102"/>
      <c r="DJ231" s="102"/>
      <c r="DK231" s="146"/>
      <c r="DL231" s="102"/>
      <c r="DM231" s="102"/>
      <c r="DN231" s="146"/>
      <c r="DO231" s="102"/>
      <c r="DP231" s="102"/>
      <c r="DQ231" s="146"/>
      <c r="DR231" s="102"/>
      <c r="DS231" s="102"/>
      <c r="DT231" s="146"/>
      <c r="DU231" s="102"/>
      <c r="DV231" s="102"/>
      <c r="DW231" s="146"/>
      <c r="DX231" s="102"/>
      <c r="DY231" s="102"/>
      <c r="DZ231" s="146"/>
      <c r="EA231" s="102"/>
      <c r="EB231" s="102"/>
      <c r="EC231" s="146"/>
      <c r="ED231" s="102"/>
      <c r="EE231" s="102"/>
      <c r="EF231" s="146"/>
      <c r="EG231" s="102"/>
      <c r="EH231" s="102"/>
      <c r="EI231" s="146"/>
      <c r="EJ231" s="102"/>
      <c r="EK231" s="102"/>
      <c r="EL231" s="146"/>
      <c r="EM231" s="102"/>
      <c r="EN231" s="102"/>
      <c r="EO231" s="146"/>
      <c r="EP231" s="102"/>
      <c r="EQ231" s="102"/>
      <c r="ER231" s="146"/>
      <c r="ES231" s="102"/>
      <c r="ET231" s="102"/>
      <c r="EU231" s="146"/>
      <c r="EV231" s="102"/>
      <c r="EW231" s="102"/>
      <c r="EX231" s="146"/>
      <c r="EY231" s="102"/>
      <c r="EZ231" s="102"/>
      <c r="FA231" s="146"/>
    </row>
    <row r="232" spans="1:157" ht="13.35" customHeight="1">
      <c r="A232" s="3"/>
      <c r="B232" s="4" t="s">
        <v>162</v>
      </c>
      <c r="C232" s="4"/>
      <c r="D232" s="4"/>
      <c r="E232" s="82"/>
      <c r="F232" s="82"/>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102"/>
      <c r="AS232" s="102"/>
      <c r="AT232" s="102"/>
      <c r="AU232" s="102"/>
      <c r="AV232" s="102"/>
      <c r="AW232" s="102"/>
      <c r="AX232" s="102"/>
      <c r="AY232" s="102"/>
      <c r="AZ232" s="102"/>
      <c r="BA232" s="102"/>
      <c r="BB232" s="102"/>
      <c r="BC232" s="102"/>
      <c r="BD232" s="102"/>
      <c r="BE232" s="102"/>
      <c r="BF232" s="102"/>
      <c r="BG232" s="102"/>
      <c r="BH232" s="102"/>
      <c r="BI232" s="102"/>
      <c r="BJ232" s="102"/>
      <c r="BK232" s="102"/>
      <c r="BL232" s="102"/>
      <c r="BM232" s="102"/>
      <c r="BN232" s="102"/>
      <c r="BO232" s="102"/>
      <c r="BP232" s="102"/>
      <c r="BQ232" s="102"/>
      <c r="BR232" s="102"/>
      <c r="BS232" s="102"/>
      <c r="BT232" s="102"/>
      <c r="BU232" s="102"/>
      <c r="BV232" s="102"/>
      <c r="BW232" s="102"/>
      <c r="BX232" s="102"/>
      <c r="BY232" s="102"/>
      <c r="BZ232" s="102"/>
      <c r="CA232" s="102"/>
      <c r="CB232" s="102"/>
      <c r="CC232" s="102"/>
      <c r="CD232" s="102"/>
      <c r="CE232" s="102"/>
      <c r="CF232" s="102"/>
      <c r="CG232" s="102"/>
      <c r="CH232" s="102"/>
      <c r="CI232" s="102"/>
      <c r="CJ232" s="102"/>
      <c r="CK232" s="102"/>
      <c r="CL232" s="102"/>
      <c r="CM232" s="102"/>
      <c r="CN232" s="102"/>
      <c r="CO232" s="102"/>
      <c r="CP232" s="102"/>
      <c r="CQ232" s="102"/>
      <c r="CR232" s="102"/>
      <c r="CS232" s="102"/>
      <c r="CT232" s="102"/>
      <c r="CU232" s="102"/>
      <c r="CV232" s="102"/>
      <c r="CW232" s="102"/>
      <c r="CX232" s="102"/>
      <c r="CY232" s="102"/>
      <c r="CZ232" s="102"/>
      <c r="DA232" s="102"/>
      <c r="DB232" s="102"/>
      <c r="DC232" s="102"/>
      <c r="DD232" s="102"/>
      <c r="DE232" s="146"/>
      <c r="DF232" s="102"/>
      <c r="DG232" s="102"/>
      <c r="DH232" s="146"/>
      <c r="DI232" s="102"/>
      <c r="DJ232" s="102"/>
      <c r="DK232" s="146"/>
      <c r="DL232" s="102"/>
      <c r="DM232" s="102"/>
      <c r="DN232" s="146"/>
      <c r="DO232" s="102"/>
      <c r="DP232" s="102"/>
      <c r="DQ232" s="146"/>
      <c r="DR232" s="102"/>
      <c r="DS232" s="102"/>
      <c r="DT232" s="146"/>
      <c r="DU232" s="102"/>
      <c r="DV232" s="102"/>
      <c r="DW232" s="146"/>
      <c r="DX232" s="102"/>
      <c r="DY232" s="102"/>
      <c r="DZ232" s="146"/>
      <c r="EA232" s="102"/>
      <c r="EB232" s="102"/>
      <c r="EC232" s="146"/>
      <c r="ED232" s="102"/>
      <c r="EE232" s="102"/>
      <c r="EF232" s="146"/>
      <c r="EG232" s="102"/>
      <c r="EH232" s="102"/>
      <c r="EI232" s="146"/>
      <c r="EJ232" s="102"/>
      <c r="EK232" s="102"/>
      <c r="EL232" s="146"/>
      <c r="EM232" s="102"/>
      <c r="EN232" s="102"/>
      <c r="EO232" s="146"/>
      <c r="EP232" s="102"/>
      <c r="EQ232" s="102"/>
      <c r="ER232" s="146"/>
      <c r="ES232" s="102"/>
      <c r="ET232" s="102"/>
      <c r="EU232" s="146"/>
      <c r="EV232" s="102"/>
      <c r="EW232" s="102"/>
      <c r="EX232" s="146"/>
      <c r="EY232" s="102"/>
      <c r="EZ232" s="102"/>
      <c r="FA232" s="146"/>
    </row>
    <row r="233" spans="1:157" ht="13.35" customHeight="1">
      <c r="A233" s="3"/>
      <c r="B233" s="4" t="s">
        <v>162</v>
      </c>
      <c r="C233" s="4"/>
      <c r="D233" s="4"/>
      <c r="E233" s="82"/>
      <c r="F233" s="82"/>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102"/>
      <c r="AS233" s="102"/>
      <c r="AT233" s="102"/>
      <c r="AU233" s="102"/>
      <c r="AV233" s="102"/>
      <c r="AW233" s="102"/>
      <c r="AX233" s="102"/>
      <c r="AY233" s="102"/>
      <c r="AZ233" s="102"/>
      <c r="BA233" s="102"/>
      <c r="BB233" s="102"/>
      <c r="BC233" s="102"/>
      <c r="BD233" s="102"/>
      <c r="BE233" s="102"/>
      <c r="BF233" s="102"/>
      <c r="BG233" s="102"/>
      <c r="BH233" s="102"/>
      <c r="BI233" s="102"/>
      <c r="BJ233" s="102"/>
      <c r="BK233" s="102"/>
      <c r="BL233" s="102"/>
      <c r="BM233" s="102"/>
      <c r="BN233" s="102"/>
      <c r="BO233" s="102"/>
      <c r="BP233" s="102"/>
      <c r="BQ233" s="102"/>
      <c r="BR233" s="102"/>
      <c r="BS233" s="102"/>
      <c r="BT233" s="102"/>
      <c r="BU233" s="102"/>
      <c r="BV233" s="102"/>
      <c r="BW233" s="102"/>
      <c r="BX233" s="102"/>
      <c r="BY233" s="102"/>
      <c r="BZ233" s="102"/>
      <c r="CA233" s="102"/>
      <c r="CB233" s="102"/>
      <c r="CC233" s="102"/>
      <c r="CD233" s="102"/>
      <c r="CE233" s="102"/>
      <c r="CF233" s="102"/>
      <c r="CG233" s="102"/>
      <c r="CH233" s="102"/>
      <c r="CI233" s="102"/>
      <c r="CJ233" s="102"/>
      <c r="CK233" s="102"/>
      <c r="CL233" s="102"/>
      <c r="CM233" s="102"/>
      <c r="CN233" s="102"/>
      <c r="CO233" s="102"/>
      <c r="CP233" s="102"/>
      <c r="CQ233" s="102"/>
      <c r="CR233" s="102"/>
      <c r="CS233" s="102"/>
      <c r="CT233" s="102"/>
      <c r="CU233" s="102"/>
      <c r="CV233" s="102"/>
      <c r="CW233" s="102"/>
      <c r="CX233" s="102"/>
      <c r="CY233" s="102"/>
      <c r="CZ233" s="102"/>
      <c r="DA233" s="102"/>
      <c r="DB233" s="102"/>
      <c r="DC233" s="102"/>
      <c r="DD233" s="102"/>
      <c r="DE233" s="146"/>
      <c r="DF233" s="102"/>
      <c r="DG233" s="102"/>
      <c r="DH233" s="146"/>
      <c r="DI233" s="102"/>
      <c r="DJ233" s="102"/>
      <c r="DK233" s="146"/>
      <c r="DL233" s="102"/>
      <c r="DM233" s="102"/>
      <c r="DN233" s="146"/>
      <c r="DO233" s="102"/>
      <c r="DP233" s="102"/>
      <c r="DQ233" s="146"/>
      <c r="DR233" s="102"/>
      <c r="DS233" s="102"/>
      <c r="DT233" s="146"/>
      <c r="DU233" s="102"/>
      <c r="DV233" s="102"/>
      <c r="DW233" s="146"/>
      <c r="DX233" s="102"/>
      <c r="DY233" s="102"/>
      <c r="DZ233" s="146"/>
      <c r="EA233" s="102"/>
      <c r="EB233" s="102"/>
      <c r="EC233" s="146"/>
      <c r="ED233" s="102"/>
      <c r="EE233" s="102"/>
      <c r="EF233" s="146"/>
      <c r="EG233" s="102"/>
      <c r="EH233" s="102"/>
      <c r="EI233" s="146"/>
      <c r="EJ233" s="102"/>
      <c r="EK233" s="102"/>
      <c r="EL233" s="146"/>
      <c r="EM233" s="102"/>
      <c r="EN233" s="102"/>
      <c r="EO233" s="146"/>
      <c r="EP233" s="102"/>
      <c r="EQ233" s="102"/>
      <c r="ER233" s="146"/>
      <c r="ES233" s="102"/>
      <c r="ET233" s="102"/>
      <c r="EU233" s="146"/>
      <c r="EV233" s="102"/>
      <c r="EW233" s="102"/>
      <c r="EX233" s="146"/>
      <c r="EY233" s="102"/>
      <c r="EZ233" s="102"/>
      <c r="FA233" s="146"/>
    </row>
    <row r="234" spans="1:157" ht="13.35" customHeight="1">
      <c r="A234" s="3"/>
      <c r="B234" s="4" t="s">
        <v>162</v>
      </c>
      <c r="C234" s="4"/>
      <c r="D234" s="4"/>
      <c r="E234" s="82"/>
      <c r="F234" s="8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102"/>
      <c r="AS234" s="102"/>
      <c r="AT234" s="102"/>
      <c r="AU234" s="102"/>
      <c r="AV234" s="102"/>
      <c r="AW234" s="102"/>
      <c r="AX234" s="102"/>
      <c r="AY234" s="102"/>
      <c r="AZ234" s="102"/>
      <c r="BA234" s="102"/>
      <c r="BB234" s="102"/>
      <c r="BC234" s="102"/>
      <c r="BD234" s="102"/>
      <c r="BE234" s="102"/>
      <c r="BF234" s="102"/>
      <c r="BG234" s="102"/>
      <c r="BH234" s="102"/>
      <c r="BI234" s="102"/>
      <c r="BJ234" s="102"/>
      <c r="BK234" s="102"/>
      <c r="BL234" s="102"/>
      <c r="BM234" s="102"/>
      <c r="BN234" s="102"/>
      <c r="BO234" s="102"/>
      <c r="BP234" s="102"/>
      <c r="BQ234" s="102"/>
      <c r="BR234" s="102"/>
      <c r="BS234" s="102"/>
      <c r="BT234" s="102"/>
      <c r="BU234" s="102"/>
      <c r="BV234" s="102"/>
      <c r="BW234" s="102"/>
      <c r="BX234" s="102"/>
      <c r="BY234" s="102"/>
      <c r="BZ234" s="102"/>
      <c r="CA234" s="102"/>
      <c r="CB234" s="102"/>
      <c r="CC234" s="102"/>
      <c r="CD234" s="102"/>
      <c r="CE234" s="102"/>
      <c r="CF234" s="102"/>
      <c r="CG234" s="102"/>
      <c r="CH234" s="102"/>
      <c r="CI234" s="102"/>
      <c r="CJ234" s="102"/>
      <c r="CK234" s="102"/>
      <c r="CL234" s="102"/>
      <c r="CM234" s="102"/>
      <c r="CN234" s="102"/>
      <c r="CO234" s="102"/>
      <c r="CP234" s="102"/>
      <c r="CQ234" s="102"/>
      <c r="CR234" s="102"/>
      <c r="CS234" s="102"/>
      <c r="CT234" s="102"/>
      <c r="CU234" s="102"/>
      <c r="CV234" s="102"/>
      <c r="CW234" s="102"/>
      <c r="CX234" s="102"/>
      <c r="CY234" s="102"/>
      <c r="CZ234" s="102"/>
      <c r="DA234" s="102"/>
      <c r="DB234" s="102"/>
      <c r="DC234" s="102"/>
      <c r="DD234" s="102"/>
      <c r="DE234" s="146"/>
      <c r="DF234" s="102"/>
      <c r="DG234" s="102"/>
      <c r="DH234" s="146"/>
      <c r="DI234" s="102"/>
      <c r="DJ234" s="102"/>
      <c r="DK234" s="146"/>
      <c r="DL234" s="102"/>
      <c r="DM234" s="102"/>
      <c r="DN234" s="146"/>
      <c r="DO234" s="102"/>
      <c r="DP234" s="102"/>
      <c r="DQ234" s="146"/>
      <c r="DR234" s="102"/>
      <c r="DS234" s="102"/>
      <c r="DT234" s="146"/>
      <c r="DU234" s="102"/>
      <c r="DV234" s="102"/>
      <c r="DW234" s="146"/>
      <c r="DX234" s="102"/>
      <c r="DY234" s="102"/>
      <c r="DZ234" s="146"/>
      <c r="EA234" s="102"/>
      <c r="EB234" s="102"/>
      <c r="EC234" s="146"/>
      <c r="ED234" s="102"/>
      <c r="EE234" s="102"/>
      <c r="EF234" s="146"/>
      <c r="EG234" s="102"/>
      <c r="EH234" s="102"/>
      <c r="EI234" s="146"/>
      <c r="EJ234" s="102"/>
      <c r="EK234" s="102"/>
      <c r="EL234" s="146"/>
      <c r="EM234" s="102"/>
      <c r="EN234" s="102"/>
      <c r="EO234" s="146"/>
      <c r="EP234" s="102"/>
      <c r="EQ234" s="102"/>
      <c r="ER234" s="146"/>
      <c r="ES234" s="102"/>
      <c r="ET234" s="102"/>
      <c r="EU234" s="146"/>
      <c r="EV234" s="102"/>
      <c r="EW234" s="102"/>
      <c r="EX234" s="146"/>
      <c r="EY234" s="102"/>
      <c r="EZ234" s="102"/>
      <c r="FA234" s="146"/>
    </row>
    <row r="235" spans="1:157" ht="13.35" customHeight="1">
      <c r="A235" s="3"/>
      <c r="B235" s="4" t="s">
        <v>162</v>
      </c>
      <c r="C235" s="4"/>
      <c r="D235" s="4"/>
      <c r="E235" s="82"/>
      <c r="F235" s="8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102"/>
      <c r="AS235" s="102"/>
      <c r="AT235" s="102"/>
      <c r="AU235" s="102"/>
      <c r="AV235" s="102"/>
      <c r="AW235" s="102"/>
      <c r="AX235" s="102"/>
      <c r="AY235" s="102"/>
      <c r="AZ235" s="102"/>
      <c r="BA235" s="102"/>
      <c r="BB235" s="102"/>
      <c r="BC235" s="102"/>
      <c r="BD235" s="102"/>
      <c r="BE235" s="102"/>
      <c r="BF235" s="102"/>
      <c r="BG235" s="102"/>
      <c r="BH235" s="102"/>
      <c r="BI235" s="102"/>
      <c r="BJ235" s="102"/>
      <c r="BK235" s="102"/>
      <c r="BL235" s="102"/>
      <c r="BM235" s="102"/>
      <c r="BN235" s="102"/>
      <c r="BO235" s="102"/>
      <c r="BP235" s="102"/>
      <c r="BQ235" s="102"/>
      <c r="BR235" s="102"/>
      <c r="BS235" s="102"/>
      <c r="BT235" s="102"/>
      <c r="BU235" s="102"/>
      <c r="BV235" s="102"/>
      <c r="BW235" s="102"/>
      <c r="BX235" s="102"/>
      <c r="BY235" s="102"/>
      <c r="BZ235" s="102"/>
      <c r="CA235" s="102"/>
      <c r="CB235" s="102"/>
      <c r="CC235" s="102"/>
      <c r="CD235" s="102"/>
      <c r="CE235" s="102"/>
      <c r="CF235" s="102"/>
      <c r="CG235" s="102"/>
      <c r="CH235" s="102"/>
      <c r="CI235" s="102"/>
      <c r="CJ235" s="102"/>
      <c r="CK235" s="102"/>
      <c r="CL235" s="102"/>
      <c r="CM235" s="102"/>
      <c r="CN235" s="102"/>
      <c r="CO235" s="102"/>
      <c r="CP235" s="102"/>
      <c r="CQ235" s="102"/>
      <c r="CR235" s="102"/>
      <c r="CS235" s="102"/>
      <c r="CT235" s="102"/>
      <c r="CU235" s="102"/>
      <c r="CV235" s="102"/>
      <c r="CW235" s="102"/>
      <c r="CX235" s="102"/>
      <c r="CY235" s="102"/>
      <c r="CZ235" s="102"/>
      <c r="DA235" s="102"/>
      <c r="DB235" s="102"/>
      <c r="DC235" s="102"/>
      <c r="DD235" s="102"/>
      <c r="DE235" s="146"/>
      <c r="DF235" s="102"/>
      <c r="DG235" s="102"/>
      <c r="DH235" s="146"/>
      <c r="DI235" s="102"/>
      <c r="DJ235" s="102"/>
      <c r="DK235" s="146"/>
      <c r="DL235" s="102"/>
      <c r="DM235" s="102"/>
      <c r="DN235" s="146"/>
      <c r="DO235" s="102"/>
      <c r="DP235" s="102"/>
      <c r="DQ235" s="146"/>
      <c r="DR235" s="102"/>
      <c r="DS235" s="102"/>
      <c r="DT235" s="146"/>
      <c r="DU235" s="102"/>
      <c r="DV235" s="102"/>
      <c r="DW235" s="146"/>
      <c r="DX235" s="102"/>
      <c r="DY235" s="102"/>
      <c r="DZ235" s="146"/>
      <c r="EA235" s="102"/>
      <c r="EB235" s="102"/>
      <c r="EC235" s="146"/>
      <c r="ED235" s="102"/>
      <c r="EE235" s="102"/>
      <c r="EF235" s="146"/>
      <c r="EG235" s="102"/>
      <c r="EH235" s="102"/>
      <c r="EI235" s="146"/>
      <c r="EJ235" s="102"/>
      <c r="EK235" s="102"/>
      <c r="EL235" s="146"/>
      <c r="EM235" s="102"/>
      <c r="EN235" s="102"/>
      <c r="EO235" s="146"/>
      <c r="EP235" s="102"/>
      <c r="EQ235" s="102"/>
      <c r="ER235" s="146"/>
      <c r="ES235" s="102"/>
      <c r="ET235" s="102"/>
      <c r="EU235" s="146"/>
      <c r="EV235" s="102"/>
      <c r="EW235" s="102"/>
      <c r="EX235" s="146"/>
      <c r="EY235" s="102"/>
      <c r="EZ235" s="102"/>
      <c r="FA235" s="146"/>
    </row>
    <row r="236" spans="1:157" ht="13.35" customHeight="1">
      <c r="A236" s="3"/>
      <c r="B236" s="4" t="s">
        <v>162</v>
      </c>
      <c r="C236" s="4"/>
      <c r="D236" s="4"/>
      <c r="E236" s="82"/>
      <c r="F236" s="82"/>
      <c r="G236" s="82"/>
      <c r="H236" s="82"/>
      <c r="I236" s="82"/>
      <c r="J236" s="82"/>
      <c r="K236" s="82"/>
      <c r="L236" s="82"/>
      <c r="M236" s="82"/>
      <c r="N236" s="82"/>
      <c r="O236" s="82"/>
      <c r="P236" s="82"/>
      <c r="Q236" s="82"/>
      <c r="R236" s="82"/>
      <c r="S236" s="82"/>
      <c r="T236" s="82"/>
      <c r="U236" s="82"/>
      <c r="V236" s="82"/>
      <c r="W236" s="82"/>
      <c r="X236" s="82"/>
      <c r="Y236" s="102"/>
      <c r="Z236" s="82"/>
      <c r="AA236" s="82"/>
      <c r="AB236" s="102"/>
      <c r="AC236" s="82"/>
      <c r="AD236" s="82"/>
      <c r="AE236" s="102"/>
      <c r="AF236" s="82"/>
      <c r="AG236" s="82"/>
      <c r="AH236" s="102"/>
      <c r="AI236" s="82"/>
      <c r="AJ236" s="82"/>
      <c r="AK236" s="102"/>
      <c r="AL236" s="82"/>
      <c r="AM236" s="82"/>
      <c r="AN236" s="102"/>
      <c r="AO236" s="82"/>
      <c r="AP236" s="82"/>
      <c r="AQ236" s="102"/>
      <c r="AR236" s="82"/>
      <c r="AS236" s="82"/>
      <c r="AT236" s="102"/>
      <c r="AU236" s="102"/>
      <c r="AV236" s="102"/>
      <c r="AW236" s="102"/>
      <c r="AX236" s="102"/>
      <c r="AY236" s="102"/>
      <c r="AZ236" s="102"/>
      <c r="BA236" s="102"/>
      <c r="BB236" s="102"/>
      <c r="BC236" s="102"/>
      <c r="BD236" s="102"/>
      <c r="BE236" s="102"/>
      <c r="BF236" s="102"/>
      <c r="BG236" s="102"/>
      <c r="BH236" s="102"/>
      <c r="BI236" s="102"/>
      <c r="BJ236" s="102"/>
      <c r="BK236" s="102"/>
      <c r="BL236" s="102"/>
      <c r="BM236" s="102"/>
      <c r="BN236" s="102"/>
      <c r="BO236" s="102"/>
      <c r="BP236" s="102"/>
      <c r="BQ236" s="102"/>
      <c r="BR236" s="102"/>
      <c r="BS236" s="102"/>
      <c r="BT236" s="102"/>
      <c r="BU236" s="102"/>
      <c r="BV236" s="102"/>
      <c r="BW236" s="102"/>
      <c r="BX236" s="102"/>
      <c r="BY236" s="102"/>
      <c r="BZ236" s="102"/>
      <c r="CA236" s="102"/>
      <c r="CB236" s="102"/>
      <c r="CC236" s="102"/>
      <c r="CD236" s="102"/>
      <c r="CE236" s="102"/>
      <c r="CF236" s="102"/>
      <c r="CG236" s="102"/>
      <c r="CH236" s="102"/>
      <c r="CI236" s="102"/>
      <c r="CJ236" s="102"/>
      <c r="CK236" s="102"/>
      <c r="CL236" s="102"/>
      <c r="CM236" s="102"/>
      <c r="CN236" s="102"/>
      <c r="CO236" s="102"/>
      <c r="CP236" s="102"/>
      <c r="CQ236" s="102"/>
      <c r="CR236" s="102"/>
      <c r="CS236" s="102"/>
      <c r="CT236" s="102"/>
      <c r="CU236" s="102"/>
      <c r="CV236" s="102"/>
      <c r="CW236" s="102"/>
      <c r="CX236" s="102"/>
      <c r="CY236" s="102"/>
      <c r="CZ236" s="102"/>
      <c r="DA236" s="102"/>
      <c r="DB236" s="102"/>
      <c r="DC236" s="102"/>
      <c r="DD236" s="102"/>
      <c r="DE236" s="146"/>
      <c r="DF236" s="102"/>
      <c r="DG236" s="102"/>
      <c r="DH236" s="146"/>
      <c r="DI236" s="102"/>
      <c r="DJ236" s="102"/>
      <c r="DK236" s="146"/>
      <c r="DL236" s="102"/>
      <c r="DM236" s="102"/>
      <c r="DN236" s="146"/>
      <c r="DO236" s="102"/>
      <c r="DP236" s="102"/>
      <c r="DQ236" s="146"/>
      <c r="DR236" s="102"/>
      <c r="DS236" s="102"/>
      <c r="DT236" s="146"/>
      <c r="DU236" s="102"/>
      <c r="DV236" s="102"/>
      <c r="DW236" s="146"/>
      <c r="DX236" s="102"/>
      <c r="DY236" s="102"/>
      <c r="DZ236" s="146"/>
      <c r="EA236" s="102"/>
      <c r="EB236" s="102"/>
      <c r="EC236" s="146"/>
      <c r="ED236" s="102"/>
      <c r="EE236" s="102"/>
      <c r="EF236" s="146"/>
      <c r="EG236" s="102"/>
      <c r="EH236" s="102"/>
      <c r="EI236" s="146"/>
      <c r="EJ236" s="102"/>
      <c r="EK236" s="102"/>
      <c r="EL236" s="146"/>
      <c r="EM236" s="102"/>
      <c r="EN236" s="102"/>
      <c r="EO236" s="146"/>
      <c r="EP236" s="102"/>
      <c r="EQ236" s="102"/>
      <c r="ER236" s="146"/>
      <c r="ES236" s="102"/>
      <c r="ET236" s="102"/>
      <c r="EU236" s="146"/>
      <c r="EV236" s="102"/>
      <c r="EW236" s="102"/>
      <c r="EX236" s="146"/>
      <c r="EY236" s="102"/>
      <c r="EZ236" s="102"/>
      <c r="FA236" s="146"/>
    </row>
    <row r="237" spans="1:157" ht="13.35" customHeight="1">
      <c r="A237" s="3"/>
      <c r="B237" s="4" t="s">
        <v>162</v>
      </c>
      <c r="C237" s="4"/>
      <c r="D237" s="129"/>
      <c r="E237" s="82"/>
      <c r="F237" s="8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102"/>
      <c r="AU237" s="102"/>
      <c r="AV237" s="102"/>
      <c r="AW237" s="102"/>
      <c r="AX237" s="102"/>
      <c r="AY237" s="102"/>
      <c r="AZ237" s="102"/>
      <c r="BA237" s="102"/>
      <c r="BB237" s="102"/>
      <c r="BC237" s="102"/>
      <c r="BD237" s="102"/>
      <c r="BE237" s="102"/>
      <c r="BF237" s="102"/>
      <c r="BG237" s="102"/>
      <c r="BH237" s="102"/>
      <c r="BI237" s="102"/>
      <c r="BJ237" s="102"/>
      <c r="BK237" s="102"/>
      <c r="BL237" s="102"/>
      <c r="BM237" s="102"/>
      <c r="BN237" s="102"/>
      <c r="BO237" s="102"/>
      <c r="BP237" s="102"/>
      <c r="BQ237" s="102"/>
      <c r="BR237" s="102"/>
      <c r="BS237" s="102"/>
      <c r="BT237" s="102"/>
      <c r="BU237" s="102"/>
      <c r="BV237" s="102"/>
      <c r="BW237" s="102"/>
      <c r="BX237" s="102"/>
      <c r="BY237" s="102"/>
      <c r="BZ237" s="102"/>
      <c r="CA237" s="102"/>
      <c r="CB237" s="102"/>
      <c r="CC237" s="102"/>
      <c r="CD237" s="102"/>
      <c r="CE237" s="102"/>
      <c r="CF237" s="102"/>
      <c r="CG237" s="102"/>
      <c r="CH237" s="102"/>
      <c r="CI237" s="102"/>
      <c r="CJ237" s="102"/>
      <c r="CK237" s="102"/>
      <c r="CL237" s="102"/>
      <c r="CM237" s="102"/>
      <c r="CN237" s="102"/>
      <c r="CO237" s="102"/>
      <c r="CP237" s="102"/>
      <c r="CQ237" s="102"/>
      <c r="CR237" s="102"/>
      <c r="CS237" s="102"/>
      <c r="CT237" s="102"/>
      <c r="CU237" s="102"/>
      <c r="CV237" s="102"/>
      <c r="CW237" s="102"/>
      <c r="CX237" s="102"/>
      <c r="CY237" s="102"/>
      <c r="CZ237" s="102"/>
      <c r="DA237" s="102"/>
      <c r="DB237" s="102"/>
      <c r="DC237" s="102"/>
      <c r="DD237" s="102"/>
      <c r="DE237" s="146"/>
      <c r="DF237" s="102"/>
      <c r="DG237" s="102"/>
      <c r="DH237" s="146"/>
      <c r="DI237" s="102"/>
      <c r="DJ237" s="102"/>
      <c r="DK237" s="146"/>
      <c r="DL237" s="102"/>
      <c r="DM237" s="102"/>
      <c r="DN237" s="146"/>
      <c r="DO237" s="102"/>
      <c r="DP237" s="102"/>
      <c r="DQ237" s="146"/>
      <c r="DR237" s="102"/>
      <c r="DS237" s="102"/>
      <c r="DT237" s="146"/>
      <c r="DU237" s="102"/>
      <c r="DV237" s="102"/>
      <c r="DW237" s="146"/>
      <c r="DX237" s="102"/>
      <c r="DY237" s="102"/>
      <c r="DZ237" s="146"/>
      <c r="EA237" s="102"/>
      <c r="EB237" s="102"/>
      <c r="EC237" s="146"/>
      <c r="ED237" s="102"/>
      <c r="EE237" s="102"/>
      <c r="EF237" s="146"/>
      <c r="EG237" s="102"/>
      <c r="EH237" s="102"/>
      <c r="EI237" s="146"/>
      <c r="EJ237" s="102"/>
      <c r="EK237" s="102"/>
      <c r="EL237" s="146"/>
      <c r="EM237" s="102"/>
      <c r="EN237" s="102"/>
      <c r="EO237" s="146"/>
      <c r="EP237" s="102"/>
      <c r="EQ237" s="102"/>
      <c r="ER237" s="146"/>
      <c r="ES237" s="102"/>
      <c r="ET237" s="102"/>
      <c r="EU237" s="146"/>
      <c r="EV237" s="102"/>
      <c r="EW237" s="102"/>
      <c r="EX237" s="146"/>
      <c r="EY237" s="102"/>
      <c r="EZ237" s="102"/>
      <c r="FA237" s="146"/>
    </row>
    <row r="238" spans="1:157" ht="13.35" customHeight="1">
      <c r="A238" s="3"/>
      <c r="B238" s="4" t="s">
        <v>162</v>
      </c>
      <c r="C238" s="4"/>
      <c r="D238" s="129"/>
      <c r="E238" s="82"/>
      <c r="F238" s="8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102"/>
      <c r="AU238" s="102"/>
      <c r="AV238" s="102"/>
      <c r="AW238" s="102"/>
      <c r="AX238" s="102"/>
      <c r="AY238" s="102"/>
      <c r="AZ238" s="102"/>
      <c r="BA238" s="102"/>
      <c r="BB238" s="102"/>
      <c r="BC238" s="102"/>
      <c r="BD238" s="102"/>
      <c r="BE238" s="102"/>
      <c r="BF238" s="102"/>
      <c r="BG238" s="102"/>
      <c r="BH238" s="102"/>
      <c r="BI238" s="102"/>
      <c r="BJ238" s="102"/>
      <c r="BK238" s="102"/>
      <c r="BL238" s="102"/>
      <c r="BM238" s="102"/>
      <c r="BN238" s="102"/>
      <c r="BO238" s="102"/>
      <c r="BP238" s="102"/>
      <c r="BQ238" s="102"/>
      <c r="BR238" s="102"/>
      <c r="BS238" s="102"/>
      <c r="BT238" s="102"/>
      <c r="BU238" s="102"/>
      <c r="BV238" s="102"/>
      <c r="BW238" s="102"/>
      <c r="BX238" s="102"/>
      <c r="BY238" s="102"/>
      <c r="BZ238" s="102"/>
      <c r="CA238" s="102"/>
      <c r="CB238" s="102"/>
      <c r="CC238" s="102"/>
      <c r="CD238" s="102"/>
      <c r="CE238" s="102"/>
      <c r="CF238" s="102"/>
      <c r="CG238" s="102"/>
      <c r="CH238" s="102"/>
      <c r="CI238" s="102"/>
      <c r="CJ238" s="102"/>
      <c r="CK238" s="102"/>
      <c r="CL238" s="102"/>
      <c r="CM238" s="102"/>
      <c r="CN238" s="102"/>
      <c r="CO238" s="102"/>
      <c r="CP238" s="102"/>
      <c r="CQ238" s="102"/>
      <c r="CR238" s="102"/>
      <c r="CS238" s="102"/>
      <c r="CT238" s="102"/>
      <c r="CU238" s="102"/>
      <c r="CV238" s="102"/>
      <c r="CW238" s="102"/>
      <c r="CX238" s="102"/>
      <c r="CY238" s="102"/>
      <c r="CZ238" s="102"/>
      <c r="DA238" s="102"/>
      <c r="DB238" s="102"/>
      <c r="DC238" s="102"/>
      <c r="DD238" s="102"/>
      <c r="DE238" s="146"/>
      <c r="DF238" s="102"/>
      <c r="DG238" s="102"/>
      <c r="DH238" s="146"/>
      <c r="DI238" s="102"/>
      <c r="DJ238" s="102"/>
      <c r="DK238" s="146"/>
      <c r="DL238" s="102"/>
      <c r="DM238" s="102"/>
      <c r="DN238" s="146"/>
      <c r="DO238" s="102"/>
      <c r="DP238" s="102"/>
      <c r="DQ238" s="146"/>
      <c r="DR238" s="102"/>
      <c r="DS238" s="102"/>
      <c r="DT238" s="146"/>
      <c r="DU238" s="102"/>
      <c r="DV238" s="102"/>
      <c r="DW238" s="146"/>
      <c r="DX238" s="102"/>
      <c r="DY238" s="102"/>
      <c r="DZ238" s="146"/>
      <c r="EA238" s="102"/>
      <c r="EB238" s="102"/>
      <c r="EC238" s="146"/>
      <c r="ED238" s="102"/>
      <c r="EE238" s="102"/>
      <c r="EF238" s="146"/>
      <c r="EG238" s="102"/>
      <c r="EH238" s="102"/>
      <c r="EI238" s="146"/>
      <c r="EJ238" s="102"/>
      <c r="EK238" s="102"/>
      <c r="EL238" s="146"/>
      <c r="EM238" s="102"/>
      <c r="EN238" s="102"/>
      <c r="EO238" s="146"/>
      <c r="EP238" s="102"/>
      <c r="EQ238" s="102"/>
      <c r="ER238" s="146"/>
      <c r="ES238" s="102"/>
      <c r="ET238" s="102"/>
      <c r="EU238" s="146"/>
      <c r="EV238" s="102"/>
      <c r="EW238" s="102"/>
      <c r="EX238" s="146"/>
      <c r="EY238" s="102"/>
      <c r="EZ238" s="102"/>
      <c r="FA238" s="146"/>
    </row>
    <row r="239" spans="1:157" ht="13.35" customHeight="1">
      <c r="A239" s="3"/>
      <c r="B239" s="4" t="s">
        <v>162</v>
      </c>
      <c r="C239" s="4"/>
      <c r="D239" s="129"/>
      <c r="E239" s="82"/>
      <c r="F239" s="8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102"/>
      <c r="AU239" s="102"/>
      <c r="AV239" s="102"/>
      <c r="AW239" s="102"/>
      <c r="AX239" s="102"/>
      <c r="AY239" s="102"/>
      <c r="AZ239" s="102"/>
      <c r="BA239" s="102"/>
      <c r="BB239" s="102"/>
      <c r="BC239" s="102"/>
      <c r="BD239" s="102"/>
      <c r="BE239" s="102"/>
      <c r="BF239" s="102"/>
      <c r="BG239" s="102"/>
      <c r="BH239" s="102"/>
      <c r="BI239" s="102"/>
      <c r="BJ239" s="102"/>
      <c r="BK239" s="102"/>
      <c r="BL239" s="102"/>
      <c r="BM239" s="102"/>
      <c r="BN239" s="102"/>
      <c r="BO239" s="102"/>
      <c r="BP239" s="102"/>
      <c r="BQ239" s="102"/>
      <c r="BR239" s="102"/>
      <c r="BS239" s="102"/>
      <c r="BT239" s="102"/>
      <c r="BU239" s="102"/>
      <c r="BV239" s="102"/>
      <c r="BW239" s="102"/>
      <c r="BX239" s="102"/>
      <c r="BY239" s="102"/>
      <c r="BZ239" s="102"/>
      <c r="CA239" s="102"/>
      <c r="CB239" s="102"/>
      <c r="CC239" s="102"/>
      <c r="CD239" s="102"/>
      <c r="CE239" s="102"/>
      <c r="CF239" s="102"/>
      <c r="CG239" s="102"/>
      <c r="CH239" s="102"/>
      <c r="CI239" s="102"/>
      <c r="CJ239" s="102"/>
      <c r="CK239" s="102"/>
      <c r="CL239" s="102"/>
      <c r="CM239" s="102"/>
      <c r="CN239" s="102"/>
      <c r="CO239" s="102"/>
      <c r="CP239" s="102"/>
      <c r="CQ239" s="102"/>
      <c r="CR239" s="102"/>
      <c r="CS239" s="102"/>
      <c r="CT239" s="102"/>
      <c r="CU239" s="102"/>
      <c r="CV239" s="102"/>
      <c r="CW239" s="102"/>
      <c r="CX239" s="102"/>
      <c r="CY239" s="102"/>
      <c r="CZ239" s="102"/>
      <c r="DA239" s="102"/>
      <c r="DB239" s="102"/>
      <c r="DC239" s="102"/>
      <c r="DD239" s="102"/>
      <c r="DE239" s="146"/>
      <c r="DF239" s="102"/>
      <c r="DG239" s="102"/>
      <c r="DH239" s="146"/>
      <c r="DI239" s="102"/>
      <c r="DJ239" s="102"/>
      <c r="DK239" s="146"/>
      <c r="DL239" s="102"/>
      <c r="DM239" s="102"/>
      <c r="DN239" s="146"/>
      <c r="DO239" s="102"/>
      <c r="DP239" s="102"/>
      <c r="DQ239" s="146"/>
      <c r="DR239" s="102"/>
      <c r="DS239" s="102"/>
      <c r="DT239" s="146"/>
      <c r="DU239" s="102"/>
      <c r="DV239" s="102"/>
      <c r="DW239" s="146"/>
      <c r="DX239" s="102"/>
      <c r="DY239" s="102"/>
      <c r="DZ239" s="146"/>
      <c r="EA239" s="102"/>
      <c r="EB239" s="102"/>
      <c r="EC239" s="146"/>
      <c r="ED239" s="102"/>
      <c r="EE239" s="102"/>
      <c r="EF239" s="146"/>
      <c r="EG239" s="102"/>
      <c r="EH239" s="102"/>
      <c r="EI239" s="146"/>
      <c r="EJ239" s="102"/>
      <c r="EK239" s="102"/>
      <c r="EL239" s="146"/>
      <c r="EM239" s="102"/>
      <c r="EN239" s="102"/>
      <c r="EO239" s="146"/>
      <c r="EP239" s="102"/>
      <c r="EQ239" s="102"/>
      <c r="ER239" s="146"/>
      <c r="ES239" s="102"/>
      <c r="ET239" s="102"/>
      <c r="EU239" s="146"/>
      <c r="EV239" s="102"/>
      <c r="EW239" s="102"/>
      <c r="EX239" s="146"/>
      <c r="EY239" s="102"/>
      <c r="EZ239" s="102"/>
      <c r="FA239" s="146"/>
    </row>
    <row r="240" spans="1:157" ht="13.35" customHeight="1">
      <c r="A240" s="3"/>
      <c r="B240" s="4" t="s">
        <v>162</v>
      </c>
      <c r="C240" s="4"/>
      <c r="D240" s="4"/>
      <c r="E240" s="82"/>
      <c r="F240" s="8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c r="AV240" s="82"/>
      <c r="AW240" s="82"/>
      <c r="AX240" s="82"/>
      <c r="AY240" s="82"/>
      <c r="AZ240" s="82"/>
      <c r="BA240" s="82"/>
      <c r="BB240" s="82"/>
      <c r="BC240" s="82"/>
      <c r="BD240" s="82"/>
      <c r="BE240" s="82"/>
      <c r="BF240" s="82"/>
      <c r="BG240" s="82"/>
      <c r="BH240" s="82"/>
      <c r="BI240" s="82"/>
      <c r="BJ240" s="82"/>
      <c r="BK240" s="82"/>
      <c r="BL240" s="82"/>
      <c r="BM240" s="82"/>
      <c r="BN240" s="82"/>
      <c r="BO240" s="82"/>
      <c r="BP240" s="82"/>
      <c r="BQ240" s="82"/>
      <c r="BR240" s="82"/>
      <c r="BS240" s="82"/>
      <c r="BT240" s="82"/>
      <c r="BU240" s="82"/>
      <c r="BV240" s="82"/>
      <c r="BW240" s="82"/>
      <c r="BX240" s="82"/>
      <c r="BY240" s="82"/>
      <c r="BZ240" s="82"/>
      <c r="CA240" s="82"/>
      <c r="CB240" s="82"/>
      <c r="CC240" s="82"/>
      <c r="CD240" s="82"/>
      <c r="CE240" s="82"/>
      <c r="CF240" s="82"/>
      <c r="CG240" s="82"/>
      <c r="CH240" s="82"/>
      <c r="CI240" s="82"/>
      <c r="CJ240" s="82"/>
      <c r="CK240" s="82"/>
      <c r="CL240" s="82"/>
      <c r="CM240" s="82"/>
      <c r="CN240" s="82"/>
      <c r="CO240" s="82"/>
      <c r="CP240" s="82"/>
      <c r="CQ240" s="82"/>
      <c r="CR240" s="82"/>
      <c r="CS240" s="82"/>
      <c r="CT240" s="82"/>
      <c r="CU240" s="82"/>
      <c r="CV240" s="82"/>
      <c r="CW240" s="82"/>
      <c r="CX240" s="82"/>
      <c r="CY240" s="82"/>
      <c r="CZ240" s="82"/>
      <c r="DA240" s="82"/>
      <c r="DB240" s="82"/>
      <c r="DC240" s="82"/>
      <c r="DD240" s="82"/>
      <c r="DE240" s="138"/>
      <c r="DF240" s="82"/>
      <c r="DG240" s="82"/>
      <c r="DH240" s="138"/>
      <c r="DI240" s="82"/>
      <c r="DJ240" s="82"/>
      <c r="DK240" s="138"/>
      <c r="DL240" s="82"/>
      <c r="DM240" s="82"/>
      <c r="DN240" s="138"/>
      <c r="DO240" s="82"/>
      <c r="DP240" s="82"/>
      <c r="DQ240" s="138"/>
      <c r="DR240" s="82"/>
      <c r="DS240" s="82"/>
      <c r="DT240" s="138"/>
      <c r="DU240" s="82"/>
      <c r="DV240" s="82"/>
      <c r="DW240" s="138"/>
      <c r="DX240" s="82"/>
      <c r="DY240" s="82"/>
      <c r="DZ240" s="138"/>
      <c r="EA240" s="82"/>
      <c r="EB240" s="82"/>
      <c r="EC240" s="138"/>
      <c r="ED240" s="82"/>
      <c r="EE240" s="82"/>
      <c r="EF240" s="138"/>
      <c r="EG240" s="82"/>
      <c r="EH240" s="82"/>
      <c r="EI240" s="138"/>
      <c r="EJ240" s="82"/>
      <c r="EK240" s="82"/>
      <c r="EL240" s="138"/>
      <c r="EM240" s="82"/>
      <c r="EN240" s="82"/>
      <c r="EO240" s="138"/>
      <c r="EP240" s="82"/>
      <c r="EQ240" s="82"/>
      <c r="ER240" s="138"/>
      <c r="ES240" s="82"/>
      <c r="ET240" s="82"/>
      <c r="EU240" s="138"/>
      <c r="EV240" s="82"/>
      <c r="EW240" s="82"/>
      <c r="EX240" s="138"/>
      <c r="EY240" s="82"/>
      <c r="EZ240" s="82"/>
      <c r="FA240" s="138"/>
    </row>
    <row r="241" spans="1:157" ht="13.35" customHeight="1">
      <c r="A241" s="3"/>
      <c r="B241" s="4" t="s">
        <v>162</v>
      </c>
      <c r="C241" s="4"/>
      <c r="D241" s="4"/>
      <c r="E241" s="82"/>
      <c r="F241" s="82"/>
      <c r="G241" s="82"/>
      <c r="H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c r="AV241" s="82"/>
      <c r="AW241" s="82"/>
      <c r="AX241" s="82"/>
      <c r="AY241" s="82"/>
      <c r="AZ241" s="82"/>
      <c r="BA241" s="82"/>
      <c r="BB241" s="82"/>
      <c r="BC241" s="82"/>
      <c r="BD241" s="82"/>
      <c r="BE241" s="82"/>
      <c r="BF241" s="82"/>
      <c r="BG241" s="82"/>
      <c r="BH241" s="82"/>
      <c r="BI241" s="82"/>
      <c r="BJ241" s="82"/>
      <c r="BK241" s="82"/>
      <c r="BL241" s="82"/>
      <c r="BM241" s="82"/>
      <c r="BN241" s="82"/>
      <c r="BO241" s="82"/>
      <c r="BP241" s="82"/>
      <c r="BQ241" s="82"/>
      <c r="BR241" s="82"/>
      <c r="BS241" s="82"/>
      <c r="BT241" s="82"/>
      <c r="BU241" s="82"/>
      <c r="BV241" s="82"/>
      <c r="BW241" s="82"/>
      <c r="BX241" s="82"/>
      <c r="BY241" s="82"/>
      <c r="BZ241" s="82"/>
      <c r="CA241" s="82"/>
      <c r="CB241" s="82"/>
      <c r="CC241" s="82"/>
      <c r="CD241" s="82"/>
      <c r="CE241" s="82"/>
      <c r="CF241" s="82"/>
      <c r="CG241" s="82"/>
      <c r="CH241" s="82"/>
      <c r="CI241" s="82"/>
      <c r="CJ241" s="82"/>
      <c r="CK241" s="82"/>
      <c r="CL241" s="82"/>
      <c r="CM241" s="82"/>
      <c r="CN241" s="82"/>
      <c r="CO241" s="82"/>
      <c r="CP241" s="82"/>
      <c r="CQ241" s="82"/>
      <c r="CR241" s="82"/>
      <c r="CS241" s="82"/>
      <c r="CT241" s="82"/>
      <c r="CU241" s="82"/>
      <c r="CV241" s="82"/>
      <c r="CW241" s="82"/>
      <c r="CX241" s="82"/>
      <c r="CY241" s="82"/>
      <c r="CZ241" s="82"/>
      <c r="DA241" s="82"/>
      <c r="DB241" s="82"/>
      <c r="DC241" s="82"/>
      <c r="DD241" s="82"/>
      <c r="DE241" s="138"/>
      <c r="DF241" s="82"/>
      <c r="DG241" s="82"/>
      <c r="DH241" s="138"/>
      <c r="DI241" s="82"/>
      <c r="DJ241" s="82"/>
      <c r="DK241" s="138"/>
      <c r="DL241" s="82"/>
      <c r="DM241" s="82"/>
      <c r="DN241" s="138"/>
      <c r="DO241" s="82"/>
      <c r="DP241" s="82"/>
      <c r="DQ241" s="138"/>
      <c r="DR241" s="82"/>
      <c r="DS241" s="82"/>
      <c r="DT241" s="138"/>
      <c r="DU241" s="82"/>
      <c r="DV241" s="82"/>
      <c r="DW241" s="138"/>
      <c r="DX241" s="82"/>
      <c r="DY241" s="82"/>
      <c r="DZ241" s="138"/>
      <c r="EA241" s="82"/>
      <c r="EB241" s="82"/>
      <c r="EC241" s="138"/>
      <c r="ED241" s="82"/>
      <c r="EE241" s="82"/>
      <c r="EF241" s="138"/>
      <c r="EG241" s="82"/>
      <c r="EH241" s="82"/>
      <c r="EI241" s="138"/>
      <c r="EJ241" s="82"/>
      <c r="EK241" s="82"/>
      <c r="EL241" s="138"/>
      <c r="EM241" s="82"/>
      <c r="EN241" s="82"/>
      <c r="EO241" s="138"/>
      <c r="EP241" s="82"/>
      <c r="EQ241" s="82"/>
      <c r="ER241" s="138"/>
      <c r="ES241" s="82"/>
      <c r="ET241" s="82"/>
      <c r="EU241" s="138"/>
      <c r="EV241" s="82"/>
      <c r="EW241" s="82"/>
      <c r="EX241" s="138"/>
      <c r="EY241" s="82"/>
      <c r="EZ241" s="82"/>
      <c r="FA241" s="138"/>
    </row>
    <row r="242" spans="1:157" ht="13.35" customHeight="1">
      <c r="A242" s="3"/>
      <c r="B242" s="4" t="s">
        <v>162</v>
      </c>
      <c r="C242" s="4"/>
      <c r="D242" s="4"/>
      <c r="E242" s="82"/>
      <c r="F242" s="82"/>
      <c r="G242" s="82"/>
      <c r="H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c r="AV242" s="82"/>
      <c r="AW242" s="82"/>
      <c r="AX242" s="82"/>
      <c r="AY242" s="82"/>
      <c r="AZ242" s="82"/>
      <c r="BA242" s="82"/>
      <c r="BB242" s="82"/>
      <c r="BC242" s="82"/>
      <c r="BD242" s="82"/>
      <c r="BE242" s="82"/>
      <c r="BF242" s="82"/>
      <c r="BG242" s="82"/>
      <c r="BH242" s="82"/>
      <c r="BI242" s="82"/>
      <c r="BJ242" s="82"/>
      <c r="BK242" s="82"/>
      <c r="BL242" s="82"/>
      <c r="BM242" s="82"/>
      <c r="BN242" s="82"/>
      <c r="BO242" s="82"/>
      <c r="BP242" s="82"/>
      <c r="BQ242" s="82"/>
      <c r="BR242" s="82"/>
      <c r="BS242" s="82"/>
      <c r="BT242" s="82"/>
      <c r="BU242" s="82"/>
      <c r="BV242" s="82"/>
      <c r="BW242" s="82"/>
      <c r="BX242" s="82"/>
      <c r="BY242" s="82"/>
      <c r="BZ242" s="82"/>
      <c r="CA242" s="82"/>
      <c r="CB242" s="82"/>
      <c r="CC242" s="82"/>
      <c r="CD242" s="82"/>
      <c r="CE242" s="82"/>
      <c r="CF242" s="82"/>
      <c r="CG242" s="82"/>
      <c r="CH242" s="82"/>
      <c r="CI242" s="82"/>
      <c r="CJ242" s="82"/>
      <c r="CK242" s="82"/>
      <c r="CL242" s="82"/>
      <c r="CM242" s="82"/>
      <c r="CN242" s="82"/>
      <c r="CO242" s="82"/>
      <c r="CP242" s="82"/>
      <c r="CQ242" s="82"/>
      <c r="CR242" s="82"/>
      <c r="CS242" s="82"/>
      <c r="CT242" s="82"/>
      <c r="CU242" s="82"/>
      <c r="CV242" s="82"/>
      <c r="CW242" s="82"/>
      <c r="CX242" s="82"/>
      <c r="CY242" s="82"/>
      <c r="CZ242" s="82"/>
      <c r="DA242" s="82"/>
      <c r="DB242" s="82"/>
      <c r="DC242" s="82"/>
      <c r="DD242" s="82"/>
      <c r="DE242" s="138"/>
      <c r="DF242" s="82"/>
      <c r="DG242" s="82"/>
      <c r="DH242" s="138"/>
      <c r="DI242" s="82"/>
      <c r="DJ242" s="82"/>
      <c r="DK242" s="138"/>
      <c r="DL242" s="82"/>
      <c r="DM242" s="82"/>
      <c r="DN242" s="138"/>
      <c r="DO242" s="82"/>
      <c r="DP242" s="82"/>
      <c r="DQ242" s="138"/>
      <c r="DR242" s="82"/>
      <c r="DS242" s="82"/>
      <c r="DT242" s="138"/>
      <c r="DU242" s="82"/>
      <c r="DV242" s="82"/>
      <c r="DW242" s="138"/>
      <c r="DX242" s="82"/>
      <c r="DY242" s="82"/>
      <c r="DZ242" s="138"/>
      <c r="EA242" s="82"/>
      <c r="EB242" s="82"/>
      <c r="EC242" s="138"/>
      <c r="ED242" s="82"/>
      <c r="EE242" s="82"/>
      <c r="EF242" s="138"/>
      <c r="EG242" s="82"/>
      <c r="EH242" s="82"/>
      <c r="EI242" s="138"/>
      <c r="EJ242" s="82"/>
      <c r="EK242" s="82"/>
      <c r="EL242" s="138"/>
      <c r="EM242" s="82"/>
      <c r="EN242" s="82"/>
      <c r="EO242" s="138"/>
      <c r="EP242" s="82"/>
      <c r="EQ242" s="82"/>
      <c r="ER242" s="138"/>
      <c r="ES242" s="82"/>
      <c r="ET242" s="82"/>
      <c r="EU242" s="138"/>
      <c r="EV242" s="82"/>
      <c r="EW242" s="82"/>
      <c r="EX242" s="138"/>
      <c r="EY242" s="82"/>
      <c r="EZ242" s="82"/>
      <c r="FA242" s="138"/>
    </row>
    <row r="243" spans="1:157" ht="13.35" customHeight="1">
      <c r="A243" s="3"/>
      <c r="B243" s="4" t="s">
        <v>162</v>
      </c>
      <c r="C243" s="4"/>
      <c r="D243" s="4"/>
      <c r="E243" s="82"/>
      <c r="F243" s="8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c r="AV243" s="82"/>
      <c r="AW243" s="82"/>
      <c r="AX243" s="82"/>
      <c r="AY243" s="82"/>
      <c r="AZ243" s="82"/>
      <c r="BA243" s="82"/>
      <c r="BB243" s="82"/>
      <c r="BC243" s="82"/>
      <c r="BD243" s="82"/>
      <c r="BE243" s="82"/>
      <c r="BF243" s="82"/>
      <c r="BG243" s="82"/>
      <c r="BH243" s="82"/>
      <c r="BI243" s="82"/>
      <c r="BJ243" s="82"/>
      <c r="BK243" s="82"/>
      <c r="BL243" s="82"/>
      <c r="BM243" s="82"/>
      <c r="BN243" s="82"/>
      <c r="BO243" s="82"/>
      <c r="BP243" s="82"/>
      <c r="BQ243" s="82"/>
      <c r="BR243" s="82"/>
      <c r="BS243" s="82"/>
      <c r="BT243" s="82"/>
      <c r="BU243" s="82"/>
      <c r="BV243" s="82"/>
      <c r="BW243" s="82"/>
      <c r="BX243" s="82"/>
      <c r="BY243" s="82"/>
      <c r="BZ243" s="82"/>
      <c r="CA243" s="82"/>
      <c r="CB243" s="82"/>
      <c r="CC243" s="82"/>
      <c r="CD243" s="82"/>
      <c r="CE243" s="82"/>
      <c r="CF243" s="82"/>
      <c r="CG243" s="82"/>
      <c r="CH243" s="82"/>
      <c r="CI243" s="82"/>
      <c r="CJ243" s="82"/>
      <c r="CK243" s="82"/>
      <c r="CL243" s="82"/>
      <c r="CM243" s="82"/>
      <c r="CN243" s="82"/>
      <c r="CO243" s="82"/>
      <c r="CP243" s="82"/>
      <c r="CQ243" s="82"/>
      <c r="CR243" s="82"/>
      <c r="CS243" s="82"/>
      <c r="CT243" s="82"/>
      <c r="CU243" s="82"/>
      <c r="CV243" s="82"/>
      <c r="CW243" s="82"/>
      <c r="CX243" s="82"/>
      <c r="CY243" s="82"/>
      <c r="CZ243" s="82"/>
      <c r="DA243" s="82"/>
      <c r="DB243" s="82"/>
      <c r="DC243" s="82"/>
      <c r="DD243" s="82"/>
      <c r="DE243" s="138"/>
      <c r="DF243" s="82"/>
      <c r="DG243" s="82"/>
      <c r="DH243" s="138"/>
      <c r="DI243" s="82"/>
      <c r="DJ243" s="82"/>
      <c r="DK243" s="138"/>
      <c r="DL243" s="82"/>
      <c r="DM243" s="82"/>
      <c r="DN243" s="138"/>
      <c r="DO243" s="82"/>
      <c r="DP243" s="82"/>
      <c r="DQ243" s="138"/>
      <c r="DR243" s="82"/>
      <c r="DS243" s="82"/>
      <c r="DT243" s="138"/>
      <c r="DU243" s="82"/>
      <c r="DV243" s="82"/>
      <c r="DW243" s="138"/>
      <c r="DX243" s="82"/>
      <c r="DY243" s="82"/>
      <c r="DZ243" s="138"/>
      <c r="EA243" s="82"/>
      <c r="EB243" s="82"/>
      <c r="EC243" s="138"/>
      <c r="ED243" s="82"/>
      <c r="EE243" s="82"/>
      <c r="EF243" s="138"/>
      <c r="EG243" s="82"/>
      <c r="EH243" s="82"/>
      <c r="EI243" s="138"/>
      <c r="EJ243" s="82"/>
      <c r="EK243" s="82"/>
      <c r="EL243" s="138"/>
      <c r="EM243" s="82"/>
      <c r="EN243" s="82"/>
      <c r="EO243" s="138"/>
      <c r="EP243" s="82"/>
      <c r="EQ243" s="82"/>
      <c r="ER243" s="138"/>
      <c r="ES243" s="82"/>
      <c r="ET243" s="82"/>
      <c r="EU243" s="138"/>
      <c r="EV243" s="82"/>
      <c r="EW243" s="82"/>
      <c r="EX243" s="138"/>
      <c r="EY243" s="82"/>
      <c r="EZ243" s="82"/>
      <c r="FA243" s="138"/>
    </row>
    <row r="244" spans="1:157" ht="13.35" customHeight="1">
      <c r="A244" s="3"/>
      <c r="B244" s="4" t="s">
        <v>162</v>
      </c>
      <c r="C244" s="4"/>
      <c r="D244" s="4"/>
      <c r="E244" s="82"/>
      <c r="F244" s="8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c r="AV244" s="82"/>
      <c r="AW244" s="82"/>
      <c r="AX244" s="82"/>
      <c r="AY244" s="82"/>
      <c r="AZ244" s="82"/>
      <c r="BA244" s="82"/>
      <c r="BB244" s="82"/>
      <c r="BC244" s="82"/>
      <c r="BD244" s="82"/>
      <c r="BE244" s="82"/>
      <c r="BF244" s="82"/>
      <c r="BG244" s="82"/>
      <c r="BH244" s="82"/>
      <c r="BI244" s="82"/>
      <c r="BJ244" s="82"/>
      <c r="BK244" s="82"/>
      <c r="BL244" s="82"/>
      <c r="BM244" s="82"/>
      <c r="BN244" s="82"/>
      <c r="BO244" s="82"/>
      <c r="BP244" s="82"/>
      <c r="BQ244" s="82"/>
      <c r="BR244" s="82"/>
      <c r="BS244" s="82"/>
      <c r="BT244" s="82"/>
      <c r="BU244" s="82"/>
      <c r="BV244" s="82"/>
      <c r="BW244" s="82"/>
      <c r="BX244" s="82"/>
      <c r="BY244" s="82"/>
      <c r="BZ244" s="82"/>
      <c r="CA244" s="82"/>
      <c r="CB244" s="82"/>
      <c r="CC244" s="82"/>
      <c r="CD244" s="82"/>
      <c r="CE244" s="82"/>
      <c r="CF244" s="82"/>
      <c r="CG244" s="82"/>
      <c r="CH244" s="82"/>
      <c r="CI244" s="82"/>
      <c r="CJ244" s="82"/>
      <c r="CK244" s="82"/>
      <c r="CL244" s="82"/>
      <c r="CM244" s="82"/>
      <c r="CN244" s="82"/>
      <c r="CO244" s="82"/>
      <c r="CP244" s="82"/>
      <c r="CQ244" s="82"/>
      <c r="CR244" s="82"/>
      <c r="CS244" s="82"/>
      <c r="CT244" s="82"/>
      <c r="CU244" s="82"/>
      <c r="CV244" s="82"/>
      <c r="CW244" s="82"/>
      <c r="CX244" s="82"/>
      <c r="CY244" s="82"/>
      <c r="CZ244" s="82"/>
      <c r="DA244" s="82"/>
      <c r="DB244" s="82"/>
      <c r="DC244" s="82"/>
      <c r="DD244" s="82"/>
      <c r="DE244" s="138"/>
      <c r="DF244" s="82"/>
      <c r="DG244" s="82"/>
      <c r="DH244" s="138"/>
      <c r="DI244" s="82"/>
      <c r="DJ244" s="82"/>
      <c r="DK244" s="138"/>
      <c r="DL244" s="82"/>
      <c r="DM244" s="82"/>
      <c r="DN244" s="138"/>
      <c r="DO244" s="82"/>
      <c r="DP244" s="82"/>
      <c r="DQ244" s="138"/>
      <c r="DR244" s="82"/>
      <c r="DS244" s="82"/>
      <c r="DT244" s="138"/>
      <c r="DU244" s="82"/>
      <c r="DV244" s="82"/>
      <c r="DW244" s="138"/>
      <c r="DX244" s="82"/>
      <c r="DY244" s="82"/>
      <c r="DZ244" s="138"/>
      <c r="EA244" s="82"/>
      <c r="EB244" s="82"/>
      <c r="EC244" s="138"/>
      <c r="ED244" s="82"/>
      <c r="EE244" s="82"/>
      <c r="EF244" s="138"/>
      <c r="EG244" s="82"/>
      <c r="EH244" s="82"/>
      <c r="EI244" s="138"/>
      <c r="EJ244" s="82"/>
      <c r="EK244" s="82"/>
      <c r="EL244" s="138"/>
      <c r="EM244" s="82"/>
      <c r="EN244" s="82"/>
      <c r="EO244" s="138"/>
      <c r="EP244" s="82"/>
      <c r="EQ244" s="82"/>
      <c r="ER244" s="138"/>
      <c r="ES244" s="82"/>
      <c r="ET244" s="82"/>
      <c r="EU244" s="138"/>
      <c r="EV244" s="82"/>
      <c r="EW244" s="82"/>
      <c r="EX244" s="138"/>
      <c r="EY244" s="82"/>
      <c r="EZ244" s="82"/>
      <c r="FA244" s="138"/>
    </row>
    <row r="245" spans="1:157" ht="13.35" customHeight="1">
      <c r="A245" s="3"/>
      <c r="B245" s="4" t="s">
        <v>162</v>
      </c>
      <c r="C245" s="4"/>
      <c r="D245" s="4"/>
      <c r="E245" s="82"/>
      <c r="F245" s="8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c r="AV245" s="82"/>
      <c r="AW245" s="82"/>
      <c r="AX245" s="82"/>
      <c r="AY245" s="82"/>
      <c r="AZ245" s="82"/>
      <c r="BA245" s="82"/>
      <c r="BB245" s="82"/>
      <c r="BC245" s="82"/>
      <c r="BD245" s="82"/>
      <c r="BE245" s="82"/>
      <c r="BF245" s="82"/>
      <c r="BG245" s="82"/>
      <c r="BH245" s="82"/>
      <c r="BI245" s="82"/>
      <c r="BJ245" s="82"/>
      <c r="BK245" s="82"/>
      <c r="BL245" s="82"/>
      <c r="BM245" s="82"/>
      <c r="BN245" s="82"/>
      <c r="BO245" s="82"/>
      <c r="BP245" s="82"/>
      <c r="BQ245" s="82"/>
      <c r="BR245" s="82"/>
      <c r="BS245" s="82"/>
      <c r="BT245" s="82"/>
      <c r="BU245" s="82"/>
      <c r="BV245" s="82"/>
      <c r="BW245" s="82"/>
      <c r="BX245" s="82"/>
      <c r="BY245" s="82"/>
      <c r="BZ245" s="82"/>
      <c r="CA245" s="82"/>
      <c r="CB245" s="82"/>
      <c r="CC245" s="82"/>
      <c r="CD245" s="82"/>
      <c r="CE245" s="82"/>
      <c r="CF245" s="82"/>
      <c r="CG245" s="82"/>
      <c r="CH245" s="82"/>
      <c r="CI245" s="82"/>
      <c r="CJ245" s="82"/>
      <c r="CK245" s="82"/>
      <c r="CL245" s="82"/>
      <c r="CM245" s="82"/>
      <c r="CN245" s="82"/>
      <c r="CO245" s="82"/>
      <c r="CP245" s="82"/>
      <c r="CQ245" s="82"/>
      <c r="CR245" s="82"/>
      <c r="CS245" s="82"/>
      <c r="CT245" s="82"/>
      <c r="CU245" s="82"/>
      <c r="CV245" s="82"/>
      <c r="CW245" s="82"/>
      <c r="CX245" s="82"/>
      <c r="CY245" s="82"/>
      <c r="CZ245" s="82"/>
      <c r="DA245" s="82"/>
      <c r="DB245" s="82"/>
      <c r="DC245" s="82"/>
      <c r="DD245" s="82"/>
      <c r="DE245" s="138"/>
      <c r="DF245" s="82"/>
      <c r="DG245" s="82"/>
      <c r="DH245" s="138"/>
      <c r="DI245" s="82"/>
      <c r="DJ245" s="82"/>
      <c r="DK245" s="138"/>
      <c r="DL245" s="82"/>
      <c r="DM245" s="82"/>
      <c r="DN245" s="138"/>
      <c r="DO245" s="82"/>
      <c r="DP245" s="82"/>
      <c r="DQ245" s="138"/>
      <c r="DR245" s="82"/>
      <c r="DS245" s="82"/>
      <c r="DT245" s="138"/>
      <c r="DU245" s="82"/>
      <c r="DV245" s="82"/>
      <c r="DW245" s="138"/>
      <c r="DX245" s="82"/>
      <c r="DY245" s="82"/>
      <c r="DZ245" s="138"/>
      <c r="EA245" s="82"/>
      <c r="EB245" s="82"/>
      <c r="EC245" s="138"/>
      <c r="ED245" s="82"/>
      <c r="EE245" s="82"/>
      <c r="EF245" s="138"/>
      <c r="EG245" s="82"/>
      <c r="EH245" s="82"/>
      <c r="EI245" s="138"/>
      <c r="EJ245" s="82"/>
      <c r="EK245" s="82"/>
      <c r="EL245" s="138"/>
      <c r="EM245" s="82"/>
      <c r="EN245" s="82"/>
      <c r="EO245" s="138"/>
      <c r="EP245" s="82"/>
      <c r="EQ245" s="82"/>
      <c r="ER245" s="138"/>
      <c r="ES245" s="82"/>
      <c r="ET245" s="82"/>
      <c r="EU245" s="138"/>
      <c r="EV245" s="82"/>
      <c r="EW245" s="82"/>
      <c r="EX245" s="138"/>
      <c r="EY245" s="82"/>
      <c r="EZ245" s="82"/>
      <c r="FA245" s="138"/>
    </row>
    <row r="246" spans="1:157" ht="13.35" customHeight="1">
      <c r="A246" s="3"/>
      <c r="B246" s="4" t="s">
        <v>162</v>
      </c>
      <c r="C246" s="4"/>
      <c r="D246" s="4"/>
      <c r="E246" s="82"/>
      <c r="F246" s="8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c r="AV246" s="82"/>
      <c r="AW246" s="82"/>
      <c r="AX246" s="82"/>
      <c r="AY246" s="82"/>
      <c r="AZ246" s="82"/>
      <c r="BA246" s="82"/>
      <c r="BB246" s="82"/>
      <c r="BC246" s="82"/>
      <c r="BD246" s="82"/>
      <c r="BE246" s="82"/>
      <c r="BF246" s="82"/>
      <c r="BG246" s="82"/>
      <c r="BH246" s="82"/>
      <c r="BI246" s="82"/>
      <c r="BJ246" s="82"/>
      <c r="BK246" s="82"/>
      <c r="BL246" s="82"/>
      <c r="BM246" s="82"/>
      <c r="BN246" s="82"/>
      <c r="BO246" s="82"/>
      <c r="BP246" s="82"/>
      <c r="BQ246" s="82"/>
      <c r="BR246" s="82"/>
      <c r="BS246" s="82"/>
      <c r="BT246" s="82"/>
      <c r="BU246" s="82"/>
      <c r="BV246" s="82"/>
      <c r="BW246" s="82"/>
      <c r="BX246" s="82"/>
      <c r="BY246" s="82"/>
      <c r="BZ246" s="82"/>
      <c r="CA246" s="82"/>
      <c r="CB246" s="82"/>
      <c r="CC246" s="82"/>
      <c r="CD246" s="82"/>
      <c r="CE246" s="82"/>
      <c r="CF246" s="82"/>
      <c r="CG246" s="82"/>
      <c r="CH246" s="82"/>
      <c r="CI246" s="82"/>
      <c r="CJ246" s="82"/>
      <c r="CK246" s="82"/>
      <c r="CL246" s="82"/>
      <c r="CM246" s="82"/>
      <c r="CN246" s="82"/>
      <c r="CO246" s="82"/>
      <c r="CP246" s="82"/>
      <c r="CQ246" s="82"/>
      <c r="CR246" s="82"/>
      <c r="CS246" s="82"/>
      <c r="CT246" s="82"/>
      <c r="CU246" s="82"/>
      <c r="CV246" s="82"/>
      <c r="CW246" s="82"/>
      <c r="CX246" s="82"/>
      <c r="CY246" s="82"/>
      <c r="CZ246" s="82"/>
      <c r="DA246" s="82"/>
      <c r="DB246" s="82"/>
      <c r="DC246" s="82"/>
      <c r="DD246" s="82"/>
      <c r="DE246" s="138"/>
      <c r="DF246" s="82"/>
      <c r="DG246" s="82"/>
      <c r="DH246" s="138"/>
      <c r="DI246" s="82"/>
      <c r="DJ246" s="82"/>
      <c r="DK246" s="138"/>
      <c r="DL246" s="82"/>
      <c r="DM246" s="82"/>
      <c r="DN246" s="138"/>
      <c r="DO246" s="82"/>
      <c r="DP246" s="82"/>
      <c r="DQ246" s="138"/>
      <c r="DR246" s="82"/>
      <c r="DS246" s="82"/>
      <c r="DT246" s="138"/>
      <c r="DU246" s="82"/>
      <c r="DV246" s="82"/>
      <c r="DW246" s="138"/>
      <c r="DX246" s="82"/>
      <c r="DY246" s="82"/>
      <c r="DZ246" s="138"/>
      <c r="EA246" s="82"/>
      <c r="EB246" s="82"/>
      <c r="EC246" s="138"/>
      <c r="ED246" s="82"/>
      <c r="EE246" s="82"/>
      <c r="EF246" s="138"/>
      <c r="EG246" s="82"/>
      <c r="EH246" s="82"/>
      <c r="EI246" s="138"/>
      <c r="EJ246" s="82"/>
      <c r="EK246" s="82"/>
      <c r="EL246" s="138"/>
      <c r="EM246" s="82"/>
      <c r="EN246" s="82"/>
      <c r="EO246" s="138"/>
      <c r="EP246" s="82"/>
      <c r="EQ246" s="82"/>
      <c r="ER246" s="138"/>
      <c r="ES246" s="82"/>
      <c r="ET246" s="82"/>
      <c r="EU246" s="138"/>
      <c r="EV246" s="82"/>
      <c r="EW246" s="82"/>
      <c r="EX246" s="138"/>
      <c r="EY246" s="82"/>
      <c r="EZ246" s="82"/>
      <c r="FA246" s="138"/>
    </row>
    <row r="247" spans="1:157" ht="13.35" customHeight="1">
      <c r="A247" s="3"/>
      <c r="B247" s="4" t="s">
        <v>162</v>
      </c>
      <c r="C247" s="4"/>
      <c r="D247" s="4"/>
      <c r="E247" s="82"/>
      <c r="F247" s="8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c r="AV247" s="82"/>
      <c r="AW247" s="82"/>
      <c r="AX247" s="82"/>
      <c r="AY247" s="82"/>
      <c r="AZ247" s="82"/>
      <c r="BA247" s="82"/>
      <c r="BB247" s="82"/>
      <c r="BC247" s="82"/>
      <c r="BD247" s="82"/>
      <c r="BE247" s="82"/>
      <c r="BF247" s="82"/>
      <c r="BG247" s="82"/>
      <c r="BH247" s="82"/>
      <c r="BI247" s="82"/>
      <c r="BJ247" s="82"/>
      <c r="BK247" s="82"/>
      <c r="BL247" s="82"/>
      <c r="BM247" s="82"/>
      <c r="BN247" s="82"/>
      <c r="BO247" s="82"/>
      <c r="BP247" s="82"/>
      <c r="BQ247" s="82"/>
      <c r="BR247" s="82"/>
      <c r="BS247" s="82"/>
      <c r="BT247" s="82"/>
      <c r="BU247" s="82"/>
      <c r="BV247" s="82"/>
      <c r="BW247" s="82"/>
      <c r="BX247" s="82"/>
      <c r="BY247" s="82"/>
      <c r="BZ247" s="82"/>
      <c r="CA247" s="82"/>
      <c r="CB247" s="82"/>
      <c r="CC247" s="82"/>
      <c r="CD247" s="82"/>
      <c r="CE247" s="82"/>
      <c r="CF247" s="82"/>
      <c r="CG247" s="82"/>
      <c r="CH247" s="82"/>
      <c r="CI247" s="82"/>
      <c r="CJ247" s="82"/>
      <c r="CK247" s="82"/>
      <c r="CL247" s="82"/>
      <c r="CM247" s="82"/>
      <c r="CN247" s="82"/>
      <c r="CO247" s="82"/>
      <c r="CP247" s="82"/>
      <c r="CQ247" s="82"/>
      <c r="CR247" s="82"/>
      <c r="CS247" s="82"/>
      <c r="CT247" s="82"/>
      <c r="CU247" s="82"/>
      <c r="CV247" s="82"/>
      <c r="CW247" s="82"/>
      <c r="CX247" s="82"/>
      <c r="CY247" s="82"/>
      <c r="CZ247" s="82"/>
      <c r="DA247" s="82"/>
      <c r="DB247" s="82"/>
      <c r="DC247" s="82"/>
      <c r="DD247" s="82"/>
      <c r="DE247" s="138"/>
      <c r="DF247" s="82"/>
      <c r="DG247" s="82"/>
      <c r="DH247" s="138"/>
      <c r="DI247" s="82"/>
      <c r="DJ247" s="82"/>
      <c r="DK247" s="138"/>
      <c r="DL247" s="82"/>
      <c r="DM247" s="82"/>
      <c r="DN247" s="138"/>
      <c r="DO247" s="82"/>
      <c r="DP247" s="82"/>
      <c r="DQ247" s="138"/>
      <c r="DR247" s="82"/>
      <c r="DS247" s="82"/>
      <c r="DT247" s="138"/>
      <c r="DU247" s="82"/>
      <c r="DV247" s="82"/>
      <c r="DW247" s="138"/>
      <c r="DX247" s="82"/>
      <c r="DY247" s="82"/>
      <c r="DZ247" s="138"/>
      <c r="EA247" s="82"/>
      <c r="EB247" s="82"/>
      <c r="EC247" s="138"/>
      <c r="ED247" s="82"/>
      <c r="EE247" s="82"/>
      <c r="EF247" s="138"/>
      <c r="EG247" s="82"/>
      <c r="EH247" s="82"/>
      <c r="EI247" s="138"/>
      <c r="EJ247" s="82"/>
      <c r="EK247" s="82"/>
      <c r="EL247" s="138"/>
      <c r="EM247" s="82"/>
      <c r="EN247" s="82"/>
      <c r="EO247" s="138"/>
      <c r="EP247" s="82"/>
      <c r="EQ247" s="82"/>
      <c r="ER247" s="138"/>
      <c r="ES247" s="82"/>
      <c r="ET247" s="82"/>
      <c r="EU247" s="138"/>
      <c r="EV247" s="82"/>
      <c r="EW247" s="82"/>
      <c r="EX247" s="138"/>
      <c r="EY247" s="82"/>
      <c r="EZ247" s="82"/>
      <c r="FA247" s="138"/>
    </row>
    <row r="248" spans="1:157" ht="13.35" customHeight="1">
      <c r="A248" s="3"/>
      <c r="B248" s="4" t="s">
        <v>162</v>
      </c>
      <c r="C248" s="4"/>
      <c r="D248" s="4"/>
      <c r="E248" s="82"/>
      <c r="F248" s="8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c r="AV248" s="82"/>
      <c r="AW248" s="82"/>
      <c r="AX248" s="82"/>
      <c r="AY248" s="82"/>
      <c r="AZ248" s="82"/>
      <c r="BA248" s="82"/>
      <c r="BB248" s="82"/>
      <c r="BC248" s="82"/>
      <c r="BD248" s="82"/>
      <c r="BE248" s="82"/>
      <c r="BF248" s="82"/>
      <c r="BG248" s="82"/>
      <c r="BH248" s="82"/>
      <c r="BI248" s="82"/>
      <c r="BJ248" s="82"/>
      <c r="BK248" s="82"/>
      <c r="BL248" s="82"/>
      <c r="BM248" s="82"/>
      <c r="BN248" s="82"/>
      <c r="BO248" s="82"/>
      <c r="BP248" s="82"/>
      <c r="BQ248" s="82"/>
      <c r="BR248" s="82"/>
      <c r="BS248" s="82"/>
      <c r="BT248" s="82"/>
      <c r="BU248" s="82"/>
      <c r="BV248" s="82"/>
      <c r="BW248" s="82"/>
      <c r="BX248" s="82"/>
      <c r="BY248" s="82"/>
      <c r="BZ248" s="82"/>
      <c r="CA248" s="82"/>
      <c r="CB248" s="82"/>
      <c r="CC248" s="82"/>
      <c r="CD248" s="82"/>
      <c r="CE248" s="82"/>
      <c r="CF248" s="82"/>
      <c r="CG248" s="82"/>
      <c r="CH248" s="82"/>
      <c r="CI248" s="82"/>
      <c r="CJ248" s="82"/>
      <c r="CK248" s="82"/>
      <c r="CL248" s="82"/>
      <c r="CM248" s="82"/>
      <c r="CN248" s="82"/>
      <c r="CO248" s="82"/>
      <c r="CP248" s="82"/>
      <c r="CQ248" s="82"/>
      <c r="CR248" s="82"/>
      <c r="CS248" s="82"/>
      <c r="CT248" s="82"/>
      <c r="CU248" s="82"/>
      <c r="CV248" s="82"/>
      <c r="CW248" s="82"/>
      <c r="CX248" s="82"/>
      <c r="CY248" s="82"/>
      <c r="CZ248" s="82"/>
      <c r="DA248" s="82"/>
      <c r="DB248" s="82"/>
      <c r="DC248" s="82"/>
      <c r="DD248" s="82"/>
      <c r="DE248" s="138"/>
      <c r="DF248" s="82"/>
      <c r="DG248" s="82"/>
      <c r="DH248" s="138"/>
      <c r="DI248" s="82"/>
      <c r="DJ248" s="82"/>
      <c r="DK248" s="138"/>
      <c r="DL248" s="82"/>
      <c r="DM248" s="82"/>
      <c r="DN248" s="138"/>
      <c r="DO248" s="82"/>
      <c r="DP248" s="82"/>
      <c r="DQ248" s="138"/>
      <c r="DR248" s="82"/>
      <c r="DS248" s="82"/>
      <c r="DT248" s="138"/>
      <c r="DU248" s="82"/>
      <c r="DV248" s="82"/>
      <c r="DW248" s="138"/>
      <c r="DX248" s="82"/>
      <c r="DY248" s="82"/>
      <c r="DZ248" s="138"/>
      <c r="EA248" s="82"/>
      <c r="EB248" s="82"/>
      <c r="EC248" s="138"/>
      <c r="ED248" s="82"/>
      <c r="EE248" s="82"/>
      <c r="EF248" s="138"/>
      <c r="EG248" s="82"/>
      <c r="EH248" s="82"/>
      <c r="EI248" s="138"/>
      <c r="EJ248" s="82"/>
      <c r="EK248" s="82"/>
      <c r="EL248" s="138"/>
      <c r="EM248" s="82"/>
      <c r="EN248" s="82"/>
      <c r="EO248" s="138"/>
      <c r="EP248" s="82"/>
      <c r="EQ248" s="82"/>
      <c r="ER248" s="138"/>
      <c r="ES248" s="82"/>
      <c r="ET248" s="82"/>
      <c r="EU248" s="138"/>
      <c r="EV248" s="82"/>
      <c r="EW248" s="82"/>
      <c r="EX248" s="138"/>
      <c r="EY248" s="82"/>
      <c r="EZ248" s="82"/>
      <c r="FA248" s="138"/>
    </row>
    <row r="249" spans="1:157" ht="13.35" customHeight="1">
      <c r="A249" s="3"/>
      <c r="B249" s="4" t="s">
        <v>162</v>
      </c>
      <c r="C249" s="4"/>
      <c r="D249" s="4"/>
      <c r="E249" s="82"/>
      <c r="F249" s="8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c r="AV249" s="82"/>
      <c r="AW249" s="82"/>
      <c r="AX249" s="82"/>
      <c r="AY249" s="82"/>
      <c r="AZ249" s="82"/>
      <c r="BA249" s="82"/>
      <c r="BB249" s="82"/>
      <c r="BC249" s="82"/>
      <c r="BD249" s="82"/>
      <c r="BE249" s="82"/>
      <c r="BF249" s="82"/>
      <c r="BG249" s="82"/>
      <c r="BH249" s="82"/>
      <c r="BI249" s="82"/>
      <c r="BJ249" s="82"/>
      <c r="BK249" s="82"/>
      <c r="BL249" s="82"/>
      <c r="BM249" s="82"/>
      <c r="BN249" s="82"/>
      <c r="BO249" s="82"/>
      <c r="BP249" s="82"/>
      <c r="BQ249" s="82"/>
      <c r="BR249" s="82"/>
      <c r="BS249" s="82"/>
      <c r="BT249" s="82"/>
      <c r="BU249" s="82"/>
      <c r="BV249" s="82"/>
      <c r="BW249" s="82"/>
      <c r="BX249" s="82"/>
      <c r="BY249" s="82"/>
      <c r="BZ249" s="82"/>
      <c r="CA249" s="82"/>
      <c r="CB249" s="82"/>
      <c r="CC249" s="82"/>
      <c r="CD249" s="82"/>
      <c r="CE249" s="82"/>
      <c r="CF249" s="82"/>
      <c r="CG249" s="82"/>
      <c r="CH249" s="82"/>
      <c r="CI249" s="82"/>
      <c r="CJ249" s="82"/>
      <c r="CK249" s="82"/>
      <c r="CL249" s="82"/>
      <c r="CM249" s="82"/>
      <c r="CN249" s="82"/>
      <c r="CO249" s="82"/>
      <c r="CP249" s="82"/>
      <c r="CQ249" s="82"/>
      <c r="CR249" s="82"/>
      <c r="CS249" s="82"/>
      <c r="CT249" s="82"/>
      <c r="CU249" s="82"/>
      <c r="CV249" s="82"/>
      <c r="CW249" s="82"/>
      <c r="CX249" s="82"/>
      <c r="CY249" s="82"/>
      <c r="CZ249" s="82"/>
      <c r="DA249" s="82"/>
      <c r="DB249" s="82"/>
      <c r="DC249" s="82"/>
      <c r="DD249" s="82"/>
      <c r="DE249" s="138"/>
      <c r="DF249" s="82"/>
      <c r="DG249" s="82"/>
      <c r="DH249" s="138"/>
      <c r="DI249" s="82"/>
      <c r="DJ249" s="82"/>
      <c r="DK249" s="138"/>
      <c r="DL249" s="82"/>
      <c r="DM249" s="82"/>
      <c r="DN249" s="138"/>
      <c r="DO249" s="82"/>
      <c r="DP249" s="82"/>
      <c r="DQ249" s="138"/>
      <c r="DR249" s="82"/>
      <c r="DS249" s="82"/>
      <c r="DT249" s="138"/>
      <c r="DU249" s="82"/>
      <c r="DV249" s="82"/>
      <c r="DW249" s="138"/>
      <c r="DX249" s="82"/>
      <c r="DY249" s="82"/>
      <c r="DZ249" s="138"/>
      <c r="EA249" s="82"/>
      <c r="EB249" s="82"/>
      <c r="EC249" s="138"/>
      <c r="ED249" s="82"/>
      <c r="EE249" s="82"/>
      <c r="EF249" s="138"/>
      <c r="EG249" s="82"/>
      <c r="EH249" s="82"/>
      <c r="EI249" s="138"/>
      <c r="EJ249" s="82"/>
      <c r="EK249" s="82"/>
      <c r="EL249" s="138"/>
      <c r="EM249" s="82"/>
      <c r="EN249" s="82"/>
      <c r="EO249" s="138"/>
      <c r="EP249" s="82"/>
      <c r="EQ249" s="82"/>
      <c r="ER249" s="138"/>
      <c r="ES249" s="82"/>
      <c r="ET249" s="82"/>
      <c r="EU249" s="138"/>
      <c r="EV249" s="82"/>
      <c r="EW249" s="82"/>
      <c r="EX249" s="138"/>
      <c r="EY249" s="82"/>
      <c r="EZ249" s="82"/>
      <c r="FA249" s="138"/>
    </row>
    <row r="250" spans="1:157" ht="13.35" customHeight="1">
      <c r="A250" s="3"/>
      <c r="B250" s="4" t="s">
        <v>162</v>
      </c>
      <c r="C250" s="4"/>
      <c r="D250" s="4"/>
      <c r="E250" s="82"/>
      <c r="F250" s="8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c r="AV250" s="82"/>
      <c r="AW250" s="82"/>
      <c r="AX250" s="82"/>
      <c r="AY250" s="82"/>
      <c r="AZ250" s="82"/>
      <c r="BA250" s="82"/>
      <c r="BB250" s="82"/>
      <c r="BC250" s="82"/>
      <c r="BD250" s="82"/>
      <c r="BE250" s="82"/>
      <c r="BF250" s="82"/>
      <c r="BG250" s="82"/>
      <c r="BH250" s="82"/>
      <c r="BI250" s="82"/>
      <c r="BJ250" s="82"/>
      <c r="BK250" s="82"/>
      <c r="BL250" s="82"/>
      <c r="BM250" s="82"/>
      <c r="BN250" s="82"/>
      <c r="BO250" s="82"/>
      <c r="BP250" s="82"/>
      <c r="BQ250" s="82"/>
      <c r="BR250" s="82"/>
      <c r="BS250" s="82"/>
      <c r="BT250" s="82"/>
      <c r="BU250" s="82"/>
      <c r="BV250" s="82"/>
      <c r="BW250" s="82"/>
      <c r="BX250" s="82"/>
      <c r="BY250" s="82"/>
      <c r="BZ250" s="82"/>
      <c r="CA250" s="82"/>
      <c r="CB250" s="82"/>
      <c r="CC250" s="82"/>
      <c r="CD250" s="82"/>
      <c r="CE250" s="82"/>
      <c r="CF250" s="82"/>
      <c r="CG250" s="82"/>
      <c r="CH250" s="82"/>
      <c r="CI250" s="82"/>
      <c r="CJ250" s="82"/>
      <c r="CK250" s="82"/>
      <c r="CL250" s="82"/>
      <c r="CM250" s="82"/>
      <c r="CN250" s="82"/>
      <c r="CO250" s="82"/>
      <c r="CP250" s="82"/>
      <c r="CQ250" s="82"/>
      <c r="CR250" s="82"/>
      <c r="CS250" s="82"/>
      <c r="CT250" s="82"/>
      <c r="CU250" s="82"/>
      <c r="CV250" s="82"/>
      <c r="CW250" s="82"/>
      <c r="CX250" s="82"/>
      <c r="CY250" s="82"/>
      <c r="CZ250" s="82"/>
      <c r="DA250" s="82"/>
      <c r="DB250" s="82"/>
      <c r="DC250" s="82"/>
      <c r="DD250" s="82"/>
      <c r="DE250" s="138"/>
      <c r="DF250" s="82"/>
      <c r="DG250" s="82"/>
      <c r="DH250" s="138"/>
      <c r="DI250" s="82"/>
      <c r="DJ250" s="82"/>
      <c r="DK250" s="138"/>
      <c r="DL250" s="82"/>
      <c r="DM250" s="82"/>
      <c r="DN250" s="138"/>
      <c r="DO250" s="82"/>
      <c r="DP250" s="82"/>
      <c r="DQ250" s="138"/>
      <c r="DR250" s="82"/>
      <c r="DS250" s="82"/>
      <c r="DT250" s="138"/>
      <c r="DU250" s="82"/>
      <c r="DV250" s="82"/>
      <c r="DW250" s="138"/>
      <c r="DX250" s="82"/>
      <c r="DY250" s="82"/>
      <c r="DZ250" s="138"/>
      <c r="EA250" s="82"/>
      <c r="EB250" s="82"/>
      <c r="EC250" s="138"/>
      <c r="ED250" s="82"/>
      <c r="EE250" s="82"/>
      <c r="EF250" s="138"/>
      <c r="EG250" s="82"/>
      <c r="EH250" s="82"/>
      <c r="EI250" s="138"/>
      <c r="EJ250" s="82"/>
      <c r="EK250" s="82"/>
      <c r="EL250" s="138"/>
      <c r="EM250" s="82"/>
      <c r="EN250" s="82"/>
      <c r="EO250" s="138"/>
      <c r="EP250" s="82"/>
      <c r="EQ250" s="82"/>
      <c r="ER250" s="138"/>
      <c r="ES250" s="82"/>
      <c r="ET250" s="82"/>
      <c r="EU250" s="138"/>
      <c r="EV250" s="82"/>
      <c r="EW250" s="82"/>
      <c r="EX250" s="138"/>
      <c r="EY250" s="82"/>
      <c r="EZ250" s="82"/>
      <c r="FA250" s="138"/>
    </row>
    <row r="251" spans="1:157" ht="13.35" customHeight="1">
      <c r="A251" s="3"/>
      <c r="B251" s="4" t="s">
        <v>162</v>
      </c>
      <c r="C251" s="4"/>
      <c r="D251" s="4"/>
      <c r="E251" s="82"/>
      <c r="F251" s="8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c r="AV251" s="82"/>
      <c r="AW251" s="82"/>
      <c r="AX251" s="82"/>
      <c r="AY251" s="82"/>
      <c r="AZ251" s="82"/>
      <c r="BA251" s="82"/>
      <c r="BB251" s="82"/>
      <c r="BC251" s="82"/>
      <c r="BD251" s="82"/>
      <c r="BE251" s="82"/>
      <c r="BF251" s="82"/>
      <c r="BG251" s="82"/>
      <c r="BH251" s="82"/>
      <c r="BI251" s="82"/>
      <c r="BJ251" s="82"/>
      <c r="BK251" s="82"/>
      <c r="BL251" s="82"/>
      <c r="BM251" s="82"/>
      <c r="BN251" s="82"/>
      <c r="BO251" s="82"/>
      <c r="BP251" s="82"/>
      <c r="BQ251" s="82"/>
      <c r="BR251" s="82"/>
      <c r="BS251" s="82"/>
      <c r="BT251" s="82"/>
      <c r="BU251" s="82"/>
      <c r="BV251" s="82"/>
      <c r="BW251" s="82"/>
      <c r="BX251" s="82"/>
      <c r="BY251" s="82"/>
      <c r="BZ251" s="82"/>
      <c r="CA251" s="82"/>
      <c r="CB251" s="82"/>
      <c r="CC251" s="82"/>
      <c r="CD251" s="82"/>
      <c r="CE251" s="82"/>
      <c r="CF251" s="82"/>
      <c r="CG251" s="82"/>
      <c r="CH251" s="82"/>
      <c r="CI251" s="82"/>
      <c r="CJ251" s="82"/>
      <c r="CK251" s="82"/>
      <c r="CL251" s="82"/>
      <c r="CM251" s="82"/>
      <c r="CN251" s="82"/>
      <c r="CO251" s="82"/>
      <c r="CP251" s="82"/>
      <c r="CQ251" s="82"/>
      <c r="CR251" s="82"/>
      <c r="CS251" s="82"/>
      <c r="CT251" s="82"/>
      <c r="CU251" s="82"/>
      <c r="CV251" s="82"/>
      <c r="CW251" s="82"/>
      <c r="CX251" s="82"/>
      <c r="CY251" s="82"/>
      <c r="CZ251" s="82"/>
      <c r="DA251" s="82"/>
      <c r="DB251" s="82"/>
      <c r="DC251" s="82"/>
      <c r="DD251" s="82"/>
      <c r="DE251" s="138"/>
      <c r="DF251" s="82"/>
      <c r="DG251" s="82"/>
      <c r="DH251" s="138"/>
      <c r="DI251" s="82"/>
      <c r="DJ251" s="82"/>
      <c r="DK251" s="138"/>
      <c r="DL251" s="82"/>
      <c r="DM251" s="82"/>
      <c r="DN251" s="138"/>
      <c r="DO251" s="82"/>
      <c r="DP251" s="82"/>
      <c r="DQ251" s="138"/>
      <c r="DR251" s="82"/>
      <c r="DS251" s="82"/>
      <c r="DT251" s="138"/>
      <c r="DU251" s="82"/>
      <c r="DV251" s="82"/>
      <c r="DW251" s="138"/>
      <c r="DX251" s="82"/>
      <c r="DY251" s="82"/>
      <c r="DZ251" s="138"/>
      <c r="EA251" s="82"/>
      <c r="EB251" s="82"/>
      <c r="EC251" s="138"/>
      <c r="ED251" s="82"/>
      <c r="EE251" s="82"/>
      <c r="EF251" s="138"/>
      <c r="EG251" s="82"/>
      <c r="EH251" s="82"/>
      <c r="EI251" s="138"/>
      <c r="EJ251" s="82"/>
      <c r="EK251" s="82"/>
      <c r="EL251" s="138"/>
      <c r="EM251" s="82"/>
      <c r="EN251" s="82"/>
      <c r="EO251" s="138"/>
      <c r="EP251" s="82"/>
      <c r="EQ251" s="82"/>
      <c r="ER251" s="138"/>
      <c r="ES251" s="82"/>
      <c r="ET251" s="82"/>
      <c r="EU251" s="138"/>
      <c r="EV251" s="82"/>
      <c r="EW251" s="82"/>
      <c r="EX251" s="138"/>
      <c r="EY251" s="82"/>
      <c r="EZ251" s="82"/>
      <c r="FA251" s="138"/>
    </row>
    <row r="252" spans="1:157" ht="13.35" customHeight="1">
      <c r="A252" s="3"/>
      <c r="B252" s="3"/>
      <c r="C252" s="4"/>
      <c r="D252" s="4"/>
      <c r="E252" s="84"/>
      <c r="F252" s="84"/>
      <c r="G252" s="84"/>
      <c r="H252" s="84"/>
      <c r="I252" s="84"/>
      <c r="J252" s="84"/>
      <c r="K252" s="84"/>
      <c r="L252" s="84"/>
      <c r="M252" s="84"/>
      <c r="N252" s="84"/>
      <c r="O252" s="84"/>
      <c r="P252" s="84"/>
      <c r="Q252" s="84"/>
      <c r="R252" s="84"/>
      <c r="S252" s="84"/>
      <c r="T252" s="84"/>
      <c r="U252" s="84"/>
      <c r="V252" s="84"/>
      <c r="W252" s="84"/>
      <c r="X252" s="84"/>
      <c r="Y252" s="84"/>
      <c r="Z252" s="84"/>
      <c r="AA252" s="84"/>
      <c r="AB252" s="84"/>
      <c r="AC252" s="84"/>
      <c r="AD252" s="84"/>
      <c r="AE252" s="84"/>
      <c r="AF252" s="84"/>
      <c r="AG252" s="84"/>
      <c r="AH252" s="84"/>
      <c r="AI252" s="84"/>
      <c r="AJ252" s="84"/>
      <c r="AK252" s="84"/>
      <c r="AL252" s="84"/>
      <c r="AM252" s="84"/>
      <c r="AN252" s="84"/>
      <c r="AO252" s="84"/>
      <c r="AP252" s="84"/>
      <c r="AQ252" s="84"/>
      <c r="AR252" s="84"/>
      <c r="AS252" s="84"/>
      <c r="AT252" s="84"/>
      <c r="AU252" s="84"/>
      <c r="AV252" s="84"/>
      <c r="AW252" s="84"/>
      <c r="AX252" s="84"/>
      <c r="AY252" s="84"/>
      <c r="AZ252" s="84"/>
      <c r="BA252" s="84"/>
      <c r="BB252" s="84"/>
      <c r="BC252" s="84"/>
      <c r="BD252" s="84"/>
      <c r="BE252" s="84"/>
      <c r="BF252" s="84"/>
      <c r="BG252" s="84"/>
      <c r="BH252" s="84"/>
      <c r="BI252" s="84"/>
      <c r="BJ252" s="84"/>
      <c r="BK252" s="84"/>
      <c r="BL252" s="84"/>
      <c r="BM252" s="84"/>
      <c r="BN252" s="84"/>
      <c r="BO252" s="84"/>
      <c r="BP252" s="84"/>
      <c r="BQ252" s="84"/>
      <c r="BR252" s="84"/>
      <c r="BS252" s="84"/>
      <c r="BT252" s="84"/>
      <c r="BU252" s="84"/>
      <c r="BV252" s="84"/>
      <c r="BW252" s="84"/>
      <c r="BX252" s="84"/>
      <c r="BY252" s="84"/>
      <c r="BZ252" s="84"/>
      <c r="CA252" s="84"/>
      <c r="CB252" s="84"/>
      <c r="CC252" s="84"/>
      <c r="CD252" s="84"/>
      <c r="CE252" s="84"/>
      <c r="CF252" s="84"/>
      <c r="CG252" s="84"/>
      <c r="CH252" s="84"/>
      <c r="CI252" s="84"/>
      <c r="CJ252" s="84"/>
      <c r="CK252" s="84"/>
      <c r="CL252" s="84"/>
      <c r="CM252" s="84"/>
      <c r="CN252" s="84"/>
      <c r="CO252" s="84"/>
      <c r="CP252" s="84"/>
      <c r="CQ252" s="84"/>
      <c r="CR252" s="84"/>
      <c r="CS252" s="84"/>
      <c r="CT252" s="84"/>
      <c r="CU252" s="84"/>
      <c r="CV252" s="84"/>
      <c r="CW252" s="84"/>
      <c r="CX252" s="84"/>
      <c r="CY252" s="84"/>
      <c r="CZ252" s="84"/>
      <c r="DA252" s="84"/>
      <c r="DB252" s="84"/>
      <c r="DC252" s="84"/>
      <c r="DD252" s="84"/>
      <c r="DE252" s="140"/>
      <c r="DF252" s="84"/>
      <c r="DG252" s="84"/>
      <c r="DH252" s="140"/>
      <c r="DI252" s="84"/>
      <c r="DJ252" s="84"/>
      <c r="DK252" s="140"/>
      <c r="DL252" s="84"/>
      <c r="DM252" s="84"/>
      <c r="DN252" s="140"/>
      <c r="DO252" s="84"/>
      <c r="DP252" s="84"/>
      <c r="DQ252" s="140"/>
      <c r="DR252" s="84"/>
      <c r="DS252" s="84"/>
      <c r="DT252" s="140"/>
      <c r="DU252" s="84"/>
      <c r="DV252" s="84"/>
      <c r="DW252" s="140"/>
      <c r="DX252" s="84"/>
      <c r="DY252" s="84"/>
      <c r="DZ252" s="140"/>
      <c r="EA252" s="84"/>
      <c r="EB252" s="84"/>
      <c r="EC252" s="140"/>
      <c r="ED252" s="84"/>
      <c r="EE252" s="84"/>
      <c r="EF252" s="140"/>
      <c r="EG252" s="84"/>
      <c r="EH252" s="84"/>
      <c r="EI252" s="140"/>
      <c r="EJ252" s="84"/>
      <c r="EK252" s="84"/>
      <c r="EL252" s="140"/>
      <c r="EM252" s="84"/>
      <c r="EN252" s="84"/>
      <c r="EO252" s="140"/>
      <c r="EP252" s="84"/>
      <c r="EQ252" s="84"/>
      <c r="ER252" s="140"/>
      <c r="ES252" s="84"/>
      <c r="ET252" s="84"/>
      <c r="EU252" s="140"/>
      <c r="EV252" s="84"/>
      <c r="EW252" s="84"/>
      <c r="EX252" s="140"/>
      <c r="EY252" s="84"/>
      <c r="EZ252" s="84"/>
      <c r="FA252" s="140"/>
    </row>
    <row r="253" spans="1:157" ht="13.35" customHeight="1">
      <c r="A253" s="3"/>
      <c r="B253" s="5" t="s">
        <v>91</v>
      </c>
      <c r="C253" s="5"/>
      <c r="D253" s="5"/>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c r="CC253" s="4"/>
      <c r="CD253" s="4"/>
      <c r="CE253" s="4"/>
      <c r="CF253" s="4"/>
      <c r="CG253" s="4"/>
      <c r="CH253" s="4"/>
      <c r="CI253" s="4"/>
      <c r="CJ253" s="4"/>
      <c r="CK253" s="4"/>
      <c r="CL253" s="4"/>
      <c r="CM253" s="4"/>
      <c r="CN253" s="4"/>
      <c r="CO253" s="4"/>
      <c r="CP253" s="4"/>
      <c r="CQ253" s="4"/>
      <c r="CR253" s="4"/>
      <c r="CS253" s="4"/>
      <c r="CT253" s="4"/>
      <c r="CU253" s="4"/>
      <c r="CV253" s="4"/>
      <c r="CW253" s="4"/>
      <c r="CX253" s="4"/>
      <c r="CY253" s="4"/>
      <c r="CZ253" s="4"/>
      <c r="DA253" s="4"/>
      <c r="DB253" s="4"/>
      <c r="DC253" s="4"/>
      <c r="DD253" s="4"/>
      <c r="DE253" s="134"/>
      <c r="DF253" s="4"/>
      <c r="DG253" s="4"/>
      <c r="DH253" s="134"/>
      <c r="DI253" s="4"/>
      <c r="DJ253" s="4"/>
      <c r="DK253" s="134"/>
      <c r="DL253" s="4"/>
      <c r="DM253" s="4"/>
      <c r="DN253" s="134"/>
      <c r="DO253" s="4"/>
      <c r="DP253" s="4"/>
      <c r="DQ253" s="134"/>
      <c r="DR253" s="4"/>
      <c r="DS253" s="4"/>
      <c r="DT253" s="134"/>
      <c r="DU253" s="4"/>
      <c r="DV253" s="4"/>
      <c r="DW253" s="134"/>
      <c r="DX253" s="4"/>
      <c r="DY253" s="4"/>
      <c r="DZ253" s="134"/>
      <c r="EA253" s="4"/>
      <c r="EB253" s="4"/>
      <c r="EC253" s="134"/>
      <c r="ED253" s="4"/>
      <c r="EE253" s="4"/>
      <c r="EF253" s="134"/>
      <c r="EG253" s="4"/>
      <c r="EH253" s="4"/>
      <c r="EI253" s="134"/>
      <c r="EJ253" s="4"/>
      <c r="EK253" s="4"/>
      <c r="EL253" s="134"/>
      <c r="EM253" s="4"/>
      <c r="EN253" s="4"/>
      <c r="EO253" s="134"/>
      <c r="EP253" s="4"/>
      <c r="EQ253" s="4"/>
      <c r="ER253" s="134"/>
      <c r="ES253" s="4"/>
      <c r="ET253" s="4"/>
      <c r="EU253" s="134"/>
      <c r="EV253" s="4"/>
      <c r="EW253" s="4"/>
      <c r="EX253" s="134"/>
      <c r="EY253" s="4"/>
      <c r="EZ253" s="4"/>
      <c r="FA253" s="134"/>
    </row>
    <row r="254" spans="1:157" ht="13.35" customHeight="1" outlineLevel="1">
      <c r="A254" s="3"/>
      <c r="B254" s="126" t="str">
        <f t="shared" ref="B254:B283" si="234">IF(B222&lt;&gt;"",B222,"")</f>
        <v xml:space="preserve">     Benchmark cash rate (received on deposits)</v>
      </c>
      <c r="C254" s="4"/>
      <c r="D254" s="4"/>
      <c r="E254" s="80"/>
      <c r="F254" s="80"/>
      <c r="G254" s="80"/>
      <c r="H254" s="80"/>
      <c r="I254" s="80"/>
      <c r="J254" s="80"/>
      <c r="K254" s="80"/>
      <c r="L254" s="80"/>
      <c r="M254" s="80"/>
      <c r="N254" s="80"/>
      <c r="O254" s="80"/>
      <c r="P254" s="80"/>
      <c r="Q254" s="80"/>
      <c r="R254" s="80"/>
      <c r="S254" s="80"/>
      <c r="T254" s="80"/>
      <c r="U254" s="80"/>
      <c r="V254" s="80"/>
      <c r="W254" s="80"/>
      <c r="X254" s="80"/>
      <c r="Y254" s="80"/>
      <c r="Z254" s="80"/>
      <c r="AA254" s="80"/>
      <c r="AB254" s="80"/>
      <c r="AC254" s="80"/>
      <c r="AD254" s="80"/>
      <c r="AE254" s="80"/>
      <c r="AF254" s="80"/>
      <c r="AG254" s="80"/>
      <c r="AH254" s="80"/>
      <c r="AI254" s="80"/>
      <c r="AJ254" s="80"/>
      <c r="AK254" s="80"/>
      <c r="AL254" s="80"/>
      <c r="AM254" s="80"/>
      <c r="AN254" s="80"/>
      <c r="AO254" s="80"/>
      <c r="AP254" s="80"/>
      <c r="AQ254" s="80"/>
      <c r="AR254" s="80"/>
      <c r="AS254" s="80"/>
      <c r="AT254" s="80"/>
      <c r="AU254" s="80"/>
      <c r="AV254" s="80"/>
      <c r="AW254" s="80"/>
      <c r="AX254" s="80"/>
      <c r="AY254" s="80"/>
      <c r="AZ254" s="80"/>
      <c r="BA254" s="80"/>
      <c r="BB254" s="80"/>
      <c r="BC254" s="80"/>
      <c r="BD254" s="80"/>
      <c r="BE254" s="80"/>
      <c r="BF254" s="80"/>
      <c r="BG254" s="80"/>
      <c r="BH254" s="80"/>
      <c r="BI254" s="80"/>
      <c r="BJ254" s="80"/>
      <c r="BK254" s="80"/>
      <c r="BL254" s="80"/>
      <c r="BM254" s="80"/>
      <c r="BN254" s="80"/>
      <c r="BO254" s="80"/>
      <c r="BP254" s="80"/>
      <c r="BQ254" s="80"/>
      <c r="BR254" s="80"/>
      <c r="BS254" s="80"/>
      <c r="BT254" s="80"/>
      <c r="BU254" s="80"/>
      <c r="BV254" s="80"/>
      <c r="BW254" s="80"/>
      <c r="BX254" s="80"/>
      <c r="BY254" s="80"/>
      <c r="BZ254" s="80"/>
      <c r="CA254" s="80"/>
      <c r="CB254" s="80"/>
      <c r="CC254" s="80"/>
      <c r="CD254" s="80"/>
      <c r="CE254" s="80"/>
      <c r="CF254" s="80"/>
      <c r="CG254" s="80"/>
      <c r="CH254" s="80"/>
      <c r="CI254" s="80"/>
      <c r="CJ254" s="80"/>
      <c r="CK254" s="80"/>
      <c r="CL254" s="80"/>
      <c r="CM254" s="80"/>
      <c r="CN254" s="80"/>
      <c r="CO254" s="80"/>
      <c r="CP254" s="80"/>
      <c r="CQ254" s="80"/>
      <c r="CR254" s="80"/>
      <c r="CS254" s="80"/>
      <c r="CT254" s="80"/>
      <c r="CU254" s="80"/>
      <c r="CV254" s="80"/>
      <c r="CW254" s="80"/>
      <c r="CX254" s="80"/>
      <c r="CY254" s="80"/>
      <c r="CZ254" s="80"/>
      <c r="DA254" s="80"/>
      <c r="DB254" s="80"/>
      <c r="DC254" s="80"/>
      <c r="DD254" s="80"/>
      <c r="DE254" s="136"/>
      <c r="DF254" s="80"/>
      <c r="DG254" s="80"/>
      <c r="DH254" s="136"/>
      <c r="DI254" s="80"/>
      <c r="DJ254" s="80"/>
      <c r="DK254" s="136"/>
      <c r="DL254" s="80"/>
      <c r="DM254" s="80"/>
      <c r="DN254" s="136"/>
      <c r="DO254" s="80"/>
      <c r="DP254" s="80"/>
      <c r="DQ254" s="136"/>
      <c r="DR254" s="80"/>
      <c r="DS254" s="80"/>
      <c r="DT254" s="136"/>
      <c r="DU254" s="80"/>
      <c r="DV254" s="80"/>
      <c r="DW254" s="136"/>
      <c r="DX254" s="80"/>
      <c r="DY254" s="80"/>
      <c r="DZ254" s="136"/>
      <c r="EA254" s="80"/>
      <c r="EB254" s="80"/>
      <c r="EC254" s="136"/>
      <c r="ED254" s="80"/>
      <c r="EE254" s="80"/>
      <c r="EF254" s="136"/>
      <c r="EG254" s="80"/>
      <c r="EH254" s="80"/>
      <c r="EI254" s="136"/>
      <c r="EJ254" s="80"/>
      <c r="EK254" s="80"/>
      <c r="EL254" s="136"/>
      <c r="EM254" s="80"/>
      <c r="EN254" s="80"/>
      <c r="EO254" s="136"/>
      <c r="EP254" s="80"/>
      <c r="EQ254" s="80"/>
      <c r="ER254" s="136"/>
      <c r="ES254" s="80"/>
      <c r="ET254" s="80"/>
      <c r="EU254" s="136"/>
      <c r="EV254" s="80"/>
      <c r="EW254" s="80"/>
      <c r="EX254" s="136"/>
      <c r="EY254" s="80"/>
      <c r="EZ254" s="80"/>
      <c r="FA254" s="136"/>
    </row>
    <row r="255" spans="1:157" ht="13.35" customHeight="1" outlineLevel="1">
      <c r="A255" s="3"/>
      <c r="B255" s="126" t="str">
        <f t="shared" si="234"/>
        <v xml:space="preserve">     90 day bank bill rate</v>
      </c>
      <c r="C255" s="4"/>
      <c r="D255" s="4"/>
      <c r="E255" s="82"/>
      <c r="F255" s="82"/>
      <c r="G255" s="82"/>
      <c r="H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c r="AV255" s="82"/>
      <c r="AW255" s="82"/>
      <c r="AX255" s="82"/>
      <c r="AY255" s="82"/>
      <c r="AZ255" s="82"/>
      <c r="BA255" s="82"/>
      <c r="BB255" s="82"/>
      <c r="BC255" s="82"/>
      <c r="BD255" s="82"/>
      <c r="BE255" s="82"/>
      <c r="BF255" s="82"/>
      <c r="BG255" s="82"/>
      <c r="BH255" s="82"/>
      <c r="BI255" s="82"/>
      <c r="BJ255" s="82"/>
      <c r="BK255" s="82"/>
      <c r="BL255" s="82"/>
      <c r="BM255" s="82"/>
      <c r="BN255" s="82"/>
      <c r="BO255" s="82"/>
      <c r="BP255" s="82"/>
      <c r="BQ255" s="82"/>
      <c r="BR255" s="82"/>
      <c r="BS255" s="82"/>
      <c r="BT255" s="82"/>
      <c r="BU255" s="82"/>
      <c r="BV255" s="82"/>
      <c r="BW255" s="82"/>
      <c r="BX255" s="82"/>
      <c r="BY255" s="82"/>
      <c r="BZ255" s="82"/>
      <c r="CA255" s="82"/>
      <c r="CB255" s="82"/>
      <c r="CC255" s="82"/>
      <c r="CD255" s="82"/>
      <c r="CE255" s="82"/>
      <c r="CF255" s="82"/>
      <c r="CG255" s="82"/>
      <c r="CH255" s="82"/>
      <c r="CI255" s="82"/>
      <c r="CJ255" s="82"/>
      <c r="CK255" s="82"/>
      <c r="CL255" s="82"/>
      <c r="CM255" s="82"/>
      <c r="CN255" s="82"/>
      <c r="CO255" s="82"/>
      <c r="CP255" s="82"/>
      <c r="CQ255" s="82"/>
      <c r="CR255" s="82"/>
      <c r="CS255" s="82"/>
      <c r="CT255" s="82"/>
      <c r="CU255" s="82"/>
      <c r="CV255" s="82"/>
      <c r="CW255" s="82"/>
      <c r="CX255" s="82"/>
      <c r="CY255" s="82"/>
      <c r="CZ255" s="82"/>
      <c r="DA255" s="82"/>
      <c r="DB255" s="82"/>
      <c r="DC255" s="82"/>
      <c r="DD255" s="82"/>
      <c r="DE255" s="138"/>
      <c r="DF255" s="82"/>
      <c r="DG255" s="82"/>
      <c r="DH255" s="138"/>
      <c r="DI255" s="82"/>
      <c r="DJ255" s="82"/>
      <c r="DK255" s="138"/>
      <c r="DL255" s="82"/>
      <c r="DM255" s="82"/>
      <c r="DN255" s="138"/>
      <c r="DO255" s="82"/>
      <c r="DP255" s="82"/>
      <c r="DQ255" s="138"/>
      <c r="DR255" s="82"/>
      <c r="DS255" s="82"/>
      <c r="DT255" s="138"/>
      <c r="DU255" s="82"/>
      <c r="DV255" s="82"/>
      <c r="DW255" s="138"/>
      <c r="DX255" s="82"/>
      <c r="DY255" s="82"/>
      <c r="DZ255" s="138"/>
      <c r="EA255" s="82"/>
      <c r="EB255" s="82"/>
      <c r="EC255" s="138"/>
      <c r="ED255" s="82"/>
      <c r="EE255" s="82"/>
      <c r="EF255" s="138"/>
      <c r="EG255" s="82"/>
      <c r="EH255" s="82"/>
      <c r="EI255" s="138"/>
      <c r="EJ255" s="82"/>
      <c r="EK255" s="82"/>
      <c r="EL255" s="138"/>
      <c r="EM255" s="82"/>
      <c r="EN255" s="82"/>
      <c r="EO255" s="138"/>
      <c r="EP255" s="82"/>
      <c r="EQ255" s="82"/>
      <c r="ER255" s="138"/>
      <c r="ES255" s="82"/>
      <c r="ET255" s="82"/>
      <c r="EU255" s="138"/>
      <c r="EV255" s="82"/>
      <c r="EW255" s="82"/>
      <c r="EX255" s="138"/>
      <c r="EY255" s="82"/>
      <c r="EZ255" s="82"/>
      <c r="FA255" s="138"/>
    </row>
    <row r="256" spans="1:157" ht="13.35" customHeight="1" outlineLevel="1">
      <c r="A256" s="3"/>
      <c r="B256" s="126" t="str">
        <f t="shared" si="234"/>
        <v xml:space="preserve">     180 day bank bill rate</v>
      </c>
      <c r="C256" s="4"/>
      <c r="D256" s="4"/>
      <c r="E256" s="82"/>
      <c r="F256" s="8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c r="AV256" s="82"/>
      <c r="AW256" s="82"/>
      <c r="AX256" s="82"/>
      <c r="AY256" s="82"/>
      <c r="AZ256" s="82"/>
      <c r="BA256" s="82"/>
      <c r="BB256" s="82"/>
      <c r="BC256" s="82"/>
      <c r="BD256" s="82"/>
      <c r="BE256" s="82"/>
      <c r="BF256" s="82"/>
      <c r="BG256" s="82"/>
      <c r="BH256" s="82"/>
      <c r="BI256" s="82"/>
      <c r="BJ256" s="82"/>
      <c r="BK256" s="82"/>
      <c r="BL256" s="82"/>
      <c r="BM256" s="82"/>
      <c r="BN256" s="82"/>
      <c r="BO256" s="82"/>
      <c r="BP256" s="82"/>
      <c r="BQ256" s="82"/>
      <c r="BR256" s="82"/>
      <c r="BS256" s="82"/>
      <c r="BT256" s="82"/>
      <c r="BU256" s="82"/>
      <c r="BV256" s="82"/>
      <c r="BW256" s="82"/>
      <c r="BX256" s="82"/>
      <c r="BY256" s="82"/>
      <c r="BZ256" s="82"/>
      <c r="CA256" s="82"/>
      <c r="CB256" s="82"/>
      <c r="CC256" s="82"/>
      <c r="CD256" s="82"/>
      <c r="CE256" s="82"/>
      <c r="CF256" s="82"/>
      <c r="CG256" s="82"/>
      <c r="CH256" s="82"/>
      <c r="CI256" s="82"/>
      <c r="CJ256" s="82"/>
      <c r="CK256" s="82"/>
      <c r="CL256" s="82"/>
      <c r="CM256" s="82"/>
      <c r="CN256" s="82"/>
      <c r="CO256" s="82"/>
      <c r="CP256" s="82"/>
      <c r="CQ256" s="82"/>
      <c r="CR256" s="82"/>
      <c r="CS256" s="82"/>
      <c r="CT256" s="82"/>
      <c r="CU256" s="82"/>
      <c r="CV256" s="82"/>
      <c r="CW256" s="82"/>
      <c r="CX256" s="82"/>
      <c r="CY256" s="82"/>
      <c r="CZ256" s="82"/>
      <c r="DA256" s="82"/>
      <c r="DB256" s="82"/>
      <c r="DC256" s="82"/>
      <c r="DD256" s="82"/>
      <c r="DE256" s="138"/>
      <c r="DF256" s="82"/>
      <c r="DG256" s="82"/>
      <c r="DH256" s="138"/>
      <c r="DI256" s="82"/>
      <c r="DJ256" s="82"/>
      <c r="DK256" s="138"/>
      <c r="DL256" s="82"/>
      <c r="DM256" s="82"/>
      <c r="DN256" s="138"/>
      <c r="DO256" s="82"/>
      <c r="DP256" s="82"/>
      <c r="DQ256" s="138"/>
      <c r="DR256" s="82"/>
      <c r="DS256" s="82"/>
      <c r="DT256" s="138"/>
      <c r="DU256" s="82"/>
      <c r="DV256" s="82"/>
      <c r="DW256" s="138"/>
      <c r="DX256" s="82"/>
      <c r="DY256" s="82"/>
      <c r="DZ256" s="138"/>
      <c r="EA256" s="82"/>
      <c r="EB256" s="82"/>
      <c r="EC256" s="138"/>
      <c r="ED256" s="82"/>
      <c r="EE256" s="82"/>
      <c r="EF256" s="138"/>
      <c r="EG256" s="82"/>
      <c r="EH256" s="82"/>
      <c r="EI256" s="138"/>
      <c r="EJ256" s="82"/>
      <c r="EK256" s="82"/>
      <c r="EL256" s="138"/>
      <c r="EM256" s="82"/>
      <c r="EN256" s="82"/>
      <c r="EO256" s="138"/>
      <c r="EP256" s="82"/>
      <c r="EQ256" s="82"/>
      <c r="ER256" s="138"/>
      <c r="ES256" s="82"/>
      <c r="ET256" s="82"/>
      <c r="EU256" s="138"/>
      <c r="EV256" s="82"/>
      <c r="EW256" s="82"/>
      <c r="EX256" s="138"/>
      <c r="EY256" s="82"/>
      <c r="EZ256" s="82"/>
      <c r="FA256" s="138"/>
    </row>
    <row r="257" spans="1:157" ht="13.35" customHeight="1" outlineLevel="1">
      <c r="A257" s="3"/>
      <c r="B257" s="126" t="str">
        <f t="shared" si="234"/>
        <v xml:space="preserve">     Proxy interest rate for fixed rate debt (need to establish)</v>
      </c>
      <c r="C257" s="4"/>
      <c r="D257" s="4"/>
      <c r="E257" s="82"/>
      <c r="F257" s="8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c r="AV257" s="82"/>
      <c r="AW257" s="82"/>
      <c r="AX257" s="82"/>
      <c r="AY257" s="82"/>
      <c r="AZ257" s="82"/>
      <c r="BA257" s="82"/>
      <c r="BB257" s="82"/>
      <c r="BC257" s="82"/>
      <c r="BD257" s="82"/>
      <c r="BE257" s="82"/>
      <c r="BF257" s="82"/>
      <c r="BG257" s="82"/>
      <c r="BH257" s="82"/>
      <c r="BI257" s="82"/>
      <c r="BJ257" s="82"/>
      <c r="BK257" s="82"/>
      <c r="BL257" s="82"/>
      <c r="BM257" s="82"/>
      <c r="BN257" s="82"/>
      <c r="BO257" s="82"/>
      <c r="BP257" s="82"/>
      <c r="BQ257" s="82"/>
      <c r="BR257" s="82"/>
      <c r="BS257" s="82"/>
      <c r="BT257" s="82"/>
      <c r="BU257" s="82"/>
      <c r="BV257" s="82"/>
      <c r="BW257" s="82"/>
      <c r="BX257" s="82"/>
      <c r="BY257" s="82"/>
      <c r="BZ257" s="82"/>
      <c r="CA257" s="82"/>
      <c r="CB257" s="82"/>
      <c r="CC257" s="82"/>
      <c r="CD257" s="82"/>
      <c r="CE257" s="82"/>
      <c r="CF257" s="82"/>
      <c r="CG257" s="82"/>
      <c r="CH257" s="82"/>
      <c r="CI257" s="82"/>
      <c r="CJ257" s="82"/>
      <c r="CK257" s="82"/>
      <c r="CL257" s="82"/>
      <c r="CM257" s="82"/>
      <c r="CN257" s="82"/>
      <c r="CO257" s="82"/>
      <c r="CP257" s="82"/>
      <c r="CQ257" s="82"/>
      <c r="CR257" s="82"/>
      <c r="CS257" s="82"/>
      <c r="CT257" s="82"/>
      <c r="CU257" s="82"/>
      <c r="CV257" s="82"/>
      <c r="CW257" s="82"/>
      <c r="CX257" s="82"/>
      <c r="CY257" s="82"/>
      <c r="CZ257" s="82"/>
      <c r="DA257" s="82"/>
      <c r="DB257" s="82"/>
      <c r="DC257" s="82"/>
      <c r="DD257" s="82"/>
      <c r="DE257" s="138"/>
      <c r="DF257" s="82"/>
      <c r="DG257" s="82"/>
      <c r="DH257" s="138"/>
      <c r="DI257" s="82"/>
      <c r="DJ257" s="82"/>
      <c r="DK257" s="138"/>
      <c r="DL257" s="82"/>
      <c r="DM257" s="82"/>
      <c r="DN257" s="138"/>
      <c r="DO257" s="82"/>
      <c r="DP257" s="82"/>
      <c r="DQ257" s="138"/>
      <c r="DR257" s="82"/>
      <c r="DS257" s="82"/>
      <c r="DT257" s="138"/>
      <c r="DU257" s="82"/>
      <c r="DV257" s="82"/>
      <c r="DW257" s="138"/>
      <c r="DX257" s="82"/>
      <c r="DY257" s="82"/>
      <c r="DZ257" s="138"/>
      <c r="EA257" s="82"/>
      <c r="EB257" s="82"/>
      <c r="EC257" s="138"/>
      <c r="ED257" s="82"/>
      <c r="EE257" s="82"/>
      <c r="EF257" s="138"/>
      <c r="EG257" s="82"/>
      <c r="EH257" s="82"/>
      <c r="EI257" s="138"/>
      <c r="EJ257" s="82"/>
      <c r="EK257" s="82"/>
      <c r="EL257" s="138"/>
      <c r="EM257" s="82"/>
      <c r="EN257" s="82"/>
      <c r="EO257" s="138"/>
      <c r="EP257" s="82"/>
      <c r="EQ257" s="82"/>
      <c r="ER257" s="138"/>
      <c r="ES257" s="82"/>
      <c r="ET257" s="82"/>
      <c r="EU257" s="138"/>
      <c r="EV257" s="82"/>
      <c r="EW257" s="82"/>
      <c r="EX257" s="138"/>
      <c r="EY257" s="82"/>
      <c r="EZ257" s="82"/>
      <c r="FA257" s="138"/>
    </row>
    <row r="258" spans="1:157" ht="13.35" customHeight="1" outlineLevel="1">
      <c r="A258" s="3"/>
      <c r="B258" s="126" t="str">
        <f t="shared" si="234"/>
        <v xml:space="preserve">    10 year bond rate</v>
      </c>
      <c r="C258" s="4"/>
      <c r="D258" s="4"/>
      <c r="E258" s="82"/>
      <c r="F258" s="8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c r="AV258" s="82"/>
      <c r="AW258" s="82"/>
      <c r="AX258" s="82"/>
      <c r="AY258" s="82"/>
      <c r="AZ258" s="82"/>
      <c r="BA258" s="82"/>
      <c r="BB258" s="82"/>
      <c r="BC258" s="82"/>
      <c r="BD258" s="82"/>
      <c r="BE258" s="82"/>
      <c r="BF258" s="82"/>
      <c r="BG258" s="82"/>
      <c r="BH258" s="82"/>
      <c r="BI258" s="82"/>
      <c r="BJ258" s="82"/>
      <c r="BK258" s="82"/>
      <c r="BL258" s="82"/>
      <c r="BM258" s="82"/>
      <c r="BN258" s="82"/>
      <c r="BO258" s="82"/>
      <c r="BP258" s="82"/>
      <c r="BQ258" s="82"/>
      <c r="BR258" s="82"/>
      <c r="BS258" s="82"/>
      <c r="BT258" s="82"/>
      <c r="BU258" s="82"/>
      <c r="BV258" s="82"/>
      <c r="BW258" s="82"/>
      <c r="BX258" s="82"/>
      <c r="BY258" s="82"/>
      <c r="BZ258" s="82"/>
      <c r="CA258" s="82"/>
      <c r="CB258" s="82"/>
      <c r="CC258" s="82"/>
      <c r="CD258" s="82"/>
      <c r="CE258" s="82"/>
      <c r="CF258" s="82"/>
      <c r="CG258" s="82"/>
      <c r="CH258" s="82"/>
      <c r="CI258" s="82"/>
      <c r="CJ258" s="82"/>
      <c r="CK258" s="82"/>
      <c r="CL258" s="82"/>
      <c r="CM258" s="82"/>
      <c r="CN258" s="82"/>
      <c r="CO258" s="82"/>
      <c r="CP258" s="82"/>
      <c r="CQ258" s="82"/>
      <c r="CR258" s="82"/>
      <c r="CS258" s="82"/>
      <c r="CT258" s="82"/>
      <c r="CU258" s="82"/>
      <c r="CV258" s="82"/>
      <c r="CW258" s="82"/>
      <c r="CX258" s="82"/>
      <c r="CY258" s="82"/>
      <c r="CZ258" s="82"/>
      <c r="DA258" s="82"/>
      <c r="DB258" s="82"/>
      <c r="DC258" s="82"/>
      <c r="DD258" s="82"/>
      <c r="DE258" s="138"/>
      <c r="DF258" s="82"/>
      <c r="DG258" s="82"/>
      <c r="DH258" s="138"/>
      <c r="DI258" s="82"/>
      <c r="DJ258" s="82"/>
      <c r="DK258" s="138"/>
      <c r="DL258" s="82"/>
      <c r="DM258" s="82"/>
      <c r="DN258" s="138"/>
      <c r="DO258" s="82"/>
      <c r="DP258" s="82"/>
      <c r="DQ258" s="138"/>
      <c r="DR258" s="82"/>
      <c r="DS258" s="82"/>
      <c r="DT258" s="138"/>
      <c r="DU258" s="82"/>
      <c r="DV258" s="82"/>
      <c r="DW258" s="138"/>
      <c r="DX258" s="82"/>
      <c r="DY258" s="82"/>
      <c r="DZ258" s="138"/>
      <c r="EA258" s="82"/>
      <c r="EB258" s="82"/>
      <c r="EC258" s="138"/>
      <c r="ED258" s="82"/>
      <c r="EE258" s="82"/>
      <c r="EF258" s="138"/>
      <c r="EG258" s="82"/>
      <c r="EH258" s="82"/>
      <c r="EI258" s="138"/>
      <c r="EJ258" s="82"/>
      <c r="EK258" s="82"/>
      <c r="EL258" s="138"/>
      <c r="EM258" s="82"/>
      <c r="EN258" s="82"/>
      <c r="EO258" s="138"/>
      <c r="EP258" s="82"/>
      <c r="EQ258" s="82"/>
      <c r="ER258" s="138"/>
      <c r="ES258" s="82"/>
      <c r="ET258" s="82"/>
      <c r="EU258" s="138"/>
      <c r="EV258" s="82"/>
      <c r="EW258" s="82"/>
      <c r="EX258" s="138"/>
      <c r="EY258" s="82"/>
      <c r="EZ258" s="82"/>
      <c r="FA258" s="138"/>
    </row>
    <row r="259" spans="1:157" ht="13.35" customHeight="1" outlineLevel="1">
      <c r="A259" s="3"/>
      <c r="B259" s="126" t="str">
        <f t="shared" si="234"/>
        <v xml:space="preserve">     Economic driver</v>
      </c>
      <c r="C259" s="4"/>
      <c r="D259" s="4"/>
      <c r="E259" s="82"/>
      <c r="F259" s="8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c r="AV259" s="82"/>
      <c r="AW259" s="82"/>
      <c r="AX259" s="82"/>
      <c r="AY259" s="82"/>
      <c r="AZ259" s="82"/>
      <c r="BA259" s="82"/>
      <c r="BB259" s="82"/>
      <c r="BC259" s="82"/>
      <c r="BD259" s="82"/>
      <c r="BE259" s="82"/>
      <c r="BF259" s="82"/>
      <c r="BG259" s="82"/>
      <c r="BH259" s="82"/>
      <c r="BI259" s="82"/>
      <c r="BJ259" s="82"/>
      <c r="BK259" s="82"/>
      <c r="BL259" s="82"/>
      <c r="BM259" s="82"/>
      <c r="BN259" s="82"/>
      <c r="BO259" s="82"/>
      <c r="BP259" s="82"/>
      <c r="BQ259" s="82"/>
      <c r="BR259" s="82"/>
      <c r="BS259" s="82"/>
      <c r="BT259" s="82"/>
      <c r="BU259" s="82"/>
      <c r="BV259" s="82"/>
      <c r="BW259" s="82"/>
      <c r="BX259" s="82"/>
      <c r="BY259" s="82"/>
      <c r="BZ259" s="82"/>
      <c r="CA259" s="82"/>
      <c r="CB259" s="82"/>
      <c r="CC259" s="82"/>
      <c r="CD259" s="82"/>
      <c r="CE259" s="82"/>
      <c r="CF259" s="82"/>
      <c r="CG259" s="82"/>
      <c r="CH259" s="82"/>
      <c r="CI259" s="82"/>
      <c r="CJ259" s="82"/>
      <c r="CK259" s="82"/>
      <c r="CL259" s="82"/>
      <c r="CM259" s="82"/>
      <c r="CN259" s="82"/>
      <c r="CO259" s="82"/>
      <c r="CP259" s="82"/>
      <c r="CQ259" s="82"/>
      <c r="CR259" s="82"/>
      <c r="CS259" s="82"/>
      <c r="CT259" s="82"/>
      <c r="CU259" s="82"/>
      <c r="CV259" s="82"/>
      <c r="CW259" s="82"/>
      <c r="CX259" s="82"/>
      <c r="CY259" s="82"/>
      <c r="CZ259" s="82"/>
      <c r="DA259" s="82"/>
      <c r="DB259" s="82"/>
      <c r="DC259" s="82"/>
      <c r="DD259" s="82"/>
      <c r="DE259" s="138"/>
      <c r="DF259" s="82"/>
      <c r="DG259" s="82"/>
      <c r="DH259" s="138"/>
      <c r="DI259" s="82"/>
      <c r="DJ259" s="82"/>
      <c r="DK259" s="138"/>
      <c r="DL259" s="82"/>
      <c r="DM259" s="82"/>
      <c r="DN259" s="138"/>
      <c r="DO259" s="82"/>
      <c r="DP259" s="82"/>
      <c r="DQ259" s="138"/>
      <c r="DR259" s="82"/>
      <c r="DS259" s="82"/>
      <c r="DT259" s="138"/>
      <c r="DU259" s="82"/>
      <c r="DV259" s="82"/>
      <c r="DW259" s="138"/>
      <c r="DX259" s="82"/>
      <c r="DY259" s="82"/>
      <c r="DZ259" s="138"/>
      <c r="EA259" s="82"/>
      <c r="EB259" s="82"/>
      <c r="EC259" s="138"/>
      <c r="ED259" s="82"/>
      <c r="EE259" s="82"/>
      <c r="EF259" s="138"/>
      <c r="EG259" s="82"/>
      <c r="EH259" s="82"/>
      <c r="EI259" s="138"/>
      <c r="EJ259" s="82"/>
      <c r="EK259" s="82"/>
      <c r="EL259" s="138"/>
      <c r="EM259" s="82"/>
      <c r="EN259" s="82"/>
      <c r="EO259" s="138"/>
      <c r="EP259" s="82"/>
      <c r="EQ259" s="82"/>
      <c r="ER259" s="138"/>
      <c r="ES259" s="82"/>
      <c r="ET259" s="82"/>
      <c r="EU259" s="138"/>
      <c r="EV259" s="82"/>
      <c r="EW259" s="82"/>
      <c r="EX259" s="138"/>
      <c r="EY259" s="82"/>
      <c r="EZ259" s="82"/>
      <c r="FA259" s="138"/>
    </row>
    <row r="260" spans="1:157" ht="13.35" customHeight="1" outlineLevel="1">
      <c r="A260" s="3"/>
      <c r="B260" s="126" t="str">
        <f t="shared" si="234"/>
        <v xml:space="preserve">     Economic driver</v>
      </c>
      <c r="C260" s="4"/>
      <c r="D260" s="4"/>
      <c r="E260" s="82"/>
      <c r="F260" s="8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c r="AV260" s="82"/>
      <c r="AW260" s="82"/>
      <c r="AX260" s="82"/>
      <c r="AY260" s="82"/>
      <c r="AZ260" s="82"/>
      <c r="BA260" s="82"/>
      <c r="BB260" s="82"/>
      <c r="BC260" s="82"/>
      <c r="BD260" s="82"/>
      <c r="BE260" s="82"/>
      <c r="BF260" s="82"/>
      <c r="BG260" s="82"/>
      <c r="BH260" s="82"/>
      <c r="BI260" s="82"/>
      <c r="BJ260" s="82"/>
      <c r="BK260" s="82"/>
      <c r="BL260" s="82"/>
      <c r="BM260" s="82"/>
      <c r="BN260" s="82"/>
      <c r="BO260" s="82"/>
      <c r="BP260" s="82"/>
      <c r="BQ260" s="82"/>
      <c r="BR260" s="82"/>
      <c r="BS260" s="82"/>
      <c r="BT260" s="82"/>
      <c r="BU260" s="82"/>
      <c r="BV260" s="82"/>
      <c r="BW260" s="82"/>
      <c r="BX260" s="82"/>
      <c r="BY260" s="82"/>
      <c r="BZ260" s="82"/>
      <c r="CA260" s="82"/>
      <c r="CB260" s="82"/>
      <c r="CC260" s="82"/>
      <c r="CD260" s="82"/>
      <c r="CE260" s="82"/>
      <c r="CF260" s="82"/>
      <c r="CG260" s="82"/>
      <c r="CH260" s="82"/>
      <c r="CI260" s="82"/>
      <c r="CJ260" s="82"/>
      <c r="CK260" s="82"/>
      <c r="CL260" s="82"/>
      <c r="CM260" s="82"/>
      <c r="CN260" s="82"/>
      <c r="CO260" s="82"/>
      <c r="CP260" s="82"/>
      <c r="CQ260" s="82"/>
      <c r="CR260" s="82"/>
      <c r="CS260" s="82"/>
      <c r="CT260" s="82"/>
      <c r="CU260" s="82"/>
      <c r="CV260" s="82"/>
      <c r="CW260" s="82"/>
      <c r="CX260" s="82"/>
      <c r="CY260" s="82"/>
      <c r="CZ260" s="82"/>
      <c r="DA260" s="82"/>
      <c r="DB260" s="82"/>
      <c r="DC260" s="82"/>
      <c r="DD260" s="82"/>
      <c r="DE260" s="138"/>
      <c r="DF260" s="82"/>
      <c r="DG260" s="82"/>
      <c r="DH260" s="138"/>
      <c r="DI260" s="82"/>
      <c r="DJ260" s="82"/>
      <c r="DK260" s="138"/>
      <c r="DL260" s="82"/>
      <c r="DM260" s="82"/>
      <c r="DN260" s="138"/>
      <c r="DO260" s="82"/>
      <c r="DP260" s="82"/>
      <c r="DQ260" s="138"/>
      <c r="DR260" s="82"/>
      <c r="DS260" s="82"/>
      <c r="DT260" s="138"/>
      <c r="DU260" s="82"/>
      <c r="DV260" s="82"/>
      <c r="DW260" s="138"/>
      <c r="DX260" s="82"/>
      <c r="DY260" s="82"/>
      <c r="DZ260" s="138"/>
      <c r="EA260" s="82"/>
      <c r="EB260" s="82"/>
      <c r="EC260" s="138"/>
      <c r="ED260" s="82"/>
      <c r="EE260" s="82"/>
      <c r="EF260" s="138"/>
      <c r="EG260" s="82"/>
      <c r="EH260" s="82"/>
      <c r="EI260" s="138"/>
      <c r="EJ260" s="82"/>
      <c r="EK260" s="82"/>
      <c r="EL260" s="138"/>
      <c r="EM260" s="82"/>
      <c r="EN260" s="82"/>
      <c r="EO260" s="138"/>
      <c r="EP260" s="82"/>
      <c r="EQ260" s="82"/>
      <c r="ER260" s="138"/>
      <c r="ES260" s="82"/>
      <c r="ET260" s="82"/>
      <c r="EU260" s="138"/>
      <c r="EV260" s="82"/>
      <c r="EW260" s="82"/>
      <c r="EX260" s="138"/>
      <c r="EY260" s="82"/>
      <c r="EZ260" s="82"/>
      <c r="FA260" s="138"/>
    </row>
    <row r="261" spans="1:157" ht="13.35" customHeight="1" outlineLevel="1">
      <c r="A261" s="3"/>
      <c r="B261" s="126" t="str">
        <f t="shared" si="234"/>
        <v xml:space="preserve">     Economic driver</v>
      </c>
      <c r="C261" s="4"/>
      <c r="D261" s="4"/>
      <c r="E261" s="82"/>
      <c r="F261" s="8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c r="AV261" s="82"/>
      <c r="AW261" s="82"/>
      <c r="AX261" s="82"/>
      <c r="AY261" s="82"/>
      <c r="AZ261" s="82"/>
      <c r="BA261" s="82"/>
      <c r="BB261" s="82"/>
      <c r="BC261" s="82"/>
      <c r="BD261" s="82"/>
      <c r="BE261" s="82"/>
      <c r="BF261" s="82"/>
      <c r="BG261" s="82"/>
      <c r="BH261" s="82"/>
      <c r="BI261" s="82"/>
      <c r="BJ261" s="82"/>
      <c r="BK261" s="82"/>
      <c r="BL261" s="82"/>
      <c r="BM261" s="82"/>
      <c r="BN261" s="82"/>
      <c r="BO261" s="82"/>
      <c r="BP261" s="82"/>
      <c r="BQ261" s="82"/>
      <c r="BR261" s="82"/>
      <c r="BS261" s="82"/>
      <c r="BT261" s="82"/>
      <c r="BU261" s="82"/>
      <c r="BV261" s="82"/>
      <c r="BW261" s="82"/>
      <c r="BX261" s="82"/>
      <c r="BY261" s="82"/>
      <c r="BZ261" s="82"/>
      <c r="CA261" s="82"/>
      <c r="CB261" s="82"/>
      <c r="CC261" s="82"/>
      <c r="CD261" s="82"/>
      <c r="CE261" s="82"/>
      <c r="CF261" s="82"/>
      <c r="CG261" s="82"/>
      <c r="CH261" s="82"/>
      <c r="CI261" s="82"/>
      <c r="CJ261" s="82"/>
      <c r="CK261" s="82"/>
      <c r="CL261" s="82"/>
      <c r="CM261" s="82"/>
      <c r="CN261" s="82"/>
      <c r="CO261" s="82"/>
      <c r="CP261" s="82"/>
      <c r="CQ261" s="82"/>
      <c r="CR261" s="82"/>
      <c r="CS261" s="82"/>
      <c r="CT261" s="82"/>
      <c r="CU261" s="82"/>
      <c r="CV261" s="82"/>
      <c r="CW261" s="82"/>
      <c r="CX261" s="82"/>
      <c r="CY261" s="82"/>
      <c r="CZ261" s="82"/>
      <c r="DA261" s="82"/>
      <c r="DB261" s="82"/>
      <c r="DC261" s="82"/>
      <c r="DD261" s="82"/>
      <c r="DE261" s="138"/>
      <c r="DF261" s="82"/>
      <c r="DG261" s="82"/>
      <c r="DH261" s="138"/>
      <c r="DI261" s="82"/>
      <c r="DJ261" s="82"/>
      <c r="DK261" s="138"/>
      <c r="DL261" s="82"/>
      <c r="DM261" s="82"/>
      <c r="DN261" s="138"/>
      <c r="DO261" s="82"/>
      <c r="DP261" s="82"/>
      <c r="DQ261" s="138"/>
      <c r="DR261" s="82"/>
      <c r="DS261" s="82"/>
      <c r="DT261" s="138"/>
      <c r="DU261" s="82"/>
      <c r="DV261" s="82"/>
      <c r="DW261" s="138"/>
      <c r="DX261" s="82"/>
      <c r="DY261" s="82"/>
      <c r="DZ261" s="138"/>
      <c r="EA261" s="82"/>
      <c r="EB261" s="82"/>
      <c r="EC261" s="138"/>
      <c r="ED261" s="82"/>
      <c r="EE261" s="82"/>
      <c r="EF261" s="138"/>
      <c r="EG261" s="82"/>
      <c r="EH261" s="82"/>
      <c r="EI261" s="138"/>
      <c r="EJ261" s="82"/>
      <c r="EK261" s="82"/>
      <c r="EL261" s="138"/>
      <c r="EM261" s="82"/>
      <c r="EN261" s="82"/>
      <c r="EO261" s="138"/>
      <c r="EP261" s="82"/>
      <c r="EQ261" s="82"/>
      <c r="ER261" s="138"/>
      <c r="ES261" s="82"/>
      <c r="ET261" s="82"/>
      <c r="EU261" s="138"/>
      <c r="EV261" s="82"/>
      <c r="EW261" s="82"/>
      <c r="EX261" s="138"/>
      <c r="EY261" s="82"/>
      <c r="EZ261" s="82"/>
      <c r="FA261" s="138"/>
    </row>
    <row r="262" spans="1:157" ht="13.35" customHeight="1" outlineLevel="1">
      <c r="A262" s="3"/>
      <c r="B262" s="126" t="str">
        <f t="shared" si="234"/>
        <v xml:space="preserve">     Economic driver</v>
      </c>
      <c r="C262" s="4"/>
      <c r="D262" s="4"/>
      <c r="E262" s="82"/>
      <c r="F262" s="8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c r="AV262" s="82"/>
      <c r="AW262" s="82"/>
      <c r="AX262" s="82"/>
      <c r="AY262" s="82"/>
      <c r="AZ262" s="82"/>
      <c r="BA262" s="82"/>
      <c r="BB262" s="82"/>
      <c r="BC262" s="82"/>
      <c r="BD262" s="82"/>
      <c r="BE262" s="82"/>
      <c r="BF262" s="82"/>
      <c r="BG262" s="82"/>
      <c r="BH262" s="82"/>
      <c r="BI262" s="82"/>
      <c r="BJ262" s="82"/>
      <c r="BK262" s="82"/>
      <c r="BL262" s="82"/>
      <c r="BM262" s="82"/>
      <c r="BN262" s="82"/>
      <c r="BO262" s="82"/>
      <c r="BP262" s="82"/>
      <c r="BQ262" s="82"/>
      <c r="BR262" s="82"/>
      <c r="BS262" s="82"/>
      <c r="BT262" s="82"/>
      <c r="BU262" s="82"/>
      <c r="BV262" s="82"/>
      <c r="BW262" s="82"/>
      <c r="BX262" s="82"/>
      <c r="BY262" s="82"/>
      <c r="BZ262" s="82"/>
      <c r="CA262" s="82"/>
      <c r="CB262" s="82"/>
      <c r="CC262" s="82"/>
      <c r="CD262" s="82"/>
      <c r="CE262" s="82"/>
      <c r="CF262" s="82"/>
      <c r="CG262" s="82"/>
      <c r="CH262" s="82"/>
      <c r="CI262" s="82"/>
      <c r="CJ262" s="82"/>
      <c r="CK262" s="82"/>
      <c r="CL262" s="82"/>
      <c r="CM262" s="82"/>
      <c r="CN262" s="82"/>
      <c r="CO262" s="82"/>
      <c r="CP262" s="82"/>
      <c r="CQ262" s="82"/>
      <c r="CR262" s="82"/>
      <c r="CS262" s="82"/>
      <c r="CT262" s="82"/>
      <c r="CU262" s="82"/>
      <c r="CV262" s="82"/>
      <c r="CW262" s="82"/>
      <c r="CX262" s="82"/>
      <c r="CY262" s="82"/>
      <c r="CZ262" s="82"/>
      <c r="DA262" s="82"/>
      <c r="DB262" s="82"/>
      <c r="DC262" s="82"/>
      <c r="DD262" s="82"/>
      <c r="DE262" s="138"/>
      <c r="DF262" s="82"/>
      <c r="DG262" s="82"/>
      <c r="DH262" s="138"/>
      <c r="DI262" s="82"/>
      <c r="DJ262" s="82"/>
      <c r="DK262" s="138"/>
      <c r="DL262" s="82"/>
      <c r="DM262" s="82"/>
      <c r="DN262" s="138"/>
      <c r="DO262" s="82"/>
      <c r="DP262" s="82"/>
      <c r="DQ262" s="138"/>
      <c r="DR262" s="82"/>
      <c r="DS262" s="82"/>
      <c r="DT262" s="138"/>
      <c r="DU262" s="82"/>
      <c r="DV262" s="82"/>
      <c r="DW262" s="138"/>
      <c r="DX262" s="82"/>
      <c r="DY262" s="82"/>
      <c r="DZ262" s="138"/>
      <c r="EA262" s="82"/>
      <c r="EB262" s="82"/>
      <c r="EC262" s="138"/>
      <c r="ED262" s="82"/>
      <c r="EE262" s="82"/>
      <c r="EF262" s="138"/>
      <c r="EG262" s="82"/>
      <c r="EH262" s="82"/>
      <c r="EI262" s="138"/>
      <c r="EJ262" s="82"/>
      <c r="EK262" s="82"/>
      <c r="EL262" s="138"/>
      <c r="EM262" s="82"/>
      <c r="EN262" s="82"/>
      <c r="EO262" s="138"/>
      <c r="EP262" s="82"/>
      <c r="EQ262" s="82"/>
      <c r="ER262" s="138"/>
      <c r="ES262" s="82"/>
      <c r="ET262" s="82"/>
      <c r="EU262" s="138"/>
      <c r="EV262" s="82"/>
      <c r="EW262" s="82"/>
      <c r="EX262" s="138"/>
      <c r="EY262" s="82"/>
      <c r="EZ262" s="82"/>
      <c r="FA262" s="138"/>
    </row>
    <row r="263" spans="1:157" ht="13.35" customHeight="1" outlineLevel="1">
      <c r="A263" s="3"/>
      <c r="B263" s="126" t="str">
        <f t="shared" si="234"/>
        <v xml:space="preserve">     Economic driver</v>
      </c>
      <c r="C263" s="4"/>
      <c r="D263" s="4"/>
      <c r="E263" s="82"/>
      <c r="F263" s="8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c r="AV263" s="82"/>
      <c r="AW263" s="82"/>
      <c r="AX263" s="82"/>
      <c r="AY263" s="82"/>
      <c r="AZ263" s="82"/>
      <c r="BA263" s="82"/>
      <c r="BB263" s="82"/>
      <c r="BC263" s="82"/>
      <c r="BD263" s="82"/>
      <c r="BE263" s="82"/>
      <c r="BF263" s="82"/>
      <c r="BG263" s="82"/>
      <c r="BH263" s="82"/>
      <c r="BI263" s="82"/>
      <c r="BJ263" s="82"/>
      <c r="BK263" s="82"/>
      <c r="BL263" s="82"/>
      <c r="BM263" s="82"/>
      <c r="BN263" s="82"/>
      <c r="BO263" s="82"/>
      <c r="BP263" s="82"/>
      <c r="BQ263" s="82"/>
      <c r="BR263" s="82"/>
      <c r="BS263" s="82"/>
      <c r="BT263" s="82"/>
      <c r="BU263" s="82"/>
      <c r="BV263" s="82"/>
      <c r="BW263" s="82"/>
      <c r="BX263" s="82"/>
      <c r="BY263" s="82"/>
      <c r="BZ263" s="82"/>
      <c r="CA263" s="82"/>
      <c r="CB263" s="82"/>
      <c r="CC263" s="82"/>
      <c r="CD263" s="82"/>
      <c r="CE263" s="82"/>
      <c r="CF263" s="82"/>
      <c r="CG263" s="82"/>
      <c r="CH263" s="82"/>
      <c r="CI263" s="82"/>
      <c r="CJ263" s="82"/>
      <c r="CK263" s="82"/>
      <c r="CL263" s="82"/>
      <c r="CM263" s="82"/>
      <c r="CN263" s="82"/>
      <c r="CO263" s="82"/>
      <c r="CP263" s="82"/>
      <c r="CQ263" s="82"/>
      <c r="CR263" s="82"/>
      <c r="CS263" s="82"/>
      <c r="CT263" s="82"/>
      <c r="CU263" s="82"/>
      <c r="CV263" s="82"/>
      <c r="CW263" s="82"/>
      <c r="CX263" s="82"/>
      <c r="CY263" s="82"/>
      <c r="CZ263" s="82"/>
      <c r="DA263" s="82"/>
      <c r="DB263" s="82"/>
      <c r="DC263" s="82"/>
      <c r="DD263" s="82"/>
      <c r="DE263" s="138"/>
      <c r="DF263" s="82"/>
      <c r="DG263" s="82"/>
      <c r="DH263" s="138"/>
      <c r="DI263" s="82"/>
      <c r="DJ263" s="82"/>
      <c r="DK263" s="138"/>
      <c r="DL263" s="82"/>
      <c r="DM263" s="82"/>
      <c r="DN263" s="138"/>
      <c r="DO263" s="82"/>
      <c r="DP263" s="82"/>
      <c r="DQ263" s="138"/>
      <c r="DR263" s="82"/>
      <c r="DS263" s="82"/>
      <c r="DT263" s="138"/>
      <c r="DU263" s="82"/>
      <c r="DV263" s="82"/>
      <c r="DW263" s="138"/>
      <c r="DX263" s="82"/>
      <c r="DY263" s="82"/>
      <c r="DZ263" s="138"/>
      <c r="EA263" s="82"/>
      <c r="EB263" s="82"/>
      <c r="EC263" s="138"/>
      <c r="ED263" s="82"/>
      <c r="EE263" s="82"/>
      <c r="EF263" s="138"/>
      <c r="EG263" s="82"/>
      <c r="EH263" s="82"/>
      <c r="EI263" s="138"/>
      <c r="EJ263" s="82"/>
      <c r="EK263" s="82"/>
      <c r="EL263" s="138"/>
      <c r="EM263" s="82"/>
      <c r="EN263" s="82"/>
      <c r="EO263" s="138"/>
      <c r="EP263" s="82"/>
      <c r="EQ263" s="82"/>
      <c r="ER263" s="138"/>
      <c r="ES263" s="82"/>
      <c r="ET263" s="82"/>
      <c r="EU263" s="138"/>
      <c r="EV263" s="82"/>
      <c r="EW263" s="82"/>
      <c r="EX263" s="138"/>
      <c r="EY263" s="82"/>
      <c r="EZ263" s="82"/>
      <c r="FA263" s="138"/>
    </row>
    <row r="264" spans="1:157" ht="13.35" customHeight="1" outlineLevel="1">
      <c r="A264" s="3"/>
      <c r="B264" s="126" t="str">
        <f t="shared" si="234"/>
        <v xml:space="preserve">     Economic driver</v>
      </c>
      <c r="C264" s="4"/>
      <c r="D264" s="4"/>
      <c r="E264" s="82"/>
      <c r="F264" s="8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c r="AV264" s="82"/>
      <c r="AW264" s="82"/>
      <c r="AX264" s="82"/>
      <c r="AY264" s="82"/>
      <c r="AZ264" s="82"/>
      <c r="BA264" s="82"/>
      <c r="BB264" s="82"/>
      <c r="BC264" s="82"/>
      <c r="BD264" s="82"/>
      <c r="BE264" s="82"/>
      <c r="BF264" s="82"/>
      <c r="BG264" s="82"/>
      <c r="BH264" s="82"/>
      <c r="BI264" s="82"/>
      <c r="BJ264" s="82"/>
      <c r="BK264" s="82"/>
      <c r="BL264" s="82"/>
      <c r="BM264" s="82"/>
      <c r="BN264" s="82"/>
      <c r="BO264" s="82"/>
      <c r="BP264" s="82"/>
      <c r="BQ264" s="82"/>
      <c r="BR264" s="82"/>
      <c r="BS264" s="82"/>
      <c r="BT264" s="82"/>
      <c r="BU264" s="82"/>
      <c r="BV264" s="82"/>
      <c r="BW264" s="82"/>
      <c r="BX264" s="82"/>
      <c r="BY264" s="82"/>
      <c r="BZ264" s="82"/>
      <c r="CA264" s="82"/>
      <c r="CB264" s="82"/>
      <c r="CC264" s="82"/>
      <c r="CD264" s="82"/>
      <c r="CE264" s="82"/>
      <c r="CF264" s="82"/>
      <c r="CG264" s="82"/>
      <c r="CH264" s="82"/>
      <c r="CI264" s="82"/>
      <c r="CJ264" s="82"/>
      <c r="CK264" s="82"/>
      <c r="CL264" s="82"/>
      <c r="CM264" s="82"/>
      <c r="CN264" s="82"/>
      <c r="CO264" s="82"/>
      <c r="CP264" s="82"/>
      <c r="CQ264" s="82"/>
      <c r="CR264" s="82"/>
      <c r="CS264" s="82"/>
      <c r="CT264" s="82"/>
      <c r="CU264" s="82"/>
      <c r="CV264" s="82"/>
      <c r="CW264" s="82"/>
      <c r="CX264" s="82"/>
      <c r="CY264" s="82"/>
      <c r="CZ264" s="82"/>
      <c r="DA264" s="82"/>
      <c r="DB264" s="82"/>
      <c r="DC264" s="82"/>
      <c r="DD264" s="82"/>
      <c r="DE264" s="138"/>
      <c r="DF264" s="82"/>
      <c r="DG264" s="82"/>
      <c r="DH264" s="138"/>
      <c r="DI264" s="82"/>
      <c r="DJ264" s="82"/>
      <c r="DK264" s="138"/>
      <c r="DL264" s="82"/>
      <c r="DM264" s="82"/>
      <c r="DN264" s="138"/>
      <c r="DO264" s="82"/>
      <c r="DP264" s="82"/>
      <c r="DQ264" s="138"/>
      <c r="DR264" s="82"/>
      <c r="DS264" s="82"/>
      <c r="DT264" s="138"/>
      <c r="DU264" s="82"/>
      <c r="DV264" s="82"/>
      <c r="DW264" s="138"/>
      <c r="DX264" s="82"/>
      <c r="DY264" s="82"/>
      <c r="DZ264" s="138"/>
      <c r="EA264" s="82"/>
      <c r="EB264" s="82"/>
      <c r="EC264" s="138"/>
      <c r="ED264" s="82"/>
      <c r="EE264" s="82"/>
      <c r="EF264" s="138"/>
      <c r="EG264" s="82"/>
      <c r="EH264" s="82"/>
      <c r="EI264" s="138"/>
      <c r="EJ264" s="82"/>
      <c r="EK264" s="82"/>
      <c r="EL264" s="138"/>
      <c r="EM264" s="82"/>
      <c r="EN264" s="82"/>
      <c r="EO264" s="138"/>
      <c r="EP264" s="82"/>
      <c r="EQ264" s="82"/>
      <c r="ER264" s="138"/>
      <c r="ES264" s="82"/>
      <c r="ET264" s="82"/>
      <c r="EU264" s="138"/>
      <c r="EV264" s="82"/>
      <c r="EW264" s="82"/>
      <c r="EX264" s="138"/>
      <c r="EY264" s="82"/>
      <c r="EZ264" s="82"/>
      <c r="FA264" s="138"/>
    </row>
    <row r="265" spans="1:157" ht="13.35" customHeight="1" outlineLevel="1">
      <c r="A265" s="3"/>
      <c r="B265" s="126" t="str">
        <f t="shared" si="234"/>
        <v xml:space="preserve">     Economic driver</v>
      </c>
      <c r="C265" s="4"/>
      <c r="D265" s="4"/>
      <c r="E265" s="82"/>
      <c r="F265" s="8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c r="AV265" s="82"/>
      <c r="AW265" s="82"/>
      <c r="AX265" s="82"/>
      <c r="AY265" s="82"/>
      <c r="AZ265" s="82"/>
      <c r="BA265" s="82"/>
      <c r="BB265" s="82"/>
      <c r="BC265" s="82"/>
      <c r="BD265" s="82"/>
      <c r="BE265" s="82"/>
      <c r="BF265" s="82"/>
      <c r="BG265" s="82"/>
      <c r="BH265" s="82"/>
      <c r="BI265" s="82"/>
      <c r="BJ265" s="82"/>
      <c r="BK265" s="82"/>
      <c r="BL265" s="82"/>
      <c r="BM265" s="82"/>
      <c r="BN265" s="82"/>
      <c r="BO265" s="82"/>
      <c r="BP265" s="82"/>
      <c r="BQ265" s="82"/>
      <c r="BR265" s="82"/>
      <c r="BS265" s="82"/>
      <c r="BT265" s="82"/>
      <c r="BU265" s="82"/>
      <c r="BV265" s="82"/>
      <c r="BW265" s="82"/>
      <c r="BX265" s="82"/>
      <c r="BY265" s="82"/>
      <c r="BZ265" s="82"/>
      <c r="CA265" s="82"/>
      <c r="CB265" s="82"/>
      <c r="CC265" s="82"/>
      <c r="CD265" s="82"/>
      <c r="CE265" s="82"/>
      <c r="CF265" s="82"/>
      <c r="CG265" s="82"/>
      <c r="CH265" s="82"/>
      <c r="CI265" s="82"/>
      <c r="CJ265" s="82"/>
      <c r="CK265" s="82"/>
      <c r="CL265" s="82"/>
      <c r="CM265" s="82"/>
      <c r="CN265" s="82"/>
      <c r="CO265" s="82"/>
      <c r="CP265" s="82"/>
      <c r="CQ265" s="82"/>
      <c r="CR265" s="82"/>
      <c r="CS265" s="82"/>
      <c r="CT265" s="82"/>
      <c r="CU265" s="82"/>
      <c r="CV265" s="82"/>
      <c r="CW265" s="82"/>
      <c r="CX265" s="82"/>
      <c r="CY265" s="82"/>
      <c r="CZ265" s="82"/>
      <c r="DA265" s="82"/>
      <c r="DB265" s="82"/>
      <c r="DC265" s="82"/>
      <c r="DD265" s="82"/>
      <c r="DE265" s="138"/>
      <c r="DF265" s="82"/>
      <c r="DG265" s="82"/>
      <c r="DH265" s="138"/>
      <c r="DI265" s="82"/>
      <c r="DJ265" s="82"/>
      <c r="DK265" s="138"/>
      <c r="DL265" s="82"/>
      <c r="DM265" s="82"/>
      <c r="DN265" s="138"/>
      <c r="DO265" s="82"/>
      <c r="DP265" s="82"/>
      <c r="DQ265" s="138"/>
      <c r="DR265" s="82"/>
      <c r="DS265" s="82"/>
      <c r="DT265" s="138"/>
      <c r="DU265" s="82"/>
      <c r="DV265" s="82"/>
      <c r="DW265" s="138"/>
      <c r="DX265" s="82"/>
      <c r="DY265" s="82"/>
      <c r="DZ265" s="138"/>
      <c r="EA265" s="82"/>
      <c r="EB265" s="82"/>
      <c r="EC265" s="138"/>
      <c r="ED265" s="82"/>
      <c r="EE265" s="82"/>
      <c r="EF265" s="138"/>
      <c r="EG265" s="82"/>
      <c r="EH265" s="82"/>
      <c r="EI265" s="138"/>
      <c r="EJ265" s="82"/>
      <c r="EK265" s="82"/>
      <c r="EL265" s="138"/>
      <c r="EM265" s="82"/>
      <c r="EN265" s="82"/>
      <c r="EO265" s="138"/>
      <c r="EP265" s="82"/>
      <c r="EQ265" s="82"/>
      <c r="ER265" s="138"/>
      <c r="ES265" s="82"/>
      <c r="ET265" s="82"/>
      <c r="EU265" s="138"/>
      <c r="EV265" s="82"/>
      <c r="EW265" s="82"/>
      <c r="EX265" s="138"/>
      <c r="EY265" s="82"/>
      <c r="EZ265" s="82"/>
      <c r="FA265" s="138"/>
    </row>
    <row r="266" spans="1:157" ht="13.35" customHeight="1" outlineLevel="1">
      <c r="A266" s="3"/>
      <c r="B266" s="126" t="str">
        <f t="shared" si="234"/>
        <v xml:space="preserve">     Economic driver</v>
      </c>
      <c r="C266" s="4"/>
      <c r="D266" s="4"/>
      <c r="E266" s="82"/>
      <c r="F266" s="8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c r="AV266" s="82"/>
      <c r="AW266" s="82"/>
      <c r="AX266" s="82"/>
      <c r="AY266" s="82"/>
      <c r="AZ266" s="82"/>
      <c r="BA266" s="82"/>
      <c r="BB266" s="82"/>
      <c r="BC266" s="82"/>
      <c r="BD266" s="82"/>
      <c r="BE266" s="82"/>
      <c r="BF266" s="82"/>
      <c r="BG266" s="82"/>
      <c r="BH266" s="82"/>
      <c r="BI266" s="82"/>
      <c r="BJ266" s="82"/>
      <c r="BK266" s="82"/>
      <c r="BL266" s="82"/>
      <c r="BM266" s="82"/>
      <c r="BN266" s="82"/>
      <c r="BO266" s="82"/>
      <c r="BP266" s="82"/>
      <c r="BQ266" s="82"/>
      <c r="BR266" s="82"/>
      <c r="BS266" s="82"/>
      <c r="BT266" s="82"/>
      <c r="BU266" s="82"/>
      <c r="BV266" s="82"/>
      <c r="BW266" s="82"/>
      <c r="BX266" s="82"/>
      <c r="BY266" s="82"/>
      <c r="BZ266" s="82"/>
      <c r="CA266" s="82"/>
      <c r="CB266" s="82"/>
      <c r="CC266" s="82"/>
      <c r="CD266" s="82"/>
      <c r="CE266" s="82"/>
      <c r="CF266" s="82"/>
      <c r="CG266" s="82"/>
      <c r="CH266" s="82"/>
      <c r="CI266" s="82"/>
      <c r="CJ266" s="82"/>
      <c r="CK266" s="82"/>
      <c r="CL266" s="82"/>
      <c r="CM266" s="82"/>
      <c r="CN266" s="82"/>
      <c r="CO266" s="82"/>
      <c r="CP266" s="82"/>
      <c r="CQ266" s="82"/>
      <c r="CR266" s="82"/>
      <c r="CS266" s="82"/>
      <c r="CT266" s="82"/>
      <c r="CU266" s="82"/>
      <c r="CV266" s="82"/>
      <c r="CW266" s="82"/>
      <c r="CX266" s="82"/>
      <c r="CY266" s="82"/>
      <c r="CZ266" s="82"/>
      <c r="DA266" s="82"/>
      <c r="DB266" s="82"/>
      <c r="DC266" s="82"/>
      <c r="DD266" s="82"/>
      <c r="DE266" s="138"/>
      <c r="DF266" s="82"/>
      <c r="DG266" s="82"/>
      <c r="DH266" s="138"/>
      <c r="DI266" s="82"/>
      <c r="DJ266" s="82"/>
      <c r="DK266" s="138"/>
      <c r="DL266" s="82"/>
      <c r="DM266" s="82"/>
      <c r="DN266" s="138"/>
      <c r="DO266" s="82"/>
      <c r="DP266" s="82"/>
      <c r="DQ266" s="138"/>
      <c r="DR266" s="82"/>
      <c r="DS266" s="82"/>
      <c r="DT266" s="138"/>
      <c r="DU266" s="82"/>
      <c r="DV266" s="82"/>
      <c r="DW266" s="138"/>
      <c r="DX266" s="82"/>
      <c r="DY266" s="82"/>
      <c r="DZ266" s="138"/>
      <c r="EA266" s="82"/>
      <c r="EB266" s="82"/>
      <c r="EC266" s="138"/>
      <c r="ED266" s="82"/>
      <c r="EE266" s="82"/>
      <c r="EF266" s="138"/>
      <c r="EG266" s="82"/>
      <c r="EH266" s="82"/>
      <c r="EI266" s="138"/>
      <c r="EJ266" s="82"/>
      <c r="EK266" s="82"/>
      <c r="EL266" s="138"/>
      <c r="EM266" s="82"/>
      <c r="EN266" s="82"/>
      <c r="EO266" s="138"/>
      <c r="EP266" s="82"/>
      <c r="EQ266" s="82"/>
      <c r="ER266" s="138"/>
      <c r="ES266" s="82"/>
      <c r="ET266" s="82"/>
      <c r="EU266" s="138"/>
      <c r="EV266" s="82"/>
      <c r="EW266" s="82"/>
      <c r="EX266" s="138"/>
      <c r="EY266" s="82"/>
      <c r="EZ266" s="82"/>
      <c r="FA266" s="138"/>
    </row>
    <row r="267" spans="1:157" ht="13.35" customHeight="1" outlineLevel="1">
      <c r="A267" s="3"/>
      <c r="B267" s="126" t="str">
        <f t="shared" si="234"/>
        <v xml:space="preserve">     Economic driver</v>
      </c>
      <c r="C267" s="4"/>
      <c r="D267" s="4"/>
      <c r="E267" s="82"/>
      <c r="F267" s="82"/>
      <c r="G267" s="82"/>
      <c r="H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c r="AV267" s="82"/>
      <c r="AW267" s="82"/>
      <c r="AX267" s="82"/>
      <c r="AY267" s="82"/>
      <c r="AZ267" s="82"/>
      <c r="BA267" s="82"/>
      <c r="BB267" s="82"/>
      <c r="BC267" s="82"/>
      <c r="BD267" s="82"/>
      <c r="BE267" s="82"/>
      <c r="BF267" s="82"/>
      <c r="BG267" s="82"/>
      <c r="BH267" s="82"/>
      <c r="BI267" s="82"/>
      <c r="BJ267" s="82"/>
      <c r="BK267" s="82"/>
      <c r="BL267" s="82"/>
      <c r="BM267" s="82"/>
      <c r="BN267" s="82"/>
      <c r="BO267" s="82"/>
      <c r="BP267" s="82"/>
      <c r="BQ267" s="82"/>
      <c r="BR267" s="82"/>
      <c r="BS267" s="82"/>
      <c r="BT267" s="82"/>
      <c r="BU267" s="82"/>
      <c r="BV267" s="82"/>
      <c r="BW267" s="82"/>
      <c r="BX267" s="82"/>
      <c r="BY267" s="82"/>
      <c r="BZ267" s="82"/>
      <c r="CA267" s="82"/>
      <c r="CB267" s="82"/>
      <c r="CC267" s="82"/>
      <c r="CD267" s="82"/>
      <c r="CE267" s="82"/>
      <c r="CF267" s="82"/>
      <c r="CG267" s="82"/>
      <c r="CH267" s="82"/>
      <c r="CI267" s="82"/>
      <c r="CJ267" s="82"/>
      <c r="CK267" s="82"/>
      <c r="CL267" s="82"/>
      <c r="CM267" s="82"/>
      <c r="CN267" s="82"/>
      <c r="CO267" s="82"/>
      <c r="CP267" s="82"/>
      <c r="CQ267" s="82"/>
      <c r="CR267" s="82"/>
      <c r="CS267" s="82"/>
      <c r="CT267" s="82"/>
      <c r="CU267" s="82"/>
      <c r="CV267" s="82"/>
      <c r="CW267" s="82"/>
      <c r="CX267" s="82"/>
      <c r="CY267" s="82"/>
      <c r="CZ267" s="82"/>
      <c r="DA267" s="82"/>
      <c r="DB267" s="82"/>
      <c r="DC267" s="82"/>
      <c r="DD267" s="82"/>
      <c r="DE267" s="138"/>
      <c r="DF267" s="82"/>
      <c r="DG267" s="82"/>
      <c r="DH267" s="138"/>
      <c r="DI267" s="82"/>
      <c r="DJ267" s="82"/>
      <c r="DK267" s="138"/>
      <c r="DL267" s="82"/>
      <c r="DM267" s="82"/>
      <c r="DN267" s="138"/>
      <c r="DO267" s="82"/>
      <c r="DP267" s="82"/>
      <c r="DQ267" s="138"/>
      <c r="DR267" s="82"/>
      <c r="DS267" s="82"/>
      <c r="DT267" s="138"/>
      <c r="DU267" s="82"/>
      <c r="DV267" s="82"/>
      <c r="DW267" s="138"/>
      <c r="DX267" s="82"/>
      <c r="DY267" s="82"/>
      <c r="DZ267" s="138"/>
      <c r="EA267" s="82"/>
      <c r="EB267" s="82"/>
      <c r="EC267" s="138"/>
      <c r="ED267" s="82"/>
      <c r="EE267" s="82"/>
      <c r="EF267" s="138"/>
      <c r="EG267" s="82"/>
      <c r="EH267" s="82"/>
      <c r="EI267" s="138"/>
      <c r="EJ267" s="82"/>
      <c r="EK267" s="82"/>
      <c r="EL267" s="138"/>
      <c r="EM267" s="82"/>
      <c r="EN267" s="82"/>
      <c r="EO267" s="138"/>
      <c r="EP267" s="82"/>
      <c r="EQ267" s="82"/>
      <c r="ER267" s="138"/>
      <c r="ES267" s="82"/>
      <c r="ET267" s="82"/>
      <c r="EU267" s="138"/>
      <c r="EV267" s="82"/>
      <c r="EW267" s="82"/>
      <c r="EX267" s="138"/>
      <c r="EY267" s="82"/>
      <c r="EZ267" s="82"/>
      <c r="FA267" s="138"/>
    </row>
    <row r="268" spans="1:157" ht="13.35" customHeight="1" outlineLevel="1">
      <c r="A268" s="3"/>
      <c r="B268" s="126" t="str">
        <f t="shared" si="234"/>
        <v xml:space="preserve">     Economic driver</v>
      </c>
      <c r="C268" s="3"/>
      <c r="D268" s="130"/>
      <c r="E268" s="82"/>
      <c r="F268" s="82"/>
      <c r="G268" s="82"/>
      <c r="H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c r="AV268" s="82"/>
      <c r="AW268" s="82"/>
      <c r="AX268" s="82"/>
      <c r="AY268" s="82"/>
      <c r="AZ268" s="82"/>
      <c r="BA268" s="82"/>
      <c r="BB268" s="82"/>
      <c r="BC268" s="82"/>
      <c r="BD268" s="82"/>
      <c r="BE268" s="82"/>
      <c r="BF268" s="82"/>
      <c r="BG268" s="82"/>
      <c r="BH268" s="82"/>
      <c r="BI268" s="82"/>
      <c r="BJ268" s="82"/>
      <c r="BK268" s="82"/>
      <c r="BL268" s="82"/>
      <c r="BM268" s="82"/>
      <c r="BN268" s="82"/>
      <c r="BO268" s="82"/>
      <c r="BP268" s="82"/>
      <c r="BQ268" s="82"/>
      <c r="BR268" s="82"/>
      <c r="BS268" s="82"/>
      <c r="BT268" s="82"/>
      <c r="BU268" s="82"/>
      <c r="BV268" s="82"/>
      <c r="BW268" s="82"/>
      <c r="BX268" s="82"/>
      <c r="BY268" s="82"/>
      <c r="BZ268" s="82"/>
      <c r="CA268" s="82"/>
      <c r="CB268" s="82"/>
      <c r="CC268" s="82"/>
      <c r="CD268" s="82"/>
      <c r="CE268" s="82"/>
      <c r="CF268" s="82"/>
      <c r="CG268" s="82"/>
      <c r="CH268" s="82"/>
      <c r="CI268" s="82"/>
      <c r="CJ268" s="82"/>
      <c r="CK268" s="82"/>
      <c r="CL268" s="82"/>
      <c r="CM268" s="82"/>
      <c r="CN268" s="82"/>
      <c r="CO268" s="82"/>
      <c r="CP268" s="82"/>
      <c r="CQ268" s="82"/>
      <c r="CR268" s="82"/>
      <c r="CS268" s="82"/>
      <c r="CT268" s="82"/>
      <c r="CU268" s="82"/>
      <c r="CV268" s="82"/>
      <c r="CW268" s="82"/>
      <c r="CX268" s="82"/>
      <c r="CY268" s="82"/>
      <c r="CZ268" s="82"/>
      <c r="DA268" s="82"/>
      <c r="DB268" s="82"/>
      <c r="DC268" s="82"/>
      <c r="DD268" s="82"/>
      <c r="DE268" s="138"/>
      <c r="DF268" s="82"/>
      <c r="DG268" s="82"/>
      <c r="DH268" s="138"/>
      <c r="DI268" s="82"/>
      <c r="DJ268" s="82"/>
      <c r="DK268" s="138"/>
      <c r="DL268" s="82"/>
      <c r="DM268" s="82"/>
      <c r="DN268" s="138"/>
      <c r="DO268" s="82"/>
      <c r="DP268" s="82"/>
      <c r="DQ268" s="138"/>
      <c r="DR268" s="82"/>
      <c r="DS268" s="82"/>
      <c r="DT268" s="138"/>
      <c r="DU268" s="82"/>
      <c r="DV268" s="82"/>
      <c r="DW268" s="138"/>
      <c r="DX268" s="82"/>
      <c r="DY268" s="82"/>
      <c r="DZ268" s="138"/>
      <c r="EA268" s="82"/>
      <c r="EB268" s="82"/>
      <c r="EC268" s="138"/>
      <c r="ED268" s="82"/>
      <c r="EE268" s="82"/>
      <c r="EF268" s="138"/>
      <c r="EG268" s="82"/>
      <c r="EH268" s="82"/>
      <c r="EI268" s="138"/>
      <c r="EJ268" s="82"/>
      <c r="EK268" s="82"/>
      <c r="EL268" s="138"/>
      <c r="EM268" s="82"/>
      <c r="EN268" s="82"/>
      <c r="EO268" s="138"/>
      <c r="EP268" s="82"/>
      <c r="EQ268" s="82"/>
      <c r="ER268" s="138"/>
      <c r="ES268" s="82"/>
      <c r="ET268" s="82"/>
      <c r="EU268" s="138"/>
      <c r="EV268" s="82"/>
      <c r="EW268" s="82"/>
      <c r="EX268" s="138"/>
      <c r="EY268" s="82"/>
      <c r="EZ268" s="82"/>
      <c r="FA268" s="138"/>
    </row>
    <row r="269" spans="1:157" ht="13.35" customHeight="1" outlineLevel="1">
      <c r="A269" s="3"/>
      <c r="B269" s="126" t="str">
        <f t="shared" si="234"/>
        <v xml:space="preserve">     Economic driver</v>
      </c>
      <c r="C269" s="3"/>
      <c r="D269" s="130"/>
      <c r="E269" s="82"/>
      <c r="F269" s="8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c r="AV269" s="82"/>
      <c r="AW269" s="82"/>
      <c r="AX269" s="82"/>
      <c r="AY269" s="82"/>
      <c r="AZ269" s="82"/>
      <c r="BA269" s="82"/>
      <c r="BB269" s="82"/>
      <c r="BC269" s="82"/>
      <c r="BD269" s="82"/>
      <c r="BE269" s="82"/>
      <c r="BF269" s="82"/>
      <c r="BG269" s="82"/>
      <c r="BH269" s="82"/>
      <c r="BI269" s="82"/>
      <c r="BJ269" s="82"/>
      <c r="BK269" s="82"/>
      <c r="BL269" s="82"/>
      <c r="BM269" s="82"/>
      <c r="BN269" s="82"/>
      <c r="BO269" s="82"/>
      <c r="BP269" s="82"/>
      <c r="BQ269" s="82"/>
      <c r="BR269" s="82"/>
      <c r="BS269" s="82"/>
      <c r="BT269" s="82"/>
      <c r="BU269" s="82"/>
      <c r="BV269" s="82"/>
      <c r="BW269" s="82"/>
      <c r="BX269" s="82"/>
      <c r="BY269" s="82"/>
      <c r="BZ269" s="82"/>
      <c r="CA269" s="82"/>
      <c r="CB269" s="82"/>
      <c r="CC269" s="82"/>
      <c r="CD269" s="82"/>
      <c r="CE269" s="82"/>
      <c r="CF269" s="82"/>
      <c r="CG269" s="82"/>
      <c r="CH269" s="82"/>
      <c r="CI269" s="82"/>
      <c r="CJ269" s="82"/>
      <c r="CK269" s="82"/>
      <c r="CL269" s="82"/>
      <c r="CM269" s="82"/>
      <c r="CN269" s="82"/>
      <c r="CO269" s="82"/>
      <c r="CP269" s="82"/>
      <c r="CQ269" s="82"/>
      <c r="CR269" s="82"/>
      <c r="CS269" s="82"/>
      <c r="CT269" s="82"/>
      <c r="CU269" s="82"/>
      <c r="CV269" s="82"/>
      <c r="CW269" s="82"/>
      <c r="CX269" s="82"/>
      <c r="CY269" s="82"/>
      <c r="CZ269" s="82"/>
      <c r="DA269" s="82"/>
      <c r="DB269" s="82"/>
      <c r="DC269" s="82"/>
      <c r="DD269" s="82"/>
      <c r="DE269" s="138"/>
      <c r="DF269" s="82"/>
      <c r="DG269" s="82"/>
      <c r="DH269" s="138"/>
      <c r="DI269" s="82"/>
      <c r="DJ269" s="82"/>
      <c r="DK269" s="138"/>
      <c r="DL269" s="82"/>
      <c r="DM269" s="82"/>
      <c r="DN269" s="138"/>
      <c r="DO269" s="82"/>
      <c r="DP269" s="82"/>
      <c r="DQ269" s="138"/>
      <c r="DR269" s="82"/>
      <c r="DS269" s="82"/>
      <c r="DT269" s="138"/>
      <c r="DU269" s="82"/>
      <c r="DV269" s="82"/>
      <c r="DW269" s="138"/>
      <c r="DX269" s="82"/>
      <c r="DY269" s="82"/>
      <c r="DZ269" s="138"/>
      <c r="EA269" s="82"/>
      <c r="EB269" s="82"/>
      <c r="EC269" s="138"/>
      <c r="ED269" s="82"/>
      <c r="EE269" s="82"/>
      <c r="EF269" s="138"/>
      <c r="EG269" s="82"/>
      <c r="EH269" s="82"/>
      <c r="EI269" s="138"/>
      <c r="EJ269" s="82"/>
      <c r="EK269" s="82"/>
      <c r="EL269" s="138"/>
      <c r="EM269" s="82"/>
      <c r="EN269" s="82"/>
      <c r="EO269" s="138"/>
      <c r="EP269" s="82"/>
      <c r="EQ269" s="82"/>
      <c r="ER269" s="138"/>
      <c r="ES269" s="82"/>
      <c r="ET269" s="82"/>
      <c r="EU269" s="138"/>
      <c r="EV269" s="82"/>
      <c r="EW269" s="82"/>
      <c r="EX269" s="138"/>
      <c r="EY269" s="82"/>
      <c r="EZ269" s="82"/>
      <c r="FA269" s="138"/>
    </row>
    <row r="270" spans="1:157" ht="13.35" customHeight="1" outlineLevel="1">
      <c r="A270" s="3"/>
      <c r="B270" s="126" t="str">
        <f t="shared" si="234"/>
        <v xml:space="preserve">     Economic driver</v>
      </c>
      <c r="C270" s="3"/>
      <c r="D270" s="130"/>
      <c r="E270" s="82"/>
      <c r="F270" s="8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c r="AV270" s="82"/>
      <c r="AW270" s="82"/>
      <c r="AX270" s="82"/>
      <c r="AY270" s="82"/>
      <c r="AZ270" s="82"/>
      <c r="BA270" s="82"/>
      <c r="BB270" s="82"/>
      <c r="BC270" s="82"/>
      <c r="BD270" s="82"/>
      <c r="BE270" s="82"/>
      <c r="BF270" s="82"/>
      <c r="BG270" s="82"/>
      <c r="BH270" s="82"/>
      <c r="BI270" s="82"/>
      <c r="BJ270" s="82"/>
      <c r="BK270" s="82"/>
      <c r="BL270" s="82"/>
      <c r="BM270" s="82"/>
      <c r="BN270" s="82"/>
      <c r="BO270" s="82"/>
      <c r="BP270" s="82"/>
      <c r="BQ270" s="82"/>
      <c r="BR270" s="82"/>
      <c r="BS270" s="82"/>
      <c r="BT270" s="82"/>
      <c r="BU270" s="82"/>
      <c r="BV270" s="82"/>
      <c r="BW270" s="82"/>
      <c r="BX270" s="82"/>
      <c r="BY270" s="82"/>
      <c r="BZ270" s="82"/>
      <c r="CA270" s="82"/>
      <c r="CB270" s="82"/>
      <c r="CC270" s="82"/>
      <c r="CD270" s="82"/>
      <c r="CE270" s="82"/>
      <c r="CF270" s="82"/>
      <c r="CG270" s="82"/>
      <c r="CH270" s="82"/>
      <c r="CI270" s="82"/>
      <c r="CJ270" s="82"/>
      <c r="CK270" s="82"/>
      <c r="CL270" s="82"/>
      <c r="CM270" s="82"/>
      <c r="CN270" s="82"/>
      <c r="CO270" s="82"/>
      <c r="CP270" s="82"/>
      <c r="CQ270" s="82"/>
      <c r="CR270" s="82"/>
      <c r="CS270" s="82"/>
      <c r="CT270" s="82"/>
      <c r="CU270" s="82"/>
      <c r="CV270" s="82"/>
      <c r="CW270" s="82"/>
      <c r="CX270" s="82"/>
      <c r="CY270" s="82"/>
      <c r="CZ270" s="82"/>
      <c r="DA270" s="82"/>
      <c r="DB270" s="82"/>
      <c r="DC270" s="82"/>
      <c r="DD270" s="82"/>
      <c r="DE270" s="138"/>
      <c r="DF270" s="82"/>
      <c r="DG270" s="82"/>
      <c r="DH270" s="138"/>
      <c r="DI270" s="82"/>
      <c r="DJ270" s="82"/>
      <c r="DK270" s="138"/>
      <c r="DL270" s="82"/>
      <c r="DM270" s="82"/>
      <c r="DN270" s="138"/>
      <c r="DO270" s="82"/>
      <c r="DP270" s="82"/>
      <c r="DQ270" s="138"/>
      <c r="DR270" s="82"/>
      <c r="DS270" s="82"/>
      <c r="DT270" s="138"/>
      <c r="DU270" s="82"/>
      <c r="DV270" s="82"/>
      <c r="DW270" s="138"/>
      <c r="DX270" s="82"/>
      <c r="DY270" s="82"/>
      <c r="DZ270" s="138"/>
      <c r="EA270" s="82"/>
      <c r="EB270" s="82"/>
      <c r="EC270" s="138"/>
      <c r="ED270" s="82"/>
      <c r="EE270" s="82"/>
      <c r="EF270" s="138"/>
      <c r="EG270" s="82"/>
      <c r="EH270" s="82"/>
      <c r="EI270" s="138"/>
      <c r="EJ270" s="82"/>
      <c r="EK270" s="82"/>
      <c r="EL270" s="138"/>
      <c r="EM270" s="82"/>
      <c r="EN270" s="82"/>
      <c r="EO270" s="138"/>
      <c r="EP270" s="82"/>
      <c r="EQ270" s="82"/>
      <c r="ER270" s="138"/>
      <c r="ES270" s="82"/>
      <c r="ET270" s="82"/>
      <c r="EU270" s="138"/>
      <c r="EV270" s="82"/>
      <c r="EW270" s="82"/>
      <c r="EX270" s="138"/>
      <c r="EY270" s="82"/>
      <c r="EZ270" s="82"/>
      <c r="FA270" s="138"/>
    </row>
    <row r="271" spans="1:157" ht="13.35" customHeight="1" outlineLevel="1">
      <c r="A271" s="3"/>
      <c r="B271" s="126" t="str">
        <f t="shared" si="234"/>
        <v xml:space="preserve">     Economic driver</v>
      </c>
      <c r="C271" s="4"/>
      <c r="D271" s="4"/>
      <c r="E271" s="82"/>
      <c r="F271" s="8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c r="AV271" s="82"/>
      <c r="AW271" s="82"/>
      <c r="AX271" s="82"/>
      <c r="AY271" s="82"/>
      <c r="AZ271" s="82"/>
      <c r="BA271" s="82"/>
      <c r="BB271" s="82"/>
      <c r="BC271" s="82"/>
      <c r="BD271" s="82"/>
      <c r="BE271" s="82"/>
      <c r="BF271" s="82"/>
      <c r="BG271" s="82"/>
      <c r="BH271" s="82"/>
      <c r="BI271" s="82"/>
      <c r="BJ271" s="82"/>
      <c r="BK271" s="82"/>
      <c r="BL271" s="82"/>
      <c r="BM271" s="82"/>
      <c r="BN271" s="82"/>
      <c r="BO271" s="82"/>
      <c r="BP271" s="82"/>
      <c r="BQ271" s="82"/>
      <c r="BR271" s="82"/>
      <c r="BS271" s="82"/>
      <c r="BT271" s="82"/>
      <c r="BU271" s="82"/>
      <c r="BV271" s="82"/>
      <c r="BW271" s="82"/>
      <c r="BX271" s="82"/>
      <c r="BY271" s="82"/>
      <c r="BZ271" s="82"/>
      <c r="CA271" s="82"/>
      <c r="CB271" s="82"/>
      <c r="CC271" s="82"/>
      <c r="CD271" s="82"/>
      <c r="CE271" s="82"/>
      <c r="CF271" s="82"/>
      <c r="CG271" s="82"/>
      <c r="CH271" s="82"/>
      <c r="CI271" s="82"/>
      <c r="CJ271" s="82"/>
      <c r="CK271" s="82"/>
      <c r="CL271" s="82"/>
      <c r="CM271" s="82"/>
      <c r="CN271" s="82"/>
      <c r="CO271" s="82"/>
      <c r="CP271" s="82"/>
      <c r="CQ271" s="82"/>
      <c r="CR271" s="82"/>
      <c r="CS271" s="82"/>
      <c r="CT271" s="82"/>
      <c r="CU271" s="82"/>
      <c r="CV271" s="82"/>
      <c r="CW271" s="82"/>
      <c r="CX271" s="82"/>
      <c r="CY271" s="82"/>
      <c r="CZ271" s="82"/>
      <c r="DA271" s="82"/>
      <c r="DB271" s="82"/>
      <c r="DC271" s="82"/>
      <c r="DD271" s="82"/>
      <c r="DE271" s="138"/>
      <c r="DF271" s="82"/>
      <c r="DG271" s="82"/>
      <c r="DH271" s="138"/>
      <c r="DI271" s="82"/>
      <c r="DJ271" s="82"/>
      <c r="DK271" s="138"/>
      <c r="DL271" s="82"/>
      <c r="DM271" s="82"/>
      <c r="DN271" s="138"/>
      <c r="DO271" s="82"/>
      <c r="DP271" s="82"/>
      <c r="DQ271" s="138"/>
      <c r="DR271" s="82"/>
      <c r="DS271" s="82"/>
      <c r="DT271" s="138"/>
      <c r="DU271" s="82"/>
      <c r="DV271" s="82"/>
      <c r="DW271" s="138"/>
      <c r="DX271" s="82"/>
      <c r="DY271" s="82"/>
      <c r="DZ271" s="138"/>
      <c r="EA271" s="82"/>
      <c r="EB271" s="82"/>
      <c r="EC271" s="138"/>
      <c r="ED271" s="82"/>
      <c r="EE271" s="82"/>
      <c r="EF271" s="138"/>
      <c r="EG271" s="82"/>
      <c r="EH271" s="82"/>
      <c r="EI271" s="138"/>
      <c r="EJ271" s="82"/>
      <c r="EK271" s="82"/>
      <c r="EL271" s="138"/>
      <c r="EM271" s="82"/>
      <c r="EN271" s="82"/>
      <c r="EO271" s="138"/>
      <c r="EP271" s="82"/>
      <c r="EQ271" s="82"/>
      <c r="ER271" s="138"/>
      <c r="ES271" s="82"/>
      <c r="ET271" s="82"/>
      <c r="EU271" s="138"/>
      <c r="EV271" s="82"/>
      <c r="EW271" s="82"/>
      <c r="EX271" s="138"/>
      <c r="EY271" s="82"/>
      <c r="EZ271" s="82"/>
      <c r="FA271" s="138"/>
    </row>
    <row r="272" spans="1:157" ht="13.35" customHeight="1" outlineLevel="1">
      <c r="A272" s="3"/>
      <c r="B272" s="126" t="str">
        <f t="shared" si="234"/>
        <v xml:space="preserve">     Economic driver</v>
      </c>
      <c r="C272" s="4"/>
      <c r="D272" s="4"/>
      <c r="E272" s="82"/>
      <c r="F272" s="8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c r="AV272" s="82"/>
      <c r="AW272" s="82"/>
      <c r="AX272" s="82"/>
      <c r="AY272" s="82"/>
      <c r="AZ272" s="82"/>
      <c r="BA272" s="82"/>
      <c r="BB272" s="82"/>
      <c r="BC272" s="82"/>
      <c r="BD272" s="82"/>
      <c r="BE272" s="82"/>
      <c r="BF272" s="82"/>
      <c r="BG272" s="82"/>
      <c r="BH272" s="82"/>
      <c r="BI272" s="82"/>
      <c r="BJ272" s="82"/>
      <c r="BK272" s="82"/>
      <c r="BL272" s="82"/>
      <c r="BM272" s="82"/>
      <c r="BN272" s="82"/>
      <c r="BO272" s="82"/>
      <c r="BP272" s="82"/>
      <c r="BQ272" s="82"/>
      <c r="BR272" s="82"/>
      <c r="BS272" s="82"/>
      <c r="BT272" s="82"/>
      <c r="BU272" s="82"/>
      <c r="BV272" s="82"/>
      <c r="BW272" s="82"/>
      <c r="BX272" s="82"/>
      <c r="BY272" s="82"/>
      <c r="BZ272" s="82"/>
      <c r="CA272" s="82"/>
      <c r="CB272" s="82"/>
      <c r="CC272" s="82"/>
      <c r="CD272" s="82"/>
      <c r="CE272" s="82"/>
      <c r="CF272" s="82"/>
      <c r="CG272" s="82"/>
      <c r="CH272" s="82"/>
      <c r="CI272" s="82"/>
      <c r="CJ272" s="82"/>
      <c r="CK272" s="82"/>
      <c r="CL272" s="82"/>
      <c r="CM272" s="82"/>
      <c r="CN272" s="82"/>
      <c r="CO272" s="82"/>
      <c r="CP272" s="82"/>
      <c r="CQ272" s="82"/>
      <c r="CR272" s="82"/>
      <c r="CS272" s="82"/>
      <c r="CT272" s="82"/>
      <c r="CU272" s="82"/>
      <c r="CV272" s="82"/>
      <c r="CW272" s="82"/>
      <c r="CX272" s="82"/>
      <c r="CY272" s="82"/>
      <c r="CZ272" s="82"/>
      <c r="DA272" s="82"/>
      <c r="DB272" s="82"/>
      <c r="DC272" s="82"/>
      <c r="DD272" s="82"/>
      <c r="DE272" s="138"/>
      <c r="DF272" s="82"/>
      <c r="DG272" s="82"/>
      <c r="DH272" s="138"/>
      <c r="DI272" s="82"/>
      <c r="DJ272" s="82"/>
      <c r="DK272" s="138"/>
      <c r="DL272" s="82"/>
      <c r="DM272" s="82"/>
      <c r="DN272" s="138"/>
      <c r="DO272" s="82"/>
      <c r="DP272" s="82"/>
      <c r="DQ272" s="138"/>
      <c r="DR272" s="82"/>
      <c r="DS272" s="82"/>
      <c r="DT272" s="138"/>
      <c r="DU272" s="82"/>
      <c r="DV272" s="82"/>
      <c r="DW272" s="138"/>
      <c r="DX272" s="82"/>
      <c r="DY272" s="82"/>
      <c r="DZ272" s="138"/>
      <c r="EA272" s="82"/>
      <c r="EB272" s="82"/>
      <c r="EC272" s="138"/>
      <c r="ED272" s="82"/>
      <c r="EE272" s="82"/>
      <c r="EF272" s="138"/>
      <c r="EG272" s="82"/>
      <c r="EH272" s="82"/>
      <c r="EI272" s="138"/>
      <c r="EJ272" s="82"/>
      <c r="EK272" s="82"/>
      <c r="EL272" s="138"/>
      <c r="EM272" s="82"/>
      <c r="EN272" s="82"/>
      <c r="EO272" s="138"/>
      <c r="EP272" s="82"/>
      <c r="EQ272" s="82"/>
      <c r="ER272" s="138"/>
      <c r="ES272" s="82"/>
      <c r="ET272" s="82"/>
      <c r="EU272" s="138"/>
      <c r="EV272" s="82"/>
      <c r="EW272" s="82"/>
      <c r="EX272" s="138"/>
      <c r="EY272" s="82"/>
      <c r="EZ272" s="82"/>
      <c r="FA272" s="138"/>
    </row>
    <row r="273" spans="1:157" ht="13.35" customHeight="1" outlineLevel="1">
      <c r="A273" s="3"/>
      <c r="B273" s="126" t="str">
        <f t="shared" si="234"/>
        <v xml:space="preserve">     Economic driver</v>
      </c>
      <c r="C273" s="4"/>
      <c r="D273" s="4"/>
      <c r="E273" s="82"/>
      <c r="F273" s="8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c r="AV273" s="82"/>
      <c r="AW273" s="82"/>
      <c r="AX273" s="82"/>
      <c r="AY273" s="82"/>
      <c r="AZ273" s="82"/>
      <c r="BA273" s="82"/>
      <c r="BB273" s="82"/>
      <c r="BC273" s="82"/>
      <c r="BD273" s="82"/>
      <c r="BE273" s="82"/>
      <c r="BF273" s="82"/>
      <c r="BG273" s="82"/>
      <c r="BH273" s="82"/>
      <c r="BI273" s="82"/>
      <c r="BJ273" s="82"/>
      <c r="BK273" s="82"/>
      <c r="BL273" s="82"/>
      <c r="BM273" s="82"/>
      <c r="BN273" s="82"/>
      <c r="BO273" s="82"/>
      <c r="BP273" s="82"/>
      <c r="BQ273" s="82"/>
      <c r="BR273" s="82"/>
      <c r="BS273" s="82"/>
      <c r="BT273" s="82"/>
      <c r="BU273" s="82"/>
      <c r="BV273" s="82"/>
      <c r="BW273" s="82"/>
      <c r="BX273" s="82"/>
      <c r="BY273" s="82"/>
      <c r="BZ273" s="82"/>
      <c r="CA273" s="82"/>
      <c r="CB273" s="82"/>
      <c r="CC273" s="82"/>
      <c r="CD273" s="82"/>
      <c r="CE273" s="82"/>
      <c r="CF273" s="82"/>
      <c r="CG273" s="82"/>
      <c r="CH273" s="82"/>
      <c r="CI273" s="82"/>
      <c r="CJ273" s="82"/>
      <c r="CK273" s="82"/>
      <c r="CL273" s="82"/>
      <c r="CM273" s="82"/>
      <c r="CN273" s="82"/>
      <c r="CO273" s="82"/>
      <c r="CP273" s="82"/>
      <c r="CQ273" s="82"/>
      <c r="CR273" s="82"/>
      <c r="CS273" s="82"/>
      <c r="CT273" s="82"/>
      <c r="CU273" s="82"/>
      <c r="CV273" s="82"/>
      <c r="CW273" s="82"/>
      <c r="CX273" s="82"/>
      <c r="CY273" s="82"/>
      <c r="CZ273" s="82"/>
      <c r="DA273" s="82"/>
      <c r="DB273" s="82"/>
      <c r="DC273" s="82"/>
      <c r="DD273" s="82"/>
      <c r="DE273" s="138"/>
      <c r="DF273" s="82"/>
      <c r="DG273" s="82"/>
      <c r="DH273" s="138"/>
      <c r="DI273" s="82"/>
      <c r="DJ273" s="82"/>
      <c r="DK273" s="138"/>
      <c r="DL273" s="82"/>
      <c r="DM273" s="82"/>
      <c r="DN273" s="138"/>
      <c r="DO273" s="82"/>
      <c r="DP273" s="82"/>
      <c r="DQ273" s="138"/>
      <c r="DR273" s="82"/>
      <c r="DS273" s="82"/>
      <c r="DT273" s="138"/>
      <c r="DU273" s="82"/>
      <c r="DV273" s="82"/>
      <c r="DW273" s="138"/>
      <c r="DX273" s="82"/>
      <c r="DY273" s="82"/>
      <c r="DZ273" s="138"/>
      <c r="EA273" s="82"/>
      <c r="EB273" s="82"/>
      <c r="EC273" s="138"/>
      <c r="ED273" s="82"/>
      <c r="EE273" s="82"/>
      <c r="EF273" s="138"/>
      <c r="EG273" s="82"/>
      <c r="EH273" s="82"/>
      <c r="EI273" s="138"/>
      <c r="EJ273" s="82"/>
      <c r="EK273" s="82"/>
      <c r="EL273" s="138"/>
      <c r="EM273" s="82"/>
      <c r="EN273" s="82"/>
      <c r="EO273" s="138"/>
      <c r="EP273" s="82"/>
      <c r="EQ273" s="82"/>
      <c r="ER273" s="138"/>
      <c r="ES273" s="82"/>
      <c r="ET273" s="82"/>
      <c r="EU273" s="138"/>
      <c r="EV273" s="82"/>
      <c r="EW273" s="82"/>
      <c r="EX273" s="138"/>
      <c r="EY273" s="82"/>
      <c r="EZ273" s="82"/>
      <c r="FA273" s="138"/>
    </row>
    <row r="274" spans="1:157" ht="13.35" customHeight="1" outlineLevel="1">
      <c r="A274" s="3"/>
      <c r="B274" s="126" t="str">
        <f t="shared" si="234"/>
        <v xml:space="preserve">     Economic driver</v>
      </c>
      <c r="C274" s="4"/>
      <c r="D274" s="4"/>
      <c r="E274" s="82"/>
      <c r="F274" s="8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c r="AV274" s="82"/>
      <c r="AW274" s="82"/>
      <c r="AX274" s="82"/>
      <c r="AY274" s="82"/>
      <c r="AZ274" s="82"/>
      <c r="BA274" s="82"/>
      <c r="BB274" s="82"/>
      <c r="BC274" s="82"/>
      <c r="BD274" s="82"/>
      <c r="BE274" s="82"/>
      <c r="BF274" s="82"/>
      <c r="BG274" s="82"/>
      <c r="BH274" s="82"/>
      <c r="BI274" s="82"/>
      <c r="BJ274" s="82"/>
      <c r="BK274" s="82"/>
      <c r="BL274" s="82"/>
      <c r="BM274" s="82"/>
      <c r="BN274" s="82"/>
      <c r="BO274" s="82"/>
      <c r="BP274" s="82"/>
      <c r="BQ274" s="82"/>
      <c r="BR274" s="82"/>
      <c r="BS274" s="82"/>
      <c r="BT274" s="82"/>
      <c r="BU274" s="82"/>
      <c r="BV274" s="82"/>
      <c r="BW274" s="82"/>
      <c r="BX274" s="82"/>
      <c r="BY274" s="82"/>
      <c r="BZ274" s="82"/>
      <c r="CA274" s="82"/>
      <c r="CB274" s="82"/>
      <c r="CC274" s="82"/>
      <c r="CD274" s="82"/>
      <c r="CE274" s="82"/>
      <c r="CF274" s="82"/>
      <c r="CG274" s="82"/>
      <c r="CH274" s="82"/>
      <c r="CI274" s="82"/>
      <c r="CJ274" s="82"/>
      <c r="CK274" s="82"/>
      <c r="CL274" s="82"/>
      <c r="CM274" s="82"/>
      <c r="CN274" s="82"/>
      <c r="CO274" s="82"/>
      <c r="CP274" s="82"/>
      <c r="CQ274" s="82"/>
      <c r="CR274" s="82"/>
      <c r="CS274" s="82"/>
      <c r="CT274" s="82"/>
      <c r="CU274" s="82"/>
      <c r="CV274" s="82"/>
      <c r="CW274" s="82"/>
      <c r="CX274" s="82"/>
      <c r="CY274" s="82"/>
      <c r="CZ274" s="82"/>
      <c r="DA274" s="82"/>
      <c r="DB274" s="82"/>
      <c r="DC274" s="82"/>
      <c r="DD274" s="82"/>
      <c r="DE274" s="138"/>
      <c r="DF274" s="82"/>
      <c r="DG274" s="82"/>
      <c r="DH274" s="138"/>
      <c r="DI274" s="82"/>
      <c r="DJ274" s="82"/>
      <c r="DK274" s="138"/>
      <c r="DL274" s="82"/>
      <c r="DM274" s="82"/>
      <c r="DN274" s="138"/>
      <c r="DO274" s="82"/>
      <c r="DP274" s="82"/>
      <c r="DQ274" s="138"/>
      <c r="DR274" s="82"/>
      <c r="DS274" s="82"/>
      <c r="DT274" s="138"/>
      <c r="DU274" s="82"/>
      <c r="DV274" s="82"/>
      <c r="DW274" s="138"/>
      <c r="DX274" s="82"/>
      <c r="DY274" s="82"/>
      <c r="DZ274" s="138"/>
      <c r="EA274" s="82"/>
      <c r="EB274" s="82"/>
      <c r="EC274" s="138"/>
      <c r="ED274" s="82"/>
      <c r="EE274" s="82"/>
      <c r="EF274" s="138"/>
      <c r="EG274" s="82"/>
      <c r="EH274" s="82"/>
      <c r="EI274" s="138"/>
      <c r="EJ274" s="82"/>
      <c r="EK274" s="82"/>
      <c r="EL274" s="138"/>
      <c r="EM274" s="82"/>
      <c r="EN274" s="82"/>
      <c r="EO274" s="138"/>
      <c r="EP274" s="82"/>
      <c r="EQ274" s="82"/>
      <c r="ER274" s="138"/>
      <c r="ES274" s="82"/>
      <c r="ET274" s="82"/>
      <c r="EU274" s="138"/>
      <c r="EV274" s="82"/>
      <c r="EW274" s="82"/>
      <c r="EX274" s="138"/>
      <c r="EY274" s="82"/>
      <c r="EZ274" s="82"/>
      <c r="FA274" s="138"/>
    </row>
    <row r="275" spans="1:157" ht="13.35" customHeight="1" outlineLevel="1">
      <c r="A275" s="3"/>
      <c r="B275" s="126" t="str">
        <f t="shared" si="234"/>
        <v xml:space="preserve">     Economic driver</v>
      </c>
      <c r="C275" s="4"/>
      <c r="D275" s="4"/>
      <c r="E275" s="82"/>
      <c r="F275" s="8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c r="AV275" s="82"/>
      <c r="AW275" s="82"/>
      <c r="AX275" s="82"/>
      <c r="AY275" s="82"/>
      <c r="AZ275" s="82"/>
      <c r="BA275" s="82"/>
      <c r="BB275" s="82"/>
      <c r="BC275" s="82"/>
      <c r="BD275" s="82"/>
      <c r="BE275" s="82"/>
      <c r="BF275" s="82"/>
      <c r="BG275" s="82"/>
      <c r="BH275" s="82"/>
      <c r="BI275" s="82"/>
      <c r="BJ275" s="82"/>
      <c r="BK275" s="82"/>
      <c r="BL275" s="82"/>
      <c r="BM275" s="82"/>
      <c r="BN275" s="82"/>
      <c r="BO275" s="82"/>
      <c r="BP275" s="82"/>
      <c r="BQ275" s="82"/>
      <c r="BR275" s="82"/>
      <c r="BS275" s="82"/>
      <c r="BT275" s="82"/>
      <c r="BU275" s="82"/>
      <c r="BV275" s="82"/>
      <c r="BW275" s="82"/>
      <c r="BX275" s="82"/>
      <c r="BY275" s="82"/>
      <c r="BZ275" s="82"/>
      <c r="CA275" s="82"/>
      <c r="CB275" s="82"/>
      <c r="CC275" s="82"/>
      <c r="CD275" s="82"/>
      <c r="CE275" s="82"/>
      <c r="CF275" s="82"/>
      <c r="CG275" s="82"/>
      <c r="CH275" s="82"/>
      <c r="CI275" s="82"/>
      <c r="CJ275" s="82"/>
      <c r="CK275" s="82"/>
      <c r="CL275" s="82"/>
      <c r="CM275" s="82"/>
      <c r="CN275" s="82"/>
      <c r="CO275" s="82"/>
      <c r="CP275" s="82"/>
      <c r="CQ275" s="82"/>
      <c r="CR275" s="82"/>
      <c r="CS275" s="82"/>
      <c r="CT275" s="82"/>
      <c r="CU275" s="82"/>
      <c r="CV275" s="82"/>
      <c r="CW275" s="82"/>
      <c r="CX275" s="82"/>
      <c r="CY275" s="82"/>
      <c r="CZ275" s="82"/>
      <c r="DA275" s="82"/>
      <c r="DB275" s="82"/>
      <c r="DC275" s="82"/>
      <c r="DD275" s="82"/>
      <c r="DE275" s="138"/>
      <c r="DF275" s="82"/>
      <c r="DG275" s="82"/>
      <c r="DH275" s="138"/>
      <c r="DI275" s="82"/>
      <c r="DJ275" s="82"/>
      <c r="DK275" s="138"/>
      <c r="DL275" s="82"/>
      <c r="DM275" s="82"/>
      <c r="DN275" s="138"/>
      <c r="DO275" s="82"/>
      <c r="DP275" s="82"/>
      <c r="DQ275" s="138"/>
      <c r="DR275" s="82"/>
      <c r="DS275" s="82"/>
      <c r="DT275" s="138"/>
      <c r="DU275" s="82"/>
      <c r="DV275" s="82"/>
      <c r="DW275" s="138"/>
      <c r="DX275" s="82"/>
      <c r="DY275" s="82"/>
      <c r="DZ275" s="138"/>
      <c r="EA275" s="82"/>
      <c r="EB275" s="82"/>
      <c r="EC275" s="138"/>
      <c r="ED275" s="82"/>
      <c r="EE275" s="82"/>
      <c r="EF275" s="138"/>
      <c r="EG275" s="82"/>
      <c r="EH275" s="82"/>
      <c r="EI275" s="138"/>
      <c r="EJ275" s="82"/>
      <c r="EK275" s="82"/>
      <c r="EL275" s="138"/>
      <c r="EM275" s="82"/>
      <c r="EN275" s="82"/>
      <c r="EO275" s="138"/>
      <c r="EP275" s="82"/>
      <c r="EQ275" s="82"/>
      <c r="ER275" s="138"/>
      <c r="ES275" s="82"/>
      <c r="ET275" s="82"/>
      <c r="EU275" s="138"/>
      <c r="EV275" s="82"/>
      <c r="EW275" s="82"/>
      <c r="EX275" s="138"/>
      <c r="EY275" s="82"/>
      <c r="EZ275" s="82"/>
      <c r="FA275" s="138"/>
    </row>
    <row r="276" spans="1:157" ht="13.35" customHeight="1" outlineLevel="1">
      <c r="A276" s="3"/>
      <c r="B276" s="126" t="str">
        <f t="shared" si="234"/>
        <v xml:space="preserve">     Economic driver</v>
      </c>
      <c r="C276" s="4"/>
      <c r="D276" s="4"/>
      <c r="E276" s="82"/>
      <c r="F276" s="8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c r="AV276" s="82"/>
      <c r="AW276" s="82"/>
      <c r="AX276" s="82"/>
      <c r="AY276" s="82"/>
      <c r="AZ276" s="82"/>
      <c r="BA276" s="82"/>
      <c r="BB276" s="82"/>
      <c r="BC276" s="82"/>
      <c r="BD276" s="82"/>
      <c r="BE276" s="82"/>
      <c r="BF276" s="82"/>
      <c r="BG276" s="82"/>
      <c r="BH276" s="82"/>
      <c r="BI276" s="82"/>
      <c r="BJ276" s="82"/>
      <c r="BK276" s="82"/>
      <c r="BL276" s="82"/>
      <c r="BM276" s="82"/>
      <c r="BN276" s="82"/>
      <c r="BO276" s="82"/>
      <c r="BP276" s="82"/>
      <c r="BQ276" s="82"/>
      <c r="BR276" s="82"/>
      <c r="BS276" s="82"/>
      <c r="BT276" s="82"/>
      <c r="BU276" s="82"/>
      <c r="BV276" s="82"/>
      <c r="BW276" s="82"/>
      <c r="BX276" s="82"/>
      <c r="BY276" s="82"/>
      <c r="BZ276" s="82"/>
      <c r="CA276" s="82"/>
      <c r="CB276" s="82"/>
      <c r="CC276" s="82"/>
      <c r="CD276" s="82"/>
      <c r="CE276" s="82"/>
      <c r="CF276" s="82"/>
      <c r="CG276" s="82"/>
      <c r="CH276" s="82"/>
      <c r="CI276" s="82"/>
      <c r="CJ276" s="82"/>
      <c r="CK276" s="82"/>
      <c r="CL276" s="82"/>
      <c r="CM276" s="82"/>
      <c r="CN276" s="82"/>
      <c r="CO276" s="82"/>
      <c r="CP276" s="82"/>
      <c r="CQ276" s="82"/>
      <c r="CR276" s="82"/>
      <c r="CS276" s="82"/>
      <c r="CT276" s="82"/>
      <c r="CU276" s="82"/>
      <c r="CV276" s="82"/>
      <c r="CW276" s="82"/>
      <c r="CX276" s="82"/>
      <c r="CY276" s="82"/>
      <c r="CZ276" s="82"/>
      <c r="DA276" s="82"/>
      <c r="DB276" s="82"/>
      <c r="DC276" s="82"/>
      <c r="DD276" s="82"/>
      <c r="DE276" s="138"/>
      <c r="DF276" s="82"/>
      <c r="DG276" s="82"/>
      <c r="DH276" s="138"/>
      <c r="DI276" s="82"/>
      <c r="DJ276" s="82"/>
      <c r="DK276" s="138"/>
      <c r="DL276" s="82"/>
      <c r="DM276" s="82"/>
      <c r="DN276" s="138"/>
      <c r="DO276" s="82"/>
      <c r="DP276" s="82"/>
      <c r="DQ276" s="138"/>
      <c r="DR276" s="82"/>
      <c r="DS276" s="82"/>
      <c r="DT276" s="138"/>
      <c r="DU276" s="82"/>
      <c r="DV276" s="82"/>
      <c r="DW276" s="138"/>
      <c r="DX276" s="82"/>
      <c r="DY276" s="82"/>
      <c r="DZ276" s="138"/>
      <c r="EA276" s="82"/>
      <c r="EB276" s="82"/>
      <c r="EC276" s="138"/>
      <c r="ED276" s="82"/>
      <c r="EE276" s="82"/>
      <c r="EF276" s="138"/>
      <c r="EG276" s="82"/>
      <c r="EH276" s="82"/>
      <c r="EI276" s="138"/>
      <c r="EJ276" s="82"/>
      <c r="EK276" s="82"/>
      <c r="EL276" s="138"/>
      <c r="EM276" s="82"/>
      <c r="EN276" s="82"/>
      <c r="EO276" s="138"/>
      <c r="EP276" s="82"/>
      <c r="EQ276" s="82"/>
      <c r="ER276" s="138"/>
      <c r="ES276" s="82"/>
      <c r="ET276" s="82"/>
      <c r="EU276" s="138"/>
      <c r="EV276" s="82"/>
      <c r="EW276" s="82"/>
      <c r="EX276" s="138"/>
      <c r="EY276" s="82"/>
      <c r="EZ276" s="82"/>
      <c r="FA276" s="138"/>
    </row>
    <row r="277" spans="1:157" ht="13.35" customHeight="1" outlineLevel="1">
      <c r="A277" s="3"/>
      <c r="B277" s="126" t="str">
        <f t="shared" si="234"/>
        <v xml:space="preserve">     Economic driver</v>
      </c>
      <c r="C277" s="4"/>
      <c r="D277" s="4"/>
      <c r="E277" s="82"/>
      <c r="F277" s="8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c r="AV277" s="82"/>
      <c r="AW277" s="82"/>
      <c r="AX277" s="82"/>
      <c r="AY277" s="82"/>
      <c r="AZ277" s="82"/>
      <c r="BA277" s="82"/>
      <c r="BB277" s="82"/>
      <c r="BC277" s="82"/>
      <c r="BD277" s="82"/>
      <c r="BE277" s="82"/>
      <c r="BF277" s="82"/>
      <c r="BG277" s="82"/>
      <c r="BH277" s="82"/>
      <c r="BI277" s="82"/>
      <c r="BJ277" s="82"/>
      <c r="BK277" s="82"/>
      <c r="BL277" s="82"/>
      <c r="BM277" s="82"/>
      <c r="BN277" s="82"/>
      <c r="BO277" s="82"/>
      <c r="BP277" s="82"/>
      <c r="BQ277" s="82"/>
      <c r="BR277" s="82"/>
      <c r="BS277" s="82"/>
      <c r="BT277" s="82"/>
      <c r="BU277" s="82"/>
      <c r="BV277" s="82"/>
      <c r="BW277" s="82"/>
      <c r="BX277" s="82"/>
      <c r="BY277" s="82"/>
      <c r="BZ277" s="82"/>
      <c r="CA277" s="82"/>
      <c r="CB277" s="82"/>
      <c r="CC277" s="82"/>
      <c r="CD277" s="82"/>
      <c r="CE277" s="82"/>
      <c r="CF277" s="82"/>
      <c r="CG277" s="82"/>
      <c r="CH277" s="82"/>
      <c r="CI277" s="82"/>
      <c r="CJ277" s="82"/>
      <c r="CK277" s="82"/>
      <c r="CL277" s="82"/>
      <c r="CM277" s="82"/>
      <c r="CN277" s="82"/>
      <c r="CO277" s="82"/>
      <c r="CP277" s="82"/>
      <c r="CQ277" s="82"/>
      <c r="CR277" s="82"/>
      <c r="CS277" s="82"/>
      <c r="CT277" s="82"/>
      <c r="CU277" s="82"/>
      <c r="CV277" s="82"/>
      <c r="CW277" s="82"/>
      <c r="CX277" s="82"/>
      <c r="CY277" s="82"/>
      <c r="CZ277" s="82"/>
      <c r="DA277" s="82"/>
      <c r="DB277" s="82"/>
      <c r="DC277" s="82"/>
      <c r="DD277" s="82"/>
      <c r="DE277" s="138"/>
      <c r="DF277" s="82"/>
      <c r="DG277" s="82"/>
      <c r="DH277" s="138"/>
      <c r="DI277" s="82"/>
      <c r="DJ277" s="82"/>
      <c r="DK277" s="138"/>
      <c r="DL277" s="82"/>
      <c r="DM277" s="82"/>
      <c r="DN277" s="138"/>
      <c r="DO277" s="82"/>
      <c r="DP277" s="82"/>
      <c r="DQ277" s="138"/>
      <c r="DR277" s="82"/>
      <c r="DS277" s="82"/>
      <c r="DT277" s="138"/>
      <c r="DU277" s="82"/>
      <c r="DV277" s="82"/>
      <c r="DW277" s="138"/>
      <c r="DX277" s="82"/>
      <c r="DY277" s="82"/>
      <c r="DZ277" s="138"/>
      <c r="EA277" s="82"/>
      <c r="EB277" s="82"/>
      <c r="EC277" s="138"/>
      <c r="ED277" s="82"/>
      <c r="EE277" s="82"/>
      <c r="EF277" s="138"/>
      <c r="EG277" s="82"/>
      <c r="EH277" s="82"/>
      <c r="EI277" s="138"/>
      <c r="EJ277" s="82"/>
      <c r="EK277" s="82"/>
      <c r="EL277" s="138"/>
      <c r="EM277" s="82"/>
      <c r="EN277" s="82"/>
      <c r="EO277" s="138"/>
      <c r="EP277" s="82"/>
      <c r="EQ277" s="82"/>
      <c r="ER277" s="138"/>
      <c r="ES277" s="82"/>
      <c r="ET277" s="82"/>
      <c r="EU277" s="138"/>
      <c r="EV277" s="82"/>
      <c r="EW277" s="82"/>
      <c r="EX277" s="138"/>
      <c r="EY277" s="82"/>
      <c r="EZ277" s="82"/>
      <c r="FA277" s="138"/>
    </row>
    <row r="278" spans="1:157" ht="13.35" customHeight="1" outlineLevel="1">
      <c r="A278" s="3"/>
      <c r="B278" s="126" t="str">
        <f t="shared" si="234"/>
        <v xml:space="preserve">     Economic driver</v>
      </c>
      <c r="C278" s="4"/>
      <c r="D278" s="4"/>
      <c r="E278" s="82"/>
      <c r="F278" s="8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c r="AV278" s="82"/>
      <c r="AW278" s="82"/>
      <c r="AX278" s="82"/>
      <c r="AY278" s="82"/>
      <c r="AZ278" s="82"/>
      <c r="BA278" s="82"/>
      <c r="BB278" s="82"/>
      <c r="BC278" s="82"/>
      <c r="BD278" s="82"/>
      <c r="BE278" s="82"/>
      <c r="BF278" s="82"/>
      <c r="BG278" s="82"/>
      <c r="BH278" s="82"/>
      <c r="BI278" s="82"/>
      <c r="BJ278" s="82"/>
      <c r="BK278" s="82"/>
      <c r="BL278" s="82"/>
      <c r="BM278" s="82"/>
      <c r="BN278" s="82"/>
      <c r="BO278" s="82"/>
      <c r="BP278" s="82"/>
      <c r="BQ278" s="82"/>
      <c r="BR278" s="82"/>
      <c r="BS278" s="82"/>
      <c r="BT278" s="82"/>
      <c r="BU278" s="82"/>
      <c r="BV278" s="82"/>
      <c r="BW278" s="82"/>
      <c r="BX278" s="82"/>
      <c r="BY278" s="82"/>
      <c r="BZ278" s="82"/>
      <c r="CA278" s="82"/>
      <c r="CB278" s="82"/>
      <c r="CC278" s="82"/>
      <c r="CD278" s="82"/>
      <c r="CE278" s="82"/>
      <c r="CF278" s="82"/>
      <c r="CG278" s="82"/>
      <c r="CH278" s="82"/>
      <c r="CI278" s="82"/>
      <c r="CJ278" s="82"/>
      <c r="CK278" s="82"/>
      <c r="CL278" s="82"/>
      <c r="CM278" s="82"/>
      <c r="CN278" s="82"/>
      <c r="CO278" s="82"/>
      <c r="CP278" s="82"/>
      <c r="CQ278" s="82"/>
      <c r="CR278" s="82"/>
      <c r="CS278" s="82"/>
      <c r="CT278" s="82"/>
      <c r="CU278" s="82"/>
      <c r="CV278" s="82"/>
      <c r="CW278" s="82"/>
      <c r="CX278" s="82"/>
      <c r="CY278" s="82"/>
      <c r="CZ278" s="82"/>
      <c r="DA278" s="82"/>
      <c r="DB278" s="82"/>
      <c r="DC278" s="82"/>
      <c r="DD278" s="82"/>
      <c r="DE278" s="138"/>
      <c r="DF278" s="82"/>
      <c r="DG278" s="82"/>
      <c r="DH278" s="138"/>
      <c r="DI278" s="82"/>
      <c r="DJ278" s="82"/>
      <c r="DK278" s="138"/>
      <c r="DL278" s="82"/>
      <c r="DM278" s="82"/>
      <c r="DN278" s="138"/>
      <c r="DO278" s="82"/>
      <c r="DP278" s="82"/>
      <c r="DQ278" s="138"/>
      <c r="DR278" s="82"/>
      <c r="DS278" s="82"/>
      <c r="DT278" s="138"/>
      <c r="DU278" s="82"/>
      <c r="DV278" s="82"/>
      <c r="DW278" s="138"/>
      <c r="DX278" s="82"/>
      <c r="DY278" s="82"/>
      <c r="DZ278" s="138"/>
      <c r="EA278" s="82"/>
      <c r="EB278" s="82"/>
      <c r="EC278" s="138"/>
      <c r="ED278" s="82"/>
      <c r="EE278" s="82"/>
      <c r="EF278" s="138"/>
      <c r="EG278" s="82"/>
      <c r="EH278" s="82"/>
      <c r="EI278" s="138"/>
      <c r="EJ278" s="82"/>
      <c r="EK278" s="82"/>
      <c r="EL278" s="138"/>
      <c r="EM278" s="82"/>
      <c r="EN278" s="82"/>
      <c r="EO278" s="138"/>
      <c r="EP278" s="82"/>
      <c r="EQ278" s="82"/>
      <c r="ER278" s="138"/>
      <c r="ES278" s="82"/>
      <c r="ET278" s="82"/>
      <c r="EU278" s="138"/>
      <c r="EV278" s="82"/>
      <c r="EW278" s="82"/>
      <c r="EX278" s="138"/>
      <c r="EY278" s="82"/>
      <c r="EZ278" s="82"/>
      <c r="FA278" s="138"/>
    </row>
    <row r="279" spans="1:157" ht="13.35" customHeight="1" outlineLevel="1">
      <c r="A279" s="3"/>
      <c r="B279" s="126" t="str">
        <f t="shared" si="234"/>
        <v xml:space="preserve">     Economic driver</v>
      </c>
      <c r="C279" s="4"/>
      <c r="D279" s="4"/>
      <c r="E279" s="82"/>
      <c r="F279" s="8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c r="AV279" s="82"/>
      <c r="AW279" s="82"/>
      <c r="AX279" s="82"/>
      <c r="AY279" s="82"/>
      <c r="AZ279" s="82"/>
      <c r="BA279" s="82"/>
      <c r="BB279" s="82"/>
      <c r="BC279" s="82"/>
      <c r="BD279" s="82"/>
      <c r="BE279" s="82"/>
      <c r="BF279" s="82"/>
      <c r="BG279" s="82"/>
      <c r="BH279" s="82"/>
      <c r="BI279" s="82"/>
      <c r="BJ279" s="82"/>
      <c r="BK279" s="82"/>
      <c r="BL279" s="82"/>
      <c r="BM279" s="82"/>
      <c r="BN279" s="82"/>
      <c r="BO279" s="82"/>
      <c r="BP279" s="82"/>
      <c r="BQ279" s="82"/>
      <c r="BR279" s="82"/>
      <c r="BS279" s="82"/>
      <c r="BT279" s="82"/>
      <c r="BU279" s="82"/>
      <c r="BV279" s="82"/>
      <c r="BW279" s="82"/>
      <c r="BX279" s="82"/>
      <c r="BY279" s="82"/>
      <c r="BZ279" s="82"/>
      <c r="CA279" s="82"/>
      <c r="CB279" s="82"/>
      <c r="CC279" s="82"/>
      <c r="CD279" s="82"/>
      <c r="CE279" s="82"/>
      <c r="CF279" s="82"/>
      <c r="CG279" s="82"/>
      <c r="CH279" s="82"/>
      <c r="CI279" s="82"/>
      <c r="CJ279" s="82"/>
      <c r="CK279" s="82"/>
      <c r="CL279" s="82"/>
      <c r="CM279" s="82"/>
      <c r="CN279" s="82"/>
      <c r="CO279" s="82"/>
      <c r="CP279" s="82"/>
      <c r="CQ279" s="82"/>
      <c r="CR279" s="82"/>
      <c r="CS279" s="82"/>
      <c r="CT279" s="82"/>
      <c r="CU279" s="82"/>
      <c r="CV279" s="82"/>
      <c r="CW279" s="82"/>
      <c r="CX279" s="82"/>
      <c r="CY279" s="82"/>
      <c r="CZ279" s="82"/>
      <c r="DA279" s="82"/>
      <c r="DB279" s="82"/>
      <c r="DC279" s="82"/>
      <c r="DD279" s="82"/>
      <c r="DE279" s="138"/>
      <c r="DF279" s="82"/>
      <c r="DG279" s="82"/>
      <c r="DH279" s="138"/>
      <c r="DI279" s="82"/>
      <c r="DJ279" s="82"/>
      <c r="DK279" s="138"/>
      <c r="DL279" s="82"/>
      <c r="DM279" s="82"/>
      <c r="DN279" s="138"/>
      <c r="DO279" s="82"/>
      <c r="DP279" s="82"/>
      <c r="DQ279" s="138"/>
      <c r="DR279" s="82"/>
      <c r="DS279" s="82"/>
      <c r="DT279" s="138"/>
      <c r="DU279" s="82"/>
      <c r="DV279" s="82"/>
      <c r="DW279" s="138"/>
      <c r="DX279" s="82"/>
      <c r="DY279" s="82"/>
      <c r="DZ279" s="138"/>
      <c r="EA279" s="82"/>
      <c r="EB279" s="82"/>
      <c r="EC279" s="138"/>
      <c r="ED279" s="82"/>
      <c r="EE279" s="82"/>
      <c r="EF279" s="138"/>
      <c r="EG279" s="82"/>
      <c r="EH279" s="82"/>
      <c r="EI279" s="138"/>
      <c r="EJ279" s="82"/>
      <c r="EK279" s="82"/>
      <c r="EL279" s="138"/>
      <c r="EM279" s="82"/>
      <c r="EN279" s="82"/>
      <c r="EO279" s="138"/>
      <c r="EP279" s="82"/>
      <c r="EQ279" s="82"/>
      <c r="ER279" s="138"/>
      <c r="ES279" s="82"/>
      <c r="ET279" s="82"/>
      <c r="EU279" s="138"/>
      <c r="EV279" s="82"/>
      <c r="EW279" s="82"/>
      <c r="EX279" s="138"/>
      <c r="EY279" s="82"/>
      <c r="EZ279" s="82"/>
      <c r="FA279" s="138"/>
    </row>
    <row r="280" spans="1:157" ht="13.35" customHeight="1" outlineLevel="1">
      <c r="A280" s="3"/>
      <c r="B280" s="126" t="str">
        <f t="shared" si="234"/>
        <v xml:space="preserve">     Economic driver</v>
      </c>
      <c r="C280" s="4"/>
      <c r="D280" s="4"/>
      <c r="E280" s="82"/>
      <c r="F280" s="82"/>
      <c r="G280" s="82"/>
      <c r="H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c r="AV280" s="82"/>
      <c r="AW280" s="82"/>
      <c r="AX280" s="82"/>
      <c r="AY280" s="82"/>
      <c r="AZ280" s="82"/>
      <c r="BA280" s="82"/>
      <c r="BB280" s="82"/>
      <c r="BC280" s="82"/>
      <c r="BD280" s="82"/>
      <c r="BE280" s="82"/>
      <c r="BF280" s="82"/>
      <c r="BG280" s="82"/>
      <c r="BH280" s="82"/>
      <c r="BI280" s="82"/>
      <c r="BJ280" s="82"/>
      <c r="BK280" s="82"/>
      <c r="BL280" s="82"/>
      <c r="BM280" s="82"/>
      <c r="BN280" s="82"/>
      <c r="BO280" s="82"/>
      <c r="BP280" s="82"/>
      <c r="BQ280" s="82"/>
      <c r="BR280" s="82"/>
      <c r="BS280" s="82"/>
      <c r="BT280" s="82"/>
      <c r="BU280" s="82"/>
      <c r="BV280" s="82"/>
      <c r="BW280" s="82"/>
      <c r="BX280" s="82"/>
      <c r="BY280" s="82"/>
      <c r="BZ280" s="82"/>
      <c r="CA280" s="82"/>
      <c r="CB280" s="82"/>
      <c r="CC280" s="82"/>
      <c r="CD280" s="82"/>
      <c r="CE280" s="82"/>
      <c r="CF280" s="82"/>
      <c r="CG280" s="82"/>
      <c r="CH280" s="82"/>
      <c r="CI280" s="82"/>
      <c r="CJ280" s="82"/>
      <c r="CK280" s="82"/>
      <c r="CL280" s="82"/>
      <c r="CM280" s="82"/>
      <c r="CN280" s="82"/>
      <c r="CO280" s="82"/>
      <c r="CP280" s="82"/>
      <c r="CQ280" s="82"/>
      <c r="CR280" s="82"/>
      <c r="CS280" s="82"/>
      <c r="CT280" s="82"/>
      <c r="CU280" s="82"/>
      <c r="CV280" s="82"/>
      <c r="CW280" s="82"/>
      <c r="CX280" s="82"/>
      <c r="CY280" s="82"/>
      <c r="CZ280" s="82"/>
      <c r="DA280" s="82"/>
      <c r="DB280" s="82"/>
      <c r="DC280" s="82"/>
      <c r="DD280" s="82"/>
      <c r="DE280" s="138"/>
      <c r="DF280" s="82"/>
      <c r="DG280" s="82"/>
      <c r="DH280" s="138"/>
      <c r="DI280" s="82"/>
      <c r="DJ280" s="82"/>
      <c r="DK280" s="138"/>
      <c r="DL280" s="82"/>
      <c r="DM280" s="82"/>
      <c r="DN280" s="138"/>
      <c r="DO280" s="82"/>
      <c r="DP280" s="82"/>
      <c r="DQ280" s="138"/>
      <c r="DR280" s="82"/>
      <c r="DS280" s="82"/>
      <c r="DT280" s="138"/>
      <c r="DU280" s="82"/>
      <c r="DV280" s="82"/>
      <c r="DW280" s="138"/>
      <c r="DX280" s="82"/>
      <c r="DY280" s="82"/>
      <c r="DZ280" s="138"/>
      <c r="EA280" s="82"/>
      <c r="EB280" s="82"/>
      <c r="EC280" s="138"/>
      <c r="ED280" s="82"/>
      <c r="EE280" s="82"/>
      <c r="EF280" s="138"/>
      <c r="EG280" s="82"/>
      <c r="EH280" s="82"/>
      <c r="EI280" s="138"/>
      <c r="EJ280" s="82"/>
      <c r="EK280" s="82"/>
      <c r="EL280" s="138"/>
      <c r="EM280" s="82"/>
      <c r="EN280" s="82"/>
      <c r="EO280" s="138"/>
      <c r="EP280" s="82"/>
      <c r="EQ280" s="82"/>
      <c r="ER280" s="138"/>
      <c r="ES280" s="82"/>
      <c r="ET280" s="82"/>
      <c r="EU280" s="138"/>
      <c r="EV280" s="82"/>
      <c r="EW280" s="82"/>
      <c r="EX280" s="138"/>
      <c r="EY280" s="82"/>
      <c r="EZ280" s="82"/>
      <c r="FA280" s="138"/>
    </row>
    <row r="281" spans="1:157" ht="13.35" customHeight="1" outlineLevel="1">
      <c r="A281" s="3"/>
      <c r="B281" s="126" t="str">
        <f t="shared" si="234"/>
        <v xml:space="preserve">     Economic driver</v>
      </c>
      <c r="C281" s="4"/>
      <c r="D281" s="4"/>
      <c r="E281" s="82"/>
      <c r="F281" s="82"/>
      <c r="G281" s="82"/>
      <c r="H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c r="AV281" s="82"/>
      <c r="AW281" s="82"/>
      <c r="AX281" s="82"/>
      <c r="AY281" s="82"/>
      <c r="AZ281" s="82"/>
      <c r="BA281" s="82"/>
      <c r="BB281" s="82"/>
      <c r="BC281" s="82"/>
      <c r="BD281" s="82"/>
      <c r="BE281" s="82"/>
      <c r="BF281" s="82"/>
      <c r="BG281" s="82"/>
      <c r="BH281" s="82"/>
      <c r="BI281" s="82"/>
      <c r="BJ281" s="82"/>
      <c r="BK281" s="82"/>
      <c r="BL281" s="82"/>
      <c r="BM281" s="82"/>
      <c r="BN281" s="82"/>
      <c r="BO281" s="82"/>
      <c r="BP281" s="82"/>
      <c r="BQ281" s="82"/>
      <c r="BR281" s="82"/>
      <c r="BS281" s="82"/>
      <c r="BT281" s="82"/>
      <c r="BU281" s="82"/>
      <c r="BV281" s="82"/>
      <c r="BW281" s="82"/>
      <c r="BX281" s="82"/>
      <c r="BY281" s="82"/>
      <c r="BZ281" s="82"/>
      <c r="CA281" s="82"/>
      <c r="CB281" s="82"/>
      <c r="CC281" s="82"/>
      <c r="CD281" s="82"/>
      <c r="CE281" s="82"/>
      <c r="CF281" s="82"/>
      <c r="CG281" s="82"/>
      <c r="CH281" s="82"/>
      <c r="CI281" s="82"/>
      <c r="CJ281" s="82"/>
      <c r="CK281" s="82"/>
      <c r="CL281" s="82"/>
      <c r="CM281" s="82"/>
      <c r="CN281" s="82"/>
      <c r="CO281" s="82"/>
      <c r="CP281" s="82"/>
      <c r="CQ281" s="82"/>
      <c r="CR281" s="82"/>
      <c r="CS281" s="82"/>
      <c r="CT281" s="82"/>
      <c r="CU281" s="82"/>
      <c r="CV281" s="82"/>
      <c r="CW281" s="82"/>
      <c r="CX281" s="82"/>
      <c r="CY281" s="82"/>
      <c r="CZ281" s="82"/>
      <c r="DA281" s="82"/>
      <c r="DB281" s="82"/>
      <c r="DC281" s="82"/>
      <c r="DD281" s="82"/>
      <c r="DE281" s="138"/>
      <c r="DF281" s="82"/>
      <c r="DG281" s="82"/>
      <c r="DH281" s="138"/>
      <c r="DI281" s="82"/>
      <c r="DJ281" s="82"/>
      <c r="DK281" s="138"/>
      <c r="DL281" s="82"/>
      <c r="DM281" s="82"/>
      <c r="DN281" s="138"/>
      <c r="DO281" s="82"/>
      <c r="DP281" s="82"/>
      <c r="DQ281" s="138"/>
      <c r="DR281" s="82"/>
      <c r="DS281" s="82"/>
      <c r="DT281" s="138"/>
      <c r="DU281" s="82"/>
      <c r="DV281" s="82"/>
      <c r="DW281" s="138"/>
      <c r="DX281" s="82"/>
      <c r="DY281" s="82"/>
      <c r="DZ281" s="138"/>
      <c r="EA281" s="82"/>
      <c r="EB281" s="82"/>
      <c r="EC281" s="138"/>
      <c r="ED281" s="82"/>
      <c r="EE281" s="82"/>
      <c r="EF281" s="138"/>
      <c r="EG281" s="82"/>
      <c r="EH281" s="82"/>
      <c r="EI281" s="138"/>
      <c r="EJ281" s="82"/>
      <c r="EK281" s="82"/>
      <c r="EL281" s="138"/>
      <c r="EM281" s="82"/>
      <c r="EN281" s="82"/>
      <c r="EO281" s="138"/>
      <c r="EP281" s="82"/>
      <c r="EQ281" s="82"/>
      <c r="ER281" s="138"/>
      <c r="ES281" s="82"/>
      <c r="ET281" s="82"/>
      <c r="EU281" s="138"/>
      <c r="EV281" s="82"/>
      <c r="EW281" s="82"/>
      <c r="EX281" s="138"/>
      <c r="EY281" s="82"/>
      <c r="EZ281" s="82"/>
      <c r="FA281" s="138"/>
    </row>
    <row r="282" spans="1:157" ht="13.35" customHeight="1" outlineLevel="1">
      <c r="A282" s="3"/>
      <c r="B282" s="126" t="str">
        <f t="shared" si="234"/>
        <v xml:space="preserve">     Economic driver</v>
      </c>
      <c r="C282" s="4"/>
      <c r="D282" s="4"/>
      <c r="E282" s="82"/>
      <c r="F282" s="8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c r="AV282" s="82"/>
      <c r="AW282" s="82"/>
      <c r="AX282" s="82"/>
      <c r="AY282" s="82"/>
      <c r="AZ282" s="82"/>
      <c r="BA282" s="82"/>
      <c r="BB282" s="82"/>
      <c r="BC282" s="82"/>
      <c r="BD282" s="82"/>
      <c r="BE282" s="82"/>
      <c r="BF282" s="82"/>
      <c r="BG282" s="82"/>
      <c r="BH282" s="82"/>
      <c r="BI282" s="82"/>
      <c r="BJ282" s="82"/>
      <c r="BK282" s="82"/>
      <c r="BL282" s="82"/>
      <c r="BM282" s="82"/>
      <c r="BN282" s="82"/>
      <c r="BO282" s="82"/>
      <c r="BP282" s="82"/>
      <c r="BQ282" s="82"/>
      <c r="BR282" s="82"/>
      <c r="BS282" s="82"/>
      <c r="BT282" s="82"/>
      <c r="BU282" s="82"/>
      <c r="BV282" s="82"/>
      <c r="BW282" s="82"/>
      <c r="BX282" s="82"/>
      <c r="BY282" s="82"/>
      <c r="BZ282" s="82"/>
      <c r="CA282" s="82"/>
      <c r="CB282" s="82"/>
      <c r="CC282" s="82"/>
      <c r="CD282" s="82"/>
      <c r="CE282" s="82"/>
      <c r="CF282" s="82"/>
      <c r="CG282" s="82"/>
      <c r="CH282" s="82"/>
      <c r="CI282" s="82"/>
      <c r="CJ282" s="82"/>
      <c r="CK282" s="82"/>
      <c r="CL282" s="82"/>
      <c r="CM282" s="82"/>
      <c r="CN282" s="82"/>
      <c r="CO282" s="82"/>
      <c r="CP282" s="82"/>
      <c r="CQ282" s="82"/>
      <c r="CR282" s="82"/>
      <c r="CS282" s="82"/>
      <c r="CT282" s="82"/>
      <c r="CU282" s="82"/>
      <c r="CV282" s="82"/>
      <c r="CW282" s="82"/>
      <c r="CX282" s="82"/>
      <c r="CY282" s="82"/>
      <c r="CZ282" s="82"/>
      <c r="DA282" s="82"/>
      <c r="DB282" s="82"/>
      <c r="DC282" s="82"/>
      <c r="DD282" s="82"/>
      <c r="DE282" s="138"/>
      <c r="DF282" s="82"/>
      <c r="DG282" s="82"/>
      <c r="DH282" s="138"/>
      <c r="DI282" s="82"/>
      <c r="DJ282" s="82"/>
      <c r="DK282" s="138"/>
      <c r="DL282" s="82"/>
      <c r="DM282" s="82"/>
      <c r="DN282" s="138"/>
      <c r="DO282" s="82"/>
      <c r="DP282" s="82"/>
      <c r="DQ282" s="138"/>
      <c r="DR282" s="82"/>
      <c r="DS282" s="82"/>
      <c r="DT282" s="138"/>
      <c r="DU282" s="82"/>
      <c r="DV282" s="82"/>
      <c r="DW282" s="138"/>
      <c r="DX282" s="82"/>
      <c r="DY282" s="82"/>
      <c r="DZ282" s="138"/>
      <c r="EA282" s="82"/>
      <c r="EB282" s="82"/>
      <c r="EC282" s="138"/>
      <c r="ED282" s="82"/>
      <c r="EE282" s="82"/>
      <c r="EF282" s="138"/>
      <c r="EG282" s="82"/>
      <c r="EH282" s="82"/>
      <c r="EI282" s="138"/>
      <c r="EJ282" s="82"/>
      <c r="EK282" s="82"/>
      <c r="EL282" s="138"/>
      <c r="EM282" s="82"/>
      <c r="EN282" s="82"/>
      <c r="EO282" s="138"/>
      <c r="EP282" s="82"/>
      <c r="EQ282" s="82"/>
      <c r="ER282" s="138"/>
      <c r="ES282" s="82"/>
      <c r="ET282" s="82"/>
      <c r="EU282" s="138"/>
      <c r="EV282" s="82"/>
      <c r="EW282" s="82"/>
      <c r="EX282" s="138"/>
      <c r="EY282" s="82"/>
      <c r="EZ282" s="82"/>
      <c r="FA282" s="138"/>
    </row>
    <row r="283" spans="1:157" ht="13.35" customHeight="1" outlineLevel="1">
      <c r="A283" s="3"/>
      <c r="B283" s="126" t="str">
        <f t="shared" si="234"/>
        <v xml:space="preserve">     Economic driver</v>
      </c>
      <c r="C283" s="4"/>
      <c r="D283" s="4"/>
      <c r="E283" s="82"/>
      <c r="F283" s="8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c r="AV283" s="82"/>
      <c r="AW283" s="82"/>
      <c r="AX283" s="82"/>
      <c r="AY283" s="82"/>
      <c r="AZ283" s="82"/>
      <c r="BA283" s="82"/>
      <c r="BB283" s="82"/>
      <c r="BC283" s="82"/>
      <c r="BD283" s="82"/>
      <c r="BE283" s="82"/>
      <c r="BF283" s="82"/>
      <c r="BG283" s="82"/>
      <c r="BH283" s="82"/>
      <c r="BI283" s="82"/>
      <c r="BJ283" s="82"/>
      <c r="BK283" s="82"/>
      <c r="BL283" s="82"/>
      <c r="BM283" s="82"/>
      <c r="BN283" s="82"/>
      <c r="BO283" s="82"/>
      <c r="BP283" s="82"/>
      <c r="BQ283" s="82"/>
      <c r="BR283" s="82"/>
      <c r="BS283" s="82"/>
      <c r="BT283" s="82"/>
      <c r="BU283" s="82"/>
      <c r="BV283" s="82"/>
      <c r="BW283" s="82"/>
      <c r="BX283" s="82"/>
      <c r="BY283" s="82"/>
      <c r="BZ283" s="82"/>
      <c r="CA283" s="82"/>
      <c r="CB283" s="82"/>
      <c r="CC283" s="82"/>
      <c r="CD283" s="82"/>
      <c r="CE283" s="82"/>
      <c r="CF283" s="82"/>
      <c r="CG283" s="82"/>
      <c r="CH283" s="82"/>
      <c r="CI283" s="82"/>
      <c r="CJ283" s="82"/>
      <c r="CK283" s="82"/>
      <c r="CL283" s="82"/>
      <c r="CM283" s="82"/>
      <c r="CN283" s="82"/>
      <c r="CO283" s="82"/>
      <c r="CP283" s="82"/>
      <c r="CQ283" s="82"/>
      <c r="CR283" s="82"/>
      <c r="CS283" s="82"/>
      <c r="CT283" s="82"/>
      <c r="CU283" s="82"/>
      <c r="CV283" s="82"/>
      <c r="CW283" s="82"/>
      <c r="CX283" s="82"/>
      <c r="CY283" s="82"/>
      <c r="CZ283" s="82"/>
      <c r="DA283" s="82"/>
      <c r="DB283" s="82"/>
      <c r="DC283" s="82"/>
      <c r="DD283" s="82"/>
      <c r="DE283" s="138"/>
      <c r="DF283" s="82"/>
      <c r="DG283" s="82"/>
      <c r="DH283" s="138"/>
      <c r="DI283" s="82"/>
      <c r="DJ283" s="82"/>
      <c r="DK283" s="138"/>
      <c r="DL283" s="82"/>
      <c r="DM283" s="82"/>
      <c r="DN283" s="138"/>
      <c r="DO283" s="82"/>
      <c r="DP283" s="82"/>
      <c r="DQ283" s="138"/>
      <c r="DR283" s="82"/>
      <c r="DS283" s="82"/>
      <c r="DT283" s="138"/>
      <c r="DU283" s="82"/>
      <c r="DV283" s="82"/>
      <c r="DW283" s="138"/>
      <c r="DX283" s="82"/>
      <c r="DY283" s="82"/>
      <c r="DZ283" s="138"/>
      <c r="EA283" s="82"/>
      <c r="EB283" s="82"/>
      <c r="EC283" s="138"/>
      <c r="ED283" s="82"/>
      <c r="EE283" s="82"/>
      <c r="EF283" s="138"/>
      <c r="EG283" s="82"/>
      <c r="EH283" s="82"/>
      <c r="EI283" s="138"/>
      <c r="EJ283" s="82"/>
      <c r="EK283" s="82"/>
      <c r="EL283" s="138"/>
      <c r="EM283" s="82"/>
      <c r="EN283" s="82"/>
      <c r="EO283" s="138"/>
      <c r="EP283" s="82"/>
      <c r="EQ283" s="82"/>
      <c r="ER283" s="138"/>
      <c r="ES283" s="82"/>
      <c r="ET283" s="82"/>
      <c r="EU283" s="138"/>
      <c r="EV283" s="82"/>
      <c r="EW283" s="82"/>
      <c r="EX283" s="138"/>
      <c r="EY283" s="82"/>
      <c r="EZ283" s="82"/>
      <c r="FA283" s="138"/>
    </row>
    <row r="284" spans="1:157" ht="13.35" customHeight="1">
      <c r="A284" s="3"/>
      <c r="B284" s="126"/>
      <c r="C284" s="4"/>
      <c r="D284" s="4"/>
      <c r="E284" s="84"/>
      <c r="F284" s="84"/>
      <c r="G284" s="84"/>
      <c r="H284" s="84"/>
      <c r="I284" s="84"/>
      <c r="J284" s="84"/>
      <c r="K284" s="84"/>
      <c r="L284" s="84"/>
      <c r="M284" s="84"/>
      <c r="N284" s="84"/>
      <c r="O284" s="84"/>
      <c r="P284" s="84"/>
      <c r="Q284" s="84"/>
      <c r="R284" s="84"/>
      <c r="S284" s="84"/>
      <c r="T284" s="84"/>
      <c r="U284" s="84"/>
      <c r="V284" s="84"/>
      <c r="W284" s="84"/>
      <c r="X284" s="84"/>
      <c r="Y284" s="84"/>
      <c r="Z284" s="84"/>
      <c r="AA284" s="84"/>
      <c r="AB284" s="84"/>
      <c r="AC284" s="84"/>
      <c r="AD284" s="84"/>
      <c r="AE284" s="84"/>
      <c r="AF284" s="84"/>
      <c r="AG284" s="84"/>
      <c r="AH284" s="84"/>
      <c r="AI284" s="84"/>
      <c r="AJ284" s="84"/>
      <c r="AK284" s="84"/>
      <c r="AL284" s="84"/>
      <c r="AM284" s="84"/>
      <c r="AN284" s="84"/>
      <c r="AO284" s="84"/>
      <c r="AP284" s="84"/>
      <c r="AQ284" s="84"/>
      <c r="AR284" s="84"/>
      <c r="AS284" s="84"/>
      <c r="AT284" s="84"/>
      <c r="AU284" s="84"/>
      <c r="AV284" s="84"/>
      <c r="AW284" s="84"/>
      <c r="AX284" s="84"/>
      <c r="AY284" s="84"/>
      <c r="AZ284" s="84"/>
      <c r="BA284" s="84"/>
      <c r="BB284" s="84"/>
      <c r="BC284" s="84"/>
      <c r="BD284" s="84"/>
      <c r="BE284" s="84"/>
      <c r="BF284" s="84"/>
      <c r="BG284" s="84"/>
      <c r="BH284" s="84"/>
      <c r="BI284" s="84"/>
      <c r="BJ284" s="84"/>
      <c r="BK284" s="84"/>
      <c r="BL284" s="84"/>
      <c r="BM284" s="84"/>
      <c r="BN284" s="84"/>
      <c r="BO284" s="84"/>
      <c r="BP284" s="84"/>
      <c r="BQ284" s="84"/>
      <c r="BR284" s="84"/>
      <c r="BS284" s="84"/>
      <c r="BT284" s="84"/>
      <c r="BU284" s="84"/>
      <c r="BV284" s="84"/>
      <c r="BW284" s="84"/>
      <c r="BX284" s="84"/>
      <c r="BY284" s="84"/>
      <c r="BZ284" s="84"/>
      <c r="CA284" s="84"/>
      <c r="CB284" s="84"/>
      <c r="CC284" s="84"/>
      <c r="CD284" s="84"/>
      <c r="CE284" s="84"/>
      <c r="CF284" s="84"/>
      <c r="CG284" s="84"/>
      <c r="CH284" s="84"/>
      <c r="CI284" s="84"/>
      <c r="CJ284" s="84"/>
      <c r="CK284" s="84"/>
      <c r="CL284" s="84"/>
      <c r="CM284" s="84"/>
      <c r="CN284" s="84"/>
      <c r="CO284" s="84"/>
      <c r="CP284" s="84"/>
      <c r="CQ284" s="84"/>
      <c r="CR284" s="84"/>
      <c r="CS284" s="84"/>
      <c r="CT284" s="84"/>
      <c r="CU284" s="84"/>
      <c r="CV284" s="84"/>
      <c r="CW284" s="84"/>
      <c r="CX284" s="84"/>
      <c r="CY284" s="84"/>
      <c r="CZ284" s="84"/>
      <c r="DA284" s="84"/>
      <c r="DB284" s="84"/>
      <c r="DC284" s="84"/>
      <c r="DD284" s="84"/>
      <c r="DE284" s="140"/>
      <c r="DF284" s="84"/>
      <c r="DG284" s="84"/>
      <c r="DH284" s="140"/>
      <c r="DI284" s="84"/>
      <c r="DJ284" s="84"/>
      <c r="DK284" s="140"/>
      <c r="DL284" s="84"/>
      <c r="DM284" s="84"/>
      <c r="DN284" s="140"/>
      <c r="DO284" s="84"/>
      <c r="DP284" s="84"/>
      <c r="DQ284" s="140"/>
      <c r="DR284" s="84"/>
      <c r="DS284" s="84"/>
      <c r="DT284" s="140"/>
      <c r="DU284" s="84"/>
      <c r="DV284" s="84"/>
      <c r="DW284" s="140"/>
      <c r="DX284" s="84"/>
      <c r="DY284" s="84"/>
      <c r="DZ284" s="140"/>
      <c r="EA284" s="84"/>
      <c r="EB284" s="84"/>
      <c r="EC284" s="140"/>
      <c r="ED284" s="84"/>
      <c r="EE284" s="84"/>
      <c r="EF284" s="140"/>
      <c r="EG284" s="84"/>
      <c r="EH284" s="84"/>
      <c r="EI284" s="140"/>
      <c r="EJ284" s="84"/>
      <c r="EK284" s="84"/>
      <c r="EL284" s="140"/>
      <c r="EM284" s="84"/>
      <c r="EN284" s="84"/>
      <c r="EO284" s="140"/>
      <c r="EP284" s="84"/>
      <c r="EQ284" s="84"/>
      <c r="ER284" s="140"/>
      <c r="ES284" s="84"/>
      <c r="ET284" s="84"/>
      <c r="EU284" s="140"/>
      <c r="EV284" s="84"/>
      <c r="EW284" s="84"/>
      <c r="EX284" s="140"/>
      <c r="EY284" s="84"/>
      <c r="EZ284" s="84"/>
      <c r="FA284" s="140"/>
    </row>
    <row r="285" spans="1:157" ht="16.5" customHeight="1">
      <c r="A285" s="77"/>
      <c r="B285" s="77" t="s">
        <v>92</v>
      </c>
      <c r="C285" s="77"/>
      <c r="D285" s="49" t="str">
        <f>+$D$2</f>
        <v xml:space="preserve">Year ending Jun </v>
      </c>
      <c r="E285" s="49" t="str">
        <f>+$E$2</f>
        <v>1h85</v>
      </c>
      <c r="F285" s="49" t="str">
        <f>+$F$2</f>
        <v>2h85</v>
      </c>
      <c r="G285" s="49" t="str">
        <f>+$G$2</f>
        <v>1985</v>
      </c>
      <c r="H285" s="49" t="str">
        <f>+$H$2</f>
        <v>1h86</v>
      </c>
      <c r="I285" s="49" t="str">
        <f>+$I$2</f>
        <v>2h86</v>
      </c>
      <c r="J285" s="49" t="str">
        <f>+$J$2</f>
        <v>1986</v>
      </c>
      <c r="K285" s="49" t="str">
        <f>+$K$2</f>
        <v>1h87</v>
      </c>
      <c r="L285" s="49" t="str">
        <f>+$L$2</f>
        <v>2h87</v>
      </c>
      <c r="M285" s="49" t="str">
        <f>+$M$2</f>
        <v>1987</v>
      </c>
      <c r="N285" s="49" t="str">
        <f>+$N$2</f>
        <v>1h88</v>
      </c>
      <c r="O285" s="49" t="str">
        <f>+$O$2</f>
        <v>2h88</v>
      </c>
      <c r="P285" s="49" t="str">
        <f>+$P$2</f>
        <v>1988</v>
      </c>
      <c r="Q285" s="49" t="str">
        <f>+$Q$2</f>
        <v>1h89</v>
      </c>
      <c r="R285" s="49" t="str">
        <f>+$R$2</f>
        <v>2h89</v>
      </c>
      <c r="S285" s="49" t="str">
        <f>+$S$2</f>
        <v>1989</v>
      </c>
      <c r="T285" s="49" t="str">
        <f>+$T$2</f>
        <v>1h90</v>
      </c>
      <c r="U285" s="49" t="str">
        <f>+$U$2</f>
        <v>2h90</v>
      </c>
      <c r="V285" s="49" t="str">
        <f>+$V$2</f>
        <v>1990</v>
      </c>
      <c r="W285" s="49" t="str">
        <f>+$W$2</f>
        <v>1h91</v>
      </c>
      <c r="X285" s="49" t="str">
        <f>+$X$2</f>
        <v>2h91</v>
      </c>
      <c r="Y285" s="49" t="str">
        <f>+$Y$2</f>
        <v>1991</v>
      </c>
      <c r="Z285" s="49" t="str">
        <f>+$Z$2</f>
        <v>1h92</v>
      </c>
      <c r="AA285" s="49" t="str">
        <f>+$AA$2</f>
        <v>2h92</v>
      </c>
      <c r="AB285" s="49" t="str">
        <f>+$AB$2</f>
        <v>1992</v>
      </c>
      <c r="AC285" s="49" t="str">
        <f>+$AC$2</f>
        <v>1h93</v>
      </c>
      <c r="AD285" s="49" t="str">
        <f>+$AD$2</f>
        <v>2h93</v>
      </c>
      <c r="AE285" s="49" t="str">
        <f>+$AE$2</f>
        <v>1993</v>
      </c>
      <c r="AF285" s="49" t="str">
        <f>+$AF$2</f>
        <v>1h94</v>
      </c>
      <c r="AG285" s="49" t="str">
        <f>+$AG$2</f>
        <v>2h94</v>
      </c>
      <c r="AH285" s="49" t="str">
        <f>+$AH$2</f>
        <v>1994</v>
      </c>
      <c r="AI285" s="49" t="str">
        <f>+$AI$2</f>
        <v>1h95</v>
      </c>
      <c r="AJ285" s="49" t="str">
        <f>+$AJ$2</f>
        <v>2h95</v>
      </c>
      <c r="AK285" s="49" t="str">
        <f>+$AK$2</f>
        <v>1995</v>
      </c>
      <c r="AL285" s="49" t="str">
        <f>+$AL$2</f>
        <v>1h96</v>
      </c>
      <c r="AM285" s="49" t="str">
        <f>+$AM$2</f>
        <v>2h96</v>
      </c>
      <c r="AN285" s="49" t="str">
        <f>+$AN$2</f>
        <v>1996</v>
      </c>
      <c r="AO285" s="49" t="str">
        <f>+$AO$2</f>
        <v>1h97</v>
      </c>
      <c r="AP285" s="49" t="str">
        <f>+$AP$2</f>
        <v>2h97</v>
      </c>
      <c r="AQ285" s="49" t="str">
        <f>+$AQ$2</f>
        <v>1997</v>
      </c>
      <c r="AR285" s="49" t="str">
        <f>+$AR$2</f>
        <v>1h98</v>
      </c>
      <c r="AS285" s="49" t="str">
        <f>+$AS$2</f>
        <v>2h98</v>
      </c>
      <c r="AT285" s="49" t="str">
        <f>+$AT$2</f>
        <v>1998a</v>
      </c>
      <c r="AU285" s="49" t="str">
        <f>+$AU$2</f>
        <v>1h99</v>
      </c>
      <c r="AV285" s="49" t="str">
        <f>+$AV$2</f>
        <v>2h99</v>
      </c>
      <c r="AW285" s="49" t="str">
        <f>+$AW$2</f>
        <v>1999a</v>
      </c>
      <c r="AX285" s="49" t="str">
        <f>+$AX$2</f>
        <v>1h00</v>
      </c>
      <c r="AY285" s="49" t="str">
        <f>+$AY$2</f>
        <v>2h00</v>
      </c>
      <c r="AZ285" s="49" t="str">
        <f>+$AZ$2</f>
        <v>2000a</v>
      </c>
      <c r="BA285" s="49" t="str">
        <f>+$BA$2</f>
        <v>1h01</v>
      </c>
      <c r="BB285" s="49" t="str">
        <f>+$BB$2</f>
        <v>2h01</v>
      </c>
      <c r="BC285" s="49" t="str">
        <f>+$BC$2</f>
        <v>2001a</v>
      </c>
      <c r="BD285" s="49" t="str">
        <f>+$BD$2</f>
        <v>1h02</v>
      </c>
      <c r="BE285" s="49" t="str">
        <f>+$BE$2</f>
        <v>2h02f</v>
      </c>
      <c r="BF285" s="49" t="str">
        <f>+$BF$2</f>
        <v>2002</v>
      </c>
      <c r="BG285" s="49" t="str">
        <f>+$BG$2</f>
        <v>1h03</v>
      </c>
      <c r="BH285" s="49" t="str">
        <f>+$BH$2</f>
        <v>2h03</v>
      </c>
      <c r="BI285" s="49" t="str">
        <f>+$BI$2</f>
        <v>2003</v>
      </c>
      <c r="BJ285" s="49" t="str">
        <f>+$BJ$2</f>
        <v>1h04</v>
      </c>
      <c r="BK285" s="49" t="str">
        <f>+$BK$2</f>
        <v>2h04</v>
      </c>
      <c r="BL285" s="49" t="str">
        <f>+$BL$2</f>
        <v>2004</v>
      </c>
      <c r="BM285" s="49" t="str">
        <f>+$BM$2</f>
        <v>1h05</v>
      </c>
      <c r="BN285" s="49" t="str">
        <f>+$BN$2</f>
        <v>2h05</v>
      </c>
      <c r="BO285" s="49" t="str">
        <f>+$BO$2</f>
        <v>2005</v>
      </c>
      <c r="BP285" s="49" t="str">
        <f t="shared" ref="BP285:CM285" si="235">BP220</f>
        <v>1h06</v>
      </c>
      <c r="BQ285" s="49" t="str">
        <f t="shared" si="235"/>
        <v>2h06</v>
      </c>
      <c r="BR285" s="49" t="str">
        <f t="shared" si="235"/>
        <v>2006</v>
      </c>
      <c r="BS285" s="49" t="str">
        <f t="shared" si="235"/>
        <v>1h07</v>
      </c>
      <c r="BT285" s="49" t="str">
        <f t="shared" si="235"/>
        <v>2h07</v>
      </c>
      <c r="BU285" s="49" t="str">
        <f t="shared" si="235"/>
        <v>2007</v>
      </c>
      <c r="BV285" s="49" t="str">
        <f t="shared" si="235"/>
        <v>1h08</v>
      </c>
      <c r="BW285" s="49" t="str">
        <f t="shared" si="235"/>
        <v>2h08</v>
      </c>
      <c r="BX285" s="49" t="str">
        <f t="shared" si="235"/>
        <v>2008</v>
      </c>
      <c r="BY285" s="49" t="str">
        <f t="shared" si="235"/>
        <v>1h09</v>
      </c>
      <c r="BZ285" s="49" t="str">
        <f t="shared" si="235"/>
        <v>2h09</v>
      </c>
      <c r="CA285" s="49" t="str">
        <f t="shared" si="235"/>
        <v>2009</v>
      </c>
      <c r="CB285" s="49" t="str">
        <f t="shared" si="235"/>
        <v>1h10</v>
      </c>
      <c r="CC285" s="49" t="str">
        <f t="shared" si="235"/>
        <v>2h10</v>
      </c>
      <c r="CD285" s="49" t="str">
        <f t="shared" si="235"/>
        <v>2010</v>
      </c>
      <c r="CE285" s="49" t="str">
        <f t="shared" si="235"/>
        <v>1h11</v>
      </c>
      <c r="CF285" s="49" t="str">
        <f t="shared" si="235"/>
        <v>2h11</v>
      </c>
      <c r="CG285" s="49" t="str">
        <f t="shared" si="235"/>
        <v>2011</v>
      </c>
      <c r="CH285" s="49" t="str">
        <f t="shared" si="235"/>
        <v>1h12</v>
      </c>
      <c r="CI285" s="49" t="str">
        <f t="shared" si="235"/>
        <v>2h12</v>
      </c>
      <c r="CJ285" s="49" t="str">
        <f t="shared" si="235"/>
        <v>2012</v>
      </c>
      <c r="CK285" s="49" t="str">
        <f t="shared" si="235"/>
        <v>1h13</v>
      </c>
      <c r="CL285" s="49" t="str">
        <f t="shared" si="235"/>
        <v>2h13</v>
      </c>
      <c r="CM285" s="49" t="str">
        <f t="shared" si="235"/>
        <v>2013</v>
      </c>
      <c r="CN285" s="49" t="str">
        <f t="shared" ref="CN285:DQ285" si="236">CN220</f>
        <v>1h14</v>
      </c>
      <c r="CO285" s="49" t="str">
        <f t="shared" si="236"/>
        <v>2h14</v>
      </c>
      <c r="CP285" s="49" t="str">
        <f t="shared" si="236"/>
        <v>2014</v>
      </c>
      <c r="CQ285" s="49" t="str">
        <f t="shared" si="236"/>
        <v>1h15</v>
      </c>
      <c r="CR285" s="49" t="str">
        <f t="shared" si="236"/>
        <v>2h15</v>
      </c>
      <c r="CS285" s="49" t="str">
        <f t="shared" si="236"/>
        <v>2015</v>
      </c>
      <c r="CT285" s="49" t="str">
        <f t="shared" si="236"/>
        <v>1h16</v>
      </c>
      <c r="CU285" s="49" t="str">
        <f t="shared" si="236"/>
        <v>2h16</v>
      </c>
      <c r="CV285" s="49" t="str">
        <f t="shared" si="236"/>
        <v>2016</v>
      </c>
      <c r="CW285" s="49" t="str">
        <f t="shared" si="236"/>
        <v>1h17</v>
      </c>
      <c r="CX285" s="49" t="str">
        <f t="shared" si="236"/>
        <v>2h17</v>
      </c>
      <c r="CY285" s="49" t="str">
        <f t="shared" si="236"/>
        <v>2017</v>
      </c>
      <c r="CZ285" s="49" t="str">
        <f t="shared" si="236"/>
        <v>1h18</v>
      </c>
      <c r="DA285" s="49" t="str">
        <f t="shared" si="236"/>
        <v>2h18</v>
      </c>
      <c r="DB285" s="49" t="str">
        <f t="shared" si="236"/>
        <v>2018</v>
      </c>
      <c r="DC285" s="49" t="str">
        <f t="shared" si="236"/>
        <v>1h19</v>
      </c>
      <c r="DD285" s="49" t="str">
        <f t="shared" si="236"/>
        <v>2h19</v>
      </c>
      <c r="DE285" s="63" t="str">
        <f t="shared" si="236"/>
        <v>2019</v>
      </c>
      <c r="DF285" s="49" t="str">
        <f t="shared" si="236"/>
        <v>1h20</v>
      </c>
      <c r="DG285" s="49" t="str">
        <f t="shared" si="236"/>
        <v>2h20</v>
      </c>
      <c r="DH285" s="63" t="str">
        <f t="shared" si="236"/>
        <v>2020</v>
      </c>
      <c r="DI285" s="49" t="str">
        <f t="shared" si="236"/>
        <v>1h21</v>
      </c>
      <c r="DJ285" s="49" t="str">
        <f t="shared" si="236"/>
        <v>2h21</v>
      </c>
      <c r="DK285" s="63" t="str">
        <f t="shared" si="236"/>
        <v>2021</v>
      </c>
      <c r="DL285" s="49" t="str">
        <f t="shared" si="236"/>
        <v>1h22</v>
      </c>
      <c r="DM285" s="49" t="str">
        <f t="shared" si="236"/>
        <v>2h22</v>
      </c>
      <c r="DN285" s="63" t="str">
        <f t="shared" si="236"/>
        <v>2022</v>
      </c>
      <c r="DO285" s="49" t="str">
        <f t="shared" si="236"/>
        <v>1h23</v>
      </c>
      <c r="DP285" s="49" t="str">
        <f t="shared" si="236"/>
        <v>2h23</v>
      </c>
      <c r="DQ285" s="63" t="str">
        <f t="shared" si="236"/>
        <v>2023</v>
      </c>
      <c r="DR285" s="49" t="str">
        <f t="shared" ref="DR285:DZ285" si="237">DR220</f>
        <v>1h24</v>
      </c>
      <c r="DS285" s="49" t="str">
        <f t="shared" si="237"/>
        <v>2h24</v>
      </c>
      <c r="DT285" s="63" t="str">
        <f t="shared" si="237"/>
        <v>2024</v>
      </c>
      <c r="DU285" s="49" t="str">
        <f t="shared" si="237"/>
        <v>1h25</v>
      </c>
      <c r="DV285" s="49" t="str">
        <f t="shared" si="237"/>
        <v>2h25</v>
      </c>
      <c r="DW285" s="63" t="str">
        <f t="shared" si="237"/>
        <v>2025</v>
      </c>
      <c r="DX285" s="49" t="str">
        <f t="shared" si="237"/>
        <v>1h26</v>
      </c>
      <c r="DY285" s="49" t="str">
        <f t="shared" si="237"/>
        <v>2h26E</v>
      </c>
      <c r="DZ285" s="63" t="str">
        <f t="shared" si="237"/>
        <v>2026E</v>
      </c>
      <c r="EA285" s="49" t="str">
        <f t="shared" ref="EA285:EF285" si="238">EA220</f>
        <v>1h27E</v>
      </c>
      <c r="EB285" s="49" t="str">
        <f t="shared" si="238"/>
        <v>2h27E</v>
      </c>
      <c r="EC285" s="63" t="str">
        <f t="shared" si="238"/>
        <v>2027E</v>
      </c>
      <c r="ED285" s="49" t="str">
        <f t="shared" si="238"/>
        <v>1h28E</v>
      </c>
      <c r="EE285" s="49" t="str">
        <f t="shared" si="238"/>
        <v>2h28E</v>
      </c>
      <c r="EF285" s="63" t="str">
        <f t="shared" si="238"/>
        <v>2028E</v>
      </c>
      <c r="EG285" s="49" t="str">
        <f t="shared" ref="EG285:EL285" si="239">EG220</f>
        <v>1h29E</v>
      </c>
      <c r="EH285" s="49" t="str">
        <f t="shared" si="239"/>
        <v>2h29E</v>
      </c>
      <c r="EI285" s="63" t="str">
        <f t="shared" si="239"/>
        <v>2029E</v>
      </c>
      <c r="EJ285" s="49" t="str">
        <f t="shared" si="239"/>
        <v>1h30E</v>
      </c>
      <c r="EK285" s="49" t="str">
        <f t="shared" si="239"/>
        <v>2h30E</v>
      </c>
      <c r="EL285" s="63" t="str">
        <f t="shared" si="239"/>
        <v>2030E</v>
      </c>
      <c r="EM285" s="49" t="str">
        <f t="shared" ref="EM285:ER285" si="240">EM220</f>
        <v>1h31E</v>
      </c>
      <c r="EN285" s="49" t="str">
        <f t="shared" si="240"/>
        <v>2h31E</v>
      </c>
      <c r="EO285" s="63" t="str">
        <f t="shared" si="240"/>
        <v>2031E</v>
      </c>
      <c r="EP285" s="49" t="str">
        <f t="shared" si="240"/>
        <v>1h32E</v>
      </c>
      <c r="EQ285" s="49" t="str">
        <f t="shared" si="240"/>
        <v>2h32E</v>
      </c>
      <c r="ER285" s="63" t="str">
        <f t="shared" si="240"/>
        <v>2032E</v>
      </c>
      <c r="ES285" s="49" t="str">
        <f t="shared" ref="ES285:FA285" si="241">ES220</f>
        <v>1h33E</v>
      </c>
      <c r="ET285" s="49" t="str">
        <f t="shared" si="241"/>
        <v>2h33E</v>
      </c>
      <c r="EU285" s="63" t="str">
        <f t="shared" si="241"/>
        <v>2033E</v>
      </c>
      <c r="EV285" s="49" t="str">
        <f t="shared" si="241"/>
        <v>1h34E</v>
      </c>
      <c r="EW285" s="49" t="str">
        <f t="shared" si="241"/>
        <v>2h34E</v>
      </c>
      <c r="EX285" s="63" t="str">
        <f t="shared" si="241"/>
        <v>2034E</v>
      </c>
      <c r="EY285" s="49" t="str">
        <f t="shared" si="241"/>
        <v>1h35E</v>
      </c>
      <c r="EZ285" s="49" t="str">
        <f t="shared" si="241"/>
        <v>2h35E</v>
      </c>
      <c r="FA285" s="63" t="str">
        <f t="shared" si="241"/>
        <v>2035E</v>
      </c>
    </row>
    <row r="286" spans="1:157" ht="13.35" customHeight="1">
      <c r="A286" s="5"/>
      <c r="B286" s="5" t="s">
        <v>620</v>
      </c>
      <c r="C286" s="30"/>
      <c r="D286" s="5"/>
      <c r="E286" s="8"/>
      <c r="F286" s="8"/>
      <c r="G286" s="8"/>
      <c r="H286" s="8"/>
      <c r="I286" s="8"/>
      <c r="J286" s="8"/>
      <c r="K286" s="8"/>
      <c r="L286" s="8"/>
      <c r="M286" s="8"/>
      <c r="N286" s="8"/>
      <c r="O286" s="8"/>
      <c r="P286" s="8"/>
      <c r="Q286" s="8"/>
      <c r="R286" s="8"/>
      <c r="S286" s="8"/>
      <c r="T286" s="8"/>
      <c r="U286" s="8"/>
      <c r="V286" s="8"/>
      <c r="W286" s="8"/>
      <c r="X286" s="8"/>
      <c r="Y286" s="8"/>
      <c r="Z286" s="8"/>
      <c r="AA286" s="8"/>
      <c r="AB286" s="8"/>
      <c r="AC286" s="8"/>
      <c r="AD286" s="8"/>
      <c r="AE286" s="8"/>
      <c r="AF286" s="8"/>
      <c r="AG286" s="8"/>
      <c r="AH286" s="8"/>
      <c r="AI286" s="8"/>
      <c r="AJ286" s="8"/>
      <c r="AK286" s="8"/>
      <c r="AL286" s="8"/>
      <c r="AM286" s="8"/>
      <c r="AN286" s="8"/>
      <c r="AO286" s="8"/>
      <c r="AP286" s="8"/>
      <c r="AQ286" s="8"/>
      <c r="AR286" s="8"/>
      <c r="AS286" s="8"/>
      <c r="AT286" s="8"/>
      <c r="AU286" s="8"/>
      <c r="AV286" s="8"/>
      <c r="AW286" s="8"/>
      <c r="AX286" s="8"/>
      <c r="AY286" s="8"/>
      <c r="AZ286" s="8"/>
      <c r="BA286" s="8"/>
      <c r="BB286" s="8"/>
      <c r="BC286" s="8"/>
      <c r="BD286" s="8"/>
      <c r="BE286" s="8"/>
      <c r="BF286" s="8"/>
      <c r="BG286" s="8"/>
      <c r="BH286" s="8"/>
      <c r="BI286" s="8"/>
      <c r="BJ286" s="8"/>
      <c r="BK286" s="8"/>
      <c r="BL286" s="8"/>
      <c r="BM286" s="8"/>
      <c r="BN286" s="8"/>
      <c r="BO286" s="8"/>
      <c r="BP286" s="8"/>
      <c r="BQ286" s="8"/>
      <c r="BR286" s="8"/>
      <c r="BS286" s="8"/>
      <c r="BT286" s="8"/>
      <c r="BU286" s="8"/>
      <c r="BV286" s="8"/>
      <c r="BW286" s="8"/>
      <c r="BX286" s="8"/>
      <c r="BY286" s="8"/>
      <c r="BZ286" s="8"/>
      <c r="CA286" s="8"/>
      <c r="CB286" s="8"/>
      <c r="CC286" s="8"/>
      <c r="CD286" s="8"/>
      <c r="CE286" s="8"/>
      <c r="CF286" s="8"/>
      <c r="CG286" s="8"/>
      <c r="CH286" s="8"/>
      <c r="CI286" s="8"/>
      <c r="CJ286" s="8"/>
      <c r="CK286" s="8"/>
      <c r="CL286" s="8"/>
      <c r="CM286" s="8"/>
      <c r="CN286" s="8"/>
      <c r="CO286" s="8"/>
      <c r="CP286" s="8"/>
      <c r="CQ286" s="8"/>
      <c r="CR286" s="8"/>
      <c r="CS286" s="8"/>
      <c r="CT286" s="8"/>
      <c r="CU286" s="8"/>
      <c r="CV286" s="8"/>
      <c r="CW286" s="8"/>
      <c r="CX286" s="8"/>
      <c r="CY286" s="8"/>
      <c r="CZ286" s="8"/>
      <c r="DA286" s="8"/>
      <c r="DB286" s="8"/>
      <c r="DC286" s="8"/>
      <c r="DD286" s="8"/>
      <c r="DE286" s="145"/>
      <c r="DF286" s="8"/>
      <c r="DG286" s="8"/>
      <c r="DH286" s="145"/>
      <c r="DI286" s="8"/>
      <c r="DJ286" s="8"/>
      <c r="DK286" s="145"/>
      <c r="DL286" s="8"/>
      <c r="DM286" s="8"/>
      <c r="DN286" s="145"/>
      <c r="DO286" s="8"/>
      <c r="DP286" s="8"/>
      <c r="DQ286" s="145"/>
      <c r="DR286" s="8"/>
      <c r="DS286" s="8"/>
      <c r="DT286" s="145"/>
      <c r="DU286" s="8"/>
      <c r="DV286" s="8"/>
      <c r="DW286" s="145"/>
      <c r="DX286" s="8"/>
      <c r="DY286" s="8"/>
      <c r="DZ286" s="145"/>
      <c r="EA286" s="8"/>
      <c r="EB286" s="8"/>
      <c r="EC286" s="145"/>
      <c r="ED286" s="8"/>
      <c r="EE286" s="8"/>
      <c r="EF286" s="145"/>
      <c r="EG286" s="8"/>
      <c r="EH286" s="8"/>
      <c r="EI286" s="145"/>
      <c r="EJ286" s="8"/>
      <c r="EK286" s="8"/>
      <c r="EL286" s="145"/>
      <c r="EM286" s="8"/>
      <c r="EN286" s="8"/>
      <c r="EO286" s="145"/>
      <c r="EP286" s="8"/>
      <c r="EQ286" s="8"/>
      <c r="ER286" s="145"/>
      <c r="ES286" s="8"/>
      <c r="ET286" s="8"/>
      <c r="EU286" s="145"/>
      <c r="EV286" s="8"/>
      <c r="EW286" s="8"/>
      <c r="EX286" s="145"/>
      <c r="EY286" s="8"/>
      <c r="EZ286" s="8"/>
      <c r="FA286" s="145"/>
    </row>
    <row r="287" spans="1:157" ht="12.75" customHeight="1">
      <c r="A287" s="4"/>
      <c r="B287" s="4" t="s">
        <v>621</v>
      </c>
      <c r="C287" s="4" t="s">
        <v>622</v>
      </c>
      <c r="D287" s="93"/>
      <c r="E287" s="93"/>
      <c r="F287" s="93"/>
      <c r="G287" s="93"/>
      <c r="H287" s="93"/>
      <c r="I287" s="93"/>
      <c r="J287" s="93"/>
      <c r="K287" s="93"/>
      <c r="L287" s="93"/>
      <c r="M287" s="93"/>
      <c r="N287" s="93"/>
      <c r="O287" s="93"/>
      <c r="P287" s="93"/>
      <c r="Q287" s="93"/>
      <c r="R287" s="93"/>
      <c r="S287" s="93"/>
      <c r="T287" s="93"/>
      <c r="U287" s="93"/>
      <c r="V287" s="131"/>
      <c r="W287" s="131"/>
      <c r="X287" s="131"/>
      <c r="Y287" s="131"/>
      <c r="Z287" s="131"/>
      <c r="AA287" s="131"/>
      <c r="AB287" s="131"/>
      <c r="AC287" s="131"/>
      <c r="AD287" s="131"/>
      <c r="AE287" s="131"/>
      <c r="AF287" s="131"/>
      <c r="AG287" s="131"/>
      <c r="AH287" s="131"/>
      <c r="AI287" s="53"/>
      <c r="AJ287" s="32"/>
      <c r="AK287" s="53"/>
      <c r="AL287" s="53">
        <f>Model!AL45</f>
        <v>0</v>
      </c>
      <c r="AM287" s="32">
        <f>AN287-AL287</f>
        <v>30.196999999999999</v>
      </c>
      <c r="AN287" s="53">
        <f>Model!AN45</f>
        <v>30.196999999999999</v>
      </c>
      <c r="AO287" s="53">
        <f>Model!AO45</f>
        <v>15.78</v>
      </c>
      <c r="AP287" s="32">
        <f>AQ287-AO287</f>
        <v>20.786000000000001</v>
      </c>
      <c r="AQ287" s="53">
        <f>Model!AQ45</f>
        <v>36.566000000000003</v>
      </c>
      <c r="AR287" s="53">
        <f>Model!AR45</f>
        <v>17.28</v>
      </c>
      <c r="AS287" s="32">
        <f>AT287-AR287</f>
        <v>21.802</v>
      </c>
      <c r="AT287" s="53">
        <f>Model!AT45</f>
        <v>39.082000000000001</v>
      </c>
      <c r="AU287" s="53">
        <f>Model!AU45</f>
        <v>18.690000000000001</v>
      </c>
      <c r="AV287" s="32">
        <f>AW287-AU287</f>
        <v>22.139999999999997</v>
      </c>
      <c r="AW287" s="53">
        <f>Model!AW45</f>
        <v>40.83</v>
      </c>
      <c r="AX287" s="53">
        <f>Model!AX45</f>
        <v>16.681999999999999</v>
      </c>
      <c r="AY287" s="32">
        <f>AZ287-AX287</f>
        <v>26.912000000000003</v>
      </c>
      <c r="AZ287" s="53">
        <f>Model!AZ45</f>
        <v>43.594000000000001</v>
      </c>
      <c r="BA287" s="131"/>
      <c r="BB287" s="131"/>
      <c r="BC287" s="131">
        <f>PRODUCT(BC289,Model!BC30)</f>
        <v>82.063103999999996</v>
      </c>
      <c r="BD287" s="131">
        <f>PRODUCT(BD289,Model!BD30)</f>
        <v>58.980499999999999</v>
      </c>
      <c r="BE287" s="131">
        <f>BF287-BD287</f>
        <v>76.037700000000001</v>
      </c>
      <c r="BF287" s="131">
        <f>PRODUCT(BF289,Model!BF30)</f>
        <v>135.01820000000001</v>
      </c>
      <c r="BG287" s="131">
        <f>PRODUCT(BG289,Model!BG30)</f>
        <v>44.789640000000006</v>
      </c>
      <c r="BH287" s="131">
        <f>BI287-BG287</f>
        <v>46.234440000000006</v>
      </c>
      <c r="BI287" s="131">
        <f>PRODUCT(BI289,Model!BI30)</f>
        <v>91.024080000000012</v>
      </c>
      <c r="BJ287" s="131">
        <f>PRODUCT(BJ289,Model!BJ30)</f>
        <v>44.529660000000007</v>
      </c>
      <c r="BK287" s="131">
        <f>BL287-BJ287</f>
        <v>70.984059999999999</v>
      </c>
      <c r="BL287" s="131">
        <f>PRODUCT(BL289,Model!BL30)</f>
        <v>115.51372000000001</v>
      </c>
      <c r="BM287" s="131">
        <f>PRODUCT(BM289,Model!BM30)</f>
        <v>98.990220000000008</v>
      </c>
      <c r="BN287" s="131">
        <f>BO287-BM287</f>
        <v>93.505160000000032</v>
      </c>
      <c r="BO287" s="131">
        <f>(PRODUCT(BO289,Model!BO30))</f>
        <v>192.49538000000004</v>
      </c>
      <c r="BP287" s="131">
        <f>PRODUCT(BP289,Model!BP30)</f>
        <v>0</v>
      </c>
      <c r="BQ287" s="131">
        <f>BR287-BP287</f>
        <v>0</v>
      </c>
      <c r="BR287" s="131">
        <f>PRODUCT(BR289,Model!BR30)</f>
        <v>0</v>
      </c>
      <c r="BS287" s="131">
        <f>PRODUCT(BS289,Model!BS30)</f>
        <v>0</v>
      </c>
      <c r="BT287" s="131">
        <f>BU287-BS287</f>
        <v>0</v>
      </c>
      <c r="BU287" s="131">
        <f>PRODUCT(BU289,Model!BU30)</f>
        <v>0</v>
      </c>
      <c r="BV287" s="131">
        <f>PRODUCT(BV289,Model!BV30)</f>
        <v>78.80117997827881</v>
      </c>
      <c r="BW287" s="131">
        <f>BX287-BV287</f>
        <v>86.846820021721186</v>
      </c>
      <c r="BX287" s="131">
        <f>PRODUCT(BX289,Model!BX30)</f>
        <v>165.648</v>
      </c>
      <c r="BY287" s="131">
        <f>PRODUCT(BY289,Model!BY30)</f>
        <v>91.735345980648688</v>
      </c>
      <c r="BZ287" s="131">
        <f>CA287-BY287</f>
        <v>87.090401813546876</v>
      </c>
      <c r="CA287" s="131">
        <f>PRODUCT(CA289,Model!CA30)</f>
        <v>178.82574779419556</v>
      </c>
      <c r="CB287" s="131">
        <f>PRODUCT(CB289,Model!CB30)</f>
        <v>106.66800382564118</v>
      </c>
      <c r="CC287" s="131">
        <f>CD287-CB287</f>
        <v>100.5244835868936</v>
      </c>
      <c r="CD287" s="131">
        <f>PRODUCT(CD289,Model!CD30)</f>
        <v>207.19248741253477</v>
      </c>
      <c r="CE287" s="131">
        <f>PRODUCT(CE289,Model!CE30)</f>
        <v>104.27909529692762</v>
      </c>
      <c r="CF287" s="131">
        <f>CG287-CE287</f>
        <v>112.0270068912737</v>
      </c>
      <c r="CG287" s="131">
        <f>PRODUCT(CG289,Model!CG30)</f>
        <v>216.30610218820132</v>
      </c>
      <c r="CH287" s="131">
        <f>PRODUCT(CH289,Model!CH30)</f>
        <v>0</v>
      </c>
      <c r="CI287" s="131">
        <f>CJ287-CH287</f>
        <v>0</v>
      </c>
      <c r="CJ287" s="131">
        <f>PRODUCT(CJ289,Model!CJ30)</f>
        <v>0</v>
      </c>
      <c r="CK287" s="131">
        <f>PRODUCT(CK289,Model!CK30)</f>
        <v>0</v>
      </c>
      <c r="CL287" s="131">
        <f>CM287-CK287</f>
        <v>0</v>
      </c>
      <c r="CM287" s="131">
        <f>PRODUCT(CM289,Model!CM30)</f>
        <v>0</v>
      </c>
      <c r="CN287" s="131">
        <f>PRODUCT(CN289,Model!CN30)</f>
        <v>0</v>
      </c>
      <c r="CO287" s="131">
        <f>CP287-CN287</f>
        <v>0</v>
      </c>
      <c r="CP287" s="131">
        <f>PRODUCT(CP289,Model!CP30)</f>
        <v>0</v>
      </c>
      <c r="CQ287" s="131">
        <f>PRODUCT(CQ289,Model!CQ30)</f>
        <v>0</v>
      </c>
      <c r="CR287" s="131">
        <f>CS287-CQ287</f>
        <v>0</v>
      </c>
      <c r="CS287" s="131">
        <f>PRODUCT(CS289,Model!CS30)</f>
        <v>0</v>
      </c>
      <c r="CT287" s="131">
        <f>PRODUCT(CT289,Model!CT30)</f>
        <v>0</v>
      </c>
      <c r="CU287" s="131">
        <f>CV287-CT287</f>
        <v>0</v>
      </c>
      <c r="CV287" s="131">
        <f>PRODUCT(CV289,Model!CV30)</f>
        <v>0</v>
      </c>
      <c r="CW287" s="131">
        <f>PRODUCT(CW289,Model!CW30)</f>
        <v>0</v>
      </c>
      <c r="CX287" s="131">
        <f>CY287-CW287</f>
        <v>0</v>
      </c>
      <c r="CY287" s="131">
        <f>PRODUCT(CY289,Model!CY30)</f>
        <v>0</v>
      </c>
      <c r="CZ287" s="131">
        <f>PRODUCT(CZ289,Model!CZ30)</f>
        <v>0</v>
      </c>
      <c r="DA287" s="131">
        <f>DB287-CZ287</f>
        <v>0</v>
      </c>
      <c r="DB287" s="131">
        <f>PRODUCT(DB289,Model!DB30)</f>
        <v>0</v>
      </c>
      <c r="DC287" s="131">
        <f>PRODUCT(DC289,Model!DC30)</f>
        <v>0</v>
      </c>
      <c r="DD287" s="131">
        <f>DE287-DC287</f>
        <v>0</v>
      </c>
      <c r="DE287" s="157">
        <f>PRODUCT(DE289,Model!DE30)</f>
        <v>0</v>
      </c>
      <c r="DF287" s="131">
        <f>PRODUCT(DF289,Model!DF30)</f>
        <v>0</v>
      </c>
      <c r="DG287" s="131">
        <f>DH287-DF287</f>
        <v>0</v>
      </c>
      <c r="DH287" s="157">
        <f>PRODUCT(DH289,Model!DH30)</f>
        <v>0</v>
      </c>
      <c r="DI287" s="131">
        <f>PRODUCT(DI289,Model!DI30)</f>
        <v>0</v>
      </c>
      <c r="DJ287" s="131">
        <f>DK287-DI287</f>
        <v>0</v>
      </c>
      <c r="DK287" s="157">
        <f>PRODUCT(DK289,Model!DK30)</f>
        <v>0</v>
      </c>
      <c r="DL287" s="131">
        <f>PRODUCT(DL289,Model!DL30)</f>
        <v>0</v>
      </c>
      <c r="DM287" s="131">
        <f>DN287-DL287</f>
        <v>0</v>
      </c>
      <c r="DN287" s="157">
        <f>PRODUCT(DN289,Model!DN30)</f>
        <v>0</v>
      </c>
      <c r="DO287" s="131">
        <f>PRODUCT(DO289,Model!DO30)</f>
        <v>0</v>
      </c>
      <c r="DP287" s="131">
        <f>DQ287-DO287</f>
        <v>0</v>
      </c>
      <c r="DQ287" s="157">
        <f>PRODUCT(DQ289,Model!DQ30)</f>
        <v>0</v>
      </c>
      <c r="DR287" s="131">
        <f>PRODUCT(DR289,Model!DR30)</f>
        <v>0</v>
      </c>
      <c r="DS287" s="131">
        <f>DT287-DR287</f>
        <v>0</v>
      </c>
      <c r="DT287" s="157">
        <f>PRODUCT(DT289,Model!DT30)</f>
        <v>0</v>
      </c>
      <c r="DU287" s="131">
        <f>PRODUCT(DU289,Model!DU30)</f>
        <v>0</v>
      </c>
      <c r="DV287" s="131">
        <f>DW287-DU287</f>
        <v>0</v>
      </c>
      <c r="DW287" s="157">
        <f>PRODUCT(DW289,Model!DW30)</f>
        <v>0</v>
      </c>
      <c r="DX287" s="131">
        <f>PRODUCT(DX289,Model!DX30)</f>
        <v>0</v>
      </c>
      <c r="DY287" s="131">
        <f>DZ287-DX287</f>
        <v>0</v>
      </c>
      <c r="DZ287" s="157">
        <f>PRODUCT(DZ289,Model!DZ30)</f>
        <v>0</v>
      </c>
      <c r="EA287" s="131">
        <f>PRODUCT(EA289,Model!EA30)</f>
        <v>0</v>
      </c>
      <c r="EB287" s="131">
        <f>EC287-EA287</f>
        <v>0</v>
      </c>
      <c r="EC287" s="157">
        <f>PRODUCT(EC289,Model!EC30)</f>
        <v>0</v>
      </c>
      <c r="ED287" s="131">
        <f>PRODUCT(ED289,Model!ED30)</f>
        <v>0</v>
      </c>
      <c r="EE287" s="131">
        <f>EF287-ED287</f>
        <v>0</v>
      </c>
      <c r="EF287" s="157">
        <f>PRODUCT(EF289,Model!EF30)</f>
        <v>0</v>
      </c>
      <c r="EG287" s="131">
        <f>PRODUCT(EG289,Model!EG30)</f>
        <v>0</v>
      </c>
      <c r="EH287" s="131">
        <f>EI287-EG287</f>
        <v>0</v>
      </c>
      <c r="EI287" s="157">
        <f>PRODUCT(EI289,Model!EI30)</f>
        <v>0</v>
      </c>
      <c r="EJ287" s="131">
        <f>PRODUCT(EJ289,Model!EJ30)</f>
        <v>0</v>
      </c>
      <c r="EK287" s="131">
        <f>EL287-EJ287</f>
        <v>0</v>
      </c>
      <c r="EL287" s="157">
        <f>PRODUCT(EL289,Model!EL30)</f>
        <v>0</v>
      </c>
      <c r="EM287" s="131">
        <f>PRODUCT(EM289,Model!EM30)</f>
        <v>0</v>
      </c>
      <c r="EN287" s="131">
        <f>EO287-EM287</f>
        <v>0</v>
      </c>
      <c r="EO287" s="157">
        <f>PRODUCT(EO289,Model!EO30)</f>
        <v>0</v>
      </c>
      <c r="EP287" s="131">
        <f>PRODUCT(EP289,Model!EP30)</f>
        <v>0</v>
      </c>
      <c r="EQ287" s="131">
        <f>ER287-EP287</f>
        <v>0</v>
      </c>
      <c r="ER287" s="157">
        <f>PRODUCT(ER289,Model!ER30)</f>
        <v>0</v>
      </c>
      <c r="ES287" s="131">
        <f>PRODUCT(ES289,Model!ES30)</f>
        <v>0</v>
      </c>
      <c r="ET287" s="131">
        <f>EU287-ES287</f>
        <v>0</v>
      </c>
      <c r="EU287" s="157">
        <f>PRODUCT(EU289,Model!EU30)</f>
        <v>0</v>
      </c>
      <c r="EV287" s="131">
        <f>PRODUCT(EV289,Model!EV30)</f>
        <v>0</v>
      </c>
      <c r="EW287" s="131">
        <f>EX287-EV287</f>
        <v>0</v>
      </c>
      <c r="EX287" s="157">
        <f>PRODUCT(EX289,Model!EX30)</f>
        <v>0</v>
      </c>
      <c r="EY287" s="131">
        <f>PRODUCT(EY289,Model!EY30)</f>
        <v>0</v>
      </c>
      <c r="EZ287" s="131">
        <f>FA287-EY287</f>
        <v>0</v>
      </c>
      <c r="FA287" s="157">
        <f>PRODUCT(FA289,Model!FA30)</f>
        <v>0</v>
      </c>
    </row>
    <row r="288" spans="1:157" ht="13.35" customHeight="1">
      <c r="A288" s="4"/>
      <c r="B288" s="4" t="s">
        <v>621</v>
      </c>
      <c r="C288" s="4" t="s">
        <v>623</v>
      </c>
      <c r="D288" s="4"/>
      <c r="E288" s="132"/>
      <c r="F288" s="132"/>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f t="shared" ref="AP288:BR288" si="242">(AP287-AM287)/AM287</f>
        <v>-0.31165347551081229</v>
      </c>
      <c r="AQ288" s="82">
        <f t="shared" si="242"/>
        <v>0.21091499155545265</v>
      </c>
      <c r="AR288" s="82">
        <f t="shared" si="242"/>
        <v>9.5057034220532438E-2</v>
      </c>
      <c r="AS288" s="82">
        <f t="shared" si="242"/>
        <v>4.8879053208890515E-2</v>
      </c>
      <c r="AT288" s="82">
        <f t="shared" si="242"/>
        <v>6.8807088552206921E-2</v>
      </c>
      <c r="AU288" s="82">
        <f t="shared" si="242"/>
        <v>8.1597222222222224E-2</v>
      </c>
      <c r="AV288" s="82">
        <f t="shared" si="242"/>
        <v>1.5503164847261601E-2</v>
      </c>
      <c r="AW288" s="82">
        <f t="shared" si="242"/>
        <v>4.472647254490552E-2</v>
      </c>
      <c r="AX288" s="82">
        <f t="shared" si="242"/>
        <v>-0.10743713215623342</v>
      </c>
      <c r="AY288" s="82">
        <f t="shared" si="242"/>
        <v>0.2155374887082207</v>
      </c>
      <c r="AZ288" s="82">
        <f t="shared" si="242"/>
        <v>6.7695322067107599E-2</v>
      </c>
      <c r="BA288" s="82"/>
      <c r="BB288" s="82"/>
      <c r="BC288" s="82">
        <f t="shared" si="242"/>
        <v>0.88244033582603099</v>
      </c>
      <c r="BD288" s="82"/>
      <c r="BE288" s="82"/>
      <c r="BF288" s="82">
        <f t="shared" si="242"/>
        <v>0.64529725807105731</v>
      </c>
      <c r="BG288" s="82">
        <f t="shared" si="242"/>
        <v>-0.24060257203652044</v>
      </c>
      <c r="BH288" s="82">
        <f t="shared" si="242"/>
        <v>-0.39195372821639785</v>
      </c>
      <c r="BI288" s="82">
        <f t="shared" si="242"/>
        <v>-0.32583844252108229</v>
      </c>
      <c r="BJ288" s="82">
        <f t="shared" si="242"/>
        <v>-5.8044672830591792E-3</v>
      </c>
      <c r="BK288" s="82">
        <f t="shared" si="242"/>
        <v>0.53530701355958865</v>
      </c>
      <c r="BL288" s="82">
        <f t="shared" si="242"/>
        <v>0.26904572943774868</v>
      </c>
      <c r="BM288" s="82">
        <f t="shared" si="242"/>
        <v>1.2230176471143053</v>
      </c>
      <c r="BN288" s="82">
        <f t="shared" si="242"/>
        <v>0.31726982085837346</v>
      </c>
      <c r="BO288" s="82">
        <f t="shared" si="242"/>
        <v>0.6664287151344449</v>
      </c>
      <c r="BP288" s="82">
        <f t="shared" si="242"/>
        <v>-1</v>
      </c>
      <c r="BQ288" s="82">
        <f t="shared" si="242"/>
        <v>-1</v>
      </c>
      <c r="BR288" s="82">
        <f t="shared" si="242"/>
        <v>-1</v>
      </c>
      <c r="BS288" s="82"/>
      <c r="BT288" s="82"/>
      <c r="BU288" s="82"/>
      <c r="BV288" s="82"/>
      <c r="BW288" s="82"/>
      <c r="BX288" s="82"/>
      <c r="BY288" s="82">
        <f t="shared" ref="BY288:CJ288" si="243">(BY287-BV287)/BV287</f>
        <v>0.16413670462720384</v>
      </c>
      <c r="BZ288" s="82">
        <f t="shared" si="243"/>
        <v>2.8047289672180069E-3</v>
      </c>
      <c r="CA288" s="82">
        <f t="shared" si="243"/>
        <v>7.9552712946703658E-2</v>
      </c>
      <c r="CB288" s="82">
        <f t="shared" si="243"/>
        <v>0.16277976264615052</v>
      </c>
      <c r="CC288" s="82">
        <f t="shared" si="243"/>
        <v>0.15425444702974206</v>
      </c>
      <c r="CD288" s="82">
        <f t="shared" si="243"/>
        <v>0.15862782607225845</v>
      </c>
      <c r="CE288" s="82">
        <f t="shared" si="243"/>
        <v>-2.239573670674902E-2</v>
      </c>
      <c r="CF288" s="82">
        <f t="shared" si="243"/>
        <v>0.1144250922158411</v>
      </c>
      <c r="CG288" s="82">
        <f t="shared" si="243"/>
        <v>4.3986222133241257E-2</v>
      </c>
      <c r="CH288" s="82">
        <f t="shared" si="243"/>
        <v>-1</v>
      </c>
      <c r="CI288" s="82">
        <f t="shared" si="243"/>
        <v>-1</v>
      </c>
      <c r="CJ288" s="82">
        <f t="shared" si="243"/>
        <v>-1</v>
      </c>
      <c r="CK288" s="82"/>
      <c r="CL288" s="82"/>
      <c r="CM288" s="82"/>
      <c r="CN288" s="82"/>
      <c r="CO288" s="82"/>
      <c r="CP288" s="82"/>
      <c r="CQ288" s="82"/>
      <c r="CR288" s="82"/>
      <c r="CS288" s="82"/>
      <c r="CT288" s="82"/>
      <c r="CU288" s="82"/>
      <c r="CV288" s="82"/>
      <c r="CW288" s="82"/>
      <c r="CX288" s="82"/>
      <c r="CY288" s="82"/>
      <c r="CZ288" s="82"/>
      <c r="DA288" s="82"/>
      <c r="DB288" s="82"/>
      <c r="DC288" s="82"/>
      <c r="DD288" s="82"/>
      <c r="DE288" s="138"/>
      <c r="DF288" s="82"/>
      <c r="DG288" s="82"/>
      <c r="DH288" s="138"/>
      <c r="DI288" s="82"/>
      <c r="DJ288" s="82"/>
      <c r="DK288" s="138"/>
      <c r="DL288" s="82"/>
      <c r="DM288" s="82"/>
      <c r="DN288" s="138"/>
      <c r="DO288" s="82"/>
      <c r="DP288" s="82"/>
      <c r="DQ288" s="138"/>
      <c r="DR288" s="82"/>
      <c r="DS288" s="82"/>
      <c r="DT288" s="138"/>
      <c r="DU288" s="82"/>
      <c r="DV288" s="82"/>
      <c r="DW288" s="138"/>
      <c r="DX288" s="82"/>
      <c r="DY288" s="82"/>
      <c r="DZ288" s="138"/>
      <c r="EA288" s="82"/>
      <c r="EB288" s="82"/>
      <c r="EC288" s="138"/>
      <c r="ED288" s="82"/>
      <c r="EE288" s="82"/>
      <c r="EF288" s="138"/>
      <c r="EG288" s="82"/>
      <c r="EH288" s="82"/>
      <c r="EI288" s="138"/>
      <c r="EJ288" s="82"/>
      <c r="EK288" s="82"/>
      <c r="EL288" s="138"/>
      <c r="EM288" s="82"/>
      <c r="EN288" s="82"/>
      <c r="EO288" s="138"/>
      <c r="EP288" s="82"/>
      <c r="EQ288" s="82"/>
      <c r="ER288" s="138"/>
      <c r="ES288" s="82"/>
      <c r="ET288" s="82"/>
      <c r="EU288" s="138"/>
      <c r="EV288" s="82"/>
      <c r="EW288" s="82"/>
      <c r="EX288" s="138"/>
      <c r="EY288" s="82"/>
      <c r="EZ288" s="82"/>
      <c r="FA288" s="138"/>
    </row>
    <row r="289" spans="1:157" ht="13.35" customHeight="1">
      <c r="A289" s="4"/>
      <c r="B289" s="4" t="s">
        <v>621</v>
      </c>
      <c r="C289" s="4" t="s">
        <v>624</v>
      </c>
      <c r="D289" s="4"/>
      <c r="E289" s="93"/>
      <c r="F289" s="93"/>
      <c r="G289" s="93"/>
      <c r="H289" s="93"/>
      <c r="I289" s="93"/>
      <c r="J289" s="93"/>
      <c r="K289" s="93"/>
      <c r="L289" s="93"/>
      <c r="M289" s="93"/>
      <c r="N289" s="93"/>
      <c r="O289" s="93"/>
      <c r="P289" s="93"/>
      <c r="Q289" s="93"/>
      <c r="R289" s="93"/>
      <c r="S289" s="93"/>
      <c r="T289" s="93"/>
      <c r="U289" s="93"/>
      <c r="V289" s="131"/>
      <c r="W289" s="131"/>
      <c r="X289" s="131"/>
      <c r="Y289" s="131"/>
      <c r="Z289" s="131"/>
      <c r="AA289" s="131"/>
      <c r="AB289" s="131"/>
      <c r="AC289" s="131"/>
      <c r="AD289" s="131"/>
      <c r="AE289" s="131"/>
      <c r="AF289" s="131"/>
      <c r="AG289" s="131"/>
      <c r="AH289" s="131"/>
      <c r="AI289" s="131"/>
      <c r="AJ289" s="131"/>
      <c r="AK289" s="131"/>
      <c r="AL289" s="131"/>
      <c r="AM289" s="131"/>
      <c r="AN289" s="131"/>
      <c r="AO289" s="131"/>
      <c r="AP289" s="131"/>
      <c r="AQ289" s="93"/>
      <c r="AR289" s="101"/>
      <c r="AS289" s="101"/>
      <c r="AT289" s="101"/>
      <c r="AU289" s="101"/>
      <c r="AV289" s="101"/>
      <c r="AW289" s="101"/>
      <c r="AX289" s="101"/>
      <c r="AY289" s="101"/>
      <c r="AZ289" s="101"/>
      <c r="BA289" s="82">
        <v>4.8000000000000001E-2</v>
      </c>
      <c r="BB289" s="82">
        <v>0.13</v>
      </c>
      <c r="BC289" s="82">
        <v>9.6000000000000002E-2</v>
      </c>
      <c r="BD289" s="82">
        <v>0.1</v>
      </c>
      <c r="BE289" s="82">
        <f>BD289</f>
        <v>0.1</v>
      </c>
      <c r="BF289" s="82">
        <f>BE289</f>
        <v>0.1</v>
      </c>
      <c r="BG289" s="82">
        <v>7.0000000000000007E-2</v>
      </c>
      <c r="BH289" s="82">
        <f t="shared" ref="BH289:BO289" si="244">BG289</f>
        <v>7.0000000000000007E-2</v>
      </c>
      <c r="BI289" s="82">
        <f t="shared" si="244"/>
        <v>7.0000000000000007E-2</v>
      </c>
      <c r="BJ289" s="82">
        <f t="shared" si="244"/>
        <v>7.0000000000000007E-2</v>
      </c>
      <c r="BK289" s="82">
        <f t="shared" si="244"/>
        <v>7.0000000000000007E-2</v>
      </c>
      <c r="BL289" s="82">
        <f t="shared" si="244"/>
        <v>7.0000000000000007E-2</v>
      </c>
      <c r="BM289" s="82">
        <f t="shared" si="244"/>
        <v>7.0000000000000007E-2</v>
      </c>
      <c r="BN289" s="82">
        <f t="shared" si="244"/>
        <v>7.0000000000000007E-2</v>
      </c>
      <c r="BO289" s="82">
        <f t="shared" si="244"/>
        <v>7.0000000000000007E-2</v>
      </c>
      <c r="BP289" s="82">
        <v>5.0999999999999997E-2</v>
      </c>
      <c r="BQ289" s="82">
        <f t="shared" ref="BQ289:CM289" si="245">BP289</f>
        <v>5.0999999999999997E-2</v>
      </c>
      <c r="BR289" s="82">
        <f t="shared" si="245"/>
        <v>5.0999999999999997E-2</v>
      </c>
      <c r="BS289" s="82">
        <f t="shared" si="245"/>
        <v>5.0999999999999997E-2</v>
      </c>
      <c r="BT289" s="82">
        <f t="shared" si="245"/>
        <v>5.0999999999999997E-2</v>
      </c>
      <c r="BU289" s="82">
        <f t="shared" si="245"/>
        <v>5.0999999999999997E-2</v>
      </c>
      <c r="BV289" s="82">
        <f t="shared" si="245"/>
        <v>5.0999999999999997E-2</v>
      </c>
      <c r="BW289" s="82">
        <f t="shared" si="245"/>
        <v>5.0999999999999997E-2</v>
      </c>
      <c r="BX289" s="82">
        <f t="shared" si="245"/>
        <v>5.0999999999999997E-2</v>
      </c>
      <c r="BY289" s="82">
        <f t="shared" si="245"/>
        <v>5.0999999999999997E-2</v>
      </c>
      <c r="BZ289" s="82">
        <f t="shared" si="245"/>
        <v>5.0999999999999997E-2</v>
      </c>
      <c r="CA289" s="82">
        <f t="shared" si="245"/>
        <v>5.0999999999999997E-2</v>
      </c>
      <c r="CB289" s="82">
        <f t="shared" si="245"/>
        <v>5.0999999999999997E-2</v>
      </c>
      <c r="CC289" s="82">
        <f t="shared" si="245"/>
        <v>5.0999999999999997E-2</v>
      </c>
      <c r="CD289" s="82">
        <f t="shared" si="245"/>
        <v>5.0999999999999997E-2</v>
      </c>
      <c r="CE289" s="82">
        <f t="shared" si="245"/>
        <v>5.0999999999999997E-2</v>
      </c>
      <c r="CF289" s="82">
        <f t="shared" si="245"/>
        <v>5.0999999999999997E-2</v>
      </c>
      <c r="CG289" s="82">
        <f t="shared" si="245"/>
        <v>5.0999999999999997E-2</v>
      </c>
      <c r="CH289" s="82">
        <v>0</v>
      </c>
      <c r="CI289" s="82">
        <f t="shared" si="245"/>
        <v>0</v>
      </c>
      <c r="CJ289" s="82">
        <f t="shared" si="245"/>
        <v>0</v>
      </c>
      <c r="CK289" s="82">
        <f t="shared" si="245"/>
        <v>0</v>
      </c>
      <c r="CL289" s="82">
        <f t="shared" si="245"/>
        <v>0</v>
      </c>
      <c r="CM289" s="82">
        <f t="shared" si="245"/>
        <v>0</v>
      </c>
      <c r="CN289" s="82">
        <f t="shared" ref="CN289:DQ289" si="246">CM289</f>
        <v>0</v>
      </c>
      <c r="CO289" s="82">
        <f t="shared" si="246"/>
        <v>0</v>
      </c>
      <c r="CP289" s="82">
        <f t="shared" si="246"/>
        <v>0</v>
      </c>
      <c r="CQ289" s="82">
        <f t="shared" si="246"/>
        <v>0</v>
      </c>
      <c r="CR289" s="82">
        <f t="shared" si="246"/>
        <v>0</v>
      </c>
      <c r="CS289" s="82">
        <f t="shared" si="246"/>
        <v>0</v>
      </c>
      <c r="CT289" s="82">
        <f t="shared" si="246"/>
        <v>0</v>
      </c>
      <c r="CU289" s="82">
        <f t="shared" si="246"/>
        <v>0</v>
      </c>
      <c r="CV289" s="82">
        <f t="shared" si="246"/>
        <v>0</v>
      </c>
      <c r="CW289" s="82">
        <f t="shared" si="246"/>
        <v>0</v>
      </c>
      <c r="CX289" s="82">
        <f t="shared" si="246"/>
        <v>0</v>
      </c>
      <c r="CY289" s="82">
        <f t="shared" si="246"/>
        <v>0</v>
      </c>
      <c r="CZ289" s="82">
        <f t="shared" si="246"/>
        <v>0</v>
      </c>
      <c r="DA289" s="82">
        <f t="shared" si="246"/>
        <v>0</v>
      </c>
      <c r="DB289" s="82">
        <f t="shared" si="246"/>
        <v>0</v>
      </c>
      <c r="DC289" s="82">
        <f t="shared" si="246"/>
        <v>0</v>
      </c>
      <c r="DD289" s="82">
        <f t="shared" si="246"/>
        <v>0</v>
      </c>
      <c r="DE289" s="138">
        <f t="shared" si="246"/>
        <v>0</v>
      </c>
      <c r="DF289" s="82">
        <f t="shared" si="246"/>
        <v>0</v>
      </c>
      <c r="DG289" s="82">
        <f t="shared" si="246"/>
        <v>0</v>
      </c>
      <c r="DH289" s="138">
        <f t="shared" si="246"/>
        <v>0</v>
      </c>
      <c r="DI289" s="82">
        <f t="shared" si="246"/>
        <v>0</v>
      </c>
      <c r="DJ289" s="82">
        <f t="shared" si="246"/>
        <v>0</v>
      </c>
      <c r="DK289" s="138">
        <f t="shared" si="246"/>
        <v>0</v>
      </c>
      <c r="DL289" s="82">
        <f t="shared" si="246"/>
        <v>0</v>
      </c>
      <c r="DM289" s="82">
        <f t="shared" si="246"/>
        <v>0</v>
      </c>
      <c r="DN289" s="138">
        <f t="shared" si="246"/>
        <v>0</v>
      </c>
      <c r="DO289" s="82">
        <f t="shared" si="246"/>
        <v>0</v>
      </c>
      <c r="DP289" s="82">
        <f t="shared" si="246"/>
        <v>0</v>
      </c>
      <c r="DQ289" s="138">
        <f t="shared" si="246"/>
        <v>0</v>
      </c>
      <c r="DR289" s="82">
        <f t="shared" ref="DR289:DZ289" si="247">DQ289</f>
        <v>0</v>
      </c>
      <c r="DS289" s="82">
        <f t="shared" si="247"/>
        <v>0</v>
      </c>
      <c r="DT289" s="138">
        <f t="shared" si="247"/>
        <v>0</v>
      </c>
      <c r="DU289" s="82">
        <f t="shared" si="247"/>
        <v>0</v>
      </c>
      <c r="DV289" s="82">
        <f t="shared" si="247"/>
        <v>0</v>
      </c>
      <c r="DW289" s="138">
        <f t="shared" si="247"/>
        <v>0</v>
      </c>
      <c r="DX289" s="82">
        <f t="shared" si="247"/>
        <v>0</v>
      </c>
      <c r="DY289" s="82">
        <f t="shared" si="247"/>
        <v>0</v>
      </c>
      <c r="DZ289" s="138">
        <f t="shared" si="247"/>
        <v>0</v>
      </c>
      <c r="EA289" s="82">
        <f t="shared" ref="EA289:EF289" si="248">DZ289</f>
        <v>0</v>
      </c>
      <c r="EB289" s="82">
        <f t="shared" si="248"/>
        <v>0</v>
      </c>
      <c r="EC289" s="138">
        <f t="shared" si="248"/>
        <v>0</v>
      </c>
      <c r="ED289" s="82">
        <f t="shared" si="248"/>
        <v>0</v>
      </c>
      <c r="EE289" s="82">
        <f t="shared" si="248"/>
        <v>0</v>
      </c>
      <c r="EF289" s="138">
        <f t="shared" si="248"/>
        <v>0</v>
      </c>
      <c r="EG289" s="82">
        <f t="shared" ref="EG289:EL289" si="249">EF289</f>
        <v>0</v>
      </c>
      <c r="EH289" s="82">
        <f t="shared" si="249"/>
        <v>0</v>
      </c>
      <c r="EI289" s="138">
        <f t="shared" si="249"/>
        <v>0</v>
      </c>
      <c r="EJ289" s="82">
        <f t="shared" si="249"/>
        <v>0</v>
      </c>
      <c r="EK289" s="82">
        <f t="shared" si="249"/>
        <v>0</v>
      </c>
      <c r="EL289" s="138">
        <f t="shared" si="249"/>
        <v>0</v>
      </c>
      <c r="EM289" s="82">
        <f t="shared" ref="EM289:FA289" si="250">EL289</f>
        <v>0</v>
      </c>
      <c r="EN289" s="82">
        <f t="shared" si="250"/>
        <v>0</v>
      </c>
      <c r="EO289" s="138">
        <f t="shared" si="250"/>
        <v>0</v>
      </c>
      <c r="EP289" s="82">
        <f t="shared" si="250"/>
        <v>0</v>
      </c>
      <c r="EQ289" s="82">
        <f t="shared" si="250"/>
        <v>0</v>
      </c>
      <c r="ER289" s="138">
        <f t="shared" si="250"/>
        <v>0</v>
      </c>
      <c r="ES289" s="82">
        <f t="shared" si="250"/>
        <v>0</v>
      </c>
      <c r="ET289" s="82">
        <f t="shared" si="250"/>
        <v>0</v>
      </c>
      <c r="EU289" s="138">
        <f t="shared" si="250"/>
        <v>0</v>
      </c>
      <c r="EV289" s="82">
        <f t="shared" si="250"/>
        <v>0</v>
      </c>
      <c r="EW289" s="82">
        <f t="shared" si="250"/>
        <v>0</v>
      </c>
      <c r="EX289" s="138">
        <f t="shared" si="250"/>
        <v>0</v>
      </c>
      <c r="EY289" s="82">
        <f t="shared" si="250"/>
        <v>0</v>
      </c>
      <c r="EZ289" s="82">
        <f t="shared" si="250"/>
        <v>0</v>
      </c>
      <c r="FA289" s="138">
        <f t="shared" si="250"/>
        <v>0</v>
      </c>
    </row>
    <row r="290" spans="1:157" ht="13.35" customHeight="1">
      <c r="A290" s="4"/>
      <c r="B290" s="4" t="s">
        <v>621</v>
      </c>
      <c r="C290" s="4" t="s">
        <v>625</v>
      </c>
      <c r="D290" s="4"/>
      <c r="E290" s="133"/>
      <c r="F290" s="133"/>
      <c r="G290" s="82"/>
      <c r="H290" s="82"/>
      <c r="I290" s="82"/>
      <c r="J290" s="82"/>
      <c r="K290" s="82"/>
      <c r="L290" s="82"/>
      <c r="M290" s="82"/>
      <c r="N290" s="82"/>
      <c r="O290" s="82"/>
      <c r="P290" s="82"/>
      <c r="Q290" s="82"/>
      <c r="R290" s="82"/>
      <c r="S290" s="82"/>
      <c r="T290" s="82"/>
      <c r="U290" s="82"/>
      <c r="V290" s="82"/>
      <c r="W290" s="82"/>
      <c r="X290" s="82"/>
      <c r="Y290" s="82"/>
      <c r="Z290" s="82"/>
      <c r="AA290" s="82"/>
      <c r="AB290" s="82"/>
      <c r="AC290" s="82"/>
      <c r="AD290" s="82"/>
      <c r="AE290" s="82"/>
      <c r="AF290" s="82"/>
      <c r="AG290" s="82"/>
      <c r="AH290" s="82"/>
      <c r="AI290" s="82"/>
      <c r="AJ290" s="82"/>
      <c r="AK290" s="82"/>
      <c r="AL290" s="82"/>
      <c r="AM290" s="82"/>
      <c r="AN290" s="82"/>
      <c r="AO290" s="82"/>
      <c r="AP290" s="82"/>
      <c r="AQ290" s="82"/>
      <c r="AR290" s="102"/>
      <c r="AS290" s="102"/>
      <c r="AT290" s="102"/>
      <c r="AU290" s="102"/>
      <c r="AV290" s="102"/>
      <c r="AW290" s="102"/>
      <c r="AX290" s="102"/>
      <c r="AY290" s="102"/>
      <c r="AZ290" s="102"/>
      <c r="BA290" s="82">
        <v>0.05</v>
      </c>
      <c r="BB290" s="82">
        <v>0.05</v>
      </c>
      <c r="BC290" s="82">
        <v>0.05</v>
      </c>
      <c r="BD290" s="82">
        <v>2.5000000000000001E-2</v>
      </c>
      <c r="BE290" s="82">
        <v>2.5000000000000001E-2</v>
      </c>
      <c r="BF290" s="82">
        <v>2.5000000000000001E-2</v>
      </c>
      <c r="BG290" s="82">
        <v>2.5000000000000001E-2</v>
      </c>
      <c r="BH290" s="82">
        <v>2.5000000000000001E-2</v>
      </c>
      <c r="BI290" s="82">
        <v>2.5000000000000001E-2</v>
      </c>
      <c r="BJ290" s="82">
        <v>2.5000000000000001E-2</v>
      </c>
      <c r="BK290" s="82">
        <v>2.5000000000000001E-2</v>
      </c>
      <c r="BL290" s="82">
        <v>2.5000000000000001E-2</v>
      </c>
      <c r="BM290" s="82">
        <v>2.5000000000000001E-2</v>
      </c>
      <c r="BN290" s="82">
        <v>2.5000000000000001E-2</v>
      </c>
      <c r="BO290" s="82">
        <v>2.5000000000000001E-2</v>
      </c>
      <c r="BP290" s="82">
        <v>2.5000000000000001E-2</v>
      </c>
      <c r="BQ290" s="82">
        <v>2.5000000000000001E-2</v>
      </c>
      <c r="BR290" s="82">
        <v>2.5000000000000001E-2</v>
      </c>
      <c r="BS290" s="82">
        <v>2.5000000000000001E-2</v>
      </c>
      <c r="BT290" s="82">
        <v>2.5000000000000001E-2</v>
      </c>
      <c r="BU290" s="82">
        <v>2.5000000000000001E-2</v>
      </c>
      <c r="BV290" s="82">
        <v>2.5000000000000001E-2</v>
      </c>
      <c r="BW290" s="82">
        <v>2.5000000000000001E-2</v>
      </c>
      <c r="BX290" s="82">
        <v>2.5000000000000001E-2</v>
      </c>
      <c r="BY290" s="82">
        <v>2.5000000000000001E-2</v>
      </c>
      <c r="BZ290" s="82">
        <v>2.5000000000000001E-2</v>
      </c>
      <c r="CA290" s="82">
        <v>2.5000000000000001E-2</v>
      </c>
      <c r="CB290" s="82">
        <v>2.5000000000000001E-2</v>
      </c>
      <c r="CC290" s="82">
        <v>2.5000000000000001E-2</v>
      </c>
      <c r="CD290" s="82">
        <v>2.5000000000000001E-2</v>
      </c>
      <c r="CE290" s="82">
        <v>2.5000000000000001E-2</v>
      </c>
      <c r="CF290" s="82">
        <v>2.5000000000000001E-2</v>
      </c>
      <c r="CG290" s="82">
        <v>2.5000000000000001E-2</v>
      </c>
      <c r="CH290" s="82">
        <v>2.5000000000000001E-2</v>
      </c>
      <c r="CI290" s="82">
        <v>2.5000000000000001E-2</v>
      </c>
      <c r="CJ290" s="82">
        <v>2.5000000000000001E-2</v>
      </c>
      <c r="CK290" s="82">
        <v>2.5000000000000001E-2</v>
      </c>
      <c r="CL290" s="82">
        <v>2.5000000000000001E-2</v>
      </c>
      <c r="CM290" s="82">
        <v>2.5000000000000001E-2</v>
      </c>
      <c r="CN290" s="82">
        <v>2.5000000000000001E-2</v>
      </c>
      <c r="CO290" s="82">
        <v>2.5000000000000001E-2</v>
      </c>
      <c r="CP290" s="82">
        <v>2.5000000000000001E-2</v>
      </c>
      <c r="CQ290" s="82">
        <v>2.5000000000000001E-2</v>
      </c>
      <c r="CR290" s="82">
        <v>2.5000000000000001E-2</v>
      </c>
      <c r="CS290" s="82">
        <v>2.5000000000000001E-2</v>
      </c>
      <c r="CT290" s="82">
        <v>2.5000000000000001E-2</v>
      </c>
      <c r="CU290" s="82">
        <v>2.5000000000000001E-2</v>
      </c>
      <c r="CV290" s="82">
        <v>2.5000000000000001E-2</v>
      </c>
      <c r="CW290" s="82">
        <v>2.5000000000000001E-2</v>
      </c>
      <c r="CX290" s="82">
        <v>2.5000000000000001E-2</v>
      </c>
      <c r="CY290" s="82">
        <v>2.5000000000000001E-2</v>
      </c>
      <c r="CZ290" s="82">
        <v>2.5000000000000001E-2</v>
      </c>
      <c r="DA290" s="82">
        <v>2.5000000000000001E-2</v>
      </c>
      <c r="DB290" s="82">
        <v>2.5000000000000001E-2</v>
      </c>
      <c r="DC290" s="82">
        <v>2.5000000000000001E-2</v>
      </c>
      <c r="DD290" s="82">
        <v>2.5000000000000001E-2</v>
      </c>
      <c r="DE290" s="138">
        <v>2.5000000000000001E-2</v>
      </c>
      <c r="DF290" s="82">
        <v>2.5000000000000001E-2</v>
      </c>
      <c r="DG290" s="82">
        <v>2.5000000000000001E-2</v>
      </c>
      <c r="DH290" s="138">
        <v>2.5000000000000001E-2</v>
      </c>
      <c r="DI290" s="82">
        <v>2.5000000000000001E-2</v>
      </c>
      <c r="DJ290" s="82">
        <v>2.5000000000000001E-2</v>
      </c>
      <c r="DK290" s="138">
        <v>2.5000000000000001E-2</v>
      </c>
      <c r="DL290" s="82">
        <v>2.5000000000000001E-2</v>
      </c>
      <c r="DM290" s="82">
        <v>2.5000000000000001E-2</v>
      </c>
      <c r="DN290" s="138">
        <v>2.5000000000000001E-2</v>
      </c>
      <c r="DO290" s="82">
        <v>2.5000000000000001E-2</v>
      </c>
      <c r="DP290" s="82">
        <v>2.5000000000000001E-2</v>
      </c>
      <c r="DQ290" s="138">
        <v>2.5000000000000001E-2</v>
      </c>
      <c r="DR290" s="82">
        <v>2.5000000000000001E-2</v>
      </c>
      <c r="DS290" s="82">
        <v>2.5000000000000001E-2</v>
      </c>
      <c r="DT290" s="138">
        <v>2.5000000000000001E-2</v>
      </c>
      <c r="DU290" s="82">
        <v>2.5000000000000001E-2</v>
      </c>
      <c r="DV290" s="82">
        <v>2.5000000000000001E-2</v>
      </c>
      <c r="DW290" s="138">
        <v>2.5000000000000001E-2</v>
      </c>
      <c r="DX290" s="82">
        <v>2.5000000000000001E-2</v>
      </c>
      <c r="DY290" s="82">
        <v>2.5000000000000001E-2</v>
      </c>
      <c r="DZ290" s="138">
        <v>2.5000000000000001E-2</v>
      </c>
      <c r="EA290" s="82">
        <v>2.5000000000000001E-2</v>
      </c>
      <c r="EB290" s="82">
        <v>2.5000000000000001E-2</v>
      </c>
      <c r="EC290" s="138">
        <v>2.5000000000000001E-2</v>
      </c>
      <c r="ED290" s="82">
        <v>2.5000000000000001E-2</v>
      </c>
      <c r="EE290" s="82">
        <v>2.5000000000000001E-2</v>
      </c>
      <c r="EF290" s="138">
        <v>2.5000000000000001E-2</v>
      </c>
      <c r="EG290" s="82">
        <v>2.5000000000000001E-2</v>
      </c>
      <c r="EH290" s="82">
        <v>2.5000000000000001E-2</v>
      </c>
      <c r="EI290" s="138">
        <v>2.5000000000000001E-2</v>
      </c>
      <c r="EJ290" s="82">
        <v>2.5000000000000001E-2</v>
      </c>
      <c r="EK290" s="82">
        <v>2.5000000000000001E-2</v>
      </c>
      <c r="EL290" s="138">
        <v>2.5000000000000001E-2</v>
      </c>
      <c r="EM290" s="82">
        <v>2.5000000000000001E-2</v>
      </c>
      <c r="EN290" s="82">
        <v>2.5000000000000001E-2</v>
      </c>
      <c r="EO290" s="138">
        <v>2.5000000000000001E-2</v>
      </c>
      <c r="EP290" s="82">
        <v>2.5000000000000001E-2</v>
      </c>
      <c r="EQ290" s="82">
        <v>2.5000000000000001E-2</v>
      </c>
      <c r="ER290" s="138">
        <v>2.5000000000000001E-2</v>
      </c>
      <c r="ES290" s="82">
        <v>2.5000000000000001E-2</v>
      </c>
      <c r="ET290" s="82">
        <v>2.5000000000000001E-2</v>
      </c>
      <c r="EU290" s="138">
        <v>2.5000000000000001E-2</v>
      </c>
      <c r="EV290" s="82">
        <v>2.5000000000000001E-2</v>
      </c>
      <c r="EW290" s="82">
        <v>2.5000000000000001E-2</v>
      </c>
      <c r="EX290" s="138">
        <v>2.5000000000000001E-2</v>
      </c>
      <c r="EY290" s="82">
        <v>2.5000000000000001E-2</v>
      </c>
      <c r="EZ290" s="82">
        <v>2.5000000000000001E-2</v>
      </c>
      <c r="FA290" s="138">
        <v>2.5000000000000001E-2</v>
      </c>
    </row>
    <row r="291" spans="1:157" ht="13.35" customHeight="1">
      <c r="A291" s="4"/>
      <c r="B291" s="4" t="s">
        <v>621</v>
      </c>
      <c r="C291" s="4" t="s">
        <v>626</v>
      </c>
      <c r="D291" s="4"/>
      <c r="E291" s="93"/>
      <c r="F291" s="93"/>
      <c r="G291" s="93"/>
      <c r="H291" s="93"/>
      <c r="I291" s="93"/>
      <c r="J291" s="93"/>
      <c r="K291" s="93"/>
      <c r="L291" s="93"/>
      <c r="M291" s="93"/>
      <c r="N291" s="93"/>
      <c r="O291" s="93"/>
      <c r="P291" s="93"/>
      <c r="Q291" s="93"/>
      <c r="R291" s="93"/>
      <c r="S291" s="93"/>
      <c r="T291" s="93"/>
      <c r="U291" s="93"/>
      <c r="V291" s="131"/>
      <c r="W291" s="131"/>
      <c r="X291" s="131"/>
      <c r="Y291" s="131"/>
      <c r="Z291" s="131"/>
      <c r="AA291" s="131"/>
      <c r="AB291" s="131"/>
      <c r="AC291" s="131"/>
      <c r="AD291" s="131"/>
      <c r="AE291" s="131"/>
      <c r="AF291" s="131"/>
      <c r="AG291" s="131"/>
      <c r="AH291" s="131"/>
      <c r="AI291" s="131"/>
      <c r="AJ291" s="131"/>
      <c r="AK291" s="131"/>
      <c r="AL291" s="131"/>
      <c r="AM291" s="131"/>
      <c r="AN291" s="131"/>
      <c r="AO291" s="131"/>
      <c r="AP291" s="131"/>
      <c r="AQ291" s="93"/>
      <c r="AR291" s="101"/>
      <c r="AS291" s="101"/>
      <c r="AT291" s="101"/>
      <c r="AU291" s="101"/>
      <c r="AV291" s="101"/>
      <c r="AW291" s="101"/>
      <c r="AX291" s="101"/>
      <c r="AY291" s="101"/>
      <c r="AZ291" s="101"/>
      <c r="BA291" s="82">
        <v>2E-3</v>
      </c>
      <c r="BB291" s="82">
        <v>2E-3</v>
      </c>
      <c r="BC291" s="82">
        <v>2E-3</v>
      </c>
      <c r="BD291" s="82">
        <v>2E-3</v>
      </c>
      <c r="BE291" s="82">
        <v>2E-3</v>
      </c>
      <c r="BF291" s="82">
        <v>2E-3</v>
      </c>
      <c r="BG291" s="82">
        <v>2E-3</v>
      </c>
      <c r="BH291" s="82">
        <v>2E-3</v>
      </c>
      <c r="BI291" s="82">
        <v>2E-3</v>
      </c>
      <c r="BJ291" s="82">
        <v>2E-3</v>
      </c>
      <c r="BK291" s="82">
        <v>2E-3</v>
      </c>
      <c r="BL291" s="82">
        <v>2E-3</v>
      </c>
      <c r="BM291" s="82">
        <v>2E-3</v>
      </c>
      <c r="BN291" s="82">
        <v>2E-3</v>
      </c>
      <c r="BO291" s="82">
        <v>2E-3</v>
      </c>
      <c r="BP291" s="82">
        <v>2E-3</v>
      </c>
      <c r="BQ291" s="82">
        <v>2E-3</v>
      </c>
      <c r="BR291" s="82">
        <v>2E-3</v>
      </c>
      <c r="BS291" s="82">
        <v>2E-3</v>
      </c>
      <c r="BT291" s="82">
        <v>2E-3</v>
      </c>
      <c r="BU291" s="82">
        <v>2E-3</v>
      </c>
      <c r="BV291" s="82">
        <v>2E-3</v>
      </c>
      <c r="BW291" s="82">
        <v>2E-3</v>
      </c>
      <c r="BX291" s="82">
        <v>2E-3</v>
      </c>
      <c r="BY291" s="82">
        <v>2E-3</v>
      </c>
      <c r="BZ291" s="82">
        <v>2E-3</v>
      </c>
      <c r="CA291" s="82">
        <v>2E-3</v>
      </c>
      <c r="CB291" s="82">
        <v>2E-3</v>
      </c>
      <c r="CC291" s="82">
        <v>2E-3</v>
      </c>
      <c r="CD291" s="82">
        <v>2E-3</v>
      </c>
      <c r="CE291" s="82">
        <v>2E-3</v>
      </c>
      <c r="CF291" s="82">
        <v>2E-3</v>
      </c>
      <c r="CG291" s="82">
        <v>2E-3</v>
      </c>
      <c r="CH291" s="82">
        <v>2E-3</v>
      </c>
      <c r="CI291" s="82">
        <v>2E-3</v>
      </c>
      <c r="CJ291" s="82">
        <v>2E-3</v>
      </c>
      <c r="CK291" s="82">
        <v>2E-3</v>
      </c>
      <c r="CL291" s="82">
        <v>2E-3</v>
      </c>
      <c r="CM291" s="82">
        <v>2E-3</v>
      </c>
      <c r="CN291" s="82">
        <v>2E-3</v>
      </c>
      <c r="CO291" s="82">
        <v>2E-3</v>
      </c>
      <c r="CP291" s="82">
        <v>2E-3</v>
      </c>
      <c r="CQ291" s="82">
        <v>2E-3</v>
      </c>
      <c r="CR291" s="82">
        <v>2E-3</v>
      </c>
      <c r="CS291" s="82">
        <v>2E-3</v>
      </c>
      <c r="CT291" s="82">
        <v>2E-3</v>
      </c>
      <c r="CU291" s="82">
        <v>2E-3</v>
      </c>
      <c r="CV291" s="82">
        <v>2E-3</v>
      </c>
      <c r="CW291" s="82">
        <v>2E-3</v>
      </c>
      <c r="CX291" s="82">
        <v>2E-3</v>
      </c>
      <c r="CY291" s="82">
        <v>2E-3</v>
      </c>
      <c r="CZ291" s="82">
        <v>2E-3</v>
      </c>
      <c r="DA291" s="82">
        <v>2E-3</v>
      </c>
      <c r="DB291" s="82">
        <v>2E-3</v>
      </c>
      <c r="DC291" s="82">
        <v>2E-3</v>
      </c>
      <c r="DD291" s="82">
        <v>2E-3</v>
      </c>
      <c r="DE291" s="138">
        <v>2E-3</v>
      </c>
      <c r="DF291" s="82">
        <v>2E-3</v>
      </c>
      <c r="DG291" s="82">
        <v>2E-3</v>
      </c>
      <c r="DH291" s="138">
        <v>2E-3</v>
      </c>
      <c r="DI291" s="82">
        <v>2E-3</v>
      </c>
      <c r="DJ291" s="82">
        <v>2E-3</v>
      </c>
      <c r="DK291" s="138">
        <v>2E-3</v>
      </c>
      <c r="DL291" s="82">
        <v>2E-3</v>
      </c>
      <c r="DM291" s="82">
        <v>2E-3</v>
      </c>
      <c r="DN291" s="138">
        <v>2E-3</v>
      </c>
      <c r="DO291" s="82">
        <v>2E-3</v>
      </c>
      <c r="DP291" s="82">
        <v>2E-3</v>
      </c>
      <c r="DQ291" s="138">
        <v>2E-3</v>
      </c>
      <c r="DR291" s="82">
        <v>2E-3</v>
      </c>
      <c r="DS291" s="82">
        <v>2E-3</v>
      </c>
      <c r="DT291" s="138">
        <v>2E-3</v>
      </c>
      <c r="DU291" s="82">
        <v>2E-3</v>
      </c>
      <c r="DV291" s="82">
        <v>2E-3</v>
      </c>
      <c r="DW291" s="138">
        <v>2E-3</v>
      </c>
      <c r="DX291" s="82">
        <v>2E-3</v>
      </c>
      <c r="DY291" s="82">
        <v>2E-3</v>
      </c>
      <c r="DZ291" s="138">
        <v>2E-3</v>
      </c>
      <c r="EA291" s="82">
        <v>2E-3</v>
      </c>
      <c r="EB291" s="82">
        <v>2E-3</v>
      </c>
      <c r="EC291" s="138">
        <v>2E-3</v>
      </c>
      <c r="ED291" s="82">
        <v>2E-3</v>
      </c>
      <c r="EE291" s="82">
        <v>2E-3</v>
      </c>
      <c r="EF291" s="138">
        <v>2E-3</v>
      </c>
      <c r="EG291" s="82">
        <v>2E-3</v>
      </c>
      <c r="EH291" s="82">
        <v>2E-3</v>
      </c>
      <c r="EI291" s="138">
        <v>2E-3</v>
      </c>
      <c r="EJ291" s="82">
        <v>2E-3</v>
      </c>
      <c r="EK291" s="82">
        <v>2E-3</v>
      </c>
      <c r="EL291" s="138">
        <v>2E-3</v>
      </c>
      <c r="EM291" s="82">
        <v>2E-3</v>
      </c>
      <c r="EN291" s="82">
        <v>2E-3</v>
      </c>
      <c r="EO291" s="138">
        <v>2E-3</v>
      </c>
      <c r="EP291" s="82">
        <v>2E-3</v>
      </c>
      <c r="EQ291" s="82">
        <v>2E-3</v>
      </c>
      <c r="ER291" s="138">
        <v>2E-3</v>
      </c>
      <c r="ES291" s="82">
        <v>2E-3</v>
      </c>
      <c r="ET291" s="82">
        <v>2E-3</v>
      </c>
      <c r="EU291" s="138">
        <v>2E-3</v>
      </c>
      <c r="EV291" s="82">
        <v>2E-3</v>
      </c>
      <c r="EW291" s="82">
        <v>2E-3</v>
      </c>
      <c r="EX291" s="138">
        <v>2E-3</v>
      </c>
      <c r="EY291" s="82">
        <v>2E-3</v>
      </c>
      <c r="EZ291" s="82">
        <v>2E-3</v>
      </c>
      <c r="FA291" s="138">
        <v>2E-3</v>
      </c>
    </row>
    <row r="292" spans="1:157" ht="13.35" customHeight="1">
      <c r="A292" s="4"/>
      <c r="B292" s="4"/>
      <c r="C292" s="4" t="s">
        <v>627</v>
      </c>
      <c r="D292" s="4"/>
      <c r="E292" s="93"/>
      <c r="F292" s="93"/>
      <c r="G292" s="93"/>
      <c r="H292" s="93"/>
      <c r="I292" s="93"/>
      <c r="J292" s="93"/>
      <c r="K292" s="93"/>
      <c r="L292" s="93"/>
      <c r="M292" s="93"/>
      <c r="N292" s="93"/>
      <c r="O292" s="93"/>
      <c r="P292" s="93"/>
      <c r="Q292" s="93"/>
      <c r="R292" s="93"/>
      <c r="S292" s="93"/>
      <c r="T292" s="93"/>
      <c r="U292" s="93"/>
      <c r="V292" s="131"/>
      <c r="W292" s="131"/>
      <c r="X292" s="131"/>
      <c r="Y292" s="131"/>
      <c r="Z292" s="131"/>
      <c r="AA292" s="131"/>
      <c r="AB292" s="131"/>
      <c r="AC292" s="131"/>
      <c r="AD292" s="131"/>
      <c r="AE292" s="131"/>
      <c r="AF292" s="131"/>
      <c r="AG292" s="131"/>
      <c r="AH292" s="131"/>
      <c r="AI292" s="131"/>
      <c r="AJ292" s="131"/>
      <c r="AK292" s="131"/>
      <c r="AL292" s="131"/>
      <c r="AM292" s="131"/>
      <c r="AN292" s="131"/>
      <c r="AO292" s="131"/>
      <c r="AP292" s="131"/>
      <c r="AQ292" s="93"/>
      <c r="AR292" s="82">
        <f>-(Model!AR189/Model!AR30)</f>
        <v>0</v>
      </c>
      <c r="AS292" s="82">
        <f>-(Model!AS189/Model!AS30)</f>
        <v>0</v>
      </c>
      <c r="AT292" s="82">
        <f>-(Model!AT189/Model!AT30)</f>
        <v>0</v>
      </c>
      <c r="AU292" s="82">
        <f>-(Model!AU189/Model!AU30)</f>
        <v>0</v>
      </c>
      <c r="AV292" s="82">
        <f>-(Model!AV189/Model!AV30)</f>
        <v>0</v>
      </c>
      <c r="AW292" s="82">
        <f>-(Model!AW189/Model!AW30)</f>
        <v>0</v>
      </c>
      <c r="AX292" s="82">
        <f>-(Model!AX189/Model!AX30)</f>
        <v>0</v>
      </c>
      <c r="AY292" s="82">
        <f>-(Model!AY189/Model!AY30)</f>
        <v>2.7034411949789687E-3</v>
      </c>
      <c r="AZ292" s="82">
        <f>-(Model!AZ189/Model!AZ30)</f>
        <v>1.4491853048615396E-3</v>
      </c>
      <c r="BA292" s="82"/>
      <c r="BB292" s="82"/>
      <c r="BC292" s="82">
        <f>-(Model!BC189/Model!BC30)</f>
        <v>0</v>
      </c>
      <c r="BD292" s="82">
        <f>-(Model!BD189/Model!BD30)</f>
        <v>2.5093039224828545E-3</v>
      </c>
      <c r="BE292" s="82">
        <f>-(Model!BE189/Model!BE30)</f>
        <v>-1.9464029027705992E-3</v>
      </c>
      <c r="BF292" s="82">
        <f>-(Model!BF189/Model!BF30)</f>
        <v>0</v>
      </c>
      <c r="BG292" s="82">
        <f>-(Model!BG189/Model!BG30)</f>
        <v>0</v>
      </c>
      <c r="BH292" s="82">
        <f>BG292</f>
        <v>0</v>
      </c>
      <c r="BI292" s="82">
        <f>BH292</f>
        <v>0</v>
      </c>
      <c r="BJ292" s="82">
        <v>0.04</v>
      </c>
      <c r="BK292" s="82">
        <f>BJ292</f>
        <v>0.04</v>
      </c>
      <c r="BL292" s="82">
        <f>BK292</f>
        <v>0.04</v>
      </c>
      <c r="BM292" s="82">
        <v>0.04</v>
      </c>
      <c r="BN292" s="82">
        <f t="shared" ref="BN292:CM292" si="251">BM292</f>
        <v>0.04</v>
      </c>
      <c r="BO292" s="82">
        <f t="shared" si="251"/>
        <v>0.04</v>
      </c>
      <c r="BP292" s="82">
        <f t="shared" si="251"/>
        <v>0.04</v>
      </c>
      <c r="BQ292" s="82">
        <f t="shared" si="251"/>
        <v>0.04</v>
      </c>
      <c r="BR292" s="82">
        <f t="shared" si="251"/>
        <v>0.04</v>
      </c>
      <c r="BS292" s="82">
        <f t="shared" si="251"/>
        <v>0.04</v>
      </c>
      <c r="BT292" s="82">
        <f t="shared" si="251"/>
        <v>0.04</v>
      </c>
      <c r="BU292" s="82">
        <f t="shared" si="251"/>
        <v>0.04</v>
      </c>
      <c r="BV292" s="82">
        <f t="shared" si="251"/>
        <v>0.04</v>
      </c>
      <c r="BW292" s="82">
        <f t="shared" si="251"/>
        <v>0.04</v>
      </c>
      <c r="BX292" s="82">
        <f t="shared" si="251"/>
        <v>0.04</v>
      </c>
      <c r="BY292" s="82">
        <f t="shared" si="251"/>
        <v>0.04</v>
      </c>
      <c r="BZ292" s="82">
        <f t="shared" si="251"/>
        <v>0.04</v>
      </c>
      <c r="CA292" s="82">
        <f t="shared" si="251"/>
        <v>0.04</v>
      </c>
      <c r="CB292" s="82">
        <f t="shared" si="251"/>
        <v>0.04</v>
      </c>
      <c r="CC292" s="82">
        <f t="shared" si="251"/>
        <v>0.04</v>
      </c>
      <c r="CD292" s="82">
        <f t="shared" si="251"/>
        <v>0.04</v>
      </c>
      <c r="CE292" s="82">
        <f t="shared" si="251"/>
        <v>0.04</v>
      </c>
      <c r="CF292" s="82">
        <f t="shared" si="251"/>
        <v>0.04</v>
      </c>
      <c r="CG292" s="82">
        <f t="shared" si="251"/>
        <v>0.04</v>
      </c>
      <c r="CH292" s="82">
        <f t="shared" si="251"/>
        <v>0.04</v>
      </c>
      <c r="CI292" s="82">
        <f t="shared" si="251"/>
        <v>0.04</v>
      </c>
      <c r="CJ292" s="82">
        <f t="shared" si="251"/>
        <v>0.04</v>
      </c>
      <c r="CK292" s="82">
        <f t="shared" si="251"/>
        <v>0.04</v>
      </c>
      <c r="CL292" s="82">
        <f t="shared" si="251"/>
        <v>0.04</v>
      </c>
      <c r="CM292" s="82">
        <f t="shared" si="251"/>
        <v>0.04</v>
      </c>
      <c r="CN292" s="82">
        <f t="shared" ref="CN292:DQ292" si="252">CM292</f>
        <v>0.04</v>
      </c>
      <c r="CO292" s="82">
        <f t="shared" si="252"/>
        <v>0.04</v>
      </c>
      <c r="CP292" s="82">
        <f t="shared" si="252"/>
        <v>0.04</v>
      </c>
      <c r="CQ292" s="82">
        <f t="shared" si="252"/>
        <v>0.04</v>
      </c>
      <c r="CR292" s="82">
        <f t="shared" si="252"/>
        <v>0.04</v>
      </c>
      <c r="CS292" s="82">
        <f t="shared" si="252"/>
        <v>0.04</v>
      </c>
      <c r="CT292" s="82">
        <f t="shared" si="252"/>
        <v>0.04</v>
      </c>
      <c r="CU292" s="82">
        <f t="shared" si="252"/>
        <v>0.04</v>
      </c>
      <c r="CV292" s="82">
        <f t="shared" si="252"/>
        <v>0.04</v>
      </c>
      <c r="CW292" s="82">
        <f t="shared" si="252"/>
        <v>0.04</v>
      </c>
      <c r="CX292" s="82">
        <f t="shared" si="252"/>
        <v>0.04</v>
      </c>
      <c r="CY292" s="82">
        <f t="shared" si="252"/>
        <v>0.04</v>
      </c>
      <c r="CZ292" s="82">
        <f t="shared" si="252"/>
        <v>0.04</v>
      </c>
      <c r="DA292" s="82">
        <f t="shared" si="252"/>
        <v>0.04</v>
      </c>
      <c r="DB292" s="82">
        <f t="shared" si="252"/>
        <v>0.04</v>
      </c>
      <c r="DC292" s="82">
        <f t="shared" si="252"/>
        <v>0.04</v>
      </c>
      <c r="DD292" s="82">
        <f t="shared" si="252"/>
        <v>0.04</v>
      </c>
      <c r="DE292" s="138">
        <f t="shared" si="252"/>
        <v>0.04</v>
      </c>
      <c r="DF292" s="82">
        <f t="shared" si="252"/>
        <v>0.04</v>
      </c>
      <c r="DG292" s="82">
        <f t="shared" si="252"/>
        <v>0.04</v>
      </c>
      <c r="DH292" s="138">
        <f t="shared" si="252"/>
        <v>0.04</v>
      </c>
      <c r="DI292" s="82">
        <f t="shared" si="252"/>
        <v>0.04</v>
      </c>
      <c r="DJ292" s="82">
        <f t="shared" si="252"/>
        <v>0.04</v>
      </c>
      <c r="DK292" s="138">
        <f t="shared" si="252"/>
        <v>0.04</v>
      </c>
      <c r="DL292" s="82">
        <f t="shared" si="252"/>
        <v>0.04</v>
      </c>
      <c r="DM292" s="82">
        <f t="shared" si="252"/>
        <v>0.04</v>
      </c>
      <c r="DN292" s="138">
        <f t="shared" si="252"/>
        <v>0.04</v>
      </c>
      <c r="DO292" s="82">
        <f t="shared" si="252"/>
        <v>0.04</v>
      </c>
      <c r="DP292" s="82">
        <f t="shared" si="252"/>
        <v>0.04</v>
      </c>
      <c r="DQ292" s="138">
        <f t="shared" si="252"/>
        <v>0.04</v>
      </c>
      <c r="DR292" s="82">
        <f t="shared" ref="DR292:DZ292" si="253">DQ292</f>
        <v>0.04</v>
      </c>
      <c r="DS292" s="82">
        <f t="shared" si="253"/>
        <v>0.04</v>
      </c>
      <c r="DT292" s="138">
        <f t="shared" si="253"/>
        <v>0.04</v>
      </c>
      <c r="DU292" s="82">
        <f t="shared" si="253"/>
        <v>0.04</v>
      </c>
      <c r="DV292" s="82">
        <f t="shared" si="253"/>
        <v>0.04</v>
      </c>
      <c r="DW292" s="138">
        <f t="shared" si="253"/>
        <v>0.04</v>
      </c>
      <c r="DX292" s="82">
        <f t="shared" si="253"/>
        <v>0.04</v>
      </c>
      <c r="DY292" s="82">
        <f t="shared" si="253"/>
        <v>0.04</v>
      </c>
      <c r="DZ292" s="138">
        <f t="shared" si="253"/>
        <v>0.04</v>
      </c>
      <c r="EA292" s="82">
        <f t="shared" ref="EA292:EF292" si="254">DZ292</f>
        <v>0.04</v>
      </c>
      <c r="EB292" s="82">
        <f t="shared" si="254"/>
        <v>0.04</v>
      </c>
      <c r="EC292" s="138">
        <f t="shared" si="254"/>
        <v>0.04</v>
      </c>
      <c r="ED292" s="82">
        <f t="shared" si="254"/>
        <v>0.04</v>
      </c>
      <c r="EE292" s="82">
        <f t="shared" si="254"/>
        <v>0.04</v>
      </c>
      <c r="EF292" s="138">
        <f t="shared" si="254"/>
        <v>0.04</v>
      </c>
      <c r="EG292" s="82">
        <f t="shared" ref="EG292:EL292" si="255">EF292</f>
        <v>0.04</v>
      </c>
      <c r="EH292" s="82">
        <f t="shared" si="255"/>
        <v>0.04</v>
      </c>
      <c r="EI292" s="138">
        <f t="shared" si="255"/>
        <v>0.04</v>
      </c>
      <c r="EJ292" s="82">
        <f t="shared" si="255"/>
        <v>0.04</v>
      </c>
      <c r="EK292" s="82">
        <f t="shared" si="255"/>
        <v>0.04</v>
      </c>
      <c r="EL292" s="138">
        <f t="shared" si="255"/>
        <v>0.04</v>
      </c>
      <c r="EM292" s="82">
        <f t="shared" ref="EM292:FA292" si="256">EL292</f>
        <v>0.04</v>
      </c>
      <c r="EN292" s="82">
        <f t="shared" si="256"/>
        <v>0.04</v>
      </c>
      <c r="EO292" s="138">
        <f t="shared" si="256"/>
        <v>0.04</v>
      </c>
      <c r="EP292" s="82">
        <f t="shared" si="256"/>
        <v>0.04</v>
      </c>
      <c r="EQ292" s="82">
        <f t="shared" si="256"/>
        <v>0.04</v>
      </c>
      <c r="ER292" s="138">
        <f t="shared" si="256"/>
        <v>0.04</v>
      </c>
      <c r="ES292" s="82">
        <f t="shared" si="256"/>
        <v>0.04</v>
      </c>
      <c r="ET292" s="82">
        <f t="shared" si="256"/>
        <v>0.04</v>
      </c>
      <c r="EU292" s="138">
        <f t="shared" si="256"/>
        <v>0.04</v>
      </c>
      <c r="EV292" s="82">
        <f t="shared" si="256"/>
        <v>0.04</v>
      </c>
      <c r="EW292" s="82">
        <f t="shared" si="256"/>
        <v>0.04</v>
      </c>
      <c r="EX292" s="138">
        <f t="shared" si="256"/>
        <v>0.04</v>
      </c>
      <c r="EY292" s="82">
        <f t="shared" si="256"/>
        <v>0.04</v>
      </c>
      <c r="EZ292" s="82">
        <f t="shared" si="256"/>
        <v>0.04</v>
      </c>
      <c r="FA292" s="138">
        <f t="shared" si="256"/>
        <v>0.04</v>
      </c>
    </row>
    <row r="293" spans="1:157" ht="13.35" customHeight="1">
      <c r="A293" s="4"/>
      <c r="B293" s="4" t="s">
        <v>621</v>
      </c>
      <c r="C293" s="4" t="s">
        <v>628</v>
      </c>
      <c r="D293" s="4"/>
      <c r="E293" s="133"/>
      <c r="F293" s="133"/>
      <c r="G293" s="82"/>
      <c r="H293" s="82"/>
      <c r="I293" s="82"/>
      <c r="J293" s="82"/>
      <c r="K293" s="82"/>
      <c r="L293" s="82"/>
      <c r="M293" s="82"/>
      <c r="N293" s="82"/>
      <c r="O293" s="82"/>
      <c r="P293" s="82"/>
      <c r="Q293" s="82"/>
      <c r="R293" s="82"/>
      <c r="S293" s="82"/>
      <c r="T293" s="82"/>
      <c r="U293" s="82"/>
      <c r="V293" s="82"/>
      <c r="W293" s="82"/>
      <c r="X293" s="82"/>
      <c r="Y293" s="82"/>
      <c r="Z293" s="82"/>
      <c r="AA293" s="82"/>
      <c r="AB293" s="82"/>
      <c r="AC293" s="82"/>
      <c r="AD293" s="82"/>
      <c r="AE293" s="82"/>
      <c r="AF293" s="82"/>
      <c r="AG293" s="82"/>
      <c r="AH293" s="82"/>
      <c r="AI293" s="82"/>
      <c r="AJ293" s="82"/>
      <c r="AK293" s="82"/>
      <c r="AL293" s="82"/>
      <c r="AM293" s="82"/>
      <c r="AN293" s="82"/>
      <c r="AO293" s="82"/>
      <c r="AP293" s="82"/>
      <c r="AQ293" s="82"/>
      <c r="AR293" s="82">
        <f>-(Model!AR190/Model!AR30)</f>
        <v>5.8427268190948983E-2</v>
      </c>
      <c r="AS293" s="82">
        <f>-(Model!AS190/Model!AS30)</f>
        <v>6.1001029531841965E-2</v>
      </c>
      <c r="AT293" s="82">
        <f>-(Model!AT190/Model!AT30)</f>
        <v>5.9862910229680537E-2</v>
      </c>
      <c r="AU293" s="82">
        <f>-(Model!AU190/Model!AU30)</f>
        <v>9.3273462151352377E-2</v>
      </c>
      <c r="AV293" s="82">
        <f>-(Model!AV190/Model!AV30)</f>
        <v>9.5310176688858814E-2</v>
      </c>
      <c r="AW293" s="82">
        <f>-(Model!AW190/Model!AW30)</f>
        <v>9.4376631009188069E-2</v>
      </c>
      <c r="AX293" s="82">
        <f>-(Model!AX190/Model!AX30)</f>
        <v>6.5385020138337469E-2</v>
      </c>
      <c r="AY293" s="82">
        <f>-(Model!AY190/Model!AY30)</f>
        <v>9.7290762759580013E-2</v>
      </c>
      <c r="AZ293" s="82">
        <f>-(Model!AZ190/Model!AZ30)</f>
        <v>8.2488160178252001E-2</v>
      </c>
      <c r="BA293" s="82"/>
      <c r="BB293" s="82"/>
      <c r="BC293" s="82">
        <v>0.08</v>
      </c>
      <c r="BD293" s="82">
        <f>-(Model!BD190/Model!BD30)</f>
        <v>6.2544400267885158E-2</v>
      </c>
      <c r="BE293" s="82">
        <f>-(Model!BE190/Model!BE30)</f>
        <v>6.0456852324570556E-2</v>
      </c>
      <c r="BF293" s="82">
        <f>-(Model!BF190/Model!BF30)</f>
        <v>6.1368763618534383E-2</v>
      </c>
      <c r="BG293" s="82">
        <f>-(Model!BG190/Model!BG30)</f>
        <v>7.4326563017697841E-2</v>
      </c>
      <c r="BH293" s="82">
        <v>6.5000000000000002E-2</v>
      </c>
      <c r="BI293" s="82">
        <f>BH293</f>
        <v>6.5000000000000002E-2</v>
      </c>
      <c r="BJ293" s="82">
        <v>6.5000000000000002E-2</v>
      </c>
      <c r="BK293" s="82">
        <f>BJ293</f>
        <v>6.5000000000000002E-2</v>
      </c>
      <c r="BL293" s="82">
        <f>BK293</f>
        <v>6.5000000000000002E-2</v>
      </c>
      <c r="BM293" s="82">
        <v>0.05</v>
      </c>
      <c r="BN293" s="82">
        <v>7.0000000000000007E-2</v>
      </c>
      <c r="BO293" s="82">
        <v>0.05</v>
      </c>
      <c r="BP293" s="82">
        <v>0.05</v>
      </c>
      <c r="BQ293" s="82">
        <f>BP293</f>
        <v>0.05</v>
      </c>
      <c r="BR293" s="82">
        <f>BQ293</f>
        <v>0.05</v>
      </c>
      <c r="BS293" s="82">
        <f>BR293</f>
        <v>0.05</v>
      </c>
      <c r="BT293" s="82">
        <f>BS293</f>
        <v>0.05</v>
      </c>
      <c r="BU293" s="82">
        <f>BT293</f>
        <v>0.05</v>
      </c>
      <c r="BV293" s="82">
        <v>0.04</v>
      </c>
      <c r="BW293" s="82">
        <f>BV293</f>
        <v>0.04</v>
      </c>
      <c r="BX293" s="82">
        <f>BW293</f>
        <v>0.04</v>
      </c>
      <c r="BY293" s="82">
        <f>BX293</f>
        <v>0.04</v>
      </c>
      <c r="BZ293" s="82">
        <f>BY293</f>
        <v>0.04</v>
      </c>
      <c r="CA293" s="82">
        <f>BZ293</f>
        <v>0.04</v>
      </c>
      <c r="CB293" s="82">
        <v>0.05</v>
      </c>
      <c r="CC293" s="82">
        <f>CB293</f>
        <v>0.05</v>
      </c>
      <c r="CD293" s="82">
        <f>CC293</f>
        <v>0.05</v>
      </c>
      <c r="CE293" s="82">
        <v>4.4999999999999998E-2</v>
      </c>
      <c r="CF293" s="82">
        <f>CE293</f>
        <v>4.4999999999999998E-2</v>
      </c>
      <c r="CG293" s="82">
        <f>CF293</f>
        <v>4.4999999999999998E-2</v>
      </c>
      <c r="CH293" s="82">
        <v>0.04</v>
      </c>
      <c r="CI293" s="82">
        <f>CH293</f>
        <v>0.04</v>
      </c>
      <c r="CJ293" s="82">
        <f>CI293</f>
        <v>0.04</v>
      </c>
      <c r="CK293" s="82">
        <v>0.06</v>
      </c>
      <c r="CL293" s="82">
        <f>CK293</f>
        <v>0.06</v>
      </c>
      <c r="CM293" s="164">
        <f>CL293</f>
        <v>0.06</v>
      </c>
      <c r="CN293" s="164">
        <v>1.06</v>
      </c>
      <c r="CO293" s="164">
        <f>CN293</f>
        <v>1.06</v>
      </c>
      <c r="CP293" s="164">
        <f>CO293</f>
        <v>1.06</v>
      </c>
      <c r="CQ293" s="164">
        <v>2.06</v>
      </c>
      <c r="CR293" s="164">
        <f>CQ293</f>
        <v>2.06</v>
      </c>
      <c r="CS293" s="164">
        <f>CR293</f>
        <v>2.06</v>
      </c>
      <c r="CT293" s="164">
        <v>3.06</v>
      </c>
      <c r="CU293" s="164">
        <f>CT293</f>
        <v>3.06</v>
      </c>
      <c r="CV293" s="164">
        <f>CU293</f>
        <v>3.06</v>
      </c>
      <c r="CW293" s="164">
        <v>4.0599999999999996</v>
      </c>
      <c r="CX293" s="164">
        <f>CW293</f>
        <v>4.0599999999999996</v>
      </c>
      <c r="CY293" s="164">
        <f>CX293</f>
        <v>4.0599999999999996</v>
      </c>
      <c r="CZ293" s="164">
        <v>5.0599999999999996</v>
      </c>
      <c r="DA293" s="164">
        <f>CZ293</f>
        <v>5.0599999999999996</v>
      </c>
      <c r="DB293" s="164">
        <f>DA293</f>
        <v>5.0599999999999996</v>
      </c>
      <c r="DC293" s="164">
        <v>6.06</v>
      </c>
      <c r="DD293" s="164">
        <f>DC293</f>
        <v>6.06</v>
      </c>
      <c r="DE293" s="165">
        <f>DD293</f>
        <v>6.06</v>
      </c>
      <c r="DF293" s="164">
        <v>7.06</v>
      </c>
      <c r="DG293" s="164">
        <f>DF293</f>
        <v>7.06</v>
      </c>
      <c r="DH293" s="165">
        <f>DG293</f>
        <v>7.06</v>
      </c>
      <c r="DI293" s="164">
        <v>8.06</v>
      </c>
      <c r="DJ293" s="164">
        <f>DI293</f>
        <v>8.06</v>
      </c>
      <c r="DK293" s="165">
        <f>DJ293</f>
        <v>8.06</v>
      </c>
      <c r="DL293" s="164">
        <v>9.06</v>
      </c>
      <c r="DM293" s="164">
        <f>DL293</f>
        <v>9.06</v>
      </c>
      <c r="DN293" s="165">
        <f>DM293</f>
        <v>9.06</v>
      </c>
      <c r="DO293" s="164">
        <v>10.06</v>
      </c>
      <c r="DP293" s="164">
        <f>DO293</f>
        <v>10.06</v>
      </c>
      <c r="DQ293" s="165">
        <f>DP293</f>
        <v>10.06</v>
      </c>
      <c r="DR293" s="164">
        <v>10.06</v>
      </c>
      <c r="DS293" s="164">
        <f>DR293</f>
        <v>10.06</v>
      </c>
      <c r="DT293" s="165">
        <f>DS293</f>
        <v>10.06</v>
      </c>
      <c r="DU293" s="164">
        <v>10.06</v>
      </c>
      <c r="DV293" s="164">
        <f>DU293</f>
        <v>10.06</v>
      </c>
      <c r="DW293" s="165">
        <f>DV293</f>
        <v>10.06</v>
      </c>
      <c r="DX293" s="164">
        <v>10.06</v>
      </c>
      <c r="DY293" s="164">
        <f>DX293</f>
        <v>10.06</v>
      </c>
      <c r="DZ293" s="165">
        <f>DY293</f>
        <v>10.06</v>
      </c>
      <c r="EA293" s="164">
        <v>10.06</v>
      </c>
      <c r="EB293" s="164">
        <f>EA293</f>
        <v>10.06</v>
      </c>
      <c r="EC293" s="165">
        <f>EB293</f>
        <v>10.06</v>
      </c>
      <c r="ED293" s="164">
        <v>10.06</v>
      </c>
      <c r="EE293" s="164">
        <f>ED293</f>
        <v>10.06</v>
      </c>
      <c r="EF293" s="165">
        <f>EE293</f>
        <v>10.06</v>
      </c>
      <c r="EG293" s="164">
        <v>10.06</v>
      </c>
      <c r="EH293" s="164">
        <f>EG293</f>
        <v>10.06</v>
      </c>
      <c r="EI293" s="165">
        <f>EH293</f>
        <v>10.06</v>
      </c>
      <c r="EJ293" s="164">
        <v>10.06</v>
      </c>
      <c r="EK293" s="164">
        <f>EJ293</f>
        <v>10.06</v>
      </c>
      <c r="EL293" s="165">
        <f>EK293</f>
        <v>10.06</v>
      </c>
      <c r="EM293" s="164">
        <v>10.06</v>
      </c>
      <c r="EN293" s="164">
        <f>EM293</f>
        <v>10.06</v>
      </c>
      <c r="EO293" s="165">
        <f>EN293</f>
        <v>10.06</v>
      </c>
      <c r="EP293" s="164">
        <v>10.06</v>
      </c>
      <c r="EQ293" s="164">
        <f>EP293</f>
        <v>10.06</v>
      </c>
      <c r="ER293" s="165">
        <f>EQ293</f>
        <v>10.06</v>
      </c>
      <c r="ES293" s="164">
        <v>11.06</v>
      </c>
      <c r="ET293" s="164">
        <f>ES293</f>
        <v>11.06</v>
      </c>
      <c r="EU293" s="165">
        <f>ET293</f>
        <v>11.06</v>
      </c>
      <c r="EV293" s="164">
        <v>11.06</v>
      </c>
      <c r="EW293" s="164">
        <f>EV293</f>
        <v>11.06</v>
      </c>
      <c r="EX293" s="165">
        <f>EW293</f>
        <v>11.06</v>
      </c>
      <c r="EY293" s="164">
        <v>11.06</v>
      </c>
      <c r="EZ293" s="164">
        <f>EY293</f>
        <v>11.06</v>
      </c>
      <c r="FA293" s="165">
        <f>EZ293</f>
        <v>11.06</v>
      </c>
    </row>
    <row r="294" spans="1:157" ht="13.35" customHeight="1">
      <c r="A294" s="4"/>
      <c r="B294" s="4"/>
      <c r="C294" s="4" t="s">
        <v>629</v>
      </c>
      <c r="D294" s="4"/>
      <c r="E294" s="133"/>
      <c r="F294" s="133"/>
      <c r="G294" s="82"/>
      <c r="H294" s="82"/>
      <c r="I294" s="82"/>
      <c r="J294" s="82"/>
      <c r="K294" s="82"/>
      <c r="L294" s="82"/>
      <c r="M294" s="82"/>
      <c r="N294" s="82"/>
      <c r="O294" s="82"/>
      <c r="P294" s="82"/>
      <c r="Q294" s="82"/>
      <c r="R294" s="82"/>
      <c r="S294" s="82"/>
      <c r="T294" s="82"/>
      <c r="U294" s="82"/>
      <c r="V294" s="82"/>
      <c r="W294" s="82"/>
      <c r="X294" s="82"/>
      <c r="Y294" s="82"/>
      <c r="Z294" s="82"/>
      <c r="AA294" s="82"/>
      <c r="AB294" s="82"/>
      <c r="AC294" s="82"/>
      <c r="AD294" s="82"/>
      <c r="AE294" s="82"/>
      <c r="AF294" s="82"/>
      <c r="AG294" s="82"/>
      <c r="AH294" s="82"/>
      <c r="AI294" s="82"/>
      <c r="AJ294" s="82"/>
      <c r="AK294" s="82"/>
      <c r="AL294" s="82"/>
      <c r="AM294" s="82"/>
      <c r="AN294" s="82"/>
      <c r="AO294" s="82"/>
      <c r="AP294" s="82"/>
      <c r="AQ294" s="82"/>
      <c r="AR294" s="82">
        <f>-(Model!AR188/Model!AR30)</f>
        <v>5.8427268190948983E-2</v>
      </c>
      <c r="AS294" s="82">
        <f>-(Model!AS188/Model!AS30)</f>
        <v>6.1001029531841965E-2</v>
      </c>
      <c r="AT294" s="82">
        <f>-(Model!AT188/Model!AT30)</f>
        <v>5.9862910229680537E-2</v>
      </c>
      <c r="AU294" s="82">
        <f>-(Model!AU188/Model!AU30)</f>
        <v>9.3273462151352377E-2</v>
      </c>
      <c r="AV294" s="82">
        <f>-(Model!AV188/Model!AV30)</f>
        <v>9.5310176688858814E-2</v>
      </c>
      <c r="AW294" s="82">
        <f>-(Model!AW188/Model!AW30)</f>
        <v>9.4376631009188069E-2</v>
      </c>
      <c r="AX294" s="82">
        <f>-(Model!AX188/Model!AX30)</f>
        <v>6.5385020138337469E-2</v>
      </c>
      <c r="AY294" s="82">
        <f>-(Model!AY188/Model!AY30)</f>
        <v>9.9994203954558977E-2</v>
      </c>
      <c r="AZ294" s="82">
        <f>-(Model!AZ188/Model!AZ30)</f>
        <v>8.3937345483113546E-2</v>
      </c>
      <c r="BA294" s="82"/>
      <c r="BB294" s="82"/>
      <c r="BC294" s="82">
        <f>-(Model!BC188/Model!BC30)</f>
        <v>0.08</v>
      </c>
      <c r="BD294" s="82">
        <f>-(Model!BD188/Model!BD30)</f>
        <v>6.5053704190368003E-2</v>
      </c>
      <c r="BE294" s="82">
        <f>-(Model!BE188/Model!BE30)</f>
        <v>5.8510449421799962E-2</v>
      </c>
      <c r="BF294" s="82">
        <f>-(Model!BF188/Model!BF30)</f>
        <v>6.1368763618534383E-2</v>
      </c>
      <c r="BG294" s="82">
        <f>-(Model!BG188/Model!BG30)</f>
        <v>7.4326563017697841E-2</v>
      </c>
      <c r="BH294" s="82">
        <f>-(Model!BH188/Model!BH30)</f>
        <v>4.0456205374175602E-2</v>
      </c>
      <c r="BI294" s="82">
        <f>-(Model!BI188/Model!BI30)</f>
        <v>5.7122576795063454E-2</v>
      </c>
      <c r="BJ294" s="82">
        <f>-(Model!BJ188/Model!BJ30)</f>
        <v>0.10879081268529785</v>
      </c>
      <c r="BK294" s="82">
        <f>-(Model!BK188/Model!BK30)</f>
        <v>3.5636058292523691E-2</v>
      </c>
      <c r="BL294" s="82">
        <f>-(Model!BL188/Model!BL30)</f>
        <v>6.383665940288305E-2</v>
      </c>
      <c r="BM294" s="82">
        <f>-(Model!BM188/Model!BM30)</f>
        <v>8.8665526756077515E-2</v>
      </c>
      <c r="BN294" s="82">
        <f>-(Model!BN188/Model!BN30)</f>
        <v>4.7609351184469385E-2</v>
      </c>
      <c r="BO294" s="82">
        <f>-(Model!BO188/Model!BO30)</f>
        <v>6.8722376609765906E-2</v>
      </c>
      <c r="BP294" s="82"/>
      <c r="BQ294" s="82"/>
      <c r="BR294" s="82"/>
      <c r="BS294" s="82"/>
      <c r="BT294" s="82"/>
      <c r="BU294" s="82"/>
      <c r="BV294" s="82">
        <f>-(Model!BV188/Model!BV30)</f>
        <v>6.6422622116100019E-2</v>
      </c>
      <c r="BW294" s="82">
        <f>-(Model!BW188/Model!BW30)</f>
        <v>6.7909118589776052E-2</v>
      </c>
      <c r="BX294" s="82">
        <f>-(Model!BX188/Model!BX30)</f>
        <v>6.7201970443349759E-2</v>
      </c>
      <c r="BY294" s="82">
        <f>-(Model!BY188/Model!BY30)</f>
        <v>7.4044927038623337E-2</v>
      </c>
      <c r="BZ294" s="82">
        <f>-(Model!BZ188/Model!BZ30)</f>
        <v>8.9259250596209927E-2</v>
      </c>
      <c r="CA294" s="82">
        <f>-(Model!CA188/Model!CA30)</f>
        <v>8.1454495114225353E-2</v>
      </c>
      <c r="CB294" s="82">
        <f>-(Model!CB188/Model!CB30)</f>
        <v>3.2791814023336759E-2</v>
      </c>
      <c r="CC294" s="82">
        <f>-(Model!CC188/Model!CC30)</f>
        <v>8.8815772414204741E-2</v>
      </c>
      <c r="CD294" s="82">
        <f>-(Model!CD188/Model!CD30)</f>
        <v>5.9973202480353302E-2</v>
      </c>
      <c r="CE294" s="82">
        <f>-(Model!CE188/Model!CE30)</f>
        <v>4.0086308651770201E-2</v>
      </c>
      <c r="CF294" s="82">
        <f>-(Model!CF188/Model!CF30)</f>
        <v>5.2894281159818902E-2</v>
      </c>
      <c r="CG294" s="82">
        <f>-(Model!CG188/Model!CG30)</f>
        <v>4.6719680571966918E-2</v>
      </c>
      <c r="CH294" s="82">
        <f>-(Model!CH188/Model!CH30)</f>
        <v>6.3830385380250654E-2</v>
      </c>
      <c r="CI294" s="82">
        <f>-(Model!CI188/Model!CI30)</f>
        <v>6.9839021099556933E-2</v>
      </c>
      <c r="CJ294" s="82">
        <f>-(Model!CJ188/Model!CJ30)</f>
        <v>6.6842549142572927E-2</v>
      </c>
      <c r="CK294" s="82">
        <f>-(Model!CK188/Model!CK30)</f>
        <v>9.3046583477109507E-2</v>
      </c>
      <c r="CL294" s="82">
        <f>-(Model!CL188/Model!CL30)</f>
        <v>8.1395348837209253E-2</v>
      </c>
      <c r="CM294" s="82">
        <f>-(Model!CM188/Model!CM30)</f>
        <v>8.7249269226892426E-2</v>
      </c>
      <c r="CN294" s="82">
        <f>-(Model!CN188/Model!CN30)</f>
        <v>7.3420868619376897E-2</v>
      </c>
      <c r="CO294" s="82">
        <f>-(Model!CO188/Model!CO30)</f>
        <v>5.9624719263928143E-2</v>
      </c>
      <c r="CP294" s="82">
        <f>-(Model!CP188/Model!CP30)</f>
        <v>6.6281772512559053E-2</v>
      </c>
      <c r="CQ294" s="82">
        <f>-(Model!CQ188/Model!CQ30)</f>
        <v>6.2383185809500294E-2</v>
      </c>
      <c r="CR294" s="82">
        <f>-(Model!CR188/Model!CR30)</f>
        <v>6.181607362852376E-2</v>
      </c>
      <c r="CS294" s="82">
        <f>-(Model!CS188/Model!CS30)</f>
        <v>6.2103476007506014E-2</v>
      </c>
      <c r="CT294" s="82">
        <f>-(Model!CT188/Model!CT30)</f>
        <v>7.6442073497845001E-2</v>
      </c>
      <c r="CU294" s="82">
        <f>-(Model!CU188/Model!CU30)</f>
        <v>8.7440721663996662E-2</v>
      </c>
      <c r="CV294" s="82">
        <f>-(Model!CV188/Model!CV30)</f>
        <v>8.1745219143244008E-2</v>
      </c>
      <c r="CW294" s="82">
        <f>-(Model!CW188/Model!CW30)</f>
        <v>0.1283632692948192</v>
      </c>
      <c r="CX294" s="82">
        <f>-(Model!CX188/Model!CX30)</f>
        <v>0.12584771228381383</v>
      </c>
      <c r="CY294" s="82">
        <f>-(Model!CY188/Model!CY30)</f>
        <v>0.12719106589566603</v>
      </c>
      <c r="CZ294" s="82">
        <f>-(Model!CZ188/Model!CZ30)</f>
        <v>7.7852096685087399E-2</v>
      </c>
      <c r="DA294" s="82">
        <f>-(Model!DA188/Model!DA30)</f>
        <v>0.1831268525530188</v>
      </c>
      <c r="DB294" s="82">
        <f>-(Model!DB188/Model!DB30)</f>
        <v>0.12782177580323223</v>
      </c>
      <c r="DC294" s="82">
        <f>-(Model!DC188/Model!DC30)</f>
        <v>0.12203957795589367</v>
      </c>
      <c r="DD294" s="82">
        <f>-(Model!DD188/Model!DD30)</f>
        <v>0.18806263711324603</v>
      </c>
      <c r="DE294" s="138">
        <f>-(Model!DE188/Model!DE30)</f>
        <v>0.15327535401977974</v>
      </c>
      <c r="DF294" s="82">
        <f>-(Model!DF188/Model!DF30)</f>
        <v>0.14710392034648853</v>
      </c>
      <c r="DG294" s="82">
        <f>-(Model!DG188/Model!DG30)</f>
        <v>0.15904244487932886</v>
      </c>
      <c r="DH294" s="138">
        <f>-(Model!DH188/Model!DH30)</f>
        <v>0.15266453842217698</v>
      </c>
      <c r="DI294" s="82">
        <f>-(Model!DI188/Model!DI30)</f>
        <v>9.9448285043631138E-2</v>
      </c>
      <c r="DJ294" s="82">
        <f>-(Model!DJ188/Model!DJ30)</f>
        <v>0.14075946669919681</v>
      </c>
      <c r="DK294" s="138">
        <f>-(Model!DK188/Model!DK30)</f>
        <v>0.11767308802076178</v>
      </c>
      <c r="DL294" s="82">
        <f>-(Model!DL188/Model!DL30)</f>
        <v>8.8966463879615654E-2</v>
      </c>
      <c r="DM294" s="82">
        <f>-(Model!DM188/Model!DM30)</f>
        <v>0.12526851328434144</v>
      </c>
      <c r="DN294" s="138">
        <f>-(Model!DN188/Model!DN30)</f>
        <v>0.10451780386686814</v>
      </c>
      <c r="DO294" s="82">
        <f>-(Model!DO188/Model!DO30)</f>
        <v>8.1941289784652538E-2</v>
      </c>
      <c r="DP294" s="82">
        <f>-(Model!DP188/Model!DP30)</f>
        <v>0.1124440343142281</v>
      </c>
      <c r="DQ294" s="138">
        <f>-(Model!DQ188/Model!DQ30)</f>
        <v>9.587757651467832E-2</v>
      </c>
      <c r="DR294" s="82">
        <f>-(Model!DR188/Model!DR30)</f>
        <v>6.0858424087123636E-2</v>
      </c>
      <c r="DS294" s="82">
        <f>-(Model!DS188/Model!DS30)</f>
        <v>5.7733868477925283E-2</v>
      </c>
      <c r="DT294" s="138">
        <f>-(Model!DT188/Model!DT30)</f>
        <v>5.944129384583071E-2</v>
      </c>
      <c r="DU294" s="82">
        <f>-(Model!DU188/Model!DU30)</f>
        <v>4.5935107546481953E-2</v>
      </c>
      <c r="DV294" s="82">
        <f>-(Model!DV188/Model!DV30)</f>
        <v>3.7763466042154567E-2</v>
      </c>
      <c r="DW294" s="138">
        <f>-(Model!DW188/Model!DW30)</f>
        <v>4.2228271695106567E-2</v>
      </c>
      <c r="DX294" s="82">
        <f>-(Model!DX188/Model!DX30)</f>
        <v>3.6579337617399899E-2</v>
      </c>
      <c r="DY294" s="82">
        <f>-(Model!DY188/Model!DY30)</f>
        <v>7.0000000000000007E-2</v>
      </c>
      <c r="DZ294" s="138">
        <f>-(Model!DZ188/Model!DZ30)</f>
        <v>5.2526540801854392E-2</v>
      </c>
      <c r="EA294" s="82">
        <f>-(Model!EA188/Model!EA30)</f>
        <v>5.9537248600131501E-2</v>
      </c>
      <c r="EB294" s="82">
        <f>-(Model!EB188/Model!EB30)</f>
        <v>6.052007705498344E-2</v>
      </c>
      <c r="EC294" s="138">
        <f>-(Model!EC188/Model!EC30)</f>
        <v>0.06</v>
      </c>
      <c r="ED294" s="82">
        <f>-(Model!ED188/Model!ED30)</f>
        <v>6.9447051720183631E-2</v>
      </c>
      <c r="EE294" s="82">
        <f>-(Model!EE188/Model!EE30)</f>
        <v>7.0610972171831141E-2</v>
      </c>
      <c r="EF294" s="138">
        <f>-(Model!EF188/Model!EF30)</f>
        <v>6.9999999999999993E-2</v>
      </c>
      <c r="EG294" s="82">
        <f>-(Model!EG188/Model!EG30)</f>
        <v>6.9373098094346775E-2</v>
      </c>
      <c r="EH294" s="82">
        <f>-(Model!EH188/Model!EH30)</f>
        <v>7.0687326415908899E-2</v>
      </c>
      <c r="EI294" s="138">
        <f>-(Model!EI188/Model!EI30)</f>
        <v>7.0000000000000007E-2</v>
      </c>
      <c r="EJ294" s="82">
        <f>-(Model!EJ188/Model!EJ30)</f>
        <v>5.9309486781448824E-2</v>
      </c>
      <c r="EK294" s="82">
        <f>-(Model!EK188/Model!EK30)</f>
        <v>6.0750781354660159E-2</v>
      </c>
      <c r="EL294" s="138">
        <f>-(Model!EL188/Model!EL30)</f>
        <v>0.06</v>
      </c>
      <c r="EM294" s="82">
        <f>-(Model!EM188/Model!EM30)</f>
        <v>4.9251870174446037E-2</v>
      </c>
      <c r="EN294" s="82">
        <f>-(Model!EN188/Model!EN30)</f>
        <v>5.0812490798598065E-2</v>
      </c>
      <c r="EO294" s="138">
        <f>-(Model!EO188/Model!EO30)</f>
        <v>5.000000000000001E-2</v>
      </c>
      <c r="EP294" s="82">
        <f>-(Model!EP188/Model!EP30)</f>
        <v>4.9201556013738747E-2</v>
      </c>
      <c r="EQ294" s="82">
        <f>-(Model!EQ188/Model!EQ30)</f>
        <v>5.0862958248653257E-2</v>
      </c>
      <c r="ER294" s="138">
        <f>-(Model!ER188/Model!ER30)</f>
        <v>4.9999999999999996E-2</v>
      </c>
      <c r="ES294" s="82">
        <f>-(Model!ES188/Model!ES30)</f>
        <v>4.9159510325339585E-2</v>
      </c>
      <c r="ET294" s="82">
        <f>-(Model!ET188/Model!ET30)</f>
        <v>5.0814490986271908E-2</v>
      </c>
      <c r="EU294" s="138">
        <f>-(Model!EU188/Model!EU30)</f>
        <v>4.995642259514449E-2</v>
      </c>
      <c r="EV294" s="82">
        <f>-(Model!EV188/Model!EV30)</f>
        <v>4.9203983990481509E-2</v>
      </c>
      <c r="EW294" s="82">
        <f>-(Model!EW188/Model!EW30)</f>
        <v>5.0768535109511043E-2</v>
      </c>
      <c r="EX294" s="138">
        <f>-(Model!EX188/Model!EX30)</f>
        <v>4.9958802218957592E-2</v>
      </c>
      <c r="EY294" s="82">
        <f>-(Model!EY188/Model!EY30)</f>
        <v>4.9246345212481599E-2</v>
      </c>
      <c r="EZ294" s="82">
        <f>-(Model!EZ188/Model!EZ30)</f>
        <v>5.0724978664303914E-2</v>
      </c>
      <c r="FA294" s="138">
        <f>-(Model!FA188/Model!FA30)</f>
        <v>4.9961063485258216E-2</v>
      </c>
    </row>
    <row r="295" spans="1:157" ht="13.35" customHeight="1">
      <c r="A295" s="4"/>
      <c r="B295" s="4" t="s">
        <v>621</v>
      </c>
      <c r="C295" s="4" t="s">
        <v>565</v>
      </c>
      <c r="D295" s="4"/>
      <c r="E295" s="84"/>
      <c r="F295" s="84"/>
      <c r="G295" s="93"/>
      <c r="H295" s="93"/>
      <c r="I295" s="93"/>
      <c r="J295" s="93"/>
      <c r="K295" s="93"/>
      <c r="L295" s="93"/>
      <c r="M295" s="93"/>
      <c r="N295" s="93"/>
      <c r="O295" s="93"/>
      <c r="P295" s="93"/>
      <c r="Q295" s="93"/>
      <c r="R295" s="93"/>
      <c r="S295" s="93"/>
      <c r="T295" s="93"/>
      <c r="U295" s="93"/>
      <c r="V295" s="131"/>
      <c r="W295" s="131"/>
      <c r="X295" s="131"/>
      <c r="Y295" s="131"/>
      <c r="Z295" s="131"/>
      <c r="AA295" s="131"/>
      <c r="AB295" s="131"/>
      <c r="AC295" s="131"/>
      <c r="AD295" s="131"/>
      <c r="AE295" s="131"/>
      <c r="AF295" s="131"/>
      <c r="AG295" s="131"/>
      <c r="AH295" s="131"/>
      <c r="AI295" s="131"/>
      <c r="AJ295" s="131"/>
      <c r="AK295" s="131"/>
      <c r="AL295" s="131"/>
      <c r="AM295" s="131"/>
      <c r="AN295" s="131"/>
      <c r="AO295" s="131"/>
      <c r="AP295" s="131"/>
      <c r="AQ295" s="93"/>
      <c r="AR295" s="101"/>
      <c r="AS295" s="101"/>
      <c r="AT295" s="101"/>
      <c r="AU295" s="101"/>
      <c r="AV295" s="101"/>
      <c r="AW295" s="101"/>
      <c r="AX295" s="101"/>
      <c r="AY295" s="101"/>
      <c r="AZ295" s="101"/>
      <c r="BA295" s="93">
        <v>20</v>
      </c>
      <c r="BB295" s="93">
        <v>20</v>
      </c>
      <c r="BC295" s="93">
        <v>20</v>
      </c>
      <c r="BD295" s="93">
        <v>20</v>
      </c>
      <c r="BE295" s="93">
        <v>20</v>
      </c>
      <c r="BF295" s="93">
        <v>20</v>
      </c>
      <c r="BG295" s="93">
        <v>20</v>
      </c>
      <c r="BH295" s="93">
        <v>20</v>
      </c>
      <c r="BI295" s="93">
        <v>20</v>
      </c>
      <c r="BJ295" s="93">
        <v>20</v>
      </c>
      <c r="BK295" s="93">
        <v>20</v>
      </c>
      <c r="BL295" s="93">
        <v>20</v>
      </c>
      <c r="BM295" s="93">
        <v>20</v>
      </c>
      <c r="BN295" s="93">
        <v>20</v>
      </c>
      <c r="BO295" s="93">
        <v>20</v>
      </c>
      <c r="BP295" s="93">
        <v>20</v>
      </c>
      <c r="BQ295" s="93">
        <v>20</v>
      </c>
      <c r="BR295" s="93">
        <v>20</v>
      </c>
      <c r="BS295" s="93">
        <v>20</v>
      </c>
      <c r="BT295" s="93">
        <v>20</v>
      </c>
      <c r="BU295" s="93">
        <v>20</v>
      </c>
      <c r="BV295" s="93">
        <v>20</v>
      </c>
      <c r="BW295" s="93">
        <v>20</v>
      </c>
      <c r="BX295" s="93">
        <v>20</v>
      </c>
      <c r="BY295" s="93">
        <v>20</v>
      </c>
      <c r="BZ295" s="93">
        <v>20</v>
      </c>
      <c r="CA295" s="93">
        <v>20</v>
      </c>
      <c r="CB295" s="93">
        <v>20</v>
      </c>
      <c r="CC295" s="93">
        <v>20</v>
      </c>
      <c r="CD295" s="93">
        <v>20</v>
      </c>
      <c r="CE295" s="93">
        <v>20</v>
      </c>
      <c r="CF295" s="93">
        <v>20</v>
      </c>
      <c r="CG295" s="93">
        <v>20</v>
      </c>
      <c r="CH295" s="93">
        <v>20</v>
      </c>
      <c r="CI295" s="93">
        <v>20</v>
      </c>
      <c r="CJ295" s="93">
        <v>20</v>
      </c>
      <c r="CK295" s="93">
        <v>20</v>
      </c>
      <c r="CL295" s="93">
        <v>20</v>
      </c>
      <c r="CM295" s="93">
        <v>20</v>
      </c>
      <c r="CN295" s="93">
        <v>20</v>
      </c>
      <c r="CO295" s="93">
        <v>20</v>
      </c>
      <c r="CP295" s="93">
        <v>20</v>
      </c>
      <c r="CQ295" s="93">
        <v>20</v>
      </c>
      <c r="CR295" s="93">
        <v>20</v>
      </c>
      <c r="CS295" s="93">
        <v>20</v>
      </c>
      <c r="CT295" s="93">
        <v>20</v>
      </c>
      <c r="CU295" s="93">
        <v>20</v>
      </c>
      <c r="CV295" s="93">
        <v>20</v>
      </c>
      <c r="CW295" s="93">
        <v>20</v>
      </c>
      <c r="CX295" s="93">
        <v>20</v>
      </c>
      <c r="CY295" s="93">
        <v>20</v>
      </c>
      <c r="CZ295" s="93">
        <v>20</v>
      </c>
      <c r="DA295" s="93">
        <v>20</v>
      </c>
      <c r="DB295" s="93">
        <v>20</v>
      </c>
      <c r="DC295" s="93">
        <v>20</v>
      </c>
      <c r="DD295" s="93">
        <v>20</v>
      </c>
      <c r="DE295" s="144">
        <v>20</v>
      </c>
      <c r="DF295" s="93">
        <v>20</v>
      </c>
      <c r="DG295" s="93">
        <v>20</v>
      </c>
      <c r="DH295" s="144">
        <v>20</v>
      </c>
      <c r="DI295" s="93">
        <v>20</v>
      </c>
      <c r="DJ295" s="93">
        <v>20</v>
      </c>
      <c r="DK295" s="144">
        <v>20</v>
      </c>
      <c r="DL295" s="93">
        <v>20</v>
      </c>
      <c r="DM295" s="93">
        <v>20</v>
      </c>
      <c r="DN295" s="144">
        <v>20</v>
      </c>
      <c r="DO295" s="93">
        <v>20</v>
      </c>
      <c r="DP295" s="93">
        <v>20</v>
      </c>
      <c r="DQ295" s="144">
        <v>20</v>
      </c>
      <c r="DR295" s="93">
        <v>20</v>
      </c>
      <c r="DS295" s="93">
        <v>20</v>
      </c>
      <c r="DT295" s="144">
        <v>20</v>
      </c>
      <c r="DU295" s="93">
        <v>20</v>
      </c>
      <c r="DV295" s="93">
        <v>20</v>
      </c>
      <c r="DW295" s="144">
        <v>20</v>
      </c>
      <c r="DX295" s="93">
        <v>20</v>
      </c>
      <c r="DY295" s="93">
        <v>20</v>
      </c>
      <c r="DZ295" s="144">
        <v>20</v>
      </c>
      <c r="EA295" s="93">
        <v>20</v>
      </c>
      <c r="EB295" s="93">
        <v>20</v>
      </c>
      <c r="EC295" s="144">
        <v>20</v>
      </c>
      <c r="ED295" s="93">
        <v>20</v>
      </c>
      <c r="EE295" s="93">
        <v>20</v>
      </c>
      <c r="EF295" s="144">
        <v>20</v>
      </c>
      <c r="EG295" s="93">
        <v>20</v>
      </c>
      <c r="EH295" s="93">
        <v>20</v>
      </c>
      <c r="EI295" s="144">
        <v>20</v>
      </c>
      <c r="EJ295" s="93">
        <v>20</v>
      </c>
      <c r="EK295" s="93">
        <v>20</v>
      </c>
      <c r="EL295" s="144">
        <v>20</v>
      </c>
      <c r="EM295" s="93">
        <v>20</v>
      </c>
      <c r="EN295" s="93">
        <v>20</v>
      </c>
      <c r="EO295" s="144">
        <v>20</v>
      </c>
      <c r="EP295" s="93">
        <v>20</v>
      </c>
      <c r="EQ295" s="93">
        <v>20</v>
      </c>
      <c r="ER295" s="144">
        <v>20</v>
      </c>
      <c r="ES295" s="93">
        <v>20</v>
      </c>
      <c r="ET295" s="93">
        <v>20</v>
      </c>
      <c r="EU295" s="144">
        <v>20</v>
      </c>
      <c r="EV295" s="93">
        <v>20</v>
      </c>
      <c r="EW295" s="93">
        <v>20</v>
      </c>
      <c r="EX295" s="144">
        <v>20</v>
      </c>
      <c r="EY295" s="93">
        <v>20</v>
      </c>
      <c r="EZ295" s="93">
        <v>20</v>
      </c>
      <c r="FA295" s="144">
        <v>20</v>
      </c>
    </row>
    <row r="296" spans="1:157" ht="13.35" customHeight="1">
      <c r="A296" s="4"/>
      <c r="B296" s="4" t="s">
        <v>621</v>
      </c>
      <c r="C296" s="4" t="s">
        <v>200</v>
      </c>
      <c r="D296" s="4"/>
      <c r="E296" s="84"/>
      <c r="F296" s="84"/>
      <c r="G296" s="93"/>
      <c r="H296" s="93"/>
      <c r="I296" s="93"/>
      <c r="J296" s="93"/>
      <c r="K296" s="93"/>
      <c r="L296" s="93"/>
      <c r="M296" s="93"/>
      <c r="N296" s="93"/>
      <c r="O296" s="93"/>
      <c r="P296" s="93"/>
      <c r="Q296" s="93"/>
      <c r="R296" s="93"/>
      <c r="S296" s="93"/>
      <c r="T296" s="93"/>
      <c r="U296" s="93"/>
      <c r="V296" s="131"/>
      <c r="W296" s="131"/>
      <c r="X296" s="131"/>
      <c r="Y296" s="131"/>
      <c r="Z296" s="131"/>
      <c r="AA296" s="131"/>
      <c r="AB296" s="131"/>
      <c r="AC296" s="131"/>
      <c r="AD296" s="131"/>
      <c r="AE296" s="131"/>
      <c r="AF296" s="131"/>
      <c r="AG296" s="131"/>
      <c r="AH296" s="131"/>
      <c r="AI296" s="131"/>
      <c r="AJ296" s="131"/>
      <c r="AK296" s="131"/>
      <c r="AL296" s="131"/>
      <c r="AM296" s="131"/>
      <c r="AN296" s="131"/>
      <c r="AO296" s="131"/>
      <c r="AP296" s="131"/>
      <c r="AQ296" s="93"/>
      <c r="AR296" s="101"/>
      <c r="AS296" s="101"/>
      <c r="AT296" s="101"/>
      <c r="AU296" s="101"/>
      <c r="AV296" s="101"/>
      <c r="AW296" s="101"/>
      <c r="AX296" s="101"/>
      <c r="AY296" s="101"/>
      <c r="AZ296" s="101"/>
      <c r="BA296" s="93">
        <v>15</v>
      </c>
      <c r="BB296" s="93">
        <v>15</v>
      </c>
      <c r="BC296" s="93">
        <v>15</v>
      </c>
      <c r="BD296" s="93">
        <v>15</v>
      </c>
      <c r="BE296" s="93">
        <v>15</v>
      </c>
      <c r="BF296" s="93">
        <v>15</v>
      </c>
      <c r="BG296" s="93">
        <v>15</v>
      </c>
      <c r="BH296" s="93">
        <v>15</v>
      </c>
      <c r="BI296" s="93">
        <v>15</v>
      </c>
      <c r="BJ296" s="93">
        <v>15</v>
      </c>
      <c r="BK296" s="93">
        <v>15</v>
      </c>
      <c r="BL296" s="93">
        <v>15</v>
      </c>
      <c r="BM296" s="93">
        <v>15</v>
      </c>
      <c r="BN296" s="93">
        <v>15</v>
      </c>
      <c r="BO296" s="93">
        <v>15</v>
      </c>
      <c r="BP296" s="93">
        <v>15</v>
      </c>
      <c r="BQ296" s="93">
        <v>15</v>
      </c>
      <c r="BR296" s="93">
        <v>15</v>
      </c>
      <c r="BS296" s="93">
        <v>15</v>
      </c>
      <c r="BT296" s="93">
        <v>15</v>
      </c>
      <c r="BU296" s="93">
        <v>15</v>
      </c>
      <c r="BV296" s="93">
        <v>15</v>
      </c>
      <c r="BW296" s="93">
        <v>15</v>
      </c>
      <c r="BX296" s="93">
        <v>15</v>
      </c>
      <c r="BY296" s="93">
        <v>15</v>
      </c>
      <c r="BZ296" s="93">
        <v>15</v>
      </c>
      <c r="CA296" s="93">
        <v>15</v>
      </c>
      <c r="CB296" s="93">
        <v>15</v>
      </c>
      <c r="CC296" s="93">
        <v>15</v>
      </c>
      <c r="CD296" s="93">
        <v>15</v>
      </c>
      <c r="CE296" s="93">
        <v>15</v>
      </c>
      <c r="CF296" s="93">
        <v>15</v>
      </c>
      <c r="CG296" s="93">
        <v>15</v>
      </c>
      <c r="CH296" s="93">
        <v>15</v>
      </c>
      <c r="CI296" s="93">
        <v>15</v>
      </c>
      <c r="CJ296" s="93">
        <v>15</v>
      </c>
      <c r="CK296" s="93">
        <v>15</v>
      </c>
      <c r="CL296" s="93">
        <v>15</v>
      </c>
      <c r="CM296" s="93">
        <v>15</v>
      </c>
      <c r="CN296" s="93">
        <v>15</v>
      </c>
      <c r="CO296" s="93">
        <v>15</v>
      </c>
      <c r="CP296" s="93">
        <v>15</v>
      </c>
      <c r="CQ296" s="93">
        <v>15</v>
      </c>
      <c r="CR296" s="93">
        <v>15</v>
      </c>
      <c r="CS296" s="93">
        <v>15</v>
      </c>
      <c r="CT296" s="93">
        <v>15</v>
      </c>
      <c r="CU296" s="93">
        <v>15</v>
      </c>
      <c r="CV296" s="93">
        <v>15</v>
      </c>
      <c r="CW296" s="93">
        <v>15</v>
      </c>
      <c r="CX296" s="93">
        <v>15</v>
      </c>
      <c r="CY296" s="93">
        <v>15</v>
      </c>
      <c r="CZ296" s="93">
        <v>15</v>
      </c>
      <c r="DA296" s="93">
        <v>15</v>
      </c>
      <c r="DB296" s="93">
        <v>15</v>
      </c>
      <c r="DC296" s="93">
        <v>15</v>
      </c>
      <c r="DD296" s="93">
        <v>15</v>
      </c>
      <c r="DE296" s="144">
        <v>15</v>
      </c>
      <c r="DF296" s="93">
        <v>15</v>
      </c>
      <c r="DG296" s="93">
        <v>15</v>
      </c>
      <c r="DH296" s="144">
        <v>15</v>
      </c>
      <c r="DI296" s="93">
        <v>15</v>
      </c>
      <c r="DJ296" s="93">
        <v>15</v>
      </c>
      <c r="DK296" s="144">
        <v>15</v>
      </c>
      <c r="DL296" s="93">
        <v>15</v>
      </c>
      <c r="DM296" s="93">
        <v>15</v>
      </c>
      <c r="DN296" s="144">
        <v>15</v>
      </c>
      <c r="DO296" s="93">
        <v>15</v>
      </c>
      <c r="DP296" s="93">
        <v>15</v>
      </c>
      <c r="DQ296" s="144">
        <v>15</v>
      </c>
      <c r="DR296" s="93">
        <v>15</v>
      </c>
      <c r="DS296" s="93">
        <v>15</v>
      </c>
      <c r="DT296" s="144">
        <v>15</v>
      </c>
      <c r="DU296" s="93">
        <v>15</v>
      </c>
      <c r="DV296" s="93">
        <v>15</v>
      </c>
      <c r="DW296" s="144">
        <v>15</v>
      </c>
      <c r="DX296" s="93">
        <v>15</v>
      </c>
      <c r="DY296" s="93">
        <v>15</v>
      </c>
      <c r="DZ296" s="144">
        <v>15</v>
      </c>
      <c r="EA296" s="93">
        <v>15</v>
      </c>
      <c r="EB296" s="93">
        <v>15</v>
      </c>
      <c r="EC296" s="144">
        <v>15</v>
      </c>
      <c r="ED296" s="93">
        <v>15</v>
      </c>
      <c r="EE296" s="93">
        <v>15</v>
      </c>
      <c r="EF296" s="144">
        <v>15</v>
      </c>
      <c r="EG296" s="93">
        <v>15</v>
      </c>
      <c r="EH296" s="93">
        <v>15</v>
      </c>
      <c r="EI296" s="144">
        <v>15</v>
      </c>
      <c r="EJ296" s="93">
        <v>15</v>
      </c>
      <c r="EK296" s="93">
        <v>15</v>
      </c>
      <c r="EL296" s="144">
        <v>15</v>
      </c>
      <c r="EM296" s="93">
        <v>15</v>
      </c>
      <c r="EN296" s="93">
        <v>15</v>
      </c>
      <c r="EO296" s="144">
        <v>15</v>
      </c>
      <c r="EP296" s="93">
        <v>15</v>
      </c>
      <c r="EQ296" s="93">
        <v>15</v>
      </c>
      <c r="ER296" s="144">
        <v>15</v>
      </c>
      <c r="ES296" s="93">
        <v>15</v>
      </c>
      <c r="ET296" s="93">
        <v>15</v>
      </c>
      <c r="EU296" s="144">
        <v>15</v>
      </c>
      <c r="EV296" s="93">
        <v>15</v>
      </c>
      <c r="EW296" s="93">
        <v>15</v>
      </c>
      <c r="EX296" s="144">
        <v>15</v>
      </c>
      <c r="EY296" s="93">
        <v>15</v>
      </c>
      <c r="EZ296" s="93">
        <v>15</v>
      </c>
      <c r="FA296" s="144">
        <v>15</v>
      </c>
    </row>
    <row r="297" spans="1:157" ht="11.25" customHeight="1"/>
    <row r="298" spans="1:157" ht="13.35" customHeight="1"/>
    <row r="299" spans="1:157" ht="13.35" customHeight="1"/>
    <row r="300" spans="1:157" ht="13.35" customHeight="1"/>
    <row r="301" spans="1:157" ht="13.35" customHeight="1"/>
    <row r="302" spans="1:157" ht="13.35" customHeight="1"/>
    <row r="303" spans="1:157" ht="13.35" customHeight="1"/>
    <row r="304" spans="1:157" ht="13.35" customHeight="1"/>
    <row r="305" ht="13.35" customHeight="1"/>
    <row r="306" ht="13.35" customHeight="1"/>
    <row r="307" ht="13.35" customHeight="1"/>
    <row r="308" ht="13.35" customHeight="1"/>
    <row r="309" ht="13.35" customHeight="1"/>
    <row r="310" ht="13.35" customHeight="1"/>
    <row r="311" ht="13.35" customHeight="1"/>
    <row r="312" ht="13.35" customHeight="1"/>
    <row r="313" ht="13.35" customHeight="1"/>
    <row r="314" ht="13.35" customHeight="1"/>
    <row r="315" ht="13.35" customHeight="1"/>
    <row r="316" ht="13.35" customHeight="1"/>
    <row r="317" ht="13.35" customHeight="1"/>
    <row r="318" ht="13.35" customHeight="1"/>
    <row r="319" ht="13.35" customHeight="1"/>
    <row r="320" ht="13.35" customHeight="1"/>
    <row r="321" ht="13.35" customHeight="1"/>
    <row r="322" ht="13.35" customHeight="1"/>
    <row r="323" ht="13.35" customHeight="1"/>
    <row r="324" ht="13.35" customHeight="1"/>
    <row r="325" ht="13.35" customHeight="1"/>
    <row r="326" ht="13.35" customHeight="1"/>
    <row r="327" ht="13.35" customHeight="1"/>
    <row r="328" ht="13.35" customHeight="1"/>
    <row r="329" ht="13.35" customHeight="1"/>
    <row r="330" ht="13.35" customHeight="1"/>
    <row r="331" ht="13.35" customHeight="1"/>
    <row r="332" ht="13.35" customHeight="1"/>
    <row r="333" ht="13.35" customHeight="1"/>
    <row r="334" ht="13.35" customHeight="1"/>
  </sheetData>
  <phoneticPr fontId="4" type="noConversion"/>
  <printOptions gridLines="1"/>
  <pageMargins left="0.75" right="0.75" top="0.39" bottom="0.39" header="0.51" footer="0.51"/>
  <pageSetup paperSize="9"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0">
    <tabColor rgb="FF92D050"/>
  </sheetPr>
  <dimension ref="A1:BE228"/>
  <sheetViews>
    <sheetView showGridLines="0" zoomScale="70" zoomScaleNormal="70" workbookViewId="0">
      <pane xSplit="3" ySplit="2" topLeftCell="L3" activePane="bottomRight" state="frozen"/>
      <selection pane="topRight" activeCell="C1" sqref="C1"/>
      <selection pane="bottomLeft" activeCell="A3" sqref="A3"/>
      <selection pane="bottomRight" activeCell="AE32" sqref="AE32"/>
    </sheetView>
  </sheetViews>
  <sheetFormatPr defaultRowHeight="12.75" outlineLevelCol="1"/>
  <cols>
    <col min="1" max="1" width="3" style="11" customWidth="1"/>
    <col min="2" max="2" width="32.7109375" style="11" customWidth="1"/>
    <col min="3" max="3" width="8.28515625" style="11" customWidth="1"/>
    <col min="4" max="5" width="8.7109375" style="10" hidden="1" customWidth="1" outlineLevel="1"/>
    <col min="6" max="6" width="9.28515625" style="10" hidden="1" customWidth="1" outlineLevel="1"/>
    <col min="7" max="8" width="8.7109375" style="10" hidden="1" customWidth="1" outlineLevel="1"/>
    <col min="9" max="9" width="9.28515625" style="10" hidden="1" customWidth="1" outlineLevel="1"/>
    <col min="10" max="10" width="8.7109375" style="10" hidden="1" customWidth="1" outlineLevel="1"/>
    <col min="11" max="11" width="9.28515625" style="10" hidden="1" customWidth="1" outlineLevel="1"/>
    <col min="12" max="12" width="2.28515625" style="10" customWidth="1" collapsed="1"/>
    <col min="13" max="14" width="8.7109375" style="10" customWidth="1" outlineLevel="1"/>
    <col min="15" max="15" width="8.7109375" style="10"/>
    <col min="16" max="17" width="8.7109375" style="10" customWidth="1" outlineLevel="1"/>
    <col min="18" max="18" width="8.7109375" style="10" customWidth="1"/>
    <col min="19" max="20" width="8.7109375" style="10" customWidth="1" outlineLevel="1"/>
    <col min="21" max="21" width="8.7109375" style="10"/>
    <col min="22" max="23" width="8.7109375" style="10" customWidth="1" outlineLevel="1"/>
    <col min="24" max="24" width="8.7109375" style="10"/>
    <col min="25" max="26" width="8.7109375" style="10" customWidth="1" outlineLevel="1"/>
    <col min="27" max="27" width="8.7109375" style="10"/>
    <col min="28" max="29" width="8.7109375" style="10" customWidth="1" outlineLevel="1"/>
    <col min="30" max="30" width="9.28515625" style="10"/>
    <col min="31" max="32" width="8.7109375" style="10" customWidth="1" outlineLevel="1"/>
    <col min="33" max="33" width="9.28515625" style="10"/>
    <col min="34" max="35" width="8.7109375" style="10" customWidth="1" outlineLevel="1"/>
    <col min="36" max="36" width="9.28515625" style="10"/>
    <col min="37" max="38" width="8.7109375" style="10" customWidth="1" outlineLevel="1"/>
    <col min="39" max="39" width="9.28515625" style="10"/>
    <col min="40" max="41" width="8.7109375" style="10" customWidth="1" outlineLevel="1"/>
    <col min="42" max="42" width="9.28515625" style="10"/>
    <col min="43" max="44" width="8.7109375" style="10" customWidth="1" outlineLevel="1"/>
    <col min="45" max="45" width="9.28515625" style="10"/>
    <col min="46" max="47" width="8.7109375" style="10" customWidth="1" outlineLevel="1"/>
    <col min="48" max="48" width="9.28515625" style="10"/>
    <col min="49" max="50" width="8.7109375" style="10" customWidth="1" outlineLevel="1"/>
    <col min="51" max="51" width="9.28515625" style="10"/>
    <col min="52" max="53" width="8.7109375" style="10" customWidth="1" outlineLevel="1"/>
    <col min="54" max="54" width="8.85546875" style="10"/>
    <col min="55" max="56" width="8.7109375" style="10" customWidth="1" outlineLevel="1"/>
    <col min="57" max="57" width="8.85546875" style="10"/>
    <col min="58" max="58" width="9.28515625"/>
    <col min="59" max="59" width="10" bestFit="1" customWidth="1"/>
    <col min="61" max="61" width="10" customWidth="1"/>
  </cols>
  <sheetData>
    <row r="1" spans="1:57">
      <c r="B1" s="857" t="s">
        <v>944</v>
      </c>
      <c r="C1" s="20"/>
      <c r="D1" s="21" t="s">
        <v>894</v>
      </c>
      <c r="E1" s="21" t="s">
        <v>176</v>
      </c>
      <c r="F1" s="21" t="s">
        <v>851</v>
      </c>
      <c r="G1" s="21" t="s">
        <v>895</v>
      </c>
      <c r="H1" s="21" t="s">
        <v>896</v>
      </c>
      <c r="I1" s="21" t="s">
        <v>852</v>
      </c>
      <c r="J1" s="21" t="s">
        <v>897</v>
      </c>
      <c r="K1" s="21" t="s">
        <v>898</v>
      </c>
      <c r="L1" s="21"/>
      <c r="M1" s="21" t="str">
        <f>Segment!DI5</f>
        <v>1h21</v>
      </c>
      <c r="N1" s="21" t="str">
        <f>Segment!DJ5</f>
        <v>2h21</v>
      </c>
      <c r="O1" s="21" t="str">
        <f>Segment!DK5</f>
        <v>2021</v>
      </c>
      <c r="P1" s="21" t="str">
        <f>Segment!DL5</f>
        <v>1h22</v>
      </c>
      <c r="Q1" s="21" t="str">
        <f>Segment!DM5</f>
        <v>2h22</v>
      </c>
      <c r="R1" s="21" t="str">
        <f>Segment!DN5</f>
        <v>2022</v>
      </c>
      <c r="S1" s="21" t="str">
        <f>Segment!DO5</f>
        <v>1h23</v>
      </c>
      <c r="T1" s="21" t="str">
        <f>Segment!DP5</f>
        <v>2h23</v>
      </c>
      <c r="U1" s="21" t="str">
        <f>Segment!DQ5</f>
        <v>2023</v>
      </c>
      <c r="V1" s="21" t="str">
        <f>Segment!DR5</f>
        <v>1h24</v>
      </c>
      <c r="W1" s="21" t="str">
        <f>Segment!DS5</f>
        <v>2h24</v>
      </c>
      <c r="X1" s="21" t="str">
        <f>Segment!DT5</f>
        <v>2024</v>
      </c>
      <c r="Y1" s="21" t="str">
        <f>Segment!DU5</f>
        <v>1h25</v>
      </c>
      <c r="Z1" s="21" t="str">
        <f>Segment!DV5</f>
        <v>2h25</v>
      </c>
      <c r="AA1" s="21" t="str">
        <f>Segment!DW5</f>
        <v>2025</v>
      </c>
      <c r="AB1" s="21" t="str">
        <f>Segment!DX5</f>
        <v>1h26</v>
      </c>
      <c r="AC1" s="21" t="str">
        <f>Segment!DY5</f>
        <v>2h26E</v>
      </c>
      <c r="AD1" s="21" t="str">
        <f>Segment!DZ5</f>
        <v>2026E</v>
      </c>
      <c r="AE1" s="21" t="str">
        <f>Segment!EA5</f>
        <v>1h27E</v>
      </c>
      <c r="AF1" s="21" t="str">
        <f>Segment!EB5</f>
        <v>2h27E</v>
      </c>
      <c r="AG1" s="21" t="str">
        <f>Segment!EC5</f>
        <v>2027E</v>
      </c>
      <c r="AH1" s="21" t="str">
        <f>Segment!ED5</f>
        <v>1h28E</v>
      </c>
      <c r="AI1" s="21" t="str">
        <f>Segment!EE5</f>
        <v>2h28E</v>
      </c>
      <c r="AJ1" s="21" t="str">
        <f>Segment!EF5</f>
        <v>2028E</v>
      </c>
      <c r="AK1" s="21" t="str">
        <f>Segment!EG5</f>
        <v>1h29E</v>
      </c>
      <c r="AL1" s="21" t="str">
        <f>Segment!EH5</f>
        <v>2h29E</v>
      </c>
      <c r="AM1" s="21" t="str">
        <f>Segment!EI5</f>
        <v>2029E</v>
      </c>
      <c r="AN1" s="21" t="str">
        <f>Segment!EJ5</f>
        <v>1h30E</v>
      </c>
      <c r="AO1" s="21" t="str">
        <f>Segment!EK5</f>
        <v>2h30E</v>
      </c>
      <c r="AP1" s="21" t="str">
        <f>Segment!EL5</f>
        <v>2030E</v>
      </c>
      <c r="AQ1" s="21" t="str">
        <f>Segment!EM5</f>
        <v>1h31E</v>
      </c>
      <c r="AR1" s="21" t="str">
        <f>Segment!EN5</f>
        <v>2h31E</v>
      </c>
      <c r="AS1" s="21" t="str">
        <f>Segment!EO5</f>
        <v>2031E</v>
      </c>
      <c r="AT1" s="21" t="str">
        <f>Segment!EP5</f>
        <v>1h32E</v>
      </c>
      <c r="AU1" s="21" t="str">
        <f>Segment!EQ5</f>
        <v>2h32E</v>
      </c>
      <c r="AV1" s="21" t="str">
        <f>Segment!ER5</f>
        <v>2032E</v>
      </c>
      <c r="AW1" s="21" t="str">
        <f>Segment!ES5</f>
        <v>1h33E</v>
      </c>
      <c r="AX1" s="21" t="str">
        <f>Segment!ET5</f>
        <v>2h33E</v>
      </c>
      <c r="AY1" s="21" t="str">
        <f>Segment!EU5</f>
        <v>2033E</v>
      </c>
      <c r="AZ1" s="21" t="str">
        <f>Segment!EV5</f>
        <v>1h34E</v>
      </c>
      <c r="BA1" s="21" t="str">
        <f>Segment!EW5</f>
        <v>2h34E</v>
      </c>
      <c r="BB1" s="21" t="str">
        <f>Segment!EX5</f>
        <v>2034E</v>
      </c>
      <c r="BC1" s="21" t="str">
        <f>Segment!EY5</f>
        <v>1h35E</v>
      </c>
      <c r="BD1" s="21" t="str">
        <f>Segment!EZ5</f>
        <v>2h35E</v>
      </c>
      <c r="BE1" s="21" t="str">
        <f>Segment!FA5</f>
        <v>2035E</v>
      </c>
    </row>
    <row r="2" spans="1:57">
      <c r="B2" s="857" t="s">
        <v>911</v>
      </c>
      <c r="C2" s="857"/>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row>
    <row r="3" spans="1:57">
      <c r="B3" s="858" t="s">
        <v>916</v>
      </c>
      <c r="C3" s="16" t="s">
        <v>357</v>
      </c>
      <c r="D3" s="873"/>
      <c r="E3" s="873"/>
      <c r="F3" s="874"/>
      <c r="G3" s="873"/>
      <c r="H3" s="873"/>
      <c r="I3" s="874"/>
      <c r="J3" s="873"/>
      <c r="K3" s="873"/>
      <c r="L3" s="874"/>
      <c r="M3" s="469">
        <f>M16</f>
        <v>430.88275353411188</v>
      </c>
      <c r="N3" s="469">
        <f>N16</f>
        <v>468.81724646588816</v>
      </c>
      <c r="O3" s="725">
        <f>SUM(M3:N3)</f>
        <v>899.7</v>
      </c>
      <c r="P3" s="469">
        <f>P16</f>
        <v>480.41984818684693</v>
      </c>
      <c r="Q3" s="469">
        <f>Q16</f>
        <v>521.38015181315257</v>
      </c>
      <c r="R3" s="725">
        <f>SUM(P3:Q3)</f>
        <v>1001.7999999999995</v>
      </c>
      <c r="S3" s="469">
        <f>S16</f>
        <v>427</v>
      </c>
      <c r="T3" s="469">
        <f>T16</f>
        <v>582</v>
      </c>
      <c r="U3" s="725">
        <f>SUM(S3:T3)</f>
        <v>1009</v>
      </c>
      <c r="V3" s="469">
        <f>V16</f>
        <v>505</v>
      </c>
      <c r="W3" s="469">
        <f>W16</f>
        <v>513</v>
      </c>
      <c r="X3" s="725">
        <f>SUM(V3:W3)</f>
        <v>1018</v>
      </c>
      <c r="Y3" s="469">
        <f>Y16</f>
        <v>527</v>
      </c>
      <c r="Z3" s="469">
        <f>Z16</f>
        <v>507</v>
      </c>
      <c r="AA3" s="725">
        <f>SUM(Y3:Z3)</f>
        <v>1034</v>
      </c>
      <c r="AB3" s="469">
        <f>AB16</f>
        <v>470</v>
      </c>
      <c r="AC3" s="469">
        <f>AC16</f>
        <v>414.75</v>
      </c>
      <c r="AD3" s="725">
        <f>SUM(AB3:AC3)</f>
        <v>884.75</v>
      </c>
      <c r="AE3" s="469">
        <f>AE16</f>
        <v>437.85</v>
      </c>
      <c r="AF3" s="469">
        <f>AF16</f>
        <v>387.97500000000002</v>
      </c>
      <c r="AG3" s="725">
        <f>SUM(AE3:AF3)</f>
        <v>825.82500000000005</v>
      </c>
      <c r="AH3" s="469">
        <f>AH16</f>
        <v>447.61850000000004</v>
      </c>
      <c r="AI3" s="469">
        <f>AI16</f>
        <v>396.35625000000005</v>
      </c>
      <c r="AJ3" s="725">
        <f>SUM(AH3:AI3)</f>
        <v>843.97475000000009</v>
      </c>
      <c r="AK3" s="469">
        <f>AK16</f>
        <v>457.66288500000002</v>
      </c>
      <c r="AL3" s="469">
        <f>AL16</f>
        <v>404.97075750000005</v>
      </c>
      <c r="AM3" s="725">
        <f>SUM(AK3:AL3)</f>
        <v>862.63364250000006</v>
      </c>
      <c r="AN3" s="469">
        <f>AN16</f>
        <v>467.99125985000006</v>
      </c>
      <c r="AO3" s="469">
        <f>AO16</f>
        <v>413.82533842500004</v>
      </c>
      <c r="AP3" s="725">
        <f>SUM(AN3:AO3)</f>
        <v>881.81659827500016</v>
      </c>
      <c r="AQ3" s="469">
        <f>AQ16</f>
        <v>478.61197082850003</v>
      </c>
      <c r="AR3" s="469">
        <f>AR16</f>
        <v>422.92701135975005</v>
      </c>
      <c r="AS3" s="725">
        <f>SUM(AQ3:AR3)</f>
        <v>901.53898218825009</v>
      </c>
      <c r="AT3" s="469">
        <f>AT16</f>
        <v>489.53361286818506</v>
      </c>
      <c r="AU3" s="469">
        <f>AU16</f>
        <v>432.28300361036253</v>
      </c>
      <c r="AV3" s="725">
        <f>SUM(AT3:AU3)</f>
        <v>921.81661647854753</v>
      </c>
      <c r="AW3" s="469">
        <f>AW16</f>
        <v>500.76503699820893</v>
      </c>
      <c r="AX3" s="469">
        <f>AX16</f>
        <v>441.90075744759162</v>
      </c>
      <c r="AY3" s="725">
        <f>SUM(AW3:AX3)</f>
        <v>942.66579444580054</v>
      </c>
      <c r="AZ3" s="469">
        <f>AZ16</f>
        <v>512.31535800957329</v>
      </c>
      <c r="BA3" s="469">
        <f>BA16</f>
        <v>451.78793653722676</v>
      </c>
      <c r="BB3" s="725">
        <f>SUM(AZ3:BA3)</f>
        <v>964.10329454680004</v>
      </c>
      <c r="BC3" s="469">
        <f>BC16</f>
        <v>524.19396235029285</v>
      </c>
      <c r="BD3" s="469">
        <f>BD16</f>
        <v>461.95243256321299</v>
      </c>
      <c r="BE3" s="725">
        <f>SUM(BC3:BD3)</f>
        <v>986.1463949135059</v>
      </c>
    </row>
    <row r="4" spans="1:57">
      <c r="B4" s="858" t="s">
        <v>913</v>
      </c>
      <c r="C4" s="16" t="str">
        <f>C3</f>
        <v>US$mn</v>
      </c>
      <c r="D4" s="873"/>
      <c r="E4" s="873"/>
      <c r="F4" s="874"/>
      <c r="G4" s="873"/>
      <c r="H4" s="873"/>
      <c r="I4" s="874"/>
      <c r="J4" s="873"/>
      <c r="K4" s="873"/>
      <c r="L4" s="874"/>
      <c r="M4" s="469">
        <f>M28</f>
        <v>371.8290227412416</v>
      </c>
      <c r="N4" s="469">
        <f>N28</f>
        <v>362.87536570374925</v>
      </c>
      <c r="O4" s="725">
        <f>SUM(M4:N4)</f>
        <v>734.70438844499085</v>
      </c>
      <c r="P4" s="469">
        <f>P28</f>
        <v>316.11315012005377</v>
      </c>
      <c r="Q4" s="469">
        <f>Q28</f>
        <v>393.93684987994618</v>
      </c>
      <c r="R4" s="725">
        <f>SUM(P4:Q4)</f>
        <v>710.05</v>
      </c>
      <c r="S4" s="469">
        <f>S28</f>
        <v>377</v>
      </c>
      <c r="T4" s="469">
        <f>T28</f>
        <v>394</v>
      </c>
      <c r="U4" s="725">
        <f>SUM(S4:T4)</f>
        <v>771</v>
      </c>
      <c r="V4" s="469">
        <f>V28</f>
        <v>399</v>
      </c>
      <c r="W4" s="469">
        <f>W28</f>
        <v>387</v>
      </c>
      <c r="X4" s="725">
        <f>SUM(V4:W4)</f>
        <v>786</v>
      </c>
      <c r="Y4" s="469">
        <f>Y28</f>
        <v>387</v>
      </c>
      <c r="Z4" s="469">
        <f>Z28</f>
        <v>484</v>
      </c>
      <c r="AA4" s="725">
        <f>SUM(Y4:Z4)</f>
        <v>871</v>
      </c>
      <c r="AB4" s="469">
        <f>AB28</f>
        <v>544</v>
      </c>
      <c r="AC4" s="469">
        <f>AC28</f>
        <v>512.17291310975611</v>
      </c>
      <c r="AD4" s="725">
        <f>SUM(AB4:AC4)</f>
        <v>1056.1729131097561</v>
      </c>
      <c r="AE4" s="469">
        <f>AE28</f>
        <v>585.226</v>
      </c>
      <c r="AF4" s="469">
        <f>AF28</f>
        <v>493.96029977134145</v>
      </c>
      <c r="AG4" s="725">
        <f>SUM(AE4:AF4)</f>
        <v>1079.1862997713415</v>
      </c>
      <c r="AH4" s="469">
        <f>AH28</f>
        <v>555.67790000000002</v>
      </c>
      <c r="AI4" s="469">
        <f>AI28</f>
        <v>516.00261279344511</v>
      </c>
      <c r="AJ4" s="725">
        <f>SUM(AH4:AI4)</f>
        <v>1071.6805127934451</v>
      </c>
      <c r="AK4" s="469">
        <f>AK28</f>
        <v>580.97793500000012</v>
      </c>
      <c r="AL4" s="469">
        <f>AL28</f>
        <v>539.07072005049542</v>
      </c>
      <c r="AM4" s="725">
        <f>SUM(AK4:AL4)</f>
        <v>1120.0486550504957</v>
      </c>
      <c r="AN4" s="469">
        <f>AN28</f>
        <v>607.49632495000003</v>
      </c>
      <c r="AO4" s="469">
        <f>AO28</f>
        <v>563.21584906384351</v>
      </c>
      <c r="AP4" s="725">
        <f>SUM(AN4:AO4)</f>
        <v>1170.7121740138437</v>
      </c>
      <c r="AQ4" s="469">
        <f>AQ28</f>
        <v>635.29739248550015</v>
      </c>
      <c r="AR4" s="469">
        <f>AR28</f>
        <v>588.49208530991677</v>
      </c>
      <c r="AS4" s="725">
        <f>SUM(AQ4:AR4)</f>
        <v>1223.789477795417</v>
      </c>
      <c r="AT4" s="469">
        <f>AT28</f>
        <v>664.44933964529514</v>
      </c>
      <c r="AU4" s="469">
        <f>AU28</f>
        <v>614.95655688779652</v>
      </c>
      <c r="AV4" s="725">
        <f>SUM(AT4:AU4)</f>
        <v>1279.4058965330917</v>
      </c>
      <c r="AW4" s="469">
        <f>AW28</f>
        <v>695.02452108010073</v>
      </c>
      <c r="AX4" s="469">
        <f>AX28</f>
        <v>642.66963308163179</v>
      </c>
      <c r="AY4" s="725">
        <f>SUM(AW4:AX4)</f>
        <v>1337.6941541617325</v>
      </c>
      <c r="AZ4" s="469">
        <f>AZ28</f>
        <v>727.09973936190818</v>
      </c>
      <c r="BA4" s="469">
        <f>BA28</f>
        <v>671.69513799815957</v>
      </c>
      <c r="BB4" s="725">
        <f>SUM(AZ4:BA4)</f>
        <v>1398.7948773600679</v>
      </c>
      <c r="BC4" s="469">
        <f>BC28</f>
        <v>760.75656436379415</v>
      </c>
      <c r="BD4" s="469">
        <f>BD28</f>
        <v>702.10058056793662</v>
      </c>
      <c r="BE4" s="725">
        <f>SUM(BC4:BD4)</f>
        <v>1462.8571449317308</v>
      </c>
    </row>
    <row r="5" spans="1:57">
      <c r="B5" s="858" t="s">
        <v>915</v>
      </c>
      <c r="C5" s="16" t="str">
        <f>C3</f>
        <v>US$mn</v>
      </c>
      <c r="D5" s="873"/>
      <c r="E5" s="873"/>
      <c r="F5" s="874"/>
      <c r="G5" s="873"/>
      <c r="H5" s="873"/>
      <c r="I5" s="874"/>
      <c r="J5" s="873"/>
      <c r="K5" s="873"/>
      <c r="L5" s="874"/>
      <c r="M5" s="469">
        <f>M43</f>
        <v>65.919963122311003</v>
      </c>
      <c r="N5" s="469">
        <f>N43</f>
        <v>62.506711739397616</v>
      </c>
      <c r="O5" s="725">
        <f>SUM(M5:N5)</f>
        <v>128.42667486170862</v>
      </c>
      <c r="P5" s="469">
        <f>P43</f>
        <v>51.7</v>
      </c>
      <c r="Q5" s="469">
        <f>Q43</f>
        <v>75.899999999999991</v>
      </c>
      <c r="R5" s="725">
        <f>SUM(P5:Q5)</f>
        <v>127.6</v>
      </c>
      <c r="S5" s="469">
        <f>S43</f>
        <v>55</v>
      </c>
      <c r="T5" s="469">
        <f>T43</f>
        <v>81</v>
      </c>
      <c r="U5" s="725">
        <f>SUM(S5:T5)</f>
        <v>136</v>
      </c>
      <c r="V5" s="469">
        <f>V43</f>
        <v>90</v>
      </c>
      <c r="W5" s="469">
        <f>W43</f>
        <v>110</v>
      </c>
      <c r="X5" s="725">
        <f>SUM(V5:W5)</f>
        <v>200</v>
      </c>
      <c r="Y5" s="1844">
        <f>1058-SUM(Y3:Y4)</f>
        <v>144</v>
      </c>
      <c r="Z5" s="469">
        <f>AA5-Y5</f>
        <v>123</v>
      </c>
      <c r="AA5" s="1846">
        <f>AA43</f>
        <v>267</v>
      </c>
      <c r="AB5" s="1844">
        <f>AB43</f>
        <v>191</v>
      </c>
      <c r="AC5" s="469">
        <f>AC43</f>
        <v>157.80000000000001</v>
      </c>
      <c r="AD5" s="725">
        <f>SUM(AB5:AC5)</f>
        <v>348.8</v>
      </c>
      <c r="AE5" s="469">
        <f>AE43</f>
        <v>202.27</v>
      </c>
      <c r="AF5" s="469">
        <f>AF43</f>
        <v>167.11799999999999</v>
      </c>
      <c r="AG5" s="725">
        <f>SUM(AE5:AF5)</f>
        <v>369.38800000000003</v>
      </c>
      <c r="AH5" s="469">
        <f>AH43</f>
        <v>214.22390000000001</v>
      </c>
      <c r="AI5" s="469">
        <f>AI43</f>
        <v>177.00186000000002</v>
      </c>
      <c r="AJ5" s="725">
        <f>SUM(AH5:AI5)</f>
        <v>391.22576000000004</v>
      </c>
      <c r="AK5" s="469">
        <f>AK43</f>
        <v>226.90432300000003</v>
      </c>
      <c r="AL5" s="469">
        <f>AL43</f>
        <v>187.48687020000003</v>
      </c>
      <c r="AM5" s="725">
        <f>SUM(AK5:AL5)</f>
        <v>414.39119320000009</v>
      </c>
      <c r="AN5" s="469">
        <f>AN43</f>
        <v>240.35661311000007</v>
      </c>
      <c r="AO5" s="469">
        <f>AO43</f>
        <v>198.61057511400003</v>
      </c>
      <c r="AP5" s="725">
        <f>SUM(AN5:AO5)</f>
        <v>438.9671882240001</v>
      </c>
      <c r="AQ5" s="469">
        <f>AQ43</f>
        <v>254.62901290270008</v>
      </c>
      <c r="AR5" s="469">
        <f>AR43</f>
        <v>210.41292057198004</v>
      </c>
      <c r="AS5" s="725">
        <f>SUM(AQ5:AR5)</f>
        <v>465.04193347468015</v>
      </c>
      <c r="AT5" s="469">
        <f>AT43</f>
        <v>269.77285252463912</v>
      </c>
      <c r="AU5" s="469">
        <f>AU43</f>
        <v>222.93641047201865</v>
      </c>
      <c r="AV5" s="725">
        <f>SUM(AT5:AU5)</f>
        <v>492.7092629966578</v>
      </c>
      <c r="AW5" s="469">
        <f>AW43</f>
        <v>285.84275135605139</v>
      </c>
      <c r="AX5" s="469">
        <f>AX43</f>
        <v>236.22627393805999</v>
      </c>
      <c r="AY5" s="725">
        <f>SUM(AW5:AX5)</f>
        <v>522.06902529411138</v>
      </c>
      <c r="AZ5" s="469">
        <f>AZ43</f>
        <v>302.89683306339691</v>
      </c>
      <c r="BA5" s="469">
        <f>BA43</f>
        <v>250.33064358337418</v>
      </c>
      <c r="BB5" s="725">
        <f>SUM(AZ5:BA5)</f>
        <v>553.22747664677104</v>
      </c>
      <c r="BC5" s="469">
        <f>BC43</f>
        <v>320.99695494587763</v>
      </c>
      <c r="BD5" s="469">
        <f>BD43</f>
        <v>265.30074562734285</v>
      </c>
      <c r="BE5" s="725">
        <f>SUM(BC5:BD5)</f>
        <v>586.29770057322048</v>
      </c>
    </row>
    <row r="6" spans="1:57" ht="13.5" thickBot="1">
      <c r="B6" s="858" t="s">
        <v>874</v>
      </c>
      <c r="C6" s="16" t="str">
        <f>C3</f>
        <v>US$mn</v>
      </c>
      <c r="D6" s="873"/>
      <c r="E6" s="873"/>
      <c r="F6" s="873"/>
      <c r="G6" s="873"/>
      <c r="H6" s="873"/>
      <c r="I6" s="873"/>
      <c r="J6" s="873"/>
      <c r="K6" s="873"/>
      <c r="L6" s="873"/>
      <c r="M6" s="469">
        <f>M52+M55+M66</f>
        <v>72.245964642582635</v>
      </c>
      <c r="N6" s="469">
        <f>N52+N55+N66</f>
        <v>51.754035357417365</v>
      </c>
      <c r="O6" s="725">
        <f>SUM(M6:N6)</f>
        <v>124</v>
      </c>
      <c r="P6" s="469">
        <f>P52+P55+P66</f>
        <v>56.4</v>
      </c>
      <c r="Q6" s="469">
        <f>Q52+Q55+Q66</f>
        <v>14.64</v>
      </c>
      <c r="R6" s="725">
        <f>SUM(P6:Q6)</f>
        <v>71.039999999999992</v>
      </c>
      <c r="S6" s="469">
        <f>S55+S66</f>
        <v>28</v>
      </c>
      <c r="T6" s="469">
        <f>T55+T66</f>
        <v>40</v>
      </c>
      <c r="U6" s="725">
        <f>SUM(S6:T6)</f>
        <v>68</v>
      </c>
      <c r="V6" s="469">
        <f>V55+V66</f>
        <v>13</v>
      </c>
      <c r="W6" s="469">
        <f>W55+W66</f>
        <v>36</v>
      </c>
      <c r="X6" s="725">
        <f>SUM(V6:W6)</f>
        <v>49</v>
      </c>
      <c r="Y6" s="469">
        <f>Y55+Y66</f>
        <v>16</v>
      </c>
      <c r="Z6" s="469">
        <f>Z55+Z66</f>
        <v>37</v>
      </c>
      <c r="AA6" s="725">
        <f>SUM(Y6:Z6)</f>
        <v>53</v>
      </c>
      <c r="AB6" s="469">
        <f>AB55+AB52</f>
        <v>18</v>
      </c>
      <c r="AC6" s="469">
        <f>AC55+AC66</f>
        <v>22.918348000000002</v>
      </c>
      <c r="AD6" s="725">
        <f>SUM(AB6:AC6)</f>
        <v>40.918348000000002</v>
      </c>
      <c r="AE6" s="469">
        <f>AE55+AE66</f>
        <v>33.768730248788927</v>
      </c>
      <c r="AF6" s="469">
        <f>AF55+AF66</f>
        <v>24.751542800000003</v>
      </c>
      <c r="AG6" s="725">
        <f>SUM(AE6:AF6)</f>
        <v>58.52027304878893</v>
      </c>
      <c r="AH6" s="469">
        <f>AH55+AH66</f>
        <v>35.457166761228379</v>
      </c>
      <c r="AI6" s="469">
        <f>AI55+AI66</f>
        <v>25.989119940000002</v>
      </c>
      <c r="AJ6" s="725">
        <f>SUM(AH6:AI6)</f>
        <v>61.446286701228381</v>
      </c>
      <c r="AK6" s="469">
        <f>AK55+AK66</f>
        <v>37.230025099289804</v>
      </c>
      <c r="AL6" s="469">
        <f>AL55+AL66</f>
        <v>27.288575936999997</v>
      </c>
      <c r="AM6" s="725">
        <f>SUM(AK6:AL6)</f>
        <v>64.518601036289795</v>
      </c>
      <c r="AN6" s="469">
        <f>AN55+AN66</f>
        <v>39.091526354254292</v>
      </c>
      <c r="AO6" s="469">
        <f>AO55+AO66</f>
        <v>28.65300473385</v>
      </c>
      <c r="AP6" s="725">
        <f>SUM(AN6:AO6)</f>
        <v>67.744531088104296</v>
      </c>
      <c r="AQ6" s="469">
        <f>AQ55+AQ66</f>
        <v>41.046102671967006</v>
      </c>
      <c r="AR6" s="469">
        <f>AR55+AR66</f>
        <v>30.085654970542503</v>
      </c>
      <c r="AS6" s="725">
        <f>SUM(AQ6:AR6)</f>
        <v>71.131757642509513</v>
      </c>
      <c r="AT6" s="469">
        <f>AT55+AT66</f>
        <v>43.098407805565358</v>
      </c>
      <c r="AU6" s="469">
        <f>AU55+AU66</f>
        <v>31.589937719069628</v>
      </c>
      <c r="AV6" s="725">
        <f>SUM(AT6:AU6)</f>
        <v>74.688345524634983</v>
      </c>
      <c r="AW6" s="469">
        <f>AW55+AW66</f>
        <v>45.253328195843629</v>
      </c>
      <c r="AX6" s="469">
        <f>AX55+AX66</f>
        <v>33.169434605023113</v>
      </c>
      <c r="AY6" s="725">
        <f>SUM(AW6:AX6)</f>
        <v>78.422762800866735</v>
      </c>
      <c r="AZ6" s="469">
        <f>AZ55+AZ66</f>
        <v>47.515994605635811</v>
      </c>
      <c r="BA6" s="469">
        <f>BA55+BA66</f>
        <v>34.827906335274264</v>
      </c>
      <c r="BB6" s="725">
        <f>SUM(AZ6:BA6)</f>
        <v>82.343900940910075</v>
      </c>
      <c r="BC6" s="469">
        <f>BC55+BC66</f>
        <v>49.891794335917609</v>
      </c>
      <c r="BD6" s="469">
        <f>BD55+BD66</f>
        <v>36.569301652037979</v>
      </c>
      <c r="BE6" s="725">
        <f>SUM(BC6:BD6)</f>
        <v>86.461095987955588</v>
      </c>
    </row>
    <row r="7" spans="1:57" ht="13.15" customHeight="1" thickBot="1">
      <c r="B7" s="859" t="s">
        <v>875</v>
      </c>
      <c r="C7" s="860" t="str">
        <f>C3</f>
        <v>US$mn</v>
      </c>
      <c r="D7" s="876"/>
      <c r="E7" s="876"/>
      <c r="F7" s="877"/>
      <c r="G7" s="876"/>
      <c r="H7" s="876"/>
      <c r="I7" s="877"/>
      <c r="J7" s="876"/>
      <c r="K7" s="876"/>
      <c r="L7" s="877"/>
      <c r="M7" s="943">
        <f>SUM(M3:M6)</f>
        <v>940.87770404024707</v>
      </c>
      <c r="N7" s="943">
        <f>SUM(N3:N6)</f>
        <v>945.95335926645237</v>
      </c>
      <c r="O7" s="950">
        <f>SUM(M7:N7)</f>
        <v>1886.8310633066994</v>
      </c>
      <c r="P7" s="943">
        <f>SUM(P3:P6)</f>
        <v>904.63299830690073</v>
      </c>
      <c r="Q7" s="944">
        <f>SUM(Q3:Q6)</f>
        <v>1005.8570016930987</v>
      </c>
      <c r="R7" s="958">
        <f>SUM(R3:R6)</f>
        <v>1910.4899999999993</v>
      </c>
      <c r="S7" s="943">
        <f t="shared" ref="S7:X7" si="0">SUM(S3:S6)</f>
        <v>887</v>
      </c>
      <c r="T7" s="944">
        <f t="shared" si="0"/>
        <v>1097</v>
      </c>
      <c r="U7" s="958">
        <f t="shared" si="0"/>
        <v>1984</v>
      </c>
      <c r="V7" s="943">
        <f t="shared" si="0"/>
        <v>1007</v>
      </c>
      <c r="W7" s="944">
        <f t="shared" si="0"/>
        <v>1046</v>
      </c>
      <c r="X7" s="958">
        <f t="shared" si="0"/>
        <v>2053</v>
      </c>
      <c r="Y7" s="943">
        <f t="shared" ref="Y7:AV7" si="1">SUM(Y3:Y6)</f>
        <v>1074</v>
      </c>
      <c r="Z7" s="944">
        <f t="shared" si="1"/>
        <v>1151</v>
      </c>
      <c r="AA7" s="958">
        <f t="shared" si="1"/>
        <v>2225</v>
      </c>
      <c r="AB7" s="943">
        <f t="shared" ref="AB7" si="2">SUM(AB3:AB6)</f>
        <v>1223</v>
      </c>
      <c r="AC7" s="944">
        <f t="shared" si="1"/>
        <v>1107.641261109756</v>
      </c>
      <c r="AD7" s="958">
        <f t="shared" si="1"/>
        <v>2330.6412611097562</v>
      </c>
      <c r="AE7" s="943">
        <f t="shared" si="1"/>
        <v>1259.1147302487889</v>
      </c>
      <c r="AF7" s="944">
        <f t="shared" si="1"/>
        <v>1073.8048425713414</v>
      </c>
      <c r="AG7" s="958">
        <f t="shared" si="1"/>
        <v>2332.9195728201307</v>
      </c>
      <c r="AH7" s="943">
        <f t="shared" si="1"/>
        <v>1252.9774667612285</v>
      </c>
      <c r="AI7" s="944">
        <f t="shared" si="1"/>
        <v>1115.349842733445</v>
      </c>
      <c r="AJ7" s="958">
        <f t="shared" si="1"/>
        <v>2368.327309494674</v>
      </c>
      <c r="AK7" s="943">
        <f t="shared" si="1"/>
        <v>1302.7751680992899</v>
      </c>
      <c r="AL7" s="944">
        <f t="shared" si="1"/>
        <v>1158.8169236874955</v>
      </c>
      <c r="AM7" s="958">
        <f t="shared" si="1"/>
        <v>2461.5920917867857</v>
      </c>
      <c r="AN7" s="943">
        <f t="shared" si="1"/>
        <v>1354.9357242642545</v>
      </c>
      <c r="AO7" s="944">
        <f t="shared" si="1"/>
        <v>1204.3047673366934</v>
      </c>
      <c r="AP7" s="958">
        <f t="shared" si="1"/>
        <v>2559.2404916009482</v>
      </c>
      <c r="AQ7" s="943">
        <f t="shared" si="1"/>
        <v>1409.5844788886673</v>
      </c>
      <c r="AR7" s="944">
        <f t="shared" si="1"/>
        <v>1251.9176722121892</v>
      </c>
      <c r="AS7" s="958">
        <f t="shared" si="1"/>
        <v>2661.5021511008567</v>
      </c>
      <c r="AT7" s="943">
        <f t="shared" si="1"/>
        <v>1466.8542128436845</v>
      </c>
      <c r="AU7" s="944">
        <f t="shared" si="1"/>
        <v>1301.7659086892475</v>
      </c>
      <c r="AV7" s="958">
        <f t="shared" si="1"/>
        <v>2768.620121532932</v>
      </c>
      <c r="AW7" s="943">
        <f t="shared" ref="AW7:BE7" si="3">SUM(AW3:AW6)</f>
        <v>1526.8856376302047</v>
      </c>
      <c r="AX7" s="944">
        <f t="shared" si="3"/>
        <v>1353.9660990723064</v>
      </c>
      <c r="AY7" s="958">
        <f t="shared" si="3"/>
        <v>2880.8517367025111</v>
      </c>
      <c r="AZ7" s="943">
        <f t="shared" si="3"/>
        <v>1589.8279250405142</v>
      </c>
      <c r="BA7" s="944">
        <f t="shared" si="3"/>
        <v>1408.6416244540349</v>
      </c>
      <c r="BB7" s="958">
        <f t="shared" si="3"/>
        <v>2998.4695494945486</v>
      </c>
      <c r="BC7" s="943">
        <f t="shared" si="3"/>
        <v>1655.8392759958824</v>
      </c>
      <c r="BD7" s="944">
        <f t="shared" si="3"/>
        <v>1465.9230604105303</v>
      </c>
      <c r="BE7" s="958">
        <f t="shared" si="3"/>
        <v>3121.7623364064125</v>
      </c>
    </row>
    <row r="8" spans="1:57" ht="13.15" customHeight="1" thickBot="1">
      <c r="B8" s="861" t="s">
        <v>476</v>
      </c>
      <c r="C8" s="860" t="str">
        <f>C4</f>
        <v>US$mn</v>
      </c>
      <c r="D8" s="873"/>
      <c r="E8" s="873"/>
      <c r="F8" s="874"/>
      <c r="G8" s="873"/>
      <c r="H8" s="873"/>
      <c r="I8" s="874"/>
      <c r="J8" s="873"/>
      <c r="K8" s="873"/>
      <c r="L8" s="874"/>
      <c r="M8" s="469">
        <f>O8/2</f>
        <v>40.941468346650254</v>
      </c>
      <c r="N8" s="469">
        <f>O8-M8</f>
        <v>40.941468346650254</v>
      </c>
      <c r="O8" s="725">
        <f>1968.714-O7</f>
        <v>81.882936693300508</v>
      </c>
      <c r="P8" s="469">
        <f>R8/2</f>
        <v>40.002933884297818</v>
      </c>
      <c r="Q8" s="469">
        <f>R8-P8</f>
        <v>40.002933884297818</v>
      </c>
      <c r="R8" s="725">
        <f>R9-R7</f>
        <v>80.005867768595635</v>
      </c>
      <c r="S8" s="469">
        <f>S52</f>
        <v>2</v>
      </c>
      <c r="T8" s="469">
        <f>T52</f>
        <v>3</v>
      </c>
      <c r="U8" s="725">
        <f>SUM(S8:T8)</f>
        <v>5</v>
      </c>
      <c r="V8" s="469">
        <f>V52</f>
        <v>4</v>
      </c>
      <c r="W8" s="469">
        <f>W52</f>
        <v>7</v>
      </c>
      <c r="X8" s="725">
        <f>SUM(V8:W8)</f>
        <v>11</v>
      </c>
      <c r="Y8" s="469">
        <f>Y52</f>
        <v>5</v>
      </c>
      <c r="Z8" s="469">
        <f>Z52</f>
        <v>4</v>
      </c>
      <c r="AA8" s="725">
        <f>SUM(Y8:Z8)</f>
        <v>9</v>
      </c>
      <c r="AB8" s="930">
        <f>8+5</f>
        <v>13</v>
      </c>
      <c r="AC8" s="469">
        <f>AC52</f>
        <v>4.2</v>
      </c>
      <c r="AD8" s="725">
        <f>SUM(AB8:AC8)</f>
        <v>17.2</v>
      </c>
      <c r="AE8" s="469">
        <f>AE52</f>
        <v>1.05</v>
      </c>
      <c r="AF8" s="469">
        <f>AF52</f>
        <v>4.41</v>
      </c>
      <c r="AG8" s="725">
        <f>SUM(AE8:AF8)</f>
        <v>5.46</v>
      </c>
      <c r="AH8" s="469">
        <f>AH52</f>
        <v>1.1025</v>
      </c>
      <c r="AI8" s="469">
        <f>AI52</f>
        <v>4.6305000000000005</v>
      </c>
      <c r="AJ8" s="725">
        <f>SUM(AH8:AI8)</f>
        <v>5.7330000000000005</v>
      </c>
      <c r="AK8" s="469">
        <f>AK52</f>
        <v>1.1576250000000001</v>
      </c>
      <c r="AL8" s="469">
        <f>AL52</f>
        <v>4.8620250000000009</v>
      </c>
      <c r="AM8" s="725">
        <f>SUM(AK8:AL8)</f>
        <v>6.0196500000000013</v>
      </c>
      <c r="AN8" s="469">
        <f>AN52</f>
        <v>1.2155062500000002</v>
      </c>
      <c r="AO8" s="469">
        <f>AO52</f>
        <v>5.1051262500000014</v>
      </c>
      <c r="AP8" s="725">
        <f>SUM(AN8:AO8)</f>
        <v>6.3206325000000021</v>
      </c>
      <c r="AQ8" s="469">
        <f>AQ52</f>
        <v>1.2762815625000004</v>
      </c>
      <c r="AR8" s="469">
        <f>AR52</f>
        <v>5.3603825625000017</v>
      </c>
      <c r="AS8" s="725">
        <f>SUM(AQ8:AR8)</f>
        <v>6.636664125000002</v>
      </c>
      <c r="AT8" s="469">
        <f>AT52</f>
        <v>1.3400956406250004</v>
      </c>
      <c r="AU8" s="469">
        <f>AU52</f>
        <v>5.6284016906250018</v>
      </c>
      <c r="AV8" s="725">
        <f>SUM(AT8:AU8)</f>
        <v>6.9684973312500027</v>
      </c>
      <c r="AW8" s="469">
        <f>AW52</f>
        <v>1.4071004226562505</v>
      </c>
      <c r="AX8" s="469">
        <f>AX52</f>
        <v>5.9098217751562521</v>
      </c>
      <c r="AY8" s="725">
        <f>SUM(AW8:AX8)</f>
        <v>7.3169221978125023</v>
      </c>
      <c r="AZ8" s="469">
        <f>AZ52</f>
        <v>1.477455443789063</v>
      </c>
      <c r="BA8" s="469">
        <f>BA52</f>
        <v>6.2053128639140649</v>
      </c>
      <c r="BB8" s="725">
        <f>SUM(AZ8:BA8)</f>
        <v>7.6827683077031281</v>
      </c>
      <c r="BC8" s="469">
        <f>BC52</f>
        <v>1.5513282159785162</v>
      </c>
      <c r="BD8" s="469">
        <f>BD52</f>
        <v>6.515578507109768</v>
      </c>
      <c r="BE8" s="725">
        <f>SUM(BC8:BD8)</f>
        <v>8.0669067230882838</v>
      </c>
    </row>
    <row r="9" spans="1:57" ht="13.15" customHeight="1" thickBot="1">
      <c r="B9" s="859" t="s">
        <v>742</v>
      </c>
      <c r="C9" s="860" t="str">
        <f>C5</f>
        <v>US$mn</v>
      </c>
      <c r="D9" s="876"/>
      <c r="E9" s="876"/>
      <c r="F9" s="877"/>
      <c r="G9" s="876"/>
      <c r="H9" s="876"/>
      <c r="I9" s="877"/>
      <c r="J9" s="876"/>
      <c r="K9" s="876"/>
      <c r="L9" s="877"/>
      <c r="M9" s="943">
        <f>M7+M8</f>
        <v>981.81917238689732</v>
      </c>
      <c r="N9" s="943">
        <f>N7+N8</f>
        <v>986.89482761310262</v>
      </c>
      <c r="O9" s="950">
        <f>SUM(M9:N9)</f>
        <v>1968.7139999999999</v>
      </c>
      <c r="P9" s="943">
        <f>P7+P8</f>
        <v>944.63593219119855</v>
      </c>
      <c r="Q9" s="944">
        <f>R9-P9</f>
        <v>1045.8599355773963</v>
      </c>
      <c r="R9" s="958">
        <v>1990.495867768595</v>
      </c>
      <c r="S9" s="943">
        <f>S7+S8</f>
        <v>889</v>
      </c>
      <c r="T9" s="943">
        <f>T7+T8</f>
        <v>1100</v>
      </c>
      <c r="U9" s="950">
        <f>SUM(S9:T9)</f>
        <v>1989</v>
      </c>
      <c r="V9" s="943">
        <f>V7+V8</f>
        <v>1011</v>
      </c>
      <c r="W9" s="943">
        <f>W7+W8</f>
        <v>1053</v>
      </c>
      <c r="X9" s="950">
        <f>SUM(V9:W9)</f>
        <v>2064</v>
      </c>
      <c r="Y9" s="943">
        <f>Y7+Y8</f>
        <v>1079</v>
      </c>
      <c r="Z9" s="943">
        <f>Z7+Z8</f>
        <v>1155</v>
      </c>
      <c r="AA9" s="950">
        <f>SUM(Y9:Z9)</f>
        <v>2234</v>
      </c>
      <c r="AB9" s="943">
        <f>AB7+AB8</f>
        <v>1236</v>
      </c>
      <c r="AC9" s="943">
        <f>AC7+AC8</f>
        <v>1111.841261109756</v>
      </c>
      <c r="AD9" s="950">
        <f>SUM(AB9:AC9)</f>
        <v>2347.841261109756</v>
      </c>
      <c r="AE9" s="943">
        <f>AE7+AE8</f>
        <v>1260.1647302487888</v>
      </c>
      <c r="AF9" s="943">
        <f>AF7+AF8</f>
        <v>1078.2148425713415</v>
      </c>
      <c r="AG9" s="950">
        <f>SUM(AE9:AF9)</f>
        <v>2338.3795728201303</v>
      </c>
      <c r="AH9" s="943">
        <f>AH7+AH8</f>
        <v>1254.0799667612284</v>
      </c>
      <c r="AI9" s="943">
        <f>AI7+AI8</f>
        <v>1119.980342733445</v>
      </c>
      <c r="AJ9" s="950">
        <f>SUM(AH9:AI9)</f>
        <v>2374.0603094946737</v>
      </c>
      <c r="AK9" s="943">
        <f>AK7+AK8</f>
        <v>1303.9327930992899</v>
      </c>
      <c r="AL9" s="943">
        <f>AL7+AL8</f>
        <v>1163.6789486874954</v>
      </c>
      <c r="AM9" s="950">
        <f>SUM(AK9:AL9)</f>
        <v>2467.6117417867854</v>
      </c>
      <c r="AN9" s="943">
        <f>AN7+AN8</f>
        <v>1356.1512305142546</v>
      </c>
      <c r="AO9" s="943">
        <f>AO7+AO8</f>
        <v>1209.4098935866934</v>
      </c>
      <c r="AP9" s="950">
        <f>SUM(AN9:AO9)</f>
        <v>2565.5611241009483</v>
      </c>
      <c r="AQ9" s="943">
        <f>AQ7+AQ8</f>
        <v>1410.8607604511672</v>
      </c>
      <c r="AR9" s="943">
        <f>AR7+AR8</f>
        <v>1257.2780547746893</v>
      </c>
      <c r="AS9" s="950">
        <f>SUM(AQ9:AR9)</f>
        <v>2668.1388152258564</v>
      </c>
      <c r="AT9" s="943">
        <f>AT7+AT8</f>
        <v>1468.1943084843094</v>
      </c>
      <c r="AU9" s="943">
        <f>AU7+AU8</f>
        <v>1307.3943103798724</v>
      </c>
      <c r="AV9" s="950">
        <f>SUM(AT9:AU9)</f>
        <v>2775.5886188641816</v>
      </c>
      <c r="AW9" s="943">
        <f>AW7+AW8</f>
        <v>1528.2927380528608</v>
      </c>
      <c r="AX9" s="943">
        <f>AX7+AX8</f>
        <v>1359.8759208474626</v>
      </c>
      <c r="AY9" s="950">
        <f>SUM(AW9:AX9)</f>
        <v>2888.1686589003234</v>
      </c>
      <c r="AZ9" s="943">
        <f>AZ7+AZ8</f>
        <v>1591.3053804843032</v>
      </c>
      <c r="BA9" s="943">
        <f>BA7+BA8</f>
        <v>1414.8469373179489</v>
      </c>
      <c r="BB9" s="950">
        <f>SUM(AZ9:BA9)</f>
        <v>3006.1523178022521</v>
      </c>
      <c r="BC9" s="943">
        <f>BC7+BC8</f>
        <v>1657.390604211861</v>
      </c>
      <c r="BD9" s="943">
        <f>BD7+BD8</f>
        <v>1472.43863891764</v>
      </c>
      <c r="BE9" s="950">
        <f>SUM(BC9:BD9)</f>
        <v>3129.8292431295013</v>
      </c>
    </row>
    <row r="10" spans="1:57">
      <c r="B10" s="858" t="s">
        <v>178</v>
      </c>
      <c r="C10" s="861"/>
      <c r="D10" s="880"/>
      <c r="E10" s="880"/>
      <c r="F10" s="880"/>
      <c r="G10" s="880"/>
      <c r="H10" s="880"/>
      <c r="I10" s="880"/>
      <c r="J10" s="880"/>
      <c r="K10" s="880"/>
      <c r="L10" s="880"/>
      <c r="M10" s="881"/>
      <c r="N10" s="881"/>
      <c r="O10" s="691"/>
      <c r="P10" s="881"/>
      <c r="Q10" s="881"/>
      <c r="R10" s="959"/>
      <c r="S10" s="882"/>
      <c r="U10" s="67"/>
      <c r="X10" s="67"/>
      <c r="AA10" s="67"/>
      <c r="AD10" s="67"/>
      <c r="AG10" s="67"/>
      <c r="AJ10" s="67"/>
      <c r="AM10" s="67"/>
      <c r="AP10" s="67"/>
      <c r="AS10" s="67"/>
      <c r="AV10" s="67"/>
      <c r="AY10" s="67"/>
      <c r="BB10" s="67"/>
      <c r="BE10" s="67"/>
    </row>
    <row r="11" spans="1:57">
      <c r="B11" s="858" t="str">
        <f>B3</f>
        <v xml:space="preserve">   Iron </v>
      </c>
      <c r="C11" s="862" t="s">
        <v>507</v>
      </c>
      <c r="D11" s="883"/>
      <c r="E11" s="883"/>
      <c r="F11" s="884"/>
      <c r="G11" s="883"/>
      <c r="H11" s="883"/>
      <c r="I11" s="884"/>
      <c r="J11" s="883"/>
      <c r="K11" s="883"/>
      <c r="L11" s="884"/>
      <c r="M11" s="885"/>
      <c r="N11" s="885"/>
      <c r="O11" s="951"/>
      <c r="P11" s="945">
        <f t="shared" ref="P11:Y13" si="4">P3/M3-1</f>
        <v>0.11496652916931693</v>
      </c>
      <c r="Q11" s="945">
        <f t="shared" si="4"/>
        <v>0.11211811370742519</v>
      </c>
      <c r="R11" s="960">
        <f t="shared" si="4"/>
        <v>0.11348227186839988</v>
      </c>
      <c r="S11" s="945">
        <f t="shared" si="4"/>
        <v>-0.11119409072805553</v>
      </c>
      <c r="T11" s="945">
        <f t="shared" si="4"/>
        <v>0.11626803969433008</v>
      </c>
      <c r="U11" s="960">
        <f t="shared" si="4"/>
        <v>7.1870632860855377E-3</v>
      </c>
      <c r="V11" s="945">
        <f t="shared" si="4"/>
        <v>0.18266978922716626</v>
      </c>
      <c r="W11" s="945">
        <f t="shared" si="4"/>
        <v>-0.11855670103092786</v>
      </c>
      <c r="X11" s="960">
        <f t="shared" si="4"/>
        <v>8.9197224975223754E-3</v>
      </c>
      <c r="Y11" s="945">
        <f t="shared" si="4"/>
        <v>4.3564356435643603E-2</v>
      </c>
      <c r="Z11" s="945">
        <f t="shared" ref="Z11:AB13" si="5">Z3/W3-1</f>
        <v>-1.1695906432748537E-2</v>
      </c>
      <c r="AA11" s="960">
        <f t="shared" si="5"/>
        <v>1.5717092337917515E-2</v>
      </c>
      <c r="AB11" s="945">
        <f t="shared" si="5"/>
        <v>-0.10815939278937381</v>
      </c>
      <c r="AC11" s="945">
        <f t="shared" ref="AC11:AI13" si="6">AC3/Z3-1</f>
        <v>-0.18195266272189348</v>
      </c>
      <c r="AD11" s="960">
        <f t="shared" si="6"/>
        <v>-0.14434235976789167</v>
      </c>
      <c r="AE11" s="945">
        <f t="shared" si="6"/>
        <v>-6.8404255319148843E-2</v>
      </c>
      <c r="AF11" s="945">
        <f t="shared" si="6"/>
        <v>-6.4556962025316356E-2</v>
      </c>
      <c r="AG11" s="960">
        <f t="shared" si="6"/>
        <v>-6.6600734670810957E-2</v>
      </c>
      <c r="AH11" s="945">
        <f t="shared" si="6"/>
        <v>2.2310151878497164E-2</v>
      </c>
      <c r="AI11" s="945">
        <f t="shared" si="6"/>
        <v>2.1602551710806273E-2</v>
      </c>
      <c r="AJ11" s="960">
        <f t="shared" ref="AJ11:AS13" si="7">AJ3/AG3-1</f>
        <v>2.197771925044667E-2</v>
      </c>
      <c r="AK11" s="945">
        <f t="shared" si="7"/>
        <v>2.2439610963353784E-2</v>
      </c>
      <c r="AL11" s="945">
        <f t="shared" si="7"/>
        <v>2.1734254222053995E-2</v>
      </c>
      <c r="AM11" s="960">
        <f t="shared" si="7"/>
        <v>2.2108353952532411E-2</v>
      </c>
      <c r="AN11" s="945">
        <f t="shared" si="7"/>
        <v>2.2567647909661703E-2</v>
      </c>
      <c r="AO11" s="945">
        <f t="shared" si="7"/>
        <v>2.1864741493094142E-2</v>
      </c>
      <c r="AP11" s="960">
        <f t="shared" si="7"/>
        <v>2.2237662467471164E-2</v>
      </c>
      <c r="AQ11" s="945">
        <f t="shared" si="7"/>
        <v>2.2694250704391683E-2</v>
      </c>
      <c r="AR11" s="945">
        <f t="shared" si="7"/>
        <v>2.1993996233750535E-2</v>
      </c>
      <c r="AS11" s="960">
        <f t="shared" si="7"/>
        <v>2.2365630168257988E-2</v>
      </c>
      <c r="AT11" s="945">
        <f t="shared" ref="AT11:AV13" si="8">AT3/AQ3-1</f>
        <v>2.2819408425533316E-2</v>
      </c>
      <c r="AU11" s="945">
        <f t="shared" si="8"/>
        <v>2.2122002140587016E-2</v>
      </c>
      <c r="AV11" s="960">
        <f t="shared" si="8"/>
        <v>2.2492243475793705E-2</v>
      </c>
      <c r="AW11" s="945">
        <f t="shared" ref="AW11:BE13" si="9">AW3/AT3-1</f>
        <v>2.2943111228294955E-2</v>
      </c>
      <c r="AX11" s="945">
        <f t="shared" si="9"/>
        <v>2.2248743894400347E-2</v>
      </c>
      <c r="AY11" s="960">
        <f t="shared" si="9"/>
        <v>2.2617489850529582E-2</v>
      </c>
      <c r="AZ11" s="945">
        <f t="shared" si="9"/>
        <v>2.306535032997048E-2</v>
      </c>
      <c r="BA11" s="945">
        <f t="shared" si="9"/>
        <v>2.2374207156247605E-2</v>
      </c>
      <c r="BB11" s="960">
        <f t="shared" si="9"/>
        <v>2.2741357782694038E-2</v>
      </c>
      <c r="BC11" s="945">
        <f t="shared" si="9"/>
        <v>2.3186117993553523E-2</v>
      </c>
      <c r="BD11" s="945">
        <f t="shared" si="9"/>
        <v>2.2498378562059607E-2</v>
      </c>
      <c r="BE11" s="960">
        <f t="shared" si="9"/>
        <v>2.2863836781169544E-2</v>
      </c>
    </row>
    <row r="12" spans="1:57">
      <c r="B12" s="858" t="str">
        <f>B4</f>
        <v xml:space="preserve">   Dialysis</v>
      </c>
      <c r="C12" s="862" t="str">
        <f>C11</f>
        <v>%</v>
      </c>
      <c r="D12" s="883"/>
      <c r="E12" s="883"/>
      <c r="F12" s="884"/>
      <c r="G12" s="883"/>
      <c r="H12" s="883"/>
      <c r="I12" s="884"/>
      <c r="J12" s="883"/>
      <c r="K12" s="883"/>
      <c r="L12" s="884"/>
      <c r="M12" s="885"/>
      <c r="N12" s="885"/>
      <c r="O12" s="951"/>
      <c r="P12" s="945">
        <f t="shared" si="4"/>
        <v>-0.14984272128741516</v>
      </c>
      <c r="Q12" s="945">
        <f t="shared" si="4"/>
        <v>8.5598216665816462E-2</v>
      </c>
      <c r="R12" s="960">
        <f t="shared" si="4"/>
        <v>-3.3556881968776819E-2</v>
      </c>
      <c r="S12" s="945">
        <f t="shared" si="4"/>
        <v>0.19261093648531413</v>
      </c>
      <c r="T12" s="945">
        <f t="shared" si="4"/>
        <v>1.6030518615628431E-4</v>
      </c>
      <c r="U12" s="960">
        <f t="shared" si="4"/>
        <v>8.5839025420745063E-2</v>
      </c>
      <c r="V12" s="945">
        <f t="shared" si="4"/>
        <v>5.8355437665782439E-2</v>
      </c>
      <c r="W12" s="945">
        <f t="shared" si="4"/>
        <v>-1.7766497461928932E-2</v>
      </c>
      <c r="X12" s="960">
        <f t="shared" si="4"/>
        <v>1.9455252918287869E-2</v>
      </c>
      <c r="Y12" s="945">
        <f t="shared" si="4"/>
        <v>-3.007518796992481E-2</v>
      </c>
      <c r="Z12" s="945">
        <f t="shared" si="5"/>
        <v>0.25064599483204142</v>
      </c>
      <c r="AA12" s="960">
        <f t="shared" si="5"/>
        <v>0.10814249363867678</v>
      </c>
      <c r="AB12" s="945">
        <f t="shared" si="5"/>
        <v>0.40568475452196373</v>
      </c>
      <c r="AC12" s="945">
        <f t="shared" si="6"/>
        <v>5.820849816065321E-2</v>
      </c>
      <c r="AD12" s="960">
        <f t="shared" si="6"/>
        <v>0.21259806327182096</v>
      </c>
      <c r="AE12" s="945">
        <f t="shared" si="6"/>
        <v>7.5783088235294116E-2</v>
      </c>
      <c r="AF12" s="945">
        <f t="shared" si="6"/>
        <v>-3.5559501239207036E-2</v>
      </c>
      <c r="AG12" s="960">
        <f t="shared" si="6"/>
        <v>2.1789411919138857E-2</v>
      </c>
      <c r="AH12" s="945">
        <f t="shared" si="6"/>
        <v>-5.0490067085194434E-2</v>
      </c>
      <c r="AI12" s="945">
        <f t="shared" si="6"/>
        <v>4.4623653018890819E-2</v>
      </c>
      <c r="AJ12" s="960">
        <f t="shared" si="7"/>
        <v>-6.9550428683969878E-3</v>
      </c>
      <c r="AK12" s="945">
        <f t="shared" si="7"/>
        <v>4.553003637538966E-2</v>
      </c>
      <c r="AL12" s="945">
        <f t="shared" si="7"/>
        <v>4.4705407850879286E-2</v>
      </c>
      <c r="AM12" s="960">
        <f t="shared" si="7"/>
        <v>4.5132986631411187E-2</v>
      </c>
      <c r="AN12" s="945">
        <f t="shared" si="7"/>
        <v>4.5644401193996931E-2</v>
      </c>
      <c r="AO12" s="945">
        <f t="shared" si="7"/>
        <v>4.4790280969232432E-2</v>
      </c>
      <c r="AP12" s="960">
        <f t="shared" si="7"/>
        <v>4.5233319762402635E-2</v>
      </c>
      <c r="AQ12" s="945">
        <f t="shared" si="7"/>
        <v>4.5763350976301354E-2</v>
      </c>
      <c r="AR12" s="945">
        <f t="shared" si="7"/>
        <v>4.4878417906893953E-2</v>
      </c>
      <c r="AS12" s="960">
        <f t="shared" si="7"/>
        <v>4.5337620091192354E-2</v>
      </c>
      <c r="AT12" s="945">
        <f t="shared" si="8"/>
        <v>4.5887087692494166E-2</v>
      </c>
      <c r="AU12" s="945">
        <f t="shared" si="8"/>
        <v>4.4969970265518189E-2</v>
      </c>
      <c r="AV12" s="960">
        <f t="shared" si="8"/>
        <v>4.544606711103949E-2</v>
      </c>
      <c r="AW12" s="945">
        <f t="shared" si="9"/>
        <v>4.6015820334967428E-2</v>
      </c>
      <c r="AX12" s="945">
        <f t="shared" si="9"/>
        <v>4.5065095872929728E-2</v>
      </c>
      <c r="AY12" s="960">
        <f t="shared" si="9"/>
        <v>4.5558847107543654E-2</v>
      </c>
      <c r="AZ12" s="945">
        <f t="shared" si="9"/>
        <v>4.6149764949243943E-2</v>
      </c>
      <c r="BA12" s="945">
        <f t="shared" si="9"/>
        <v>4.5163958933844617E-2</v>
      </c>
      <c r="BB12" s="960">
        <f t="shared" si="9"/>
        <v>4.5676153258383811E-2</v>
      </c>
      <c r="BC12" s="945">
        <f t="shared" si="9"/>
        <v>4.6289144638427038E-2</v>
      </c>
      <c r="BD12" s="945">
        <f t="shared" si="9"/>
        <v>4.5266730172253133E-2</v>
      </c>
      <c r="BE12" s="960">
        <f t="shared" si="9"/>
        <v>4.5798185715812068E-2</v>
      </c>
    </row>
    <row r="13" spans="1:57" ht="13.5" thickBot="1">
      <c r="B13" s="858" t="str">
        <f>B5</f>
        <v xml:space="preserve">   Nephrology</v>
      </c>
      <c r="C13" s="862" t="str">
        <f>C11</f>
        <v>%</v>
      </c>
      <c r="D13" s="883"/>
      <c r="E13" s="883"/>
      <c r="F13" s="884"/>
      <c r="G13" s="883"/>
      <c r="H13" s="883"/>
      <c r="I13" s="884"/>
      <c r="J13" s="883"/>
      <c r="K13" s="883"/>
      <c r="L13" s="884"/>
      <c r="M13" s="885"/>
      <c r="N13" s="885"/>
      <c r="O13" s="951"/>
      <c r="P13" s="945">
        <f t="shared" si="4"/>
        <v>-0.2157155806644887</v>
      </c>
      <c r="Q13" s="945">
        <f t="shared" si="4"/>
        <v>0.2142696022219428</v>
      </c>
      <c r="R13" s="960">
        <f t="shared" si="4"/>
        <v>-6.4369404767257166E-3</v>
      </c>
      <c r="S13" s="945">
        <f t="shared" si="4"/>
        <v>6.3829787234042534E-2</v>
      </c>
      <c r="T13" s="945">
        <f t="shared" si="4"/>
        <v>6.7193675889328119E-2</v>
      </c>
      <c r="U13" s="960">
        <f t="shared" si="4"/>
        <v>6.5830721003134807E-2</v>
      </c>
      <c r="V13" s="945">
        <f t="shared" si="4"/>
        <v>0.63636363636363646</v>
      </c>
      <c r="W13" s="945">
        <f t="shared" si="4"/>
        <v>0.35802469135802473</v>
      </c>
      <c r="X13" s="960">
        <f t="shared" si="4"/>
        <v>0.47058823529411775</v>
      </c>
      <c r="Y13" s="945">
        <f t="shared" si="4"/>
        <v>0.60000000000000009</v>
      </c>
      <c r="Z13" s="945">
        <f t="shared" si="5"/>
        <v>0.11818181818181817</v>
      </c>
      <c r="AA13" s="960">
        <f t="shared" si="5"/>
        <v>0.33499999999999996</v>
      </c>
      <c r="AB13" s="945">
        <f t="shared" si="5"/>
        <v>0.32638888888888884</v>
      </c>
      <c r="AC13" s="945">
        <f t="shared" si="6"/>
        <v>0.28292682926829271</v>
      </c>
      <c r="AD13" s="960">
        <f t="shared" si="6"/>
        <v>0.306367041198502</v>
      </c>
      <c r="AE13" s="945">
        <f t="shared" si="6"/>
        <v>5.9005235602094253E-2</v>
      </c>
      <c r="AF13" s="945">
        <f t="shared" si="6"/>
        <v>5.9049429657794583E-2</v>
      </c>
      <c r="AG13" s="960">
        <f t="shared" si="6"/>
        <v>5.9025229357798192E-2</v>
      </c>
      <c r="AH13" s="945">
        <f t="shared" si="6"/>
        <v>5.9098729421070972E-2</v>
      </c>
      <c r="AI13" s="945">
        <f t="shared" si="6"/>
        <v>5.9143000753958397E-2</v>
      </c>
      <c r="AJ13" s="960">
        <f t="shared" si="7"/>
        <v>5.9118758595298138E-2</v>
      </c>
      <c r="AK13" s="945">
        <f t="shared" si="7"/>
        <v>5.9192382362565521E-2</v>
      </c>
      <c r="AL13" s="945">
        <f t="shared" si="7"/>
        <v>5.9236723275111425E-2</v>
      </c>
      <c r="AM13" s="960">
        <f t="shared" si="7"/>
        <v>5.9212443475092469E-2</v>
      </c>
      <c r="AN13" s="945">
        <f t="shared" si="7"/>
        <v>5.928617812186876E-2</v>
      </c>
      <c r="AO13" s="945">
        <f t="shared" si="7"/>
        <v>5.9330580867523519E-2</v>
      </c>
      <c r="AP13" s="960">
        <f t="shared" si="7"/>
        <v>5.9306267669976265E-2</v>
      </c>
      <c r="AQ13" s="945">
        <f t="shared" si="7"/>
        <v>5.938010029359253E-2</v>
      </c>
      <c r="AR13" s="945">
        <f t="shared" si="7"/>
        <v>5.9424557082147444E-2</v>
      </c>
      <c r="AS13" s="960">
        <f t="shared" si="7"/>
        <v>5.9400214754489644E-2</v>
      </c>
      <c r="AT13" s="945">
        <f t="shared" si="8"/>
        <v>5.9474132383044109E-2</v>
      </c>
      <c r="AU13" s="945">
        <f t="shared" si="8"/>
        <v>5.9518635386054841E-2</v>
      </c>
      <c r="AV13" s="960">
        <f t="shared" si="8"/>
        <v>5.9494268216317758E-2</v>
      </c>
      <c r="AW13" s="945">
        <f t="shared" si="9"/>
        <v>5.9568257817730341E-2</v>
      </c>
      <c r="AX13" s="945">
        <f t="shared" si="9"/>
        <v>5.9612799174002085E-2</v>
      </c>
      <c r="AY13" s="960">
        <f t="shared" si="9"/>
        <v>5.9588411467824898E-2</v>
      </c>
      <c r="AZ13" s="945">
        <f t="shared" si="9"/>
        <v>5.9662459958981451E-2</v>
      </c>
      <c r="BA13" s="945">
        <f t="shared" si="9"/>
        <v>5.9707031780099395E-2</v>
      </c>
      <c r="BB13" s="960">
        <f t="shared" si="9"/>
        <v>5.9682627857698067E-2</v>
      </c>
      <c r="BC13" s="945">
        <f t="shared" si="9"/>
        <v>5.9756722113672112E-2</v>
      </c>
      <c r="BD13" s="945">
        <f t="shared" si="9"/>
        <v>5.9801316489576317E-2</v>
      </c>
      <c r="BE13" s="960">
        <f t="shared" si="9"/>
        <v>5.9776900682690481E-2</v>
      </c>
    </row>
    <row r="14" spans="1:57" ht="13.15" customHeight="1" thickBot="1">
      <c r="A14" s="969"/>
      <c r="B14" s="863" t="s">
        <v>527</v>
      </c>
      <c r="C14" s="864" t="s">
        <v>507</v>
      </c>
      <c r="D14" s="886"/>
      <c r="E14" s="886"/>
      <c r="F14" s="887"/>
      <c r="G14" s="886"/>
      <c r="H14" s="886"/>
      <c r="I14" s="887"/>
      <c r="J14" s="886"/>
      <c r="K14" s="886"/>
      <c r="L14" s="887"/>
      <c r="M14" s="886"/>
      <c r="N14" s="886"/>
      <c r="O14" s="952"/>
      <c r="P14" s="946">
        <f t="shared" ref="P14:AV14" si="10">P7/M7-1</f>
        <v>-3.8522228316928975E-2</v>
      </c>
      <c r="Q14" s="946">
        <f t="shared" si="10"/>
        <v>6.3326211424524326E-2</v>
      </c>
      <c r="R14" s="952">
        <f t="shared" si="10"/>
        <v>1.2538979855375665E-2</v>
      </c>
      <c r="S14" s="946">
        <f t="shared" si="10"/>
        <v>-1.9491880508341386E-2</v>
      </c>
      <c r="T14" s="946">
        <f t="shared" si="10"/>
        <v>9.061228201770799E-2</v>
      </c>
      <c r="U14" s="952">
        <f t="shared" si="10"/>
        <v>3.8477039921695821E-2</v>
      </c>
      <c r="V14" s="946">
        <f t="shared" si="10"/>
        <v>0.13528748590755346</v>
      </c>
      <c r="W14" s="946">
        <f t="shared" si="10"/>
        <v>-4.6490428441203324E-2</v>
      </c>
      <c r="X14" s="952">
        <f t="shared" si="10"/>
        <v>3.4778225806451513E-2</v>
      </c>
      <c r="Y14" s="946">
        <f t="shared" si="10"/>
        <v>6.6534260178748861E-2</v>
      </c>
      <c r="Z14" s="946">
        <f>Z7/W7-1</f>
        <v>0.10038240917782026</v>
      </c>
      <c r="AA14" s="952">
        <f>AA7/X7-1</f>
        <v>8.3779834388699514E-2</v>
      </c>
      <c r="AB14" s="946">
        <f t="shared" si="10"/>
        <v>0.13873370577281197</v>
      </c>
      <c r="AC14" s="946">
        <f t="shared" si="10"/>
        <v>-3.7670494257379672E-2</v>
      </c>
      <c r="AD14" s="952">
        <f t="shared" si="10"/>
        <v>4.7479218476294882E-2</v>
      </c>
      <c r="AE14" s="946">
        <f t="shared" si="10"/>
        <v>2.9529624079140504E-2</v>
      </c>
      <c r="AF14" s="946">
        <f t="shared" si="10"/>
        <v>-3.0548174509600345E-2</v>
      </c>
      <c r="AG14" s="952">
        <f t="shared" si="10"/>
        <v>9.7754714481013139E-4</v>
      </c>
      <c r="AH14" s="946">
        <f t="shared" si="10"/>
        <v>-4.8742686747439423E-3</v>
      </c>
      <c r="AI14" s="946">
        <f t="shared" si="10"/>
        <v>3.868952580118723E-2</v>
      </c>
      <c r="AJ14" s="952">
        <f t="shared" si="10"/>
        <v>1.5177435642044435E-2</v>
      </c>
      <c r="AK14" s="946">
        <f t="shared" si="10"/>
        <v>3.9743493126641383E-2</v>
      </c>
      <c r="AL14" s="946">
        <f t="shared" si="10"/>
        <v>3.8971701334106434E-2</v>
      </c>
      <c r="AM14" s="952">
        <f t="shared" si="10"/>
        <v>3.9380022312883511E-2</v>
      </c>
      <c r="AN14" s="946">
        <f t="shared" si="10"/>
        <v>4.0038033762237912E-2</v>
      </c>
      <c r="AO14" s="946">
        <f t="shared" si="10"/>
        <v>3.9253692899522186E-2</v>
      </c>
      <c r="AP14" s="952">
        <f t="shared" si="10"/>
        <v>3.9668798148958517E-2</v>
      </c>
      <c r="AQ14" s="946">
        <f t="shared" si="10"/>
        <v>4.0333097464152923E-2</v>
      </c>
      <c r="AR14" s="946">
        <f t="shared" si="10"/>
        <v>3.9535594449892741E-2</v>
      </c>
      <c r="AS14" s="952">
        <f t="shared" si="10"/>
        <v>3.9957815545477837E-2</v>
      </c>
      <c r="AT14" s="946">
        <f t="shared" si="10"/>
        <v>4.0628805731579343E-2</v>
      </c>
      <c r="AU14" s="946">
        <f t="shared" si="10"/>
        <v>3.9817503645406926E-2</v>
      </c>
      <c r="AV14" s="952">
        <f t="shared" si="10"/>
        <v>4.0247185367770166E-2</v>
      </c>
      <c r="AW14" s="946">
        <f t="shared" ref="AW14:BE14" si="11">AW7/AT7-1</f>
        <v>4.0925283685923741E-2</v>
      </c>
      <c r="AX14" s="946">
        <f t="shared" si="11"/>
        <v>4.0099521760882162E-2</v>
      </c>
      <c r="AY14" s="952">
        <f t="shared" si="11"/>
        <v>4.053702214207644E-2</v>
      </c>
      <c r="AZ14" s="946">
        <f t="shared" si="11"/>
        <v>4.1222659941970941E-2</v>
      </c>
      <c r="BA14" s="946">
        <f t="shared" si="11"/>
        <v>4.0381753589835423E-2</v>
      </c>
      <c r="BB14" s="952">
        <f t="shared" si="11"/>
        <v>4.0827443944291719E-2</v>
      </c>
      <c r="BC14" s="946">
        <f t="shared" si="11"/>
        <v>4.152106647245235E-2</v>
      </c>
      <c r="BD14" s="946">
        <f t="shared" si="11"/>
        <v>4.0664307345522843E-2</v>
      </c>
      <c r="BE14" s="952">
        <f t="shared" si="11"/>
        <v>4.1118572283866506E-2</v>
      </c>
    </row>
    <row r="15" spans="1:57" ht="13.15" customHeight="1" thickBot="1">
      <c r="A15" s="969"/>
      <c r="B15" s="863"/>
      <c r="C15" s="864"/>
      <c r="D15" s="886"/>
      <c r="E15" s="886"/>
      <c r="F15" s="887"/>
      <c r="G15" s="886"/>
      <c r="H15" s="886"/>
      <c r="I15" s="887"/>
      <c r="J15" s="886"/>
      <c r="K15" s="886"/>
      <c r="L15" s="887"/>
      <c r="M15" s="886"/>
      <c r="N15" s="886"/>
      <c r="O15" s="952"/>
      <c r="P15" s="886"/>
      <c r="Q15" s="888"/>
      <c r="R15" s="953"/>
      <c r="S15" s="889"/>
      <c r="T15" s="890"/>
      <c r="U15" s="966"/>
      <c r="V15" s="890"/>
      <c r="W15" s="890"/>
      <c r="X15" s="968"/>
      <c r="Y15" s="890"/>
      <c r="Z15" s="890"/>
      <c r="AA15" s="968"/>
      <c r="AB15" s="890"/>
      <c r="AC15" s="890"/>
      <c r="AD15" s="968"/>
      <c r="AE15" s="890"/>
      <c r="AF15" s="890"/>
      <c r="AG15" s="968"/>
      <c r="AH15" s="890"/>
      <c r="AI15" s="890"/>
      <c r="AJ15" s="968"/>
      <c r="AK15" s="890"/>
      <c r="AL15" s="890"/>
      <c r="AM15" s="968"/>
      <c r="AN15" s="890"/>
      <c r="AO15" s="890"/>
      <c r="AP15" s="968"/>
      <c r="AQ15" s="890"/>
      <c r="AR15" s="890"/>
      <c r="AS15" s="968"/>
      <c r="AT15" s="890"/>
      <c r="AU15" s="890"/>
      <c r="AV15" s="968"/>
      <c r="AW15" s="890"/>
      <c r="AX15" s="890"/>
      <c r="AY15" s="968"/>
      <c r="AZ15" s="890"/>
      <c r="BA15" s="890"/>
      <c r="BB15" s="968"/>
      <c r="BC15" s="890"/>
      <c r="BD15" s="890"/>
      <c r="BE15" s="968"/>
    </row>
    <row r="16" spans="1:57" ht="13.5" thickBot="1">
      <c r="A16" s="11" t="s">
        <v>1055</v>
      </c>
      <c r="B16" s="859" t="s">
        <v>917</v>
      </c>
      <c r="C16" s="860" t="s">
        <v>357</v>
      </c>
      <c r="D16" s="876"/>
      <c r="E16" s="876"/>
      <c r="F16" s="877"/>
      <c r="G16" s="876"/>
      <c r="H16" s="876"/>
      <c r="I16" s="877"/>
      <c r="J16" s="876"/>
      <c r="K16" s="876"/>
      <c r="L16" s="877"/>
      <c r="M16" s="943">
        <f t="shared" ref="M16:W16" si="12">M19+M22+M25</f>
        <v>430.88275353411188</v>
      </c>
      <c r="N16" s="943">
        <f t="shared" si="12"/>
        <v>468.81724646588816</v>
      </c>
      <c r="O16" s="950">
        <f t="shared" si="12"/>
        <v>899.7</v>
      </c>
      <c r="P16" s="943">
        <f t="shared" si="12"/>
        <v>480.41984818684693</v>
      </c>
      <c r="Q16" s="944">
        <f t="shared" si="12"/>
        <v>521.38015181315257</v>
      </c>
      <c r="R16" s="958">
        <f t="shared" si="12"/>
        <v>1001.7999999999995</v>
      </c>
      <c r="S16" s="942">
        <v>427</v>
      </c>
      <c r="T16" s="944">
        <f t="shared" si="12"/>
        <v>582</v>
      </c>
      <c r="U16" s="970">
        <v>1009</v>
      </c>
      <c r="V16" s="942">
        <v>505</v>
      </c>
      <c r="W16" s="944">
        <f t="shared" si="12"/>
        <v>513</v>
      </c>
      <c r="X16" s="970">
        <v>1018</v>
      </c>
      <c r="Y16" s="942">
        <v>527</v>
      </c>
      <c r="Z16" s="944">
        <f>Z19+Z22+Z25</f>
        <v>507</v>
      </c>
      <c r="AA16" s="970">
        <v>1034</v>
      </c>
      <c r="AB16" s="942">
        <v>470</v>
      </c>
      <c r="AC16" s="944">
        <f>AC19+AC22+AC25</f>
        <v>414.75</v>
      </c>
      <c r="AD16" s="958">
        <f>SUM(AB16:AC16)</f>
        <v>884.75</v>
      </c>
      <c r="AE16" s="943">
        <f>AE19+AE22+AE25</f>
        <v>437.85</v>
      </c>
      <c r="AF16" s="944">
        <f>AF19+AF22+AF25</f>
        <v>387.97500000000002</v>
      </c>
      <c r="AG16" s="958">
        <f>SUM(AE16:AF16)</f>
        <v>825.82500000000005</v>
      </c>
      <c r="AH16" s="943">
        <f>AH19+AH22+AH25</f>
        <v>447.61850000000004</v>
      </c>
      <c r="AI16" s="944">
        <f>AI19+AI22+AI25</f>
        <v>396.35625000000005</v>
      </c>
      <c r="AJ16" s="958">
        <f>SUM(AH16:AI16)</f>
        <v>843.97475000000009</v>
      </c>
      <c r="AK16" s="943">
        <f>AK19+AK22+AK25</f>
        <v>457.66288500000002</v>
      </c>
      <c r="AL16" s="944">
        <f>AL19+AL22+AL25</f>
        <v>404.97075750000005</v>
      </c>
      <c r="AM16" s="958">
        <f>SUM(AK16:AL16)</f>
        <v>862.63364250000006</v>
      </c>
      <c r="AN16" s="943">
        <f>AN19+AN22+AN25</f>
        <v>467.99125985000006</v>
      </c>
      <c r="AO16" s="944">
        <f>AO19+AO22+AO25</f>
        <v>413.82533842500004</v>
      </c>
      <c r="AP16" s="958">
        <f>SUM(AN16:AO16)</f>
        <v>881.81659827500016</v>
      </c>
      <c r="AQ16" s="943">
        <f>AQ19+AQ22+AQ25</f>
        <v>478.61197082850003</v>
      </c>
      <c r="AR16" s="944">
        <f>AR19+AR22+AR25</f>
        <v>422.92701135975005</v>
      </c>
      <c r="AS16" s="958">
        <f>SUM(AQ16:AR16)</f>
        <v>901.53898218825009</v>
      </c>
      <c r="AT16" s="943">
        <f>AT19+AT22+AT25</f>
        <v>489.53361286818506</v>
      </c>
      <c r="AU16" s="944">
        <f>AU19+AU22+AU25</f>
        <v>432.28300361036253</v>
      </c>
      <c r="AV16" s="958">
        <f>SUM(AT16:AU16)</f>
        <v>921.81661647854753</v>
      </c>
      <c r="AW16" s="943">
        <f>AW19+AW22+AW25</f>
        <v>500.76503699820893</v>
      </c>
      <c r="AX16" s="944">
        <f>AX19+AX22+AX25</f>
        <v>441.90075744759162</v>
      </c>
      <c r="AY16" s="958">
        <f>SUM(AW16:AX16)</f>
        <v>942.66579444580054</v>
      </c>
      <c r="AZ16" s="943">
        <f>AZ19+AZ22+AZ25</f>
        <v>512.31535800957329</v>
      </c>
      <c r="BA16" s="944">
        <f>BA19+BA22+BA25</f>
        <v>451.78793653722676</v>
      </c>
      <c r="BB16" s="958">
        <f>SUM(AZ16:BA16)</f>
        <v>964.10329454680004</v>
      </c>
      <c r="BC16" s="943">
        <f>BC19+BC22+BC25</f>
        <v>524.19396235029285</v>
      </c>
      <c r="BD16" s="944">
        <f>BD19+BD22+BD25</f>
        <v>461.95243256321299</v>
      </c>
      <c r="BE16" s="958">
        <f>SUM(BC16:BD16)</f>
        <v>986.1463949135059</v>
      </c>
    </row>
    <row r="17" spans="1:57">
      <c r="B17" s="13" t="s">
        <v>891</v>
      </c>
      <c r="C17" s="862" t="s">
        <v>507</v>
      </c>
      <c r="D17" s="891"/>
      <c r="E17" s="891"/>
      <c r="F17" s="891"/>
      <c r="G17" s="892"/>
      <c r="H17" s="892"/>
      <c r="I17" s="892"/>
      <c r="J17" s="892"/>
      <c r="K17" s="892"/>
      <c r="L17" s="892"/>
      <c r="M17" s="892"/>
      <c r="N17" s="892"/>
      <c r="O17" s="953"/>
      <c r="P17" s="892">
        <f t="shared" ref="P17:BE17" si="13">P16/M16-1</f>
        <v>0.11496652916931693</v>
      </c>
      <c r="Q17" s="892">
        <f t="shared" si="13"/>
        <v>0.11211811370742519</v>
      </c>
      <c r="R17" s="953">
        <f t="shared" si="13"/>
        <v>0.11348227186839988</v>
      </c>
      <c r="S17" s="892">
        <f t="shared" si="13"/>
        <v>-0.11119409072805553</v>
      </c>
      <c r="T17" s="892">
        <f t="shared" si="13"/>
        <v>0.11626803969433008</v>
      </c>
      <c r="U17" s="953">
        <f t="shared" si="13"/>
        <v>7.1870632860855377E-3</v>
      </c>
      <c r="V17" s="892">
        <f t="shared" si="13"/>
        <v>0.18266978922716626</v>
      </c>
      <c r="W17" s="892">
        <f t="shared" si="13"/>
        <v>-0.11855670103092786</v>
      </c>
      <c r="X17" s="953">
        <f t="shared" si="13"/>
        <v>8.9197224975223754E-3</v>
      </c>
      <c r="Y17" s="892">
        <f t="shared" si="13"/>
        <v>4.3564356435643603E-2</v>
      </c>
      <c r="Z17" s="892">
        <f>Z16/W16-1</f>
        <v>-1.1695906432748537E-2</v>
      </c>
      <c r="AA17" s="953">
        <f t="shared" si="13"/>
        <v>1.5717092337917515E-2</v>
      </c>
      <c r="AB17" s="892">
        <f t="shared" si="13"/>
        <v>-0.10815939278937381</v>
      </c>
      <c r="AC17" s="892">
        <f t="shared" si="13"/>
        <v>-0.18195266272189348</v>
      </c>
      <c r="AD17" s="953">
        <f t="shared" si="13"/>
        <v>-0.14434235976789167</v>
      </c>
      <c r="AE17" s="892">
        <f t="shared" si="13"/>
        <v>-6.8404255319148843E-2</v>
      </c>
      <c r="AF17" s="892">
        <f t="shared" si="13"/>
        <v>-6.4556962025316356E-2</v>
      </c>
      <c r="AG17" s="953">
        <f t="shared" si="13"/>
        <v>-6.6600734670810957E-2</v>
      </c>
      <c r="AH17" s="892">
        <f t="shared" si="13"/>
        <v>2.2310151878497164E-2</v>
      </c>
      <c r="AI17" s="892">
        <f t="shared" si="13"/>
        <v>2.1602551710806273E-2</v>
      </c>
      <c r="AJ17" s="953">
        <f t="shared" si="13"/>
        <v>2.197771925044667E-2</v>
      </c>
      <c r="AK17" s="892">
        <f t="shared" si="13"/>
        <v>2.2439610963353784E-2</v>
      </c>
      <c r="AL17" s="892">
        <f t="shared" si="13"/>
        <v>2.1734254222053995E-2</v>
      </c>
      <c r="AM17" s="953">
        <f t="shared" si="13"/>
        <v>2.2108353952532411E-2</v>
      </c>
      <c r="AN17" s="892">
        <f t="shared" si="13"/>
        <v>2.2567647909661703E-2</v>
      </c>
      <c r="AO17" s="892">
        <f t="shared" si="13"/>
        <v>2.1864741493094142E-2</v>
      </c>
      <c r="AP17" s="953">
        <f t="shared" si="13"/>
        <v>2.2237662467471164E-2</v>
      </c>
      <c r="AQ17" s="892">
        <f t="shared" si="13"/>
        <v>2.2694250704391683E-2</v>
      </c>
      <c r="AR17" s="892">
        <f t="shared" si="13"/>
        <v>2.1993996233750535E-2</v>
      </c>
      <c r="AS17" s="953">
        <f t="shared" si="13"/>
        <v>2.2365630168257988E-2</v>
      </c>
      <c r="AT17" s="892">
        <f t="shared" si="13"/>
        <v>2.2819408425533316E-2</v>
      </c>
      <c r="AU17" s="892">
        <f t="shared" si="13"/>
        <v>2.2122002140587016E-2</v>
      </c>
      <c r="AV17" s="953">
        <f t="shared" si="13"/>
        <v>2.2492243475793705E-2</v>
      </c>
      <c r="AW17" s="892">
        <f t="shared" si="13"/>
        <v>2.2943111228294955E-2</v>
      </c>
      <c r="AX17" s="892">
        <f t="shared" si="13"/>
        <v>2.2248743894400347E-2</v>
      </c>
      <c r="AY17" s="953">
        <f t="shared" si="13"/>
        <v>2.2617489850529582E-2</v>
      </c>
      <c r="AZ17" s="892">
        <f t="shared" si="13"/>
        <v>2.306535032997048E-2</v>
      </c>
      <c r="BA17" s="892">
        <f t="shared" si="13"/>
        <v>2.2374207156247605E-2</v>
      </c>
      <c r="BB17" s="953">
        <f t="shared" si="13"/>
        <v>2.2741357782694038E-2</v>
      </c>
      <c r="BC17" s="892">
        <f t="shared" si="13"/>
        <v>2.3186117993553523E-2</v>
      </c>
      <c r="BD17" s="892">
        <f t="shared" si="13"/>
        <v>2.2498378562059607E-2</v>
      </c>
      <c r="BE17" s="953">
        <f t="shared" si="13"/>
        <v>2.2863836781169544E-2</v>
      </c>
    </row>
    <row r="18" spans="1:57">
      <c r="B18" s="19"/>
      <c r="D18" s="895"/>
      <c r="E18" s="895"/>
      <c r="F18" s="895"/>
      <c r="M18" s="881"/>
      <c r="N18" s="881"/>
      <c r="O18" s="691"/>
      <c r="P18" s="881"/>
      <c r="Q18" s="881"/>
      <c r="R18" s="691"/>
      <c r="U18" s="67"/>
      <c r="X18" s="67"/>
      <c r="AA18" s="67"/>
      <c r="AD18" s="67"/>
      <c r="AG18" s="67"/>
      <c r="AJ18" s="67"/>
      <c r="AM18" s="67"/>
      <c r="AP18" s="67"/>
      <c r="AS18" s="67"/>
      <c r="AV18" s="67"/>
      <c r="AY18" s="67"/>
      <c r="BB18" s="67"/>
      <c r="BE18" s="67"/>
    </row>
    <row r="19" spans="1:57">
      <c r="B19" s="861" t="s">
        <v>877</v>
      </c>
      <c r="C19" s="16" t="s">
        <v>357</v>
      </c>
      <c r="D19" s="873"/>
      <c r="E19" s="873"/>
      <c r="F19" s="874"/>
      <c r="G19" s="873"/>
      <c r="H19" s="873"/>
      <c r="I19" s="874"/>
      <c r="J19" s="873"/>
      <c r="K19" s="873"/>
      <c r="L19" s="874"/>
      <c r="M19" s="873">
        <v>321.06073755377997</v>
      </c>
      <c r="N19" s="873">
        <f>O19-M19</f>
        <v>354.460786724032</v>
      </c>
      <c r="O19" s="954">
        <v>675.52152427781198</v>
      </c>
      <c r="P19" s="873">
        <v>369.21984818684695</v>
      </c>
      <c r="Q19" s="873">
        <f>R19-P19</f>
        <v>396.27017077038357</v>
      </c>
      <c r="R19" s="954">
        <v>765.49001895723052</v>
      </c>
      <c r="S19" s="933">
        <v>315</v>
      </c>
      <c r="T19" s="477">
        <f>+U19-S19</f>
        <v>444</v>
      </c>
      <c r="U19" s="929">
        <v>759</v>
      </c>
      <c r="V19" s="933">
        <v>376</v>
      </c>
      <c r="W19" s="477">
        <f>+X19-V19</f>
        <v>383</v>
      </c>
      <c r="X19" s="929">
        <v>759</v>
      </c>
      <c r="Y19" s="933">
        <v>397</v>
      </c>
      <c r="Z19" s="477">
        <f>+AA19-Y19</f>
        <v>369</v>
      </c>
      <c r="AA19" s="929">
        <v>766</v>
      </c>
      <c r="AB19" s="933">
        <v>330</v>
      </c>
      <c r="AC19" s="477">
        <f>Z19*(1+AC20)</f>
        <v>276.75</v>
      </c>
      <c r="AD19" s="729">
        <f>SUM(AB19:AC19)</f>
        <v>606.75</v>
      </c>
      <c r="AE19" s="477">
        <f>AB19*(1+AE20)</f>
        <v>297</v>
      </c>
      <c r="AF19" s="477">
        <f>AC19*(1+AF20)</f>
        <v>249.07500000000002</v>
      </c>
      <c r="AG19" s="729">
        <f>SUM(AE19:AF19)</f>
        <v>546.07500000000005</v>
      </c>
      <c r="AH19" s="477">
        <f>AE19*(1+AH20)</f>
        <v>305.91000000000003</v>
      </c>
      <c r="AI19" s="477">
        <f>AF19*(1+AI20)</f>
        <v>256.54725000000002</v>
      </c>
      <c r="AJ19" s="729">
        <f>SUM(AH19:AI19)</f>
        <v>562.45725000000004</v>
      </c>
      <c r="AK19" s="477">
        <f>AH19*(1+AK20)</f>
        <v>315.08730000000003</v>
      </c>
      <c r="AL19" s="477">
        <f>AI19*(1+AL20)</f>
        <v>264.24366750000002</v>
      </c>
      <c r="AM19" s="729">
        <f>SUM(AK19:AL19)</f>
        <v>579.33096750000004</v>
      </c>
      <c r="AN19" s="477">
        <f>AK19*(1+AN20)</f>
        <v>324.53991900000005</v>
      </c>
      <c r="AO19" s="477">
        <f>AL19*(1+AO20)</f>
        <v>272.17097752500001</v>
      </c>
      <c r="AP19" s="729">
        <f>SUM(AN19:AO19)</f>
        <v>596.71089652500007</v>
      </c>
      <c r="AQ19" s="477">
        <f>AN19*(1+AQ20)</f>
        <v>334.27611657000006</v>
      </c>
      <c r="AR19" s="477">
        <f>AO19*(1+AR20)</f>
        <v>280.33610685075001</v>
      </c>
      <c r="AS19" s="729">
        <f>SUM(AQ19:AR19)</f>
        <v>614.61222342075007</v>
      </c>
      <c r="AT19" s="477">
        <f>AQ19*(1+AT20)</f>
        <v>344.30440006710006</v>
      </c>
      <c r="AU19" s="477">
        <f>AR19*(1+AU20)</f>
        <v>288.7461900562725</v>
      </c>
      <c r="AV19" s="729">
        <f>SUM(AT19:AU19)</f>
        <v>633.05059012337256</v>
      </c>
      <c r="AW19" s="477">
        <f>AT19*(1+AW20)</f>
        <v>354.63353206911307</v>
      </c>
      <c r="AX19" s="477">
        <f>AU19*(1+AX20)</f>
        <v>297.4085757579607</v>
      </c>
      <c r="AY19" s="729">
        <f>SUM(AW19:AX19)</f>
        <v>652.04210782707378</v>
      </c>
      <c r="AZ19" s="477">
        <f>AW19*(1+AZ20)</f>
        <v>365.27253803118646</v>
      </c>
      <c r="BA19" s="477">
        <f>AX19*(1+BA20)</f>
        <v>306.33083303069952</v>
      </c>
      <c r="BB19" s="729">
        <f>SUM(AZ19:BA19)</f>
        <v>671.60337106188604</v>
      </c>
      <c r="BC19" s="477">
        <f>AZ19*(1+BC20)</f>
        <v>376.23071417212208</v>
      </c>
      <c r="BD19" s="477">
        <f>BA19*(1+BD20)</f>
        <v>315.52075802162051</v>
      </c>
      <c r="BE19" s="729">
        <f>SUM(BC19:BD19)</f>
        <v>691.75147219374253</v>
      </c>
    </row>
    <row r="20" spans="1:57">
      <c r="B20" s="13" t="s">
        <v>891</v>
      </c>
      <c r="C20" s="16" t="s">
        <v>507</v>
      </c>
      <c r="D20" s="891"/>
      <c r="E20" s="891"/>
      <c r="F20" s="891"/>
      <c r="G20" s="892"/>
      <c r="H20" s="892"/>
      <c r="I20" s="892"/>
      <c r="J20" s="892"/>
      <c r="K20" s="892"/>
      <c r="L20" s="892"/>
      <c r="M20" s="893"/>
      <c r="N20" s="893"/>
      <c r="O20" s="953"/>
      <c r="P20" s="893">
        <f>P19/M19-1</f>
        <v>0.14999999999999991</v>
      </c>
      <c r="Q20" s="893">
        <f>Q19/N19-1</f>
        <v>0.11795207146256925</v>
      </c>
      <c r="R20" s="953">
        <f>R19/O19-1</f>
        <v>0.13318375720981246</v>
      </c>
      <c r="S20" s="892">
        <v>9.4E-2</v>
      </c>
      <c r="T20" s="892">
        <v>0.12044769642091768</v>
      </c>
      <c r="U20" s="953">
        <f>U19/R19-1</f>
        <v>-8.4782541855625837E-3</v>
      </c>
      <c r="V20" s="892">
        <f>V19/S19-1</f>
        <v>0.19365079365079363</v>
      </c>
      <c r="W20" s="892">
        <v>-7.0000000000000007E-2</v>
      </c>
      <c r="X20" s="953">
        <f>X19/U19-1</f>
        <v>0</v>
      </c>
      <c r="Y20" s="892">
        <f>Y19/V19-1</f>
        <v>5.5851063829787329E-2</v>
      </c>
      <c r="Z20" s="892">
        <f>Z19/W19-1</f>
        <v>-3.6553524804177506E-2</v>
      </c>
      <c r="AA20" s="953">
        <f>AA19/X19-1</f>
        <v>9.2226613965744608E-3</v>
      </c>
      <c r="AB20" s="892">
        <f>AB19/Y19-1</f>
        <v>-0.16876574307304781</v>
      </c>
      <c r="AC20" s="972">
        <v>-0.25</v>
      </c>
      <c r="AD20" s="953">
        <f>AD19/AA19-1</f>
        <v>-0.20789817232375984</v>
      </c>
      <c r="AE20" s="972">
        <v>-0.1</v>
      </c>
      <c r="AF20" s="892">
        <f>+AE20</f>
        <v>-0.1</v>
      </c>
      <c r="AG20" s="953">
        <f>AG19/AD19-1</f>
        <v>-9.9999999999999978E-2</v>
      </c>
      <c r="AH20" s="972">
        <v>0.03</v>
      </c>
      <c r="AI20" s="892">
        <f>+AH20</f>
        <v>0.03</v>
      </c>
      <c r="AJ20" s="953">
        <f>AJ19/AG19-1</f>
        <v>3.0000000000000027E-2</v>
      </c>
      <c r="AK20" s="892">
        <f>+AI20</f>
        <v>0.03</v>
      </c>
      <c r="AL20" s="892">
        <f>+AK20</f>
        <v>0.03</v>
      </c>
      <c r="AM20" s="953">
        <f>AM19/AJ19-1</f>
        <v>3.0000000000000027E-2</v>
      </c>
      <c r="AN20" s="892">
        <f>+AL20</f>
        <v>0.03</v>
      </c>
      <c r="AO20" s="892">
        <f>+AN20</f>
        <v>0.03</v>
      </c>
      <c r="AP20" s="953">
        <f>AP19/AM19-1</f>
        <v>3.0000000000000027E-2</v>
      </c>
      <c r="AQ20" s="892">
        <f>+AO20</f>
        <v>0.03</v>
      </c>
      <c r="AR20" s="892">
        <f>+AQ20</f>
        <v>0.03</v>
      </c>
      <c r="AS20" s="953">
        <f>AS19/AP19-1</f>
        <v>3.0000000000000027E-2</v>
      </c>
      <c r="AT20" s="892">
        <f>+AR20</f>
        <v>0.03</v>
      </c>
      <c r="AU20" s="892">
        <f>+AT20</f>
        <v>0.03</v>
      </c>
      <c r="AV20" s="953">
        <f>AV19/AS19-1</f>
        <v>3.0000000000000027E-2</v>
      </c>
      <c r="AW20" s="892">
        <f>+AU20</f>
        <v>0.03</v>
      </c>
      <c r="AX20" s="892">
        <f>+AW20</f>
        <v>0.03</v>
      </c>
      <c r="AY20" s="953">
        <f>AY19/AV19-1</f>
        <v>3.0000000000000027E-2</v>
      </c>
      <c r="AZ20" s="892">
        <f>+AX20</f>
        <v>0.03</v>
      </c>
      <c r="BA20" s="892">
        <f>+AZ20</f>
        <v>0.03</v>
      </c>
      <c r="BB20" s="953">
        <f>BB19/AY19-1</f>
        <v>3.0000000000000027E-2</v>
      </c>
      <c r="BC20" s="892">
        <f>+BA20</f>
        <v>0.03</v>
      </c>
      <c r="BD20" s="892">
        <f>+BC20</f>
        <v>0.03</v>
      </c>
      <c r="BE20" s="953">
        <f>BE19/BB19-1</f>
        <v>2.9999999999999805E-2</v>
      </c>
    </row>
    <row r="21" spans="1:57">
      <c r="B21" s="19"/>
      <c r="C21" s="16"/>
      <c r="M21" s="881"/>
      <c r="N21" s="881"/>
      <c r="O21" s="691"/>
      <c r="P21" s="881"/>
      <c r="Q21" s="881"/>
      <c r="R21" s="691"/>
      <c r="S21" s="881"/>
      <c r="T21" s="881"/>
      <c r="U21" s="691"/>
      <c r="V21" s="881"/>
      <c r="W21" s="881"/>
      <c r="X21" s="691"/>
      <c r="Y21" s="881"/>
      <c r="Z21" s="881"/>
      <c r="AA21" s="691"/>
      <c r="AB21" s="881"/>
      <c r="AC21" s="881"/>
      <c r="AD21" s="691"/>
      <c r="AE21" s="881"/>
      <c r="AF21" s="881"/>
      <c r="AG21" s="691"/>
      <c r="AH21" s="881"/>
      <c r="AI21" s="881"/>
      <c r="AJ21" s="691"/>
      <c r="AK21" s="881"/>
      <c r="AL21" s="881"/>
      <c r="AM21" s="691"/>
      <c r="AN21" s="881"/>
      <c r="AO21" s="881"/>
      <c r="AP21" s="691"/>
      <c r="AS21" s="691"/>
      <c r="AV21" s="691"/>
      <c r="AY21" s="691"/>
      <c r="BB21" s="691"/>
      <c r="BE21" s="691"/>
    </row>
    <row r="22" spans="1:57">
      <c r="B22" s="1" t="s">
        <v>878</v>
      </c>
      <c r="C22" s="16" t="s">
        <v>357</v>
      </c>
      <c r="D22" s="873"/>
      <c r="E22" s="873"/>
      <c r="F22" s="873"/>
      <c r="G22" s="873"/>
      <c r="H22" s="873"/>
      <c r="I22" s="874"/>
      <c r="J22" s="873"/>
      <c r="K22" s="873"/>
      <c r="L22" s="874"/>
      <c r="M22" s="873">
        <v>75.09481253841426</v>
      </c>
      <c r="N22" s="873">
        <f>O22-M22</f>
        <v>74.431235402581422</v>
      </c>
      <c r="O22" s="954">
        <v>149.52604794099568</v>
      </c>
      <c r="P22" s="873">
        <v>77</v>
      </c>
      <c r="Q22" s="873">
        <f>R22-P22</f>
        <v>85.584008946887025</v>
      </c>
      <c r="R22" s="954">
        <v>162.58400894688702</v>
      </c>
      <c r="S22" s="933">
        <v>74</v>
      </c>
      <c r="T22" s="477">
        <f>+U22-S22</f>
        <v>98</v>
      </c>
      <c r="U22" s="929">
        <v>172</v>
      </c>
      <c r="V22" s="933">
        <v>82</v>
      </c>
      <c r="W22" s="477">
        <f>+X22-V22</f>
        <v>91</v>
      </c>
      <c r="X22" s="929">
        <v>173</v>
      </c>
      <c r="Y22" s="933">
        <v>82</v>
      </c>
      <c r="Z22" s="477">
        <f>+AA22-Y22</f>
        <v>90</v>
      </c>
      <c r="AA22" s="929">
        <v>172</v>
      </c>
      <c r="AB22" s="933">
        <v>85</v>
      </c>
      <c r="AC22" s="477">
        <f>Z22*(1+AC23)</f>
        <v>90</v>
      </c>
      <c r="AD22" s="729">
        <f>SUM(AB22:AC22)</f>
        <v>175</v>
      </c>
      <c r="AE22" s="477">
        <f>AB22*(1+AE23)</f>
        <v>85.85</v>
      </c>
      <c r="AF22" s="477">
        <f>AC22*(1+AF23)</f>
        <v>90.9</v>
      </c>
      <c r="AG22" s="729">
        <f>SUM(AE22:AF22)</f>
        <v>176.75</v>
      </c>
      <c r="AH22" s="477">
        <f>AE22*(1+AH23)</f>
        <v>86.708500000000001</v>
      </c>
      <c r="AI22" s="477">
        <f>AF22*(1+AI23)</f>
        <v>91.809000000000012</v>
      </c>
      <c r="AJ22" s="729">
        <f>SUM(AH22:AI22)</f>
        <v>178.51750000000001</v>
      </c>
      <c r="AK22" s="477">
        <f>AH22*(1+AK23)</f>
        <v>87.575585000000004</v>
      </c>
      <c r="AL22" s="477">
        <f>AI22*(1+AL23)</f>
        <v>92.727090000000018</v>
      </c>
      <c r="AM22" s="729">
        <f>SUM(AK22:AL22)</f>
        <v>180.30267500000002</v>
      </c>
      <c r="AN22" s="477">
        <f>AK22*(1+AN23)</f>
        <v>88.451340850000008</v>
      </c>
      <c r="AO22" s="477">
        <f>AL22*(1+AO23)</f>
        <v>93.654360900000015</v>
      </c>
      <c r="AP22" s="729">
        <f>SUM(AN22:AO22)</f>
        <v>182.10570175000004</v>
      </c>
      <c r="AQ22" s="477">
        <f>AN22*(1+AQ23)</f>
        <v>89.335854258500007</v>
      </c>
      <c r="AR22" s="477">
        <f>AO22*(1+AR23)</f>
        <v>94.590904509000012</v>
      </c>
      <c r="AS22" s="729">
        <f>SUM(AQ22:AR22)</f>
        <v>183.92675876750002</v>
      </c>
      <c r="AT22" s="477">
        <f>AQ22*(1+AT23)</f>
        <v>90.229212801085012</v>
      </c>
      <c r="AU22" s="477">
        <f>AR22*(1+AU23)</f>
        <v>95.536813554090017</v>
      </c>
      <c r="AV22" s="729">
        <f>SUM(AT22:AU22)</f>
        <v>185.76602635517503</v>
      </c>
      <c r="AW22" s="477">
        <f>AT22*(1+AW23)</f>
        <v>91.131504929095868</v>
      </c>
      <c r="AX22" s="477">
        <f>AU22*(1+AX23)</f>
        <v>96.492181689630911</v>
      </c>
      <c r="AY22" s="729">
        <f>SUM(AW22:AX22)</f>
        <v>187.62368661872677</v>
      </c>
      <c r="AZ22" s="477">
        <f>AW22*(1+AZ23)</f>
        <v>92.042819978386831</v>
      </c>
      <c r="BA22" s="477">
        <f>AX22*(1+BA23)</f>
        <v>97.457103506527218</v>
      </c>
      <c r="BB22" s="729">
        <f>SUM(AZ22:BA22)</f>
        <v>189.49992348491406</v>
      </c>
      <c r="BC22" s="477">
        <f>AZ22*(1+BC23)</f>
        <v>92.963248178170701</v>
      </c>
      <c r="BD22" s="477">
        <f>BA22*(1+BD23)</f>
        <v>98.431674541592486</v>
      </c>
      <c r="BE22" s="729">
        <f>SUM(BC22:BD22)</f>
        <v>191.3949227197632</v>
      </c>
    </row>
    <row r="23" spans="1:57">
      <c r="B23" s="13" t="s">
        <v>892</v>
      </c>
      <c r="C23" s="16" t="s">
        <v>507</v>
      </c>
      <c r="D23" s="891"/>
      <c r="E23" s="891"/>
      <c r="F23" s="891"/>
      <c r="G23" s="892"/>
      <c r="H23" s="892"/>
      <c r="I23" s="892"/>
      <c r="J23" s="892"/>
      <c r="K23" s="892"/>
      <c r="L23" s="892"/>
      <c r="M23" s="893"/>
      <c r="N23" s="893"/>
      <c r="O23" s="953"/>
      <c r="P23" s="893">
        <f>P22/M22-1</f>
        <v>2.5370427026649267E-2</v>
      </c>
      <c r="Q23" s="893">
        <f>Q22/N22-1</f>
        <v>0.14983996280570677</v>
      </c>
      <c r="R23" s="953">
        <f>R22/O22-1</f>
        <v>8.7329005117851688E-2</v>
      </c>
      <c r="S23" s="892">
        <v>0.23651818181818168</v>
      </c>
      <c r="T23" s="892">
        <v>0.1450737258734662</v>
      </c>
      <c r="U23" s="953">
        <f>U22/R22-1</f>
        <v>5.7914619734767303E-2</v>
      </c>
      <c r="V23" s="892">
        <f>V22/S22-1</f>
        <v>0.10810810810810811</v>
      </c>
      <c r="W23" s="892">
        <v>-0.17</v>
      </c>
      <c r="X23" s="953">
        <f>X22/U22-1</f>
        <v>5.8139534883721034E-3</v>
      </c>
      <c r="Y23" s="892">
        <f>Y22/V22-1</f>
        <v>0</v>
      </c>
      <c r="Z23" s="892">
        <f>Z22/W22-1</f>
        <v>-1.098901098901095E-2</v>
      </c>
      <c r="AA23" s="953">
        <f>AA22/X22-1</f>
        <v>-5.7803468208093012E-3</v>
      </c>
      <c r="AB23" s="892">
        <f>AB22/Y22-1</f>
        <v>3.6585365853658569E-2</v>
      </c>
      <c r="AC23" s="972">
        <v>0</v>
      </c>
      <c r="AD23" s="953">
        <f>AD22/AA22-1</f>
        <v>1.744186046511631E-2</v>
      </c>
      <c r="AE23" s="972">
        <v>0.01</v>
      </c>
      <c r="AF23" s="892">
        <f>+AE23</f>
        <v>0.01</v>
      </c>
      <c r="AG23" s="953">
        <f>AG22/AD22-1</f>
        <v>1.0000000000000009E-2</v>
      </c>
      <c r="AH23" s="892">
        <f>+AF23</f>
        <v>0.01</v>
      </c>
      <c r="AI23" s="892">
        <f>+AH23</f>
        <v>0.01</v>
      </c>
      <c r="AJ23" s="953">
        <f>AJ22/AG22-1</f>
        <v>1.0000000000000009E-2</v>
      </c>
      <c r="AK23" s="892">
        <f>+AI23</f>
        <v>0.01</v>
      </c>
      <c r="AL23" s="892">
        <f>+AK23</f>
        <v>0.01</v>
      </c>
      <c r="AM23" s="953">
        <f>AM22/AJ22-1</f>
        <v>1.0000000000000009E-2</v>
      </c>
      <c r="AN23" s="892">
        <f>+AL23</f>
        <v>0.01</v>
      </c>
      <c r="AO23" s="892">
        <f>+AN23</f>
        <v>0.01</v>
      </c>
      <c r="AP23" s="953">
        <f>AP22/AM22-1</f>
        <v>1.0000000000000009E-2</v>
      </c>
      <c r="AQ23" s="892">
        <f>+AO23</f>
        <v>0.01</v>
      </c>
      <c r="AR23" s="892">
        <f>+AQ23</f>
        <v>0.01</v>
      </c>
      <c r="AS23" s="953">
        <f>AS22/AP22-1</f>
        <v>9.9999999999997868E-3</v>
      </c>
      <c r="AT23" s="892">
        <f>+AR23</f>
        <v>0.01</v>
      </c>
      <c r="AU23" s="892">
        <f>+AT23</f>
        <v>0.01</v>
      </c>
      <c r="AV23" s="953">
        <f>AV22/AS22-1</f>
        <v>1.0000000000000009E-2</v>
      </c>
      <c r="AW23" s="892">
        <f>+AU23</f>
        <v>0.01</v>
      </c>
      <c r="AX23" s="892">
        <f>+AW23</f>
        <v>0.01</v>
      </c>
      <c r="AY23" s="953">
        <f>AY22/AV22-1</f>
        <v>1.0000000000000009E-2</v>
      </c>
      <c r="AZ23" s="892">
        <f>+AX23</f>
        <v>0.01</v>
      </c>
      <c r="BA23" s="892">
        <f>+AZ23</f>
        <v>0.01</v>
      </c>
      <c r="BB23" s="953">
        <f>BB22/AY22-1</f>
        <v>1.0000000000000231E-2</v>
      </c>
      <c r="BC23" s="892">
        <f>+BA23</f>
        <v>0.01</v>
      </c>
      <c r="BD23" s="892">
        <f>+BC23</f>
        <v>0.01</v>
      </c>
      <c r="BE23" s="953">
        <f>BE22/BB22-1</f>
        <v>1.0000000000000009E-2</v>
      </c>
    </row>
    <row r="24" spans="1:57">
      <c r="C24" s="16"/>
      <c r="M24" s="881"/>
      <c r="N24" s="881"/>
      <c r="O24" s="691"/>
      <c r="P24" s="881"/>
      <c r="Q24" s="881"/>
      <c r="R24" s="691"/>
      <c r="S24" s="881"/>
      <c r="T24" s="881"/>
      <c r="U24" s="691"/>
      <c r="V24" s="881"/>
      <c r="W24" s="881"/>
      <c r="X24" s="691"/>
      <c r="Y24" s="881"/>
      <c r="Z24" s="881"/>
      <c r="AA24" s="691"/>
      <c r="AB24" s="881"/>
      <c r="AC24" s="881"/>
      <c r="AD24" s="691"/>
      <c r="AE24" s="881"/>
      <c r="AF24" s="881"/>
      <c r="AG24" s="691"/>
      <c r="AH24" s="881"/>
      <c r="AI24" s="881"/>
      <c r="AJ24" s="691"/>
      <c r="AK24" s="881"/>
      <c r="AL24" s="881"/>
      <c r="AM24" s="691"/>
      <c r="AN24" s="881"/>
      <c r="AO24" s="881"/>
      <c r="AP24" s="691"/>
      <c r="AQ24" s="881"/>
      <c r="AR24" s="881"/>
      <c r="AS24" s="691"/>
      <c r="AT24" s="881"/>
      <c r="AU24" s="881"/>
      <c r="AV24" s="691"/>
      <c r="AW24" s="881"/>
      <c r="AX24" s="881"/>
      <c r="AY24" s="691"/>
      <c r="AZ24" s="881"/>
      <c r="BA24" s="881"/>
      <c r="BB24" s="691"/>
      <c r="BC24" s="881"/>
      <c r="BD24" s="881"/>
      <c r="BE24" s="691"/>
    </row>
    <row r="25" spans="1:57">
      <c r="B25" s="1" t="s">
        <v>957</v>
      </c>
      <c r="C25" s="16" t="s">
        <v>357</v>
      </c>
      <c r="D25" s="873"/>
      <c r="E25" s="873"/>
      <c r="F25" s="874"/>
      <c r="G25" s="881"/>
      <c r="H25" s="873"/>
      <c r="I25" s="874"/>
      <c r="J25" s="873"/>
      <c r="K25" s="873"/>
      <c r="L25" s="874"/>
      <c r="M25" s="873">
        <v>34.727203441917638</v>
      </c>
      <c r="N25" s="873">
        <f>O25-M25</f>
        <v>39.925224339274749</v>
      </c>
      <c r="O25" s="954">
        <v>74.652427781192387</v>
      </c>
      <c r="P25" s="873">
        <v>34.200000000000003</v>
      </c>
      <c r="Q25" s="873">
        <f>R25-P25</f>
        <v>39.525972095882011</v>
      </c>
      <c r="R25" s="954">
        <v>73.725972095882014</v>
      </c>
      <c r="S25" s="477">
        <f>+S16-S19-S22</f>
        <v>38</v>
      </c>
      <c r="T25" s="477">
        <f>+U25-S25</f>
        <v>40</v>
      </c>
      <c r="U25" s="725">
        <f>+U16-U19-U22</f>
        <v>78</v>
      </c>
      <c r="V25" s="477">
        <f>+V16-V19-V22</f>
        <v>47</v>
      </c>
      <c r="W25" s="477">
        <f>+X25-V25</f>
        <v>39</v>
      </c>
      <c r="X25" s="725">
        <f>+X16-X19-X22</f>
        <v>86</v>
      </c>
      <c r="Y25" s="477">
        <f>+Y16-Y19-Y22</f>
        <v>48</v>
      </c>
      <c r="Z25" s="477">
        <f>+AA25-Y25</f>
        <v>48</v>
      </c>
      <c r="AA25" s="725">
        <f>+AA16-AA19-AA22</f>
        <v>96</v>
      </c>
      <c r="AB25" s="477">
        <f>+AB16-AB19-AB22</f>
        <v>55</v>
      </c>
      <c r="AC25" s="477">
        <f>Z25*(1+AC26)</f>
        <v>48</v>
      </c>
      <c r="AD25" s="729">
        <f>SUM(AB25:AC25)</f>
        <v>103</v>
      </c>
      <c r="AE25" s="477">
        <f>AB25*(1+AE26)</f>
        <v>55</v>
      </c>
      <c r="AF25" s="477">
        <f>AC25*(1+AF26)</f>
        <v>48</v>
      </c>
      <c r="AG25" s="729">
        <f>SUM(AE25:AF25)</f>
        <v>103</v>
      </c>
      <c r="AH25" s="477">
        <f>AE25*(1+AH26)</f>
        <v>55</v>
      </c>
      <c r="AI25" s="477">
        <f>AF25*(1+AI26)</f>
        <v>48</v>
      </c>
      <c r="AJ25" s="729">
        <f>SUM(AH25:AI25)</f>
        <v>103</v>
      </c>
      <c r="AK25" s="477">
        <f>AH25*(1+AK26)</f>
        <v>55</v>
      </c>
      <c r="AL25" s="477">
        <f>AI25*(1+AL26)</f>
        <v>48</v>
      </c>
      <c r="AM25" s="729">
        <f>SUM(AK25:AL25)</f>
        <v>103</v>
      </c>
      <c r="AN25" s="477">
        <f>AK25*(1+AN26)</f>
        <v>55</v>
      </c>
      <c r="AO25" s="477">
        <f>AL25*(1+AO26)</f>
        <v>48</v>
      </c>
      <c r="AP25" s="729">
        <f>SUM(AN25:AO25)</f>
        <v>103</v>
      </c>
      <c r="AQ25" s="477">
        <f>AN25*(1+AQ26)</f>
        <v>55</v>
      </c>
      <c r="AR25" s="477">
        <f>AO25*(1+AR26)</f>
        <v>48</v>
      </c>
      <c r="AS25" s="729">
        <f>SUM(AQ25:AR25)</f>
        <v>103</v>
      </c>
      <c r="AT25" s="477">
        <f>AQ25*(1+AT26)</f>
        <v>55</v>
      </c>
      <c r="AU25" s="477">
        <f>AR25*(1+AU26)</f>
        <v>48</v>
      </c>
      <c r="AV25" s="729">
        <f>SUM(AT25:AU25)</f>
        <v>103</v>
      </c>
      <c r="AW25" s="477">
        <f>AT25*(1+AW26)</f>
        <v>55</v>
      </c>
      <c r="AX25" s="477">
        <f>AU25*(1+AX26)</f>
        <v>48</v>
      </c>
      <c r="AY25" s="729">
        <f>SUM(AW25:AX25)</f>
        <v>103</v>
      </c>
      <c r="AZ25" s="477">
        <f>AW25*(1+AZ26)</f>
        <v>55</v>
      </c>
      <c r="BA25" s="477">
        <f>AX25*(1+BA26)</f>
        <v>48</v>
      </c>
      <c r="BB25" s="729">
        <f>SUM(AZ25:BA25)</f>
        <v>103</v>
      </c>
      <c r="BC25" s="477">
        <f>AZ25*(1+BC26)</f>
        <v>55</v>
      </c>
      <c r="BD25" s="477">
        <f>BA25*(1+BD26)</f>
        <v>48</v>
      </c>
      <c r="BE25" s="729">
        <f>SUM(BC25:BD25)</f>
        <v>103</v>
      </c>
    </row>
    <row r="26" spans="1:57">
      <c r="B26" s="13" t="s">
        <v>876</v>
      </c>
      <c r="C26" s="16" t="s">
        <v>507</v>
      </c>
      <c r="D26" s="891"/>
      <c r="E26" s="891"/>
      <c r="F26" s="891"/>
      <c r="G26" s="892"/>
      <c r="H26" s="892"/>
      <c r="I26" s="892"/>
      <c r="J26" s="892"/>
      <c r="K26" s="892"/>
      <c r="L26" s="892"/>
      <c r="M26" s="893"/>
      <c r="N26" s="893"/>
      <c r="O26" s="953"/>
      <c r="P26" s="893">
        <f>P25/M25-1</f>
        <v>-1.5181281233871857E-2</v>
      </c>
      <c r="Q26" s="893">
        <f>Q25/N25-1</f>
        <v>-9.9999999999997868E-3</v>
      </c>
      <c r="R26" s="953">
        <f>R25/O25-1</f>
        <v>-1.2410255270275061E-2</v>
      </c>
      <c r="S26" s="892">
        <v>0.36399999999999999</v>
      </c>
      <c r="T26" s="892">
        <v>-1.330699962561608E-2</v>
      </c>
      <c r="U26" s="953">
        <f>U25/R25-1</f>
        <v>5.7971808070018227E-2</v>
      </c>
      <c r="V26" s="892">
        <f>V25/S25-1</f>
        <v>0.23684210526315796</v>
      </c>
      <c r="W26" s="892">
        <v>0.19</v>
      </c>
      <c r="X26" s="953">
        <f>X25/U25-1</f>
        <v>0.10256410256410264</v>
      </c>
      <c r="Y26" s="892">
        <f>Y25/V25-1</f>
        <v>2.1276595744680771E-2</v>
      </c>
      <c r="Z26" s="892">
        <f>Z25/W25-1</f>
        <v>0.23076923076923084</v>
      </c>
      <c r="AA26" s="953">
        <f>AA25/X25-1</f>
        <v>0.11627906976744184</v>
      </c>
      <c r="AB26" s="892">
        <f>AB25/Y25-1</f>
        <v>0.14583333333333326</v>
      </c>
      <c r="AC26" s="972">
        <v>0</v>
      </c>
      <c r="AD26" s="953">
        <f>AD25/AA25-1</f>
        <v>7.2916666666666741E-2</v>
      </c>
      <c r="AE26" s="892">
        <f>+AC26</f>
        <v>0</v>
      </c>
      <c r="AF26" s="892">
        <f>+AE26</f>
        <v>0</v>
      </c>
      <c r="AG26" s="953">
        <f>AG25/AD25-1</f>
        <v>0</v>
      </c>
      <c r="AH26" s="892">
        <f>+AF26</f>
        <v>0</v>
      </c>
      <c r="AI26" s="892">
        <f>+AH26</f>
        <v>0</v>
      </c>
      <c r="AJ26" s="953">
        <f>AJ25/AG25-1</f>
        <v>0</v>
      </c>
      <c r="AK26" s="892">
        <f>+AI26</f>
        <v>0</v>
      </c>
      <c r="AL26" s="892">
        <f>+AK26</f>
        <v>0</v>
      </c>
      <c r="AM26" s="953">
        <f>AM25/AJ25-1</f>
        <v>0</v>
      </c>
      <c r="AN26" s="892">
        <f>+AL26</f>
        <v>0</v>
      </c>
      <c r="AO26" s="892">
        <f>+AN26</f>
        <v>0</v>
      </c>
      <c r="AP26" s="953">
        <f>AP25/AM25-1</f>
        <v>0</v>
      </c>
      <c r="AQ26" s="892">
        <f>+AO26</f>
        <v>0</v>
      </c>
      <c r="AR26" s="892">
        <f>+AQ26</f>
        <v>0</v>
      </c>
      <c r="AS26" s="953">
        <f>AS25/AP25-1</f>
        <v>0</v>
      </c>
      <c r="AT26" s="892">
        <f>+AR26</f>
        <v>0</v>
      </c>
      <c r="AU26" s="892">
        <f>+AT26</f>
        <v>0</v>
      </c>
      <c r="AV26" s="953">
        <f>AV25/AS25-1</f>
        <v>0</v>
      </c>
      <c r="AW26" s="892">
        <f>+AU26</f>
        <v>0</v>
      </c>
      <c r="AX26" s="892">
        <f>+AW26</f>
        <v>0</v>
      </c>
      <c r="AY26" s="953">
        <f>AY25/AV25-1</f>
        <v>0</v>
      </c>
      <c r="AZ26" s="892">
        <f>+AX26</f>
        <v>0</v>
      </c>
      <c r="BA26" s="892">
        <f>+AZ26</f>
        <v>0</v>
      </c>
      <c r="BB26" s="953">
        <f>BB25/AY25-1</f>
        <v>0</v>
      </c>
      <c r="BC26" s="892">
        <f>+BA26</f>
        <v>0</v>
      </c>
      <c r="BD26" s="892">
        <f>+BC26</f>
        <v>0</v>
      </c>
      <c r="BE26" s="953">
        <f>BE25/BB25-1</f>
        <v>0</v>
      </c>
    </row>
    <row r="27" spans="1:57" ht="13.5" thickBot="1">
      <c r="B27" s="13"/>
      <c r="M27" s="881"/>
      <c r="N27" s="881"/>
      <c r="O27" s="691"/>
      <c r="P27" s="881"/>
      <c r="Q27" s="881"/>
      <c r="R27" s="691"/>
      <c r="S27" s="882"/>
      <c r="T27" s="881"/>
      <c r="U27" s="691"/>
      <c r="V27" s="881"/>
      <c r="W27" s="881"/>
      <c r="X27" s="691"/>
      <c r="Y27" s="14"/>
      <c r="Z27" s="881"/>
      <c r="AA27" s="691"/>
      <c r="AB27" s="14"/>
      <c r="AC27" s="881"/>
      <c r="AD27" s="691"/>
      <c r="AE27" s="881"/>
      <c r="AF27" s="881"/>
      <c r="AG27" s="691"/>
      <c r="AH27" s="881"/>
      <c r="AI27" s="881"/>
      <c r="AJ27" s="691"/>
      <c r="AK27" s="881"/>
      <c r="AL27" s="881"/>
      <c r="AM27" s="691"/>
      <c r="AN27" s="15"/>
      <c r="AO27" s="15"/>
      <c r="AP27" s="691"/>
      <c r="AQ27" s="15"/>
      <c r="AR27" s="15"/>
      <c r="AS27" s="691"/>
      <c r="AT27" s="15"/>
      <c r="AU27" s="15"/>
      <c r="AV27" s="691"/>
      <c r="AW27" s="15"/>
      <c r="AX27" s="15"/>
      <c r="AY27" s="691"/>
      <c r="AZ27" s="15"/>
      <c r="BA27" s="15"/>
      <c r="BB27" s="691"/>
      <c r="BC27" s="15"/>
      <c r="BD27" s="15"/>
      <c r="BE27" s="691"/>
    </row>
    <row r="28" spans="1:57" ht="13.5" thickBot="1">
      <c r="A28" s="11" t="s">
        <v>1056</v>
      </c>
      <c r="B28" s="859" t="s">
        <v>912</v>
      </c>
      <c r="C28" s="860" t="s">
        <v>357</v>
      </c>
      <c r="D28" s="876"/>
      <c r="E28" s="876"/>
      <c r="F28" s="877"/>
      <c r="G28" s="876"/>
      <c r="H28" s="876"/>
      <c r="I28" s="877"/>
      <c r="J28" s="876"/>
      <c r="K28" s="876"/>
      <c r="L28" s="877"/>
      <c r="M28" s="943">
        <f>M31+M34+M37</f>
        <v>371.8290227412416</v>
      </c>
      <c r="N28" s="943">
        <f>N31+N34+N37</f>
        <v>362.87536570374925</v>
      </c>
      <c r="O28" s="950">
        <f>SUM(M28:N28)</f>
        <v>734.70438844499085</v>
      </c>
      <c r="P28" s="943">
        <f>P31+P34+P37+P40</f>
        <v>316.11315012005377</v>
      </c>
      <c r="Q28" s="944">
        <f>Q31+Q34+Q37+Q40</f>
        <v>393.93684987994618</v>
      </c>
      <c r="R28" s="958">
        <f>SUM(P28:Q28)</f>
        <v>710.05</v>
      </c>
      <c r="S28" s="942">
        <v>377</v>
      </c>
      <c r="T28" s="944">
        <f>T31+T34+T37+T40</f>
        <v>394</v>
      </c>
      <c r="U28" s="970">
        <v>771</v>
      </c>
      <c r="V28" s="942">
        <v>399</v>
      </c>
      <c r="W28" s="944">
        <f>W31+W34+W37+W40</f>
        <v>387</v>
      </c>
      <c r="X28" s="970">
        <v>786</v>
      </c>
      <c r="Y28" s="942">
        <v>387</v>
      </c>
      <c r="Z28" s="944">
        <f>Z31+Z34+Z37+Z40</f>
        <v>484</v>
      </c>
      <c r="AA28" s="970">
        <v>871</v>
      </c>
      <c r="AB28" s="942">
        <v>544</v>
      </c>
      <c r="AC28" s="944">
        <f>AC31+AC34+AC37+AC40</f>
        <v>512.17291310975611</v>
      </c>
      <c r="AD28" s="958">
        <f>SUM(AB28:AC28)</f>
        <v>1056.1729131097561</v>
      </c>
      <c r="AE28" s="943">
        <f>AE31+AE34+AE37+AE40</f>
        <v>585.226</v>
      </c>
      <c r="AF28" s="944">
        <f>AF31+AF34+AF37+AF40</f>
        <v>493.96029977134145</v>
      </c>
      <c r="AG28" s="958">
        <f>SUM(AE28:AF28)</f>
        <v>1079.1862997713415</v>
      </c>
      <c r="AH28" s="943">
        <f>AH31+AH34+AH37+AH40</f>
        <v>555.67790000000002</v>
      </c>
      <c r="AI28" s="944">
        <f>AI31+AI34+AI37+AI40</f>
        <v>516.00261279344511</v>
      </c>
      <c r="AJ28" s="958">
        <f>SUM(AH28:AI28)</f>
        <v>1071.6805127934451</v>
      </c>
      <c r="AK28" s="943">
        <f>AK31+AK34+AK37+AK40</f>
        <v>580.97793500000012</v>
      </c>
      <c r="AL28" s="944">
        <f>AL31+AL34+AL37+AL40</f>
        <v>539.07072005049542</v>
      </c>
      <c r="AM28" s="958">
        <f>SUM(AK28:AL28)</f>
        <v>1120.0486550504957</v>
      </c>
      <c r="AN28" s="943">
        <f>AN31+AN34+AN37+AN40</f>
        <v>607.49632495000003</v>
      </c>
      <c r="AO28" s="944">
        <f>AO31+AO34+AO37+AO40</f>
        <v>563.21584906384351</v>
      </c>
      <c r="AP28" s="958">
        <f>SUM(AN28:AO28)</f>
        <v>1170.7121740138437</v>
      </c>
      <c r="AQ28" s="943">
        <f>AQ31+AQ34+AQ37+AQ40</f>
        <v>635.29739248550015</v>
      </c>
      <c r="AR28" s="944">
        <f>AR31+AR34+AR37+AR40</f>
        <v>588.49208530991677</v>
      </c>
      <c r="AS28" s="958">
        <f>SUM(AQ28:AR28)</f>
        <v>1223.789477795417</v>
      </c>
      <c r="AT28" s="943">
        <f>AT31+AT34+AT37+AT40</f>
        <v>664.44933964529514</v>
      </c>
      <c r="AU28" s="944">
        <f>AU31+AU34+AU37+AU40</f>
        <v>614.95655688779652</v>
      </c>
      <c r="AV28" s="958">
        <f>SUM(AT28:AU28)</f>
        <v>1279.4058965330917</v>
      </c>
      <c r="AW28" s="943">
        <f>AW31+AW34+AW37+AW40</f>
        <v>695.02452108010073</v>
      </c>
      <c r="AX28" s="944">
        <f>AX31+AX34+AX37+AX40</f>
        <v>642.66963308163179</v>
      </c>
      <c r="AY28" s="958">
        <f>SUM(AW28:AX28)</f>
        <v>1337.6941541617325</v>
      </c>
      <c r="AZ28" s="943">
        <f>AZ31+AZ34+AZ37+AZ40</f>
        <v>727.09973936190818</v>
      </c>
      <c r="BA28" s="944">
        <f>BA31+BA34+BA37+BA40</f>
        <v>671.69513799815957</v>
      </c>
      <c r="BB28" s="958">
        <f>SUM(AZ28:BA28)</f>
        <v>1398.7948773600679</v>
      </c>
      <c r="BC28" s="943">
        <f>BC31+BC34+BC37+BC40</f>
        <v>760.75656436379415</v>
      </c>
      <c r="BD28" s="944">
        <f>BD31+BD34+BD37+BD40</f>
        <v>702.10058056793662</v>
      </c>
      <c r="BE28" s="958">
        <f>SUM(BC28:BD28)</f>
        <v>1462.8571449317308</v>
      </c>
    </row>
    <row r="29" spans="1:57">
      <c r="B29" s="13" t="s">
        <v>891</v>
      </c>
      <c r="C29" s="862" t="s">
        <v>507</v>
      </c>
      <c r="D29" s="891"/>
      <c r="E29" s="891"/>
      <c r="F29" s="891"/>
      <c r="G29" s="892"/>
      <c r="H29" s="892"/>
      <c r="I29" s="892"/>
      <c r="J29" s="892"/>
      <c r="K29" s="892"/>
      <c r="L29" s="892"/>
      <c r="M29" s="893"/>
      <c r="N29" s="893"/>
      <c r="O29" s="953"/>
      <c r="P29" s="893">
        <f>P28/M28-1</f>
        <v>-0.14984272128741516</v>
      </c>
      <c r="Q29" s="893">
        <f>Q28/N28-1</f>
        <v>8.5598216665816462E-2</v>
      </c>
      <c r="R29" s="953">
        <f>R28/O28-1</f>
        <v>-3.3556881968776819E-2</v>
      </c>
      <c r="S29" s="949">
        <f>S28/P28-1</f>
        <v>0.19261093648531413</v>
      </c>
      <c r="T29" s="892">
        <v>0.15</v>
      </c>
      <c r="U29" s="953">
        <f t="shared" ref="U29:BE29" si="14">U28/R28-1</f>
        <v>8.5839025420745063E-2</v>
      </c>
      <c r="V29" s="892">
        <f t="shared" si="14"/>
        <v>5.8355437665782439E-2</v>
      </c>
      <c r="W29" s="892">
        <f t="shared" si="14"/>
        <v>-1.7766497461928932E-2</v>
      </c>
      <c r="X29" s="953">
        <f t="shared" si="14"/>
        <v>1.9455252918287869E-2</v>
      </c>
      <c r="Y29" s="892">
        <f t="shared" si="14"/>
        <v>-3.007518796992481E-2</v>
      </c>
      <c r="Z29" s="892">
        <f t="shared" si="14"/>
        <v>0.25064599483204142</v>
      </c>
      <c r="AA29" s="953">
        <f t="shared" si="14"/>
        <v>0.10814249363867678</v>
      </c>
      <c r="AB29" s="892">
        <f t="shared" si="14"/>
        <v>0.40568475452196373</v>
      </c>
      <c r="AC29" s="892">
        <f t="shared" si="14"/>
        <v>5.820849816065321E-2</v>
      </c>
      <c r="AD29" s="953">
        <f t="shared" si="14"/>
        <v>0.21259806327182096</v>
      </c>
      <c r="AE29" s="892">
        <f t="shared" si="14"/>
        <v>7.5783088235294116E-2</v>
      </c>
      <c r="AF29" s="892">
        <f t="shared" si="14"/>
        <v>-3.5559501239207036E-2</v>
      </c>
      <c r="AG29" s="953">
        <f t="shared" si="14"/>
        <v>2.1789411919138857E-2</v>
      </c>
      <c r="AH29" s="892">
        <f t="shared" si="14"/>
        <v>-5.0490067085194434E-2</v>
      </c>
      <c r="AI29" s="892">
        <f t="shared" si="14"/>
        <v>4.4623653018890819E-2</v>
      </c>
      <c r="AJ29" s="953">
        <f t="shared" si="14"/>
        <v>-6.9550428683969878E-3</v>
      </c>
      <c r="AK29" s="892">
        <f t="shared" si="14"/>
        <v>4.553003637538966E-2</v>
      </c>
      <c r="AL29" s="892">
        <f t="shared" si="14"/>
        <v>4.4705407850879286E-2</v>
      </c>
      <c r="AM29" s="953">
        <f t="shared" si="14"/>
        <v>4.5132986631411187E-2</v>
      </c>
      <c r="AN29" s="892">
        <f t="shared" si="14"/>
        <v>4.5644401193996931E-2</v>
      </c>
      <c r="AO29" s="892">
        <f t="shared" si="14"/>
        <v>4.4790280969232432E-2</v>
      </c>
      <c r="AP29" s="953">
        <f t="shared" si="14"/>
        <v>4.5233319762402635E-2</v>
      </c>
      <c r="AQ29" s="892">
        <f t="shared" si="14"/>
        <v>4.5763350976301354E-2</v>
      </c>
      <c r="AR29" s="892">
        <f t="shared" si="14"/>
        <v>4.4878417906893953E-2</v>
      </c>
      <c r="AS29" s="953">
        <f t="shared" si="14"/>
        <v>4.5337620091192354E-2</v>
      </c>
      <c r="AT29" s="892">
        <f t="shared" si="14"/>
        <v>4.5887087692494166E-2</v>
      </c>
      <c r="AU29" s="892">
        <f t="shared" si="14"/>
        <v>4.4969970265518189E-2</v>
      </c>
      <c r="AV29" s="953">
        <f t="shared" si="14"/>
        <v>4.544606711103949E-2</v>
      </c>
      <c r="AW29" s="892">
        <f t="shared" si="14"/>
        <v>4.6015820334967428E-2</v>
      </c>
      <c r="AX29" s="892">
        <f t="shared" si="14"/>
        <v>4.5065095872929728E-2</v>
      </c>
      <c r="AY29" s="953">
        <f t="shared" si="14"/>
        <v>4.5558847107543654E-2</v>
      </c>
      <c r="AZ29" s="892">
        <f t="shared" si="14"/>
        <v>4.6149764949243943E-2</v>
      </c>
      <c r="BA29" s="892">
        <f t="shared" si="14"/>
        <v>4.5163958933844617E-2</v>
      </c>
      <c r="BB29" s="953">
        <f t="shared" si="14"/>
        <v>4.5676153258383811E-2</v>
      </c>
      <c r="BC29" s="892">
        <f t="shared" si="14"/>
        <v>4.6289144638427038E-2</v>
      </c>
      <c r="BD29" s="892">
        <f t="shared" si="14"/>
        <v>4.5266730172253133E-2</v>
      </c>
      <c r="BE29" s="953">
        <f t="shared" si="14"/>
        <v>4.5798185715812068E-2</v>
      </c>
    </row>
    <row r="30" spans="1:57">
      <c r="M30" s="881"/>
      <c r="N30" s="881"/>
      <c r="O30" s="691"/>
      <c r="P30" s="896"/>
      <c r="Q30" s="896"/>
      <c r="R30" s="961"/>
      <c r="S30" s="896"/>
      <c r="T30" s="896"/>
      <c r="U30" s="961"/>
      <c r="V30" s="896"/>
      <c r="W30" s="896"/>
      <c r="X30" s="961"/>
      <c r="Y30" s="896"/>
      <c r="Z30" s="896"/>
      <c r="AA30" s="961"/>
      <c r="AB30" s="896"/>
      <c r="AC30" s="896"/>
      <c r="AD30" s="961"/>
      <c r="AE30" s="896"/>
      <c r="AF30" s="896"/>
      <c r="AG30" s="961"/>
      <c r="AH30" s="896"/>
      <c r="AI30" s="896"/>
      <c r="AJ30" s="961"/>
      <c r="AK30" s="896"/>
      <c r="AL30" s="896"/>
      <c r="AM30" s="961"/>
      <c r="AN30" s="896"/>
      <c r="AO30" s="896"/>
      <c r="AP30" s="961"/>
      <c r="AQ30" s="896"/>
      <c r="AR30" s="896"/>
      <c r="AS30" s="961"/>
      <c r="AT30" s="896"/>
      <c r="AU30" s="896"/>
      <c r="AV30" s="961"/>
      <c r="AW30" s="896"/>
      <c r="AX30" s="896"/>
      <c r="AY30" s="961"/>
      <c r="AZ30" s="896"/>
      <c r="BA30" s="896"/>
      <c r="BB30" s="961"/>
      <c r="BC30" s="896"/>
      <c r="BD30" s="896"/>
      <c r="BE30" s="961"/>
    </row>
    <row r="31" spans="1:57">
      <c r="B31" s="1" t="s">
        <v>879</v>
      </c>
      <c r="C31" s="16" t="s">
        <v>357</v>
      </c>
      <c r="D31" s="873"/>
      <c r="E31" s="873"/>
      <c r="F31" s="874"/>
      <c r="G31" s="873"/>
      <c r="H31" s="873"/>
      <c r="I31" s="874"/>
      <c r="J31" s="873"/>
      <c r="K31" s="873"/>
      <c r="L31" s="874"/>
      <c r="M31" s="873">
        <v>232.03080516287648</v>
      </c>
      <c r="N31" s="873">
        <f>O31-M31</f>
        <v>242.09505838967428</v>
      </c>
      <c r="O31" s="954">
        <v>474.12586355255075</v>
      </c>
      <c r="P31" s="873">
        <v>200.2</v>
      </c>
      <c r="Q31" s="873">
        <f>R31-P31</f>
        <v>255.77638469050282</v>
      </c>
      <c r="R31" s="954">
        <v>455.97638469050281</v>
      </c>
      <c r="S31" s="933">
        <v>258</v>
      </c>
      <c r="T31" s="477">
        <f>+U31-S31</f>
        <v>275</v>
      </c>
      <c r="U31" s="929">
        <v>533</v>
      </c>
      <c r="V31" s="933">
        <v>313</v>
      </c>
      <c r="W31" s="477">
        <f>+X31-V31</f>
        <v>306</v>
      </c>
      <c r="X31" s="971">
        <v>619</v>
      </c>
      <c r="Y31" s="933">
        <v>287</v>
      </c>
      <c r="Z31" s="477">
        <f>+AA31-Y31</f>
        <v>280</v>
      </c>
      <c r="AA31" s="971">
        <v>567</v>
      </c>
      <c r="AB31" s="933">
        <v>305</v>
      </c>
      <c r="AC31" s="477">
        <f>Z31*(1+AC32)</f>
        <v>297.5609756097561</v>
      </c>
      <c r="AD31" s="729">
        <f>SUM(AB31:AC31)</f>
        <v>602.56097560975604</v>
      </c>
      <c r="AE31" s="477">
        <f>AB31*(1+AE32)</f>
        <v>323.3</v>
      </c>
      <c r="AF31" s="477">
        <f>AC31*(1+AF32)</f>
        <v>315.41463414634148</v>
      </c>
      <c r="AG31" s="729">
        <f>SUM(AE31:AF31)</f>
        <v>638.7146341463415</v>
      </c>
      <c r="AH31" s="477">
        <f>AE31*(1+AH32)</f>
        <v>336.23200000000003</v>
      </c>
      <c r="AI31" s="477">
        <f>AF31*(1+AI32)</f>
        <v>328.03121951219515</v>
      </c>
      <c r="AJ31" s="729">
        <f>SUM(AH31:AI31)</f>
        <v>664.26321951219518</v>
      </c>
      <c r="AK31" s="477">
        <f>AH31*(1+AK32)</f>
        <v>349.68128000000002</v>
      </c>
      <c r="AL31" s="477">
        <f>AI31*(1+AL32)</f>
        <v>341.15246829268295</v>
      </c>
      <c r="AM31" s="729">
        <f>SUM(AK31:AL31)</f>
        <v>690.83374829268291</v>
      </c>
      <c r="AN31" s="477">
        <f>AK31*(1+AN32)</f>
        <v>363.66853120000002</v>
      </c>
      <c r="AO31" s="477">
        <f>AL31*(1+AO32)</f>
        <v>354.79856702439031</v>
      </c>
      <c r="AP31" s="729">
        <f>SUM(AN31:AO31)</f>
        <v>718.46709822439038</v>
      </c>
      <c r="AQ31" s="477">
        <f>AN31*(1+AQ32)</f>
        <v>378.21527244800001</v>
      </c>
      <c r="AR31" s="477">
        <f>AO31*(1+AR32)</f>
        <v>368.99050970536592</v>
      </c>
      <c r="AS31" s="729">
        <f>SUM(AQ31:AR31)</f>
        <v>747.20578215336593</v>
      </c>
      <c r="AT31" s="477">
        <f>AQ31*(1+AT32)</f>
        <v>393.34388334592001</v>
      </c>
      <c r="AU31" s="477">
        <f>AR31*(1+AU32)</f>
        <v>383.75013009358059</v>
      </c>
      <c r="AV31" s="729">
        <f>SUM(AT31:AU31)</f>
        <v>777.0940134395006</v>
      </c>
      <c r="AW31" s="477">
        <f>AT31*(1+AW32)</f>
        <v>409.07763867975683</v>
      </c>
      <c r="AX31" s="477">
        <f>AU31*(1+AX32)</f>
        <v>399.10013529732385</v>
      </c>
      <c r="AY31" s="729">
        <f>SUM(AW31:AX31)</f>
        <v>808.17777397708073</v>
      </c>
      <c r="AZ31" s="477">
        <f>AW31*(1+AZ32)</f>
        <v>425.44074422694712</v>
      </c>
      <c r="BA31" s="477">
        <f>AX31*(1+BA32)</f>
        <v>415.06414070921682</v>
      </c>
      <c r="BB31" s="729">
        <f>SUM(AZ31:BA31)</f>
        <v>840.50488493616399</v>
      </c>
      <c r="BC31" s="477">
        <f>AZ31*(1+BC32)</f>
        <v>442.45837399602505</v>
      </c>
      <c r="BD31" s="477">
        <f>BA31*(1+BD32)</f>
        <v>431.66670633758548</v>
      </c>
      <c r="BE31" s="729">
        <f>SUM(BC31:BD31)</f>
        <v>874.12508033361053</v>
      </c>
    </row>
    <row r="32" spans="1:57">
      <c r="B32" s="13" t="s">
        <v>891</v>
      </c>
      <c r="C32" s="16" t="s">
        <v>507</v>
      </c>
      <c r="D32" s="891"/>
      <c r="E32" s="891"/>
      <c r="F32" s="891"/>
      <c r="G32" s="892"/>
      <c r="H32" s="892"/>
      <c r="I32" s="892"/>
      <c r="J32" s="892"/>
      <c r="K32" s="892"/>
      <c r="L32" s="892"/>
      <c r="M32" s="893"/>
      <c r="N32" s="893"/>
      <c r="O32" s="953"/>
      <c r="P32" s="893">
        <f>P31/M31-1</f>
        <v>-0.13718353104249459</v>
      </c>
      <c r="Q32" s="893">
        <f>Q31/N31-1</f>
        <v>5.6512208022053922E-2</v>
      </c>
      <c r="R32" s="953">
        <f>R31/O31-1</f>
        <v>-3.8279875149726528E-2</v>
      </c>
      <c r="S32" s="949">
        <f>S31/P31-1</f>
        <v>0.28871128871128882</v>
      </c>
      <c r="T32" s="892">
        <v>0.15</v>
      </c>
      <c r="U32" s="953">
        <f t="shared" ref="U32:AB32" si="15">U31/R31-1</f>
        <v>0.16892018511392326</v>
      </c>
      <c r="V32" s="949">
        <f t="shared" si="15"/>
        <v>0.21317829457364335</v>
      </c>
      <c r="W32" s="949">
        <f t="shared" si="15"/>
        <v>0.11272727272727279</v>
      </c>
      <c r="X32" s="953">
        <f t="shared" si="15"/>
        <v>0.16135084427767366</v>
      </c>
      <c r="Y32" s="949">
        <f t="shared" si="15"/>
        <v>-8.3067092651757157E-2</v>
      </c>
      <c r="Z32" s="892">
        <f>Z31/W31-1</f>
        <v>-8.496732026143794E-2</v>
      </c>
      <c r="AA32" s="953">
        <f t="shared" si="15"/>
        <v>-8.4006462035541185E-2</v>
      </c>
      <c r="AB32" s="949">
        <f t="shared" si="15"/>
        <v>6.2717770034843134E-2</v>
      </c>
      <c r="AC32" s="892">
        <f>+AB32</f>
        <v>6.2717770034843134E-2</v>
      </c>
      <c r="AD32" s="953">
        <f>AD31/AA31-1</f>
        <v>6.2717770034843134E-2</v>
      </c>
      <c r="AE32" s="972">
        <v>0.06</v>
      </c>
      <c r="AF32" s="892">
        <f>+AE32</f>
        <v>0.06</v>
      </c>
      <c r="AG32" s="953">
        <f>AG31/AD31-1</f>
        <v>6.0000000000000053E-2</v>
      </c>
      <c r="AH32" s="892">
        <v>0.04</v>
      </c>
      <c r="AI32" s="892">
        <f>+AH32</f>
        <v>0.04</v>
      </c>
      <c r="AJ32" s="953">
        <f>AJ31/AG31-1</f>
        <v>4.0000000000000036E-2</v>
      </c>
      <c r="AK32" s="892">
        <f>+AI32</f>
        <v>0.04</v>
      </c>
      <c r="AL32" s="892">
        <f>+AK32</f>
        <v>0.04</v>
      </c>
      <c r="AM32" s="953">
        <f>AM31/AJ31-1</f>
        <v>3.9999999999999813E-2</v>
      </c>
      <c r="AN32" s="892">
        <f>+AL32</f>
        <v>0.04</v>
      </c>
      <c r="AO32" s="892">
        <f>+AN32</f>
        <v>0.04</v>
      </c>
      <c r="AP32" s="953">
        <f>AP31/AM31-1</f>
        <v>4.0000000000000258E-2</v>
      </c>
      <c r="AQ32" s="892">
        <f>+AO32</f>
        <v>0.04</v>
      </c>
      <c r="AR32" s="892">
        <f>+AQ32</f>
        <v>0.04</v>
      </c>
      <c r="AS32" s="953">
        <f>AS31/AP31-1</f>
        <v>3.9999999999999813E-2</v>
      </c>
      <c r="AT32" s="892">
        <f>+AR32</f>
        <v>0.04</v>
      </c>
      <c r="AU32" s="892">
        <f>+AT32</f>
        <v>0.04</v>
      </c>
      <c r="AV32" s="953">
        <f>AV31/AS31-1</f>
        <v>4.0000000000000036E-2</v>
      </c>
      <c r="AW32" s="892">
        <f>+AU32</f>
        <v>0.04</v>
      </c>
      <c r="AX32" s="892">
        <f>+AW32</f>
        <v>0.04</v>
      </c>
      <c r="AY32" s="953">
        <f>AY31/AV31-1</f>
        <v>4.0000000000000036E-2</v>
      </c>
      <c r="AZ32" s="892">
        <f>+AX32</f>
        <v>0.04</v>
      </c>
      <c r="BA32" s="892">
        <f>+AZ32</f>
        <v>0.04</v>
      </c>
      <c r="BB32" s="953">
        <f>BB31/AY31-1</f>
        <v>4.0000000000000036E-2</v>
      </c>
      <c r="BC32" s="892">
        <f>+BA32</f>
        <v>0.04</v>
      </c>
      <c r="BD32" s="892">
        <f>+BC32</f>
        <v>0.04</v>
      </c>
      <c r="BE32" s="953">
        <f>BE31/BB31-1</f>
        <v>4.0000000000000036E-2</v>
      </c>
    </row>
    <row r="33" spans="1:57">
      <c r="B33" s="13"/>
      <c r="C33" s="16"/>
      <c r="D33" s="874"/>
      <c r="E33" s="874"/>
      <c r="F33" s="874"/>
      <c r="G33" s="880"/>
      <c r="H33" s="880"/>
      <c r="I33" s="880"/>
      <c r="J33" s="897"/>
      <c r="K33" s="880"/>
      <c r="L33" s="880"/>
      <c r="M33" s="881"/>
      <c r="N33" s="881"/>
      <c r="O33" s="691"/>
      <c r="P33" s="881"/>
      <c r="Q33" s="881"/>
      <c r="R33" s="691"/>
      <c r="S33" s="881"/>
      <c r="T33" s="881"/>
      <c r="U33" s="691"/>
      <c r="V33" s="881"/>
      <c r="W33" s="881"/>
      <c r="X33" s="691"/>
      <c r="Y33" s="881"/>
      <c r="Z33" s="881"/>
      <c r="AA33" s="691"/>
      <c r="AB33" s="881"/>
      <c r="AC33" s="881"/>
      <c r="AD33" s="691"/>
      <c r="AE33" s="895"/>
      <c r="AF33" s="895"/>
      <c r="AG33" s="691"/>
      <c r="AH33" s="895"/>
      <c r="AI33" s="895"/>
      <c r="AJ33" s="691"/>
      <c r="AK33" s="895"/>
      <c r="AL33" s="895"/>
      <c r="AM33" s="691"/>
      <c r="AN33" s="895"/>
      <c r="AO33" s="895"/>
      <c r="AP33" s="691"/>
      <c r="AQ33" s="895"/>
      <c r="AR33" s="895"/>
      <c r="AS33" s="691"/>
      <c r="AT33" s="895"/>
      <c r="AU33" s="895"/>
      <c r="AV33" s="691"/>
      <c r="AW33" s="895"/>
      <c r="AX33" s="895"/>
      <c r="AY33" s="691"/>
      <c r="AZ33" s="895"/>
      <c r="BA33" s="895"/>
      <c r="BB33" s="691"/>
      <c r="BC33" s="895"/>
      <c r="BD33" s="895"/>
      <c r="BE33" s="691"/>
    </row>
    <row r="34" spans="1:57">
      <c r="B34" s="1" t="s">
        <v>959</v>
      </c>
      <c r="C34" s="16" t="s">
        <v>357</v>
      </c>
      <c r="D34" s="873"/>
      <c r="E34" s="873"/>
      <c r="F34" s="874"/>
      <c r="G34" s="873"/>
      <c r="H34" s="873"/>
      <c r="I34" s="874"/>
      <c r="J34" s="873"/>
      <c r="K34" s="873"/>
      <c r="L34" s="874"/>
      <c r="M34" s="873">
        <v>23.999373079287032</v>
      </c>
      <c r="N34" s="873">
        <f>O34-M34</f>
        <v>30.413952059004302</v>
      </c>
      <c r="O34" s="954">
        <v>54.413325138291334</v>
      </c>
      <c r="P34" s="873">
        <v>16</v>
      </c>
      <c r="Q34" s="873">
        <f>R34-P34</f>
        <v>23.676734895973553</v>
      </c>
      <c r="R34" s="954">
        <v>39.676734895973553</v>
      </c>
      <c r="S34" s="477">
        <f>+S28-S31-S37-S40</f>
        <v>23.5</v>
      </c>
      <c r="T34" s="477">
        <f>+U34-S34</f>
        <v>1.5</v>
      </c>
      <c r="U34" s="729">
        <f>+U28-U31-U37-U40</f>
        <v>25</v>
      </c>
      <c r="V34" s="477">
        <f>+V28-V31-V37-V40</f>
        <v>28</v>
      </c>
      <c r="W34" s="477">
        <f>+X34-V34</f>
        <v>5.3250000000000028</v>
      </c>
      <c r="X34" s="729">
        <f>+X28-X31-X37-X40</f>
        <v>33.325000000000003</v>
      </c>
      <c r="Y34" s="477">
        <f>+Y28-Y31-Y37-Y40</f>
        <v>8.7999999999999989</v>
      </c>
      <c r="Z34" s="477">
        <f>+AA34-Y34</f>
        <v>15.761249999999999</v>
      </c>
      <c r="AA34" s="729">
        <f>+AA28-AA31-AA37-AA40</f>
        <v>24.561249999999998</v>
      </c>
      <c r="AB34" s="477">
        <f>+AB28-AB31-AB37-AB40</f>
        <v>19.479999999999997</v>
      </c>
      <c r="AC34" s="477">
        <f>Z34*(1+AC35)</f>
        <v>16.549312499999999</v>
      </c>
      <c r="AD34" s="729">
        <f>SUM(AB34:AC34)</f>
        <v>36.029312499999996</v>
      </c>
      <c r="AE34" s="477">
        <f>AB34*(1+AE35)</f>
        <v>20.453999999999997</v>
      </c>
      <c r="AF34" s="477">
        <f>AC34*(1+AF35)</f>
        <v>17.376778125000001</v>
      </c>
      <c r="AG34" s="729">
        <f>SUM(AE34:AF34)</f>
        <v>37.830778124999995</v>
      </c>
      <c r="AH34" s="477">
        <f>AE34*(1+AH35)</f>
        <v>21.476699999999997</v>
      </c>
      <c r="AI34" s="477">
        <f>AF34*(1+AI35)</f>
        <v>18.245617031250003</v>
      </c>
      <c r="AJ34" s="729">
        <f>SUM(AH34:AI34)</f>
        <v>39.72231703125</v>
      </c>
      <c r="AK34" s="477">
        <f>AH34*(1+AK35)</f>
        <v>22.550535</v>
      </c>
      <c r="AL34" s="477">
        <f>AI34*(1+AL35)</f>
        <v>19.157897882812502</v>
      </c>
      <c r="AM34" s="729">
        <f>SUM(AK34:AL34)</f>
        <v>41.708432882812502</v>
      </c>
      <c r="AN34" s="477">
        <f>AK34*(1+AN35)</f>
        <v>23.678061750000001</v>
      </c>
      <c r="AO34" s="477">
        <f>AL34*(1+AO35)</f>
        <v>20.115792776953128</v>
      </c>
      <c r="AP34" s="729">
        <f>SUM(AN34:AO34)</f>
        <v>43.793854526953126</v>
      </c>
      <c r="AQ34" s="477">
        <f>AN34*(1+AQ35)</f>
        <v>24.861964837500004</v>
      </c>
      <c r="AR34" s="477">
        <f>AO34*(1+AR35)</f>
        <v>21.121582415800784</v>
      </c>
      <c r="AS34" s="729">
        <f>SUM(AQ34:AR34)</f>
        <v>45.983547253300785</v>
      </c>
      <c r="AT34" s="477">
        <f>AQ34*(1+AT35)</f>
        <v>26.105063079375004</v>
      </c>
      <c r="AU34" s="477">
        <f>AR34*(1+AU35)</f>
        <v>22.177661536590826</v>
      </c>
      <c r="AV34" s="729">
        <f>SUM(AT34:AU34)</f>
        <v>48.282724615965833</v>
      </c>
      <c r="AW34" s="477">
        <f>AT34*(1+AW35)</f>
        <v>27.410316233343757</v>
      </c>
      <c r="AX34" s="477">
        <f>AU34*(1+AX35)</f>
        <v>23.286544613420368</v>
      </c>
      <c r="AY34" s="729">
        <f>SUM(AW34:AX34)</f>
        <v>50.696860846764125</v>
      </c>
      <c r="AZ34" s="477">
        <f>AW34*(1+AZ35)</f>
        <v>28.780832045010946</v>
      </c>
      <c r="BA34" s="477">
        <f>AX34*(1+BA35)</f>
        <v>24.450871844091388</v>
      </c>
      <c r="BB34" s="729">
        <f>SUM(AZ34:BA34)</f>
        <v>53.231703889102334</v>
      </c>
      <c r="BC34" s="477">
        <f>AZ34*(1+BC35)</f>
        <v>30.219873647261494</v>
      </c>
      <c r="BD34" s="477">
        <f>BA34*(1+BD35)</f>
        <v>25.673415436295958</v>
      </c>
      <c r="BE34" s="729">
        <f>SUM(BC34:BD34)</f>
        <v>55.893289083557448</v>
      </c>
    </row>
    <row r="35" spans="1:57">
      <c r="B35" s="13" t="s">
        <v>891</v>
      </c>
      <c r="C35" s="16" t="s">
        <v>507</v>
      </c>
      <c r="D35" s="891"/>
      <c r="E35" s="891"/>
      <c r="F35" s="891"/>
      <c r="G35" s="892"/>
      <c r="H35" s="892"/>
      <c r="I35" s="892"/>
      <c r="J35" s="892"/>
      <c r="K35" s="892"/>
      <c r="L35" s="892"/>
      <c r="M35" s="893"/>
      <c r="N35" s="893"/>
      <c r="O35" s="953"/>
      <c r="P35" s="893">
        <f>P34/M34-1</f>
        <v>-0.33331591841417696</v>
      </c>
      <c r="Q35" s="893">
        <f>Q34/N34-1</f>
        <v>-0.22151732040480221</v>
      </c>
      <c r="R35" s="953">
        <f>R34/O34-1</f>
        <v>-0.27082686464877437</v>
      </c>
      <c r="S35" s="949">
        <f>S34/P34-1</f>
        <v>0.46875</v>
      </c>
      <c r="T35" s="892">
        <v>0.15</v>
      </c>
      <c r="U35" s="953">
        <f>U34/R34-1</f>
        <v>-0.36990782972575109</v>
      </c>
      <c r="V35" s="892">
        <f>V34/S34-1</f>
        <v>0.1914893617021276</v>
      </c>
      <c r="W35" s="892">
        <v>20</v>
      </c>
      <c r="X35" s="953">
        <f>X34/U34-1</f>
        <v>0.33300000000000018</v>
      </c>
      <c r="Y35" s="892">
        <f>Y34/V34-1</f>
        <v>-0.68571428571428572</v>
      </c>
      <c r="Z35" s="892">
        <f>Z34/W34-1</f>
        <v>1.9598591549295756</v>
      </c>
      <c r="AA35" s="953">
        <f>AA34/X34-1</f>
        <v>-0.26297824456114038</v>
      </c>
      <c r="AB35" s="892">
        <f>AB34/Y34-1</f>
        <v>1.2136363636363634</v>
      </c>
      <c r="AC35" s="1901">
        <v>0.05</v>
      </c>
      <c r="AD35" s="953">
        <f>AD34/AA34-1</f>
        <v>0.46691689144485715</v>
      </c>
      <c r="AE35" s="892">
        <f>+AC35</f>
        <v>0.05</v>
      </c>
      <c r="AF35" s="892">
        <f>+AE35</f>
        <v>0.05</v>
      </c>
      <c r="AG35" s="953">
        <f>AG34/AD34-1</f>
        <v>5.0000000000000044E-2</v>
      </c>
      <c r="AH35" s="892">
        <f>+AF35</f>
        <v>0.05</v>
      </c>
      <c r="AI35" s="892">
        <f>+AH35</f>
        <v>0.05</v>
      </c>
      <c r="AJ35" s="953">
        <f>AJ34/AG34-1</f>
        <v>5.0000000000000044E-2</v>
      </c>
      <c r="AK35" s="892">
        <f>+AI35</f>
        <v>0.05</v>
      </c>
      <c r="AL35" s="892">
        <f>+AK35</f>
        <v>0.05</v>
      </c>
      <c r="AM35" s="953">
        <f>AM34/AJ34-1</f>
        <v>5.0000000000000044E-2</v>
      </c>
      <c r="AN35" s="892">
        <f>+AL35</f>
        <v>0.05</v>
      </c>
      <c r="AO35" s="892">
        <f>+AN35</f>
        <v>0.05</v>
      </c>
      <c r="AP35" s="953">
        <f>AP34/AM34-1</f>
        <v>5.0000000000000044E-2</v>
      </c>
      <c r="AQ35" s="892">
        <f>+AO35</f>
        <v>0.05</v>
      </c>
      <c r="AR35" s="892">
        <f>+AQ35</f>
        <v>0.05</v>
      </c>
      <c r="AS35" s="953">
        <f>AS34/AP34-1</f>
        <v>5.0000000000000044E-2</v>
      </c>
      <c r="AT35" s="892">
        <f>+AR35</f>
        <v>0.05</v>
      </c>
      <c r="AU35" s="892">
        <f>+AT35</f>
        <v>0.05</v>
      </c>
      <c r="AV35" s="953">
        <f>AV34/AS34-1</f>
        <v>5.0000000000000266E-2</v>
      </c>
      <c r="AW35" s="892">
        <f>+AU35</f>
        <v>0.05</v>
      </c>
      <c r="AX35" s="892">
        <f>+AW35</f>
        <v>0.05</v>
      </c>
      <c r="AY35" s="953">
        <f>AY34/AV34-1</f>
        <v>5.0000000000000044E-2</v>
      </c>
      <c r="AZ35" s="892">
        <f>+AX35</f>
        <v>0.05</v>
      </c>
      <c r="BA35" s="892">
        <f>+AZ35</f>
        <v>0.05</v>
      </c>
      <c r="BB35" s="953">
        <f>BB34/AY34-1</f>
        <v>5.0000000000000044E-2</v>
      </c>
      <c r="BC35" s="892">
        <f>+BA35</f>
        <v>0.05</v>
      </c>
      <c r="BD35" s="892">
        <f>+BC35</f>
        <v>0.05</v>
      </c>
      <c r="BE35" s="953">
        <f>BE34/BB34-1</f>
        <v>5.0000000000000044E-2</v>
      </c>
    </row>
    <row r="36" spans="1:57">
      <c r="B36" s="13"/>
      <c r="C36" s="16"/>
      <c r="D36" s="891"/>
      <c r="E36" s="891"/>
      <c r="F36" s="891"/>
      <c r="G36" s="892"/>
      <c r="H36" s="892"/>
      <c r="I36" s="892"/>
      <c r="J36" s="892"/>
      <c r="K36" s="892"/>
      <c r="L36" s="892"/>
      <c r="M36" s="893"/>
      <c r="N36" s="893"/>
      <c r="O36" s="953"/>
      <c r="P36" s="881"/>
      <c r="Q36" s="881"/>
      <c r="R36" s="691"/>
      <c r="S36" s="896"/>
      <c r="T36" s="881"/>
      <c r="U36" s="691"/>
      <c r="V36" s="881"/>
      <c r="W36" s="881"/>
      <c r="X36" s="691"/>
      <c r="Y36" s="881"/>
      <c r="Z36" s="881"/>
      <c r="AA36" s="691"/>
      <c r="AB36" s="881"/>
      <c r="AC36" s="881"/>
      <c r="AD36" s="691"/>
      <c r="AE36" s="865"/>
      <c r="AF36" s="865"/>
      <c r="AG36" s="691"/>
      <c r="AH36" s="865"/>
      <c r="AI36" s="865"/>
      <c r="AJ36" s="691"/>
      <c r="AK36" s="865"/>
      <c r="AL36" s="865"/>
      <c r="AM36" s="691"/>
      <c r="AN36" s="865"/>
      <c r="AO36" s="865"/>
      <c r="AP36" s="691"/>
      <c r="AQ36" s="865"/>
      <c r="AR36" s="865"/>
      <c r="AS36" s="691"/>
      <c r="AT36" s="865"/>
      <c r="AU36" s="865"/>
      <c r="AV36" s="691"/>
      <c r="AW36" s="865"/>
      <c r="AX36" s="865"/>
      <c r="AY36" s="691"/>
      <c r="AZ36" s="865"/>
      <c r="BA36" s="865"/>
      <c r="BB36" s="691"/>
      <c r="BC36" s="865"/>
      <c r="BD36" s="865"/>
      <c r="BE36" s="691"/>
    </row>
    <row r="37" spans="1:57">
      <c r="B37" s="1" t="s">
        <v>881</v>
      </c>
      <c r="C37" s="16" t="s">
        <v>357</v>
      </c>
      <c r="D37" s="873"/>
      <c r="E37" s="873"/>
      <c r="F37" s="874"/>
      <c r="G37" s="873"/>
      <c r="H37" s="873"/>
      <c r="I37" s="874"/>
      <c r="J37" s="873"/>
      <c r="K37" s="873"/>
      <c r="L37" s="874"/>
      <c r="M37" s="873">
        <v>115.79884449907806</v>
      </c>
      <c r="N37" s="873">
        <f>O37-M37</f>
        <v>90.366355255070687</v>
      </c>
      <c r="O37" s="954">
        <v>206.16519975414874</v>
      </c>
      <c r="P37" s="873">
        <f>M37*(1+P38)</f>
        <v>99.913150120053785</v>
      </c>
      <c r="Q37" s="873">
        <f>R37-P37</f>
        <v>97.73373029346979</v>
      </c>
      <c r="R37" s="954">
        <v>197.64688041352358</v>
      </c>
      <c r="S37" s="933">
        <v>77</v>
      </c>
      <c r="T37" s="477">
        <f>+U37-S37</f>
        <v>98</v>
      </c>
      <c r="U37" s="929">
        <v>175</v>
      </c>
      <c r="V37" s="933">
        <v>46</v>
      </c>
      <c r="W37" s="477">
        <f>+X37-V37</f>
        <v>63</v>
      </c>
      <c r="X37" s="971">
        <v>109</v>
      </c>
      <c r="Y37" s="933">
        <v>78</v>
      </c>
      <c r="Z37" s="477">
        <f>+AA37-Y37</f>
        <v>180</v>
      </c>
      <c r="AA37" s="971">
        <v>258</v>
      </c>
      <c r="AB37" s="933">
        <v>205</v>
      </c>
      <c r="AC37" s="477">
        <f>Z37*(1+AC38)</f>
        <v>189</v>
      </c>
      <c r="AD37" s="729">
        <f>SUM(AB37:AC37)</f>
        <v>394</v>
      </c>
      <c r="AE37" s="477">
        <f>AB37*(1+AE38)</f>
        <v>225.50000000000003</v>
      </c>
      <c r="AF37" s="477">
        <f>AC37*(1+AF38)</f>
        <v>151.20000000000002</v>
      </c>
      <c r="AG37" s="729">
        <f>SUM(AE37:AF37)</f>
        <v>376.70000000000005</v>
      </c>
      <c r="AH37" s="477">
        <f>AE37*(1+AH38)</f>
        <v>180.40000000000003</v>
      </c>
      <c r="AI37" s="477">
        <f>AF37*(1+AI38)</f>
        <v>158.76000000000002</v>
      </c>
      <c r="AJ37" s="729">
        <f>SUM(AH37:AI37)</f>
        <v>339.16000000000008</v>
      </c>
      <c r="AK37" s="477">
        <f>AH37*(1+AK38)</f>
        <v>189.42000000000004</v>
      </c>
      <c r="AL37" s="477">
        <f>AI37*(1+AL38)</f>
        <v>166.69800000000004</v>
      </c>
      <c r="AM37" s="729">
        <f>SUM(AK37:AL37)</f>
        <v>356.11800000000005</v>
      </c>
      <c r="AN37" s="477">
        <f>AK37*(1+AN38)</f>
        <v>198.89100000000005</v>
      </c>
      <c r="AO37" s="477">
        <f>AL37*(1+AO38)</f>
        <v>175.03290000000004</v>
      </c>
      <c r="AP37" s="729">
        <f>SUM(AN37:AO37)</f>
        <v>373.92390000000012</v>
      </c>
      <c r="AQ37" s="477">
        <f>AN37*(1+AQ38)</f>
        <v>208.83555000000007</v>
      </c>
      <c r="AR37" s="477">
        <f>AO37*(1+AR38)</f>
        <v>183.78454500000004</v>
      </c>
      <c r="AS37" s="729">
        <f>SUM(AQ37:AR37)</f>
        <v>392.62009500000011</v>
      </c>
      <c r="AT37" s="477">
        <f>AQ37*(1+AT38)</f>
        <v>219.27732750000007</v>
      </c>
      <c r="AU37" s="477">
        <f>AR37*(1+AU38)</f>
        <v>192.97377225000005</v>
      </c>
      <c r="AV37" s="729">
        <f>SUM(AT37:AU37)</f>
        <v>412.25109975000009</v>
      </c>
      <c r="AW37" s="477">
        <f>AT37*(1+AW38)</f>
        <v>230.24119387500008</v>
      </c>
      <c r="AX37" s="477">
        <f>AU37*(1+AX38)</f>
        <v>202.62246086250008</v>
      </c>
      <c r="AY37" s="729">
        <f>SUM(AW37:AX37)</f>
        <v>432.86365473750016</v>
      </c>
      <c r="AZ37" s="477">
        <f>AW37*(1+AZ38)</f>
        <v>241.7532535687501</v>
      </c>
      <c r="BA37" s="477">
        <f>AX37*(1+BA38)</f>
        <v>212.75358390562508</v>
      </c>
      <c r="BB37" s="729">
        <f>SUM(AZ37:BA37)</f>
        <v>454.50683747437517</v>
      </c>
      <c r="BC37" s="477">
        <f>AZ37*(1+BC38)</f>
        <v>253.84091624718761</v>
      </c>
      <c r="BD37" s="477">
        <f>BA37*(1+BD38)</f>
        <v>223.39126310090634</v>
      </c>
      <c r="BE37" s="729">
        <f>SUM(BC37:BD37)</f>
        <v>477.23217934809395</v>
      </c>
    </row>
    <row r="38" spans="1:57">
      <c r="B38" s="13" t="s">
        <v>891</v>
      </c>
      <c r="C38" s="16" t="s">
        <v>507</v>
      </c>
      <c r="D38" s="891"/>
      <c r="E38" s="891"/>
      <c r="F38" s="891"/>
      <c r="G38" s="892"/>
      <c r="H38" s="892"/>
      <c r="I38" s="892"/>
      <c r="J38" s="892"/>
      <c r="K38" s="892"/>
      <c r="L38" s="892"/>
      <c r="M38" s="893"/>
      <c r="N38" s="893"/>
      <c r="O38" s="953"/>
      <c r="P38" s="893">
        <v>-0.13718353104249459</v>
      </c>
      <c r="Q38" s="893">
        <f>Q37/N37-1</f>
        <v>8.1527854228531593E-2</v>
      </c>
      <c r="R38" s="953">
        <f>R37/O37-1</f>
        <v>-4.1317930236447475E-2</v>
      </c>
      <c r="S38" s="949">
        <f>S37/P37-1</f>
        <v>-0.22933067461612178</v>
      </c>
      <c r="T38" s="892">
        <v>0.15</v>
      </c>
      <c r="U38" s="953">
        <f>U37/R37-1</f>
        <v>-0.11458253409383945</v>
      </c>
      <c r="V38" s="949">
        <f>V37/S37-1</f>
        <v>-0.40259740259740262</v>
      </c>
      <c r="W38" s="892">
        <v>0.05</v>
      </c>
      <c r="X38" s="953">
        <f>X37/U37-1</f>
        <v>-0.37714285714285711</v>
      </c>
      <c r="Y38" s="949">
        <f>Y37/V37-1</f>
        <v>0.69565217391304346</v>
      </c>
      <c r="Z38" s="892">
        <f>Z37/W37-1</f>
        <v>1.8571428571428572</v>
      </c>
      <c r="AA38" s="953">
        <f>AA37/X37-1</f>
        <v>1.3669724770642202</v>
      </c>
      <c r="AB38" s="949">
        <f>AB37/Y37-1</f>
        <v>1.6282051282051282</v>
      </c>
      <c r="AC38" s="892">
        <v>0.05</v>
      </c>
      <c r="AD38" s="953">
        <f>AD37/AA37-1</f>
        <v>0.52713178294573648</v>
      </c>
      <c r="AE38" s="972">
        <v>0.1</v>
      </c>
      <c r="AF38" s="972">
        <v>-0.2</v>
      </c>
      <c r="AG38" s="953">
        <f>AG37/AD37-1</f>
        <v>-4.3908629441624214E-2</v>
      </c>
      <c r="AH38" s="972">
        <f>+AF38</f>
        <v>-0.2</v>
      </c>
      <c r="AI38" s="892">
        <v>0.05</v>
      </c>
      <c r="AJ38" s="953">
        <f>AJ37/AG37-1</f>
        <v>-9.965489779665504E-2</v>
      </c>
      <c r="AK38" s="892">
        <f>+AI38</f>
        <v>0.05</v>
      </c>
      <c r="AL38" s="892">
        <f>+AK38</f>
        <v>0.05</v>
      </c>
      <c r="AM38" s="953">
        <f>AM37/AJ37-1</f>
        <v>4.9999999999999822E-2</v>
      </c>
      <c r="AN38" s="892">
        <f>+AL38</f>
        <v>0.05</v>
      </c>
      <c r="AO38" s="892">
        <f>+AN38</f>
        <v>0.05</v>
      </c>
      <c r="AP38" s="953">
        <f>AP37/AM37-1</f>
        <v>5.0000000000000266E-2</v>
      </c>
      <c r="AQ38" s="892">
        <f>+AO38</f>
        <v>0.05</v>
      </c>
      <c r="AR38" s="892">
        <f>+AQ38</f>
        <v>0.05</v>
      </c>
      <c r="AS38" s="953">
        <f>AS37/AP37-1</f>
        <v>5.0000000000000044E-2</v>
      </c>
      <c r="AT38" s="892">
        <f>+AR38</f>
        <v>0.05</v>
      </c>
      <c r="AU38" s="892">
        <f>+AT38</f>
        <v>0.05</v>
      </c>
      <c r="AV38" s="953">
        <f>AV37/AS37-1</f>
        <v>5.0000000000000044E-2</v>
      </c>
      <c r="AW38" s="892">
        <f>+AU38</f>
        <v>0.05</v>
      </c>
      <c r="AX38" s="892">
        <f>+AW38</f>
        <v>0.05</v>
      </c>
      <c r="AY38" s="953">
        <f>AY37/AV37-1</f>
        <v>5.0000000000000044E-2</v>
      </c>
      <c r="AZ38" s="892">
        <f>+AX38</f>
        <v>0.05</v>
      </c>
      <c r="BA38" s="892">
        <f>+AZ38</f>
        <v>0.05</v>
      </c>
      <c r="BB38" s="953">
        <f>BB37/AY37-1</f>
        <v>5.0000000000000044E-2</v>
      </c>
      <c r="BC38" s="892">
        <f>+BA38</f>
        <v>0.05</v>
      </c>
      <c r="BD38" s="892">
        <f>+BC38</f>
        <v>0.05</v>
      </c>
      <c r="BE38" s="953">
        <f>BE37/BB37-1</f>
        <v>5.0000000000000044E-2</v>
      </c>
    </row>
    <row r="39" spans="1:57">
      <c r="B39" s="13"/>
      <c r="M39" s="881"/>
      <c r="N39" s="881"/>
      <c r="O39" s="691"/>
      <c r="P39" s="881"/>
      <c r="Q39" s="881"/>
      <c r="R39" s="691"/>
      <c r="S39" s="881"/>
      <c r="T39" s="881"/>
      <c r="U39" s="691"/>
      <c r="V39" s="881"/>
      <c r="W39" s="881"/>
      <c r="X39" s="691"/>
      <c r="Y39" s="881"/>
      <c r="Z39" s="881"/>
      <c r="AA39" s="691"/>
      <c r="AB39" s="881"/>
      <c r="AC39" s="881"/>
      <c r="AD39" s="691"/>
      <c r="AE39" s="865"/>
      <c r="AF39" s="865"/>
      <c r="AG39" s="691"/>
      <c r="AH39" s="865"/>
      <c r="AI39" s="865"/>
      <c r="AJ39" s="691"/>
      <c r="AK39" s="865"/>
      <c r="AL39" s="865"/>
      <c r="AM39" s="691"/>
      <c r="AN39" s="865"/>
      <c r="AO39" s="865"/>
      <c r="AP39" s="691"/>
      <c r="AQ39" s="865"/>
      <c r="AR39" s="865"/>
      <c r="AS39" s="691"/>
      <c r="AT39" s="865"/>
      <c r="AU39" s="865"/>
      <c r="AV39" s="691"/>
      <c r="AW39" s="865"/>
      <c r="AX39" s="865"/>
      <c r="AY39" s="691"/>
      <c r="AZ39" s="865"/>
      <c r="BA39" s="865"/>
      <c r="BB39" s="691"/>
      <c r="BC39" s="865"/>
      <c r="BD39" s="865"/>
      <c r="BE39" s="691"/>
    </row>
    <row r="40" spans="1:57">
      <c r="B40" s="1" t="s">
        <v>884</v>
      </c>
      <c r="C40" s="16" t="s">
        <v>357</v>
      </c>
      <c r="M40" s="881"/>
      <c r="N40" s="881"/>
      <c r="O40" s="691"/>
      <c r="P40" s="873">
        <v>0</v>
      </c>
      <c r="Q40" s="873">
        <v>16.75</v>
      </c>
      <c r="R40" s="954">
        <f>SUM(P40:Q40)</f>
        <v>16.75</v>
      </c>
      <c r="S40" s="873">
        <v>18.5</v>
      </c>
      <c r="T40" s="873">
        <v>19.5</v>
      </c>
      <c r="U40" s="729">
        <f>SUM(S40:T40)</f>
        <v>38</v>
      </c>
      <c r="V40" s="933">
        <f>(4.4+1.6)*2</f>
        <v>12</v>
      </c>
      <c r="W40" s="933">
        <f>T40*(1+W41)</f>
        <v>12.675000000000001</v>
      </c>
      <c r="X40" s="729">
        <f>SUM(V40:W40)</f>
        <v>24.675000000000001</v>
      </c>
      <c r="Y40" s="936">
        <f>V40*(1+Y41)</f>
        <v>13.200000000000001</v>
      </c>
      <c r="Z40" s="936">
        <f>W40*(1+Z41)</f>
        <v>8.2387500000000014</v>
      </c>
      <c r="AA40" s="1847">
        <f>SUM(Y40:Z40)</f>
        <v>21.438750000000002</v>
      </c>
      <c r="AB40" s="936">
        <f>Y40*(1+AB41)</f>
        <v>14.520000000000003</v>
      </c>
      <c r="AC40" s="477">
        <f>Z40*(1+AC41)</f>
        <v>9.0626250000000024</v>
      </c>
      <c r="AD40" s="729">
        <f>SUM(AB40:AC40)</f>
        <v>23.582625000000007</v>
      </c>
      <c r="AE40" s="477">
        <f>AB40*(1+AE41)</f>
        <v>15.972000000000005</v>
      </c>
      <c r="AF40" s="477">
        <f>AC40*(1+AF41)</f>
        <v>9.9688875000000028</v>
      </c>
      <c r="AG40" s="729">
        <f>SUM(AE40:AF40)</f>
        <v>25.940887500000009</v>
      </c>
      <c r="AH40" s="477">
        <f>AE40*(1+AH41)</f>
        <v>17.569200000000006</v>
      </c>
      <c r="AI40" s="477">
        <f>AF40*(1+AI41)</f>
        <v>10.965776250000005</v>
      </c>
      <c r="AJ40" s="729">
        <f>SUM(AH40:AI40)</f>
        <v>28.53497625000001</v>
      </c>
      <c r="AK40" s="477">
        <f>AH40*(1+AK41)</f>
        <v>19.326120000000007</v>
      </c>
      <c r="AL40" s="477">
        <f>AI40*(1+AL41)</f>
        <v>12.062353875000007</v>
      </c>
      <c r="AM40" s="729">
        <f>SUM(AK40:AL40)</f>
        <v>31.388473875000013</v>
      </c>
      <c r="AN40" s="477">
        <f>AK40*(1+AN41)</f>
        <v>21.258732000000009</v>
      </c>
      <c r="AO40" s="477">
        <f>AL40*(1+AO41)</f>
        <v>13.268589262500008</v>
      </c>
      <c r="AP40" s="729">
        <f>SUM(AN40:AO40)</f>
        <v>34.527321262500017</v>
      </c>
      <c r="AQ40" s="477">
        <f>AN40*(1+AQ41)</f>
        <v>23.384605200000014</v>
      </c>
      <c r="AR40" s="477">
        <f>AO40*(1+AR41)</f>
        <v>14.59544818875001</v>
      </c>
      <c r="AS40" s="729">
        <f>SUM(AQ40:AR40)</f>
        <v>37.980053388750022</v>
      </c>
      <c r="AT40" s="477">
        <f>AQ40*(1+AT41)</f>
        <v>25.723065720000015</v>
      </c>
      <c r="AU40" s="477">
        <f>AR40*(1+AU41)</f>
        <v>16.054993007625011</v>
      </c>
      <c r="AV40" s="729">
        <f>SUM(AT40:AU40)</f>
        <v>41.778058727625023</v>
      </c>
      <c r="AW40" s="477">
        <f>AT40*(1+AW41)</f>
        <v>28.295372292000017</v>
      </c>
      <c r="AX40" s="477">
        <f>AU40*(1+AX41)</f>
        <v>17.660492308387514</v>
      </c>
      <c r="AY40" s="729">
        <f>SUM(AW40:AX40)</f>
        <v>45.955864600387528</v>
      </c>
      <c r="AZ40" s="477">
        <f>AW40*(1+AZ41)</f>
        <v>31.124909521200021</v>
      </c>
      <c r="BA40" s="477">
        <f>AX40*(1+BA41)</f>
        <v>19.426541539226267</v>
      </c>
      <c r="BB40" s="729">
        <f>SUM(AZ40:BA40)</f>
        <v>50.551451060426288</v>
      </c>
      <c r="BC40" s="477">
        <f>AZ40*(1+BC41)</f>
        <v>34.237400473320022</v>
      </c>
      <c r="BD40" s="477">
        <f>BA40*(1+BD41)</f>
        <v>21.369195693148896</v>
      </c>
      <c r="BE40" s="729">
        <f>SUM(BC40:BD40)</f>
        <v>55.606596166468918</v>
      </c>
    </row>
    <row r="41" spans="1:57">
      <c r="B41" s="13" t="s">
        <v>891</v>
      </c>
      <c r="C41" s="16" t="s">
        <v>507</v>
      </c>
      <c r="M41" s="881"/>
      <c r="N41" s="881"/>
      <c r="O41" s="691"/>
      <c r="P41" s="893"/>
      <c r="Q41" s="893"/>
      <c r="R41" s="953"/>
      <c r="S41" s="973">
        <f>S40/S9</f>
        <v>2.0809898762654669E-2</v>
      </c>
      <c r="T41" s="892">
        <f>T40/Q40-1</f>
        <v>0.16417910447761197</v>
      </c>
      <c r="U41" s="953">
        <f>U40/R40-1</f>
        <v>1.2686567164179103</v>
      </c>
      <c r="V41" s="892">
        <f>V40/S40-1</f>
        <v>-0.35135135135135132</v>
      </c>
      <c r="W41" s="972">
        <v>-0.35</v>
      </c>
      <c r="X41" s="953">
        <f>X40/U40-1</f>
        <v>-0.35065789473684206</v>
      </c>
      <c r="Y41" s="972">
        <v>0.1</v>
      </c>
      <c r="Z41" s="972">
        <v>-0.35</v>
      </c>
      <c r="AA41" s="953">
        <f>AA40/X40-1</f>
        <v>-0.13115501519756834</v>
      </c>
      <c r="AB41" s="972">
        <v>0.1</v>
      </c>
      <c r="AC41" s="892">
        <f>+AB41</f>
        <v>0.1</v>
      </c>
      <c r="AD41" s="953">
        <f>AD40/AA40-1</f>
        <v>0.10000000000000031</v>
      </c>
      <c r="AE41" s="892">
        <f>+AC41</f>
        <v>0.1</v>
      </c>
      <c r="AF41" s="892">
        <f>+AE41</f>
        <v>0.1</v>
      </c>
      <c r="AG41" s="953">
        <f>AG40/AD40-1</f>
        <v>0.10000000000000009</v>
      </c>
      <c r="AH41" s="892">
        <f>+AF41</f>
        <v>0.1</v>
      </c>
      <c r="AI41" s="892">
        <f>+AH41</f>
        <v>0.1</v>
      </c>
      <c r="AJ41" s="953">
        <f>AJ40/AG40-1</f>
        <v>0.10000000000000009</v>
      </c>
      <c r="AK41" s="892">
        <f>+AI41</f>
        <v>0.1</v>
      </c>
      <c r="AL41" s="892">
        <f>+AK41</f>
        <v>0.1</v>
      </c>
      <c r="AM41" s="953">
        <f>AM40/AJ40-1</f>
        <v>0.10000000000000009</v>
      </c>
      <c r="AN41" s="892">
        <f>+AL41</f>
        <v>0.1</v>
      </c>
      <c r="AO41" s="892">
        <f>+AN41</f>
        <v>0.1</v>
      </c>
      <c r="AP41" s="953">
        <f>AP40/AM40-1</f>
        <v>0.10000000000000009</v>
      </c>
      <c r="AQ41" s="892">
        <f>+AO41</f>
        <v>0.1</v>
      </c>
      <c r="AR41" s="892">
        <f>+AQ41</f>
        <v>0.1</v>
      </c>
      <c r="AS41" s="953">
        <f>AS40/AP40-1</f>
        <v>0.10000000000000009</v>
      </c>
      <c r="AT41" s="892">
        <f>+AR41</f>
        <v>0.1</v>
      </c>
      <c r="AU41" s="892">
        <f>+AT41</f>
        <v>0.1</v>
      </c>
      <c r="AV41" s="953">
        <f>AV40/AS40-1</f>
        <v>9.9999999999999867E-2</v>
      </c>
      <c r="AW41" s="892">
        <f>+AU41</f>
        <v>0.1</v>
      </c>
      <c r="AX41" s="892">
        <f>+AW41</f>
        <v>0.1</v>
      </c>
      <c r="AY41" s="953">
        <f>AY40/AV40-1</f>
        <v>0.10000000000000009</v>
      </c>
      <c r="AZ41" s="892">
        <f>+AX41</f>
        <v>0.1</v>
      </c>
      <c r="BA41" s="892">
        <f>+AZ41</f>
        <v>0.1</v>
      </c>
      <c r="BB41" s="953">
        <f>BB40/AY40-1</f>
        <v>0.10000000000000009</v>
      </c>
      <c r="BC41" s="892">
        <f>+BA41</f>
        <v>0.1</v>
      </c>
      <c r="BD41" s="892">
        <f>+BC41</f>
        <v>0.1</v>
      </c>
      <c r="BE41" s="953">
        <f>BE40/BB40-1</f>
        <v>0.10000000000000009</v>
      </c>
    </row>
    <row r="42" spans="1:57" ht="13.5" thickBot="1">
      <c r="B42" s="13"/>
      <c r="M42" s="881"/>
      <c r="N42" s="881"/>
      <c r="O42" s="691"/>
      <c r="P42" s="881"/>
      <c r="Q42" s="881"/>
      <c r="R42" s="954"/>
      <c r="S42" s="898"/>
      <c r="T42" s="899"/>
      <c r="U42" s="691"/>
      <c r="V42" s="899"/>
      <c r="W42" s="881"/>
      <c r="X42" s="691"/>
      <c r="Y42" s="893"/>
      <c r="Z42" s="881"/>
      <c r="AA42" s="691"/>
      <c r="AB42" s="893"/>
      <c r="AC42" s="881"/>
      <c r="AD42" s="691"/>
      <c r="AE42" s="865"/>
      <c r="AF42" s="865"/>
      <c r="AG42" s="691"/>
      <c r="AH42" s="865"/>
      <c r="AI42" s="865"/>
      <c r="AJ42" s="691"/>
      <c r="AK42" s="865"/>
      <c r="AL42" s="865"/>
      <c r="AM42" s="691"/>
      <c r="AN42" s="865"/>
      <c r="AO42" s="865"/>
      <c r="AP42" s="691"/>
      <c r="AQ42" s="865"/>
      <c r="AR42" s="865"/>
      <c r="AS42" s="691"/>
      <c r="AT42" s="865"/>
      <c r="AU42" s="865"/>
      <c r="AV42" s="691"/>
      <c r="AW42" s="865"/>
      <c r="AX42" s="865"/>
      <c r="AY42" s="691"/>
      <c r="AZ42" s="865"/>
      <c r="BA42" s="865"/>
      <c r="BB42" s="691"/>
      <c r="BC42" s="865"/>
      <c r="BD42" s="865"/>
      <c r="BE42" s="691"/>
    </row>
    <row r="43" spans="1:57" ht="13.5" thickBot="1">
      <c r="A43" s="11" t="s">
        <v>1057</v>
      </c>
      <c r="B43" s="859" t="s">
        <v>914</v>
      </c>
      <c r="C43" s="860" t="s">
        <v>357</v>
      </c>
      <c r="D43" s="876"/>
      <c r="E43" s="876"/>
      <c r="F43" s="877"/>
      <c r="G43" s="876"/>
      <c r="H43" s="876"/>
      <c r="I43" s="877"/>
      <c r="J43" s="876"/>
      <c r="K43" s="876"/>
      <c r="L43" s="877"/>
      <c r="M43" s="943">
        <f>M46</f>
        <v>65.919963122311003</v>
      </c>
      <c r="N43" s="943">
        <f>N46</f>
        <v>62.506711739397616</v>
      </c>
      <c r="O43" s="950">
        <f>SUM(M43:N43)</f>
        <v>128.42667486170862</v>
      </c>
      <c r="P43" s="943">
        <f>P46</f>
        <v>51.7</v>
      </c>
      <c r="Q43" s="944">
        <f>Q46</f>
        <v>75.899999999999991</v>
      </c>
      <c r="R43" s="958">
        <f>SUM(P43:Q43)</f>
        <v>127.6</v>
      </c>
      <c r="S43" s="942">
        <v>55</v>
      </c>
      <c r="T43" s="944">
        <f>T46+T49</f>
        <v>81</v>
      </c>
      <c r="U43" s="970">
        <v>136</v>
      </c>
      <c r="V43" s="942">
        <v>90</v>
      </c>
      <c r="W43" s="944">
        <f>W46+W49</f>
        <v>110</v>
      </c>
      <c r="X43" s="970">
        <v>200</v>
      </c>
      <c r="Y43" s="942">
        <v>127</v>
      </c>
      <c r="Z43" s="944">
        <f>Z46+Z49</f>
        <v>140</v>
      </c>
      <c r="AA43" s="970">
        <v>267</v>
      </c>
      <c r="AB43" s="942">
        <v>191</v>
      </c>
      <c r="AC43" s="944">
        <f>AC46+AC49</f>
        <v>157.80000000000001</v>
      </c>
      <c r="AD43" s="958">
        <f>SUM(AB43:AC43)</f>
        <v>348.8</v>
      </c>
      <c r="AE43" s="943">
        <f>AE46+AE49</f>
        <v>202.27</v>
      </c>
      <c r="AF43" s="944">
        <f>AF46+AF49</f>
        <v>167.11799999999999</v>
      </c>
      <c r="AG43" s="958">
        <f>SUM(AE43:AF43)</f>
        <v>369.38800000000003</v>
      </c>
      <c r="AH43" s="943">
        <f>AH46+AH49</f>
        <v>214.22390000000001</v>
      </c>
      <c r="AI43" s="944">
        <f>AI46+AI49</f>
        <v>177.00186000000002</v>
      </c>
      <c r="AJ43" s="958">
        <f>SUM(AH43:AI43)</f>
        <v>391.22576000000004</v>
      </c>
      <c r="AK43" s="943">
        <f>AK46+AK49</f>
        <v>226.90432300000003</v>
      </c>
      <c r="AL43" s="944">
        <f>AL46+AL49</f>
        <v>187.48687020000003</v>
      </c>
      <c r="AM43" s="958">
        <f>SUM(AK43:AL43)</f>
        <v>414.39119320000009</v>
      </c>
      <c r="AN43" s="943">
        <f>AN46+AN49</f>
        <v>240.35661311000007</v>
      </c>
      <c r="AO43" s="944">
        <f>AO46+AO49</f>
        <v>198.61057511400003</v>
      </c>
      <c r="AP43" s="958">
        <f>SUM(AN43:AO43)</f>
        <v>438.9671882240001</v>
      </c>
      <c r="AQ43" s="943">
        <f>AQ46+AQ49</f>
        <v>254.62901290270008</v>
      </c>
      <c r="AR43" s="944">
        <f>AR46+AR49</f>
        <v>210.41292057198004</v>
      </c>
      <c r="AS43" s="958">
        <f>SUM(AQ43:AR43)</f>
        <v>465.04193347468015</v>
      </c>
      <c r="AT43" s="943">
        <f>AT46+AT49</f>
        <v>269.77285252463912</v>
      </c>
      <c r="AU43" s="944">
        <f>AU46+AU49</f>
        <v>222.93641047201865</v>
      </c>
      <c r="AV43" s="958">
        <f>SUM(AT43:AU43)</f>
        <v>492.7092629966578</v>
      </c>
      <c r="AW43" s="943">
        <f>AW46+AW49</f>
        <v>285.84275135605139</v>
      </c>
      <c r="AX43" s="944">
        <f>AX46+AX49</f>
        <v>236.22627393805999</v>
      </c>
      <c r="AY43" s="958">
        <f>SUM(AW43:AX43)</f>
        <v>522.06902529411138</v>
      </c>
      <c r="AZ43" s="943">
        <f>AZ46+AZ49</f>
        <v>302.89683306339691</v>
      </c>
      <c r="BA43" s="944">
        <f>BA46+BA49</f>
        <v>250.33064358337418</v>
      </c>
      <c r="BB43" s="958">
        <f>SUM(AZ43:BA43)</f>
        <v>553.22747664677104</v>
      </c>
      <c r="BC43" s="943">
        <f>BC46+BC49</f>
        <v>320.99695494587763</v>
      </c>
      <c r="BD43" s="944">
        <f>BD46+BD49</f>
        <v>265.30074562734285</v>
      </c>
      <c r="BE43" s="958">
        <f>SUM(BC43:BD43)</f>
        <v>586.29770057322048</v>
      </c>
    </row>
    <row r="44" spans="1:57">
      <c r="B44" s="13" t="s">
        <v>891</v>
      </c>
      <c r="C44" s="862" t="s">
        <v>507</v>
      </c>
      <c r="D44" s="873"/>
      <c r="E44" s="873"/>
      <c r="F44" s="873"/>
      <c r="G44" s="873"/>
      <c r="H44" s="873"/>
      <c r="I44" s="873"/>
      <c r="J44" s="873"/>
      <c r="K44" s="873"/>
      <c r="L44" s="873"/>
      <c r="M44" s="873"/>
      <c r="N44" s="873"/>
      <c r="O44" s="954"/>
      <c r="P44" s="893">
        <f>P43/M43-1</f>
        <v>-0.2157155806644887</v>
      </c>
      <c r="Q44" s="893">
        <f t="shared" ref="Q44:AV44" si="16">Q43/N43-1</f>
        <v>0.2142696022219428</v>
      </c>
      <c r="R44" s="953">
        <f t="shared" si="16"/>
        <v>-6.4369404767257166E-3</v>
      </c>
      <c r="S44" s="949">
        <f t="shared" si="16"/>
        <v>6.3829787234042534E-2</v>
      </c>
      <c r="T44" s="892">
        <f t="shared" si="16"/>
        <v>6.7193675889328119E-2</v>
      </c>
      <c r="U44" s="953">
        <f t="shared" si="16"/>
        <v>6.5830721003134807E-2</v>
      </c>
      <c r="V44" s="892">
        <f t="shared" si="16"/>
        <v>0.63636363636363646</v>
      </c>
      <c r="W44" s="892">
        <f t="shared" si="16"/>
        <v>0.35802469135802473</v>
      </c>
      <c r="X44" s="953">
        <f t="shared" si="16"/>
        <v>0.47058823529411775</v>
      </c>
      <c r="Y44" s="892">
        <f t="shared" si="16"/>
        <v>0.4111111111111112</v>
      </c>
      <c r="Z44" s="892">
        <f>Z43/W43-1</f>
        <v>0.27272727272727271</v>
      </c>
      <c r="AA44" s="953">
        <f>AA43/X43-1</f>
        <v>0.33499999999999996</v>
      </c>
      <c r="AB44" s="892">
        <f t="shared" si="16"/>
        <v>0.50393700787401574</v>
      </c>
      <c r="AC44" s="892">
        <f t="shared" si="16"/>
        <v>0.12714285714285722</v>
      </c>
      <c r="AD44" s="953">
        <f t="shared" si="16"/>
        <v>0.306367041198502</v>
      </c>
      <c r="AE44" s="892">
        <f t="shared" si="16"/>
        <v>5.9005235602094253E-2</v>
      </c>
      <c r="AF44" s="892">
        <f t="shared" si="16"/>
        <v>5.9049429657794583E-2</v>
      </c>
      <c r="AG44" s="953">
        <f t="shared" si="16"/>
        <v>5.9025229357798192E-2</v>
      </c>
      <c r="AH44" s="892">
        <f t="shared" si="16"/>
        <v>5.9098729421070972E-2</v>
      </c>
      <c r="AI44" s="892">
        <f t="shared" si="16"/>
        <v>5.9143000753958397E-2</v>
      </c>
      <c r="AJ44" s="953">
        <f t="shared" si="16"/>
        <v>5.9118758595298138E-2</v>
      </c>
      <c r="AK44" s="892">
        <f t="shared" si="16"/>
        <v>5.9192382362565521E-2</v>
      </c>
      <c r="AL44" s="892">
        <f t="shared" si="16"/>
        <v>5.9236723275111425E-2</v>
      </c>
      <c r="AM44" s="953">
        <f t="shared" si="16"/>
        <v>5.9212443475092469E-2</v>
      </c>
      <c r="AN44" s="892">
        <f t="shared" si="16"/>
        <v>5.928617812186876E-2</v>
      </c>
      <c r="AO44" s="892">
        <f t="shared" si="16"/>
        <v>5.9330580867523519E-2</v>
      </c>
      <c r="AP44" s="953">
        <f t="shared" si="16"/>
        <v>5.9306267669976265E-2</v>
      </c>
      <c r="AQ44" s="892">
        <f t="shared" si="16"/>
        <v>5.938010029359253E-2</v>
      </c>
      <c r="AR44" s="892">
        <f t="shared" si="16"/>
        <v>5.9424557082147444E-2</v>
      </c>
      <c r="AS44" s="953">
        <f t="shared" si="16"/>
        <v>5.9400214754489644E-2</v>
      </c>
      <c r="AT44" s="892">
        <f t="shared" si="16"/>
        <v>5.9474132383044109E-2</v>
      </c>
      <c r="AU44" s="892">
        <f t="shared" si="16"/>
        <v>5.9518635386054841E-2</v>
      </c>
      <c r="AV44" s="953">
        <f t="shared" si="16"/>
        <v>5.9494268216317758E-2</v>
      </c>
      <c r="AW44" s="892">
        <f t="shared" ref="AW44:BE44" si="17">AW43/AT43-1</f>
        <v>5.9568257817730341E-2</v>
      </c>
      <c r="AX44" s="892">
        <f t="shared" si="17"/>
        <v>5.9612799174002085E-2</v>
      </c>
      <c r="AY44" s="953">
        <f t="shared" si="17"/>
        <v>5.9588411467824898E-2</v>
      </c>
      <c r="AZ44" s="892">
        <f t="shared" si="17"/>
        <v>5.9662459958981451E-2</v>
      </c>
      <c r="BA44" s="892">
        <f t="shared" si="17"/>
        <v>5.9707031780099395E-2</v>
      </c>
      <c r="BB44" s="953">
        <f t="shared" si="17"/>
        <v>5.9682627857698067E-2</v>
      </c>
      <c r="BC44" s="892">
        <f t="shared" si="17"/>
        <v>5.9756722113672112E-2</v>
      </c>
      <c r="BD44" s="892">
        <f t="shared" si="17"/>
        <v>5.9801316489576317E-2</v>
      </c>
      <c r="BE44" s="953">
        <f t="shared" si="17"/>
        <v>5.9776900682690481E-2</v>
      </c>
    </row>
    <row r="45" spans="1:57">
      <c r="B45" s="861"/>
      <c r="C45" s="861"/>
      <c r="D45" s="873"/>
      <c r="E45" s="873"/>
      <c r="F45" s="873"/>
      <c r="G45" s="873"/>
      <c r="H45" s="873"/>
      <c r="I45" s="873"/>
      <c r="J45" s="873"/>
      <c r="K45" s="873"/>
      <c r="L45" s="873"/>
      <c r="M45" s="873"/>
      <c r="N45" s="873"/>
      <c r="O45" s="954"/>
      <c r="P45" s="873"/>
      <c r="Q45" s="873"/>
      <c r="R45" s="962"/>
      <c r="S45" s="873"/>
      <c r="T45" s="873"/>
      <c r="U45" s="962"/>
      <c r="V45" s="873"/>
      <c r="W45" s="873"/>
      <c r="X45" s="962"/>
      <c r="Y45" s="873"/>
      <c r="Z45" s="873"/>
      <c r="AA45" s="962"/>
      <c r="AB45" s="873"/>
      <c r="AC45" s="873"/>
      <c r="AD45" s="962"/>
      <c r="AE45" s="873"/>
      <c r="AF45" s="873"/>
      <c r="AG45" s="962"/>
      <c r="AH45" s="873"/>
      <c r="AI45" s="873"/>
      <c r="AJ45" s="962"/>
      <c r="AK45" s="873"/>
      <c r="AL45" s="873"/>
      <c r="AM45" s="962"/>
      <c r="AN45" s="873"/>
      <c r="AO45" s="873"/>
      <c r="AP45" s="962"/>
      <c r="AQ45" s="873"/>
      <c r="AR45" s="873"/>
      <c r="AS45" s="962"/>
      <c r="AT45" s="873"/>
      <c r="AU45" s="873"/>
      <c r="AV45" s="962"/>
      <c r="AW45" s="873"/>
      <c r="AX45" s="873"/>
      <c r="AY45" s="962"/>
      <c r="AZ45" s="873"/>
      <c r="BA45" s="873"/>
      <c r="BB45" s="962"/>
      <c r="BC45" s="873"/>
      <c r="BD45" s="873"/>
      <c r="BE45" s="962"/>
    </row>
    <row r="46" spans="1:57">
      <c r="B46" s="1" t="s">
        <v>880</v>
      </c>
      <c r="C46" s="16" t="s">
        <v>357</v>
      </c>
      <c r="D46" s="873"/>
      <c r="E46" s="873"/>
      <c r="F46" s="874"/>
      <c r="G46" s="873"/>
      <c r="H46" s="873"/>
      <c r="I46" s="874"/>
      <c r="J46" s="873"/>
      <c r="K46" s="873"/>
      <c r="L46" s="874"/>
      <c r="M46" s="873">
        <v>65.919963122311003</v>
      </c>
      <c r="N46" s="873">
        <f>O46-M46</f>
        <v>62.506711739397616</v>
      </c>
      <c r="O46" s="954">
        <v>128.42667486170862</v>
      </c>
      <c r="P46" s="873">
        <v>51.7</v>
      </c>
      <c r="Q46" s="873">
        <f>R46-P46</f>
        <v>75.899999999999991</v>
      </c>
      <c r="R46" s="954">
        <v>127.6</v>
      </c>
      <c r="S46" s="933">
        <v>49</v>
      </c>
      <c r="T46" s="477">
        <f>+U46-S46</f>
        <v>63</v>
      </c>
      <c r="U46" s="971">
        <v>112</v>
      </c>
      <c r="V46" s="933">
        <v>66</v>
      </c>
      <c r="W46" s="477">
        <f>+X46-V46</f>
        <v>72</v>
      </c>
      <c r="X46" s="971">
        <v>138</v>
      </c>
      <c r="Y46" s="477">
        <v>76</v>
      </c>
      <c r="Z46" s="477">
        <f>+AA46-Y46</f>
        <v>68</v>
      </c>
      <c r="AA46" s="971">
        <v>144</v>
      </c>
      <c r="AB46" s="933">
        <v>86</v>
      </c>
      <c r="AC46" s="477">
        <f>Z46*(1+AC47)</f>
        <v>71.400000000000006</v>
      </c>
      <c r="AD46" s="729">
        <f>SUM(AB46:AC46)</f>
        <v>157.4</v>
      </c>
      <c r="AE46" s="477">
        <f>AB46*(1+AE47)</f>
        <v>92.02000000000001</v>
      </c>
      <c r="AF46" s="477">
        <f>AC46*(1+AF47)</f>
        <v>76.39800000000001</v>
      </c>
      <c r="AG46" s="729">
        <f>SUM(AE46:AF46)</f>
        <v>168.41800000000001</v>
      </c>
      <c r="AH46" s="477">
        <f>AE46*(1+AH47)</f>
        <v>98.461400000000012</v>
      </c>
      <c r="AI46" s="477">
        <f>AF46*(1+AI47)</f>
        <v>81.745860000000022</v>
      </c>
      <c r="AJ46" s="729">
        <f>SUM(AH46:AI46)</f>
        <v>180.20726000000002</v>
      </c>
      <c r="AK46" s="477">
        <f>AH46*(1+AK47)</f>
        <v>105.35369800000002</v>
      </c>
      <c r="AL46" s="477">
        <f>AI46*(1+AL47)</f>
        <v>87.468070200000028</v>
      </c>
      <c r="AM46" s="729">
        <f>SUM(AK46:AL46)</f>
        <v>192.82176820000007</v>
      </c>
      <c r="AN46" s="477">
        <f>AK46*(1+AN47)</f>
        <v>112.72845686000004</v>
      </c>
      <c r="AO46" s="477">
        <f>AL46*(1+AO47)</f>
        <v>93.590835114000029</v>
      </c>
      <c r="AP46" s="729">
        <f>SUM(AN46:AO46)</f>
        <v>206.31929197400007</v>
      </c>
      <c r="AQ46" s="477">
        <f>AN46*(1+AQ47)</f>
        <v>120.61944884020005</v>
      </c>
      <c r="AR46" s="477">
        <f>AO46*(1+AR47)</f>
        <v>100.14219357198003</v>
      </c>
      <c r="AS46" s="729">
        <f>SUM(AQ46:AR46)</f>
        <v>220.76164241218009</v>
      </c>
      <c r="AT46" s="477">
        <f>AQ46*(1+AT47)</f>
        <v>129.06281025901407</v>
      </c>
      <c r="AU46" s="477">
        <f>AR46*(1+AU47)</f>
        <v>107.15214712201863</v>
      </c>
      <c r="AV46" s="729">
        <f>SUM(AT46:AU46)</f>
        <v>236.21495738103272</v>
      </c>
      <c r="AW46" s="477">
        <f>AT46*(1+AW47)</f>
        <v>138.09720697714508</v>
      </c>
      <c r="AX46" s="477">
        <f>AU46*(1+AX47)</f>
        <v>114.65279742055995</v>
      </c>
      <c r="AY46" s="729">
        <f>SUM(AW46:AX46)</f>
        <v>252.75000439770503</v>
      </c>
      <c r="AZ46" s="477">
        <f>AW46*(1+AZ47)</f>
        <v>147.76401146554525</v>
      </c>
      <c r="BA46" s="477">
        <f>AX46*(1+BA47)</f>
        <v>122.67849323999916</v>
      </c>
      <c r="BB46" s="729">
        <f>SUM(AZ46:BA46)</f>
        <v>270.44250470554442</v>
      </c>
      <c r="BC46" s="477">
        <f>AZ46*(1+BC47)</f>
        <v>158.10749226813343</v>
      </c>
      <c r="BD46" s="477">
        <f>BA46*(1+BD47)</f>
        <v>131.2659877667991</v>
      </c>
      <c r="BE46" s="729">
        <f>SUM(BC46:BD46)</f>
        <v>289.37348003493253</v>
      </c>
    </row>
    <row r="47" spans="1:57">
      <c r="B47" s="13" t="s">
        <v>891</v>
      </c>
      <c r="C47" s="16" t="s">
        <v>507</v>
      </c>
      <c r="D47" s="891"/>
      <c r="E47" s="891"/>
      <c r="F47" s="891"/>
      <c r="G47" s="892"/>
      <c r="H47" s="892"/>
      <c r="I47" s="892"/>
      <c r="J47" s="892"/>
      <c r="K47" s="892"/>
      <c r="L47" s="892"/>
      <c r="M47" s="893"/>
      <c r="N47" s="893"/>
      <c r="O47" s="953"/>
      <c r="P47" s="893">
        <f>P46/M46-1</f>
        <v>-0.2157155806644887</v>
      </c>
      <c r="Q47" s="893">
        <f>Q46/N46-1</f>
        <v>0.2142696022219428</v>
      </c>
      <c r="R47" s="953">
        <f>R46/O46-1</f>
        <v>-6.4369404767257166E-3</v>
      </c>
      <c r="S47" s="949">
        <v>0.21299999999999999</v>
      </c>
      <c r="T47" s="892">
        <v>-0.17</v>
      </c>
      <c r="U47" s="953">
        <f>U46/R46-1</f>
        <v>-0.12225705329153602</v>
      </c>
      <c r="V47" s="892">
        <f>V46/S46-1</f>
        <v>0.34693877551020402</v>
      </c>
      <c r="W47" s="892">
        <v>7.0000000000000007E-2</v>
      </c>
      <c r="X47" s="953">
        <f>X46/U46-1</f>
        <v>0.23214285714285721</v>
      </c>
      <c r="Y47" s="892">
        <f>Y46/V46-1</f>
        <v>0.1515151515151516</v>
      </c>
      <c r="Z47" s="892">
        <v>7.0000000000000007E-2</v>
      </c>
      <c r="AA47" s="953">
        <f>AA46/X46-1</f>
        <v>4.3478260869565188E-2</v>
      </c>
      <c r="AB47" s="892">
        <f>AB46/Y46-1</f>
        <v>0.13157894736842102</v>
      </c>
      <c r="AC47" s="893">
        <v>0.05</v>
      </c>
      <c r="AD47" s="953">
        <f>AD46/AA46-1</f>
        <v>9.3055555555555669E-2</v>
      </c>
      <c r="AE47" s="893">
        <v>7.0000000000000007E-2</v>
      </c>
      <c r="AF47" s="893">
        <v>7.0000000000000007E-2</v>
      </c>
      <c r="AG47" s="953">
        <f>AG46/AD46-1</f>
        <v>7.0000000000000062E-2</v>
      </c>
      <c r="AH47" s="893">
        <f>AE47</f>
        <v>7.0000000000000007E-2</v>
      </c>
      <c r="AI47" s="893">
        <f>AF47</f>
        <v>7.0000000000000007E-2</v>
      </c>
      <c r="AJ47" s="953">
        <f>AJ46/AG46-1</f>
        <v>7.0000000000000062E-2</v>
      </c>
      <c r="AK47" s="893">
        <f>AH47</f>
        <v>7.0000000000000007E-2</v>
      </c>
      <c r="AL47" s="893">
        <f>AI47</f>
        <v>7.0000000000000007E-2</v>
      </c>
      <c r="AM47" s="953">
        <f>AM46/AJ46-1</f>
        <v>7.0000000000000284E-2</v>
      </c>
      <c r="AN47" s="893">
        <f>AK47</f>
        <v>7.0000000000000007E-2</v>
      </c>
      <c r="AO47" s="893">
        <f>AL47</f>
        <v>7.0000000000000007E-2</v>
      </c>
      <c r="AP47" s="953">
        <f>AP46/AM46-1</f>
        <v>7.0000000000000062E-2</v>
      </c>
      <c r="AQ47" s="893">
        <f>AN47</f>
        <v>7.0000000000000007E-2</v>
      </c>
      <c r="AR47" s="893">
        <f>AO47</f>
        <v>7.0000000000000007E-2</v>
      </c>
      <c r="AS47" s="953">
        <f>AS46/AP46-1</f>
        <v>7.0000000000000062E-2</v>
      </c>
      <c r="AT47" s="893">
        <f>AQ47</f>
        <v>7.0000000000000007E-2</v>
      </c>
      <c r="AU47" s="893">
        <f>AR47</f>
        <v>7.0000000000000007E-2</v>
      </c>
      <c r="AV47" s="953">
        <f>AV46/AS46-1</f>
        <v>7.0000000000000062E-2</v>
      </c>
      <c r="AW47" s="893">
        <f>AT47</f>
        <v>7.0000000000000007E-2</v>
      </c>
      <c r="AX47" s="893">
        <f>AU47</f>
        <v>7.0000000000000007E-2</v>
      </c>
      <c r="AY47" s="953">
        <f>AY46/AV46-1</f>
        <v>7.0000000000000062E-2</v>
      </c>
      <c r="AZ47" s="893">
        <f>AW47</f>
        <v>7.0000000000000007E-2</v>
      </c>
      <c r="BA47" s="893">
        <f>AX47</f>
        <v>7.0000000000000007E-2</v>
      </c>
      <c r="BB47" s="953">
        <f>BB46/AY46-1</f>
        <v>7.0000000000000284E-2</v>
      </c>
      <c r="BC47" s="893">
        <f>AZ47</f>
        <v>7.0000000000000007E-2</v>
      </c>
      <c r="BD47" s="893">
        <f>BA47</f>
        <v>7.0000000000000007E-2</v>
      </c>
      <c r="BE47" s="953">
        <f>BE46/BB46-1</f>
        <v>7.0000000000000062E-2</v>
      </c>
    </row>
    <row r="48" spans="1:57">
      <c r="B48" s="13"/>
      <c r="D48" s="881"/>
      <c r="E48" s="881"/>
      <c r="F48" s="881"/>
      <c r="G48" s="881"/>
      <c r="H48" s="881"/>
      <c r="I48" s="881"/>
      <c r="J48" s="881"/>
      <c r="K48" s="881"/>
      <c r="L48" s="881"/>
      <c r="M48" s="881"/>
      <c r="N48" s="881"/>
      <c r="O48" s="691"/>
      <c r="P48" s="865"/>
      <c r="Q48" s="865"/>
      <c r="R48" s="963"/>
      <c r="S48" s="975"/>
      <c r="T48" s="17"/>
      <c r="U48" s="974"/>
      <c r="V48" s="17"/>
      <c r="W48" s="17"/>
      <c r="X48" s="974"/>
      <c r="Y48" s="865"/>
      <c r="Z48" s="17"/>
      <c r="AA48" s="974"/>
      <c r="AB48" s="865"/>
      <c r="AC48" s="865"/>
      <c r="AD48" s="963"/>
      <c r="AE48" s="865"/>
      <c r="AF48" s="865"/>
      <c r="AG48" s="963"/>
      <c r="AH48" s="865"/>
      <c r="AI48" s="865"/>
      <c r="AJ48" s="963"/>
      <c r="AK48" s="865"/>
      <c r="AL48" s="865"/>
      <c r="AM48" s="963"/>
      <c r="AN48" s="865"/>
      <c r="AO48" s="865"/>
      <c r="AP48" s="963"/>
      <c r="AQ48" s="865"/>
      <c r="AR48" s="865"/>
      <c r="AS48" s="963"/>
      <c r="AT48" s="865"/>
      <c r="AU48" s="865"/>
      <c r="AV48" s="963"/>
      <c r="AW48" s="865"/>
      <c r="AX48" s="865"/>
      <c r="AY48" s="963"/>
      <c r="AZ48" s="865"/>
      <c r="BA48" s="865"/>
      <c r="BB48" s="963"/>
      <c r="BC48" s="865"/>
      <c r="BD48" s="865"/>
      <c r="BE48" s="963"/>
    </row>
    <row r="49" spans="2:57">
      <c r="B49" s="1" t="s">
        <v>958</v>
      </c>
      <c r="C49" s="16" t="s">
        <v>357</v>
      </c>
      <c r="M49" s="881"/>
      <c r="N49" s="881"/>
      <c r="O49" s="691"/>
      <c r="P49" s="873">
        <v>0</v>
      </c>
      <c r="Q49" s="873">
        <v>8.64</v>
      </c>
      <c r="R49" s="954">
        <f>SUM(P49:Q49)</f>
        <v>8.64</v>
      </c>
      <c r="S49" s="477">
        <f>+S43-S46</f>
        <v>6</v>
      </c>
      <c r="T49" s="477">
        <f>+U49-S49</f>
        <v>18</v>
      </c>
      <c r="U49" s="729">
        <f>+U43-U46</f>
        <v>24</v>
      </c>
      <c r="V49" s="477">
        <f>+V43-V46</f>
        <v>24</v>
      </c>
      <c r="W49" s="477">
        <f>+X49-V49</f>
        <v>38</v>
      </c>
      <c r="X49" s="729">
        <f>+X43-X46</f>
        <v>62</v>
      </c>
      <c r="Y49" s="477">
        <f>+Y43-Y46</f>
        <v>51</v>
      </c>
      <c r="Z49" s="477">
        <f>+AA49-Y49</f>
        <v>72</v>
      </c>
      <c r="AA49" s="729">
        <f>+AA43-AA46</f>
        <v>123</v>
      </c>
      <c r="AB49" s="477">
        <f>+AB43-AB46</f>
        <v>105</v>
      </c>
      <c r="AC49" s="9">
        <f>Z49*(1+AC50)</f>
        <v>86.399999999999991</v>
      </c>
      <c r="AD49" s="954">
        <f>SUM(AB49:AC49)</f>
        <v>191.39999999999998</v>
      </c>
      <c r="AE49" s="9">
        <f>AB49*(1+AE50)</f>
        <v>110.25</v>
      </c>
      <c r="AF49" s="9">
        <f>AC49*(1+AF50)</f>
        <v>90.72</v>
      </c>
      <c r="AG49" s="954">
        <f>SUM(AE49:AF49)</f>
        <v>200.97</v>
      </c>
      <c r="AH49" s="9">
        <f>AE49*(1+AH50)</f>
        <v>115.7625</v>
      </c>
      <c r="AI49" s="9">
        <f>AF49*(1+AI50)</f>
        <v>95.256</v>
      </c>
      <c r="AJ49" s="954">
        <f>SUM(AH49:AI49)</f>
        <v>211.01850000000002</v>
      </c>
      <c r="AK49" s="9">
        <f>AH49*(1+AK50)</f>
        <v>121.55062500000001</v>
      </c>
      <c r="AL49" s="9">
        <f>AI49*(1+AL50)</f>
        <v>100.0188</v>
      </c>
      <c r="AM49" s="954">
        <f>SUM(AK49:AL49)</f>
        <v>221.56942500000002</v>
      </c>
      <c r="AN49" s="9">
        <f>AK49*(1+AN50)</f>
        <v>127.62815625000002</v>
      </c>
      <c r="AO49" s="9">
        <f>AL49*(1+AO50)</f>
        <v>105.01974</v>
      </c>
      <c r="AP49" s="954">
        <f>SUM(AN49:AO49)</f>
        <v>232.64789625000003</v>
      </c>
      <c r="AQ49" s="9">
        <f>AN49*(1+AQ50)</f>
        <v>134.00956406250003</v>
      </c>
      <c r="AR49" s="9">
        <f>AO49*(1+AR50)</f>
        <v>110.27072700000001</v>
      </c>
      <c r="AS49" s="954">
        <f>SUM(AQ49:AR49)</f>
        <v>244.28029106250005</v>
      </c>
      <c r="AT49" s="9">
        <f>AQ49*(1+AT50)</f>
        <v>140.71004226562505</v>
      </c>
      <c r="AU49" s="9">
        <f>AR49*(1+AU50)</f>
        <v>115.78426335000002</v>
      </c>
      <c r="AV49" s="954">
        <f>SUM(AT49:AU49)</f>
        <v>256.49430561562508</v>
      </c>
      <c r="AW49" s="9">
        <f>AT49*(1+AW50)</f>
        <v>147.74554437890632</v>
      </c>
      <c r="AX49" s="9">
        <f>AU49*(1+AX50)</f>
        <v>121.57347651750003</v>
      </c>
      <c r="AY49" s="954">
        <f>SUM(AW49:AX49)</f>
        <v>269.31902089640636</v>
      </c>
      <c r="AZ49" s="9">
        <f>AW49*(1+AZ50)</f>
        <v>155.13282159785163</v>
      </c>
      <c r="BA49" s="9">
        <f>AX49*(1+BA50)</f>
        <v>127.65215034337503</v>
      </c>
      <c r="BB49" s="954">
        <f>SUM(AZ49:BA49)</f>
        <v>282.78497194122667</v>
      </c>
      <c r="BC49" s="9">
        <f>AZ49*(1+BC50)</f>
        <v>162.88946267774421</v>
      </c>
      <c r="BD49" s="9">
        <f>BA49*(1+BD50)</f>
        <v>134.03475786054378</v>
      </c>
      <c r="BE49" s="954">
        <f>SUM(BC49:BD49)</f>
        <v>296.92422053828795</v>
      </c>
    </row>
    <row r="50" spans="2:57">
      <c r="B50" s="13" t="s">
        <v>891</v>
      </c>
      <c r="C50" s="16" t="s">
        <v>507</v>
      </c>
      <c r="M50" s="881"/>
      <c r="N50" s="881"/>
      <c r="O50" s="691"/>
      <c r="P50" s="893"/>
      <c r="Q50" s="893"/>
      <c r="R50" s="953"/>
      <c r="S50" s="892"/>
      <c r="T50" s="892">
        <f>T49/Q49-1</f>
        <v>1.083333333333333</v>
      </c>
      <c r="U50" s="953">
        <f>U49/R49-1</f>
        <v>1.7777777777777777</v>
      </c>
      <c r="V50" s="892">
        <f>V49/S49-1</f>
        <v>3</v>
      </c>
      <c r="W50" s="892">
        <v>0.5</v>
      </c>
      <c r="X50" s="953">
        <f>X49/U49-1</f>
        <v>1.5833333333333335</v>
      </c>
      <c r="Y50" s="892">
        <f>Y49/V49-1</f>
        <v>1.125</v>
      </c>
      <c r="Z50" s="892">
        <v>0.5</v>
      </c>
      <c r="AA50" s="953">
        <f>AA49/X49-1</f>
        <v>0.9838709677419355</v>
      </c>
      <c r="AB50" s="892">
        <f>AB49/Y49-1</f>
        <v>1.0588235294117645</v>
      </c>
      <c r="AC50" s="1902">
        <v>0.2</v>
      </c>
      <c r="AD50" s="953">
        <f>AD49/AA49-1</f>
        <v>0.55609756097560958</v>
      </c>
      <c r="AE50" s="893">
        <v>0.05</v>
      </c>
      <c r="AF50" s="893">
        <v>0.05</v>
      </c>
      <c r="AG50" s="953">
        <f>AG49/AD49-1</f>
        <v>5.0000000000000044E-2</v>
      </c>
      <c r="AH50" s="893">
        <v>0.05</v>
      </c>
      <c r="AI50" s="893">
        <v>0.05</v>
      </c>
      <c r="AJ50" s="953">
        <f>AJ49/AG49-1</f>
        <v>5.0000000000000044E-2</v>
      </c>
      <c r="AK50" s="893">
        <f>AI50</f>
        <v>0.05</v>
      </c>
      <c r="AL50" s="893">
        <f>AI50</f>
        <v>0.05</v>
      </c>
      <c r="AM50" s="953">
        <f>AM49/AJ49-1</f>
        <v>5.0000000000000044E-2</v>
      </c>
      <c r="AN50" s="893">
        <f>AL50</f>
        <v>0.05</v>
      </c>
      <c r="AO50" s="893">
        <f>AL50</f>
        <v>0.05</v>
      </c>
      <c r="AP50" s="953">
        <f>AP49/AM49-1</f>
        <v>5.0000000000000044E-2</v>
      </c>
      <c r="AQ50" s="893">
        <f>AO50</f>
        <v>0.05</v>
      </c>
      <c r="AR50" s="893">
        <f>AO50</f>
        <v>0.05</v>
      </c>
      <c r="AS50" s="953">
        <f>AS49/AP49-1</f>
        <v>5.0000000000000044E-2</v>
      </c>
      <c r="AT50" s="893">
        <f>AR50</f>
        <v>0.05</v>
      </c>
      <c r="AU50" s="893">
        <f>AR50</f>
        <v>0.05</v>
      </c>
      <c r="AV50" s="953">
        <f>AV49/AS49-1</f>
        <v>5.0000000000000044E-2</v>
      </c>
      <c r="AW50" s="893">
        <f>AU50</f>
        <v>0.05</v>
      </c>
      <c r="AX50" s="893">
        <f>AU50</f>
        <v>0.05</v>
      </c>
      <c r="AY50" s="953">
        <f>AY49/AV49-1</f>
        <v>5.0000000000000044E-2</v>
      </c>
      <c r="AZ50" s="893">
        <f>AX50</f>
        <v>0.05</v>
      </c>
      <c r="BA50" s="893">
        <f>AX50</f>
        <v>0.05</v>
      </c>
      <c r="BB50" s="953">
        <f>BB49/AY49-1</f>
        <v>5.0000000000000044E-2</v>
      </c>
      <c r="BC50" s="893">
        <f>BA50</f>
        <v>0.05</v>
      </c>
      <c r="BD50" s="893">
        <f>BA50</f>
        <v>0.05</v>
      </c>
      <c r="BE50" s="953">
        <f>BE49/BB49-1</f>
        <v>4.9999999999999822E-2</v>
      </c>
    </row>
    <row r="51" spans="2:57" ht="13.5" thickBot="1">
      <c r="B51" s="13"/>
      <c r="D51" s="881"/>
      <c r="E51" s="881"/>
      <c r="F51" s="881"/>
      <c r="G51" s="881"/>
      <c r="H51" s="881"/>
      <c r="I51" s="881"/>
      <c r="J51" s="881"/>
      <c r="K51" s="881"/>
      <c r="L51" s="881"/>
      <c r="M51" s="881"/>
      <c r="N51" s="881"/>
      <c r="O51" s="691"/>
      <c r="P51" s="865"/>
      <c r="Q51" s="865"/>
      <c r="R51" s="963"/>
      <c r="S51" s="900"/>
      <c r="T51" s="865"/>
      <c r="U51" s="963"/>
      <c r="V51" s="865"/>
      <c r="W51" s="865"/>
      <c r="X51" s="963"/>
      <c r="Y51" s="865"/>
      <c r="Z51" s="865"/>
      <c r="AA51" s="963"/>
      <c r="AB51" s="865"/>
      <c r="AC51" s="865"/>
      <c r="AD51" s="963"/>
      <c r="AE51" s="865"/>
      <c r="AF51" s="865"/>
      <c r="AG51" s="963"/>
      <c r="AH51" s="865"/>
      <c r="AI51" s="865"/>
      <c r="AJ51" s="963"/>
      <c r="AK51" s="865"/>
      <c r="AL51" s="865"/>
      <c r="AM51" s="963"/>
      <c r="AN51" s="865"/>
      <c r="AO51" s="865"/>
      <c r="AP51" s="963"/>
      <c r="AQ51" s="865"/>
      <c r="AR51" s="865"/>
      <c r="AS51" s="963"/>
      <c r="AT51" s="865"/>
      <c r="AU51" s="865"/>
      <c r="AV51" s="963"/>
      <c r="AW51" s="865"/>
      <c r="AX51" s="865"/>
      <c r="AY51" s="963"/>
      <c r="AZ51" s="865"/>
      <c r="BA51" s="865"/>
      <c r="BB51" s="963"/>
      <c r="BC51" s="865"/>
      <c r="BD51" s="865"/>
      <c r="BE51" s="963"/>
    </row>
    <row r="52" spans="2:57" ht="13.5" thickBot="1">
      <c r="B52" s="859" t="s">
        <v>882</v>
      </c>
      <c r="C52" s="860" t="s">
        <v>357</v>
      </c>
      <c r="D52" s="876"/>
      <c r="E52" s="876"/>
      <c r="F52" s="877"/>
      <c r="G52" s="876"/>
      <c r="H52" s="876"/>
      <c r="I52" s="877"/>
      <c r="J52" s="876"/>
      <c r="K52" s="876"/>
      <c r="L52" s="877"/>
      <c r="M52" s="876">
        <v>72.245964642582635</v>
      </c>
      <c r="N52" s="876">
        <f>O52-M52</f>
        <v>51.754035357417365</v>
      </c>
      <c r="O52" s="955">
        <v>124</v>
      </c>
      <c r="P52" s="876">
        <v>56.4</v>
      </c>
      <c r="Q52" s="878">
        <v>0</v>
      </c>
      <c r="R52" s="964">
        <v>87.8</v>
      </c>
      <c r="S52" s="977">
        <v>2</v>
      </c>
      <c r="T52" s="978">
        <f>+U52-S52</f>
        <v>3</v>
      </c>
      <c r="U52" s="976">
        <v>5</v>
      </c>
      <c r="V52" s="977">
        <v>4</v>
      </c>
      <c r="W52" s="978">
        <f>+X52-V52</f>
        <v>7</v>
      </c>
      <c r="X52" s="976">
        <v>11</v>
      </c>
      <c r="Y52" s="876">
        <v>5</v>
      </c>
      <c r="Z52" s="978">
        <f>+AA52-Y52</f>
        <v>4</v>
      </c>
      <c r="AA52" s="976">
        <v>9</v>
      </c>
      <c r="AB52" s="876">
        <v>1</v>
      </c>
      <c r="AC52" s="878">
        <f>Z52*(1+AC53)</f>
        <v>4.2</v>
      </c>
      <c r="AD52" s="964">
        <f>SUM(AB52:AC52)</f>
        <v>5.2</v>
      </c>
      <c r="AE52" s="876">
        <f>AB52*(1+AE53)</f>
        <v>1.05</v>
      </c>
      <c r="AF52" s="878">
        <f>AC52*(1+AF53)</f>
        <v>4.41</v>
      </c>
      <c r="AG52" s="964">
        <f>SUM(AE52:AF52)</f>
        <v>5.46</v>
      </c>
      <c r="AH52" s="876">
        <f>AE52*(1+AH53)</f>
        <v>1.1025</v>
      </c>
      <c r="AI52" s="878">
        <f>AF52*(1+AI53)</f>
        <v>4.6305000000000005</v>
      </c>
      <c r="AJ52" s="964">
        <f>SUM(AH52:AI52)</f>
        <v>5.7330000000000005</v>
      </c>
      <c r="AK52" s="876">
        <f>AH52*(1+AK53)</f>
        <v>1.1576250000000001</v>
      </c>
      <c r="AL52" s="878">
        <f>AI52*(1+AL53)</f>
        <v>4.8620250000000009</v>
      </c>
      <c r="AM52" s="964">
        <f>SUM(AK52:AL52)</f>
        <v>6.0196500000000013</v>
      </c>
      <c r="AN52" s="876">
        <f>AK52*(1+AN53)</f>
        <v>1.2155062500000002</v>
      </c>
      <c r="AO52" s="878">
        <f>AL52*(1+AO53)</f>
        <v>5.1051262500000014</v>
      </c>
      <c r="AP52" s="964">
        <f>SUM(AN52:AO52)</f>
        <v>6.3206325000000021</v>
      </c>
      <c r="AQ52" s="876">
        <f>AN52*(1+AQ53)</f>
        <v>1.2762815625000004</v>
      </c>
      <c r="AR52" s="878">
        <f>AO52*(1+AR53)</f>
        <v>5.3603825625000017</v>
      </c>
      <c r="AS52" s="964">
        <f>SUM(AQ52:AR52)</f>
        <v>6.636664125000002</v>
      </c>
      <c r="AT52" s="876">
        <f>AQ52*(1+AT53)</f>
        <v>1.3400956406250004</v>
      </c>
      <c r="AU52" s="878">
        <f>AR52*(1+AU53)</f>
        <v>5.6284016906250018</v>
      </c>
      <c r="AV52" s="964">
        <f>SUM(AT52:AU52)</f>
        <v>6.9684973312500027</v>
      </c>
      <c r="AW52" s="876">
        <f>AT52*(1+AW53)</f>
        <v>1.4071004226562505</v>
      </c>
      <c r="AX52" s="878">
        <f>AU52*(1+AX53)</f>
        <v>5.9098217751562521</v>
      </c>
      <c r="AY52" s="964">
        <f>SUM(AW52:AX52)</f>
        <v>7.3169221978125023</v>
      </c>
      <c r="AZ52" s="876">
        <f>AW52*(1+AZ53)</f>
        <v>1.477455443789063</v>
      </c>
      <c r="BA52" s="878">
        <f>AX52*(1+BA53)</f>
        <v>6.2053128639140649</v>
      </c>
      <c r="BB52" s="964">
        <f>SUM(AZ52:BA52)</f>
        <v>7.6827683077031281</v>
      </c>
      <c r="BC52" s="876">
        <f>AZ52*(1+BC53)</f>
        <v>1.5513282159785162</v>
      </c>
      <c r="BD52" s="878">
        <f>BA52*(1+BD53)</f>
        <v>6.515578507109768</v>
      </c>
      <c r="BE52" s="964">
        <f>SUM(BC52:BD52)</f>
        <v>8.0669067230882838</v>
      </c>
    </row>
    <row r="53" spans="2:57">
      <c r="B53" s="13" t="s">
        <v>891</v>
      </c>
      <c r="M53" s="881"/>
      <c r="N53" s="881"/>
      <c r="O53" s="691"/>
      <c r="P53" s="901"/>
      <c r="Q53" s="893"/>
      <c r="R53" s="953"/>
      <c r="S53" s="893"/>
      <c r="T53" s="893"/>
      <c r="U53" s="953"/>
      <c r="V53" s="893"/>
      <c r="W53" s="893"/>
      <c r="X53" s="953"/>
      <c r="Y53" s="893">
        <v>0.05</v>
      </c>
      <c r="Z53" s="893"/>
      <c r="AA53" s="953"/>
      <c r="AB53" s="893">
        <v>0.05</v>
      </c>
      <c r="AC53" s="893">
        <f>AB53</f>
        <v>0.05</v>
      </c>
      <c r="AD53" s="953">
        <f>AD52/AA52-1</f>
        <v>-0.42222222222222217</v>
      </c>
      <c r="AE53" s="893">
        <f>AB53</f>
        <v>0.05</v>
      </c>
      <c r="AF53" s="893">
        <f>AC53</f>
        <v>0.05</v>
      </c>
      <c r="AG53" s="953">
        <f>AG52/AD52-1</f>
        <v>5.0000000000000044E-2</v>
      </c>
      <c r="AH53" s="893">
        <f>AE53</f>
        <v>0.05</v>
      </c>
      <c r="AI53" s="893">
        <f>AF53</f>
        <v>0.05</v>
      </c>
      <c r="AJ53" s="953">
        <f>AJ52/AG52-1</f>
        <v>5.0000000000000044E-2</v>
      </c>
      <c r="AK53" s="893">
        <f>AH53</f>
        <v>0.05</v>
      </c>
      <c r="AL53" s="893">
        <f>AI53</f>
        <v>0.05</v>
      </c>
      <c r="AM53" s="953">
        <f>AM52/AJ52-1</f>
        <v>5.0000000000000044E-2</v>
      </c>
      <c r="AN53" s="893">
        <f>AK53</f>
        <v>0.05</v>
      </c>
      <c r="AO53" s="893">
        <f>AL53</f>
        <v>0.05</v>
      </c>
      <c r="AP53" s="953">
        <f>AP52/AM52-1</f>
        <v>5.0000000000000044E-2</v>
      </c>
      <c r="AQ53" s="893">
        <f>AN53</f>
        <v>0.05</v>
      </c>
      <c r="AR53" s="893">
        <f>AO53</f>
        <v>0.05</v>
      </c>
      <c r="AS53" s="953">
        <f>AS52/AP52-1</f>
        <v>5.0000000000000044E-2</v>
      </c>
      <c r="AT53" s="893">
        <f>AQ53</f>
        <v>0.05</v>
      </c>
      <c r="AU53" s="893">
        <f>AR53</f>
        <v>0.05</v>
      </c>
      <c r="AV53" s="953">
        <f>AV52/AS52-1</f>
        <v>5.0000000000000044E-2</v>
      </c>
      <c r="AW53" s="893">
        <f>AT53</f>
        <v>0.05</v>
      </c>
      <c r="AX53" s="893">
        <f>AU53</f>
        <v>0.05</v>
      </c>
      <c r="AY53" s="953">
        <f>AY52/AV52-1</f>
        <v>4.9999999999999822E-2</v>
      </c>
      <c r="AZ53" s="893">
        <f>AW53</f>
        <v>0.05</v>
      </c>
      <c r="BA53" s="893">
        <f>AX53</f>
        <v>0.05</v>
      </c>
      <c r="BB53" s="953">
        <f>BB52/AY52-1</f>
        <v>5.0000000000000044E-2</v>
      </c>
      <c r="BC53" s="893">
        <f>AZ53</f>
        <v>0.05</v>
      </c>
      <c r="BD53" s="893">
        <f>BA53</f>
        <v>0.05</v>
      </c>
      <c r="BE53" s="953">
        <f>BE52/BB52-1</f>
        <v>4.9999999999999822E-2</v>
      </c>
    </row>
    <row r="54" spans="2:57" ht="13.5" thickBot="1">
      <c r="B54" s="866"/>
      <c r="M54" s="881"/>
      <c r="N54" s="881"/>
      <c r="O54" s="691"/>
      <c r="R54" s="67"/>
      <c r="U54" s="67"/>
      <c r="X54" s="67"/>
      <c r="AA54" s="67"/>
      <c r="AD54" s="67"/>
      <c r="AG54" s="67"/>
      <c r="AJ54" s="67"/>
      <c r="AM54" s="67"/>
      <c r="AP54" s="67"/>
      <c r="AS54" s="67"/>
      <c r="AV54" s="67"/>
      <c r="AY54" s="67"/>
      <c r="BB54" s="67"/>
      <c r="BE54" s="67"/>
    </row>
    <row r="55" spans="2:57" ht="13.5" thickBot="1">
      <c r="B55" s="859" t="s">
        <v>954</v>
      </c>
      <c r="C55" s="860" t="s">
        <v>357</v>
      </c>
      <c r="D55" s="876"/>
      <c r="E55" s="876"/>
      <c r="F55" s="877"/>
      <c r="G55" s="876"/>
      <c r="H55" s="876"/>
      <c r="I55" s="877"/>
      <c r="J55" s="876"/>
      <c r="K55" s="876"/>
      <c r="L55" s="877">
        <f>SUM(J55:K55)</f>
        <v>0</v>
      </c>
      <c r="M55" s="943">
        <f>M57+M49+M60+M63</f>
        <v>0</v>
      </c>
      <c r="N55" s="943">
        <f>N57+N49+N60+N63</f>
        <v>0</v>
      </c>
      <c r="O55" s="950">
        <f>SUM(M55:N55)</f>
        <v>0</v>
      </c>
      <c r="P55" s="943">
        <f>P57+P49+P60+P63</f>
        <v>0</v>
      </c>
      <c r="Q55" s="944">
        <f>Q57+Q49+Q60+Q63</f>
        <v>14.64</v>
      </c>
      <c r="R55" s="958">
        <f>SUM(P55:Q55)</f>
        <v>14.64</v>
      </c>
      <c r="S55" s="942">
        <v>28</v>
      </c>
      <c r="T55" s="944">
        <f>+U55-S55</f>
        <v>40</v>
      </c>
      <c r="U55" s="970">
        <v>68</v>
      </c>
      <c r="V55" s="942">
        <v>13</v>
      </c>
      <c r="W55" s="944">
        <f>+X55-V55</f>
        <v>36</v>
      </c>
      <c r="X55" s="970">
        <v>49</v>
      </c>
      <c r="Y55" s="943">
        <v>16</v>
      </c>
      <c r="Z55" s="944">
        <f>+AA55-Y55</f>
        <v>37</v>
      </c>
      <c r="AA55" s="970">
        <f>62-AA52</f>
        <v>53</v>
      </c>
      <c r="AB55" s="943">
        <f>31-AB52-8-5</f>
        <v>17</v>
      </c>
      <c r="AC55" s="944">
        <f>AC57+AC60+AC63</f>
        <v>22.918348000000002</v>
      </c>
      <c r="AD55" s="958">
        <f>SUM(AB55:AC55)</f>
        <v>39.918348000000002</v>
      </c>
      <c r="AE55" s="943">
        <f>AE57+AE60+AE63</f>
        <v>33.768730248788927</v>
      </c>
      <c r="AF55" s="944">
        <f>AF57+AF60+AF63</f>
        <v>24.751542800000003</v>
      </c>
      <c r="AG55" s="958">
        <f>SUM(AE55:AF55)</f>
        <v>58.52027304878893</v>
      </c>
      <c r="AH55" s="943">
        <f>AH57+AH60+AH63</f>
        <v>35.457166761228379</v>
      </c>
      <c r="AI55" s="944">
        <f>AI57+AI60+AI63</f>
        <v>25.989119940000002</v>
      </c>
      <c r="AJ55" s="958">
        <f>SUM(AH55:AI55)</f>
        <v>61.446286701228381</v>
      </c>
      <c r="AK55" s="943">
        <f>AK57+AK60+AK63</f>
        <v>37.230025099289804</v>
      </c>
      <c r="AL55" s="944">
        <f>AL57+AL60+AL63</f>
        <v>27.288575936999997</v>
      </c>
      <c r="AM55" s="958">
        <f>SUM(AK55:AL55)</f>
        <v>64.518601036289795</v>
      </c>
      <c r="AN55" s="943">
        <f>AN57+AN60+AN63</f>
        <v>39.091526354254292</v>
      </c>
      <c r="AO55" s="944">
        <f>AO57+AO60+AO63</f>
        <v>28.65300473385</v>
      </c>
      <c r="AP55" s="958">
        <f>SUM(AN55:AO55)</f>
        <v>67.744531088104296</v>
      </c>
      <c r="AQ55" s="943">
        <f>AQ57+AQ60+AQ63</f>
        <v>41.046102671967006</v>
      </c>
      <c r="AR55" s="944">
        <f>AR57+AR60+AR63</f>
        <v>30.085654970542503</v>
      </c>
      <c r="AS55" s="958">
        <f>SUM(AQ55:AR55)</f>
        <v>71.131757642509513</v>
      </c>
      <c r="AT55" s="943">
        <f>AT57+AT60+AT63</f>
        <v>43.098407805565358</v>
      </c>
      <c r="AU55" s="944">
        <f>AU57+AU60+AU63</f>
        <v>31.589937719069628</v>
      </c>
      <c r="AV55" s="958">
        <f>SUM(AT55:AU55)</f>
        <v>74.688345524634983</v>
      </c>
      <c r="AW55" s="943">
        <f>AW57+AW60+AW63</f>
        <v>45.253328195843629</v>
      </c>
      <c r="AX55" s="944">
        <f>AX57+AX60+AX63</f>
        <v>33.169434605023113</v>
      </c>
      <c r="AY55" s="958">
        <f>SUM(AW55:AX55)</f>
        <v>78.422762800866735</v>
      </c>
      <c r="AZ55" s="943">
        <f>AZ57+AZ60+AZ63</f>
        <v>47.515994605635811</v>
      </c>
      <c r="BA55" s="944">
        <f>BA57+BA60+BA63</f>
        <v>34.827906335274264</v>
      </c>
      <c r="BB55" s="958">
        <f>SUM(AZ55:BA55)</f>
        <v>82.343900940910075</v>
      </c>
      <c r="BC55" s="943">
        <f>BC57+BC60+BC63</f>
        <v>49.891794335917609</v>
      </c>
      <c r="BD55" s="944">
        <f>BD57+BD60+BD63</f>
        <v>36.569301652037979</v>
      </c>
      <c r="BE55" s="958">
        <f>SUM(BC55:BD55)</f>
        <v>86.461095987955588</v>
      </c>
    </row>
    <row r="56" spans="2:57">
      <c r="M56" s="881"/>
      <c r="N56" s="881"/>
      <c r="O56" s="691"/>
      <c r="R56" s="67"/>
      <c r="U56" s="67"/>
      <c r="X56" s="67"/>
      <c r="AA56" s="67"/>
      <c r="AD56" s="67"/>
      <c r="AG56" s="67"/>
      <c r="AJ56" s="67"/>
      <c r="AM56" s="67"/>
      <c r="AP56" s="67"/>
      <c r="AS56" s="67"/>
      <c r="AV56" s="67"/>
      <c r="AY56" s="67"/>
      <c r="BB56" s="67"/>
      <c r="BE56" s="67"/>
    </row>
    <row r="57" spans="2:57">
      <c r="B57" s="1" t="s">
        <v>883</v>
      </c>
      <c r="C57" s="16" t="s">
        <v>357</v>
      </c>
      <c r="M57" s="881"/>
      <c r="N57" s="881"/>
      <c r="O57" s="691"/>
      <c r="P57" s="933">
        <v>0</v>
      </c>
      <c r="Q57" s="933">
        <v>0</v>
      </c>
      <c r="R57" s="729">
        <f>SUM(P57:Q57)</f>
        <v>0</v>
      </c>
      <c r="S57" s="933">
        <f>P57</f>
        <v>0</v>
      </c>
      <c r="T57" s="933">
        <f>Q57</f>
        <v>0</v>
      </c>
      <c r="U57" s="729">
        <f>SUM(S57:T57)</f>
        <v>0</v>
      </c>
      <c r="V57" s="933">
        <f>T57</f>
        <v>0</v>
      </c>
      <c r="W57" s="933">
        <v>0</v>
      </c>
      <c r="X57" s="729">
        <f>SUM(V57:W57)</f>
        <v>0</v>
      </c>
      <c r="Y57" s="933">
        <f>W57</f>
        <v>0</v>
      </c>
      <c r="Z57" s="933">
        <v>0</v>
      </c>
      <c r="AA57" s="729">
        <f>SUM(Y57:Z57)</f>
        <v>0</v>
      </c>
      <c r="AB57" s="933">
        <f>Z57</f>
        <v>0</v>
      </c>
      <c r="AC57" s="933">
        <f>Z57*(1+AC58)</f>
        <v>0</v>
      </c>
      <c r="AD57" s="729">
        <f>SUM(AB57:AC57)</f>
        <v>0</v>
      </c>
      <c r="AE57" s="933">
        <f>AB57*(1+AE58)</f>
        <v>0</v>
      </c>
      <c r="AF57" s="933">
        <f>AC57*(1+AF58)</f>
        <v>0</v>
      </c>
      <c r="AG57" s="729">
        <f>SUM(AE57:AF57)</f>
        <v>0</v>
      </c>
      <c r="AH57" s="933">
        <f>AE57*(1+AH58)</f>
        <v>0</v>
      </c>
      <c r="AI57" s="933">
        <f>AF57*(1+AI58)</f>
        <v>0</v>
      </c>
      <c r="AJ57" s="729">
        <f>SUM(AH57:AI57)</f>
        <v>0</v>
      </c>
      <c r="AK57" s="933">
        <f>AH57*(1+AK58)</f>
        <v>0</v>
      </c>
      <c r="AL57" s="933">
        <f>AI57*(1+AL58)</f>
        <v>0</v>
      </c>
      <c r="AM57" s="729">
        <f>SUM(AK57:AL57)</f>
        <v>0</v>
      </c>
      <c r="AN57" s="933">
        <f>AK57*(1+AN58)</f>
        <v>0</v>
      </c>
      <c r="AO57" s="933">
        <f>AL57*(1+AO58)</f>
        <v>0</v>
      </c>
      <c r="AP57" s="729">
        <f>SUM(AN57:AO57)</f>
        <v>0</v>
      </c>
      <c r="AQ57" s="933">
        <f>AN57*(1+AQ58)</f>
        <v>0</v>
      </c>
      <c r="AR57" s="933">
        <f>AO57*(1+AR58)</f>
        <v>0</v>
      </c>
      <c r="AS57" s="729">
        <f>SUM(AQ57:AR57)</f>
        <v>0</v>
      </c>
      <c r="AT57" s="933">
        <f>AQ57*(1+AT58)</f>
        <v>0</v>
      </c>
      <c r="AU57" s="933">
        <f>AR57*(1+AU58)</f>
        <v>0</v>
      </c>
      <c r="AV57" s="729">
        <f>SUM(AT57:AU57)</f>
        <v>0</v>
      </c>
      <c r="AW57" s="933">
        <f>AT57*(1+AW58)</f>
        <v>0</v>
      </c>
      <c r="AX57" s="933">
        <f>AU57*(1+AX58)</f>
        <v>0</v>
      </c>
      <c r="AY57" s="729">
        <f>SUM(AW57:AX57)</f>
        <v>0</v>
      </c>
      <c r="AZ57" s="933">
        <f>AW57*(1+AZ58)</f>
        <v>0</v>
      </c>
      <c r="BA57" s="933">
        <f>AX57*(1+BA58)</f>
        <v>0</v>
      </c>
      <c r="BB57" s="729">
        <f>SUM(AZ57:BA57)</f>
        <v>0</v>
      </c>
      <c r="BC57" s="933">
        <f>AZ57*(1+BC58)</f>
        <v>0</v>
      </c>
      <c r="BD57" s="933">
        <f>BA57*(1+BD58)</f>
        <v>0</v>
      </c>
      <c r="BE57" s="729">
        <f>SUM(BC57:BD57)</f>
        <v>0</v>
      </c>
    </row>
    <row r="58" spans="2:57">
      <c r="B58" s="13" t="s">
        <v>891</v>
      </c>
      <c r="C58" s="16" t="s">
        <v>507</v>
      </c>
      <c r="M58" s="881"/>
      <c r="N58" s="881"/>
      <c r="O58" s="691"/>
      <c r="P58" s="979"/>
      <c r="Q58" s="979"/>
      <c r="R58" s="980"/>
      <c r="S58" s="979"/>
      <c r="T58" s="979"/>
      <c r="U58" s="980"/>
      <c r="V58" s="979"/>
      <c r="W58" s="979"/>
      <c r="X58" s="980"/>
      <c r="Y58" s="979"/>
      <c r="Z58" s="979"/>
      <c r="AA58" s="980"/>
      <c r="AB58" s="979"/>
      <c r="AC58" s="979"/>
      <c r="AD58" s="980"/>
      <c r="AE58" s="979"/>
      <c r="AF58" s="979"/>
      <c r="AG58" s="980"/>
      <c r="AH58" s="979"/>
      <c r="AI58" s="979"/>
      <c r="AJ58" s="980"/>
      <c r="AK58" s="979"/>
      <c r="AL58" s="979"/>
      <c r="AM58" s="980"/>
      <c r="AN58" s="979"/>
      <c r="AO58" s="979"/>
      <c r="AP58" s="980"/>
      <c r="AQ58" s="979"/>
      <c r="AR58" s="979"/>
      <c r="AS58" s="980"/>
      <c r="AT58" s="979"/>
      <c r="AU58" s="979"/>
      <c r="AV58" s="980"/>
      <c r="AW58" s="979"/>
      <c r="AX58" s="979"/>
      <c r="AY58" s="980"/>
      <c r="AZ58" s="979"/>
      <c r="BA58" s="979"/>
      <c r="BB58" s="980"/>
      <c r="BC58" s="979"/>
      <c r="BD58" s="979"/>
      <c r="BE58" s="980"/>
    </row>
    <row r="59" spans="2:57">
      <c r="B59" s="867"/>
      <c r="M59" s="881"/>
      <c r="N59" s="881"/>
      <c r="O59" s="691"/>
      <c r="P59" s="933"/>
      <c r="Q59" s="933"/>
      <c r="R59" s="729"/>
      <c r="S59" s="933"/>
      <c r="T59" s="933"/>
      <c r="U59" s="729"/>
      <c r="V59" s="933"/>
      <c r="W59" s="933"/>
      <c r="X59" s="729"/>
      <c r="Y59" s="933"/>
      <c r="Z59" s="933"/>
      <c r="AA59" s="729"/>
      <c r="AB59" s="933"/>
      <c r="AC59" s="933"/>
      <c r="AD59" s="729"/>
      <c r="AE59" s="933"/>
      <c r="AF59" s="933"/>
      <c r="AG59" s="729"/>
      <c r="AH59" s="933"/>
      <c r="AI59" s="933"/>
      <c r="AJ59" s="729"/>
      <c r="AK59" s="477"/>
      <c r="AL59" s="477"/>
      <c r="AM59" s="729"/>
      <c r="AN59" s="477"/>
      <c r="AO59" s="477"/>
      <c r="AP59" s="729"/>
      <c r="AQ59" s="477"/>
      <c r="AR59" s="477"/>
      <c r="AS59" s="729"/>
      <c r="AT59" s="477"/>
      <c r="AU59" s="477"/>
      <c r="AV59" s="729"/>
      <c r="AW59" s="477"/>
      <c r="AX59" s="477"/>
      <c r="AY59" s="729"/>
      <c r="AZ59" s="477"/>
      <c r="BA59" s="477"/>
      <c r="BB59" s="729"/>
      <c r="BC59" s="477"/>
      <c r="BD59" s="477"/>
      <c r="BE59" s="729"/>
    </row>
    <row r="60" spans="2:57">
      <c r="B60" s="1" t="s">
        <v>885</v>
      </c>
      <c r="C60" s="16" t="s">
        <v>357</v>
      </c>
      <c r="M60" s="881"/>
      <c r="N60" s="881"/>
      <c r="O60" s="691"/>
      <c r="P60" s="933">
        <v>0</v>
      </c>
      <c r="Q60" s="933">
        <v>0</v>
      </c>
      <c r="R60" s="729">
        <f>SUM(P60:Q60)</f>
        <v>0</v>
      </c>
      <c r="S60" s="933">
        <v>0</v>
      </c>
      <c r="T60" s="933">
        <v>6.8</v>
      </c>
      <c r="U60" s="729">
        <f>SUM(S60:T60)</f>
        <v>6.8</v>
      </c>
      <c r="V60" s="933">
        <v>2.2999999999999998</v>
      </c>
      <c r="W60" s="933">
        <f>T60*(1+W61)</f>
        <v>6.8679999999999994</v>
      </c>
      <c r="X60" s="729">
        <f>SUM(V60:W60)</f>
        <v>9.1679999999999993</v>
      </c>
      <c r="Y60" s="933">
        <f>V60*(1+Y61)</f>
        <v>6.7647058823529411</v>
      </c>
      <c r="Z60" s="933">
        <f>W60*(1+Z61)</f>
        <v>6.9366799999999991</v>
      </c>
      <c r="AA60" s="729">
        <f>SUM(Y60:Z60)</f>
        <v>13.701385882352941</v>
      </c>
      <c r="AB60" s="933">
        <f>Y60*(1+AB61)</f>
        <v>19.896193771626297</v>
      </c>
      <c r="AC60" s="933">
        <f>Z60*(1+AC61)</f>
        <v>7.6303479999999997</v>
      </c>
      <c r="AD60" s="729">
        <f>SUM(AB60:AC60)</f>
        <v>27.526541771626299</v>
      </c>
      <c r="AE60" s="933">
        <f>AB60*(1+AE61)</f>
        <v>21.88581314878893</v>
      </c>
      <c r="AF60" s="933">
        <f>AC60*(1+AF61)</f>
        <v>8.3933827999999995</v>
      </c>
      <c r="AG60" s="729">
        <f>SUM(AE60:AF60)</f>
        <v>30.279195948788932</v>
      </c>
      <c r="AH60" s="933">
        <f>AE60*(1+AH61)</f>
        <v>22.980103806228378</v>
      </c>
      <c r="AI60" s="933">
        <f>AF60*(1+AI61)</f>
        <v>8.8130519399999994</v>
      </c>
      <c r="AJ60" s="729">
        <f>SUM(AH60:AI60)</f>
        <v>31.793155746228379</v>
      </c>
      <c r="AK60" s="933">
        <f>AH60*(1+AK61)</f>
        <v>24.129108996539799</v>
      </c>
      <c r="AL60" s="933">
        <f>AI60*(1+AL61)</f>
        <v>9.2537045369999991</v>
      </c>
      <c r="AM60" s="729">
        <f>SUM(AK60:AL60)</f>
        <v>33.382813533539796</v>
      </c>
      <c r="AN60" s="933">
        <f>AK60*(1+AN61)</f>
        <v>25.335564446366789</v>
      </c>
      <c r="AO60" s="933">
        <f>AL60*(1+AO61)</f>
        <v>9.7163897638499996</v>
      </c>
      <c r="AP60" s="729">
        <f>SUM(AN60:AO60)</f>
        <v>35.051954210216792</v>
      </c>
      <c r="AQ60" s="933">
        <f>AN60*(1+AQ61)</f>
        <v>26.602342668685129</v>
      </c>
      <c r="AR60" s="933">
        <f>AO60*(1+AR61)</f>
        <v>10.202209252042501</v>
      </c>
      <c r="AS60" s="729">
        <f>SUM(AQ60:AR60)</f>
        <v>36.804551920727633</v>
      </c>
      <c r="AT60" s="933">
        <f>AQ60*(1+AT61)</f>
        <v>27.932459802119386</v>
      </c>
      <c r="AU60" s="933">
        <f>AR60*(1+AU61)</f>
        <v>10.712319714644625</v>
      </c>
      <c r="AV60" s="729">
        <f>SUM(AT60:AU60)</f>
        <v>38.644779516764011</v>
      </c>
      <c r="AW60" s="933">
        <f>AT60*(1+AW61)</f>
        <v>29.329082792225357</v>
      </c>
      <c r="AX60" s="933">
        <f>AU60*(1+AX61)</f>
        <v>11.247935700376857</v>
      </c>
      <c r="AY60" s="729">
        <f>SUM(AW60:AX60)</f>
        <v>40.577018492602214</v>
      </c>
      <c r="AZ60" s="933">
        <f>AW60*(1+AZ61)</f>
        <v>30.795536931836626</v>
      </c>
      <c r="BA60" s="933">
        <f>AX60*(1+BA61)</f>
        <v>11.810332485395699</v>
      </c>
      <c r="BB60" s="729">
        <f>SUM(AZ60:BA60)</f>
        <v>42.605869417232327</v>
      </c>
      <c r="BC60" s="933">
        <f>AZ60*(1+BC61)</f>
        <v>32.335313778428457</v>
      </c>
      <c r="BD60" s="933">
        <f>BA60*(1+BD61)</f>
        <v>12.400849109665485</v>
      </c>
      <c r="BE60" s="729">
        <f>SUM(BC60:BD60)</f>
        <v>44.736162888093943</v>
      </c>
    </row>
    <row r="61" spans="2:57">
      <c r="B61" s="13" t="s">
        <v>891</v>
      </c>
      <c r="C61" s="16" t="s">
        <v>507</v>
      </c>
      <c r="M61" s="881"/>
      <c r="N61" s="881"/>
      <c r="O61" s="691"/>
      <c r="P61" s="893"/>
      <c r="Q61" s="893"/>
      <c r="R61" s="953"/>
      <c r="S61" s="893"/>
      <c r="T61" s="893"/>
      <c r="U61" s="953"/>
      <c r="V61" s="893"/>
      <c r="W61" s="893">
        <v>0.01</v>
      </c>
      <c r="X61" s="953">
        <f>X60/U60-1</f>
        <v>0.34823529411764698</v>
      </c>
      <c r="Y61" s="893">
        <v>1.9411764705882355</v>
      </c>
      <c r="Z61" s="893">
        <v>0.01</v>
      </c>
      <c r="AA61" s="953">
        <f>AA60/X60-1</f>
        <v>0.4944792629093524</v>
      </c>
      <c r="AB61" s="893">
        <v>1.9411764705882355</v>
      </c>
      <c r="AC61" s="893">
        <v>0.1</v>
      </c>
      <c r="AD61" s="953">
        <f>AD60/AA60-1</f>
        <v>1.0090333932627815</v>
      </c>
      <c r="AE61" s="893">
        <v>0.1</v>
      </c>
      <c r="AF61" s="893">
        <v>0.1</v>
      </c>
      <c r="AG61" s="953">
        <f>AG60/AD60-1</f>
        <v>0.10000000000000009</v>
      </c>
      <c r="AH61" s="893">
        <v>0.05</v>
      </c>
      <c r="AI61" s="893">
        <f>AH61</f>
        <v>0.05</v>
      </c>
      <c r="AJ61" s="953">
        <f>AJ60/AG60-1</f>
        <v>5.0000000000000044E-2</v>
      </c>
      <c r="AK61" s="893">
        <f>AI61</f>
        <v>0.05</v>
      </c>
      <c r="AL61" s="893">
        <f>AK61</f>
        <v>0.05</v>
      </c>
      <c r="AM61" s="953">
        <f>AM60/AJ60-1</f>
        <v>4.9999999999999822E-2</v>
      </c>
      <c r="AN61" s="893">
        <f>AL61</f>
        <v>0.05</v>
      </c>
      <c r="AO61" s="893">
        <f>AN61</f>
        <v>0.05</v>
      </c>
      <c r="AP61" s="953">
        <f>AP60/AM60-1</f>
        <v>5.0000000000000266E-2</v>
      </c>
      <c r="AQ61" s="893">
        <f>AO61</f>
        <v>0.05</v>
      </c>
      <c r="AR61" s="893">
        <f>AQ61</f>
        <v>0.05</v>
      </c>
      <c r="AS61" s="953">
        <f>AS60/AP60-1</f>
        <v>5.0000000000000044E-2</v>
      </c>
      <c r="AT61" s="893">
        <f>AR61</f>
        <v>0.05</v>
      </c>
      <c r="AU61" s="893">
        <f>AT61</f>
        <v>0.05</v>
      </c>
      <c r="AV61" s="953">
        <f>AV60/AS60-1</f>
        <v>4.9999999999999822E-2</v>
      </c>
      <c r="AW61" s="893">
        <f>AU61</f>
        <v>0.05</v>
      </c>
      <c r="AX61" s="893">
        <f>AW61</f>
        <v>0.05</v>
      </c>
      <c r="AY61" s="953">
        <f>AY60/AV60-1</f>
        <v>5.0000000000000044E-2</v>
      </c>
      <c r="AZ61" s="893">
        <f>AX61</f>
        <v>0.05</v>
      </c>
      <c r="BA61" s="893">
        <f>AZ61</f>
        <v>0.05</v>
      </c>
      <c r="BB61" s="953">
        <f>BB60/AY60-1</f>
        <v>5.0000000000000044E-2</v>
      </c>
      <c r="BC61" s="893">
        <f>BA61</f>
        <v>0.05</v>
      </c>
      <c r="BD61" s="893">
        <f>BC61</f>
        <v>0.05</v>
      </c>
      <c r="BE61" s="953">
        <f>BE60/BB60-1</f>
        <v>5.0000000000000044E-2</v>
      </c>
    </row>
    <row r="62" spans="2:57">
      <c r="M62" s="881"/>
      <c r="N62" s="881"/>
      <c r="O62" s="691"/>
      <c r="P62" s="881"/>
      <c r="Q62" s="881"/>
      <c r="R62" s="691"/>
      <c r="S62" s="881"/>
      <c r="T62" s="881"/>
      <c r="U62" s="691"/>
      <c r="V62" s="881"/>
      <c r="W62" s="881"/>
      <c r="X62" s="691"/>
      <c r="Y62" s="881"/>
      <c r="Z62" s="881"/>
      <c r="AA62" s="691"/>
      <c r="AB62" s="881"/>
      <c r="AC62" s="881"/>
      <c r="AD62" s="691"/>
      <c r="AE62" s="881"/>
      <c r="AF62" s="881"/>
      <c r="AG62" s="691"/>
      <c r="AH62" s="881"/>
      <c r="AI62" s="881"/>
      <c r="AJ62" s="691"/>
      <c r="AM62" s="691"/>
      <c r="AP62" s="691"/>
      <c r="AS62" s="691"/>
      <c r="AV62" s="691"/>
      <c r="AY62" s="691"/>
      <c r="BB62" s="691"/>
      <c r="BE62" s="691"/>
    </row>
    <row r="63" spans="2:57">
      <c r="B63" s="1" t="s">
        <v>886</v>
      </c>
      <c r="C63" s="16" t="s">
        <v>357</v>
      </c>
      <c r="M63" s="881"/>
      <c r="N63" s="881"/>
      <c r="O63" s="691"/>
      <c r="P63" s="933">
        <v>0</v>
      </c>
      <c r="Q63" s="933">
        <v>6</v>
      </c>
      <c r="R63" s="729">
        <f>SUM(P63:Q63)</f>
        <v>6</v>
      </c>
      <c r="S63" s="933">
        <v>9.6999999999999993</v>
      </c>
      <c r="T63" s="933">
        <v>13</v>
      </c>
      <c r="U63" s="729">
        <f>SUM(S63:T63)</f>
        <v>22.7</v>
      </c>
      <c r="V63" s="933">
        <f>S63*(1+V64)</f>
        <v>9.6999999999999993</v>
      </c>
      <c r="W63" s="933">
        <f>T63*(1+W64)</f>
        <v>13.65</v>
      </c>
      <c r="X63" s="729">
        <f>SUM(V63:W63)</f>
        <v>23.35</v>
      </c>
      <c r="Y63" s="933">
        <f>V63*(1+Y64)</f>
        <v>10.379</v>
      </c>
      <c r="Z63" s="933">
        <f>W63*(1+Z64)</f>
        <v>14.332500000000001</v>
      </c>
      <c r="AA63" s="729">
        <f>SUM(Y63:Z63)</f>
        <v>24.711500000000001</v>
      </c>
      <c r="AB63" s="933">
        <f>Y63*(1+AB64)</f>
        <v>11.10553</v>
      </c>
      <c r="AC63" s="933">
        <f>Z63*(1+AC64)</f>
        <v>15.288000000000002</v>
      </c>
      <c r="AD63" s="729">
        <f>SUM(AB63:AC63)</f>
        <v>26.393530000000002</v>
      </c>
      <c r="AE63" s="933">
        <f>AB63*(1+AE64)</f>
        <v>11.8829171</v>
      </c>
      <c r="AF63" s="933">
        <f>AC63*(1+AF64)</f>
        <v>16.358160000000002</v>
      </c>
      <c r="AG63" s="729">
        <f>SUM(AE63:AF63)</f>
        <v>28.241077100000002</v>
      </c>
      <c r="AH63" s="933">
        <f>AE63*(1+AH64)</f>
        <v>12.477062955000001</v>
      </c>
      <c r="AI63" s="933">
        <f>AF63*(1+AI64)</f>
        <v>17.176068000000001</v>
      </c>
      <c r="AJ63" s="729">
        <f>SUM(AH63:AI63)</f>
        <v>29.653130955000002</v>
      </c>
      <c r="AK63" s="933">
        <f>AH63*(1+AK64)</f>
        <v>13.100916102750002</v>
      </c>
      <c r="AL63" s="933">
        <f>AI63*(1+AL64)</f>
        <v>18.0348714</v>
      </c>
      <c r="AM63" s="729">
        <f>SUM(AK63:AL63)</f>
        <v>31.135787502750002</v>
      </c>
      <c r="AN63" s="933">
        <f>AK63*(1+AN64)</f>
        <v>13.755961907887503</v>
      </c>
      <c r="AO63" s="933">
        <f>AL63*(1+AO64)</f>
        <v>18.936614970000001</v>
      </c>
      <c r="AP63" s="729">
        <f>SUM(AN63:AO63)</f>
        <v>32.692576877887504</v>
      </c>
      <c r="AQ63" s="933">
        <f>AN63*(1+AQ64)</f>
        <v>14.443760003281879</v>
      </c>
      <c r="AR63" s="933">
        <f>AO63*(1+AR64)</f>
        <v>19.883445718500003</v>
      </c>
      <c r="AS63" s="729">
        <f>SUM(AQ63:AR63)</f>
        <v>34.32720572178188</v>
      </c>
      <c r="AT63" s="933">
        <f>AQ63*(1+AT64)</f>
        <v>15.165948003445974</v>
      </c>
      <c r="AU63" s="933">
        <f>AR63*(1+AU64)</f>
        <v>20.877618004425003</v>
      </c>
      <c r="AV63" s="729">
        <f>SUM(AT63:AU63)</f>
        <v>36.043566007870979</v>
      </c>
      <c r="AW63" s="933">
        <f>AT63*(1+AW64)</f>
        <v>15.924245403618274</v>
      </c>
      <c r="AX63" s="933">
        <f>AU63*(1+AX64)</f>
        <v>21.921498904646253</v>
      </c>
      <c r="AY63" s="729">
        <f>SUM(AW63:AX63)</f>
        <v>37.845744308264528</v>
      </c>
      <c r="AZ63" s="933">
        <f>AW63*(1+AZ64)</f>
        <v>16.720457673799189</v>
      </c>
      <c r="BA63" s="933">
        <f>AX63*(1+BA64)</f>
        <v>23.017573849878566</v>
      </c>
      <c r="BB63" s="729">
        <f>SUM(AZ63:BA63)</f>
        <v>39.738031523677755</v>
      </c>
      <c r="BC63" s="933">
        <f>AZ63*(1+BC64)</f>
        <v>17.556480557489149</v>
      </c>
      <c r="BD63" s="933">
        <f>BA63*(1+BD64)</f>
        <v>24.168452542372496</v>
      </c>
      <c r="BE63" s="729">
        <f>SUM(BC63:BD63)</f>
        <v>41.724933099861644</v>
      </c>
    </row>
    <row r="64" spans="2:57">
      <c r="B64" s="13" t="s">
        <v>891</v>
      </c>
      <c r="C64" s="16" t="s">
        <v>507</v>
      </c>
      <c r="M64" s="881"/>
      <c r="N64" s="881"/>
      <c r="O64" s="691"/>
      <c r="P64" s="893"/>
      <c r="Q64" s="893"/>
      <c r="R64" s="953"/>
      <c r="S64" s="893"/>
      <c r="T64" s="893"/>
      <c r="U64" s="953"/>
      <c r="V64" s="893">
        <v>0</v>
      </c>
      <c r="W64" s="893">
        <v>0.05</v>
      </c>
      <c r="X64" s="953">
        <f>X63/U63-1</f>
        <v>2.8634361233480288E-2</v>
      </c>
      <c r="Y64" s="893">
        <v>7.0000000000000007E-2</v>
      </c>
      <c r="Z64" s="893">
        <v>0.05</v>
      </c>
      <c r="AA64" s="953">
        <f>AA63/X63-1</f>
        <v>5.8308351177730255E-2</v>
      </c>
      <c r="AB64" s="893">
        <v>7.0000000000000007E-2</v>
      </c>
      <c r="AC64" s="893">
        <v>6.6666666666666652E-2</v>
      </c>
      <c r="AD64" s="953">
        <f>AD63/AA63-1</f>
        <v>6.8066689597960472E-2</v>
      </c>
      <c r="AE64" s="893">
        <v>7.0000000000000007E-2</v>
      </c>
      <c r="AF64" s="893">
        <v>7.0000000000000007E-2</v>
      </c>
      <c r="AG64" s="953">
        <f>AG63/AD63-1</f>
        <v>7.0000000000000062E-2</v>
      </c>
      <c r="AH64" s="893">
        <v>0.05</v>
      </c>
      <c r="AI64" s="893">
        <f>AH64</f>
        <v>0.05</v>
      </c>
      <c r="AJ64" s="953">
        <f>AJ63/AG63-1</f>
        <v>5.0000000000000044E-2</v>
      </c>
      <c r="AK64" s="893">
        <f>AH64</f>
        <v>0.05</v>
      </c>
      <c r="AL64" s="893">
        <f>AI64</f>
        <v>0.05</v>
      </c>
      <c r="AM64" s="953">
        <f>AM63/AJ63-1</f>
        <v>5.0000000000000044E-2</v>
      </c>
      <c r="AN64" s="893">
        <f>AK64</f>
        <v>0.05</v>
      </c>
      <c r="AO64" s="893">
        <f>AL64</f>
        <v>0.05</v>
      </c>
      <c r="AP64" s="953">
        <f>AP63/AM63-1</f>
        <v>5.0000000000000044E-2</v>
      </c>
      <c r="AQ64" s="893">
        <f>AN64</f>
        <v>0.05</v>
      </c>
      <c r="AR64" s="893">
        <f>AO64</f>
        <v>0.05</v>
      </c>
      <c r="AS64" s="953">
        <f>AS63/AP63-1</f>
        <v>5.0000000000000044E-2</v>
      </c>
      <c r="AT64" s="893">
        <f>AQ64</f>
        <v>0.05</v>
      </c>
      <c r="AU64" s="893">
        <f>AR64</f>
        <v>0.05</v>
      </c>
      <c r="AV64" s="953">
        <f>AV63/AS63-1</f>
        <v>5.0000000000000044E-2</v>
      </c>
      <c r="AW64" s="893">
        <f>AT64</f>
        <v>0.05</v>
      </c>
      <c r="AX64" s="893">
        <f>AU64</f>
        <v>0.05</v>
      </c>
      <c r="AY64" s="953">
        <f>AY63/AV63-1</f>
        <v>5.0000000000000044E-2</v>
      </c>
      <c r="AZ64" s="893">
        <f>AW64</f>
        <v>0.05</v>
      </c>
      <c r="BA64" s="893">
        <f>AX64</f>
        <v>0.05</v>
      </c>
      <c r="BB64" s="953">
        <f>BB63/AY63-1</f>
        <v>5.0000000000000044E-2</v>
      </c>
      <c r="BC64" s="893">
        <f>AZ64</f>
        <v>0.05</v>
      </c>
      <c r="BD64" s="893">
        <f>BA64</f>
        <v>0.05</v>
      </c>
      <c r="BE64" s="953">
        <f>BE63/BB63-1</f>
        <v>5.0000000000000044E-2</v>
      </c>
    </row>
    <row r="65" spans="2:57" ht="13.5" thickBot="1">
      <c r="M65" s="881"/>
      <c r="N65" s="881"/>
      <c r="O65" s="691"/>
      <c r="R65" s="67"/>
      <c r="U65" s="67"/>
      <c r="X65" s="67"/>
      <c r="AA65" s="67"/>
      <c r="AD65" s="67"/>
      <c r="AG65" s="67"/>
      <c r="AJ65" s="67"/>
      <c r="AM65" s="67"/>
      <c r="AP65" s="67"/>
      <c r="AS65" s="67"/>
      <c r="AV65" s="67"/>
      <c r="AY65" s="67"/>
      <c r="BB65" s="67"/>
      <c r="BE65" s="67"/>
    </row>
    <row r="66" spans="2:57" ht="13.5" thickBot="1">
      <c r="B66" s="859" t="s">
        <v>893</v>
      </c>
      <c r="C66" s="860" t="s">
        <v>357</v>
      </c>
      <c r="D66" s="879"/>
      <c r="E66" s="879"/>
      <c r="F66" s="879"/>
      <c r="G66" s="879"/>
      <c r="H66" s="879"/>
      <c r="I66" s="879"/>
      <c r="J66" s="879"/>
      <c r="K66" s="879"/>
      <c r="L66" s="879"/>
      <c r="M66" s="948">
        <v>0</v>
      </c>
      <c r="N66" s="948">
        <v>0</v>
      </c>
      <c r="O66" s="956">
        <v>0</v>
      </c>
      <c r="P66" s="947">
        <f>P68+P70+P72+P74</f>
        <v>0</v>
      </c>
      <c r="Q66" s="947">
        <f>Q68+Q70+Q72+Q74</f>
        <v>0</v>
      </c>
      <c r="R66" s="956">
        <f>SUM(P66:Q66)</f>
        <v>0</v>
      </c>
      <c r="S66" s="947">
        <f>S68+S70+S72+S74</f>
        <v>0</v>
      </c>
      <c r="T66" s="947">
        <f>T68+T70+T72+T74</f>
        <v>0</v>
      </c>
      <c r="U66" s="956">
        <f>SUM(S66:T66)</f>
        <v>0</v>
      </c>
      <c r="V66" s="947">
        <f>V68+V70+V72+V74</f>
        <v>0</v>
      </c>
      <c r="W66" s="947">
        <f>W68+W70+W72+W74</f>
        <v>0</v>
      </c>
      <c r="X66" s="956">
        <f>SUM(V66:W66)</f>
        <v>0</v>
      </c>
      <c r="Y66" s="947">
        <f>Y68+Y70+Y72+Y74</f>
        <v>0</v>
      </c>
      <c r="Z66" s="947">
        <f>Z68+Z70+Z72+Z74</f>
        <v>0</v>
      </c>
      <c r="AA66" s="956">
        <f>SUM(Y66:Z66)</f>
        <v>0</v>
      </c>
      <c r="AB66" s="947">
        <f>AB68+AB70+AB72+AB74</f>
        <v>0</v>
      </c>
      <c r="AC66" s="947">
        <f t="shared" ref="AC66:AU66" si="18">AC68+AC70+AC72+AC74</f>
        <v>0</v>
      </c>
      <c r="AD66" s="956">
        <f>SUM(AB66:AC66)</f>
        <v>0</v>
      </c>
      <c r="AE66" s="947">
        <f t="shared" si="18"/>
        <v>0</v>
      </c>
      <c r="AF66" s="947">
        <f t="shared" si="18"/>
        <v>0</v>
      </c>
      <c r="AG66" s="956">
        <f>SUM(AE66:AF66)</f>
        <v>0</v>
      </c>
      <c r="AH66" s="947">
        <f t="shared" si="18"/>
        <v>0</v>
      </c>
      <c r="AI66" s="947">
        <f t="shared" si="18"/>
        <v>0</v>
      </c>
      <c r="AJ66" s="956">
        <f>SUM(AH66:AI66)</f>
        <v>0</v>
      </c>
      <c r="AK66" s="947">
        <f t="shared" si="18"/>
        <v>0</v>
      </c>
      <c r="AL66" s="947">
        <f t="shared" si="18"/>
        <v>0</v>
      </c>
      <c r="AM66" s="956">
        <f>SUM(AK66:AL66)</f>
        <v>0</v>
      </c>
      <c r="AN66" s="947">
        <f t="shared" si="18"/>
        <v>0</v>
      </c>
      <c r="AO66" s="947">
        <f t="shared" si="18"/>
        <v>0</v>
      </c>
      <c r="AP66" s="956">
        <f>SUM(AN66:AO66)</f>
        <v>0</v>
      </c>
      <c r="AQ66" s="947">
        <f t="shared" si="18"/>
        <v>0</v>
      </c>
      <c r="AR66" s="947">
        <f t="shared" si="18"/>
        <v>0</v>
      </c>
      <c r="AS66" s="956">
        <f>SUM(AQ66:AR66)</f>
        <v>0</v>
      </c>
      <c r="AT66" s="947">
        <f t="shared" si="18"/>
        <v>0</v>
      </c>
      <c r="AU66" s="947">
        <f t="shared" si="18"/>
        <v>0</v>
      </c>
      <c r="AV66" s="956">
        <f>SUM(AT66:AU66)</f>
        <v>0</v>
      </c>
      <c r="AW66" s="947">
        <f>AW68+AW70+AW72+AW74</f>
        <v>0</v>
      </c>
      <c r="AX66" s="947">
        <f>AX68+AX70+AX72+AX74</f>
        <v>0</v>
      </c>
      <c r="AY66" s="956">
        <f>SUM(AW66:AX66)</f>
        <v>0</v>
      </c>
      <c r="AZ66" s="947">
        <f>AZ68+AZ70+AZ72+AZ74</f>
        <v>0</v>
      </c>
      <c r="BA66" s="947">
        <f>BA68+BA70+BA72+BA74</f>
        <v>0</v>
      </c>
      <c r="BB66" s="956">
        <f>SUM(AZ66:BA66)</f>
        <v>0</v>
      </c>
      <c r="BC66" s="947">
        <f>BC68+BC70+BC72+BC74</f>
        <v>0</v>
      </c>
      <c r="BD66" s="947">
        <f>BD68+BD70+BD72+BD74</f>
        <v>0</v>
      </c>
      <c r="BE66" s="956">
        <f>SUM(BC66:BD66)</f>
        <v>0</v>
      </c>
    </row>
    <row r="67" spans="2:57">
      <c r="M67" s="881"/>
      <c r="N67" s="881"/>
      <c r="O67" s="691"/>
      <c r="R67" s="67"/>
      <c r="U67" s="67"/>
      <c r="X67" s="67"/>
      <c r="AA67" s="67"/>
      <c r="AD67" s="67"/>
      <c r="AG67" s="67"/>
      <c r="AJ67" s="67"/>
      <c r="AM67" s="67"/>
      <c r="AP67" s="67"/>
      <c r="AS67" s="67"/>
      <c r="AV67" s="67"/>
      <c r="AY67" s="67"/>
      <c r="BB67" s="67"/>
      <c r="BE67" s="67"/>
    </row>
    <row r="68" spans="2:57">
      <c r="B68" s="1" t="s">
        <v>887</v>
      </c>
      <c r="C68" s="16" t="s">
        <v>357</v>
      </c>
      <c r="M68" s="881"/>
      <c r="N68" s="881"/>
      <c r="O68" s="691"/>
      <c r="P68" s="873">
        <v>0</v>
      </c>
      <c r="Q68" s="873">
        <v>0</v>
      </c>
      <c r="R68" s="965">
        <f>SUM(P68:Q68)</f>
        <v>0</v>
      </c>
      <c r="S68" s="873">
        <f>P68</f>
        <v>0</v>
      </c>
      <c r="T68" s="873">
        <f>Q68</f>
        <v>0</v>
      </c>
      <c r="U68" s="965">
        <f>SUM(S68:T68)</f>
        <v>0</v>
      </c>
      <c r="V68" s="873">
        <v>0</v>
      </c>
      <c r="W68" s="873">
        <v>0</v>
      </c>
      <c r="X68" s="965">
        <f>SUM(V68:W68)</f>
        <v>0</v>
      </c>
      <c r="Y68" s="873">
        <v>0</v>
      </c>
      <c r="Z68" s="873">
        <v>0</v>
      </c>
      <c r="AA68" s="965">
        <f>SUM(Y68:Z68)</f>
        <v>0</v>
      </c>
      <c r="AB68" s="873">
        <v>0</v>
      </c>
      <c r="AC68" s="873">
        <f>Z68</f>
        <v>0</v>
      </c>
      <c r="AD68" s="965">
        <f>SUM(AB68:AC68)</f>
        <v>0</v>
      </c>
      <c r="AE68" s="873">
        <f>AB68</f>
        <v>0</v>
      </c>
      <c r="AF68" s="873">
        <f>AC68</f>
        <v>0</v>
      </c>
      <c r="AG68" s="965">
        <f>SUM(AE68:AF68)</f>
        <v>0</v>
      </c>
      <c r="AH68" s="873">
        <f>AE68</f>
        <v>0</v>
      </c>
      <c r="AI68" s="873">
        <f>AF68</f>
        <v>0</v>
      </c>
      <c r="AJ68" s="965">
        <f>SUM(AH68:AI68)</f>
        <v>0</v>
      </c>
      <c r="AK68" s="873">
        <f>AH68</f>
        <v>0</v>
      </c>
      <c r="AL68" s="873">
        <f>AI68</f>
        <v>0</v>
      </c>
      <c r="AM68" s="965">
        <f>SUM(AK68:AL68)</f>
        <v>0</v>
      </c>
      <c r="AN68" s="873">
        <f>AK68</f>
        <v>0</v>
      </c>
      <c r="AO68" s="873">
        <f>AL68</f>
        <v>0</v>
      </c>
      <c r="AP68" s="965">
        <f>SUM(AN68:AO68)</f>
        <v>0</v>
      </c>
      <c r="AQ68" s="873">
        <f>AN68</f>
        <v>0</v>
      </c>
      <c r="AR68" s="873">
        <f>AO68</f>
        <v>0</v>
      </c>
      <c r="AS68" s="965">
        <f>SUM(AQ68:AR68)</f>
        <v>0</v>
      </c>
      <c r="AT68" s="873">
        <f>AQ68</f>
        <v>0</v>
      </c>
      <c r="AU68" s="873">
        <f>AR68</f>
        <v>0</v>
      </c>
      <c r="AV68" s="965">
        <f>SUM(AT68:AU68)</f>
        <v>0</v>
      </c>
      <c r="AW68" s="873">
        <f>AT68</f>
        <v>0</v>
      </c>
      <c r="AX68" s="873">
        <f>AU68</f>
        <v>0</v>
      </c>
      <c r="AY68" s="965">
        <f>SUM(AW68:AX68)</f>
        <v>0</v>
      </c>
      <c r="AZ68" s="873">
        <f>AW68</f>
        <v>0</v>
      </c>
      <c r="BA68" s="873">
        <f>AX68</f>
        <v>0</v>
      </c>
      <c r="BB68" s="965">
        <f>SUM(AZ68:BA68)</f>
        <v>0</v>
      </c>
      <c r="BC68" s="873">
        <f>AZ68</f>
        <v>0</v>
      </c>
      <c r="BD68" s="873">
        <f>BA68</f>
        <v>0</v>
      </c>
      <c r="BE68" s="965">
        <f>SUM(BC68:BD68)</f>
        <v>0</v>
      </c>
    </row>
    <row r="69" spans="2:57">
      <c r="M69" s="881"/>
      <c r="N69" s="881"/>
      <c r="O69" s="691"/>
      <c r="P69" s="893"/>
      <c r="Q69" s="893"/>
      <c r="R69" s="67"/>
      <c r="S69" s="893"/>
      <c r="T69" s="893"/>
      <c r="U69" s="67"/>
      <c r="V69" s="893"/>
      <c r="W69" s="893"/>
      <c r="X69" s="67"/>
      <c r="Y69" s="893"/>
      <c r="Z69" s="893"/>
      <c r="AA69" s="67"/>
      <c r="AB69" s="893"/>
      <c r="AC69" s="893"/>
      <c r="AD69" s="67"/>
      <c r="AE69" s="893"/>
      <c r="AF69" s="893"/>
      <c r="AG69" s="67"/>
      <c r="AH69" s="893"/>
      <c r="AI69" s="893"/>
      <c r="AJ69" s="67"/>
      <c r="AK69" s="893"/>
      <c r="AL69" s="893"/>
      <c r="AM69" s="67"/>
      <c r="AN69" s="893"/>
      <c r="AO69" s="893"/>
      <c r="AP69" s="67"/>
      <c r="AQ69" s="893"/>
      <c r="AR69" s="893"/>
      <c r="AS69" s="67"/>
      <c r="AT69" s="893"/>
      <c r="AU69" s="893"/>
      <c r="AV69" s="67"/>
      <c r="AW69" s="893"/>
      <c r="AX69" s="893"/>
      <c r="AY69" s="67"/>
      <c r="AZ69" s="893"/>
      <c r="BA69" s="893"/>
      <c r="BB69" s="67"/>
      <c r="BC69" s="893"/>
      <c r="BD69" s="893"/>
      <c r="BE69" s="67"/>
    </row>
    <row r="70" spans="2:57">
      <c r="B70" s="1" t="s">
        <v>888</v>
      </c>
      <c r="C70" s="16" t="s">
        <v>357</v>
      </c>
      <c r="M70" s="881"/>
      <c r="N70" s="881"/>
      <c r="O70" s="691"/>
      <c r="P70" s="873">
        <v>0</v>
      </c>
      <c r="Q70" s="873">
        <v>0</v>
      </c>
      <c r="R70" s="965">
        <f>SUM(P70:Q70)</f>
        <v>0</v>
      </c>
      <c r="S70" s="873">
        <f>P70</f>
        <v>0</v>
      </c>
      <c r="T70" s="873">
        <f>Q70</f>
        <v>0</v>
      </c>
      <c r="U70" s="965">
        <f>SUM(S70:T70)</f>
        <v>0</v>
      </c>
      <c r="V70" s="873">
        <v>0</v>
      </c>
      <c r="W70" s="873">
        <v>0</v>
      </c>
      <c r="X70" s="965">
        <f>SUM(V70:W70)</f>
        <v>0</v>
      </c>
      <c r="Y70" s="873">
        <v>0</v>
      </c>
      <c r="Z70" s="873">
        <v>0</v>
      </c>
      <c r="AA70" s="965">
        <f>SUM(Y70:Z70)</f>
        <v>0</v>
      </c>
      <c r="AB70" s="873">
        <v>0</v>
      </c>
      <c r="AC70" s="873">
        <f>Z70</f>
        <v>0</v>
      </c>
      <c r="AD70" s="965">
        <f>SUM(AB70:AC70)</f>
        <v>0</v>
      </c>
      <c r="AE70" s="873">
        <f>AB70</f>
        <v>0</v>
      </c>
      <c r="AF70" s="873">
        <f>AC70</f>
        <v>0</v>
      </c>
      <c r="AG70" s="965">
        <f>SUM(AE70:AF70)</f>
        <v>0</v>
      </c>
      <c r="AH70" s="873">
        <f>AE70</f>
        <v>0</v>
      </c>
      <c r="AI70" s="873">
        <f>AF70</f>
        <v>0</v>
      </c>
      <c r="AJ70" s="965">
        <f>SUM(AH70:AI70)</f>
        <v>0</v>
      </c>
      <c r="AK70" s="873">
        <f>AH70</f>
        <v>0</v>
      </c>
      <c r="AL70" s="873">
        <f>AI70</f>
        <v>0</v>
      </c>
      <c r="AM70" s="965">
        <f>SUM(AK70:AL70)</f>
        <v>0</v>
      </c>
      <c r="AN70" s="873">
        <f>AK70</f>
        <v>0</v>
      </c>
      <c r="AO70" s="873">
        <f>AL70</f>
        <v>0</v>
      </c>
      <c r="AP70" s="965">
        <f>SUM(AN70:AO70)</f>
        <v>0</v>
      </c>
      <c r="AQ70" s="873">
        <f>AN70</f>
        <v>0</v>
      </c>
      <c r="AR70" s="873">
        <f>AO70</f>
        <v>0</v>
      </c>
      <c r="AS70" s="965">
        <f>SUM(AQ70:AR70)</f>
        <v>0</v>
      </c>
      <c r="AT70" s="873">
        <f>AQ70</f>
        <v>0</v>
      </c>
      <c r="AU70" s="873">
        <f>AR70</f>
        <v>0</v>
      </c>
      <c r="AV70" s="965">
        <f>SUM(AT70:AU70)</f>
        <v>0</v>
      </c>
      <c r="AW70" s="873">
        <f>AT70</f>
        <v>0</v>
      </c>
      <c r="AX70" s="873">
        <f>AU70</f>
        <v>0</v>
      </c>
      <c r="AY70" s="965">
        <f>SUM(AW70:AX70)</f>
        <v>0</v>
      </c>
      <c r="AZ70" s="873">
        <f>AW70</f>
        <v>0</v>
      </c>
      <c r="BA70" s="873">
        <f>AX70</f>
        <v>0</v>
      </c>
      <c r="BB70" s="965">
        <f>SUM(AZ70:BA70)</f>
        <v>0</v>
      </c>
      <c r="BC70" s="873">
        <f>AZ70</f>
        <v>0</v>
      </c>
      <c r="BD70" s="873">
        <f>BA70</f>
        <v>0</v>
      </c>
      <c r="BE70" s="965">
        <f>SUM(BC70:BD70)</f>
        <v>0</v>
      </c>
    </row>
    <row r="71" spans="2:57">
      <c r="M71" s="881"/>
      <c r="N71" s="881"/>
      <c r="O71" s="691"/>
      <c r="P71" s="893"/>
      <c r="Q71" s="893"/>
      <c r="R71" s="67"/>
      <c r="S71" s="893"/>
      <c r="T71" s="893"/>
      <c r="U71" s="67"/>
      <c r="V71" s="893"/>
      <c r="W71" s="893"/>
      <c r="X71" s="67"/>
      <c r="Y71" s="893"/>
      <c r="Z71" s="893"/>
      <c r="AA71" s="67"/>
      <c r="AB71" s="893"/>
      <c r="AC71" s="893"/>
      <c r="AD71" s="67"/>
      <c r="AE71" s="893"/>
      <c r="AF71" s="893"/>
      <c r="AG71" s="67"/>
      <c r="AH71" s="893"/>
      <c r="AI71" s="893"/>
      <c r="AJ71" s="67"/>
      <c r="AK71" s="893"/>
      <c r="AL71" s="893"/>
      <c r="AM71" s="67"/>
      <c r="AN71" s="893"/>
      <c r="AO71" s="893"/>
      <c r="AP71" s="67"/>
      <c r="AQ71" s="893"/>
      <c r="AR71" s="893"/>
      <c r="AS71" s="67"/>
      <c r="AT71" s="893"/>
      <c r="AU71" s="893"/>
      <c r="AV71" s="67"/>
      <c r="AW71" s="893"/>
      <c r="AX71" s="893"/>
      <c r="AY71" s="67"/>
      <c r="AZ71" s="893"/>
      <c r="BA71" s="893"/>
      <c r="BB71" s="67"/>
      <c r="BC71" s="893"/>
      <c r="BD71" s="893"/>
      <c r="BE71" s="67"/>
    </row>
    <row r="72" spans="2:57">
      <c r="B72" s="1" t="s">
        <v>889</v>
      </c>
      <c r="C72" s="16" t="s">
        <v>357</v>
      </c>
      <c r="M72" s="881"/>
      <c r="N72" s="881"/>
      <c r="O72" s="691"/>
      <c r="P72" s="873">
        <v>0</v>
      </c>
      <c r="Q72" s="873">
        <v>0</v>
      </c>
      <c r="R72" s="965">
        <f>SUM(P72:Q72)</f>
        <v>0</v>
      </c>
      <c r="S72" s="873">
        <f>P72</f>
        <v>0</v>
      </c>
      <c r="T72" s="873">
        <f>Q72</f>
        <v>0</v>
      </c>
      <c r="U72" s="965">
        <f>SUM(S72:T72)</f>
        <v>0</v>
      </c>
      <c r="V72" s="873">
        <v>0</v>
      </c>
      <c r="W72" s="873">
        <v>0</v>
      </c>
      <c r="X72" s="965">
        <f>SUM(V72:W72)</f>
        <v>0</v>
      </c>
      <c r="Y72" s="873">
        <f>W72</f>
        <v>0</v>
      </c>
      <c r="Z72" s="873">
        <v>0</v>
      </c>
      <c r="AA72" s="965">
        <f>SUM(Y72:Z72)</f>
        <v>0</v>
      </c>
      <c r="AB72" s="873">
        <f>Z72</f>
        <v>0</v>
      </c>
      <c r="AC72" s="873">
        <f>Z72</f>
        <v>0</v>
      </c>
      <c r="AD72" s="965">
        <f>SUM(AB72:AC72)</f>
        <v>0</v>
      </c>
      <c r="AE72" s="873">
        <f>AB72</f>
        <v>0</v>
      </c>
      <c r="AF72" s="873">
        <f>AC72</f>
        <v>0</v>
      </c>
      <c r="AG72" s="965">
        <f>SUM(AE72:AF72)</f>
        <v>0</v>
      </c>
      <c r="AH72" s="873">
        <f>AE72</f>
        <v>0</v>
      </c>
      <c r="AI72" s="873">
        <f>AF72</f>
        <v>0</v>
      </c>
      <c r="AJ72" s="965">
        <f>SUM(AH72:AI72)</f>
        <v>0</v>
      </c>
      <c r="AK72" s="873">
        <f>AH72</f>
        <v>0</v>
      </c>
      <c r="AL72" s="873">
        <f>AI72</f>
        <v>0</v>
      </c>
      <c r="AM72" s="965">
        <f>SUM(AK72:AL72)</f>
        <v>0</v>
      </c>
      <c r="AN72" s="873">
        <f>AK72</f>
        <v>0</v>
      </c>
      <c r="AO72" s="873">
        <f>AL72</f>
        <v>0</v>
      </c>
      <c r="AP72" s="965">
        <f>SUM(AN72:AO72)</f>
        <v>0</v>
      </c>
      <c r="AQ72" s="873">
        <f>AN72</f>
        <v>0</v>
      </c>
      <c r="AR72" s="873">
        <f>AO72</f>
        <v>0</v>
      </c>
      <c r="AS72" s="965">
        <f>SUM(AQ72:AR72)</f>
        <v>0</v>
      </c>
      <c r="AT72" s="873">
        <f>AQ72</f>
        <v>0</v>
      </c>
      <c r="AU72" s="873">
        <f>AR72</f>
        <v>0</v>
      </c>
      <c r="AV72" s="965">
        <f>SUM(AT72:AU72)</f>
        <v>0</v>
      </c>
      <c r="AW72" s="873">
        <f>AT72</f>
        <v>0</v>
      </c>
      <c r="AX72" s="873">
        <f>AU72</f>
        <v>0</v>
      </c>
      <c r="AY72" s="965">
        <f>SUM(AW72:AX72)</f>
        <v>0</v>
      </c>
      <c r="AZ72" s="873">
        <f>AW72</f>
        <v>0</v>
      </c>
      <c r="BA72" s="873">
        <f>AX72</f>
        <v>0</v>
      </c>
      <c r="BB72" s="965">
        <f>SUM(AZ72:BA72)</f>
        <v>0</v>
      </c>
      <c r="BC72" s="873">
        <f>AZ72</f>
        <v>0</v>
      </c>
      <c r="BD72" s="873">
        <f>BA72</f>
        <v>0</v>
      </c>
      <c r="BE72" s="965">
        <f>SUM(BC72:BD72)</f>
        <v>0</v>
      </c>
    </row>
    <row r="73" spans="2:57">
      <c r="M73" s="881"/>
      <c r="N73" s="881"/>
      <c r="O73" s="691"/>
      <c r="P73" s="893"/>
      <c r="Q73" s="893"/>
      <c r="R73" s="67"/>
      <c r="S73" s="893"/>
      <c r="T73" s="893"/>
      <c r="U73" s="67"/>
      <c r="V73" s="893"/>
      <c r="W73" s="893"/>
      <c r="X73" s="67"/>
      <c r="Y73" s="893"/>
      <c r="Z73" s="893"/>
      <c r="AA73" s="67"/>
      <c r="AB73" s="893"/>
      <c r="AC73" s="893"/>
      <c r="AD73" s="67"/>
      <c r="AE73" s="893"/>
      <c r="AF73" s="893"/>
      <c r="AG73" s="67"/>
      <c r="AH73" s="893"/>
      <c r="AI73" s="893"/>
      <c r="AJ73" s="67"/>
      <c r="AK73" s="893"/>
      <c r="AL73" s="893"/>
      <c r="AM73" s="67"/>
      <c r="AN73" s="893"/>
      <c r="AO73" s="893"/>
      <c r="AP73" s="67"/>
      <c r="AQ73" s="893"/>
      <c r="AR73" s="893"/>
      <c r="AS73" s="67"/>
      <c r="AT73" s="893"/>
      <c r="AU73" s="893"/>
      <c r="AV73" s="67"/>
      <c r="AW73" s="893"/>
      <c r="AX73" s="893"/>
      <c r="AY73" s="67"/>
      <c r="AZ73" s="893"/>
      <c r="BA73" s="893"/>
      <c r="BB73" s="67"/>
      <c r="BC73" s="893"/>
      <c r="BD73" s="893"/>
      <c r="BE73" s="67"/>
    </row>
    <row r="74" spans="2:57">
      <c r="B74" s="1" t="s">
        <v>890</v>
      </c>
      <c r="C74" s="16" t="s">
        <v>357</v>
      </c>
      <c r="M74" s="881"/>
      <c r="N74" s="881"/>
      <c r="O74" s="691"/>
      <c r="P74" s="873">
        <v>0</v>
      </c>
      <c r="Q74" s="873">
        <v>0</v>
      </c>
      <c r="R74" s="965">
        <f>SUM(P74:Q74)</f>
        <v>0</v>
      </c>
      <c r="S74" s="873">
        <f>P74</f>
        <v>0</v>
      </c>
      <c r="T74" s="873">
        <f>Q74</f>
        <v>0</v>
      </c>
      <c r="U74" s="965">
        <f>SUM(S74:T74)</f>
        <v>0</v>
      </c>
      <c r="V74" s="873">
        <v>0</v>
      </c>
      <c r="W74" s="873">
        <v>0</v>
      </c>
      <c r="X74" s="965">
        <f>SUM(V74:W74)</f>
        <v>0</v>
      </c>
      <c r="Y74" s="873">
        <v>0</v>
      </c>
      <c r="Z74" s="873">
        <v>0</v>
      </c>
      <c r="AA74" s="965">
        <f>SUM(Y74:Z74)</f>
        <v>0</v>
      </c>
      <c r="AB74" s="873">
        <v>0</v>
      </c>
      <c r="AC74" s="873">
        <f>Z74</f>
        <v>0</v>
      </c>
      <c r="AD74" s="965">
        <f>SUM(AB74:AC74)</f>
        <v>0</v>
      </c>
      <c r="AE74" s="873">
        <f>AB74</f>
        <v>0</v>
      </c>
      <c r="AF74" s="873">
        <f>AC74</f>
        <v>0</v>
      </c>
      <c r="AG74" s="965">
        <f>SUM(AE74:AF74)</f>
        <v>0</v>
      </c>
      <c r="AH74" s="873">
        <f>AE74</f>
        <v>0</v>
      </c>
      <c r="AI74" s="873">
        <f>AF74</f>
        <v>0</v>
      </c>
      <c r="AJ74" s="965">
        <f>SUM(AH74:AI74)</f>
        <v>0</v>
      </c>
      <c r="AK74" s="873">
        <f>AH74</f>
        <v>0</v>
      </c>
      <c r="AL74" s="873">
        <f>AI74</f>
        <v>0</v>
      </c>
      <c r="AM74" s="965">
        <f>SUM(AK74:AL74)</f>
        <v>0</v>
      </c>
      <c r="AN74" s="873">
        <f>AK74</f>
        <v>0</v>
      </c>
      <c r="AO74" s="873">
        <f>AL74</f>
        <v>0</v>
      </c>
      <c r="AP74" s="965">
        <f>SUM(AN74:AO74)</f>
        <v>0</v>
      </c>
      <c r="AQ74" s="873">
        <f>AN74</f>
        <v>0</v>
      </c>
      <c r="AR74" s="873">
        <f>AO74</f>
        <v>0</v>
      </c>
      <c r="AS74" s="965">
        <f>SUM(AQ74:AR74)</f>
        <v>0</v>
      </c>
      <c r="AT74" s="873">
        <f>AQ74</f>
        <v>0</v>
      </c>
      <c r="AU74" s="873">
        <f>AR74</f>
        <v>0</v>
      </c>
      <c r="AV74" s="965">
        <f>SUM(AT74:AU74)</f>
        <v>0</v>
      </c>
      <c r="AW74" s="873">
        <f>AT74</f>
        <v>0</v>
      </c>
      <c r="AX74" s="873">
        <f>AU74</f>
        <v>0</v>
      </c>
      <c r="AY74" s="965">
        <f>SUM(AW74:AX74)</f>
        <v>0</v>
      </c>
      <c r="AZ74" s="873">
        <f>AW74</f>
        <v>0</v>
      </c>
      <c r="BA74" s="873">
        <f>AX74</f>
        <v>0</v>
      </c>
      <c r="BB74" s="965">
        <f>SUM(AZ74:BA74)</f>
        <v>0</v>
      </c>
      <c r="BC74" s="873">
        <f>AZ74</f>
        <v>0</v>
      </c>
      <c r="BD74" s="873">
        <f>BA74</f>
        <v>0</v>
      </c>
      <c r="BE74" s="965">
        <f>SUM(BC74:BD74)</f>
        <v>0</v>
      </c>
    </row>
    <row r="75" spans="2:57">
      <c r="B75" s="1"/>
      <c r="C75" s="16"/>
      <c r="M75" s="881"/>
      <c r="N75" s="881"/>
      <c r="O75" s="691"/>
      <c r="P75" s="873"/>
      <c r="Q75" s="873"/>
      <c r="R75" s="965"/>
      <c r="S75" s="873"/>
      <c r="T75" s="873"/>
      <c r="U75" s="965"/>
      <c r="V75" s="873"/>
      <c r="W75" s="873"/>
      <c r="X75" s="965"/>
      <c r="Y75" s="873"/>
      <c r="Z75" s="873"/>
      <c r="AA75" s="965"/>
      <c r="AB75" s="873"/>
      <c r="AC75" s="873"/>
      <c r="AD75" s="965"/>
      <c r="AE75" s="873"/>
      <c r="AF75" s="873"/>
      <c r="AG75" s="965"/>
      <c r="AH75" s="873"/>
      <c r="AI75" s="873"/>
      <c r="AJ75" s="965"/>
      <c r="AK75" s="873"/>
      <c r="AL75" s="873"/>
      <c r="AM75" s="965"/>
      <c r="AN75" s="873"/>
      <c r="AO75" s="873"/>
      <c r="AP75" s="965"/>
      <c r="AQ75" s="873"/>
      <c r="AR75" s="873"/>
      <c r="AS75" s="965"/>
      <c r="AT75" s="873"/>
      <c r="AU75" s="873"/>
      <c r="AV75" s="965"/>
      <c r="AW75" s="873"/>
      <c r="AX75" s="873"/>
      <c r="AY75" s="965"/>
      <c r="AZ75" s="873"/>
      <c r="BA75" s="873"/>
      <c r="BB75" s="965"/>
      <c r="BC75" s="873"/>
      <c r="BD75" s="873"/>
      <c r="BE75" s="965"/>
    </row>
    <row r="76" spans="2:57">
      <c r="B76" s="857" t="s">
        <v>918</v>
      </c>
      <c r="C76" s="20"/>
      <c r="D76" s="21" t="str">
        <f t="shared" ref="D76:AV76" si="19">D1</f>
        <v>1H18A</v>
      </c>
      <c r="E76" s="21" t="str">
        <f t="shared" si="19"/>
        <v>2H18</v>
      </c>
      <c r="F76" s="21" t="str">
        <f t="shared" si="19"/>
        <v>FY18A</v>
      </c>
      <c r="G76" s="21" t="str">
        <f t="shared" si="19"/>
        <v>1H19A</v>
      </c>
      <c r="H76" s="21" t="str">
        <f t="shared" si="19"/>
        <v>2H19A</v>
      </c>
      <c r="I76" s="21" t="str">
        <f t="shared" si="19"/>
        <v>FY19A</v>
      </c>
      <c r="J76" s="21" t="str">
        <f t="shared" si="19"/>
        <v>1H20A</v>
      </c>
      <c r="K76" s="21" t="str">
        <f t="shared" si="19"/>
        <v>2H20A</v>
      </c>
      <c r="L76" s="21">
        <f t="shared" si="19"/>
        <v>0</v>
      </c>
      <c r="M76" s="21" t="str">
        <f t="shared" si="19"/>
        <v>1h21</v>
      </c>
      <c r="N76" s="21" t="str">
        <f t="shared" si="19"/>
        <v>2h21</v>
      </c>
      <c r="O76" s="957" t="str">
        <f t="shared" si="19"/>
        <v>2021</v>
      </c>
      <c r="P76" s="21" t="str">
        <f t="shared" si="19"/>
        <v>1h22</v>
      </c>
      <c r="Q76" s="21" t="str">
        <f t="shared" si="19"/>
        <v>2h22</v>
      </c>
      <c r="R76" s="957" t="str">
        <f t="shared" si="19"/>
        <v>2022</v>
      </c>
      <c r="S76" s="21" t="str">
        <f t="shared" si="19"/>
        <v>1h23</v>
      </c>
      <c r="T76" s="21" t="str">
        <f t="shared" si="19"/>
        <v>2h23</v>
      </c>
      <c r="U76" s="957" t="str">
        <f t="shared" si="19"/>
        <v>2023</v>
      </c>
      <c r="V76" s="21" t="str">
        <f t="shared" si="19"/>
        <v>1h24</v>
      </c>
      <c r="W76" s="21" t="str">
        <f t="shared" si="19"/>
        <v>2h24</v>
      </c>
      <c r="X76" s="957" t="str">
        <f t="shared" si="19"/>
        <v>2024</v>
      </c>
      <c r="Y76" s="21" t="str">
        <f t="shared" si="19"/>
        <v>1h25</v>
      </c>
      <c r="Z76" s="21" t="str">
        <f>Z1</f>
        <v>2h25</v>
      </c>
      <c r="AA76" s="957" t="str">
        <f>AA1</f>
        <v>2025</v>
      </c>
      <c r="AB76" s="21" t="str">
        <f t="shared" ref="AB76" si="20">AB1</f>
        <v>1h26</v>
      </c>
      <c r="AC76" s="21" t="str">
        <f t="shared" si="19"/>
        <v>2h26E</v>
      </c>
      <c r="AD76" s="957" t="str">
        <f t="shared" si="19"/>
        <v>2026E</v>
      </c>
      <c r="AE76" s="21" t="str">
        <f t="shared" si="19"/>
        <v>1h27E</v>
      </c>
      <c r="AF76" s="21" t="str">
        <f t="shared" si="19"/>
        <v>2h27E</v>
      </c>
      <c r="AG76" s="957" t="str">
        <f t="shared" si="19"/>
        <v>2027E</v>
      </c>
      <c r="AH76" s="21" t="str">
        <f t="shared" si="19"/>
        <v>1h28E</v>
      </c>
      <c r="AI76" s="21" t="str">
        <f t="shared" si="19"/>
        <v>2h28E</v>
      </c>
      <c r="AJ76" s="957" t="str">
        <f t="shared" si="19"/>
        <v>2028E</v>
      </c>
      <c r="AK76" s="21" t="str">
        <f t="shared" si="19"/>
        <v>1h29E</v>
      </c>
      <c r="AL76" s="21" t="str">
        <f t="shared" si="19"/>
        <v>2h29E</v>
      </c>
      <c r="AM76" s="957" t="str">
        <f t="shared" si="19"/>
        <v>2029E</v>
      </c>
      <c r="AN76" s="21" t="str">
        <f t="shared" si="19"/>
        <v>1h30E</v>
      </c>
      <c r="AO76" s="21" t="str">
        <f t="shared" si="19"/>
        <v>2h30E</v>
      </c>
      <c r="AP76" s="957" t="str">
        <f t="shared" si="19"/>
        <v>2030E</v>
      </c>
      <c r="AQ76" s="21" t="str">
        <f t="shared" si="19"/>
        <v>1h31E</v>
      </c>
      <c r="AR76" s="21" t="str">
        <f t="shared" si="19"/>
        <v>2h31E</v>
      </c>
      <c r="AS76" s="957" t="str">
        <f t="shared" si="19"/>
        <v>2031E</v>
      </c>
      <c r="AT76" s="21" t="str">
        <f t="shared" si="19"/>
        <v>1h32E</v>
      </c>
      <c r="AU76" s="21" t="str">
        <f t="shared" si="19"/>
        <v>2h32E</v>
      </c>
      <c r="AV76" s="957" t="str">
        <f t="shared" si="19"/>
        <v>2032E</v>
      </c>
      <c r="AW76" s="21" t="str">
        <f t="shared" ref="AW76:BE76" si="21">AW1</f>
        <v>1h33E</v>
      </c>
      <c r="AX76" s="21" t="str">
        <f t="shared" si="21"/>
        <v>2h33E</v>
      </c>
      <c r="AY76" s="957" t="str">
        <f t="shared" si="21"/>
        <v>2033E</v>
      </c>
      <c r="AZ76" s="21" t="str">
        <f t="shared" si="21"/>
        <v>1h34E</v>
      </c>
      <c r="BA76" s="21" t="str">
        <f t="shared" si="21"/>
        <v>2h34E</v>
      </c>
      <c r="BB76" s="957" t="str">
        <f t="shared" si="21"/>
        <v>2034E</v>
      </c>
      <c r="BC76" s="21" t="str">
        <f t="shared" si="21"/>
        <v>1h35E</v>
      </c>
      <c r="BD76" s="21" t="str">
        <f t="shared" si="21"/>
        <v>2h35E</v>
      </c>
      <c r="BE76" s="957" t="str">
        <f t="shared" si="21"/>
        <v>2035E</v>
      </c>
    </row>
    <row r="77" spans="2:57">
      <c r="B77" s="1" t="s">
        <v>481</v>
      </c>
      <c r="C77" s="16" t="s">
        <v>357</v>
      </c>
      <c r="M77" s="873">
        <f>M7-M80</f>
        <v>253.60428336941902</v>
      </c>
      <c r="N77" s="873">
        <f>N7-N80</f>
        <v>255.12697993728057</v>
      </c>
      <c r="O77" s="954">
        <f>SUM(M77:N77)</f>
        <v>508.73126330669959</v>
      </c>
      <c r="P77" s="873">
        <f>P7-P80</f>
        <v>218.82731153609063</v>
      </c>
      <c r="Q77" s="873">
        <f>Q7-Q80</f>
        <v>246.56268846390901</v>
      </c>
      <c r="R77" s="954">
        <f>SUM(P77:Q77)</f>
        <v>465.38999999999965</v>
      </c>
      <c r="S77" s="477">
        <f>+S9-S80</f>
        <v>274</v>
      </c>
      <c r="T77" s="477">
        <f>+T9-T80</f>
        <v>304</v>
      </c>
      <c r="U77" s="729">
        <f>SUM(S77:T77)</f>
        <v>578</v>
      </c>
      <c r="V77" s="477">
        <f>+V9-V80</f>
        <v>341</v>
      </c>
      <c r="W77" s="477">
        <f>+W9-W80</f>
        <v>310</v>
      </c>
      <c r="X77" s="729">
        <f>SUM(V77:W77)</f>
        <v>651</v>
      </c>
      <c r="Y77" s="477">
        <f>+Y9-Y80</f>
        <v>356</v>
      </c>
      <c r="Z77" s="477">
        <f>+Z9-Z80</f>
        <v>333</v>
      </c>
      <c r="AA77" s="729">
        <f>SUM(Y77:Z77)</f>
        <v>689</v>
      </c>
      <c r="AB77" s="477">
        <f>+AB9-AB80</f>
        <v>387</v>
      </c>
      <c r="AC77" s="873">
        <f>AC7-AC80</f>
        <v>343.92505505621</v>
      </c>
      <c r="AD77" s="954">
        <f>SUM(AB77:AC77)</f>
        <v>730.92505505621</v>
      </c>
      <c r="AE77" s="873">
        <f>AE7-AE80</f>
        <v>414.80436098210032</v>
      </c>
      <c r="AF77" s="873">
        <f>AF7-AF80</f>
        <v>351.40089804854256</v>
      </c>
      <c r="AG77" s="954">
        <f>SUM(AE77:AF77)</f>
        <v>766.20525903064288</v>
      </c>
      <c r="AH77" s="873">
        <f>AH7-AH80</f>
        <v>412.74388903120541</v>
      </c>
      <c r="AI77" s="873">
        <f>AI7-AI80</f>
        <v>364.96301310203683</v>
      </c>
      <c r="AJ77" s="954">
        <f>SUM(AH77:AI77)</f>
        <v>777.70690213324224</v>
      </c>
      <c r="AK77" s="873">
        <f>AK7-AK80</f>
        <v>429.14019672276561</v>
      </c>
      <c r="AL77" s="873">
        <f>AL7-AL80</f>
        <v>379.15202806687353</v>
      </c>
      <c r="AM77" s="954">
        <f>SUM(AK77:AL77)</f>
        <v>808.29222478963914</v>
      </c>
      <c r="AN77" s="873">
        <f>AN7-AN80</f>
        <v>446.31439981970391</v>
      </c>
      <c r="AO77" s="873">
        <f>AO7-AO80</f>
        <v>394.0001386336088</v>
      </c>
      <c r="AP77" s="954">
        <f>SUM(AN77:AO77)</f>
        <v>840.31453845331271</v>
      </c>
      <c r="AQ77" s="873">
        <f>AQ7-AQ80</f>
        <v>464.30776938638519</v>
      </c>
      <c r="AR77" s="873">
        <f>AR7-AR80</f>
        <v>409.54137551314739</v>
      </c>
      <c r="AS77" s="954">
        <f>SUM(AQ77:AR77)</f>
        <v>873.84914489953258</v>
      </c>
      <c r="AT77" s="873">
        <f>AT7-AT80</f>
        <v>483.16402615919719</v>
      </c>
      <c r="AU77" s="873">
        <f>AU7-AU80</f>
        <v>425.81172073473283</v>
      </c>
      <c r="AV77" s="954">
        <f>SUM(AT77:AU77)</f>
        <v>908.97574689393002</v>
      </c>
      <c r="AW77" s="873">
        <f>AW7-AW80</f>
        <v>502.92950313478786</v>
      </c>
      <c r="AX77" s="873">
        <f>AX7-AX80</f>
        <v>442.84923210450643</v>
      </c>
      <c r="AY77" s="954">
        <f>SUM(AW77:AX77)</f>
        <v>945.77873523929429</v>
      </c>
      <c r="AZ77" s="873">
        <f>AZ7-AZ80</f>
        <v>523.65332011603095</v>
      </c>
      <c r="BA77" s="873">
        <f>BA7-BA80</f>
        <v>460.69417645100907</v>
      </c>
      <c r="BB77" s="954">
        <f>SUM(AZ77:BA77)</f>
        <v>984.34749656704003</v>
      </c>
      <c r="BC77" s="873">
        <f>BC7-BC80</f>
        <v>545.38757117393538</v>
      </c>
      <c r="BD77" s="873">
        <f>BD7-BD80</f>
        <v>479.38917233571146</v>
      </c>
      <c r="BE77" s="954">
        <f>SUM(BC77:BD77)</f>
        <v>1024.7767435096468</v>
      </c>
    </row>
    <row r="78" spans="2:57">
      <c r="B78" s="1" t="s">
        <v>350</v>
      </c>
      <c r="C78" s="16" t="s">
        <v>507</v>
      </c>
      <c r="M78" s="893"/>
      <c r="N78" s="893"/>
      <c r="O78" s="953"/>
      <c r="P78" s="893">
        <f t="shared" ref="P78:U78" si="22">P77/M77-1</f>
        <v>-0.13713085351429033</v>
      </c>
      <c r="Q78" s="893">
        <f t="shared" si="22"/>
        <v>-3.3568740850054235E-2</v>
      </c>
      <c r="R78" s="953">
        <f t="shared" si="22"/>
        <v>-8.5194809976855579E-2</v>
      </c>
      <c r="S78" s="892">
        <f t="shared" si="22"/>
        <v>0.25212889596191879</v>
      </c>
      <c r="T78" s="892">
        <f t="shared" si="22"/>
        <v>0.23295216277015274</v>
      </c>
      <c r="U78" s="953">
        <f t="shared" si="22"/>
        <v>0.2419691011839542</v>
      </c>
      <c r="V78" s="892">
        <f t="shared" ref="V78:AV78" si="23">V77/S77-1</f>
        <v>0.24452554744525545</v>
      </c>
      <c r="W78" s="892">
        <f t="shared" si="23"/>
        <v>1.9736842105263053E-2</v>
      </c>
      <c r="X78" s="953">
        <f t="shared" si="23"/>
        <v>0.12629757785467133</v>
      </c>
      <c r="Y78" s="892">
        <f t="shared" si="23"/>
        <v>4.3988269794721369E-2</v>
      </c>
      <c r="Z78" s="892">
        <f>Z77/W77-1</f>
        <v>7.4193548387096797E-2</v>
      </c>
      <c r="AA78" s="953">
        <f>AA77/X77-1</f>
        <v>5.8371735791090673E-2</v>
      </c>
      <c r="AB78" s="892">
        <f t="shared" si="23"/>
        <v>8.7078651685393194E-2</v>
      </c>
      <c r="AC78" s="893">
        <f t="shared" si="23"/>
        <v>3.2807973141771862E-2</v>
      </c>
      <c r="AD78" s="953">
        <f t="shared" si="23"/>
        <v>6.0849136511190061E-2</v>
      </c>
      <c r="AE78" s="893">
        <f t="shared" si="23"/>
        <v>7.1845894010595046E-2</v>
      </c>
      <c r="AF78" s="893">
        <f t="shared" si="23"/>
        <v>2.1736837379035201E-2</v>
      </c>
      <c r="AG78" s="953">
        <f t="shared" si="23"/>
        <v>4.8267881543231139E-2</v>
      </c>
      <c r="AH78" s="893">
        <f t="shared" si="23"/>
        <v>-4.9673343501415168E-3</v>
      </c>
      <c r="AI78" s="893">
        <f t="shared" si="23"/>
        <v>3.8594423431498548E-2</v>
      </c>
      <c r="AJ78" s="953">
        <f t="shared" si="23"/>
        <v>1.5011177444997692E-2</v>
      </c>
      <c r="AK78" s="893">
        <f t="shared" si="23"/>
        <v>3.9725137372828678E-2</v>
      </c>
      <c r="AL78" s="893">
        <f t="shared" si="23"/>
        <v>3.887795325952581E-2</v>
      </c>
      <c r="AM78" s="953">
        <f t="shared" si="23"/>
        <v>3.9327570029919601E-2</v>
      </c>
      <c r="AN78" s="893">
        <f t="shared" si="23"/>
        <v>4.0020028951128994E-2</v>
      </c>
      <c r="AO78" s="893">
        <f t="shared" si="23"/>
        <v>3.9161363958513329E-2</v>
      </c>
      <c r="AP78" s="953">
        <f t="shared" si="23"/>
        <v>3.9617248170372488E-2</v>
      </c>
      <c r="AQ78" s="893">
        <f t="shared" si="23"/>
        <v>4.0315458282210948E-2</v>
      </c>
      <c r="AR78" s="893">
        <f t="shared" si="23"/>
        <v>3.9444749774544707E-2</v>
      </c>
      <c r="AS78" s="953">
        <f t="shared" si="23"/>
        <v>3.9907207255921007E-2</v>
      </c>
      <c r="AT78" s="893">
        <f t="shared" si="23"/>
        <v>4.0611546943812415E-2</v>
      </c>
      <c r="AU78" s="893">
        <f t="shared" si="23"/>
        <v>3.972820866072202E-2</v>
      </c>
      <c r="AV78" s="953">
        <f t="shared" si="23"/>
        <v>4.0197558353662899E-2</v>
      </c>
      <c r="AW78" s="893">
        <f t="shared" ref="AW78:BE78" si="24">AW77/AT77-1</f>
        <v>4.090842013365914E-2</v>
      </c>
      <c r="AX78" s="893">
        <f t="shared" si="24"/>
        <v>4.0011842183149904E-2</v>
      </c>
      <c r="AY78" s="953">
        <f t="shared" si="24"/>
        <v>4.048841618835719E-2</v>
      </c>
      <c r="AZ78" s="893">
        <f t="shared" si="24"/>
        <v>4.1206206540022716E-2</v>
      </c>
      <c r="BA78" s="893">
        <f t="shared" si="24"/>
        <v>4.0295755423804147E-2</v>
      </c>
      <c r="BB78" s="953">
        <f t="shared" si="24"/>
        <v>4.0779899029964373E-2</v>
      </c>
      <c r="BC78" s="893">
        <f t="shared" si="24"/>
        <v>4.1505038205598588E-2</v>
      </c>
      <c r="BD78" s="893">
        <f t="shared" si="24"/>
        <v>4.0580056880077375E-2</v>
      </c>
      <c r="BE78" s="953">
        <f t="shared" si="24"/>
        <v>4.1072128576143951E-2</v>
      </c>
    </row>
    <row r="79" spans="2:57">
      <c r="B79" s="1"/>
      <c r="M79" s="881"/>
      <c r="N79" s="881"/>
      <c r="O79" s="691"/>
      <c r="P79" s="881"/>
      <c r="Q79" s="881"/>
      <c r="R79" s="691"/>
      <c r="S79" s="873"/>
      <c r="T79" s="873"/>
      <c r="U79" s="965"/>
      <c r="V79" s="873"/>
      <c r="W79" s="873"/>
      <c r="X79" s="965"/>
      <c r="Y79" s="873"/>
      <c r="Z79" s="873"/>
      <c r="AA79" s="965"/>
      <c r="AB79" s="873"/>
      <c r="AC79" s="873"/>
      <c r="AD79" s="965"/>
      <c r="AE79" s="873"/>
      <c r="AF79" s="873"/>
      <c r="AG79" s="965"/>
      <c r="AH79" s="873"/>
      <c r="AI79" s="873"/>
      <c r="AJ79" s="965"/>
      <c r="AK79" s="873"/>
      <c r="AL79" s="873"/>
      <c r="AM79" s="965"/>
      <c r="AN79" s="873"/>
      <c r="AO79" s="873"/>
      <c r="AP79" s="965"/>
      <c r="AQ79" s="873"/>
      <c r="AR79" s="873"/>
      <c r="AS79" s="965"/>
      <c r="AT79" s="873"/>
      <c r="AU79" s="873"/>
      <c r="AV79" s="965"/>
      <c r="AW79" s="873"/>
      <c r="AX79" s="873"/>
      <c r="AY79" s="965"/>
      <c r="AZ79" s="873"/>
      <c r="BA79" s="873"/>
      <c r="BB79" s="965"/>
      <c r="BC79" s="873"/>
      <c r="BD79" s="873"/>
      <c r="BE79" s="965"/>
    </row>
    <row r="80" spans="2:57">
      <c r="B80" s="1" t="s">
        <v>828</v>
      </c>
      <c r="C80" s="16" t="s">
        <v>357</v>
      </c>
      <c r="M80" s="930">
        <f>M81*M9</f>
        <v>687.27342067082805</v>
      </c>
      <c r="N80" s="930">
        <f>N81*N9</f>
        <v>690.8263793291718</v>
      </c>
      <c r="O80" s="725">
        <f>SUM(M80:N80)</f>
        <v>1378.0998</v>
      </c>
      <c r="P80" s="930">
        <f>P81*P9</f>
        <v>685.8056867708101</v>
      </c>
      <c r="Q80" s="930">
        <f>Q81*Q9</f>
        <v>759.2943132291897</v>
      </c>
      <c r="R80" s="725">
        <f>SUM(P80:Q80)</f>
        <v>1445.1</v>
      </c>
      <c r="S80" s="930">
        <v>615</v>
      </c>
      <c r="T80" s="469">
        <f>+U80-S80</f>
        <v>796</v>
      </c>
      <c r="U80" s="929">
        <v>1411</v>
      </c>
      <c r="V80" s="930">
        <v>670</v>
      </c>
      <c r="W80" s="469">
        <f>+X80-V80</f>
        <v>743</v>
      </c>
      <c r="X80" s="929">
        <v>1413</v>
      </c>
      <c r="Y80" s="930">
        <v>723</v>
      </c>
      <c r="Z80" s="469">
        <f>+AA80-Y80</f>
        <v>822</v>
      </c>
      <c r="AA80" s="929">
        <v>1545</v>
      </c>
      <c r="AB80" s="930">
        <v>849</v>
      </c>
      <c r="AC80" s="469">
        <f>AC81*AC9</f>
        <v>763.71620605354599</v>
      </c>
      <c r="AD80" s="725">
        <f>SUM(AB80:AC80)</f>
        <v>1612.7162060535461</v>
      </c>
      <c r="AE80" s="930">
        <f>AE81*AE9</f>
        <v>844.31036926668855</v>
      </c>
      <c r="AF80" s="930">
        <f>AF81*AF9</f>
        <v>722.40394452279884</v>
      </c>
      <c r="AG80" s="725">
        <f>SUM(AE80:AF80)</f>
        <v>1566.7143137894873</v>
      </c>
      <c r="AH80" s="930">
        <f>AH81*AH9</f>
        <v>840.23357773002306</v>
      </c>
      <c r="AI80" s="930">
        <f>AI81*AI9</f>
        <v>750.3868296314082</v>
      </c>
      <c r="AJ80" s="725">
        <f>SUM(AH80:AI80)</f>
        <v>1590.6204073614313</v>
      </c>
      <c r="AK80" s="930">
        <f>AK81*AK9</f>
        <v>873.63497137652428</v>
      </c>
      <c r="AL80" s="930">
        <f>AL81*AL9</f>
        <v>779.66489562062202</v>
      </c>
      <c r="AM80" s="725">
        <f>SUM(AK80:AL80)</f>
        <v>1653.2998669971462</v>
      </c>
      <c r="AN80" s="930">
        <f>AN81*AN9</f>
        <v>908.62132444455062</v>
      </c>
      <c r="AO80" s="930">
        <f>AO81*AO9</f>
        <v>810.30462870308463</v>
      </c>
      <c r="AP80" s="725">
        <f>SUM(AN80:AO80)</f>
        <v>1718.9259531476353</v>
      </c>
      <c r="AQ80" s="930">
        <f>AQ81*AQ9</f>
        <v>945.27670950228207</v>
      </c>
      <c r="AR80" s="930">
        <f>AR81*AR9</f>
        <v>842.37629669904186</v>
      </c>
      <c r="AS80" s="725">
        <f>SUM(AQ80:AR80)</f>
        <v>1787.6530062013239</v>
      </c>
      <c r="AT80" s="930">
        <f>AT81*AT9</f>
        <v>983.69018668448734</v>
      </c>
      <c r="AU80" s="930">
        <f>AU81*AU9</f>
        <v>875.95418795451462</v>
      </c>
      <c r="AV80" s="725">
        <f>SUM(AT80:AU80)</f>
        <v>1859.6443746390019</v>
      </c>
      <c r="AW80" s="930">
        <f>AW81*AW9</f>
        <v>1023.9561344954168</v>
      </c>
      <c r="AX80" s="930">
        <f>AX81*AX9</f>
        <v>911.11686696779998</v>
      </c>
      <c r="AY80" s="725">
        <f>SUM(AW80:AX80)</f>
        <v>1935.0730014632168</v>
      </c>
      <c r="AZ80" s="930">
        <f>AZ81*AZ9</f>
        <v>1066.1746049244832</v>
      </c>
      <c r="BA80" s="930">
        <f>BA81*BA9</f>
        <v>947.94744800302578</v>
      </c>
      <c r="BB80" s="725">
        <f>SUM(AZ80:BA80)</f>
        <v>2014.122052927509</v>
      </c>
      <c r="BC80" s="930">
        <f>BC81*BC9</f>
        <v>1110.451704821947</v>
      </c>
      <c r="BD80" s="930">
        <f>BD81*BD9</f>
        <v>986.53388807481883</v>
      </c>
      <c r="BE80" s="725">
        <f>SUM(BC80:BD80)</f>
        <v>2096.9855928967659</v>
      </c>
    </row>
    <row r="81" spans="2:57">
      <c r="B81" s="1" t="s">
        <v>903</v>
      </c>
      <c r="C81" s="16" t="s">
        <v>507</v>
      </c>
      <c r="M81" s="893">
        <v>0.7</v>
      </c>
      <c r="N81" s="893">
        <f>M81</f>
        <v>0.7</v>
      </c>
      <c r="O81" s="953">
        <f>O80/O9</f>
        <v>0.7</v>
      </c>
      <c r="P81" s="893">
        <v>0.72599999999999998</v>
      </c>
      <c r="Q81" s="893">
        <f>P81</f>
        <v>0.72599999999999998</v>
      </c>
      <c r="R81" s="953">
        <f>R80/R9</f>
        <v>0.72599999999999998</v>
      </c>
      <c r="S81" s="892">
        <v>0.69240000000000002</v>
      </c>
      <c r="T81" s="892">
        <v>0.72319999999999995</v>
      </c>
      <c r="U81" s="953">
        <f>U80/U9</f>
        <v>0.70940170940170943</v>
      </c>
      <c r="V81" s="892">
        <f>V80/V9</f>
        <v>0.66271018793273984</v>
      </c>
      <c r="W81" s="892">
        <v>0.66</v>
      </c>
      <c r="X81" s="953">
        <f>X80/X9</f>
        <v>0.68459302325581395</v>
      </c>
      <c r="Y81" s="892">
        <f>Y80/Y9</f>
        <v>0.67006487488415201</v>
      </c>
      <c r="Z81" s="892">
        <f>Z80/Z9</f>
        <v>0.7116883116883117</v>
      </c>
      <c r="AA81" s="967">
        <f>AA80/AA9</f>
        <v>0.69158460161145929</v>
      </c>
      <c r="AB81" s="892">
        <f>AB80/AB9</f>
        <v>0.68689320388349517</v>
      </c>
      <c r="AC81" s="972">
        <f>+AB81</f>
        <v>0.68689320388349517</v>
      </c>
      <c r="AD81" s="953">
        <f>AD80/AD9</f>
        <v>0.68689320388349517</v>
      </c>
      <c r="AE81" s="972">
        <v>0.67</v>
      </c>
      <c r="AF81" s="892">
        <f>+AE81</f>
        <v>0.67</v>
      </c>
      <c r="AG81" s="953">
        <f>AG80/AG9</f>
        <v>0.67</v>
      </c>
      <c r="AH81" s="892">
        <f>+AF81</f>
        <v>0.67</v>
      </c>
      <c r="AI81" s="892">
        <f>+AH81</f>
        <v>0.67</v>
      </c>
      <c r="AJ81" s="953">
        <f>AJ80/AJ9</f>
        <v>0.66999999999999993</v>
      </c>
      <c r="AK81" s="892">
        <f>+AI81</f>
        <v>0.67</v>
      </c>
      <c r="AL81" s="892">
        <f>+AK81</f>
        <v>0.67</v>
      </c>
      <c r="AM81" s="953">
        <f>AM80/AM9</f>
        <v>0.67</v>
      </c>
      <c r="AN81" s="892">
        <f>+AL81</f>
        <v>0.67</v>
      </c>
      <c r="AO81" s="892">
        <f>+AN81</f>
        <v>0.67</v>
      </c>
      <c r="AP81" s="953">
        <f>AP80/AP9</f>
        <v>0.66999999999999993</v>
      </c>
      <c r="AQ81" s="892">
        <f>+AO81</f>
        <v>0.67</v>
      </c>
      <c r="AR81" s="892">
        <f>+AQ81</f>
        <v>0.67</v>
      </c>
      <c r="AS81" s="953">
        <f>AS80/AS9</f>
        <v>0.67</v>
      </c>
      <c r="AT81" s="892">
        <f>+AR81</f>
        <v>0.67</v>
      </c>
      <c r="AU81" s="892">
        <f>+AT81</f>
        <v>0.67</v>
      </c>
      <c r="AV81" s="953">
        <f>AV80/AV9</f>
        <v>0.67</v>
      </c>
      <c r="AW81" s="892">
        <f>+AU81</f>
        <v>0.67</v>
      </c>
      <c r="AX81" s="892">
        <f>+AW81</f>
        <v>0.67</v>
      </c>
      <c r="AY81" s="953">
        <f>AY80/AY9</f>
        <v>0.67</v>
      </c>
      <c r="AZ81" s="892">
        <f>+AX81</f>
        <v>0.67</v>
      </c>
      <c r="BA81" s="892">
        <f>+AZ81</f>
        <v>0.67</v>
      </c>
      <c r="BB81" s="953">
        <f>BB80/BB9</f>
        <v>0.67</v>
      </c>
      <c r="BC81" s="892">
        <f>+BA81</f>
        <v>0.67</v>
      </c>
      <c r="BD81" s="892">
        <f>+BC81</f>
        <v>0.67</v>
      </c>
      <c r="BE81" s="953">
        <f>BE80/BE9</f>
        <v>0.67</v>
      </c>
    </row>
    <row r="82" spans="2:57">
      <c r="B82" s="1"/>
      <c r="C82" s="16"/>
      <c r="M82" s="893"/>
      <c r="N82" s="893"/>
      <c r="O82" s="953"/>
      <c r="P82" s="893"/>
      <c r="Q82" s="893"/>
      <c r="R82" s="953"/>
      <c r="S82" s="902"/>
      <c r="T82" s="902"/>
      <c r="U82" s="967"/>
      <c r="V82" s="902"/>
      <c r="W82" s="902"/>
      <c r="X82" s="967"/>
      <c r="Y82" s="902"/>
      <c r="Z82" s="902"/>
      <c r="AA82" s="967"/>
      <c r="AB82" s="902"/>
      <c r="AC82" s="902"/>
      <c r="AD82" s="967"/>
      <c r="AE82" s="902"/>
      <c r="AF82" s="902"/>
      <c r="AG82" s="967"/>
      <c r="AH82" s="902"/>
      <c r="AI82" s="902"/>
      <c r="AJ82" s="967"/>
      <c r="AK82" s="902"/>
      <c r="AL82" s="902"/>
      <c r="AM82" s="967"/>
      <c r="AN82" s="902"/>
      <c r="AO82" s="902"/>
      <c r="AP82" s="967"/>
      <c r="AQ82" s="902"/>
      <c r="AR82" s="902"/>
      <c r="AS82" s="967"/>
      <c r="AT82" s="902"/>
      <c r="AU82" s="902"/>
      <c r="AV82" s="967"/>
      <c r="AW82" s="902"/>
      <c r="AX82" s="902"/>
      <c r="AY82" s="967"/>
      <c r="AZ82" s="902"/>
      <c r="BA82" s="902"/>
      <c r="BB82" s="967"/>
      <c r="BC82" s="902"/>
      <c r="BD82" s="902"/>
      <c r="BE82" s="967"/>
    </row>
    <row r="83" spans="2:57">
      <c r="B83" s="857" t="s">
        <v>919</v>
      </c>
      <c r="C83" s="857"/>
      <c r="D83" s="21" t="str">
        <f t="shared" ref="D83:AV83" si="25">D1</f>
        <v>1H18A</v>
      </c>
      <c r="E83" s="21" t="str">
        <f t="shared" si="25"/>
        <v>2H18</v>
      </c>
      <c r="F83" s="21" t="str">
        <f t="shared" si="25"/>
        <v>FY18A</v>
      </c>
      <c r="G83" s="21" t="str">
        <f t="shared" si="25"/>
        <v>1H19A</v>
      </c>
      <c r="H83" s="21" t="str">
        <f t="shared" si="25"/>
        <v>2H19A</v>
      </c>
      <c r="I83" s="21" t="str">
        <f t="shared" si="25"/>
        <v>FY19A</v>
      </c>
      <c r="J83" s="21" t="str">
        <f t="shared" si="25"/>
        <v>1H20A</v>
      </c>
      <c r="K83" s="21" t="str">
        <f t="shared" si="25"/>
        <v>2H20A</v>
      </c>
      <c r="L83" s="21">
        <f t="shared" si="25"/>
        <v>0</v>
      </c>
      <c r="M83" s="21" t="str">
        <f t="shared" si="25"/>
        <v>1h21</v>
      </c>
      <c r="N83" s="21" t="str">
        <f t="shared" si="25"/>
        <v>2h21</v>
      </c>
      <c r="O83" s="957" t="str">
        <f t="shared" si="25"/>
        <v>2021</v>
      </c>
      <c r="P83" s="21" t="str">
        <f t="shared" si="25"/>
        <v>1h22</v>
      </c>
      <c r="Q83" s="21" t="str">
        <f t="shared" si="25"/>
        <v>2h22</v>
      </c>
      <c r="R83" s="957" t="str">
        <f t="shared" si="25"/>
        <v>2022</v>
      </c>
      <c r="S83" s="21" t="str">
        <f t="shared" si="25"/>
        <v>1h23</v>
      </c>
      <c r="T83" s="21" t="str">
        <f t="shared" si="25"/>
        <v>2h23</v>
      </c>
      <c r="U83" s="957" t="str">
        <f t="shared" si="25"/>
        <v>2023</v>
      </c>
      <c r="V83" s="21" t="str">
        <f t="shared" si="25"/>
        <v>1h24</v>
      </c>
      <c r="W83" s="21" t="str">
        <f t="shared" si="25"/>
        <v>2h24</v>
      </c>
      <c r="X83" s="957" t="str">
        <f t="shared" si="25"/>
        <v>2024</v>
      </c>
      <c r="Y83" s="21" t="str">
        <f t="shared" si="25"/>
        <v>1h25</v>
      </c>
      <c r="Z83" s="21" t="str">
        <f>Z1</f>
        <v>2h25</v>
      </c>
      <c r="AA83" s="957" t="str">
        <f>AA1</f>
        <v>2025</v>
      </c>
      <c r="AB83" s="21" t="str">
        <f t="shared" ref="AB83" si="26">AB1</f>
        <v>1h26</v>
      </c>
      <c r="AC83" s="21" t="str">
        <f t="shared" si="25"/>
        <v>2h26E</v>
      </c>
      <c r="AD83" s="957" t="str">
        <f t="shared" si="25"/>
        <v>2026E</v>
      </c>
      <c r="AE83" s="21" t="str">
        <f t="shared" si="25"/>
        <v>1h27E</v>
      </c>
      <c r="AF83" s="21" t="str">
        <f t="shared" si="25"/>
        <v>2h27E</v>
      </c>
      <c r="AG83" s="957" t="str">
        <f t="shared" si="25"/>
        <v>2027E</v>
      </c>
      <c r="AH83" s="21" t="str">
        <f t="shared" si="25"/>
        <v>1h28E</v>
      </c>
      <c r="AI83" s="21" t="str">
        <f t="shared" si="25"/>
        <v>2h28E</v>
      </c>
      <c r="AJ83" s="957" t="str">
        <f t="shared" si="25"/>
        <v>2028E</v>
      </c>
      <c r="AK83" s="21" t="str">
        <f t="shared" si="25"/>
        <v>1h29E</v>
      </c>
      <c r="AL83" s="21" t="str">
        <f t="shared" si="25"/>
        <v>2h29E</v>
      </c>
      <c r="AM83" s="957" t="str">
        <f t="shared" si="25"/>
        <v>2029E</v>
      </c>
      <c r="AN83" s="21" t="str">
        <f t="shared" si="25"/>
        <v>1h30E</v>
      </c>
      <c r="AO83" s="21" t="str">
        <f t="shared" si="25"/>
        <v>2h30E</v>
      </c>
      <c r="AP83" s="957" t="str">
        <f t="shared" si="25"/>
        <v>2030E</v>
      </c>
      <c r="AQ83" s="21" t="str">
        <f t="shared" si="25"/>
        <v>1h31E</v>
      </c>
      <c r="AR83" s="21" t="str">
        <f t="shared" si="25"/>
        <v>2h31E</v>
      </c>
      <c r="AS83" s="957" t="str">
        <f t="shared" si="25"/>
        <v>2031E</v>
      </c>
      <c r="AT83" s="21" t="str">
        <f t="shared" si="25"/>
        <v>1h32E</v>
      </c>
      <c r="AU83" s="21" t="str">
        <f t="shared" si="25"/>
        <v>2h32E</v>
      </c>
      <c r="AV83" s="957" t="str">
        <f t="shared" si="25"/>
        <v>2032E</v>
      </c>
      <c r="AW83" s="21" t="str">
        <f t="shared" ref="AW83:BE83" si="27">AW1</f>
        <v>1h33E</v>
      </c>
      <c r="AX83" s="21" t="str">
        <f t="shared" si="27"/>
        <v>2h33E</v>
      </c>
      <c r="AY83" s="957" t="str">
        <f t="shared" si="27"/>
        <v>2033E</v>
      </c>
      <c r="AZ83" s="21" t="str">
        <f t="shared" si="27"/>
        <v>1h34E</v>
      </c>
      <c r="BA83" s="21" t="str">
        <f t="shared" si="27"/>
        <v>2h34E</v>
      </c>
      <c r="BB83" s="957" t="str">
        <f t="shared" si="27"/>
        <v>2034E</v>
      </c>
      <c r="BC83" s="21" t="str">
        <f t="shared" si="27"/>
        <v>1h35E</v>
      </c>
      <c r="BD83" s="21" t="str">
        <f t="shared" si="27"/>
        <v>2h35E</v>
      </c>
      <c r="BE83" s="957" t="str">
        <f t="shared" si="27"/>
        <v>2035E</v>
      </c>
    </row>
    <row r="84" spans="2:57">
      <c r="B84" s="1" t="s">
        <v>920</v>
      </c>
      <c r="C84" s="16" t="s">
        <v>357</v>
      </c>
      <c r="M84" s="873">
        <f>M85*M9</f>
        <v>221.72687553561084</v>
      </c>
      <c r="N84" s="873">
        <f>N85*N9</f>
        <v>222.87312446438918</v>
      </c>
      <c r="O84" s="954">
        <v>444.6</v>
      </c>
      <c r="P84" s="873">
        <f>P85*P9</f>
        <v>208.43253590044969</v>
      </c>
      <c r="Q84" s="873">
        <f>Q85*Q9</f>
        <v>230.7674640995503</v>
      </c>
      <c r="R84" s="954">
        <v>439.2</v>
      </c>
      <c r="S84" s="933">
        <v>216</v>
      </c>
      <c r="T84" s="469">
        <f>+U84-S84</f>
        <v>274</v>
      </c>
      <c r="U84" s="929">
        <v>490</v>
      </c>
      <c r="V84" s="933">
        <v>222</v>
      </c>
      <c r="W84" s="469">
        <f>+X84-V84</f>
        <v>235</v>
      </c>
      <c r="X84" s="929">
        <v>457</v>
      </c>
      <c r="Y84" s="477">
        <v>213</v>
      </c>
      <c r="Z84" s="469">
        <f>+AA84-Y84</f>
        <v>236</v>
      </c>
      <c r="AA84" s="929">
        <v>449</v>
      </c>
      <c r="AB84" s="933">
        <v>213</v>
      </c>
      <c r="AC84" s="477">
        <f>AC85*AC9</f>
        <v>211.24983961085366</v>
      </c>
      <c r="AD84" s="729">
        <f>SUM(AB84:AC84)</f>
        <v>424.24983961085366</v>
      </c>
      <c r="AE84" s="477">
        <f>AE85*AE9</f>
        <v>239.43129874726989</v>
      </c>
      <c r="AF84" s="477">
        <f>AF85*AF9</f>
        <v>204.86082008855487</v>
      </c>
      <c r="AG84" s="729">
        <f>SUM(AE84:AF84)</f>
        <v>444.29211883582479</v>
      </c>
      <c r="AH84" s="477">
        <f>AH85*AH9</f>
        <v>238.27519368463339</v>
      </c>
      <c r="AI84" s="477">
        <f>AI85*AI9</f>
        <v>212.79626511935456</v>
      </c>
      <c r="AJ84" s="729">
        <f>SUM(AH84:AI84)</f>
        <v>451.07145880398798</v>
      </c>
      <c r="AK84" s="477">
        <f>AK85*AK9</f>
        <v>247.7472306888651</v>
      </c>
      <c r="AL84" s="477">
        <f>AL85*AL9</f>
        <v>221.09900025062413</v>
      </c>
      <c r="AM84" s="729">
        <f>SUM(AK84:AL84)</f>
        <v>468.84623093948926</v>
      </c>
      <c r="AN84" s="477">
        <f>AN85*AN9</f>
        <v>257.6687337977084</v>
      </c>
      <c r="AO84" s="477">
        <f>AO85*AO9</f>
        <v>229.78787978147176</v>
      </c>
      <c r="AP84" s="729">
        <f>SUM(AN84:AO84)</f>
        <v>487.45661357918016</v>
      </c>
      <c r="AQ84" s="477">
        <f>AQ85*AQ9</f>
        <v>268.06354448572176</v>
      </c>
      <c r="AR84" s="477">
        <f>AR85*AR9</f>
        <v>238.88283040719097</v>
      </c>
      <c r="AS84" s="729">
        <f>SUM(AQ84:AR84)</f>
        <v>506.94637489291273</v>
      </c>
      <c r="AT84" s="477">
        <f>AT85*AT9</f>
        <v>278.9569186120188</v>
      </c>
      <c r="AU84" s="477">
        <f>AU85*AU9</f>
        <v>248.40491897217575</v>
      </c>
      <c r="AV84" s="729">
        <f>SUM(AT84:AU84)</f>
        <v>527.36183758419452</v>
      </c>
      <c r="AW84" s="477">
        <f>AW85*AW9</f>
        <v>290.37562023004358</v>
      </c>
      <c r="AX84" s="477">
        <f>AX85*AX9</f>
        <v>258.3764249610179</v>
      </c>
      <c r="AY84" s="729">
        <f>SUM(AW84:AX84)</f>
        <v>548.75204519106148</v>
      </c>
      <c r="AZ84" s="477">
        <f>AZ85*AZ9</f>
        <v>302.34802229201762</v>
      </c>
      <c r="BA84" s="477">
        <f>BA85*BA9</f>
        <v>268.82091809041032</v>
      </c>
      <c r="BB84" s="729">
        <f>SUM(AZ84:BA84)</f>
        <v>571.16894038242799</v>
      </c>
      <c r="BC84" s="477">
        <f>BC85*BC9</f>
        <v>314.90421480025361</v>
      </c>
      <c r="BD84" s="477">
        <f>BD85*BD9</f>
        <v>279.76334139435158</v>
      </c>
      <c r="BE84" s="729">
        <f>SUM(BC84:BD84)</f>
        <v>594.66755619460514</v>
      </c>
    </row>
    <row r="85" spans="2:57">
      <c r="B85" s="1" t="s">
        <v>120</v>
      </c>
      <c r="C85" s="16" t="s">
        <v>507</v>
      </c>
      <c r="M85" s="893">
        <f>O85</f>
        <v>0.22583270094081723</v>
      </c>
      <c r="N85" s="893">
        <f>M85</f>
        <v>0.22583270094081723</v>
      </c>
      <c r="O85" s="953">
        <f>O84/O9</f>
        <v>0.22583270094081723</v>
      </c>
      <c r="P85" s="893">
        <f>R85</f>
        <v>0.22064853643346483</v>
      </c>
      <c r="Q85" s="893">
        <f>P85</f>
        <v>0.22064853643346483</v>
      </c>
      <c r="R85" s="953">
        <f t="shared" ref="R85:AA85" si="28">R84/R9</f>
        <v>0.22064853643346483</v>
      </c>
      <c r="S85" s="892">
        <f t="shared" si="28"/>
        <v>0.24296962879640044</v>
      </c>
      <c r="T85" s="892">
        <f t="shared" si="28"/>
        <v>0.24909090909090909</v>
      </c>
      <c r="U85" s="953">
        <f t="shared" si="28"/>
        <v>0.24635495223730519</v>
      </c>
      <c r="V85" s="892">
        <f t="shared" si="28"/>
        <v>0.21958456973293769</v>
      </c>
      <c r="W85" s="892">
        <f t="shared" si="28"/>
        <v>0.22317188983855651</v>
      </c>
      <c r="X85" s="953">
        <f t="shared" si="28"/>
        <v>0.22141472868217055</v>
      </c>
      <c r="Y85" s="892">
        <f t="shared" si="28"/>
        <v>0.1974050046339203</v>
      </c>
      <c r="Z85" s="892">
        <f t="shared" si="28"/>
        <v>0.20432900432900433</v>
      </c>
      <c r="AA85" s="953">
        <f t="shared" si="28"/>
        <v>0.20098478066248882</v>
      </c>
      <c r="AB85" s="892">
        <f t="shared" ref="AB85" si="29">AB84/AB9</f>
        <v>0.17233009708737865</v>
      </c>
      <c r="AC85" s="892">
        <v>0.19</v>
      </c>
      <c r="AD85" s="953">
        <f>AD84/AD9</f>
        <v>0.18069783789825855</v>
      </c>
      <c r="AE85" s="892">
        <f>+AC85</f>
        <v>0.19</v>
      </c>
      <c r="AF85" s="892">
        <f>+AE85</f>
        <v>0.19</v>
      </c>
      <c r="AG85" s="953">
        <f>AG84/AG9</f>
        <v>0.19</v>
      </c>
      <c r="AH85" s="972">
        <f>+AF85</f>
        <v>0.19</v>
      </c>
      <c r="AI85" s="892">
        <f>+AH85</f>
        <v>0.19</v>
      </c>
      <c r="AJ85" s="953">
        <f>AJ84/AJ9</f>
        <v>0.19</v>
      </c>
      <c r="AK85" s="892">
        <f>+AI85</f>
        <v>0.19</v>
      </c>
      <c r="AL85" s="892">
        <f>+AK85</f>
        <v>0.19</v>
      </c>
      <c r="AM85" s="953">
        <f>AM84/AM9</f>
        <v>0.19</v>
      </c>
      <c r="AN85" s="892">
        <f>+AL85</f>
        <v>0.19</v>
      </c>
      <c r="AO85" s="892">
        <f>+AN85</f>
        <v>0.19</v>
      </c>
      <c r="AP85" s="953">
        <f>AP84/AP9</f>
        <v>0.19</v>
      </c>
      <c r="AQ85" s="892">
        <f>+AO85</f>
        <v>0.19</v>
      </c>
      <c r="AR85" s="892">
        <f>+AQ85</f>
        <v>0.19</v>
      </c>
      <c r="AS85" s="953">
        <f>AS84/AS9</f>
        <v>0.19</v>
      </c>
      <c r="AT85" s="892">
        <f>+AR85</f>
        <v>0.19</v>
      </c>
      <c r="AU85" s="892">
        <f>+AT85</f>
        <v>0.19</v>
      </c>
      <c r="AV85" s="953">
        <f>AV84/AV9</f>
        <v>0.19</v>
      </c>
      <c r="AW85" s="892">
        <f>+AU85</f>
        <v>0.19</v>
      </c>
      <c r="AX85" s="892">
        <f>+AW85</f>
        <v>0.19</v>
      </c>
      <c r="AY85" s="953">
        <f>AY84/AY9</f>
        <v>0.19</v>
      </c>
      <c r="AZ85" s="892">
        <f>+AX85</f>
        <v>0.19</v>
      </c>
      <c r="BA85" s="892">
        <f>+AZ85</f>
        <v>0.19</v>
      </c>
      <c r="BB85" s="953">
        <f>BB84/BB9</f>
        <v>0.19000000000000003</v>
      </c>
      <c r="BC85" s="892">
        <f>+BA85</f>
        <v>0.19</v>
      </c>
      <c r="BD85" s="892">
        <f>+BC85</f>
        <v>0.19</v>
      </c>
      <c r="BE85" s="953">
        <f>BE84/BE9</f>
        <v>0.18999999999999997</v>
      </c>
    </row>
    <row r="86" spans="2:57">
      <c r="B86" s="1"/>
      <c r="M86" s="881"/>
      <c r="N86" s="881"/>
      <c r="O86" s="691"/>
      <c r="P86" s="873"/>
      <c r="Q86" s="873"/>
      <c r="R86" s="965"/>
      <c r="S86" s="873"/>
      <c r="T86" s="873"/>
      <c r="U86" s="965"/>
      <c r="V86" s="873"/>
      <c r="W86" s="873"/>
      <c r="X86" s="965"/>
      <c r="Y86" s="873"/>
      <c r="Z86" s="873"/>
      <c r="AA86" s="965"/>
      <c r="AB86" s="873"/>
      <c r="AC86" s="873"/>
      <c r="AD86" s="965"/>
      <c r="AE86" s="873"/>
      <c r="AF86" s="873"/>
      <c r="AG86" s="965"/>
      <c r="AH86" s="873"/>
      <c r="AI86" s="873"/>
      <c r="AJ86" s="965"/>
      <c r="AK86" s="873"/>
      <c r="AL86" s="873"/>
      <c r="AM86" s="965"/>
      <c r="AN86" s="873"/>
      <c r="AO86" s="873"/>
      <c r="AP86" s="965"/>
      <c r="AQ86" s="873"/>
      <c r="AR86" s="873"/>
      <c r="AS86" s="965"/>
      <c r="AT86" s="873"/>
      <c r="AU86" s="873"/>
      <c r="AV86" s="965"/>
      <c r="AW86" s="873"/>
      <c r="AX86" s="873"/>
      <c r="AY86" s="965"/>
      <c r="AZ86" s="873"/>
      <c r="BA86" s="873"/>
      <c r="BB86" s="965"/>
      <c r="BC86" s="873"/>
      <c r="BD86" s="873"/>
      <c r="BE86" s="965"/>
    </row>
    <row r="87" spans="2:57">
      <c r="B87" s="1" t="s">
        <v>919</v>
      </c>
      <c r="C87" s="16" t="s">
        <v>357</v>
      </c>
      <c r="M87" s="873">
        <f>M80-M84</f>
        <v>465.54654513521723</v>
      </c>
      <c r="N87" s="873">
        <f>N80-N84</f>
        <v>467.95325486478259</v>
      </c>
      <c r="O87" s="954">
        <f>SUM(M87:N87)</f>
        <v>933.49979999999982</v>
      </c>
      <c r="P87" s="873">
        <f>P80-P84</f>
        <v>477.3731508703604</v>
      </c>
      <c r="Q87" s="873">
        <f>Q80-Q84</f>
        <v>528.52684912963946</v>
      </c>
      <c r="R87" s="954">
        <f>SUM(P87:Q87)</f>
        <v>1005.8999999999999</v>
      </c>
      <c r="S87" s="477">
        <f>+S80-S84</f>
        <v>399</v>
      </c>
      <c r="T87" s="477">
        <f>+T80-T84</f>
        <v>522</v>
      </c>
      <c r="U87" s="729">
        <f>SUM(S87:T87)</f>
        <v>921</v>
      </c>
      <c r="V87" s="477">
        <f>V80-V84</f>
        <v>448</v>
      </c>
      <c r="W87" s="477">
        <f>W80-W84</f>
        <v>508</v>
      </c>
      <c r="X87" s="729">
        <f>SUM(V87:W87)</f>
        <v>956</v>
      </c>
      <c r="Y87" s="477">
        <f>Y80-Y84</f>
        <v>510</v>
      </c>
      <c r="Z87" s="477">
        <f>Z80-Z84</f>
        <v>586</v>
      </c>
      <c r="AA87" s="729">
        <f>SUM(Y87:Z87)</f>
        <v>1096</v>
      </c>
      <c r="AB87" s="477">
        <f>AB80-AB84</f>
        <v>636</v>
      </c>
      <c r="AC87" s="477">
        <f>AC80-AC84</f>
        <v>552.46636644269233</v>
      </c>
      <c r="AD87" s="729">
        <f>SUM(AB87:AC87)</f>
        <v>1188.4663664426923</v>
      </c>
      <c r="AE87" s="477">
        <f>AE80-AE84</f>
        <v>604.87907051941863</v>
      </c>
      <c r="AF87" s="477">
        <f>AF80-AF84</f>
        <v>517.54312443424396</v>
      </c>
      <c r="AG87" s="729">
        <f>SUM(AE87:AF87)</f>
        <v>1122.4221949536627</v>
      </c>
      <c r="AH87" s="477">
        <f>AH80-AH84</f>
        <v>601.95838404538972</v>
      </c>
      <c r="AI87" s="477">
        <f>AI80-AI84</f>
        <v>537.59056451205367</v>
      </c>
      <c r="AJ87" s="729">
        <f>SUM(AH87:AI87)</f>
        <v>1139.5489485574435</v>
      </c>
      <c r="AK87" s="477">
        <f>AK80-AK84</f>
        <v>625.88774068765917</v>
      </c>
      <c r="AL87" s="477">
        <f>AL80-AL84</f>
        <v>558.56589536999786</v>
      </c>
      <c r="AM87" s="729">
        <f>SUM(AK87:AL87)</f>
        <v>1184.4536360576571</v>
      </c>
      <c r="AN87" s="477">
        <f>AN80-AN84</f>
        <v>650.95259064684228</v>
      </c>
      <c r="AO87" s="477">
        <f>AO80-AO84</f>
        <v>580.51674892161282</v>
      </c>
      <c r="AP87" s="729">
        <f>SUM(AN87:AO87)</f>
        <v>1231.4693395684551</v>
      </c>
      <c r="AQ87" s="477">
        <f>AQ80-AQ84</f>
        <v>677.21316501656031</v>
      </c>
      <c r="AR87" s="477">
        <f>AR80-AR84</f>
        <v>603.49346629185084</v>
      </c>
      <c r="AS87" s="729">
        <f>SUM(AQ87:AR87)</f>
        <v>1280.706631308411</v>
      </c>
      <c r="AT87" s="477">
        <f>AT80-AT84</f>
        <v>704.73326807246849</v>
      </c>
      <c r="AU87" s="477">
        <f>AU80-AU84</f>
        <v>627.54926898233884</v>
      </c>
      <c r="AV87" s="729">
        <f>SUM(AT87:AU87)</f>
        <v>1332.2825370548073</v>
      </c>
      <c r="AW87" s="477">
        <f>AW80-AW84</f>
        <v>733.58051426537327</v>
      </c>
      <c r="AX87" s="477">
        <f>AX80-AX84</f>
        <v>652.74044200678213</v>
      </c>
      <c r="AY87" s="729">
        <f>SUM(AW87:AX87)</f>
        <v>1386.3209562721554</v>
      </c>
      <c r="AZ87" s="477">
        <f>AZ80-AZ84</f>
        <v>763.8265826324656</v>
      </c>
      <c r="BA87" s="477">
        <f>BA80-BA84</f>
        <v>679.12652991261552</v>
      </c>
      <c r="BB87" s="729">
        <f>SUM(AZ87:BA87)</f>
        <v>1442.9531125450812</v>
      </c>
      <c r="BC87" s="477">
        <f>BC80-BC84</f>
        <v>795.54749002169342</v>
      </c>
      <c r="BD87" s="477">
        <f>BD80-BD84</f>
        <v>706.77054668046731</v>
      </c>
      <c r="BE87" s="729">
        <f>SUM(BC87:BD87)</f>
        <v>1502.3180367021607</v>
      </c>
    </row>
    <row r="88" spans="2:57">
      <c r="B88" s="1" t="s">
        <v>212</v>
      </c>
      <c r="C88" s="16" t="s">
        <v>507</v>
      </c>
      <c r="M88" s="893">
        <f t="shared" ref="M88:AV88" si="30">M87/M9</f>
        <v>0.47416729905918276</v>
      </c>
      <c r="N88" s="893">
        <f t="shared" si="30"/>
        <v>0.4741672990591827</v>
      </c>
      <c r="O88" s="953">
        <f t="shared" si="30"/>
        <v>0.4741672990591827</v>
      </c>
      <c r="P88" s="893">
        <f t="shared" si="30"/>
        <v>0.50535146356653515</v>
      </c>
      <c r="Q88" s="893">
        <f t="shared" si="30"/>
        <v>0.50535146356653526</v>
      </c>
      <c r="R88" s="953">
        <f t="shared" si="30"/>
        <v>0.50535146356653515</v>
      </c>
      <c r="S88" s="892">
        <f t="shared" si="30"/>
        <v>0.44881889763779526</v>
      </c>
      <c r="T88" s="892">
        <f t="shared" si="30"/>
        <v>0.47454545454545455</v>
      </c>
      <c r="U88" s="953">
        <f t="shared" si="30"/>
        <v>0.46304675716440424</v>
      </c>
      <c r="V88" s="981">
        <f t="shared" si="30"/>
        <v>0.44312561819980217</v>
      </c>
      <c r="W88" s="981">
        <f t="shared" si="30"/>
        <v>0.48243114909781576</v>
      </c>
      <c r="X88" s="967">
        <f t="shared" si="30"/>
        <v>0.4631782945736434</v>
      </c>
      <c r="Y88" s="981">
        <f t="shared" si="30"/>
        <v>0.47265987025023171</v>
      </c>
      <c r="Z88" s="981">
        <f>Z87/Z9</f>
        <v>0.50735930735930734</v>
      </c>
      <c r="AA88" s="967">
        <f>AA87/AA9</f>
        <v>0.49059982094897048</v>
      </c>
      <c r="AB88" s="981">
        <f>AB87/AB9</f>
        <v>0.5145631067961165</v>
      </c>
      <c r="AC88" s="981">
        <f t="shared" si="30"/>
        <v>0.49689320388349512</v>
      </c>
      <c r="AD88" s="967">
        <f t="shared" si="30"/>
        <v>0.50619536598523662</v>
      </c>
      <c r="AE88" s="981">
        <f t="shared" si="30"/>
        <v>0.48</v>
      </c>
      <c r="AF88" s="981">
        <f t="shared" si="30"/>
        <v>0.48000000000000004</v>
      </c>
      <c r="AG88" s="967">
        <f t="shared" si="30"/>
        <v>0.48000000000000009</v>
      </c>
      <c r="AH88" s="981">
        <f t="shared" si="30"/>
        <v>0.48000000000000004</v>
      </c>
      <c r="AI88" s="981">
        <f t="shared" si="30"/>
        <v>0.48000000000000004</v>
      </c>
      <c r="AJ88" s="967">
        <f t="shared" si="30"/>
        <v>0.48000000000000004</v>
      </c>
      <c r="AK88" s="981">
        <f t="shared" si="30"/>
        <v>0.48</v>
      </c>
      <c r="AL88" s="981">
        <f t="shared" si="30"/>
        <v>0.48000000000000004</v>
      </c>
      <c r="AM88" s="967">
        <f t="shared" si="30"/>
        <v>0.48000000000000009</v>
      </c>
      <c r="AN88" s="981">
        <f t="shared" si="30"/>
        <v>0.48000000000000004</v>
      </c>
      <c r="AO88" s="981">
        <f t="shared" si="30"/>
        <v>0.48</v>
      </c>
      <c r="AP88" s="967">
        <f t="shared" si="30"/>
        <v>0.48</v>
      </c>
      <c r="AQ88" s="981">
        <f t="shared" si="30"/>
        <v>0.48000000000000004</v>
      </c>
      <c r="AR88" s="981">
        <f t="shared" si="30"/>
        <v>0.48</v>
      </c>
      <c r="AS88" s="967">
        <f t="shared" si="30"/>
        <v>0.48</v>
      </c>
      <c r="AT88" s="981">
        <f t="shared" si="30"/>
        <v>0.48</v>
      </c>
      <c r="AU88" s="981">
        <f t="shared" si="30"/>
        <v>0.48000000000000004</v>
      </c>
      <c r="AV88" s="967">
        <f t="shared" si="30"/>
        <v>0.48000000000000004</v>
      </c>
      <c r="AW88" s="981">
        <f t="shared" ref="AW88:BE88" si="31">AW87/AW9</f>
        <v>0.48000000000000004</v>
      </c>
      <c r="AX88" s="981">
        <f t="shared" si="31"/>
        <v>0.48000000000000009</v>
      </c>
      <c r="AY88" s="967">
        <f t="shared" si="31"/>
        <v>0.48000000000000004</v>
      </c>
      <c r="AZ88" s="981">
        <f t="shared" si="31"/>
        <v>0.48000000000000004</v>
      </c>
      <c r="BA88" s="981">
        <f t="shared" si="31"/>
        <v>0.48000000000000004</v>
      </c>
      <c r="BB88" s="967">
        <f t="shared" si="31"/>
        <v>0.48000000000000009</v>
      </c>
      <c r="BC88" s="981">
        <f t="shared" si="31"/>
        <v>0.48000000000000009</v>
      </c>
      <c r="BD88" s="981">
        <f t="shared" si="31"/>
        <v>0.48000000000000009</v>
      </c>
      <c r="BE88" s="967">
        <f t="shared" si="31"/>
        <v>0.48000000000000004</v>
      </c>
    </row>
    <row r="89" spans="2:57">
      <c r="B89" s="1" t="s">
        <v>690</v>
      </c>
      <c r="C89" s="16" t="s">
        <v>507</v>
      </c>
      <c r="M89" s="881"/>
      <c r="N89" s="881"/>
      <c r="O89" s="691"/>
      <c r="P89" s="893">
        <f t="shared" ref="P89:BE89" si="32">P87/M87-1</f>
        <v>2.5403702076036483E-2</v>
      </c>
      <c r="Q89" s="893">
        <f t="shared" si="32"/>
        <v>0.12944368616980761</v>
      </c>
      <c r="R89" s="953">
        <f t="shared" si="32"/>
        <v>7.7557809867768723E-2</v>
      </c>
      <c r="S89" s="892">
        <f t="shared" si="32"/>
        <v>-0.16417586688205699</v>
      </c>
      <c r="T89" s="892">
        <f t="shared" si="32"/>
        <v>-1.2349134467601108E-2</v>
      </c>
      <c r="U89" s="953">
        <f t="shared" si="32"/>
        <v>-8.4402028034595733E-2</v>
      </c>
      <c r="V89" s="892">
        <f t="shared" si="32"/>
        <v>0.12280701754385959</v>
      </c>
      <c r="W89" s="892">
        <f t="shared" si="32"/>
        <v>-2.6819923371647514E-2</v>
      </c>
      <c r="X89" s="953">
        <f t="shared" si="32"/>
        <v>3.8002171552660169E-2</v>
      </c>
      <c r="Y89" s="892">
        <f t="shared" si="32"/>
        <v>0.13839285714285721</v>
      </c>
      <c r="Z89" s="892">
        <f t="shared" si="32"/>
        <v>0.15354330708661412</v>
      </c>
      <c r="AA89" s="953">
        <f t="shared" si="32"/>
        <v>0.14644351464435146</v>
      </c>
      <c r="AB89" s="892">
        <f t="shared" si="32"/>
        <v>0.24705882352941178</v>
      </c>
      <c r="AC89" s="892">
        <f t="shared" si="32"/>
        <v>-5.7224630643869734E-2</v>
      </c>
      <c r="AD89" s="953">
        <f t="shared" si="32"/>
        <v>8.4367122666689998E-2</v>
      </c>
      <c r="AE89" s="892">
        <f t="shared" si="32"/>
        <v>-4.8932279057517847E-2</v>
      </c>
      <c r="AF89" s="892">
        <f t="shared" si="32"/>
        <v>-6.3213335923628544E-2</v>
      </c>
      <c r="AG89" s="953">
        <f t="shared" si="32"/>
        <v>-5.5570921781078697E-2</v>
      </c>
      <c r="AH89" s="892">
        <f t="shared" si="32"/>
        <v>-4.828546095206887E-3</v>
      </c>
      <c r="AI89" s="892">
        <f t="shared" si="32"/>
        <v>3.8735786703233188E-2</v>
      </c>
      <c r="AJ89" s="953">
        <f t="shared" si="32"/>
        <v>1.525874459787202E-2</v>
      </c>
      <c r="AK89" s="892">
        <f t="shared" si="32"/>
        <v>3.9752509935080615E-2</v>
      </c>
      <c r="AL89" s="892">
        <f t="shared" si="32"/>
        <v>3.9017297256663142E-2</v>
      </c>
      <c r="AM89" s="953">
        <f t="shared" si="32"/>
        <v>3.9405667968066327E-2</v>
      </c>
      <c r="AN89" s="892">
        <f t="shared" si="32"/>
        <v>4.0046877945946857E-2</v>
      </c>
      <c r="AO89" s="892">
        <f t="shared" si="32"/>
        <v>3.9298592580691905E-2</v>
      </c>
      <c r="AP89" s="953">
        <f t="shared" si="32"/>
        <v>3.9694000743908608E-2</v>
      </c>
      <c r="AQ89" s="892">
        <f t="shared" si="32"/>
        <v>4.0341761822659361E-2</v>
      </c>
      <c r="AR89" s="892">
        <f t="shared" si="32"/>
        <v>3.9579766497556346E-2</v>
      </c>
      <c r="AS89" s="953">
        <f t="shared" si="32"/>
        <v>3.9982555925598851E-2</v>
      </c>
      <c r="AT89" s="892">
        <f t="shared" si="32"/>
        <v>4.0637283026290882E-2</v>
      </c>
      <c r="AU89" s="892">
        <f t="shared" si="32"/>
        <v>3.9860916537006075E-2</v>
      </c>
      <c r="AV89" s="953">
        <f t="shared" si="32"/>
        <v>4.0271444283617619E-2</v>
      </c>
      <c r="AW89" s="892">
        <f t="shared" si="32"/>
        <v>4.0933566641185415E-2</v>
      </c>
      <c r="AX89" s="892">
        <f t="shared" si="32"/>
        <v>4.0142143843613143E-2</v>
      </c>
      <c r="AY89" s="953">
        <f t="shared" si="32"/>
        <v>4.0560780250717299E-2</v>
      </c>
      <c r="AZ89" s="892">
        <f t="shared" si="32"/>
        <v>4.1230741246421454E-2</v>
      </c>
      <c r="BA89" s="892">
        <f t="shared" si="32"/>
        <v>4.0423553081393448E-2</v>
      </c>
      <c r="BB89" s="953">
        <f t="shared" si="32"/>
        <v>4.0850681811238632E-2</v>
      </c>
      <c r="BC89" s="892">
        <f t="shared" si="32"/>
        <v>4.1528938780716951E-2</v>
      </c>
      <c r="BD89" s="892">
        <f t="shared" si="32"/>
        <v>4.0705252335538677E-2</v>
      </c>
      <c r="BE89" s="953">
        <f t="shared" si="32"/>
        <v>4.1141270385682605E-2</v>
      </c>
    </row>
    <row r="90" spans="2:57">
      <c r="B90" s="1"/>
      <c r="M90" s="881"/>
      <c r="N90" s="881"/>
      <c r="O90" s="691"/>
      <c r="P90" s="873"/>
      <c r="Q90" s="873"/>
      <c r="R90" s="965"/>
      <c r="S90" s="873"/>
      <c r="T90" s="873"/>
      <c r="U90" s="965"/>
      <c r="V90" s="873"/>
      <c r="W90" s="873"/>
      <c r="X90" s="965"/>
      <c r="Y90" s="873"/>
      <c r="Z90" s="873"/>
      <c r="AA90" s="965"/>
      <c r="AB90" s="873"/>
      <c r="AC90" s="873"/>
      <c r="AD90" s="965"/>
      <c r="AE90" s="873"/>
      <c r="AF90" s="873"/>
      <c r="AG90" s="965"/>
      <c r="AH90" s="873"/>
      <c r="AI90" s="873"/>
      <c r="AJ90" s="965"/>
      <c r="AK90" s="873"/>
      <c r="AL90" s="873"/>
      <c r="AM90" s="965"/>
      <c r="AN90" s="873"/>
      <c r="AO90" s="873"/>
      <c r="AP90" s="965"/>
      <c r="AQ90" s="873"/>
      <c r="AR90" s="873"/>
      <c r="AS90" s="965"/>
      <c r="AT90" s="873"/>
      <c r="AU90" s="873"/>
      <c r="AV90" s="965"/>
      <c r="AW90" s="873"/>
      <c r="AX90" s="873"/>
      <c r="AY90" s="965"/>
      <c r="AZ90" s="873"/>
      <c r="BA90" s="873"/>
      <c r="BB90" s="965"/>
      <c r="BC90" s="873"/>
      <c r="BD90" s="873"/>
      <c r="BE90" s="965"/>
    </row>
    <row r="91" spans="2:57">
      <c r="B91" s="1" t="s">
        <v>933</v>
      </c>
      <c r="C91" s="16" t="s">
        <v>357</v>
      </c>
      <c r="M91" s="873">
        <f>M92*M80</f>
        <v>61.854607860374522</v>
      </c>
      <c r="N91" s="873">
        <f>N92*N80</f>
        <v>62.174374139625456</v>
      </c>
      <c r="O91" s="954">
        <f>SUM(M91:N91)</f>
        <v>124.02898199999998</v>
      </c>
      <c r="P91" s="873">
        <f>P92*P80</f>
        <v>75.438625544789105</v>
      </c>
      <c r="Q91" s="873">
        <f>Q92*Q80</f>
        <v>75.929431322918973</v>
      </c>
      <c r="R91" s="954">
        <f>SUM(P91:Q91)</f>
        <v>151.36805686770808</v>
      </c>
      <c r="S91" s="477">
        <f>+S94/(1-Model!DO82)</f>
        <v>70.238095238095241</v>
      </c>
      <c r="T91" s="477">
        <f>+T94/(1-Model!DP82)</f>
        <v>91.131554737810461</v>
      </c>
      <c r="U91" s="729">
        <f>SUM(S91:T91)</f>
        <v>161.3696499759057</v>
      </c>
      <c r="V91" s="477">
        <f>+V94/(1-Model!DR82)</f>
        <v>65.57133666551195</v>
      </c>
      <c r="W91" s="477">
        <f>+W94/(1-Model!DS82)</f>
        <v>96.614143388273149</v>
      </c>
      <c r="X91" s="729">
        <f>SUM(V91:W91)</f>
        <v>162.18548005378511</v>
      </c>
      <c r="Y91" s="477">
        <f>+Y94/(1-Model!DU82)</f>
        <v>91.500931098696483</v>
      </c>
      <c r="Z91" s="477">
        <f>+Z94/(1-Model!DV82)</f>
        <v>132.99604743083</v>
      </c>
      <c r="AA91" s="729">
        <f>SUM(Y91:Z91)</f>
        <v>224.49697852952647</v>
      </c>
      <c r="AB91" s="477">
        <f>+AB94/(1-Model!DX82)</f>
        <v>157.41187831965235</v>
      </c>
      <c r="AC91" s="933">
        <f>AC92*AC80</f>
        <v>122.19459296856736</v>
      </c>
      <c r="AD91" s="729">
        <f>SUM(AB91:AC91)</f>
        <v>279.60647128821972</v>
      </c>
      <c r="AE91" s="933">
        <f>AE92*AE80</f>
        <v>135.08965908267018</v>
      </c>
      <c r="AF91" s="933">
        <f>AF92*AF80</f>
        <v>115.58463112364781</v>
      </c>
      <c r="AG91" s="729">
        <f>SUM(AE91:AF91)</f>
        <v>250.67429020631801</v>
      </c>
      <c r="AH91" s="933">
        <f>AH92*AH80</f>
        <v>134.43737243680368</v>
      </c>
      <c r="AI91" s="933">
        <f>AI92*AI80</f>
        <v>120.06189274102532</v>
      </c>
      <c r="AJ91" s="729">
        <f>SUM(AH91:AI91)</f>
        <v>254.49926517782899</v>
      </c>
      <c r="AK91" s="933">
        <f>AK92*AK80</f>
        <v>139.78159542024389</v>
      </c>
      <c r="AL91" s="933">
        <f>AL92*AL80</f>
        <v>124.74638329929952</v>
      </c>
      <c r="AM91" s="729">
        <f>SUM(AK91:AL91)</f>
        <v>264.5279787195434</v>
      </c>
      <c r="AN91" s="933">
        <f>AN92*AN80</f>
        <v>145.3794119111281</v>
      </c>
      <c r="AO91" s="933">
        <f>AO92*AO80</f>
        <v>129.64874059249354</v>
      </c>
      <c r="AP91" s="729">
        <f>SUM(AN91:AO91)</f>
        <v>275.02815250362164</v>
      </c>
      <c r="AQ91" s="933">
        <f>AQ92*AQ80</f>
        <v>151.24427352036514</v>
      </c>
      <c r="AR91" s="933">
        <f>AR92*AR80</f>
        <v>134.78020747184669</v>
      </c>
      <c r="AS91" s="729">
        <f>SUM(AQ91:AR91)</f>
        <v>286.02448099221181</v>
      </c>
      <c r="AT91" s="933">
        <f>AT92*AT80</f>
        <v>157.39042986951799</v>
      </c>
      <c r="AU91" s="933">
        <f>AU92*AU80</f>
        <v>140.15267007272234</v>
      </c>
      <c r="AV91" s="729">
        <f>SUM(AT91:AU91)</f>
        <v>297.54309994224036</v>
      </c>
      <c r="AW91" s="933">
        <f>AW92*AW80</f>
        <v>163.8329815192667</v>
      </c>
      <c r="AX91" s="933">
        <f>AX92*AX80</f>
        <v>145.77869871484799</v>
      </c>
      <c r="AY91" s="729">
        <f>SUM(AW91:AX91)</f>
        <v>309.61168023411471</v>
      </c>
      <c r="AZ91" s="933">
        <f>AZ92*AZ80</f>
        <v>170.58793678791733</v>
      </c>
      <c r="BA91" s="933">
        <f>BA92*BA80</f>
        <v>151.67159168048414</v>
      </c>
      <c r="BB91" s="729">
        <f>SUM(AZ91:BA91)</f>
        <v>322.25952846840147</v>
      </c>
      <c r="BC91" s="933">
        <f>BC92*BC80</f>
        <v>177.67227277151153</v>
      </c>
      <c r="BD91" s="933">
        <f>BD92*BD80</f>
        <v>157.84542209197102</v>
      </c>
      <c r="BE91" s="729">
        <f>SUM(BC91:BD91)</f>
        <v>335.51769486348257</v>
      </c>
    </row>
    <row r="92" spans="2:57">
      <c r="B92" s="1" t="s">
        <v>929</v>
      </c>
      <c r="C92" s="16" t="s">
        <v>507</v>
      </c>
      <c r="M92" s="893">
        <v>0.09</v>
      </c>
      <c r="N92" s="893">
        <v>0.09</v>
      </c>
      <c r="O92" s="953">
        <f>O91/O80</f>
        <v>0.09</v>
      </c>
      <c r="P92" s="893">
        <v>0.11</v>
      </c>
      <c r="Q92" s="893">
        <v>0.1</v>
      </c>
      <c r="R92" s="953">
        <f>R91/R80</f>
        <v>0.10474573169172244</v>
      </c>
      <c r="S92" s="892">
        <f t="shared" ref="S92:AA92" si="33">+S91/S80</f>
        <v>0.11420828493999226</v>
      </c>
      <c r="T92" s="892">
        <f t="shared" si="33"/>
        <v>0.11448687781131968</v>
      </c>
      <c r="U92" s="953">
        <f t="shared" si="33"/>
        <v>0.11436545001835982</v>
      </c>
      <c r="V92" s="892">
        <f t="shared" si="33"/>
        <v>9.7867666664943204E-2</v>
      </c>
      <c r="W92" s="892">
        <f t="shared" si="33"/>
        <v>0.13003249446604731</v>
      </c>
      <c r="X92" s="953">
        <f t="shared" si="33"/>
        <v>0.11478094837493638</v>
      </c>
      <c r="Y92" s="892">
        <f t="shared" si="33"/>
        <v>0.12655730442419985</v>
      </c>
      <c r="Z92" s="892">
        <f t="shared" si="33"/>
        <v>0.16179567813969586</v>
      </c>
      <c r="AA92" s="953">
        <f t="shared" si="33"/>
        <v>0.14530548772137636</v>
      </c>
      <c r="AB92" s="892">
        <f t="shared" ref="AB92" si="34">+AB91/AB80</f>
        <v>0.18540857281466708</v>
      </c>
      <c r="AC92" s="892">
        <v>0.16</v>
      </c>
      <c r="AD92" s="953">
        <f>AD91/AD80</f>
        <v>0.17337611554883581</v>
      </c>
      <c r="AE92" s="892">
        <f>+AC92</f>
        <v>0.16</v>
      </c>
      <c r="AF92" s="892">
        <f>+AE92</f>
        <v>0.16</v>
      </c>
      <c r="AG92" s="953">
        <f>AG91/AG80</f>
        <v>0.16000000000000003</v>
      </c>
      <c r="AH92" s="892">
        <f>+AF92</f>
        <v>0.16</v>
      </c>
      <c r="AI92" s="892">
        <f>+AH92</f>
        <v>0.16</v>
      </c>
      <c r="AJ92" s="953">
        <f>AJ91/AJ80</f>
        <v>0.16</v>
      </c>
      <c r="AK92" s="892">
        <f>+AI92</f>
        <v>0.16</v>
      </c>
      <c r="AL92" s="892">
        <f>+AK92</f>
        <v>0.16</v>
      </c>
      <c r="AM92" s="953">
        <f>AM91/AM80</f>
        <v>0.16</v>
      </c>
      <c r="AN92" s="892">
        <f>+AL92</f>
        <v>0.16</v>
      </c>
      <c r="AO92" s="892">
        <f>+AN92</f>
        <v>0.16</v>
      </c>
      <c r="AP92" s="953">
        <f>AP91/AP80</f>
        <v>0.16</v>
      </c>
      <c r="AQ92" s="892">
        <f>+AO92</f>
        <v>0.16</v>
      </c>
      <c r="AR92" s="892">
        <f>+AQ92</f>
        <v>0.16</v>
      </c>
      <c r="AS92" s="953">
        <f>AS91/AS80</f>
        <v>0.15999999999999998</v>
      </c>
      <c r="AT92" s="892">
        <f>+AR92</f>
        <v>0.16</v>
      </c>
      <c r="AU92" s="892">
        <f>+AT92</f>
        <v>0.16</v>
      </c>
      <c r="AV92" s="953">
        <f>AV91/AV80</f>
        <v>0.16000000000000003</v>
      </c>
      <c r="AW92" s="892">
        <f>+AU92</f>
        <v>0.16</v>
      </c>
      <c r="AX92" s="892">
        <f>+AW92</f>
        <v>0.16</v>
      </c>
      <c r="AY92" s="953">
        <f>AY91/AY80</f>
        <v>0.16</v>
      </c>
      <c r="AZ92" s="892">
        <f>+AX92</f>
        <v>0.16</v>
      </c>
      <c r="BA92" s="892">
        <f>+AZ92</f>
        <v>0.16</v>
      </c>
      <c r="BB92" s="953">
        <f>BB91/BB80</f>
        <v>0.16</v>
      </c>
      <c r="BC92" s="892">
        <f>+BA92</f>
        <v>0.16</v>
      </c>
      <c r="BD92" s="892">
        <f>+BC92</f>
        <v>0.16</v>
      </c>
      <c r="BE92" s="953">
        <f>BE91/BE80</f>
        <v>0.16000000000000003</v>
      </c>
    </row>
    <row r="93" spans="2:57">
      <c r="B93" s="1" t="s">
        <v>927</v>
      </c>
      <c r="C93" s="16" t="s">
        <v>357</v>
      </c>
      <c r="M93" s="9">
        <f>M91*(Model!DI82)</f>
        <v>12.11590768387717</v>
      </c>
      <c r="N93" s="9">
        <f>N91*(Model!DJ82)</f>
        <v>12.875948150607297</v>
      </c>
      <c r="O93" s="954">
        <f>SUM(M93:N93)</f>
        <v>24.991855834484468</v>
      </c>
      <c r="P93" s="9">
        <f>P91*(Model!DL82)</f>
        <v>13.407975601200082</v>
      </c>
      <c r="Q93" s="9">
        <f>Q91*(Model!DM82)</f>
        <v>16.660491977630389</v>
      </c>
      <c r="R93" s="954">
        <f>SUM(P93:Q93)</f>
        <v>30.068467578830472</v>
      </c>
      <c r="S93" s="477">
        <f>+S91-S94</f>
        <v>11.238095238095241</v>
      </c>
      <c r="T93" s="477">
        <f>+T91-T94</f>
        <v>13.131554737810461</v>
      </c>
      <c r="U93" s="729">
        <f>SUM(S93:T93)</f>
        <v>24.369649975905702</v>
      </c>
      <c r="V93" s="477">
        <f>+V91-V94</f>
        <v>12.57133666551195</v>
      </c>
      <c r="W93" s="477">
        <f>+W91-W94</f>
        <v>18.614143388273149</v>
      </c>
      <c r="X93" s="729">
        <f>SUM(V93:W93)</f>
        <v>31.185480053785099</v>
      </c>
      <c r="Y93" s="477">
        <f>+Y91-Y94</f>
        <v>17.500931098696483</v>
      </c>
      <c r="Z93" s="477">
        <f>+Z91-Z94</f>
        <v>12.996047430830004</v>
      </c>
      <c r="AA93" s="729">
        <f>SUM(Y93:Z93)</f>
        <v>30.496978529526487</v>
      </c>
      <c r="AB93" s="477">
        <f>+AB91-AB94</f>
        <v>32.411878319652345</v>
      </c>
      <c r="AC93" s="477">
        <f>AC91*(Model!DY82)</f>
        <v>20.545846416696477</v>
      </c>
      <c r="AD93" s="729">
        <f>SUM(AB93:AC93)</f>
        <v>52.957724736348823</v>
      </c>
      <c r="AE93" s="477">
        <f>AE91*(Model!EA82)</f>
        <v>25.667035225707334</v>
      </c>
      <c r="AF93" s="477">
        <f>AF91*(Model!EB82)</f>
        <v>21.96107991349308</v>
      </c>
      <c r="AG93" s="729">
        <f>SUM(AE93:AF93)</f>
        <v>47.628115139200418</v>
      </c>
      <c r="AH93" s="477">
        <f>AH91*(Model!ED82)</f>
        <v>25.543100762992701</v>
      </c>
      <c r="AI93" s="477">
        <f>AI91*(Model!EE82)</f>
        <v>22.811759620794806</v>
      </c>
      <c r="AJ93" s="729">
        <f>SUM(AH93:AI93)</f>
        <v>48.354860383787511</v>
      </c>
      <c r="AK93" s="477">
        <f>AK91*(Model!EG82)</f>
        <v>26.55850312984634</v>
      </c>
      <c r="AL93" s="477">
        <f>AL91*(Model!EH82)</f>
        <v>23.701812826866902</v>
      </c>
      <c r="AM93" s="729">
        <f>SUM(AK93:AL93)</f>
        <v>50.260315956713242</v>
      </c>
      <c r="AN93" s="477">
        <f>AN91*(Model!EJ82)</f>
        <v>27.622088263114339</v>
      </c>
      <c r="AO93" s="477">
        <f>AO91*(Model!EK82)</f>
        <v>24.633260712573776</v>
      </c>
      <c r="AP93" s="729">
        <f>SUM(AN93:AO93)</f>
        <v>52.255348975688115</v>
      </c>
      <c r="AQ93" s="477">
        <f>AQ91*(Model!EM82)</f>
        <v>28.736411968869376</v>
      </c>
      <c r="AR93" s="477">
        <f>AR91*(Model!EN82)</f>
        <v>25.608239419650875</v>
      </c>
      <c r="AS93" s="729">
        <f>SUM(AQ93:AR93)</f>
        <v>54.344651388520248</v>
      </c>
      <c r="AT93" s="477">
        <f>AT91*(Model!EP82)</f>
        <v>29.904181675208417</v>
      </c>
      <c r="AU93" s="477">
        <f>AU91*(Model!EQ82)</f>
        <v>26.62900731381724</v>
      </c>
      <c r="AV93" s="729">
        <f>SUM(AT93:AU93)</f>
        <v>56.53318898902566</v>
      </c>
      <c r="AW93" s="477">
        <f>AW91*(Model!ES82)</f>
        <v>31.128266488660671</v>
      </c>
      <c r="AX93" s="477">
        <f>AX91*(Model!ET82)</f>
        <v>27.69795275582112</v>
      </c>
      <c r="AY93" s="729">
        <f>SUM(AW93:AX93)</f>
        <v>58.826219244481791</v>
      </c>
      <c r="AZ93" s="477">
        <f>AZ91*(Model!EV82)</f>
        <v>32.41170798970429</v>
      </c>
      <c r="BA93" s="477">
        <f>BA91*(Model!EW82)</f>
        <v>28.817602419291987</v>
      </c>
      <c r="BB93" s="729">
        <f>SUM(AZ93:BA93)</f>
        <v>61.229310408996277</v>
      </c>
      <c r="BC93" s="477">
        <f>BC91*(Model!EY82)</f>
        <v>33.75773182658719</v>
      </c>
      <c r="BD93" s="477">
        <f>BD91*(Model!EZ82)</f>
        <v>29.990630197474495</v>
      </c>
      <c r="BE93" s="729">
        <f>SUM(BC93:BD93)</f>
        <v>63.748362024061684</v>
      </c>
    </row>
    <row r="94" spans="2:57">
      <c r="B94" s="1" t="s">
        <v>928</v>
      </c>
      <c r="C94" s="16" t="s">
        <v>357</v>
      </c>
      <c r="M94" s="873">
        <f t="shared" ref="M94:R94" si="35">M91-M93</f>
        <v>49.738700176497353</v>
      </c>
      <c r="N94" s="873">
        <f t="shared" si="35"/>
        <v>49.298425989018156</v>
      </c>
      <c r="O94" s="954">
        <f t="shared" si="35"/>
        <v>99.037126165515517</v>
      </c>
      <c r="P94" s="873">
        <f t="shared" si="35"/>
        <v>62.030649943589026</v>
      </c>
      <c r="Q94" s="873">
        <f t="shared" si="35"/>
        <v>59.268939345288587</v>
      </c>
      <c r="R94" s="954">
        <f t="shared" si="35"/>
        <v>121.2995892888776</v>
      </c>
      <c r="S94" s="933">
        <v>59</v>
      </c>
      <c r="T94" s="477">
        <f>+U94-S94</f>
        <v>78</v>
      </c>
      <c r="U94" s="971">
        <v>137</v>
      </c>
      <c r="V94" s="933">
        <v>53</v>
      </c>
      <c r="W94" s="477">
        <f>+X94-V94</f>
        <v>78</v>
      </c>
      <c r="X94" s="971">
        <v>131</v>
      </c>
      <c r="Y94" s="933">
        <v>74</v>
      </c>
      <c r="Z94" s="477">
        <f>+AA94-Y94</f>
        <v>120</v>
      </c>
      <c r="AA94" s="971">
        <v>194</v>
      </c>
      <c r="AB94" s="933">
        <v>125</v>
      </c>
      <c r="AC94" s="933">
        <f t="shared" ref="AC94:BE94" si="36">AC91-AC93</f>
        <v>101.64874655187089</v>
      </c>
      <c r="AD94" s="729">
        <f t="shared" si="36"/>
        <v>226.64874655187089</v>
      </c>
      <c r="AE94" s="933">
        <f t="shared" si="36"/>
        <v>109.42262385696284</v>
      </c>
      <c r="AF94" s="933">
        <f t="shared" si="36"/>
        <v>93.62355121015473</v>
      </c>
      <c r="AG94" s="729">
        <f t="shared" si="36"/>
        <v>203.04617506711759</v>
      </c>
      <c r="AH94" s="933">
        <f t="shared" si="36"/>
        <v>108.89427167381098</v>
      </c>
      <c r="AI94" s="933">
        <f t="shared" si="36"/>
        <v>97.250133120230515</v>
      </c>
      <c r="AJ94" s="729">
        <f t="shared" si="36"/>
        <v>206.14440479404146</v>
      </c>
      <c r="AK94" s="933">
        <f t="shared" si="36"/>
        <v>113.22309229039755</v>
      </c>
      <c r="AL94" s="933">
        <f t="shared" si="36"/>
        <v>101.04457047243262</v>
      </c>
      <c r="AM94" s="729">
        <f t="shared" si="36"/>
        <v>214.26766276283016</v>
      </c>
      <c r="AN94" s="933">
        <f t="shared" si="36"/>
        <v>117.75732364801377</v>
      </c>
      <c r="AO94" s="933">
        <f t="shared" si="36"/>
        <v>105.01547987991977</v>
      </c>
      <c r="AP94" s="729">
        <f t="shared" si="36"/>
        <v>222.77280352793352</v>
      </c>
      <c r="AQ94" s="933">
        <f t="shared" si="36"/>
        <v>122.50786155149576</v>
      </c>
      <c r="AR94" s="933">
        <f t="shared" si="36"/>
        <v>109.17196805219582</v>
      </c>
      <c r="AS94" s="729">
        <f t="shared" si="36"/>
        <v>231.67982960369156</v>
      </c>
      <c r="AT94" s="933">
        <f t="shared" si="36"/>
        <v>127.48624819430957</v>
      </c>
      <c r="AU94" s="933">
        <f t="shared" si="36"/>
        <v>113.5236627589051</v>
      </c>
      <c r="AV94" s="729">
        <f t="shared" si="36"/>
        <v>241.0099109532147</v>
      </c>
      <c r="AW94" s="933">
        <f t="shared" si="36"/>
        <v>132.70471503060602</v>
      </c>
      <c r="AX94" s="933">
        <f t="shared" si="36"/>
        <v>118.08074595902687</v>
      </c>
      <c r="AY94" s="729">
        <f t="shared" si="36"/>
        <v>250.78546098963292</v>
      </c>
      <c r="AZ94" s="933">
        <f t="shared" si="36"/>
        <v>138.17622879821303</v>
      </c>
      <c r="BA94" s="933">
        <f t="shared" si="36"/>
        <v>122.85398926119215</v>
      </c>
      <c r="BB94" s="729">
        <f t="shared" si="36"/>
        <v>261.03021805940517</v>
      </c>
      <c r="BC94" s="933">
        <f t="shared" si="36"/>
        <v>143.91454094492434</v>
      </c>
      <c r="BD94" s="933">
        <f t="shared" si="36"/>
        <v>127.85479189449651</v>
      </c>
      <c r="BE94" s="729">
        <f t="shared" si="36"/>
        <v>271.76933283942088</v>
      </c>
    </row>
    <row r="95" spans="2:57">
      <c r="B95" s="868"/>
      <c r="C95" s="869"/>
      <c r="D95" s="903"/>
      <c r="E95" s="903"/>
      <c r="F95" s="904"/>
      <c r="G95" s="905"/>
      <c r="H95" s="905"/>
      <c r="I95" s="905"/>
      <c r="J95" s="905"/>
      <c r="K95" s="905"/>
      <c r="L95" s="905"/>
      <c r="M95" s="905"/>
      <c r="N95" s="905"/>
      <c r="O95" s="905"/>
      <c r="P95" s="905"/>
      <c r="Q95" s="905"/>
      <c r="R95" s="905"/>
      <c r="S95" s="905"/>
      <c r="T95" s="905"/>
      <c r="U95" s="905"/>
      <c r="V95" s="905"/>
      <c r="W95" s="905"/>
      <c r="X95" s="905"/>
      <c r="Y95" s="905"/>
      <c r="Z95" s="905"/>
      <c r="AA95" s="905"/>
      <c r="AB95" s="905"/>
      <c r="AC95" s="905"/>
      <c r="AD95" s="905"/>
      <c r="AE95" s="905"/>
      <c r="AF95" s="905"/>
      <c r="AG95" s="905"/>
      <c r="AH95" s="905"/>
      <c r="AI95" s="905"/>
      <c r="AJ95" s="905"/>
      <c r="AK95" s="905"/>
      <c r="AL95" s="905"/>
      <c r="AM95" s="905"/>
      <c r="AN95" s="905"/>
      <c r="AO95" s="905"/>
      <c r="AP95" s="905"/>
      <c r="AQ95" s="905"/>
      <c r="AR95" s="905"/>
      <c r="AS95" s="905"/>
      <c r="AT95" s="905"/>
      <c r="AU95" s="905"/>
      <c r="AV95" s="905"/>
      <c r="AW95" s="905"/>
      <c r="AX95" s="905"/>
      <c r="AY95" s="905"/>
      <c r="AZ95" s="905"/>
      <c r="BA95" s="905"/>
      <c r="BB95" s="905"/>
      <c r="BC95" s="905"/>
      <c r="BD95" s="905"/>
      <c r="BE95" s="905"/>
    </row>
    <row r="96" spans="2:57">
      <c r="B96" s="857" t="s">
        <v>945</v>
      </c>
      <c r="C96" s="857"/>
      <c r="D96" s="21"/>
      <c r="E96" s="21"/>
      <c r="F96" s="21"/>
      <c r="G96" s="21"/>
      <c r="H96" s="21"/>
      <c r="I96" s="21"/>
      <c r="J96" s="21"/>
      <c r="K96" s="21"/>
      <c r="L96" s="21"/>
      <c r="M96" s="21"/>
      <c r="N96" s="21"/>
      <c r="O96" s="21"/>
      <c r="P96" s="21"/>
      <c r="Q96" s="21"/>
      <c r="R96" s="21"/>
      <c r="S96" s="21" t="str">
        <f t="shared" ref="S96:AJ96" si="37">S1</f>
        <v>1h23</v>
      </c>
      <c r="T96" s="21" t="str">
        <f t="shared" si="37"/>
        <v>2h23</v>
      </c>
      <c r="U96" s="21" t="str">
        <f t="shared" si="37"/>
        <v>2023</v>
      </c>
      <c r="V96" s="21" t="str">
        <f t="shared" si="37"/>
        <v>1h24</v>
      </c>
      <c r="W96" s="21" t="str">
        <f t="shared" si="37"/>
        <v>2h24</v>
      </c>
      <c r="X96" s="21" t="str">
        <f t="shared" si="37"/>
        <v>2024</v>
      </c>
      <c r="Y96" s="21" t="str">
        <f t="shared" si="37"/>
        <v>1h25</v>
      </c>
      <c r="Z96" s="21" t="str">
        <f>Z1</f>
        <v>2h25</v>
      </c>
      <c r="AA96" s="21" t="str">
        <f>AA1</f>
        <v>2025</v>
      </c>
      <c r="AB96" s="21" t="str">
        <f t="shared" ref="AB96" si="38">AB1</f>
        <v>1h26</v>
      </c>
      <c r="AC96" s="21" t="str">
        <f t="shared" si="37"/>
        <v>2h26E</v>
      </c>
      <c r="AD96" s="21" t="str">
        <f t="shared" si="37"/>
        <v>2026E</v>
      </c>
      <c r="AE96" s="21" t="str">
        <f t="shared" si="37"/>
        <v>1h27E</v>
      </c>
      <c r="AF96" s="21" t="str">
        <f t="shared" si="37"/>
        <v>2h27E</v>
      </c>
      <c r="AG96" s="21" t="str">
        <f t="shared" si="37"/>
        <v>2027E</v>
      </c>
      <c r="AH96" s="21" t="str">
        <f t="shared" si="37"/>
        <v>1h28E</v>
      </c>
      <c r="AI96" s="21" t="str">
        <f t="shared" si="37"/>
        <v>2h28E</v>
      </c>
      <c r="AJ96" s="21" t="str">
        <f t="shared" si="37"/>
        <v>2028E</v>
      </c>
      <c r="AK96" s="21"/>
      <c r="AL96" s="21"/>
      <c r="AM96" s="21"/>
      <c r="AN96" s="21"/>
      <c r="AO96" s="21"/>
      <c r="AP96" s="21"/>
      <c r="AQ96" s="21"/>
      <c r="AR96" s="21"/>
      <c r="AS96" s="21"/>
      <c r="AT96" s="21"/>
      <c r="AU96" s="21"/>
      <c r="AV96" s="21"/>
      <c r="AW96" s="21"/>
      <c r="AX96" s="21"/>
      <c r="AY96" s="21"/>
      <c r="AZ96" s="21"/>
      <c r="BA96" s="21"/>
      <c r="BB96" s="21"/>
      <c r="BC96" s="21"/>
      <c r="BD96" s="21"/>
      <c r="BE96" s="21"/>
    </row>
    <row r="97" spans="2:36">
      <c r="B97" s="1" t="s">
        <v>946</v>
      </c>
      <c r="C97" s="16" t="s">
        <v>357</v>
      </c>
      <c r="D97" s="906"/>
      <c r="S97" s="875">
        <f>S19</f>
        <v>315</v>
      </c>
      <c r="T97" s="875">
        <f>T19</f>
        <v>444</v>
      </c>
      <c r="U97" s="875">
        <f>S97+T97</f>
        <v>759</v>
      </c>
      <c r="V97" s="875">
        <f>V19</f>
        <v>376</v>
      </c>
      <c r="W97" s="875">
        <f>X97-V97</f>
        <v>383</v>
      </c>
      <c r="X97" s="875">
        <f>X19</f>
        <v>759</v>
      </c>
      <c r="Y97" s="875">
        <f>Y19</f>
        <v>397</v>
      </c>
      <c r="Z97" s="875">
        <f>AA97-Y97</f>
        <v>369</v>
      </c>
      <c r="AA97" s="875">
        <f>AA19</f>
        <v>766</v>
      </c>
      <c r="AB97" s="875">
        <f>AB19</f>
        <v>330</v>
      </c>
      <c r="AC97" s="875">
        <f>AD97-AB97</f>
        <v>276.75</v>
      </c>
      <c r="AD97" s="875">
        <f>AD19</f>
        <v>606.75</v>
      </c>
      <c r="AE97" s="875">
        <f>AE19</f>
        <v>297</v>
      </c>
      <c r="AF97" s="875">
        <f>AG97-AE97</f>
        <v>249.07500000000005</v>
      </c>
      <c r="AG97" s="875">
        <f>AG19</f>
        <v>546.07500000000005</v>
      </c>
      <c r="AH97" s="875">
        <f>AH19</f>
        <v>305.91000000000003</v>
      </c>
      <c r="AI97" s="875">
        <f>AJ97-AH97</f>
        <v>256.54725000000002</v>
      </c>
      <c r="AJ97" s="875">
        <f>AJ19</f>
        <v>562.45725000000004</v>
      </c>
    </row>
    <row r="98" spans="2:36">
      <c r="B98" s="11" t="s">
        <v>794</v>
      </c>
      <c r="C98" s="16" t="s">
        <v>357</v>
      </c>
      <c r="D98" s="907"/>
      <c r="S98" s="9">
        <f>S109*$S$97</f>
        <v>176.4</v>
      </c>
      <c r="T98" s="9">
        <f>S109*$T$97</f>
        <v>248.64000000000001</v>
      </c>
      <c r="U98" s="9">
        <f>S98+T98</f>
        <v>425.04</v>
      </c>
      <c r="V98" s="9">
        <f>V97-SUM(V99:V100)</f>
        <v>229.39900000000003</v>
      </c>
      <c r="W98" s="9">
        <f>W97-SUM(W99:W100)</f>
        <v>176.36240000000004</v>
      </c>
      <c r="X98" s="9">
        <f>V98+W98</f>
        <v>405.76140000000009</v>
      </c>
      <c r="Y98" s="9">
        <f>Y97-SUM(Y99:Y100)</f>
        <v>241.92298000000005</v>
      </c>
      <c r="Z98" s="9">
        <f>Z97-SUM(Z99:Z100)</f>
        <v>150.41524800000002</v>
      </c>
      <c r="AA98" s="9">
        <f>Y98+Z98</f>
        <v>392.33822800000007</v>
      </c>
      <c r="AB98" s="9">
        <f>AB97-SUM(AB99:AB100)</f>
        <v>186.57181860000003</v>
      </c>
      <c r="AC98" s="9">
        <f>AC97-SUM(AC99:AC100)</f>
        <v>74.584563360000004</v>
      </c>
      <c r="AD98" s="9">
        <f>AB98+AC98</f>
        <v>261.15638196000003</v>
      </c>
      <c r="AE98" s="9">
        <f>AE97-SUM(AE99:AE100)</f>
        <v>153.64937263950003</v>
      </c>
      <c r="AF98" s="9">
        <f>AF97-SUM(AF99:AF100)</f>
        <v>47.018877625200076</v>
      </c>
      <c r="AG98" s="9">
        <f>AE98+AF98</f>
        <v>200.66825026470011</v>
      </c>
      <c r="AH98" s="9">
        <f>AH97-SUM(AH99:AH100)</f>
        <v>159.10900381651504</v>
      </c>
      <c r="AI98" s="9">
        <f>AI97-SUM(AI99:AI100)</f>
        <v>49.627750617564061</v>
      </c>
      <c r="AJ98" s="9">
        <f>AH98+AI98</f>
        <v>208.7367544340791</v>
      </c>
    </row>
    <row r="99" spans="2:36">
      <c r="B99" s="11" t="s">
        <v>773</v>
      </c>
      <c r="C99" s="16" t="s">
        <v>357</v>
      </c>
      <c r="D99" s="870"/>
      <c r="S99" s="9">
        <f>S110*$S$97</f>
        <v>85.050000000000011</v>
      </c>
      <c r="T99" s="9">
        <f>S110*$T$97</f>
        <v>119.88000000000001</v>
      </c>
      <c r="U99" s="9">
        <f>S99+T99</f>
        <v>204.93</v>
      </c>
      <c r="V99" s="9">
        <f>S99*(1+V105)</f>
        <v>89.302500000000009</v>
      </c>
      <c r="W99" s="9">
        <f>T99*(1+W105)</f>
        <v>125.87400000000001</v>
      </c>
      <c r="X99" s="9">
        <f>V99+W99</f>
        <v>215.17650000000003</v>
      </c>
      <c r="Y99" s="9">
        <f>V99*(1+Y105)</f>
        <v>93.76762500000001</v>
      </c>
      <c r="Z99" s="9">
        <f>W99*(1+Z105)</f>
        <v>132.16770000000002</v>
      </c>
      <c r="AA99" s="9">
        <f>Y99+Z99</f>
        <v>225.93532500000003</v>
      </c>
      <c r="AB99" s="9">
        <f>Y99*(1+AB105)</f>
        <v>77.82712875</v>
      </c>
      <c r="AC99" s="9">
        <f>Z99*(1+AC105)</f>
        <v>109.69919100000001</v>
      </c>
      <c r="AD99" s="9">
        <f>AB99+AC99</f>
        <v>187.52631975000003</v>
      </c>
      <c r="AE99" s="9">
        <f>AB99*(1+AE105)</f>
        <v>73.157501025000002</v>
      </c>
      <c r="AF99" s="9">
        <f>AC99*(1+AF105)</f>
        <v>103.11723954</v>
      </c>
      <c r="AG99" s="9">
        <f>AE99+AF99</f>
        <v>176.274740565</v>
      </c>
      <c r="AH99" s="9">
        <f>AE99*(1+AH105)</f>
        <v>71.694351004500007</v>
      </c>
      <c r="AI99" s="9">
        <f>AF99*(1+AI105)</f>
        <v>101.0548947492</v>
      </c>
      <c r="AJ99" s="9">
        <f>AH99+AI99</f>
        <v>172.7492457537</v>
      </c>
    </row>
    <row r="100" spans="2:36">
      <c r="B100" s="11" t="s">
        <v>943</v>
      </c>
      <c r="C100" s="16" t="s">
        <v>357</v>
      </c>
      <c r="D100" s="908"/>
      <c r="S100" s="9">
        <f>S97-SUM(S98:S99)</f>
        <v>53.549999999999955</v>
      </c>
      <c r="T100" s="9">
        <f>T97-SUM(T98:T99)</f>
        <v>75.479999999999961</v>
      </c>
      <c r="U100" s="9">
        <f>S100+T100</f>
        <v>129.02999999999992</v>
      </c>
      <c r="V100" s="9">
        <f>S100*(1+V106)</f>
        <v>57.298499999999954</v>
      </c>
      <c r="W100" s="9">
        <f>T100*(1+W106)</f>
        <v>80.763599999999968</v>
      </c>
      <c r="X100" s="9">
        <f>V100+W100</f>
        <v>138.06209999999993</v>
      </c>
      <c r="Y100" s="9">
        <f>V100*(1+Y106)</f>
        <v>61.309394999999952</v>
      </c>
      <c r="Z100" s="9">
        <f>W100*(1+Z106)</f>
        <v>86.41705199999997</v>
      </c>
      <c r="AA100" s="9">
        <f>Y100+Z100</f>
        <v>147.72644699999992</v>
      </c>
      <c r="AB100" s="9">
        <f>Y100*(1+AB106)</f>
        <v>65.601052649999957</v>
      </c>
      <c r="AC100" s="9">
        <f>Z100*(1+AC106)</f>
        <v>92.466245639999968</v>
      </c>
      <c r="AD100" s="9">
        <f>AB100+AC100</f>
        <v>158.06729828999994</v>
      </c>
      <c r="AE100" s="9">
        <f>AB100*(1+AE106)</f>
        <v>70.193126335499954</v>
      </c>
      <c r="AF100" s="9">
        <f>AC100*(1+AF106)</f>
        <v>98.938882834799969</v>
      </c>
      <c r="AG100" s="9">
        <f>AE100+AF100</f>
        <v>169.13200917029991</v>
      </c>
      <c r="AH100" s="9">
        <f>AE100*(1+AH106)</f>
        <v>75.106645178984962</v>
      </c>
      <c r="AI100" s="9">
        <f>AF100*(1+AI106)</f>
        <v>105.86460463323597</v>
      </c>
      <c r="AJ100" s="9">
        <f>AH100+AI100</f>
        <v>180.97124981222095</v>
      </c>
    </row>
    <row r="101" spans="2:36">
      <c r="B101" s="1"/>
      <c r="C101" s="1"/>
      <c r="D101" s="909"/>
    </row>
    <row r="102" spans="2:36">
      <c r="B102" s="1"/>
      <c r="C102" s="1"/>
      <c r="D102" s="907"/>
      <c r="V102" s="14" t="s">
        <v>952</v>
      </c>
      <c r="AB102" s="14" t="s">
        <v>953</v>
      </c>
    </row>
    <row r="103" spans="2:36">
      <c r="B103" s="1" t="s">
        <v>947</v>
      </c>
      <c r="C103" s="11" t="s">
        <v>507</v>
      </c>
      <c r="D103" s="908"/>
      <c r="V103" s="898">
        <f t="shared" ref="V103:AJ104" si="39">V97/S97-1</f>
        <v>0.19365079365079363</v>
      </c>
      <c r="W103" s="898">
        <f t="shared" si="39"/>
        <v>-0.13738738738738743</v>
      </c>
      <c r="X103" s="898">
        <f t="shared" si="39"/>
        <v>0</v>
      </c>
      <c r="Y103" s="898">
        <f t="shared" si="39"/>
        <v>5.5851063829787329E-2</v>
      </c>
      <c r="Z103" s="898">
        <f t="shared" si="39"/>
        <v>-3.6553524804177506E-2</v>
      </c>
      <c r="AA103" s="898">
        <f t="shared" si="39"/>
        <v>9.2226613965744608E-3</v>
      </c>
      <c r="AB103" s="898">
        <f t="shared" si="39"/>
        <v>-0.16876574307304781</v>
      </c>
      <c r="AC103" s="898">
        <f t="shared" si="39"/>
        <v>-0.25</v>
      </c>
      <c r="AD103" s="898">
        <f t="shared" si="39"/>
        <v>-0.20789817232375984</v>
      </c>
      <c r="AE103" s="898">
        <f t="shared" si="39"/>
        <v>-9.9999999999999978E-2</v>
      </c>
      <c r="AF103" s="898">
        <f t="shared" si="39"/>
        <v>-9.9999999999999867E-2</v>
      </c>
      <c r="AG103" s="898">
        <f t="shared" si="39"/>
        <v>-9.9999999999999978E-2</v>
      </c>
      <c r="AH103" s="898">
        <f t="shared" si="39"/>
        <v>3.0000000000000027E-2</v>
      </c>
      <c r="AI103" s="898">
        <f t="shared" si="39"/>
        <v>2.9999999999999805E-2</v>
      </c>
      <c r="AJ103" s="898">
        <f t="shared" si="39"/>
        <v>3.0000000000000027E-2</v>
      </c>
    </row>
    <row r="104" spans="2:36">
      <c r="B104" s="11" t="s">
        <v>948</v>
      </c>
      <c r="C104" s="11" t="s">
        <v>507</v>
      </c>
      <c r="D104" s="870"/>
      <c r="V104" s="15">
        <f t="shared" si="39"/>
        <v>0.30044784580498884</v>
      </c>
      <c r="W104" s="15">
        <f t="shared" si="39"/>
        <v>-0.29069176319176304</v>
      </c>
      <c r="X104" s="15">
        <f t="shared" si="39"/>
        <v>-4.5357142857142652E-2</v>
      </c>
      <c r="Y104" s="15">
        <f t="shared" si="39"/>
        <v>5.4594745399936473E-2</v>
      </c>
      <c r="Z104" s="15">
        <f t="shared" si="39"/>
        <v>-0.14712405818927399</v>
      </c>
      <c r="AA104" s="15">
        <f t="shared" si="39"/>
        <v>-3.3081441457960326E-2</v>
      </c>
      <c r="AB104" s="15">
        <f t="shared" si="39"/>
        <v>-0.22879662527305178</v>
      </c>
      <c r="AC104" s="15">
        <f t="shared" si="39"/>
        <v>-0.50414227046981308</v>
      </c>
      <c r="AD104" s="15">
        <f t="shared" si="39"/>
        <v>-0.33435907255002439</v>
      </c>
      <c r="AE104" s="15">
        <f t="shared" si="39"/>
        <v>-0.17645990808013701</v>
      </c>
      <c r="AF104" s="15">
        <f t="shared" si="39"/>
        <v>-0.36958969112345186</v>
      </c>
      <c r="AG104" s="15">
        <f t="shared" si="39"/>
        <v>-0.23161651743423439</v>
      </c>
      <c r="AH104" s="15">
        <f t="shared" si="39"/>
        <v>3.5533052190357406E-2</v>
      </c>
      <c r="AI104" s="15">
        <f t="shared" si="39"/>
        <v>5.5485650107601536E-2</v>
      </c>
      <c r="AJ104" s="15">
        <f t="shared" si="39"/>
        <v>4.0208175228198195E-2</v>
      </c>
    </row>
    <row r="105" spans="2:36">
      <c r="B105" s="11" t="s">
        <v>949</v>
      </c>
      <c r="C105" s="11" t="s">
        <v>507</v>
      </c>
      <c r="D105" s="907"/>
      <c r="V105" s="910">
        <v>0.05</v>
      </c>
      <c r="W105" s="910">
        <v>0.05</v>
      </c>
      <c r="X105" s="15">
        <f>X99/U99-1</f>
        <v>5.0000000000000044E-2</v>
      </c>
      <c r="Y105" s="910">
        <f>W105</f>
        <v>0.05</v>
      </c>
      <c r="Z105" s="910">
        <f>Y105</f>
        <v>0.05</v>
      </c>
      <c r="AA105" s="15">
        <f>AA99/X99-1</f>
        <v>5.0000000000000044E-2</v>
      </c>
      <c r="AB105" s="910">
        <v>-0.17</v>
      </c>
      <c r="AC105" s="910">
        <f>AB105</f>
        <v>-0.17</v>
      </c>
      <c r="AD105" s="15">
        <f>AD99/AA99-1</f>
        <v>-0.17000000000000004</v>
      </c>
      <c r="AE105" s="910">
        <v>-0.06</v>
      </c>
      <c r="AF105" s="910">
        <f>AE105</f>
        <v>-0.06</v>
      </c>
      <c r="AG105" s="15">
        <f>AG99/AD99-1</f>
        <v>-6.0000000000000164E-2</v>
      </c>
      <c r="AH105" s="910">
        <v>-0.02</v>
      </c>
      <c r="AI105" s="910">
        <f>AH105</f>
        <v>-0.02</v>
      </c>
      <c r="AJ105" s="15">
        <f>AJ99/AG99-1</f>
        <v>-2.0000000000000018E-2</v>
      </c>
    </row>
    <row r="106" spans="2:36">
      <c r="B106" s="11" t="s">
        <v>950</v>
      </c>
      <c r="C106" s="11" t="s">
        <v>507</v>
      </c>
      <c r="D106" s="907"/>
      <c r="V106" s="910">
        <v>7.0000000000000007E-2</v>
      </c>
      <c r="W106" s="910">
        <v>7.0000000000000007E-2</v>
      </c>
      <c r="X106" s="15">
        <f>X100/U100-1</f>
        <v>7.0000000000000062E-2</v>
      </c>
      <c r="Y106" s="910">
        <f>W106</f>
        <v>7.0000000000000007E-2</v>
      </c>
      <c r="Z106" s="910">
        <f>Y106</f>
        <v>7.0000000000000007E-2</v>
      </c>
      <c r="AA106" s="15">
        <f>AA100/X100-1</f>
        <v>7.0000000000000062E-2</v>
      </c>
      <c r="AB106" s="910">
        <f>Z106</f>
        <v>7.0000000000000007E-2</v>
      </c>
      <c r="AC106" s="910">
        <f>AB106</f>
        <v>7.0000000000000007E-2</v>
      </c>
      <c r="AD106" s="15">
        <f>AD100/AA100-1</f>
        <v>7.0000000000000062E-2</v>
      </c>
      <c r="AE106" s="910">
        <f>AC106</f>
        <v>7.0000000000000007E-2</v>
      </c>
      <c r="AF106" s="910">
        <f>AE106</f>
        <v>7.0000000000000007E-2</v>
      </c>
      <c r="AG106" s="15">
        <f>AG100/AD100-1</f>
        <v>6.999999999999984E-2</v>
      </c>
      <c r="AH106" s="910">
        <f>AF106</f>
        <v>7.0000000000000007E-2</v>
      </c>
      <c r="AI106" s="910">
        <f>AH106</f>
        <v>7.0000000000000007E-2</v>
      </c>
      <c r="AJ106" s="15">
        <f>AJ100/AG100-1</f>
        <v>7.0000000000000284E-2</v>
      </c>
    </row>
    <row r="107" spans="2:36">
      <c r="B107" s="1"/>
      <c r="C107" s="1"/>
      <c r="D107" s="907"/>
      <c r="V107" s="911"/>
      <c r="W107" s="911"/>
      <c r="X107" s="911"/>
      <c r="Y107" s="911"/>
      <c r="Z107" s="911"/>
      <c r="AA107" s="911"/>
      <c r="AB107" s="911"/>
      <c r="AC107" s="911"/>
      <c r="AD107" s="911"/>
      <c r="AE107" s="911"/>
      <c r="AF107" s="911"/>
      <c r="AG107" s="911"/>
      <c r="AH107" s="911"/>
      <c r="AI107" s="911"/>
      <c r="AJ107" s="911"/>
    </row>
    <row r="108" spans="2:36">
      <c r="B108" s="31" t="s">
        <v>951</v>
      </c>
      <c r="C108" s="11" t="s">
        <v>507</v>
      </c>
      <c r="D108" s="906"/>
      <c r="S108" s="15">
        <f t="shared" ref="S108:AJ108" si="40">SUM(S109:S111)</f>
        <v>1</v>
      </c>
      <c r="T108" s="15">
        <f t="shared" si="40"/>
        <v>1</v>
      </c>
      <c r="U108" s="15">
        <f t="shared" si="40"/>
        <v>1</v>
      </c>
      <c r="V108" s="15">
        <f t="shared" si="40"/>
        <v>1</v>
      </c>
      <c r="W108" s="15">
        <f t="shared" si="40"/>
        <v>1</v>
      </c>
      <c r="X108" s="15">
        <f t="shared" si="40"/>
        <v>1</v>
      </c>
      <c r="Y108" s="15">
        <f t="shared" si="40"/>
        <v>1</v>
      </c>
      <c r="Z108" s="15">
        <f t="shared" si="40"/>
        <v>1</v>
      </c>
      <c r="AA108" s="15">
        <f t="shared" si="40"/>
        <v>1</v>
      </c>
      <c r="AB108" s="15">
        <f t="shared" si="40"/>
        <v>1</v>
      </c>
      <c r="AC108" s="15">
        <f t="shared" si="40"/>
        <v>0.99999999999999989</v>
      </c>
      <c r="AD108" s="15">
        <f t="shared" si="40"/>
        <v>1</v>
      </c>
      <c r="AE108" s="15">
        <f t="shared" si="40"/>
        <v>1</v>
      </c>
      <c r="AF108" s="15">
        <f t="shared" si="40"/>
        <v>1</v>
      </c>
      <c r="AG108" s="15">
        <f t="shared" si="40"/>
        <v>1</v>
      </c>
      <c r="AH108" s="15">
        <f t="shared" si="40"/>
        <v>0.99999999999999989</v>
      </c>
      <c r="AI108" s="15">
        <f t="shared" si="40"/>
        <v>1</v>
      </c>
      <c r="AJ108" s="15">
        <f t="shared" si="40"/>
        <v>1</v>
      </c>
    </row>
    <row r="109" spans="2:36">
      <c r="B109" s="31" t="s">
        <v>794</v>
      </c>
      <c r="C109" s="11" t="s">
        <v>507</v>
      </c>
      <c r="D109" s="909"/>
      <c r="S109" s="910">
        <v>0.56000000000000005</v>
      </c>
      <c r="T109" s="912">
        <f t="shared" ref="T109:AJ109" si="41">T98/T$97</f>
        <v>0.56000000000000005</v>
      </c>
      <c r="U109" s="912">
        <f t="shared" si="41"/>
        <v>0.56000000000000005</v>
      </c>
      <c r="V109" s="912">
        <f t="shared" si="41"/>
        <v>0.61010372340425545</v>
      </c>
      <c r="W109" s="912">
        <f t="shared" si="41"/>
        <v>0.4604762402088774</v>
      </c>
      <c r="X109" s="912">
        <f t="shared" si="41"/>
        <v>0.53460000000000008</v>
      </c>
      <c r="Y109" s="912">
        <f t="shared" si="41"/>
        <v>0.60937778337531501</v>
      </c>
      <c r="Z109" s="912">
        <f t="shared" si="41"/>
        <v>0.40762939837398382</v>
      </c>
      <c r="AA109" s="912">
        <f t="shared" si="41"/>
        <v>0.51219089817232388</v>
      </c>
      <c r="AB109" s="912">
        <f t="shared" si="41"/>
        <v>0.56536914727272736</v>
      </c>
      <c r="AC109" s="912">
        <f t="shared" si="41"/>
        <v>0.26950158395663959</v>
      </c>
      <c r="AD109" s="912">
        <f t="shared" si="41"/>
        <v>0.43041842927070462</v>
      </c>
      <c r="AE109" s="912">
        <f t="shared" si="41"/>
        <v>0.51733795501515156</v>
      </c>
      <c r="AF109" s="912">
        <f t="shared" si="41"/>
        <v>0.1887739742053601</v>
      </c>
      <c r="AG109" s="912">
        <f t="shared" si="41"/>
        <v>0.36747379071501185</v>
      </c>
      <c r="AH109" s="912">
        <f t="shared" si="41"/>
        <v>0.52011704035995887</v>
      </c>
      <c r="AI109" s="912">
        <f t="shared" si="41"/>
        <v>0.1934448746480972</v>
      </c>
      <c r="AJ109" s="912">
        <f t="shared" si="41"/>
        <v>0.3711157682367488</v>
      </c>
    </row>
    <row r="110" spans="2:36">
      <c r="B110" s="31" t="s">
        <v>773</v>
      </c>
      <c r="C110" s="11" t="s">
        <v>507</v>
      </c>
      <c r="D110" s="913"/>
      <c r="S110" s="910">
        <v>0.27</v>
      </c>
      <c r="T110" s="912">
        <f t="shared" ref="T110:AJ110" si="42">T99/T$97</f>
        <v>0.27</v>
      </c>
      <c r="U110" s="912">
        <f t="shared" si="42"/>
        <v>0.27</v>
      </c>
      <c r="V110" s="912">
        <f t="shared" si="42"/>
        <v>0.23750664893617024</v>
      </c>
      <c r="W110" s="912">
        <f t="shared" si="42"/>
        <v>0.32865274151436036</v>
      </c>
      <c r="X110" s="912">
        <f t="shared" si="42"/>
        <v>0.28350000000000003</v>
      </c>
      <c r="Y110" s="912">
        <f t="shared" si="42"/>
        <v>0.23619049118387911</v>
      </c>
      <c r="Z110" s="912">
        <f t="shared" si="42"/>
        <v>0.35817804878048787</v>
      </c>
      <c r="AA110" s="912">
        <f t="shared" si="42"/>
        <v>0.29495473237597913</v>
      </c>
      <c r="AB110" s="912">
        <f t="shared" si="42"/>
        <v>0.23583978409090908</v>
      </c>
      <c r="AC110" s="912">
        <f t="shared" si="42"/>
        <v>0.39638370731707323</v>
      </c>
      <c r="AD110" s="912">
        <f t="shared" si="42"/>
        <v>0.30906686402966632</v>
      </c>
      <c r="AE110" s="912">
        <f t="shared" si="42"/>
        <v>0.24632155227272728</v>
      </c>
      <c r="AF110" s="912">
        <f t="shared" si="42"/>
        <v>0.41400076097560967</v>
      </c>
      <c r="AG110" s="912">
        <f t="shared" si="42"/>
        <v>0.32280316909765139</v>
      </c>
      <c r="AH110" s="912">
        <f t="shared" si="42"/>
        <v>0.23436419536628419</v>
      </c>
      <c r="AI110" s="912">
        <f t="shared" si="42"/>
        <v>0.39390363665640538</v>
      </c>
      <c r="AJ110" s="912">
        <f t="shared" si="42"/>
        <v>0.30713311234533819</v>
      </c>
    </row>
    <row r="111" spans="2:36">
      <c r="B111" s="31" t="s">
        <v>943</v>
      </c>
      <c r="C111" s="11" t="s">
        <v>507</v>
      </c>
      <c r="D111" s="909"/>
      <c r="S111" s="15">
        <f>100%-S109-S110</f>
        <v>0.16999999999999993</v>
      </c>
      <c r="T111" s="912">
        <f t="shared" ref="T111:AJ111" si="43">T100/T$97</f>
        <v>0.1699999999999999</v>
      </c>
      <c r="U111" s="912">
        <f t="shared" si="43"/>
        <v>0.1699999999999999</v>
      </c>
      <c r="V111" s="912">
        <f t="shared" si="43"/>
        <v>0.15238962765957434</v>
      </c>
      <c r="W111" s="912">
        <f t="shared" si="43"/>
        <v>0.21087101827676233</v>
      </c>
      <c r="X111" s="912">
        <f t="shared" si="43"/>
        <v>0.1818999999999999</v>
      </c>
      <c r="Y111" s="912">
        <f t="shared" si="43"/>
        <v>0.15443172544080591</v>
      </c>
      <c r="Z111" s="912">
        <f t="shared" si="43"/>
        <v>0.23419255284552837</v>
      </c>
      <c r="AA111" s="912">
        <f t="shared" si="43"/>
        <v>0.19285436945169704</v>
      </c>
      <c r="AB111" s="912">
        <f t="shared" si="43"/>
        <v>0.1987910686363635</v>
      </c>
      <c r="AC111" s="912">
        <f t="shared" si="43"/>
        <v>0.33411470872628712</v>
      </c>
      <c r="AD111" s="912">
        <f t="shared" si="43"/>
        <v>0.26051470669962906</v>
      </c>
      <c r="AE111" s="912">
        <f t="shared" si="43"/>
        <v>0.23634049271212107</v>
      </c>
      <c r="AF111" s="912">
        <f t="shared" si="43"/>
        <v>0.3972252648190302</v>
      </c>
      <c r="AG111" s="912">
        <f t="shared" si="43"/>
        <v>0.30972304018733671</v>
      </c>
      <c r="AH111" s="912">
        <f t="shared" si="43"/>
        <v>0.24551876427375685</v>
      </c>
      <c r="AI111" s="912">
        <f t="shared" si="43"/>
        <v>0.41265148869549745</v>
      </c>
      <c r="AJ111" s="912">
        <f t="shared" si="43"/>
        <v>0.32175111941791296</v>
      </c>
    </row>
    <row r="112" spans="2:36">
      <c r="B112" s="31"/>
      <c r="C112" s="1"/>
      <c r="D112" s="907"/>
    </row>
    <row r="113" spans="2:17">
      <c r="B113" s="1"/>
      <c r="C113" s="1"/>
      <c r="D113" s="907"/>
    </row>
    <row r="114" spans="2:17">
      <c r="B114" s="1"/>
      <c r="C114" s="1"/>
      <c r="D114" s="914"/>
      <c r="L114" s="477"/>
    </row>
    <row r="115" spans="2:17">
      <c r="B115" s="1"/>
      <c r="C115" s="1"/>
      <c r="D115" s="870"/>
      <c r="L115" s="477"/>
    </row>
    <row r="116" spans="2:17" ht="13.5" thickBot="1">
      <c r="B116" s="1"/>
      <c r="C116" s="1"/>
      <c r="D116" s="915"/>
      <c r="E116" s="477"/>
      <c r="L116" s="477"/>
    </row>
    <row r="117" spans="2:17">
      <c r="B117" s="1"/>
      <c r="C117" s="1"/>
      <c r="D117" s="907"/>
    </row>
    <row r="118" spans="2:17">
      <c r="B118" s="1"/>
      <c r="C118" s="1"/>
      <c r="D118" s="916"/>
    </row>
    <row r="119" spans="2:17">
      <c r="B119" s="1"/>
      <c r="C119" s="1"/>
      <c r="D119" s="917"/>
    </row>
    <row r="120" spans="2:17">
      <c r="B120" s="1"/>
      <c r="C120" s="1"/>
      <c r="D120" s="918"/>
    </row>
    <row r="121" spans="2:17" ht="13.5" thickBot="1">
      <c r="B121" s="1"/>
      <c r="C121" s="1"/>
      <c r="D121" s="919"/>
      <c r="Q121" s="477"/>
    </row>
    <row r="122" spans="2:17">
      <c r="B122" s="1"/>
      <c r="C122" s="1"/>
    </row>
    <row r="123" spans="2:17" ht="13.5" thickBot="1">
      <c r="B123" s="1"/>
      <c r="C123" s="1"/>
      <c r="D123" s="920"/>
    </row>
    <row r="124" spans="2:17">
      <c r="B124" s="1"/>
      <c r="C124" s="1"/>
      <c r="D124" s="907"/>
    </row>
    <row r="125" spans="2:17" ht="13.5" thickBot="1">
      <c r="B125" s="1"/>
      <c r="C125" s="1"/>
      <c r="D125" s="915"/>
      <c r="O125" s="477"/>
    </row>
    <row r="126" spans="2:17">
      <c r="B126" s="1"/>
      <c r="C126" s="1"/>
      <c r="D126" s="870"/>
    </row>
    <row r="127" spans="2:17">
      <c r="B127" s="1"/>
      <c r="C127" s="1"/>
      <c r="D127" s="870"/>
    </row>
    <row r="128" spans="2:17">
      <c r="B128" s="1"/>
      <c r="C128" s="1"/>
      <c r="D128" s="906"/>
    </row>
    <row r="129" spans="2:57">
      <c r="B129" s="1"/>
      <c r="C129" s="1"/>
    </row>
    <row r="130" spans="2:57">
      <c r="B130" s="1"/>
      <c r="C130" s="1"/>
      <c r="D130" s="21"/>
      <c r="E130" s="477"/>
    </row>
    <row r="131" spans="2:57">
      <c r="B131" s="1"/>
      <c r="C131" s="1"/>
      <c r="D131" s="909"/>
      <c r="E131" s="477"/>
      <c r="K131" s="9"/>
    </row>
    <row r="132" spans="2:57">
      <c r="B132" s="1"/>
      <c r="C132" s="1"/>
      <c r="D132" s="909"/>
      <c r="K132" s="9"/>
    </row>
    <row r="133" spans="2:57">
      <c r="B133" s="1"/>
      <c r="C133" s="1"/>
      <c r="D133" s="870"/>
      <c r="E133" s="477"/>
      <c r="I133" s="477"/>
      <c r="K133" s="477"/>
      <c r="M133" s="477"/>
      <c r="O133" s="477"/>
    </row>
    <row r="134" spans="2:57">
      <c r="B134" s="1"/>
      <c r="C134" s="1"/>
      <c r="D134" s="870"/>
    </row>
    <row r="135" spans="2:57">
      <c r="B135" s="1"/>
      <c r="C135" s="1"/>
      <c r="O135" s="875"/>
      <c r="P135" s="875"/>
      <c r="Q135" s="875"/>
      <c r="R135" s="875"/>
      <c r="S135" s="875"/>
      <c r="T135" s="875"/>
      <c r="U135" s="875"/>
      <c r="V135" s="875"/>
      <c r="W135" s="875"/>
      <c r="X135" s="875"/>
      <c r="Y135" s="875"/>
      <c r="Z135" s="875"/>
      <c r="AA135" s="875"/>
      <c r="AB135" s="875"/>
      <c r="AC135" s="875"/>
      <c r="AD135" s="875"/>
    </row>
    <row r="136" spans="2:57">
      <c r="B136" s="1"/>
      <c r="C136" s="1"/>
      <c r="D136" s="29"/>
      <c r="E136" s="29"/>
      <c r="F136" s="29"/>
      <c r="G136" s="29"/>
      <c r="H136" s="29"/>
      <c r="I136" s="29"/>
      <c r="J136" s="29"/>
      <c r="K136" s="29"/>
      <c r="L136" s="29"/>
      <c r="M136" s="29"/>
      <c r="N136" s="29"/>
      <c r="O136" s="875"/>
      <c r="P136" s="875"/>
      <c r="Q136" s="875"/>
      <c r="R136" s="875"/>
      <c r="S136" s="875"/>
      <c r="T136" s="875"/>
      <c r="U136" s="875"/>
      <c r="V136" s="875"/>
      <c r="W136" s="875"/>
      <c r="X136" s="875"/>
      <c r="Y136" s="875"/>
      <c r="Z136" s="875"/>
      <c r="AA136" s="875"/>
      <c r="AB136" s="875"/>
      <c r="AC136" s="875"/>
      <c r="AD136" s="875"/>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row>
    <row r="137" spans="2:57">
      <c r="B137" s="1"/>
      <c r="C137" s="1"/>
      <c r="D137" s="9"/>
      <c r="E137" s="921"/>
      <c r="F137" s="9"/>
      <c r="G137" s="921"/>
      <c r="O137" s="875"/>
      <c r="P137" s="875"/>
      <c r="Q137" s="875"/>
      <c r="R137" s="875"/>
      <c r="S137" s="875"/>
      <c r="T137" s="875"/>
      <c r="U137" s="875"/>
      <c r="V137" s="875"/>
      <c r="W137" s="875"/>
      <c r="X137" s="875"/>
      <c r="Y137" s="875"/>
      <c r="Z137" s="875"/>
      <c r="AA137" s="875"/>
      <c r="AB137" s="875"/>
      <c r="AC137" s="875"/>
      <c r="AD137" s="875"/>
    </row>
    <row r="138" spans="2:57">
      <c r="B138" s="1"/>
      <c r="C138" s="1"/>
      <c r="D138" s="9"/>
      <c r="E138" s="921"/>
      <c r="F138" s="9"/>
      <c r="G138" s="921"/>
      <c r="O138" s="894"/>
      <c r="P138" s="894"/>
      <c r="Q138" s="894"/>
      <c r="R138" s="894"/>
      <c r="S138" s="894"/>
      <c r="T138" s="894"/>
      <c r="U138" s="894"/>
      <c r="V138" s="894"/>
      <c r="W138" s="894"/>
      <c r="X138" s="894"/>
      <c r="Y138" s="894"/>
      <c r="Z138" s="894"/>
      <c r="AA138" s="894"/>
      <c r="AB138" s="894"/>
      <c r="AC138" s="894"/>
      <c r="AD138" s="894"/>
    </row>
    <row r="139" spans="2:57">
      <c r="B139" s="1"/>
      <c r="C139" s="1"/>
      <c r="D139" s="9"/>
      <c r="E139" s="921"/>
      <c r="F139" s="9"/>
      <c r="G139" s="921"/>
      <c r="O139" s="894"/>
      <c r="P139" s="894"/>
      <c r="Q139" s="894"/>
      <c r="R139" s="894"/>
      <c r="S139" s="894"/>
      <c r="T139" s="894"/>
      <c r="U139" s="894"/>
      <c r="V139" s="894"/>
      <c r="W139" s="894"/>
      <c r="X139" s="894"/>
      <c r="Y139" s="894"/>
      <c r="Z139" s="894"/>
      <c r="AA139" s="894"/>
      <c r="AB139" s="894"/>
      <c r="AC139" s="894"/>
      <c r="AD139" s="894"/>
    </row>
    <row r="140" spans="2:57">
      <c r="B140" s="1"/>
      <c r="C140" s="1"/>
      <c r="D140" s="9"/>
      <c r="E140" s="921"/>
      <c r="F140" s="9"/>
      <c r="G140" s="921"/>
      <c r="O140" s="894"/>
      <c r="P140" s="894"/>
      <c r="Q140" s="894"/>
      <c r="R140" s="894"/>
      <c r="S140" s="894"/>
      <c r="T140" s="894"/>
      <c r="U140" s="894"/>
      <c r="V140" s="894"/>
      <c r="W140" s="894"/>
      <c r="X140" s="894"/>
      <c r="Y140" s="894"/>
      <c r="Z140" s="894"/>
      <c r="AA140" s="894"/>
      <c r="AB140" s="894"/>
      <c r="AC140" s="894"/>
      <c r="AD140" s="894"/>
    </row>
    <row r="141" spans="2:57">
      <c r="B141" s="1"/>
      <c r="D141" s="9"/>
      <c r="E141" s="921"/>
      <c r="F141" s="9"/>
      <c r="G141" s="921"/>
      <c r="O141" s="875"/>
      <c r="P141" s="875"/>
      <c r="Q141" s="875"/>
      <c r="R141" s="875"/>
      <c r="S141" s="875"/>
      <c r="T141" s="875"/>
      <c r="U141" s="875"/>
      <c r="V141" s="875"/>
      <c r="W141" s="875"/>
      <c r="X141" s="875"/>
      <c r="Y141" s="875"/>
      <c r="Z141" s="875"/>
      <c r="AA141" s="875"/>
      <c r="AB141" s="875"/>
      <c r="AC141" s="875"/>
      <c r="AD141" s="875"/>
    </row>
    <row r="142" spans="2:57">
      <c r="B142" s="1"/>
      <c r="D142" s="9"/>
      <c r="E142" s="921"/>
      <c r="F142" s="9"/>
      <c r="G142" s="921"/>
    </row>
    <row r="143" spans="2:57">
      <c r="B143" s="1"/>
      <c r="D143" s="9"/>
      <c r="F143" s="9"/>
      <c r="G143" s="921"/>
    </row>
    <row r="144" spans="2:57">
      <c r="B144" s="1"/>
      <c r="D144" s="9"/>
      <c r="F144" s="9"/>
      <c r="G144" s="921"/>
    </row>
    <row r="145" spans="2:7">
      <c r="B145" s="1"/>
      <c r="D145" s="9"/>
      <c r="F145" s="9"/>
      <c r="G145" s="921"/>
    </row>
    <row r="146" spans="2:7">
      <c r="B146" s="1"/>
      <c r="D146" s="9"/>
      <c r="F146" s="9"/>
      <c r="G146" s="921"/>
    </row>
    <row r="148" spans="2:7">
      <c r="B148" s="1"/>
      <c r="C148" s="1"/>
      <c r="D148" s="875"/>
      <c r="E148" s="597"/>
      <c r="F148" s="875"/>
      <c r="G148" s="597"/>
    </row>
    <row r="150" spans="2:7">
      <c r="B150" s="1"/>
      <c r="D150" s="9"/>
      <c r="E150" s="921"/>
      <c r="F150" s="9"/>
      <c r="G150" s="921"/>
    </row>
    <row r="151" spans="2:7">
      <c r="B151" s="1"/>
      <c r="D151" s="9"/>
      <c r="E151" s="921"/>
      <c r="F151" s="9"/>
      <c r="G151" s="921"/>
    </row>
    <row r="152" spans="2:7">
      <c r="B152" s="1"/>
      <c r="D152" s="9"/>
      <c r="F152" s="9"/>
      <c r="G152" s="921"/>
    </row>
    <row r="154" spans="2:7">
      <c r="B154" s="1"/>
      <c r="C154" s="1"/>
      <c r="D154" s="875"/>
      <c r="E154" s="597"/>
      <c r="F154" s="875"/>
      <c r="G154" s="597"/>
    </row>
    <row r="179" spans="2:21">
      <c r="B179" s="872"/>
      <c r="C179" s="871"/>
      <c r="D179" s="29"/>
      <c r="E179" s="29"/>
      <c r="F179" s="29"/>
      <c r="G179" s="29"/>
      <c r="H179" s="29"/>
    </row>
    <row r="180" spans="2:21">
      <c r="D180" s="18"/>
      <c r="E180" s="18"/>
      <c r="F180" s="18"/>
      <c r="G180" s="18"/>
      <c r="H180" s="18"/>
      <c r="I180" s="480"/>
      <c r="J180" s="480"/>
      <c r="K180" s="480"/>
      <c r="L180" s="480"/>
      <c r="M180" s="480"/>
      <c r="N180" s="480"/>
      <c r="O180" s="480"/>
      <c r="P180" s="480"/>
      <c r="Q180" s="480"/>
      <c r="R180" s="480"/>
      <c r="S180" s="480"/>
      <c r="T180" s="480"/>
      <c r="U180" s="480"/>
    </row>
    <row r="181" spans="2:21">
      <c r="D181" s="921"/>
      <c r="E181" s="921"/>
      <c r="F181" s="921"/>
      <c r="G181" s="921"/>
      <c r="H181" s="921"/>
    </row>
    <row r="182" spans="2:21">
      <c r="D182" s="921"/>
      <c r="E182" s="921"/>
      <c r="F182" s="921"/>
      <c r="G182" s="921"/>
      <c r="H182" s="921"/>
    </row>
    <row r="183" spans="2:21">
      <c r="B183" s="872"/>
      <c r="C183" s="871"/>
      <c r="D183" s="29"/>
      <c r="E183" s="29"/>
      <c r="F183" s="29"/>
      <c r="G183" s="29"/>
      <c r="H183" s="29"/>
    </row>
    <row r="184" spans="2:21">
      <c r="D184" s="480"/>
      <c r="E184" s="480"/>
      <c r="F184" s="480"/>
      <c r="G184" s="480"/>
      <c r="H184" s="480"/>
    </row>
    <row r="185" spans="2:21">
      <c r="D185" s="480"/>
      <c r="E185" s="480"/>
      <c r="F185" s="480"/>
      <c r="G185" s="480"/>
      <c r="H185" s="480"/>
    </row>
    <row r="186" spans="2:21">
      <c r="D186" s="15"/>
      <c r="E186" s="480"/>
      <c r="F186" s="480"/>
      <c r="G186" s="480"/>
      <c r="H186" s="480"/>
    </row>
    <row r="187" spans="2:21">
      <c r="B187" s="872"/>
      <c r="C187" s="871"/>
      <c r="D187" s="29"/>
      <c r="E187" s="29"/>
      <c r="F187" s="29"/>
      <c r="G187" s="29"/>
      <c r="H187" s="29"/>
    </row>
    <row r="188" spans="2:21">
      <c r="D188" s="477"/>
      <c r="E188" s="477"/>
      <c r="F188" s="477"/>
      <c r="G188" s="477"/>
      <c r="H188" s="477"/>
    </row>
    <row r="191" spans="2:21">
      <c r="B191" s="872"/>
      <c r="C191" s="871"/>
      <c r="D191" s="29"/>
      <c r="E191" s="29"/>
      <c r="F191" s="29"/>
      <c r="G191" s="29"/>
      <c r="H191" s="29"/>
    </row>
    <row r="198" spans="2:8">
      <c r="B198" s="872"/>
      <c r="C198" s="871"/>
      <c r="D198" s="29"/>
      <c r="E198" s="29"/>
      <c r="F198" s="29"/>
      <c r="G198" s="29"/>
      <c r="H198" s="29"/>
    </row>
    <row r="199" spans="2:8">
      <c r="E199" s="469"/>
      <c r="F199" s="469"/>
      <c r="G199" s="469"/>
      <c r="H199" s="469"/>
    </row>
    <row r="200" spans="2:8">
      <c r="E200" s="469"/>
      <c r="F200" s="469"/>
      <c r="G200" s="469"/>
      <c r="H200" s="469"/>
    </row>
    <row r="201" spans="2:8">
      <c r="E201" s="469"/>
      <c r="F201" s="469"/>
      <c r="G201" s="469"/>
      <c r="H201" s="469"/>
    </row>
    <row r="202" spans="2:8">
      <c r="E202" s="477"/>
      <c r="F202" s="477"/>
      <c r="G202" s="477"/>
      <c r="H202" s="477"/>
    </row>
    <row r="203" spans="2:8">
      <c r="E203" s="477"/>
      <c r="F203" s="477"/>
      <c r="G203" s="477"/>
      <c r="H203" s="477"/>
    </row>
    <row r="204" spans="2:8">
      <c r="E204" s="477"/>
      <c r="F204" s="477"/>
      <c r="G204" s="477"/>
      <c r="H204" s="477"/>
    </row>
    <row r="205" spans="2:8">
      <c r="E205" s="469"/>
      <c r="F205" s="469"/>
      <c r="G205" s="469"/>
      <c r="H205" s="469"/>
    </row>
    <row r="206" spans="2:8">
      <c r="E206" s="469"/>
      <c r="F206" s="469"/>
      <c r="G206" s="469"/>
      <c r="H206" s="469"/>
    </row>
    <row r="207" spans="2:8">
      <c r="E207" s="477"/>
      <c r="F207" s="477"/>
      <c r="G207" s="477"/>
      <c r="H207" s="477"/>
    </row>
    <row r="208" spans="2:8">
      <c r="B208" s="872"/>
      <c r="C208" s="871"/>
      <c r="D208" s="29"/>
      <c r="E208" s="29"/>
      <c r="F208" s="29"/>
      <c r="G208" s="29"/>
      <c r="H208" s="29"/>
    </row>
    <row r="209" spans="4:8">
      <c r="E209" s="477"/>
      <c r="F209" s="477"/>
      <c r="G209" s="477"/>
      <c r="H209" s="477"/>
    </row>
    <row r="210" spans="4:8">
      <c r="E210" s="477"/>
      <c r="F210" s="477"/>
      <c r="G210" s="477"/>
      <c r="H210" s="477"/>
    </row>
    <row r="211" spans="4:8">
      <c r="E211" s="477"/>
      <c r="F211" s="477"/>
      <c r="G211" s="477"/>
      <c r="H211" s="477"/>
    </row>
    <row r="212" spans="4:8">
      <c r="E212" s="477"/>
      <c r="F212" s="477"/>
      <c r="G212" s="477"/>
      <c r="H212" s="477"/>
    </row>
    <row r="213" spans="4:8">
      <c r="E213" s="477"/>
      <c r="F213" s="477"/>
      <c r="G213" s="477"/>
      <c r="H213" s="477"/>
    </row>
    <row r="214" spans="4:8">
      <c r="E214" s="477"/>
      <c r="F214" s="477"/>
      <c r="G214" s="477"/>
      <c r="H214" s="477"/>
    </row>
    <row r="215" spans="4:8">
      <c r="E215" s="477"/>
      <c r="F215" s="477"/>
      <c r="G215" s="477"/>
      <c r="H215" s="477"/>
    </row>
    <row r="216" spans="4:8">
      <c r="E216" s="9"/>
      <c r="F216" s="9"/>
      <c r="G216" s="9"/>
      <c r="H216" s="9"/>
    </row>
    <row r="217" spans="4:8">
      <c r="E217" s="477"/>
      <c r="F217" s="477"/>
      <c r="G217" s="477"/>
      <c r="H217" s="477"/>
    </row>
    <row r="220" spans="4:8">
      <c r="D220" s="477"/>
      <c r="E220" s="477"/>
      <c r="F220" s="477"/>
      <c r="G220" s="477"/>
      <c r="H220" s="477"/>
    </row>
    <row r="221" spans="4:8">
      <c r="D221" s="477"/>
      <c r="E221" s="477"/>
      <c r="F221" s="477"/>
      <c r="G221" s="477"/>
      <c r="H221" s="477"/>
    </row>
    <row r="222" spans="4:8">
      <c r="D222" s="477"/>
      <c r="E222" s="477"/>
      <c r="F222" s="477"/>
      <c r="G222" s="477"/>
      <c r="H222" s="477"/>
    </row>
    <row r="223" spans="4:8">
      <c r="D223" s="477"/>
      <c r="E223" s="477"/>
      <c r="F223" s="477"/>
      <c r="G223" s="477"/>
      <c r="H223" s="477"/>
    </row>
    <row r="224" spans="4:8">
      <c r="D224" s="477"/>
      <c r="E224" s="477"/>
      <c r="F224" s="477"/>
      <c r="G224" s="477"/>
      <c r="H224" s="477"/>
    </row>
    <row r="226" spans="5:8">
      <c r="E226" s="922"/>
      <c r="F226" s="922"/>
      <c r="G226" s="922"/>
      <c r="H226" s="922"/>
    </row>
    <row r="227" spans="5:8">
      <c r="E227" s="922"/>
      <c r="F227" s="922"/>
      <c r="G227" s="922"/>
      <c r="H227" s="922"/>
    </row>
    <row r="228" spans="5:8">
      <c r="E228" s="9"/>
      <c r="F228" s="9"/>
      <c r="G228" s="9"/>
      <c r="H228" s="9"/>
    </row>
  </sheetData>
  <phoneticPr fontId="4" type="noConversion"/>
  <pageMargins left="0.7" right="0.7" top="0.75" bottom="0.75" header="0.3" footer="0.3"/>
  <pageSetup paperSize="9" scale="95" orientation="landscape"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14730-BAEB-4E9B-88DC-77F4E5144834}">
  <sheetPr codeName="Sheet2"/>
  <dimension ref="A1:B44"/>
  <sheetViews>
    <sheetView workbookViewId="0"/>
  </sheetViews>
  <sheetFormatPr defaultRowHeight="12.75"/>
  <cols>
    <col min="1" max="1" width="29.140625" customWidth="1"/>
  </cols>
  <sheetData>
    <row r="1" spans="1:2">
      <c r="A1" s="1915" t="s">
        <v>1420</v>
      </c>
      <c r="B1" s="1921" t="s">
        <v>1421</v>
      </c>
    </row>
    <row r="2" spans="1:2">
      <c r="A2" s="1915" t="s">
        <v>1422</v>
      </c>
      <c r="B2" s="1915" t="s">
        <v>1423</v>
      </c>
    </row>
    <row r="3" spans="1:2">
      <c r="A3" s="1915" t="s">
        <v>1424</v>
      </c>
      <c r="B3" s="1915" t="s">
        <v>1425</v>
      </c>
    </row>
    <row r="4" spans="1:2">
      <c r="A4" s="1915" t="s">
        <v>1426</v>
      </c>
      <c r="B4" s="1915" t="s">
        <v>867</v>
      </c>
    </row>
    <row r="5" spans="1:2">
      <c r="A5" s="1915" t="s">
        <v>1427</v>
      </c>
      <c r="B5" s="1915" t="s">
        <v>1428</v>
      </c>
    </row>
    <row r="6" spans="1:2">
      <c r="A6" s="1915" t="s">
        <v>1429</v>
      </c>
      <c r="B6" s="1915"/>
    </row>
    <row r="7" spans="1:2">
      <c r="A7" s="1915" t="s">
        <v>1430</v>
      </c>
      <c r="B7" s="1915" t="s">
        <v>317</v>
      </c>
    </row>
    <row r="8" spans="1:2">
      <c r="A8" s="1915" t="s">
        <v>1431</v>
      </c>
      <c r="B8" s="1915" t="s">
        <v>1432</v>
      </c>
    </row>
    <row r="9" spans="1:2">
      <c r="A9" s="1915" t="s">
        <v>866</v>
      </c>
      <c r="B9" s="1915" t="s">
        <v>1433</v>
      </c>
    </row>
    <row r="10" spans="1:2">
      <c r="A10" s="1915" t="s">
        <v>1434</v>
      </c>
      <c r="B10" s="1915"/>
    </row>
    <row r="11" spans="1:2">
      <c r="A11" s="1915" t="s">
        <v>1435</v>
      </c>
      <c r="B11" s="1915"/>
    </row>
    <row r="12" spans="1:2">
      <c r="A12" s="1915" t="s">
        <v>1436</v>
      </c>
      <c r="B12" s="1915"/>
    </row>
    <row r="13" spans="1:2">
      <c r="A13" s="1915" t="s">
        <v>1437</v>
      </c>
      <c r="B13" s="1915"/>
    </row>
    <row r="14" spans="1:2">
      <c r="A14" s="1915" t="s">
        <v>1438</v>
      </c>
      <c r="B14" s="1915"/>
    </row>
    <row r="15" spans="1:2">
      <c r="A15" s="1915" t="s">
        <v>1439</v>
      </c>
      <c r="B15" s="1915"/>
    </row>
    <row r="16" spans="1:2">
      <c r="A16" s="1915" t="s">
        <v>1440</v>
      </c>
      <c r="B16" s="1915"/>
    </row>
    <row r="17" spans="1:2">
      <c r="A17" s="1915" t="s">
        <v>1441</v>
      </c>
      <c r="B17" s="1915" t="s">
        <v>1442</v>
      </c>
    </row>
    <row r="18" spans="1:2">
      <c r="A18" s="1915" t="s">
        <v>1443</v>
      </c>
      <c r="B18" s="1915" t="s">
        <v>1444</v>
      </c>
    </row>
    <row r="19" spans="1:2">
      <c r="A19" s="1915" t="s">
        <v>1445</v>
      </c>
      <c r="B19" s="1915" t="s">
        <v>222</v>
      </c>
    </row>
    <row r="20" spans="1:2">
      <c r="A20" s="1915" t="s">
        <v>1446</v>
      </c>
      <c r="B20" s="1915"/>
    </row>
    <row r="21" spans="1:2">
      <c r="A21" s="1915" t="s">
        <v>1447</v>
      </c>
      <c r="B21" s="1915" t="s">
        <v>222</v>
      </c>
    </row>
    <row r="22" spans="1:2">
      <c r="A22" s="1915" t="s">
        <v>1448</v>
      </c>
      <c r="B22" s="1915" t="s">
        <v>1449</v>
      </c>
    </row>
    <row r="23" spans="1:2">
      <c r="A23" s="1915" t="s">
        <v>1450</v>
      </c>
      <c r="B23" s="1921" t="s">
        <v>1451</v>
      </c>
    </row>
    <row r="24" spans="1:2">
      <c r="A24" s="1915" t="s">
        <v>1037</v>
      </c>
      <c r="B24" s="1915" t="s">
        <v>1065</v>
      </c>
    </row>
    <row r="25" spans="1:2">
      <c r="A25" s="1915" t="s">
        <v>1452</v>
      </c>
      <c r="B25" s="1915" t="s">
        <v>1453</v>
      </c>
    </row>
    <row r="26" spans="1:2">
      <c r="A26" s="1915" t="s">
        <v>1454</v>
      </c>
      <c r="B26" s="1915" t="s">
        <v>905</v>
      </c>
    </row>
    <row r="27" spans="1:2">
      <c r="A27" s="1915" t="s">
        <v>1455</v>
      </c>
      <c r="B27" s="1915" t="s">
        <v>1456</v>
      </c>
    </row>
    <row r="28" spans="1:2">
      <c r="A28" s="1915" t="s">
        <v>1457</v>
      </c>
      <c r="B28" s="1915" t="s">
        <v>1458</v>
      </c>
    </row>
    <row r="29" spans="1:2">
      <c r="A29" s="1915" t="s">
        <v>1459</v>
      </c>
      <c r="B29" s="1915"/>
    </row>
    <row r="30" spans="1:2">
      <c r="A30" s="1915" t="s">
        <v>1460</v>
      </c>
      <c r="B30" s="1915"/>
    </row>
    <row r="31" spans="1:2">
      <c r="A31" s="1915" t="s">
        <v>1461</v>
      </c>
      <c r="B31" s="1915"/>
    </row>
    <row r="32" spans="1:2">
      <c r="A32" s="1915" t="s">
        <v>1462</v>
      </c>
      <c r="B32" s="1915"/>
    </row>
    <row r="33" spans="1:2">
      <c r="A33" s="1915" t="s">
        <v>1463</v>
      </c>
      <c r="B33" s="1915"/>
    </row>
    <row r="34" spans="1:2">
      <c r="A34" s="1915" t="s">
        <v>1464</v>
      </c>
      <c r="B34" s="1915"/>
    </row>
    <row r="35" spans="1:2">
      <c r="A35" s="1915" t="s">
        <v>1465</v>
      </c>
      <c r="B35" s="1915" t="s">
        <v>1466</v>
      </c>
    </row>
    <row r="36" spans="1:2">
      <c r="A36" s="1915" t="s">
        <v>1467</v>
      </c>
      <c r="B36" s="1915" t="s">
        <v>1468</v>
      </c>
    </row>
    <row r="37" spans="1:2">
      <c r="A37" s="1915" t="s">
        <v>1469</v>
      </c>
      <c r="B37" s="1915" t="s">
        <v>1470</v>
      </c>
    </row>
    <row r="38" spans="1:2">
      <c r="A38" s="1915" t="s">
        <v>1471</v>
      </c>
      <c r="B38" s="1915" t="s">
        <v>1472</v>
      </c>
    </row>
    <row r="39" spans="1:2">
      <c r="A39" s="1915" t="s">
        <v>1473</v>
      </c>
      <c r="B39" s="1915" t="s">
        <v>1474</v>
      </c>
    </row>
    <row r="40" spans="1:2">
      <c r="A40" s="1915" t="s">
        <v>1475</v>
      </c>
      <c r="B40" s="1915" t="s">
        <v>1476</v>
      </c>
    </row>
    <row r="41" spans="1:2">
      <c r="A41" s="1915" t="s">
        <v>1477</v>
      </c>
      <c r="B41" s="1915" t="s">
        <v>1478</v>
      </c>
    </row>
    <row r="42" spans="1:2">
      <c r="A42" s="1915" t="s">
        <v>1479</v>
      </c>
      <c r="B42" s="1915"/>
    </row>
    <row r="43" spans="1:2">
      <c r="A43" s="1915" t="s">
        <v>1480</v>
      </c>
      <c r="B43" s="1915"/>
    </row>
    <row r="44" spans="1:2">
      <c r="A44" s="1915" t="s">
        <v>1481</v>
      </c>
      <c r="B44" s="1915" t="s">
        <v>1482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20B57-1B85-401E-9A2B-46EFECE4A435}">
  <sheetPr codeName="Sheet3"/>
  <dimension ref="A1:A13"/>
  <sheetViews>
    <sheetView workbookViewId="0">
      <selection activeCell="Z1" sqref="Z1"/>
    </sheetView>
  </sheetViews>
  <sheetFormatPr defaultRowHeight="12.75"/>
  <cols>
    <col min="1" max="1" width="28.42578125" bestFit="1" customWidth="1"/>
  </cols>
  <sheetData>
    <row r="1" spans="1:1">
      <c r="A1" s="1915" t="s">
        <v>1483</v>
      </c>
    </row>
    <row r="2" spans="1:1">
      <c r="A2" s="1915" t="s">
        <v>1484</v>
      </c>
    </row>
    <row r="3" spans="1:1">
      <c r="A3" s="1915" t="s">
        <v>1485</v>
      </c>
    </row>
    <row r="4" spans="1:1">
      <c r="A4" s="1915" t="s">
        <v>1486</v>
      </c>
    </row>
    <row r="5" spans="1:1">
      <c r="A5" s="1915" t="s">
        <v>1487</v>
      </c>
    </row>
    <row r="6" spans="1:1">
      <c r="A6" s="1915" t="s">
        <v>1488</v>
      </c>
    </row>
    <row r="7" spans="1:1">
      <c r="A7" s="1915" t="s">
        <v>1489</v>
      </c>
    </row>
    <row r="8" spans="1:1">
      <c r="A8" s="1915" t="s">
        <v>1490</v>
      </c>
    </row>
    <row r="9" spans="1:1">
      <c r="A9" s="1915" t="s">
        <v>1491</v>
      </c>
    </row>
    <row r="10" spans="1:1">
      <c r="A10" s="1915" t="s">
        <v>1492</v>
      </c>
    </row>
    <row r="11" spans="1:1">
      <c r="A11" s="1915" t="s">
        <v>1493</v>
      </c>
    </row>
    <row r="12" spans="1:1">
      <c r="A12" s="1915" t="s">
        <v>1494</v>
      </c>
    </row>
    <row r="13" spans="1:1">
      <c r="A13" s="1915" t="s">
        <v>1495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lk:Links xmlns:lk="thomsonreuters.linking.metadata"/>
</file>

<file path=customXml/item2.xml><?xml version="1.0" encoding="utf-8"?>
<FdsFormulaCache xmlns="urn:fdsformulacache" version="2" timestamp="1770812681"><![CDATA[{"AUDUSD^FG_PRICE(0)":0.70865,"CSL-AU^FG_PRICE(0)":171.39}]]></FdsFormulaCache>
</file>

<file path=customXml/item3.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1BD3315F-F682-4AAA-8378-FA1527A04B33}">
  <ds:schemaRefs>
    <ds:schemaRef ds:uri="thomsonreuters.linking.metadata"/>
  </ds:schemaRefs>
</ds:datastoreItem>
</file>

<file path=customXml/itemProps2.xml><?xml version="1.0" encoding="utf-8"?>
<ds:datastoreItem xmlns:ds="http://schemas.openxmlformats.org/officeDocument/2006/customXml" ds:itemID="{B85F4BA2-D733-482B-9DFF-8240AA3A9CBA}">
  <ds:schemaRefs>
    <ds:schemaRef ds:uri="urn:fdsformulacache"/>
  </ds:schemaRefs>
</ds:datastoreItem>
</file>

<file path=customXml/itemProps3.xml><?xml version="1.0" encoding="utf-8"?>
<ds:datastoreItem xmlns:ds="http://schemas.openxmlformats.org/officeDocument/2006/customXml" ds:itemID="{889BE37A-18E4-42EF-BAC9-6874CDAC7C7E}">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28</vt:i4>
      </vt:variant>
    </vt:vector>
  </HeadingPairs>
  <TitlesOfParts>
    <vt:vector size="37" baseType="lpstr">
      <vt:lpstr>ImportantDisclosures</vt:lpstr>
      <vt:lpstr>Fin Sum</vt:lpstr>
      <vt:lpstr>Valuation table</vt:lpstr>
      <vt:lpstr>Model</vt:lpstr>
      <vt:lpstr>Segment</vt:lpstr>
      <vt:lpstr>Assumptions</vt:lpstr>
      <vt:lpstr>Vifor Segment</vt:lpstr>
      <vt:lpstr>IndexInformation</vt:lpstr>
      <vt:lpstr>ModPubIndex</vt:lpstr>
      <vt:lpstr>esrwsr</vt:lpstr>
      <vt:lpstr>Linking_106</vt:lpstr>
      <vt:lpstr>Linking_145</vt:lpstr>
      <vt:lpstr>Linking_158</vt:lpstr>
      <vt:lpstr>Linking_159</vt:lpstr>
      <vt:lpstr>Linking_173</vt:lpstr>
      <vt:lpstr>Linking_184</vt:lpstr>
      <vt:lpstr>Linking_187</vt:lpstr>
      <vt:lpstr>Linking_188</vt:lpstr>
      <vt:lpstr>Linking_189</vt:lpstr>
      <vt:lpstr>Linking_190</vt:lpstr>
      <vt:lpstr>Linking_197</vt:lpstr>
      <vt:lpstr>Linking_202</vt:lpstr>
      <vt:lpstr>Linking_334</vt:lpstr>
      <vt:lpstr>Linking_65</vt:lpstr>
      <vt:lpstr>Linking_7</vt:lpstr>
      <vt:lpstr>Linking_77</vt:lpstr>
      <vt:lpstr>Linking_87</vt:lpstr>
      <vt:lpstr>Linking_98</vt:lpstr>
      <vt:lpstr>Segment!Linking_Range_32</vt:lpstr>
      <vt:lpstr>Segment!Linking_Range_33</vt:lpstr>
      <vt:lpstr>Segment!Linking_Range_34</vt:lpstr>
      <vt:lpstr>Segment!Linking_Range_37</vt:lpstr>
      <vt:lpstr>Segment!Linking_Range_38</vt:lpstr>
      <vt:lpstr>Segment!Linking_Range_39</vt:lpstr>
      <vt:lpstr>Segment!Linking_Range_40</vt:lpstr>
      <vt:lpstr>NEPS_17</vt:lpstr>
      <vt:lpstr>proorma</vt:lpstr>
    </vt:vector>
  </TitlesOfParts>
  <Company>Morgan Stanley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Laaman</dc:creator>
  <cp:lastModifiedBy>McCulloch, Christina (Research)</cp:lastModifiedBy>
  <cp:lastPrinted>2026-02-11T06:19:29Z</cp:lastPrinted>
  <dcterms:created xsi:type="dcterms:W3CDTF">2007-01-04T13:56:53Z</dcterms:created>
  <dcterms:modified xsi:type="dcterms:W3CDTF">2026-02-12T03:50:11Z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IsInternalOnly">
    <vt:lpwstr>True</vt:lpwstr>
  </property>
  <property fmtid="{D5CDD505-2E9C-101B-9397-08002B2CF9AE}" pid="4" name="LinkingAutoNameNumberLinking_Range_">
    <vt:lpwstr>89</vt:lpwstr>
  </property>
  <property fmtid="{D5CDD505-2E9C-101B-9397-08002B2CF9AE}" pid="5" name="MSIP_Label_07f119e6-c6cd-44b0-a5ee-ac1aff68c56e_Enabled">
    <vt:lpwstr>true</vt:lpwstr>
  </property>
  <property fmtid="{D5CDD505-2E9C-101B-9397-08002B2CF9AE}" pid="6" name="MSIP_Label_07f119e6-c6cd-44b0-a5ee-ac1aff68c56e_SetDate">
    <vt:lpwstr>2021-05-06T18:00:31Z</vt:lpwstr>
  </property>
  <property fmtid="{D5CDD505-2E9C-101B-9397-08002B2CF9AE}" pid="7" name="MSIP_Label_07f119e6-c6cd-44b0-a5ee-ac1aff68c56e_Method">
    <vt:lpwstr>Standard</vt:lpwstr>
  </property>
  <property fmtid="{D5CDD505-2E9C-101B-9397-08002B2CF9AE}" pid="8" name="MSIP_Label_07f119e6-c6cd-44b0-a5ee-ac1aff68c56e_Name">
    <vt:lpwstr>Confidential v1</vt:lpwstr>
  </property>
  <property fmtid="{D5CDD505-2E9C-101B-9397-08002B2CF9AE}" pid="9" name="MSIP_Label_07f119e6-c6cd-44b0-a5ee-ac1aff68c56e_SiteId">
    <vt:lpwstr>e29b8111-49f8-418d-ac2a-935335a52614</vt:lpwstr>
  </property>
  <property fmtid="{D5CDD505-2E9C-101B-9397-08002B2CF9AE}" pid="10" name="MSIP_Label_07f119e6-c6cd-44b0-a5ee-ac1aff68c56e_ActionId">
    <vt:lpwstr>7034b278-aa9e-4e90-8530-1cdc557a3f4a</vt:lpwstr>
  </property>
  <property fmtid="{D5CDD505-2E9C-101B-9397-08002B2CF9AE}" pid="11" name="MSIP_Label_07f119e6-c6cd-44b0-a5ee-ac1aff68c56e_ContentBits">
    <vt:lpwstr>0</vt:lpwstr>
  </property>
  <property fmtid="{D5CDD505-2E9C-101B-9397-08002B2CF9AE}" pid="12" name="=fdsSearchOrder">
    <vt:i4>0</vt:i4>
  </property>
  <property fmtid="{D5CDD505-2E9C-101B-9397-08002B2CF9AE}" pid="13" name="ERModPubTicket">
    <vt:lpwstr>NA</vt:lpwstr>
  </property>
  <property fmtid="{D5CDD505-2E9C-101B-9397-08002B2CF9AE}" pid="14" name="ERModPubConfirmEmail">
    <vt:bool>false</vt:bool>
  </property>
  <property fmtid="{D5CDD505-2E9C-101B-9397-08002B2CF9AE}" pid="15" name="ERModPubUserEmail">
    <vt:lpwstr>bailedav@ms.com</vt:lpwstr>
  </property>
  <property fmtid="{D5CDD505-2E9C-101B-9397-08002B2CF9AE}" pid="16" name="ERModPubGCIMTagged">
    <vt:bool>true</vt:bool>
  </property>
  <property fmtid="{D5CDD505-2E9C-101B-9397-08002B2CF9AE}" pid="17" name="ERCompanyUploadState">
    <vt:lpwstr>P</vt:lpwstr>
  </property>
  <property fmtid="{D5CDD505-2E9C-101B-9397-08002B2CF9AE}" pid="18" name="ERModPubCurrentYear">
    <vt:i4>2026</vt:i4>
  </property>
  <property fmtid="{D5CDD505-2E9C-101B-9397-08002B2CF9AE}" pid="19" name="ModelId">
    <vt:lpwstr>9785094</vt:lpwstr>
  </property>
  <property fmtid="{D5CDD505-2E9C-101B-9397-08002B2CF9AE}" pid="20" name="ERModPubCompanyName">
    <vt:lpwstr>CSL Ltd</vt:lpwstr>
  </property>
</Properties>
</file>